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pivotTables/pivotTable1.xml" ContentType="application/vnd.openxmlformats-officedocument.spreadsheetml.pivotTable+xml"/>
  <Override PartName="/xl/drawings/drawing5.xml" ContentType="application/vnd.openxmlformats-officedocument.drawing+xml"/>
  <Override PartName="/xl/pivotTables/pivotTable2.xml" ContentType="application/vnd.openxmlformats-officedocument.spreadsheetml.pivotTable+xml"/>
  <Override PartName="/xl/worksheets/sheet3.xml" ContentType="application/vnd.openxmlformats-officedocument.spreadsheetml.worksheet+xml"/>
  <Override PartName="/xl/drawings/drawing7.xml" ContentType="application/vnd.openxmlformats-officedocument.drawing+xml"/>
  <Override PartName="/xl/drawings/drawing6.xml" ContentType="application/vnd.openxmlformats-officedocument.drawing+xml"/>
  <Override PartName="/xl/pivotTables/pivotTable3.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26.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13.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27.xml" ContentType="application/vnd.openxmlformats-officedocument.spreadsheetml.worksheet+xml"/>
  <Override PartName="/xl/worksheets/sheet30.xml" ContentType="application/vnd.openxmlformats-officedocument.spreadsheetml.worksheet+xml"/>
  <Override PartName="/xl/worksheets/sheet12.xml" ContentType="application/vnd.openxmlformats-officedocument.spreadsheetml.worksheet+xml"/>
  <Override PartName="/xl/worksheets/sheet10.xml" ContentType="application/vnd.openxmlformats-officedocument.spreadsheetml.worksheet+xml"/>
  <Override PartName="/xl/worksheets/sheet31.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4.xml" ContentType="application/vnd.openxmlformats-officedocument.spreadsheetml.externalLink+xml"/>
  <Override PartName="/xl/externalLinks/externalLink3.xml" ContentType="application/vnd.openxmlformats-officedocument.spreadsheetml.externalLink+xml"/>
  <Override PartName="/xl/externalLinks/externalLink9.xml" ContentType="application/vnd.openxmlformats-officedocument.spreadsheetml.externalLink+xml"/>
  <Override PartName="/xl/externalLinks/externalLink5.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9.xml" ContentType="application/vnd.openxmlformats-officedocument.spreadsheetml.externalLink+xml"/>
  <Override PartName="/xl/comments16.xml" ContentType="application/vnd.openxmlformats-officedocument.spreadsheetml.comments+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4.xml" ContentType="application/vnd.openxmlformats-officedocument.spreadsheetml.externalLink+xml"/>
  <Override PartName="/xl/externalLinks/externalLink45.xml" ContentType="application/vnd.openxmlformats-officedocument.spreadsheetml.externalLink+xml"/>
  <Override PartName="/xl/comments5.xml" ContentType="application/vnd.openxmlformats-officedocument.spreadsheetml.comments+xml"/>
  <Override PartName="/xl/comments4.xml" ContentType="application/vnd.openxmlformats-officedocument.spreadsheetml.comments+xml"/>
  <Override PartName="/xl/externalLinks/externalLink46.xml" ContentType="application/vnd.openxmlformats-officedocument.spreadsheetml.externalLink+xml"/>
  <Override PartName="/xl/activeX/activeX1.xml" ContentType="application/vnd.ms-office.activeX+xml"/>
  <Override PartName="/xl/activeX/activeX1.bin" ContentType="application/vnd.ms-office.activeX"/>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comments3.xml" ContentType="application/vnd.openxmlformats-officedocument.spreadsheetml.comments+xml"/>
  <Override PartName="/xl/externalLinks/externalLink47.xml" ContentType="application/vnd.openxmlformats-officedocument.spreadsheetml.externalLink+xml"/>
  <Override PartName="/xl/pivotCache/pivotCacheRecords3.xml" ContentType="application/vnd.openxmlformats-officedocument.spreadsheetml.pivotCacheRecords+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2.xml" ContentType="application/vnd.openxmlformats-officedocument.spreadsheetml.pivotCacheDefinition+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externalLinks/externalLink48.xml" ContentType="application/vnd.openxmlformats-officedocument.spreadsheetml.externalLink+xml"/>
  <Override PartName="/xl/comments2.xml" ContentType="application/vnd.openxmlformats-officedocument.spreadsheetml.comments+xml"/>
  <Override PartName="/xl/comments1.xml" ContentType="application/vnd.openxmlformats-officedocument.spreadsheetml.comments+xml"/>
  <Override PartName="/xl/externalLinks/externalLink49.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26.xml" ContentType="application/vnd.openxmlformats-officedocument.spreadsheetml.externalLink+xml"/>
  <Override PartName="/xl/comments12.xml" ContentType="application/vnd.openxmlformats-officedocument.spreadsheetml.comments+xml"/>
  <Override PartName="/xl/externalLinks/externalLink25.xml" ContentType="application/vnd.openxmlformats-officedocument.spreadsheetml.externalLink+xml"/>
  <Override PartName="/xl/comments11.xml" ContentType="application/vnd.openxmlformats-officedocument.spreadsheetml.comments+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comments10.xml" ContentType="application/vnd.openxmlformats-officedocument.spreadsheetml.comments+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comments15.xml" ContentType="application/vnd.openxmlformats-officedocument.spreadsheetml.comments+xml"/>
  <Override PartName="/xl/externalLinks/externalLink20.xml" ContentType="application/vnd.openxmlformats-officedocument.spreadsheetml.externalLink+xml"/>
  <Override PartName="/xl/comments14.xml" ContentType="application/vnd.openxmlformats-officedocument.spreadsheetml.comments+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comments13.xml" ContentType="application/vnd.openxmlformats-officedocument.spreadsheetml.comments+xml"/>
  <Override PartName="/xl/comments9.xml" ContentType="application/vnd.openxmlformats-officedocument.spreadsheetml.comments+xml"/>
  <Override PartName="/xl/externalLinks/externalLink29.xml" ContentType="application/vnd.openxmlformats-officedocument.spreadsheetml.externalLink+xml"/>
  <Override PartName="/xl/externalLinks/externalLink36.xml" ContentType="application/vnd.openxmlformats-officedocument.spreadsheetml.externalLink+xml"/>
  <Override PartName="/xl/comments6.xml" ContentType="application/vnd.openxmlformats-officedocument.spreadsheetml.comments+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activeX/activeX3.bin" ContentType="application/vnd.ms-office.activeX"/>
  <Override PartName="/xl/activeX/activeX3.xml" ContentType="application/vnd.ms-office.activeX+xml"/>
  <Override PartName="/xl/externalLinks/externalLink37.xml" ContentType="application/vnd.openxmlformats-officedocument.spreadsheetml.externalLink+xml"/>
  <Override PartName="/xl/activeX/activeX2.xml" ContentType="application/vnd.ms-office.activeX+xml"/>
  <Override PartName="/xl/activeX/activeX2.bin" ContentType="application/vnd.ms-office.activeX"/>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activeX/activeX4.xml" ContentType="application/vnd.ms-office.activeX+xml"/>
  <Override PartName="/xl/activeX/activeX4.bin" ContentType="application/vnd.ms-office.activeX"/>
  <Override PartName="/xl/externalLinks/externalLink33.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comments8.xml" ContentType="application/vnd.openxmlformats-officedocument.spreadsheetml.comments+xml"/>
  <Override PartName="/xl/externalLinks/externalLink32.xml" ContentType="application/vnd.openxmlformats-officedocument.spreadsheetml.externalLink+xml"/>
  <Override PartName="/xl/comments7.xml" ContentType="application/vnd.openxmlformats-officedocument.spreadsheetml.comments+xml"/>
  <Override PartName="/xl/externalLinks/externalLink53.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20" windowWidth="15465" windowHeight="6375" tabRatio="892" firstSheet="17" activeTab="23"/>
  </bookViews>
  <sheets>
    <sheet name="2180 IS (C)" sheetId="2" r:id="rId1"/>
    <sheet name="2182 IS" sheetId="3" r:id="rId2"/>
    <sheet name="Converted IS (C)" sheetId="4" r:id="rId3"/>
    <sheet name="Reg by LOB" sheetId="31" r:id="rId4"/>
    <sheet name="Ratios (C)" sheetId="5" r:id="rId5"/>
    <sheet name="Restating Adj" sheetId="6" r:id="rId6"/>
    <sheet name="Interject_LastPulledValues" sheetId="7" state="hidden" r:id="rId7"/>
    <sheet name="Pro forma Adj" sheetId="13" r:id="rId8"/>
    <sheet name="Reg - Price Out " sheetId="8" r:id="rId9"/>
    <sheet name="JBLM Housing - Price Out" sheetId="9" r:id="rId10"/>
    <sheet name="FtL - Price Out" sheetId="10" r:id="rId11"/>
    <sheet name="LG UTC" sheetId="20" r:id="rId12"/>
    <sheet name="LG MSW" sheetId="22" r:id="rId13"/>
    <sheet name="LG Recycle" sheetId="36" r:id="rId14"/>
    <sheet name="LG YW" sheetId="37" r:id="rId15"/>
    <sheet name="Rate Sheet" sheetId="43" r:id="rId16"/>
    <sheet name="Deprec" sheetId="35" r:id="rId17"/>
    <sheet name="Payroll" sheetId="12" r:id="rId18"/>
    <sheet name="Disposal (C)" sheetId="11" r:id="rId19"/>
    <sheet name="MF Processing" sheetId="41" r:id="rId20"/>
    <sheet name="DVP-DivCon Allocs  (C)" sheetId="32" r:id="rId21"/>
    <sheet name="RegionOH (C)" sheetId="40" r:id="rId22"/>
    <sheet name="Corp OH (C)" sheetId="16" r:id="rId23"/>
    <sheet name="JE Query - 41121, 41129" sheetId="25" r:id="rId24"/>
    <sheet name="57125 JE Query" sheetId="26" r:id="rId25"/>
    <sheet name="70095 JE Query (C)" sheetId="38" r:id="rId26"/>
    <sheet name="70195 JE Query" sheetId="27" r:id="rId27"/>
    <sheet name="2180_BS 11-2019" sheetId="17" r:id="rId28"/>
    <sheet name="2180_BS 11-2018" sheetId="18" r:id="rId29"/>
    <sheet name="Corporate IS" sheetId="33" r:id="rId30"/>
    <sheet name="Corporate BS" sheetId="34"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D" localSheetId="20">#REF!</definedName>
    <definedName name="\D" localSheetId="13">#REF!</definedName>
    <definedName name="\D" localSheetId="14">#REF!</definedName>
    <definedName name="\D" localSheetId="3">#REF!</definedName>
    <definedName name="\D">#REF!</definedName>
    <definedName name="\S" localSheetId="20">#REF!</definedName>
    <definedName name="\S" localSheetId="13">#REF!</definedName>
    <definedName name="\S" localSheetId="14">#REF!</definedName>
    <definedName name="\S" localSheetId="3">#REF!</definedName>
    <definedName name="\S">#REF!</definedName>
    <definedName name="\Y" localSheetId="20">#REF!</definedName>
    <definedName name="\Y" localSheetId="13">#REF!</definedName>
    <definedName name="\Y" localSheetId="14">#REF!</definedName>
    <definedName name="\Y" localSheetId="3">#REF!</definedName>
    <definedName name="\Y">#REF!</definedName>
    <definedName name="_____________CYA1">[1]Hidden!$N$11</definedName>
    <definedName name="_____________CYA10">[1]Hidden!$E$11</definedName>
    <definedName name="_____________CYA11">[1]Hidden!$P$11</definedName>
    <definedName name="_____________CYA2">[1]Hidden!$M$11</definedName>
    <definedName name="_____________CYA3">[1]Hidden!$L$11</definedName>
    <definedName name="_____________CYA4">[1]Hidden!$K$11</definedName>
    <definedName name="_____________CYA5">[1]Hidden!$J$11</definedName>
    <definedName name="_____________CYA6">[1]Hidden!$I$11</definedName>
    <definedName name="_____________CYA7">[1]Hidden!$H$11</definedName>
    <definedName name="_____________CYA8">[1]Hidden!$G$11</definedName>
    <definedName name="_____________CYA9">[1]Hidden!$F$11</definedName>
    <definedName name="_____________LYA12">[1]Hidden!$O$11</definedName>
    <definedName name="____________CYA1">[1]Hidden!$N$11</definedName>
    <definedName name="____________CYA10">[1]Hidden!$E$11</definedName>
    <definedName name="____________CYA11">[1]Hidden!$P$11</definedName>
    <definedName name="____________CYA2">[1]Hidden!$M$11</definedName>
    <definedName name="____________CYA3">[1]Hidden!$L$11</definedName>
    <definedName name="____________CYA4">[1]Hidden!$K$11</definedName>
    <definedName name="____________CYA5">[1]Hidden!$J$11</definedName>
    <definedName name="____________CYA6">[1]Hidden!$I$11</definedName>
    <definedName name="____________CYA7">[1]Hidden!$H$11</definedName>
    <definedName name="____________CYA8">[1]Hidden!$G$11</definedName>
    <definedName name="____________CYA9">[1]Hidden!$F$11</definedName>
    <definedName name="____________LYA12">[1]Hidden!$O$11</definedName>
    <definedName name="___________CYA1">[1]Hidden!$N$11</definedName>
    <definedName name="___________CYA10">[1]Hidden!$E$11</definedName>
    <definedName name="___________CYA11">[1]Hidden!$P$11</definedName>
    <definedName name="___________CYA2">[1]Hidden!$M$11</definedName>
    <definedName name="___________CYA3">[1]Hidden!$L$11</definedName>
    <definedName name="___________CYA4">[1]Hidden!$K$11</definedName>
    <definedName name="___________CYA5">[1]Hidden!$J$11</definedName>
    <definedName name="___________CYA6">[1]Hidden!$I$11</definedName>
    <definedName name="___________CYA7">[1]Hidden!$H$11</definedName>
    <definedName name="___________CYA8">[1]Hidden!$G$11</definedName>
    <definedName name="___________CYA9">[1]Hidden!$F$11</definedName>
    <definedName name="___________LYA12">[1]Hidden!$O$11</definedName>
    <definedName name="__________CYA1">[1]Hidden!$N$11</definedName>
    <definedName name="__________CYA10">[1]Hidden!$E$11</definedName>
    <definedName name="__________CYA11">[1]Hidden!$P$11</definedName>
    <definedName name="__________CYA2">[1]Hidden!$M$11</definedName>
    <definedName name="__________CYA3">[1]Hidden!$L$11</definedName>
    <definedName name="__________CYA4">[1]Hidden!$K$11</definedName>
    <definedName name="__________CYA5">[1]Hidden!$J$11</definedName>
    <definedName name="__________CYA6">[1]Hidden!$I$11</definedName>
    <definedName name="__________CYA7">[1]Hidden!$H$11</definedName>
    <definedName name="__________CYA8">[1]Hidden!$G$11</definedName>
    <definedName name="__________CYA9">[1]Hidden!$F$11</definedName>
    <definedName name="__________LYA12">[1]Hidden!$O$11</definedName>
    <definedName name="_________CYA1">[1]Hidden!$N$11</definedName>
    <definedName name="_________CYA10">[1]Hidden!$E$11</definedName>
    <definedName name="_________CYA11">[1]Hidden!$P$11</definedName>
    <definedName name="_________CYA2">[1]Hidden!$M$11</definedName>
    <definedName name="_________CYA3">[1]Hidden!$L$11</definedName>
    <definedName name="_________CYA4">[1]Hidden!$K$11</definedName>
    <definedName name="_________CYA5">[1]Hidden!$J$11</definedName>
    <definedName name="_________CYA6">[1]Hidden!$I$11</definedName>
    <definedName name="_________CYA7">[1]Hidden!$H$11</definedName>
    <definedName name="_________CYA8">[1]Hidden!$G$11</definedName>
    <definedName name="_________CYA9">[1]Hidden!$F$11</definedName>
    <definedName name="_________LYA12">[1]Hidden!$O$11</definedName>
    <definedName name="________CYA1">[1]Hidden!$N$11</definedName>
    <definedName name="________CYA10">[1]Hidden!$E$11</definedName>
    <definedName name="________CYA11">[1]Hidden!$P$11</definedName>
    <definedName name="________CYA2">[1]Hidden!$M$11</definedName>
    <definedName name="________CYA3">[1]Hidden!$L$11</definedName>
    <definedName name="________CYA4">[1]Hidden!$K$11</definedName>
    <definedName name="________CYA5">[1]Hidden!$J$11</definedName>
    <definedName name="________CYA6">[1]Hidden!$I$11</definedName>
    <definedName name="________CYA7">[1]Hidden!$H$11</definedName>
    <definedName name="________CYA8">[1]Hidden!$G$11</definedName>
    <definedName name="________CYA9">[1]Hidden!$F$11</definedName>
    <definedName name="________LYA12">[1]Hidden!$O$11</definedName>
    <definedName name="_______CYA1">[1]Hidden!$N$11</definedName>
    <definedName name="_______CYA10">[1]Hidden!$E$11</definedName>
    <definedName name="_______CYA11">[1]Hidden!$P$11</definedName>
    <definedName name="_______CYA2">[1]Hidden!$M$11</definedName>
    <definedName name="_______CYA3">[1]Hidden!$L$11</definedName>
    <definedName name="_______CYA4">[1]Hidden!$K$11</definedName>
    <definedName name="_______CYA5">[1]Hidden!$J$11</definedName>
    <definedName name="_______CYA6">[1]Hidden!$I$11</definedName>
    <definedName name="_______CYA7">[1]Hidden!$H$11</definedName>
    <definedName name="_______CYA8">[1]Hidden!$G$11</definedName>
    <definedName name="_______CYA9">[1]Hidden!$F$11</definedName>
    <definedName name="_______LYA12">[1]Hidden!$O$11</definedName>
    <definedName name="______CYA1">[1]Hidden!$N$11</definedName>
    <definedName name="______CYA10">[1]Hidden!$E$11</definedName>
    <definedName name="______CYA11">[1]Hidden!$P$11</definedName>
    <definedName name="______CYA2">[1]Hidden!$M$11</definedName>
    <definedName name="______CYA3">[1]Hidden!$L$11</definedName>
    <definedName name="______CYA4">[1]Hidden!$K$11</definedName>
    <definedName name="______CYA5">[1]Hidden!$J$11</definedName>
    <definedName name="______CYA6">[1]Hidden!$I$11</definedName>
    <definedName name="______CYA7">[1]Hidden!$H$11</definedName>
    <definedName name="______CYA8">[1]Hidden!$G$11</definedName>
    <definedName name="______CYA9">[1]Hidden!$F$11</definedName>
    <definedName name="______LYA12">[1]Hidden!$O$11</definedName>
    <definedName name="_____CYA1">[1]Hidden!$N$11</definedName>
    <definedName name="_____CYA10">[1]Hidden!$E$11</definedName>
    <definedName name="_____CYA11">[1]Hidden!$P$11</definedName>
    <definedName name="_____CYA2">[1]Hidden!$M$11</definedName>
    <definedName name="_____CYA3">[1]Hidden!$L$11</definedName>
    <definedName name="_____CYA4">[1]Hidden!$K$11</definedName>
    <definedName name="_____CYA5">[1]Hidden!$J$11</definedName>
    <definedName name="_____CYA6">[1]Hidden!$I$11</definedName>
    <definedName name="_____CYA7">[1]Hidden!$H$11</definedName>
    <definedName name="_____CYA8">[1]Hidden!$G$11</definedName>
    <definedName name="_____CYA9">[1]Hidden!$F$11</definedName>
    <definedName name="_____LYA12">[1]Hidden!$O$11</definedName>
    <definedName name="____CYA1">[1]Hidden!$N$11</definedName>
    <definedName name="____CYA10">[1]Hidden!$E$11</definedName>
    <definedName name="____CYA11">[1]Hidden!$P$11</definedName>
    <definedName name="____CYA2">[1]Hidden!$M$11</definedName>
    <definedName name="____CYA3">[1]Hidden!$L$11</definedName>
    <definedName name="____CYA4">[1]Hidden!$K$11</definedName>
    <definedName name="____CYA5">[1]Hidden!$J$11</definedName>
    <definedName name="____CYA6">[1]Hidden!$I$11</definedName>
    <definedName name="____CYA7">[1]Hidden!$H$11</definedName>
    <definedName name="____CYA8">[1]Hidden!$G$11</definedName>
    <definedName name="____CYA9">[1]Hidden!$F$11</definedName>
    <definedName name="____LYA12">[1]Hidden!$O$11</definedName>
    <definedName name="___CYA1">[1]Hidden!$N$11</definedName>
    <definedName name="___CYA10">[1]Hidden!$E$11</definedName>
    <definedName name="___CYA11">[1]Hidden!$P$11</definedName>
    <definedName name="___CYA2">[1]Hidden!$M$11</definedName>
    <definedName name="___CYA3">[1]Hidden!$L$11</definedName>
    <definedName name="___CYA4">[1]Hidden!$K$11</definedName>
    <definedName name="___CYA5">[1]Hidden!$J$11</definedName>
    <definedName name="___CYA6">[1]Hidden!$I$11</definedName>
    <definedName name="___CYA7">[1]Hidden!$H$11</definedName>
    <definedName name="___CYA8">[1]Hidden!$G$11</definedName>
    <definedName name="___CYA9">[1]Hidden!$F$11</definedName>
    <definedName name="___LYA12">[1]Hidden!$O$11</definedName>
    <definedName name="__ACT1">[2]Hidden!#REF!</definedName>
    <definedName name="__ACT2">[2]Hidden!#REF!</definedName>
    <definedName name="__ACT3">[2]Hidden!#REF!</definedName>
    <definedName name="__CYA1">[1]Hidden!$N$11</definedName>
    <definedName name="__CYA10">[1]Hidden!$E$11</definedName>
    <definedName name="__CYA11">[1]Hidden!$P$11</definedName>
    <definedName name="__CYA2">[1]Hidden!$M$11</definedName>
    <definedName name="__CYA3">[1]Hidden!$L$11</definedName>
    <definedName name="__CYA4">[1]Hidden!$K$11</definedName>
    <definedName name="__CYA5">[1]Hidden!$J$11</definedName>
    <definedName name="__CYA6">[1]Hidden!$I$11</definedName>
    <definedName name="__CYA7">[1]Hidden!$H$11</definedName>
    <definedName name="__CYA8">[1]Hidden!$G$11</definedName>
    <definedName name="__CYA9">[1]Hidden!$F$11</definedName>
    <definedName name="__LYA12">[1]Hidden!$O$11</definedName>
    <definedName name="_123Graph_g" hidden="1">'[3]#REF'!$F$9:$F$83</definedName>
    <definedName name="_132" hidden="1">[4]XXXXXX!$B$10:$B$10</definedName>
    <definedName name="_132Graph_h" localSheetId="22" hidden="1">#REF!</definedName>
    <definedName name="_132Graph_h" localSheetId="20" hidden="1">#REF!</definedName>
    <definedName name="_132Graph_h" localSheetId="12" hidden="1">#REF!</definedName>
    <definedName name="_132Graph_h" localSheetId="13" hidden="1">#REF!</definedName>
    <definedName name="_132Graph_h" localSheetId="11" hidden="1">#REF!</definedName>
    <definedName name="_132Graph_h" localSheetId="14" hidden="1">#REF!</definedName>
    <definedName name="_132Graph_h" localSheetId="17" hidden="1">#REF!</definedName>
    <definedName name="_132Graph_h" localSheetId="15" hidden="1">#REF!</definedName>
    <definedName name="_132Graph_h" localSheetId="3" hidden="1">#REF!</definedName>
    <definedName name="_132Graph_h" hidden="1">#REF!</definedName>
    <definedName name="_ACT1" localSheetId="1">[2]Hidden!#REF!</definedName>
    <definedName name="_ACT1" localSheetId="22">[5]Hidden!#REF!</definedName>
    <definedName name="_ACT1" localSheetId="20">[2]Hidden!#REF!</definedName>
    <definedName name="_ACT1" localSheetId="12">[2]Hidden!#REF!</definedName>
    <definedName name="_ACT1" localSheetId="13">[2]Hidden!#REF!</definedName>
    <definedName name="_ACT1" localSheetId="11">[2]Hidden!#REF!</definedName>
    <definedName name="_ACT1" localSheetId="14">[2]Hidden!#REF!</definedName>
    <definedName name="_ACT1" localSheetId="17">[2]Hidden!#REF!</definedName>
    <definedName name="_ACT1" localSheetId="15">[6]Hidden!#REF!</definedName>
    <definedName name="_ACT1" localSheetId="3">[2]Hidden!#REF!</definedName>
    <definedName name="_ACT1" localSheetId="21">[2]Hidden!#REF!</definedName>
    <definedName name="_ACT1">[2]Hidden!#REF!</definedName>
    <definedName name="_ACT2" localSheetId="1">[2]Hidden!#REF!</definedName>
    <definedName name="_ACT2" localSheetId="22">[5]Hidden!#REF!</definedName>
    <definedName name="_ACT2" localSheetId="20">[2]Hidden!#REF!</definedName>
    <definedName name="_ACT2" localSheetId="12">[2]Hidden!#REF!</definedName>
    <definedName name="_ACT2" localSheetId="13">[2]Hidden!#REF!</definedName>
    <definedName name="_ACT2" localSheetId="11">[2]Hidden!#REF!</definedName>
    <definedName name="_ACT2" localSheetId="14">[2]Hidden!#REF!</definedName>
    <definedName name="_ACT2" localSheetId="17">[2]Hidden!#REF!</definedName>
    <definedName name="_ACT2" localSheetId="15">[6]Hidden!#REF!</definedName>
    <definedName name="_ACT2" localSheetId="3">[2]Hidden!#REF!</definedName>
    <definedName name="_ACT2">[2]Hidden!#REF!</definedName>
    <definedName name="_ACT3" localSheetId="1">[2]Hidden!#REF!</definedName>
    <definedName name="_ACT3" localSheetId="22">[5]Hidden!#REF!</definedName>
    <definedName name="_ACT3" localSheetId="20">[2]Hidden!#REF!</definedName>
    <definedName name="_ACT3" localSheetId="12">[2]Hidden!#REF!</definedName>
    <definedName name="_ACT3" localSheetId="13">[2]Hidden!#REF!</definedName>
    <definedName name="_ACT3" localSheetId="11">[2]Hidden!#REF!</definedName>
    <definedName name="_ACT3" localSheetId="14">[2]Hidden!#REF!</definedName>
    <definedName name="_ACT3" localSheetId="15">[6]Hidden!#REF!</definedName>
    <definedName name="_ACT3" localSheetId="3">[2]Hidden!#REF!</definedName>
    <definedName name="_ACT3">[2]Hidden!#REF!</definedName>
    <definedName name="_COS1" localSheetId="1">#REF!</definedName>
    <definedName name="_COS1" localSheetId="20">#REF!</definedName>
    <definedName name="_COS1" localSheetId="12">#REF!</definedName>
    <definedName name="_COS1" localSheetId="13">#REF!</definedName>
    <definedName name="_COS1" localSheetId="11">#REF!</definedName>
    <definedName name="_COS1" localSheetId="14">#REF!</definedName>
    <definedName name="_COS1" localSheetId="17">#REF!</definedName>
    <definedName name="_COS1" localSheetId="3">#REF!</definedName>
    <definedName name="_COS1">#REF!</definedName>
    <definedName name="_COS2" localSheetId="1">#REF!</definedName>
    <definedName name="_COS2" localSheetId="20">#REF!</definedName>
    <definedName name="_COS2" localSheetId="12">#REF!</definedName>
    <definedName name="_COS2" localSheetId="13">#REF!</definedName>
    <definedName name="_COS2" localSheetId="11">#REF!</definedName>
    <definedName name="_COS2" localSheetId="14">#REF!</definedName>
    <definedName name="_COS2" localSheetId="17">#REF!</definedName>
    <definedName name="_COS2" localSheetId="3">#REF!</definedName>
    <definedName name="_COS2">#REF!</definedName>
    <definedName name="_CYA1">[1]Hidden!$N$11</definedName>
    <definedName name="_CYA10">[1]Hidden!$E$11</definedName>
    <definedName name="_CYA11">[1]Hidden!$P$11</definedName>
    <definedName name="_CYA2">[1]Hidden!$M$11</definedName>
    <definedName name="_CYA3">[1]Hidden!$L$11</definedName>
    <definedName name="_CYA4">[1]Hidden!$K$11</definedName>
    <definedName name="_CYA5">[1]Hidden!$J$11</definedName>
    <definedName name="_CYA6">[1]Hidden!$I$11</definedName>
    <definedName name="_CYA7">[1]Hidden!$H$11</definedName>
    <definedName name="_CYA8">[1]Hidden!$G$11</definedName>
    <definedName name="_CYA9">[1]Hidden!$F$11</definedName>
    <definedName name="_Fill" localSheetId="22" hidden="1">#REF!</definedName>
    <definedName name="_Fill" localSheetId="20" hidden="1">#REF!</definedName>
    <definedName name="_Fill" localSheetId="12" hidden="1">#REF!</definedName>
    <definedName name="_Fill" localSheetId="13" hidden="1">#REF!</definedName>
    <definedName name="_Fill" localSheetId="11" hidden="1">#REF!</definedName>
    <definedName name="_Fill" localSheetId="14" hidden="1">#REF!</definedName>
    <definedName name="_Fill" localSheetId="17" hidden="1">#REF!</definedName>
    <definedName name="_Fill" localSheetId="15" hidden="1">#REF!</definedName>
    <definedName name="_Fill" localSheetId="3" hidden="1">#REF!</definedName>
    <definedName name="_Fill" hidden="1">#REF!</definedName>
    <definedName name="_xlnm._FilterDatabase" localSheetId="24" hidden="1">'57125 JE Query'!$B$19:$AQ$81</definedName>
    <definedName name="_xlnm._FilterDatabase" localSheetId="25" hidden="1">'70095 JE Query (C)'!$B$19:$AQ$20</definedName>
    <definedName name="_xlnm._FilterDatabase" localSheetId="26" hidden="1">'70195 JE Query'!$B$19:$AQ$20</definedName>
    <definedName name="_xlnm._FilterDatabase" localSheetId="10" hidden="1">'FtL - Price Out'!#REF!</definedName>
    <definedName name="_xlnm._FilterDatabase" localSheetId="23" hidden="1">'JE Query - 41121, 41129'!$B$19:$AQ$20</definedName>
    <definedName name="_xlnm._FilterDatabase" localSheetId="17" hidden="1">Payroll!$A$13:$U$264</definedName>
    <definedName name="_xlnm._FilterDatabase" localSheetId="8" hidden="1">'Reg - Price Out '!#REF!</definedName>
    <definedName name="_Key1" localSheetId="22" hidden="1">#REF!</definedName>
    <definedName name="_Key1" localSheetId="20" hidden="1">#REF!</definedName>
    <definedName name="_Key1" localSheetId="12" hidden="1">#REF!</definedName>
    <definedName name="_Key1" localSheetId="13" hidden="1">#REF!</definedName>
    <definedName name="_Key1" localSheetId="11" hidden="1">#REF!</definedName>
    <definedName name="_Key1" localSheetId="14" hidden="1">#REF!</definedName>
    <definedName name="_Key1" localSheetId="17" hidden="1">#REF!</definedName>
    <definedName name="_Key1" localSheetId="15" hidden="1">#REF!</definedName>
    <definedName name="_Key1" localSheetId="3" hidden="1">#REF!</definedName>
    <definedName name="_Key1" hidden="1">#REF!</definedName>
    <definedName name="_Key2" hidden="1">'[3]#REF'!$D$12</definedName>
    <definedName name="_key5" hidden="1">[4]XXXXXX!$H$10</definedName>
    <definedName name="_LYA12">[1]Hidden!$O$11</definedName>
    <definedName name="_max" localSheetId="22" hidden="1">#REF!</definedName>
    <definedName name="_max" localSheetId="20" hidden="1">#REF!</definedName>
    <definedName name="_max" localSheetId="12" hidden="1">#REF!</definedName>
    <definedName name="_max" localSheetId="13" hidden="1">#REF!</definedName>
    <definedName name="_max" localSheetId="11" hidden="1">#REF!</definedName>
    <definedName name="_max" localSheetId="14" hidden="1">#REF!</definedName>
    <definedName name="_max" localSheetId="17" hidden="1">#REF!</definedName>
    <definedName name="_max" localSheetId="15" hidden="1">#REF!</definedName>
    <definedName name="_max" localSheetId="3" hidden="1">#REF!</definedName>
    <definedName name="_max" hidden="1">#REF!</definedName>
    <definedName name="_Mon" localSheetId="22" hidden="1">#REF!</definedName>
    <definedName name="_Mon" localSheetId="20" hidden="1">#REF!</definedName>
    <definedName name="_Mon" localSheetId="12" hidden="1">#REF!</definedName>
    <definedName name="_Mon" localSheetId="13" hidden="1">#REF!</definedName>
    <definedName name="_Mon" localSheetId="11" hidden="1">#REF!</definedName>
    <definedName name="_Mon" localSheetId="14" hidden="1">#REF!</definedName>
    <definedName name="_Mon" localSheetId="17" hidden="1">#REF!</definedName>
    <definedName name="_Mon" localSheetId="15" hidden="1">#REF!</definedName>
    <definedName name="_Mon" localSheetId="3" hidden="1">#REF!</definedName>
    <definedName name="_Mon" hidden="1">#REF!</definedName>
    <definedName name="_Order1" hidden="1">255</definedName>
    <definedName name="_Order2" hidden="1">255</definedName>
    <definedName name="_Order3" hidden="1">0</definedName>
    <definedName name="_Sort" localSheetId="22" hidden="1">#REF!</definedName>
    <definedName name="_Sort" localSheetId="20" hidden="1">#REF!</definedName>
    <definedName name="_Sort" localSheetId="12" hidden="1">#REF!</definedName>
    <definedName name="_Sort" localSheetId="13" hidden="1">#REF!</definedName>
    <definedName name="_Sort" localSheetId="11" hidden="1">#REF!</definedName>
    <definedName name="_Sort" localSheetId="14" hidden="1">#REF!</definedName>
    <definedName name="_Sort" localSheetId="17" hidden="1">#REF!</definedName>
    <definedName name="_Sort" localSheetId="15" hidden="1">#REF!</definedName>
    <definedName name="_Sort" localSheetId="3" hidden="1">#REF!</definedName>
    <definedName name="_Sort" hidden="1">#REF!</definedName>
    <definedName name="_Sort1" hidden="1">'[3]#REF'!$A$10:$Z$281</definedName>
    <definedName name="_sort3" hidden="1">[4]XXXXXX!$G$10:$J$11</definedName>
    <definedName name="a" localSheetId="1">#REF!</definedName>
    <definedName name="a" localSheetId="20">#REF!</definedName>
    <definedName name="a" localSheetId="12">#REF!</definedName>
    <definedName name="a" localSheetId="13">#REF!</definedName>
    <definedName name="a" localSheetId="11">#REF!</definedName>
    <definedName name="a" localSheetId="14">#REF!</definedName>
    <definedName name="a" localSheetId="17">#REF!</definedName>
    <definedName name="a" localSheetId="3">#REF!</definedName>
    <definedName name="a">#REF!</definedName>
    <definedName name="Accounts" localSheetId="24">'57125 JE Query'!$M$13</definedName>
    <definedName name="Accounts" localSheetId="25">'70095 JE Query (C)'!$M$13</definedName>
    <definedName name="Accounts" localSheetId="26">'70195 JE Query'!$M$13</definedName>
    <definedName name="Accounts" localSheetId="20">#REF!</definedName>
    <definedName name="Accounts" localSheetId="23">'JE Query - 41121, 41129'!$M$13</definedName>
    <definedName name="Accounts" localSheetId="12">#REF!</definedName>
    <definedName name="Accounts" localSheetId="13">#REF!</definedName>
    <definedName name="Accounts" localSheetId="11">#REF!</definedName>
    <definedName name="Accounts" localSheetId="14">#REF!</definedName>
    <definedName name="Accounts" localSheetId="17">#REF!</definedName>
    <definedName name="Accounts" localSheetId="15">#REF!</definedName>
    <definedName name="Accounts" localSheetId="3">#REF!</definedName>
    <definedName name="Accounts">#REF!</definedName>
    <definedName name="ACCT" localSheetId="22">[5]Hidden!#REF!</definedName>
    <definedName name="ACCT" localSheetId="20">[2]Hidden!#REF!</definedName>
    <definedName name="ACCT" localSheetId="17">[2]Hidden!#REF!</definedName>
    <definedName name="ACCT" localSheetId="15">[6]Hidden!#REF!</definedName>
    <definedName name="ACCT" localSheetId="21">[2]Hidden!#REF!</definedName>
    <definedName name="ACCT">[1]Hidden!$D$11</definedName>
    <definedName name="ACCT.ConsolSum">[1]Hidden!$Q$11</definedName>
    <definedName name="ACT_CUR" localSheetId="1">[2]Hidden!#REF!</definedName>
    <definedName name="ACT_CUR" localSheetId="22">[5]Hidden!#REF!</definedName>
    <definedName name="ACT_CUR" localSheetId="20">[2]Hidden!#REF!</definedName>
    <definedName name="ACT_CUR" localSheetId="12">[2]Hidden!#REF!</definedName>
    <definedName name="ACT_CUR" localSheetId="13">[2]Hidden!#REF!</definedName>
    <definedName name="ACT_CUR" localSheetId="11">[2]Hidden!#REF!</definedName>
    <definedName name="ACT_CUR" localSheetId="14">[2]Hidden!#REF!</definedName>
    <definedName name="ACT_CUR" localSheetId="17">[2]Hidden!#REF!</definedName>
    <definedName name="ACT_CUR" localSheetId="15">[6]Hidden!#REF!</definedName>
    <definedName name="ACT_CUR" localSheetId="3">[2]Hidden!#REF!</definedName>
    <definedName name="ACT_CUR">[2]Hidden!#REF!</definedName>
    <definedName name="ACT_YTD" localSheetId="1">[2]Hidden!#REF!</definedName>
    <definedName name="ACT_YTD" localSheetId="22">[5]Hidden!#REF!</definedName>
    <definedName name="ACT_YTD" localSheetId="20">[2]Hidden!#REF!</definedName>
    <definedName name="ACT_YTD" localSheetId="12">[2]Hidden!#REF!</definedName>
    <definedName name="ACT_YTD" localSheetId="13">[2]Hidden!#REF!</definedName>
    <definedName name="ACT_YTD" localSheetId="11">[2]Hidden!#REF!</definedName>
    <definedName name="ACT_YTD" localSheetId="14">[2]Hidden!#REF!</definedName>
    <definedName name="ACT_YTD" localSheetId="17">[2]Hidden!#REF!</definedName>
    <definedName name="ACT_YTD" localSheetId="15">[6]Hidden!#REF!</definedName>
    <definedName name="ACT_YTD" localSheetId="3">[2]Hidden!#REF!</definedName>
    <definedName name="ACT_YTD">[2]Hidden!#REF!</definedName>
    <definedName name="afsdfsdfsd" localSheetId="20">#REF!</definedName>
    <definedName name="afsdfsdfsd" localSheetId="12">#REF!</definedName>
    <definedName name="afsdfsdfsd" localSheetId="13">#REF!</definedName>
    <definedName name="afsdfsdfsd" localSheetId="11">#REF!</definedName>
    <definedName name="afsdfsdfsd" localSheetId="14">#REF!</definedName>
    <definedName name="afsdfsdfsd" localSheetId="17">#REF!</definedName>
    <definedName name="afsdfsdfsd" localSheetId="15">#REF!</definedName>
    <definedName name="afsdfsdfsd" localSheetId="3">#REF!</definedName>
    <definedName name="afsdfsdfsd">#REF!</definedName>
    <definedName name="AmountCount" localSheetId="1">#REF!</definedName>
    <definedName name="AmountCount" localSheetId="22">#REF!</definedName>
    <definedName name="AmountCount" localSheetId="20">#REF!</definedName>
    <definedName name="AmountCount" localSheetId="12">#REF!</definedName>
    <definedName name="AmountCount" localSheetId="13">#REF!</definedName>
    <definedName name="AmountCount" localSheetId="11">#REF!</definedName>
    <definedName name="AmountCount" localSheetId="14">#REF!</definedName>
    <definedName name="AmountCount" localSheetId="17">#REF!</definedName>
    <definedName name="AmountCount" localSheetId="15">#REF!</definedName>
    <definedName name="AmountCount" localSheetId="3">#REF!</definedName>
    <definedName name="AmountCount">#REF!</definedName>
    <definedName name="AmountCount1" localSheetId="20">#REF!</definedName>
    <definedName name="AmountCount1" localSheetId="13">#REF!</definedName>
    <definedName name="AmountCount1" localSheetId="14">#REF!</definedName>
    <definedName name="AmountCount1" localSheetId="17">#REF!</definedName>
    <definedName name="AmountCount1" localSheetId="3">#REF!</definedName>
    <definedName name="AmountCount1">#REF!</definedName>
    <definedName name="AmountFrom" localSheetId="24">'57125 JE Query'!$P$13</definedName>
    <definedName name="AmountFrom" localSheetId="25">'70095 JE Query (C)'!$P$13</definedName>
    <definedName name="AmountFrom" localSheetId="26">'70195 JE Query'!$P$13</definedName>
    <definedName name="AmountFrom" localSheetId="20">#REF!</definedName>
    <definedName name="AmountFrom" localSheetId="23">'JE Query - 41121, 41129'!$P$13</definedName>
    <definedName name="AmountFrom" localSheetId="12">#REF!</definedName>
    <definedName name="AmountFrom" localSheetId="13">#REF!</definedName>
    <definedName name="AmountFrom" localSheetId="11">#REF!</definedName>
    <definedName name="AmountFrom" localSheetId="14">#REF!</definedName>
    <definedName name="AmountFrom" localSheetId="17">#REF!</definedName>
    <definedName name="AmountFrom" localSheetId="15">#REF!</definedName>
    <definedName name="AmountFrom" localSheetId="3">#REF!</definedName>
    <definedName name="AmountFrom">#REF!</definedName>
    <definedName name="AmountTo" localSheetId="24">'57125 JE Query'!$P$14</definedName>
    <definedName name="AmountTo" localSheetId="25">'70095 JE Query (C)'!$P$14</definedName>
    <definedName name="AmountTo" localSheetId="26">'70195 JE Query'!$P$14</definedName>
    <definedName name="AmountTo" localSheetId="20">#REF!</definedName>
    <definedName name="AmountTo" localSheetId="23">'JE Query - 41121, 41129'!$P$14</definedName>
    <definedName name="AmountTo" localSheetId="12">#REF!</definedName>
    <definedName name="AmountTo" localSheetId="13">#REF!</definedName>
    <definedName name="AmountTo" localSheetId="11">#REF!</definedName>
    <definedName name="AmountTo" localSheetId="14">#REF!</definedName>
    <definedName name="AmountTo" localSheetId="17">#REF!</definedName>
    <definedName name="AmountTo" localSheetId="15">#REF!</definedName>
    <definedName name="AmountTo" localSheetId="3">#REF!</definedName>
    <definedName name="AmountTo">#REF!</definedName>
    <definedName name="AmountTotal" localSheetId="1">#REF!</definedName>
    <definedName name="AmountTotal" localSheetId="22">#REF!</definedName>
    <definedName name="AmountTotal" localSheetId="20">#REF!</definedName>
    <definedName name="AmountTotal" localSheetId="12">#REF!</definedName>
    <definedName name="AmountTotal" localSheetId="13">#REF!</definedName>
    <definedName name="AmountTotal" localSheetId="11">#REF!</definedName>
    <definedName name="AmountTotal" localSheetId="14">#REF!</definedName>
    <definedName name="AmountTotal" localSheetId="17">#REF!</definedName>
    <definedName name="AmountTotal" localSheetId="15">#REF!</definedName>
    <definedName name="AmountTotal" localSheetId="3">#REF!</definedName>
    <definedName name="AmountTotal">#REF!</definedName>
    <definedName name="AmountTotal1" localSheetId="20">#REF!</definedName>
    <definedName name="AmountTotal1" localSheetId="13">#REF!</definedName>
    <definedName name="AmountTotal1" localSheetId="14">#REF!</definedName>
    <definedName name="AmountTotal1" localSheetId="17">#REF!</definedName>
    <definedName name="AmountTotal1" localSheetId="3">#REF!</definedName>
    <definedName name="AmountTotal1">#REF!</definedName>
    <definedName name="BookRev" localSheetId="22">'[7]Pacific Regulated - Price Out'!$F$50</definedName>
    <definedName name="BookRev" localSheetId="20">'[8]Pacific Regulated - Price Out'!$F$50</definedName>
    <definedName name="BookRev" localSheetId="17">'[9]Pacific Regulated - Price Out'!$F$50</definedName>
    <definedName name="BookRev" localSheetId="15">'[10]Pacific Regulated - Price Out'!$F$50</definedName>
    <definedName name="BookRev">'[8]Pacific Regulated - Price Out'!$F$50</definedName>
    <definedName name="BookRev_com" localSheetId="22">'[7]Pacific Regulated - Price Out'!$F$214</definedName>
    <definedName name="BookRev_com" localSheetId="20">'[8]Pacific Regulated - Price Out'!$F$214</definedName>
    <definedName name="BookRev_com" localSheetId="17">'[9]Pacific Regulated - Price Out'!$F$214</definedName>
    <definedName name="BookRev_com" localSheetId="15">'[10]Pacific Regulated - Price Out'!$F$214</definedName>
    <definedName name="BookRev_com">'[8]Pacific Regulated - Price Out'!$F$214</definedName>
    <definedName name="BookRev_mfr" localSheetId="22">'[7]Pacific Regulated - Price Out'!$F$222</definedName>
    <definedName name="BookRev_mfr" localSheetId="20">'[8]Pacific Regulated - Price Out'!$F$222</definedName>
    <definedName name="BookRev_mfr" localSheetId="17">'[9]Pacific Regulated - Price Out'!$F$222</definedName>
    <definedName name="BookRev_mfr" localSheetId="15">'[10]Pacific Regulated - Price Out'!$F$222</definedName>
    <definedName name="BookRev_mfr">'[8]Pacific Regulated - Price Out'!$F$222</definedName>
    <definedName name="BookRev_ro" localSheetId="22">'[7]Pacific Regulated - Price Out'!$F$282</definedName>
    <definedName name="BookRev_ro" localSheetId="20">'[8]Pacific Regulated - Price Out'!$F$282</definedName>
    <definedName name="BookRev_ro" localSheetId="17">'[9]Pacific Regulated - Price Out'!$F$282</definedName>
    <definedName name="BookRev_ro" localSheetId="15">'[10]Pacific Regulated - Price Out'!$F$282</definedName>
    <definedName name="BookRev_ro">'[8]Pacific Regulated - Price Out'!$F$282</definedName>
    <definedName name="BookRev_rr" localSheetId="22">'[7]Pacific Regulated - Price Out'!$F$59</definedName>
    <definedName name="BookRev_rr" localSheetId="20">'[8]Pacific Regulated - Price Out'!$F$59</definedName>
    <definedName name="BookRev_rr" localSheetId="17">'[9]Pacific Regulated - Price Out'!$F$59</definedName>
    <definedName name="BookRev_rr" localSheetId="15">'[10]Pacific Regulated - Price Out'!$F$59</definedName>
    <definedName name="BookRev_rr">'[8]Pacific Regulated - Price Out'!$F$59</definedName>
    <definedName name="BookRev_yw" localSheetId="22">'[7]Pacific Regulated - Price Out'!$F$70</definedName>
    <definedName name="BookRev_yw" localSheetId="20">'[8]Pacific Regulated - Price Out'!$F$70</definedName>
    <definedName name="BookRev_yw" localSheetId="17">'[9]Pacific Regulated - Price Out'!$F$70</definedName>
    <definedName name="BookRev_yw" localSheetId="15">'[10]Pacific Regulated - Price Out'!$F$70</definedName>
    <definedName name="BookRev_yw">'[8]Pacific Regulated - Price Out'!$F$70</definedName>
    <definedName name="BREMAIR_COST_of_SERVICE_STUDY" localSheetId="1">#REF!</definedName>
    <definedName name="BREMAIR_COST_of_SERVICE_STUDY" localSheetId="22">#REF!</definedName>
    <definedName name="BREMAIR_COST_of_SERVICE_STUDY" localSheetId="20">#REF!</definedName>
    <definedName name="BREMAIR_COST_of_SERVICE_STUDY" localSheetId="12">#REF!</definedName>
    <definedName name="BREMAIR_COST_of_SERVICE_STUDY" localSheetId="13">#REF!</definedName>
    <definedName name="BREMAIR_COST_of_SERVICE_STUDY" localSheetId="11">#REF!</definedName>
    <definedName name="BREMAIR_COST_of_SERVICE_STUDY" localSheetId="14">#REF!</definedName>
    <definedName name="BREMAIR_COST_of_SERVICE_STUDY" localSheetId="17">#REF!</definedName>
    <definedName name="BREMAIR_COST_of_SERVICE_STUDY" localSheetId="15">#REF!</definedName>
    <definedName name="BREMAIR_COST_of_SERVICE_STUDY" localSheetId="3">#REF!</definedName>
    <definedName name="BREMAIR_COST_of_SERVICE_STUDY">#REF!</definedName>
    <definedName name="BUD_CUR" localSheetId="1">[2]Hidden!#REF!</definedName>
    <definedName name="BUD_CUR" localSheetId="22">[5]Hidden!#REF!</definedName>
    <definedName name="BUD_CUR" localSheetId="20">[2]Hidden!#REF!</definedName>
    <definedName name="BUD_CUR" localSheetId="12">[2]Hidden!#REF!</definedName>
    <definedName name="BUD_CUR" localSheetId="13">[2]Hidden!#REF!</definedName>
    <definedName name="BUD_CUR" localSheetId="11">[2]Hidden!#REF!</definedName>
    <definedName name="BUD_CUR" localSheetId="14">[2]Hidden!#REF!</definedName>
    <definedName name="BUD_CUR" localSheetId="17">[2]Hidden!#REF!</definedName>
    <definedName name="BUD_CUR" localSheetId="15">[6]Hidden!#REF!</definedName>
    <definedName name="BUD_CUR" localSheetId="3">[2]Hidden!#REF!</definedName>
    <definedName name="BUD_CUR">[2]Hidden!#REF!</definedName>
    <definedName name="BUD_YTD" localSheetId="1">[2]Hidden!#REF!</definedName>
    <definedName name="BUD_YTD" localSheetId="22">[5]Hidden!#REF!</definedName>
    <definedName name="BUD_YTD" localSheetId="20">[2]Hidden!#REF!</definedName>
    <definedName name="BUD_YTD" localSheetId="12">[2]Hidden!#REF!</definedName>
    <definedName name="BUD_YTD" localSheetId="13">[2]Hidden!#REF!</definedName>
    <definedName name="BUD_YTD" localSheetId="11">[2]Hidden!#REF!</definedName>
    <definedName name="BUD_YTD" localSheetId="14">[2]Hidden!#REF!</definedName>
    <definedName name="BUD_YTD" localSheetId="17">[2]Hidden!#REF!</definedName>
    <definedName name="BUD_YTD" localSheetId="15">[6]Hidden!#REF!</definedName>
    <definedName name="BUD_YTD" localSheetId="3">[2]Hidden!#REF!</definedName>
    <definedName name="BUD_YTD">[2]Hidden!#REF!</definedName>
    <definedName name="CalRecyTons" localSheetId="22">'[11]Recycl Tons, Commodity Value'!$L$23</definedName>
    <definedName name="CalRecyTons" localSheetId="20">'[12]Recycl Tons, Commodity Value'!$L$23</definedName>
    <definedName name="CalRecyTons" localSheetId="17">'[13]Recycl Tons, Commodity Value'!$L$23</definedName>
    <definedName name="CalRecyTons" localSheetId="15">'[14]Recycl Tons, Commodity Value'!$L$23</definedName>
    <definedName name="CalRecyTons">'[12]Recycl Tons, Commodity Value'!$L$23</definedName>
    <definedName name="CheckTotals" localSheetId="1">#REF!</definedName>
    <definedName name="CheckTotals" localSheetId="22">#REF!</definedName>
    <definedName name="CheckTotals" localSheetId="20">#REF!</definedName>
    <definedName name="CheckTotals" localSheetId="12">#REF!</definedName>
    <definedName name="CheckTotals" localSheetId="13">#REF!</definedName>
    <definedName name="CheckTotals" localSheetId="11">#REF!</definedName>
    <definedName name="CheckTotals" localSheetId="14">#REF!</definedName>
    <definedName name="CheckTotals" localSheetId="17">#REF!</definedName>
    <definedName name="CheckTotals" localSheetId="15">#REF!</definedName>
    <definedName name="CheckTotals" localSheetId="3">#REF!</definedName>
    <definedName name="CheckTotals" localSheetId="21">#REF!</definedName>
    <definedName name="CheckTotals">#REF!</definedName>
    <definedName name="colgroup">[1]Orientation!$G$6</definedName>
    <definedName name="colsegment">[1]Orientation!$F$6</definedName>
    <definedName name="CommlStaffPriceOut" localSheetId="1">'[15]Price Out-Reg EASTSIDE-Resi'!#REF!</definedName>
    <definedName name="CommlStaffPriceOut" localSheetId="20">'[15]Price Out-Reg EASTSIDE-Resi'!#REF!</definedName>
    <definedName name="CommlStaffPriceOut" localSheetId="12">'[15]Price Out-Reg EASTSIDE-Resi'!#REF!</definedName>
    <definedName name="CommlStaffPriceOut" localSheetId="13">'[15]Price Out-Reg EASTSIDE-Resi'!#REF!</definedName>
    <definedName name="CommlStaffPriceOut" localSheetId="11">'[15]Price Out-Reg EASTSIDE-Resi'!#REF!</definedName>
    <definedName name="CommlStaffPriceOut" localSheetId="14">'[15]Price Out-Reg EASTSIDE-Resi'!#REF!</definedName>
    <definedName name="CommlStaffPriceOut" localSheetId="17">'[15]Price Out-Reg EASTSIDE-Resi'!#REF!</definedName>
    <definedName name="CommlStaffPriceOut" localSheetId="3">'[15]Price Out-Reg EASTSIDE-Resi'!#REF!</definedName>
    <definedName name="CommlStaffPriceOut">'[15]Price Out-Reg EASTSIDE-Resi'!#REF!</definedName>
    <definedName name="COST_OF_SERVICE_STUDY" localSheetId="12">#REF!</definedName>
    <definedName name="COST_OF_SERVICE_STUDY" localSheetId="13">#REF!</definedName>
    <definedName name="COST_OF_SERVICE_STUDY" localSheetId="11">#REF!</definedName>
    <definedName name="COST_OF_SERVICE_STUDY" localSheetId="14">#REF!</definedName>
    <definedName name="COST_OF_SERVICE_STUDY" localSheetId="3">#REF!</definedName>
    <definedName name="COST_OF_SERVICE_STUDY">#REF!</definedName>
    <definedName name="CRCTable" localSheetId="1">#REF!</definedName>
    <definedName name="CRCTable" localSheetId="22">#REF!</definedName>
    <definedName name="CRCTable" localSheetId="20">#REF!</definedName>
    <definedName name="CRCTable" localSheetId="12">#REF!</definedName>
    <definedName name="CRCTable" localSheetId="13">#REF!</definedName>
    <definedName name="CRCTable" localSheetId="11">#REF!</definedName>
    <definedName name="CRCTable" localSheetId="14">#REF!</definedName>
    <definedName name="CRCTable" localSheetId="17">#REF!</definedName>
    <definedName name="CRCTable" localSheetId="15">#REF!</definedName>
    <definedName name="CRCTable" localSheetId="3">#REF!</definedName>
    <definedName name="CRCTable" localSheetId="21">#REF!</definedName>
    <definedName name="CRCTable">#REF!</definedName>
    <definedName name="CRCTableOLD" localSheetId="1">#REF!</definedName>
    <definedName name="CRCTableOLD" localSheetId="22">#REF!</definedName>
    <definedName name="CRCTableOLD" localSheetId="20">#REF!</definedName>
    <definedName name="CRCTableOLD" localSheetId="12">#REF!</definedName>
    <definedName name="CRCTableOLD" localSheetId="13">#REF!</definedName>
    <definedName name="CRCTableOLD" localSheetId="11">#REF!</definedName>
    <definedName name="CRCTableOLD" localSheetId="14">#REF!</definedName>
    <definedName name="CRCTableOLD" localSheetId="17">#REF!</definedName>
    <definedName name="CRCTableOLD" localSheetId="15">#REF!</definedName>
    <definedName name="CRCTableOLD" localSheetId="3">#REF!</definedName>
    <definedName name="CRCTableOLD" localSheetId="21">#REF!</definedName>
    <definedName name="CRCTableOLD">#REF!</definedName>
    <definedName name="CriteriaType">[16]ControlPanel!$Z$2:$Z$5</definedName>
    <definedName name="CurrentMonth" localSheetId="24">'57125 JE Query'!$J$8</definedName>
    <definedName name="CurrentMonth" localSheetId="25">'70095 JE Query (C)'!$J$8</definedName>
    <definedName name="CurrentMonth" localSheetId="26">'70195 JE Query'!$J$8</definedName>
    <definedName name="CurrentMonth" localSheetId="20">#REF!</definedName>
    <definedName name="CurrentMonth" localSheetId="23">'JE Query - 41121, 41129'!$J$8</definedName>
    <definedName name="CurrentMonth" localSheetId="17">#REF!</definedName>
    <definedName name="CurrentMonth" localSheetId="15">#REF!</definedName>
    <definedName name="CurrentMonth" localSheetId="21">'[17]JE Query'!$J$8</definedName>
    <definedName name="CurrentMonth">'[18]Finance Charges'!$H$8</definedName>
    <definedName name="Cutomers" localSheetId="1">#REF!</definedName>
    <definedName name="Cutomers" localSheetId="22">#REF!</definedName>
    <definedName name="Cutomers" localSheetId="20">#REF!</definedName>
    <definedName name="Cutomers" localSheetId="12">#REF!</definedName>
    <definedName name="Cutomers" localSheetId="13">#REF!</definedName>
    <definedName name="Cutomers" localSheetId="11">#REF!</definedName>
    <definedName name="Cutomers" localSheetId="14">#REF!</definedName>
    <definedName name="Cutomers" localSheetId="17">#REF!</definedName>
    <definedName name="Cutomers" localSheetId="15">#REF!</definedName>
    <definedName name="Cutomers" localSheetId="3">#REF!</definedName>
    <definedName name="Cutomers">#REF!</definedName>
    <definedName name="_xlnm.Database" localSheetId="1">#REF!</definedName>
    <definedName name="_xlnm.Database" localSheetId="22">#REF!</definedName>
    <definedName name="_xlnm.Database" localSheetId="20">#REF!</definedName>
    <definedName name="_xlnm.Database" localSheetId="12">#REF!</definedName>
    <definedName name="_xlnm.Database" localSheetId="13">#REF!</definedName>
    <definedName name="_xlnm.Database" localSheetId="11">#REF!</definedName>
    <definedName name="_xlnm.Database" localSheetId="14">#REF!</definedName>
    <definedName name="_xlnm.Database" localSheetId="17">#REF!</definedName>
    <definedName name="_xlnm.Database" localSheetId="15">#REF!</definedName>
    <definedName name="_xlnm.Database" localSheetId="3">#REF!</definedName>
    <definedName name="_xlnm.Database">#REF!</definedName>
    <definedName name="Database1" localSheetId="1">#REF!</definedName>
    <definedName name="Database1" localSheetId="22">#REF!</definedName>
    <definedName name="Database1" localSheetId="20">#REF!</definedName>
    <definedName name="Database1" localSheetId="12">#REF!</definedName>
    <definedName name="Database1" localSheetId="13">#REF!</definedName>
    <definedName name="Database1" localSheetId="11">#REF!</definedName>
    <definedName name="Database1" localSheetId="14">#REF!</definedName>
    <definedName name="Database1" localSheetId="17">#REF!</definedName>
    <definedName name="Database1" localSheetId="15">#REF!</definedName>
    <definedName name="Database1" localSheetId="3">#REF!</definedName>
    <definedName name="Database1">#REF!</definedName>
    <definedName name="DateFrom" localSheetId="24">'57125 JE Query'!$I$12</definedName>
    <definedName name="DateFrom" localSheetId="25">'70095 JE Query (C)'!$I$12</definedName>
    <definedName name="DateFrom" localSheetId="26">'70195 JE Query'!$I$12</definedName>
    <definedName name="DateFrom" localSheetId="20">#REF!</definedName>
    <definedName name="DateFrom" localSheetId="23">'JE Query - 41121, 41129'!$I$12</definedName>
    <definedName name="DateFrom" localSheetId="17">#REF!</definedName>
    <definedName name="DateFrom" localSheetId="15">#REF!</definedName>
    <definedName name="DateFrom" localSheetId="21">'[17]JE Query'!$I$12</definedName>
    <definedName name="DateFrom">'[18]Finance Charges'!$G$12</definedName>
    <definedName name="DateTo" localSheetId="24">'57125 JE Query'!$I$13</definedName>
    <definedName name="DateTo" localSheetId="25">'70095 JE Query (C)'!$I$13</definedName>
    <definedName name="DateTo" localSheetId="26">'70195 JE Query'!$I$13</definedName>
    <definedName name="DateTo" localSheetId="20">#REF!</definedName>
    <definedName name="DateTo" localSheetId="23">'JE Query - 41121, 41129'!$I$13</definedName>
    <definedName name="DateTo" localSheetId="17">#REF!</definedName>
    <definedName name="DateTo" localSheetId="15">#REF!</definedName>
    <definedName name="DateTo" localSheetId="21">'[17]JE Query'!$I$13</definedName>
    <definedName name="DateTo">'[18]Finance Charges'!$G$13</definedName>
    <definedName name="DBxStaffPriceOut" localSheetId="1">'[15]Price Out-Reg EASTSIDE-Resi'!#REF!</definedName>
    <definedName name="DBxStaffPriceOut" localSheetId="20">'[15]Price Out-Reg EASTSIDE-Resi'!#REF!</definedName>
    <definedName name="DBxStaffPriceOut" localSheetId="12">'[15]Price Out-Reg EASTSIDE-Resi'!#REF!</definedName>
    <definedName name="DBxStaffPriceOut" localSheetId="13">'[15]Price Out-Reg EASTSIDE-Resi'!#REF!</definedName>
    <definedName name="DBxStaffPriceOut" localSheetId="11">'[15]Price Out-Reg EASTSIDE-Resi'!#REF!</definedName>
    <definedName name="DBxStaffPriceOut" localSheetId="14">'[15]Price Out-Reg EASTSIDE-Resi'!#REF!</definedName>
    <definedName name="DBxStaffPriceOut" localSheetId="17">'[15]Price Out-Reg EASTSIDE-Resi'!#REF!</definedName>
    <definedName name="DBxStaffPriceOut" localSheetId="3">'[15]Price Out-Reg EASTSIDE-Resi'!#REF!</definedName>
    <definedName name="DBxStaffPriceOut">'[15]Price Out-Reg EASTSIDE-Resi'!#REF!</definedName>
    <definedName name="Debt_Rate" localSheetId="12">'LG MSW'!$K$27</definedName>
    <definedName name="Debt_Rate" localSheetId="13">'LG Recycle'!$K$27</definedName>
    <definedName name="Debt_Rate" localSheetId="11">'LG UTC'!$K$27</definedName>
    <definedName name="Debt_Rate" localSheetId="14">'LG YW'!$K$27</definedName>
    <definedName name="debtP" localSheetId="12">'LG MSW'!$I$27</definedName>
    <definedName name="debtP" localSheetId="13">'LG Recycle'!$I$27</definedName>
    <definedName name="debtP" localSheetId="11">'LG UTC'!$I$27</definedName>
    <definedName name="debtP" localSheetId="14">'LG YW'!$I$27</definedName>
    <definedName name="DEPT" localSheetId="1">[2]Hidden!#REF!</definedName>
    <definedName name="DEPT" localSheetId="22">[5]Hidden!#REF!</definedName>
    <definedName name="DEPT" localSheetId="20">[2]Hidden!#REF!</definedName>
    <definedName name="DEPT" localSheetId="12">[2]Hidden!#REF!</definedName>
    <definedName name="DEPT" localSheetId="13">[2]Hidden!#REF!</definedName>
    <definedName name="DEPT" localSheetId="11">[2]Hidden!#REF!</definedName>
    <definedName name="DEPT" localSheetId="14">[2]Hidden!#REF!</definedName>
    <definedName name="DEPT" localSheetId="17">[2]Hidden!#REF!</definedName>
    <definedName name="DEPT" localSheetId="15">[6]Hidden!#REF!</definedName>
    <definedName name="DEPT" localSheetId="3">[2]Hidden!#REF!</definedName>
    <definedName name="DEPT" localSheetId="21">[2]Hidden!#REF!</definedName>
    <definedName name="DEPT">[2]Hidden!#REF!</definedName>
    <definedName name="Dist" localSheetId="20">[19]Data!$E$3</definedName>
    <definedName name="Dist" localSheetId="17">[20]Data!$E$3</definedName>
    <definedName name="Dist">[21]Data!$E$3</definedName>
    <definedName name="District" localSheetId="0">'2180 IS (C)'!$N$1</definedName>
    <definedName name="District" localSheetId="28">'2180_BS 11-2018'!$N$7</definedName>
    <definedName name="District" localSheetId="27">'2180_BS 11-2019'!$N$7</definedName>
    <definedName name="District" localSheetId="1">'2182 IS'!$N$6</definedName>
    <definedName name="District" localSheetId="22">'[22]Vashon BS'!#REF!</definedName>
    <definedName name="District" localSheetId="20">'[23]Vashon BS'!#REF!</definedName>
    <definedName name="District" localSheetId="12">'[23]Vashon BS'!#REF!</definedName>
    <definedName name="District" localSheetId="13">'[23]Vashon BS'!#REF!</definedName>
    <definedName name="District" localSheetId="11">'[23]Vashon BS'!#REF!</definedName>
    <definedName name="District" localSheetId="14">'[23]Vashon BS'!#REF!</definedName>
    <definedName name="District" localSheetId="17">'[24]Yakima BS'!#REF!</definedName>
    <definedName name="District" localSheetId="15">'[25]Vashon BS'!#REF!</definedName>
    <definedName name="District" localSheetId="3">'[23]Vashon BS'!#REF!</definedName>
    <definedName name="District" localSheetId="21">'RegionOH (C)'!$K$1</definedName>
    <definedName name="District">'[23]Vashon BS'!#REF!</definedName>
    <definedName name="DistrictName" localSheetId="0">'2180 IS (C)'!$N$2</definedName>
    <definedName name="DistrictName" localSheetId="28">'2180_BS 11-2018'!#REF!</definedName>
    <definedName name="DistrictName" localSheetId="27">'2180_BS 11-2019'!#REF!</definedName>
    <definedName name="DistrictName" localSheetId="1">'2182 IS'!$N$7</definedName>
    <definedName name="DistrictName" localSheetId="21">'RegionOH (C)'!$K$2</definedName>
    <definedName name="DistrictNum" localSheetId="1">#REF!</definedName>
    <definedName name="DistrictNum" localSheetId="22">#REF!</definedName>
    <definedName name="DistrictNum" localSheetId="20">#REF!</definedName>
    <definedName name="DistrictNum" localSheetId="12">#REF!</definedName>
    <definedName name="DistrictNum" localSheetId="13">#REF!</definedName>
    <definedName name="DistrictNum" localSheetId="11">#REF!</definedName>
    <definedName name="DistrictNum" localSheetId="14">#REF!</definedName>
    <definedName name="DistrictNum" localSheetId="17">#REF!</definedName>
    <definedName name="DistrictNum" localSheetId="15">#REF!</definedName>
    <definedName name="DistrictNum" localSheetId="3">#REF!</definedName>
    <definedName name="DistrictNum" localSheetId="21">#REF!</definedName>
    <definedName name="DistrictNum">#REF!</definedName>
    <definedName name="Districts" localSheetId="24">'57125 JE Query'!$M$12</definedName>
    <definedName name="Districts" localSheetId="25">'70095 JE Query (C)'!$M$12</definedName>
    <definedName name="Districts" localSheetId="26">'70195 JE Query'!$M$12</definedName>
    <definedName name="Districts" localSheetId="20">#REF!</definedName>
    <definedName name="Districts" localSheetId="23">'JE Query - 41121, 41129'!$M$12</definedName>
    <definedName name="Districts" localSheetId="12">#REF!</definedName>
    <definedName name="Districts" localSheetId="13">#REF!</definedName>
    <definedName name="Districts" localSheetId="11">#REF!</definedName>
    <definedName name="Districts" localSheetId="14">#REF!</definedName>
    <definedName name="Districts" localSheetId="17">#REF!</definedName>
    <definedName name="Districts" localSheetId="15">#REF!</definedName>
    <definedName name="Districts" localSheetId="3">#REF!</definedName>
    <definedName name="Districts">#REF!</definedName>
    <definedName name="dOG" localSheetId="1">#REF!</definedName>
    <definedName name="dOG" localSheetId="20">#REF!</definedName>
    <definedName name="dOG" localSheetId="12">#REF!</definedName>
    <definedName name="dOG" localSheetId="13">#REF!</definedName>
    <definedName name="dOG" localSheetId="11">#REF!</definedName>
    <definedName name="dOG" localSheetId="14">#REF!</definedName>
    <definedName name="dOG" localSheetId="17">#REF!</definedName>
    <definedName name="dOG" localSheetId="3">#REF!</definedName>
    <definedName name="dOG">#REF!</definedName>
    <definedName name="drlFilter">[1]Settings!$D$27</definedName>
    <definedName name="End" localSheetId="1">#REF!</definedName>
    <definedName name="End" localSheetId="22">#REF!</definedName>
    <definedName name="End" localSheetId="20">#REF!</definedName>
    <definedName name="End" localSheetId="12">#REF!</definedName>
    <definedName name="End" localSheetId="13">#REF!</definedName>
    <definedName name="End" localSheetId="11">#REF!</definedName>
    <definedName name="End" localSheetId="14">#REF!</definedName>
    <definedName name="End" localSheetId="17">#REF!</definedName>
    <definedName name="End" localSheetId="15">#REF!</definedName>
    <definedName name="End" localSheetId="3">#REF!</definedName>
    <definedName name="End" localSheetId="21">#REF!</definedName>
    <definedName name="End">#REF!</definedName>
    <definedName name="EntrieShownLimit" localSheetId="24">'57125 JE Query'!$D$6</definedName>
    <definedName name="EntrieShownLimit" localSheetId="25">'70095 JE Query (C)'!$D$6</definedName>
    <definedName name="EntrieShownLimit" localSheetId="26">'70195 JE Query'!$D$6</definedName>
    <definedName name="EntrieShownLimit" localSheetId="20">#REF!</definedName>
    <definedName name="EntrieShownLimit" localSheetId="23">'JE Query - 41121, 41129'!$D$6</definedName>
    <definedName name="EntrieShownLimit" localSheetId="17">#REF!</definedName>
    <definedName name="EntrieShownLimit" localSheetId="15">#REF!</definedName>
    <definedName name="EntrieShownLimit" localSheetId="21">'[17]JE Query'!$D$6</definedName>
    <definedName name="EntrieShownLimit">'[18]Finance Charges'!$D$6</definedName>
    <definedName name="Equity_percent" localSheetId="12">'LG MSW'!$S$57</definedName>
    <definedName name="Equity_percent" localSheetId="13">'LG Recycle'!$S$57</definedName>
    <definedName name="Equity_percent" localSheetId="11">'LG UTC'!$T$57</definedName>
    <definedName name="Equity_percent" localSheetId="14">'LG YW'!$S$57</definedName>
    <definedName name="equityP" localSheetId="12">'LG MSW'!$I$26</definedName>
    <definedName name="equityP" localSheetId="13">'LG Recycle'!$I$26</definedName>
    <definedName name="equityP" localSheetId="11">'LG UTC'!$I$26</definedName>
    <definedName name="equityP" localSheetId="14">'LG YW'!$I$26</definedName>
    <definedName name="ExcludeIC" localSheetId="0">'2180 IS (C)'!$R$1</definedName>
    <definedName name="ExcludeIC" localSheetId="28">'2180_BS 11-2018'!$N$8</definedName>
    <definedName name="ExcludeIC" localSheetId="27">'2180_BS 11-2019'!$N$8</definedName>
    <definedName name="ExcludeIC" localSheetId="1">'2182 IS'!$R$6</definedName>
    <definedName name="ExcludeIC" localSheetId="22">'[22]Vashon BS'!#REF!</definedName>
    <definedName name="ExcludeIC" localSheetId="20">'[23]Vashon BS'!#REF!</definedName>
    <definedName name="ExcludeIC" localSheetId="12">'[26]2009 BS'!#REF!</definedName>
    <definedName name="ExcludeIC" localSheetId="13">'[26]2009 BS'!#REF!</definedName>
    <definedName name="ExcludeIC" localSheetId="11">'[26]2009 BS'!#REF!</definedName>
    <definedName name="ExcludeIC" localSheetId="14">'[26]2009 BS'!#REF!</definedName>
    <definedName name="ExcludeIC" localSheetId="17">'[24]Yakima BS'!#REF!</definedName>
    <definedName name="ExcludeIC" localSheetId="15">'[25]Vashon BS'!#REF!</definedName>
    <definedName name="ExcludeIC" localSheetId="3">'[26]2009 BS'!#REF!</definedName>
    <definedName name="ExcludeIC" localSheetId="21">'RegionOH (C)'!$O$1</definedName>
    <definedName name="ExcludeIC">'[26]2009 BS'!#REF!</definedName>
    <definedName name="expenses" localSheetId="12">'LG MSW'!$I$8</definedName>
    <definedName name="expenses" localSheetId="13">'LG Recycle'!$I$8</definedName>
    <definedName name="expenses" localSheetId="11">'LG UTC'!$I$8</definedName>
    <definedName name="expenses" localSheetId="14">'LG YW'!$I$8</definedName>
    <definedName name="ExpensesPF1" localSheetId="20">#REF!</definedName>
    <definedName name="ExpensesPF1" localSheetId="12">#REF!</definedName>
    <definedName name="ExpensesPF1" localSheetId="13">#REF!</definedName>
    <definedName name="ExpensesPF1" localSheetId="11">#REF!</definedName>
    <definedName name="ExpensesPF1" localSheetId="14">#REF!</definedName>
    <definedName name="ExpensesPF1" localSheetId="17">#REF!</definedName>
    <definedName name="ExpensesPF1" localSheetId="15">#REF!</definedName>
    <definedName name="ExpensesPF1" localSheetId="3">#REF!</definedName>
    <definedName name="ExpensesPF1">#REF!</definedName>
    <definedName name="EXT" localSheetId="1">#REF!</definedName>
    <definedName name="EXT" localSheetId="20">#REF!</definedName>
    <definedName name="EXT" localSheetId="12">#REF!</definedName>
    <definedName name="EXT" localSheetId="13">#REF!</definedName>
    <definedName name="EXT" localSheetId="11">#REF!</definedName>
    <definedName name="EXT" localSheetId="14">#REF!</definedName>
    <definedName name="EXT" localSheetId="17">#REF!</definedName>
    <definedName name="EXT" localSheetId="3">#REF!</definedName>
    <definedName name="EXT">#REF!</definedName>
    <definedName name="FBTable" localSheetId="1">#REF!</definedName>
    <definedName name="FBTable" localSheetId="22">#REF!</definedName>
    <definedName name="FBTable" localSheetId="20">#REF!</definedName>
    <definedName name="FBTable" localSheetId="12">#REF!</definedName>
    <definedName name="FBTable" localSheetId="13">#REF!</definedName>
    <definedName name="FBTable" localSheetId="11">#REF!</definedName>
    <definedName name="FBTable" localSheetId="14">#REF!</definedName>
    <definedName name="FBTable" localSheetId="17">#REF!</definedName>
    <definedName name="FBTable" localSheetId="15">#REF!</definedName>
    <definedName name="FBTable" localSheetId="3">#REF!</definedName>
    <definedName name="FBTable" localSheetId="21">#REF!</definedName>
    <definedName name="FBTable">#REF!</definedName>
    <definedName name="FBTableOld" localSheetId="1">#REF!</definedName>
    <definedName name="FBTableOld" localSheetId="22">#REF!</definedName>
    <definedName name="FBTableOld" localSheetId="20">#REF!</definedName>
    <definedName name="FBTableOld" localSheetId="12">#REF!</definedName>
    <definedName name="FBTableOld" localSheetId="13">#REF!</definedName>
    <definedName name="FBTableOld" localSheetId="11">#REF!</definedName>
    <definedName name="FBTableOld" localSheetId="14">#REF!</definedName>
    <definedName name="FBTableOld" localSheetId="17">#REF!</definedName>
    <definedName name="FBTableOld" localSheetId="15">#REF!</definedName>
    <definedName name="FBTableOld" localSheetId="3">#REF!</definedName>
    <definedName name="FBTableOld" localSheetId="21">#REF!</definedName>
    <definedName name="FBTableOld">#REF!</definedName>
    <definedName name="filter">[1]Settings!$B$14:$H$25</definedName>
    <definedName name="FromMonth" localSheetId="24">'57125 JE Query'!$C$8</definedName>
    <definedName name="FromMonth" localSheetId="25">'70095 JE Query (C)'!$C$8</definedName>
    <definedName name="FromMonth" localSheetId="26">'70195 JE Query'!$C$8</definedName>
    <definedName name="FromMonth" localSheetId="20">#REF!</definedName>
    <definedName name="FromMonth" localSheetId="23">'JE Query - 41121, 41129'!$C$8</definedName>
    <definedName name="FromMonth" localSheetId="12">#REF!</definedName>
    <definedName name="FromMonth" localSheetId="13">#REF!</definedName>
    <definedName name="FromMonth" localSheetId="11">#REF!</definedName>
    <definedName name="FromMonth" localSheetId="14">#REF!</definedName>
    <definedName name="FromMonth" localSheetId="17">#REF!</definedName>
    <definedName name="FromMonth" localSheetId="15">#REF!</definedName>
    <definedName name="FromMonth" localSheetId="3">#REF!</definedName>
    <definedName name="FromMonth">#REF!</definedName>
    <definedName name="FundsApprPend" localSheetId="1">[21]Data!#REF!</definedName>
    <definedName name="FundsApprPend" localSheetId="20">[19]Data!#REF!</definedName>
    <definedName name="FundsApprPend" localSheetId="12">[21]Data!#REF!</definedName>
    <definedName name="FundsApprPend" localSheetId="13">[21]Data!#REF!</definedName>
    <definedName name="FundsApprPend" localSheetId="11">[21]Data!#REF!</definedName>
    <definedName name="FundsApprPend" localSheetId="14">[21]Data!#REF!</definedName>
    <definedName name="FundsApprPend" localSheetId="17">[20]Data!#REF!</definedName>
    <definedName name="FundsApprPend" localSheetId="3">[21]Data!#REF!</definedName>
    <definedName name="FundsApprPend">[21]Data!#REF!</definedName>
    <definedName name="FundsBudUnbud" localSheetId="1">[21]Data!#REF!</definedName>
    <definedName name="FundsBudUnbud" localSheetId="20">[19]Data!#REF!</definedName>
    <definedName name="FundsBudUnbud" localSheetId="12">[21]Data!#REF!</definedName>
    <definedName name="FundsBudUnbud" localSheetId="13">[21]Data!#REF!</definedName>
    <definedName name="FundsBudUnbud" localSheetId="11">[21]Data!#REF!</definedName>
    <definedName name="FundsBudUnbud" localSheetId="14">[21]Data!#REF!</definedName>
    <definedName name="FundsBudUnbud" localSheetId="17">[20]Data!#REF!</definedName>
    <definedName name="FundsBudUnbud" localSheetId="3">[21]Data!#REF!</definedName>
    <definedName name="FundsBudUnbud">[21]Data!#REF!</definedName>
    <definedName name="GLMappingStart" localSheetId="1">#REF!</definedName>
    <definedName name="GLMappingStart" localSheetId="22">#REF!</definedName>
    <definedName name="GLMappingStart" localSheetId="20">#REF!</definedName>
    <definedName name="GLMappingStart" localSheetId="12">#REF!</definedName>
    <definedName name="GLMappingStart" localSheetId="13">#REF!</definedName>
    <definedName name="GLMappingStart" localSheetId="11">#REF!</definedName>
    <definedName name="GLMappingStart" localSheetId="14">#REF!</definedName>
    <definedName name="GLMappingStart" localSheetId="17">#REF!</definedName>
    <definedName name="GLMappingStart" localSheetId="15">#REF!</definedName>
    <definedName name="GLMappingStart" localSheetId="3">#REF!</definedName>
    <definedName name="GLMappingStart">#REF!</definedName>
    <definedName name="GLMappingStart1" localSheetId="20">#REF!</definedName>
    <definedName name="GLMappingStart1" localSheetId="13">#REF!</definedName>
    <definedName name="GLMappingStart1" localSheetId="14">#REF!</definedName>
    <definedName name="GLMappingStart1" localSheetId="17">#REF!</definedName>
    <definedName name="GLMappingStart1" localSheetId="3">#REF!</definedName>
    <definedName name="GLMappingStart1">#REF!</definedName>
    <definedName name="Import_Range" localSheetId="1">[21]Data!#REF!</definedName>
    <definedName name="Import_Range" localSheetId="20">[19]Data!#REF!</definedName>
    <definedName name="Import_Range" localSheetId="12">[21]Data!#REF!</definedName>
    <definedName name="Import_Range" localSheetId="13">[21]Data!#REF!</definedName>
    <definedName name="Import_Range" localSheetId="11">[21]Data!#REF!</definedName>
    <definedName name="Import_Range" localSheetId="14">[21]Data!#REF!</definedName>
    <definedName name="Import_Range" localSheetId="17">[20]Data!#REF!</definedName>
    <definedName name="Import_Range" localSheetId="3">[21]Data!#REF!</definedName>
    <definedName name="Import_Range">[21]Data!#REF!</definedName>
    <definedName name="IncomeStmnt" localSheetId="1">#REF!</definedName>
    <definedName name="IncomeStmnt" localSheetId="22">#REF!</definedName>
    <definedName name="IncomeStmnt" localSheetId="20">#REF!</definedName>
    <definedName name="IncomeStmnt" localSheetId="12">#REF!</definedName>
    <definedName name="IncomeStmnt" localSheetId="13">#REF!</definedName>
    <definedName name="IncomeStmnt" localSheetId="11">#REF!</definedName>
    <definedName name="IncomeStmnt" localSheetId="14">#REF!</definedName>
    <definedName name="IncomeStmnt" localSheetId="17">#REF!</definedName>
    <definedName name="IncomeStmnt" localSheetId="15">#REF!</definedName>
    <definedName name="IncomeStmnt" localSheetId="3">#REF!</definedName>
    <definedName name="IncomeStmnt">#REF!</definedName>
    <definedName name="INPUT" localSheetId="1">#REF!</definedName>
    <definedName name="INPUT" localSheetId="22">#REF!</definedName>
    <definedName name="INPUT" localSheetId="20">#REF!</definedName>
    <definedName name="INPUT" localSheetId="12">'LG MSW'!#REF!</definedName>
    <definedName name="INPUT" localSheetId="13">'LG Recycle'!#REF!</definedName>
    <definedName name="INPUT" localSheetId="11">'LG UTC'!#REF!</definedName>
    <definedName name="INPUT" localSheetId="14">'LG YW'!#REF!</definedName>
    <definedName name="INPUT" localSheetId="17">#REF!</definedName>
    <definedName name="INPUT" localSheetId="15">#REF!</definedName>
    <definedName name="INPUT" localSheetId="3">#REF!</definedName>
    <definedName name="INPUT">#REF!</definedName>
    <definedName name="INPUTc" localSheetId="20">#REF!</definedName>
    <definedName name="INPUTc" localSheetId="12">#REF!</definedName>
    <definedName name="INPUTc" localSheetId="13">#REF!</definedName>
    <definedName name="INPUTc" localSheetId="11">#REF!</definedName>
    <definedName name="INPUTc" localSheetId="14">#REF!</definedName>
    <definedName name="INPUTc" localSheetId="17">#REF!</definedName>
    <definedName name="INPUTc" localSheetId="15">#REF!</definedName>
    <definedName name="INPUTc" localSheetId="3">#REF!</definedName>
    <definedName name="INPUTc">#REF!</definedName>
    <definedName name="Insurance" localSheetId="1">#REF!</definedName>
    <definedName name="Insurance" localSheetId="22">#REF!</definedName>
    <definedName name="Insurance" localSheetId="20">#REF!</definedName>
    <definedName name="Insurance" localSheetId="12">#REF!</definedName>
    <definedName name="Insurance" localSheetId="13">#REF!</definedName>
    <definedName name="Insurance" localSheetId="11">#REF!</definedName>
    <definedName name="Insurance" localSheetId="14">#REF!</definedName>
    <definedName name="Insurance" localSheetId="17">#REF!</definedName>
    <definedName name="Insurance" localSheetId="15">#REF!</definedName>
    <definedName name="Insurance" localSheetId="3">#REF!</definedName>
    <definedName name="Insurance">#REF!</definedName>
    <definedName name="Interject_LastPulledValues_BalanceRange" localSheetId="20">#REF!</definedName>
    <definedName name="Interject_LastPulledValues_BalanceRange" localSheetId="12">#REF!</definedName>
    <definedName name="Interject_LastPulledValues_BalanceRange" localSheetId="13">#REF!</definedName>
    <definedName name="Interject_LastPulledValues_BalanceRange" localSheetId="11">#REF!</definedName>
    <definedName name="Interject_LastPulledValues_BalanceRange" localSheetId="14">#REF!</definedName>
    <definedName name="Interject_LastPulledValues_BalanceRange" localSheetId="17">#REF!</definedName>
    <definedName name="Interject_LastPulledValues_BalanceRange" localSheetId="15">#REF!</definedName>
    <definedName name="Interject_LastPulledValues_BalanceRange">Interject_LastPulledValues!$A$3:$I$50</definedName>
    <definedName name="Interject_LastPulledValues_DescriptionRange" localSheetId="20">#REF!</definedName>
    <definedName name="Interject_LastPulledValues_DescriptionRange" localSheetId="12">#REF!</definedName>
    <definedName name="Interject_LastPulledValues_DescriptionRange" localSheetId="13">#REF!</definedName>
    <definedName name="Interject_LastPulledValues_DescriptionRange" localSheetId="11">#REF!</definedName>
    <definedName name="Interject_LastPulledValues_DescriptionRange" localSheetId="14">#REF!</definedName>
    <definedName name="Interject_LastPulledValues_DescriptionRange" localSheetId="17">#REF!</definedName>
    <definedName name="Interject_LastPulledValues_DescriptionRange" localSheetId="15">#REF!</definedName>
    <definedName name="Interject_LastPulledValues_DescriptionRange">Interject_LastPulledValues!$K$3:$N$3</definedName>
    <definedName name="Interject_LastPulledValues_LastChangeGUID" localSheetId="20">#REF!</definedName>
    <definedName name="Interject_LastPulledValues_LastChangeGUID" localSheetId="12">#REF!</definedName>
    <definedName name="Interject_LastPulledValues_LastChangeGUID" localSheetId="13">#REF!</definedName>
    <definedName name="Interject_LastPulledValues_LastChangeGUID" localSheetId="11">#REF!</definedName>
    <definedName name="Interject_LastPulledValues_LastChangeGUID" localSheetId="14">#REF!</definedName>
    <definedName name="Interject_LastPulledValues_LastChangeGUID" localSheetId="17">#REF!</definedName>
    <definedName name="Interject_LastPulledValues_LastChangeGUID" localSheetId="15">#REF!</definedName>
    <definedName name="Interject_LastPulledValues_LastChangeGUID">Interject_LastPulledValues!$Q$1</definedName>
    <definedName name="Interject_LastPulledValues_PreviousLastChangeGUID" localSheetId="20">#REF!</definedName>
    <definedName name="Interject_LastPulledValues_PreviousLastChangeGUID" localSheetId="12">#REF!</definedName>
    <definedName name="Interject_LastPulledValues_PreviousLastChangeGUID" localSheetId="13">#REF!</definedName>
    <definedName name="Interject_LastPulledValues_PreviousLastChangeGUID" localSheetId="11">#REF!</definedName>
    <definedName name="Interject_LastPulledValues_PreviousLastChangeGUID" localSheetId="14">#REF!</definedName>
    <definedName name="Interject_LastPulledValues_PreviousLastChangeGUID" localSheetId="17">#REF!</definedName>
    <definedName name="Interject_LastPulledValues_PreviousLastChangeGUID" localSheetId="15">#REF!</definedName>
    <definedName name="Interject_LastPulledValues_PreviousLastChangeGUID">Interject_LastPulledValues!$Q$2</definedName>
    <definedName name="Investment" localSheetId="12">'LG MSW'!$J$28</definedName>
    <definedName name="Investment" localSheetId="13">'LG Recycle'!$J$28</definedName>
    <definedName name="Investment" localSheetId="11">'LG UTC'!$J$28</definedName>
    <definedName name="Investment" localSheetId="14">'LG YW'!$J$28</definedName>
    <definedName name="Invoice_Start" localSheetId="1">[21]Invoice_Drill!#REF!</definedName>
    <definedName name="Invoice_Start" localSheetId="20">[19]Invoice_Drill!#REF!</definedName>
    <definedName name="Invoice_Start" localSheetId="12">[21]Invoice_Drill!#REF!</definedName>
    <definedName name="Invoice_Start" localSheetId="13">[21]Invoice_Drill!#REF!</definedName>
    <definedName name="Invoice_Start" localSheetId="11">[21]Invoice_Drill!#REF!</definedName>
    <definedName name="Invoice_Start" localSheetId="14">[21]Invoice_Drill!#REF!</definedName>
    <definedName name="Invoice_Start" localSheetId="17">[20]Invoice_Drill!#REF!</definedName>
    <definedName name="Invoice_Start" localSheetId="3">[21]Invoice_Drill!#REF!</definedName>
    <definedName name="Invoice_Start">[21]Invoice_Drill!#REF!</definedName>
    <definedName name="JEDetail" localSheetId="1">#REF!</definedName>
    <definedName name="JEDetail" localSheetId="22">#REF!</definedName>
    <definedName name="JEDetail" localSheetId="20">#REF!</definedName>
    <definedName name="JEDetail" localSheetId="12">#REF!</definedName>
    <definedName name="JEDetail" localSheetId="13">#REF!</definedName>
    <definedName name="JEDetail" localSheetId="11">#REF!</definedName>
    <definedName name="JEDetail" localSheetId="14">#REF!</definedName>
    <definedName name="JEDetail" localSheetId="17">#REF!</definedName>
    <definedName name="JEDetail" localSheetId="15">#REF!</definedName>
    <definedName name="JEDetail" localSheetId="3">#REF!</definedName>
    <definedName name="JEDetail">#REF!</definedName>
    <definedName name="JEDetail1" localSheetId="20">#REF!</definedName>
    <definedName name="JEDetail1" localSheetId="13">#REF!</definedName>
    <definedName name="JEDetail1" localSheetId="14">#REF!</definedName>
    <definedName name="JEDetail1" localSheetId="17">#REF!</definedName>
    <definedName name="JEDetail1" localSheetId="3">#REF!</definedName>
    <definedName name="JEDetail1">#REF!</definedName>
    <definedName name="JEType" localSheetId="1">#REF!</definedName>
    <definedName name="JEType" localSheetId="22">#REF!</definedName>
    <definedName name="JEType" localSheetId="20">#REF!</definedName>
    <definedName name="JEType" localSheetId="12">#REF!</definedName>
    <definedName name="JEType" localSheetId="13">#REF!</definedName>
    <definedName name="JEType" localSheetId="11">#REF!</definedName>
    <definedName name="JEType" localSheetId="14">#REF!</definedName>
    <definedName name="JEType" localSheetId="17">#REF!</definedName>
    <definedName name="JEType" localSheetId="15">#REF!</definedName>
    <definedName name="JEType" localSheetId="3">#REF!</definedName>
    <definedName name="JEType">#REF!</definedName>
    <definedName name="JEType1" localSheetId="20">#REF!</definedName>
    <definedName name="JEType1" localSheetId="13">#REF!</definedName>
    <definedName name="JEType1" localSheetId="14">#REF!</definedName>
    <definedName name="JEType1" localSheetId="17">#REF!</definedName>
    <definedName name="JEType1" localSheetId="3">#REF!</definedName>
    <definedName name="JEType1">#REF!</definedName>
    <definedName name="lblBillAreaStatus" localSheetId="1">#REF!</definedName>
    <definedName name="lblBillAreaStatus" localSheetId="22">#REF!</definedName>
    <definedName name="lblBillAreaStatus" localSheetId="20">#REF!</definedName>
    <definedName name="lblBillAreaStatus" localSheetId="12">#REF!</definedName>
    <definedName name="lblBillAreaStatus" localSheetId="13">#REF!</definedName>
    <definedName name="lblBillAreaStatus" localSheetId="11">#REF!</definedName>
    <definedName name="lblBillAreaStatus" localSheetId="14">#REF!</definedName>
    <definedName name="lblBillAreaStatus" localSheetId="17">#REF!</definedName>
    <definedName name="lblBillAreaStatus" localSheetId="15">#REF!</definedName>
    <definedName name="lblBillAreaStatus" localSheetId="3">#REF!</definedName>
    <definedName name="lblBillAreaStatus">#REF!</definedName>
    <definedName name="lblBillCycleStatus" localSheetId="1">#REF!</definedName>
    <definedName name="lblBillCycleStatus" localSheetId="22">#REF!</definedName>
    <definedName name="lblBillCycleStatus" localSheetId="20">#REF!</definedName>
    <definedName name="lblBillCycleStatus" localSheetId="12">#REF!</definedName>
    <definedName name="lblBillCycleStatus" localSheetId="13">#REF!</definedName>
    <definedName name="lblBillCycleStatus" localSheetId="11">#REF!</definedName>
    <definedName name="lblBillCycleStatus" localSheetId="14">#REF!</definedName>
    <definedName name="lblBillCycleStatus" localSheetId="17">#REF!</definedName>
    <definedName name="lblBillCycleStatus" localSheetId="15">#REF!</definedName>
    <definedName name="lblBillCycleStatus" localSheetId="3">#REF!</definedName>
    <definedName name="lblBillCycleStatus">#REF!</definedName>
    <definedName name="lblCategoryStatus" localSheetId="1">#REF!</definedName>
    <definedName name="lblCategoryStatus" localSheetId="22">#REF!</definedName>
    <definedName name="lblCategoryStatus" localSheetId="20">#REF!</definedName>
    <definedName name="lblCategoryStatus" localSheetId="12">#REF!</definedName>
    <definedName name="lblCategoryStatus" localSheetId="13">#REF!</definedName>
    <definedName name="lblCategoryStatus" localSheetId="11">#REF!</definedName>
    <definedName name="lblCategoryStatus" localSheetId="14">#REF!</definedName>
    <definedName name="lblCategoryStatus" localSheetId="17">#REF!</definedName>
    <definedName name="lblCategoryStatus" localSheetId="15">#REF!</definedName>
    <definedName name="lblCategoryStatus" localSheetId="3">#REF!</definedName>
    <definedName name="lblCategoryStatus">#REF!</definedName>
    <definedName name="lblCompanyStatus" localSheetId="1">#REF!</definedName>
    <definedName name="lblCompanyStatus" localSheetId="22">#REF!</definedName>
    <definedName name="lblCompanyStatus" localSheetId="20">#REF!</definedName>
    <definedName name="lblCompanyStatus" localSheetId="12">#REF!</definedName>
    <definedName name="lblCompanyStatus" localSheetId="13">#REF!</definedName>
    <definedName name="lblCompanyStatus" localSheetId="11">#REF!</definedName>
    <definedName name="lblCompanyStatus" localSheetId="14">#REF!</definedName>
    <definedName name="lblCompanyStatus" localSheetId="17">#REF!</definedName>
    <definedName name="lblCompanyStatus" localSheetId="15">#REF!</definedName>
    <definedName name="lblCompanyStatus" localSheetId="3">#REF!</definedName>
    <definedName name="lblCompanyStatus">#REF!</definedName>
    <definedName name="lblDatabaseStatus" localSheetId="1">#REF!</definedName>
    <definedName name="lblDatabaseStatus" localSheetId="22">#REF!</definedName>
    <definedName name="lblDatabaseStatus" localSheetId="20">#REF!</definedName>
    <definedName name="lblDatabaseStatus" localSheetId="12">#REF!</definedName>
    <definedName name="lblDatabaseStatus" localSheetId="13">#REF!</definedName>
    <definedName name="lblDatabaseStatus" localSheetId="11">#REF!</definedName>
    <definedName name="lblDatabaseStatus" localSheetId="14">#REF!</definedName>
    <definedName name="lblDatabaseStatus" localSheetId="17">#REF!</definedName>
    <definedName name="lblDatabaseStatus" localSheetId="15">#REF!</definedName>
    <definedName name="lblDatabaseStatus" localSheetId="3">#REF!</definedName>
    <definedName name="lblDatabaseStatus">#REF!</definedName>
    <definedName name="lblPullStatus" localSheetId="1">#REF!</definedName>
    <definedName name="lblPullStatus" localSheetId="22">#REF!</definedName>
    <definedName name="lblPullStatus" localSheetId="20">#REF!</definedName>
    <definedName name="lblPullStatus" localSheetId="12">#REF!</definedName>
    <definedName name="lblPullStatus" localSheetId="13">#REF!</definedName>
    <definedName name="lblPullStatus" localSheetId="11">#REF!</definedName>
    <definedName name="lblPullStatus" localSheetId="14">#REF!</definedName>
    <definedName name="lblPullStatus" localSheetId="17">#REF!</definedName>
    <definedName name="lblPullStatus" localSheetId="15">#REF!</definedName>
    <definedName name="lblPullStatus" localSheetId="3">#REF!</definedName>
    <definedName name="lblPullStatus">#REF!</definedName>
    <definedName name="lllllllllllllllllllll" localSheetId="1">#REF!</definedName>
    <definedName name="lllllllllllllllllllll" localSheetId="22">#REF!</definedName>
    <definedName name="lllllllllllllllllllll" localSheetId="20">#REF!</definedName>
    <definedName name="lllllllllllllllllllll" localSheetId="12">#REF!</definedName>
    <definedName name="lllllllllllllllllllll" localSheetId="13">#REF!</definedName>
    <definedName name="lllllllllllllllllllll" localSheetId="11">#REF!</definedName>
    <definedName name="lllllllllllllllllllll" localSheetId="14">#REF!</definedName>
    <definedName name="lllllllllllllllllllll" localSheetId="17">#REF!</definedName>
    <definedName name="lllllllllllllllllllll" localSheetId="15">#REF!</definedName>
    <definedName name="lllllllllllllllllllll" localSheetId="3">#REF!</definedName>
    <definedName name="lllllllllllllllllllll">#REF!</definedName>
    <definedName name="LOB" localSheetId="20">[27]DropDownRanges!$B$4:$B$37</definedName>
    <definedName name="LOB">[27]DropDownRanges!$B$4:$B$37</definedName>
    <definedName name="MainDataEnd" localSheetId="1">#REF!</definedName>
    <definedName name="MainDataEnd" localSheetId="22">#REF!</definedName>
    <definedName name="MainDataEnd" localSheetId="20">#REF!</definedName>
    <definedName name="MainDataEnd" localSheetId="12">#REF!</definedName>
    <definedName name="MainDataEnd" localSheetId="13">#REF!</definedName>
    <definedName name="MainDataEnd" localSheetId="11">#REF!</definedName>
    <definedName name="MainDataEnd" localSheetId="14">#REF!</definedName>
    <definedName name="MainDataEnd" localSheetId="17">#REF!</definedName>
    <definedName name="MainDataEnd" localSheetId="15">#REF!</definedName>
    <definedName name="MainDataEnd" localSheetId="3">#REF!</definedName>
    <definedName name="MainDataEnd">#REF!</definedName>
    <definedName name="MainDataStart" localSheetId="1">#REF!</definedName>
    <definedName name="MainDataStart" localSheetId="22">#REF!</definedName>
    <definedName name="MainDataStart" localSheetId="20">#REF!</definedName>
    <definedName name="MainDataStart" localSheetId="12">#REF!</definedName>
    <definedName name="MainDataStart" localSheetId="13">#REF!</definedName>
    <definedName name="MainDataStart" localSheetId="11">#REF!</definedName>
    <definedName name="MainDataStart" localSheetId="14">#REF!</definedName>
    <definedName name="MainDataStart" localSheetId="17">#REF!</definedName>
    <definedName name="MainDataStart" localSheetId="15">#REF!</definedName>
    <definedName name="MainDataStart" localSheetId="3">#REF!</definedName>
    <definedName name="MainDataStart">#REF!</definedName>
    <definedName name="MapKeyStart" localSheetId="1">#REF!</definedName>
    <definedName name="MapKeyStart" localSheetId="22">#REF!</definedName>
    <definedName name="MapKeyStart" localSheetId="20">#REF!</definedName>
    <definedName name="MapKeyStart" localSheetId="12">#REF!</definedName>
    <definedName name="MapKeyStart" localSheetId="13">#REF!</definedName>
    <definedName name="MapKeyStart" localSheetId="11">#REF!</definedName>
    <definedName name="MapKeyStart" localSheetId="14">#REF!</definedName>
    <definedName name="MapKeyStart" localSheetId="17">#REF!</definedName>
    <definedName name="MapKeyStart" localSheetId="15">#REF!</definedName>
    <definedName name="MapKeyStart" localSheetId="3">#REF!</definedName>
    <definedName name="MapKeyStart">#REF!</definedName>
    <definedName name="master_def" localSheetId="1">#REF!</definedName>
    <definedName name="master_def" localSheetId="22">#REF!</definedName>
    <definedName name="master_def" localSheetId="20">#REF!</definedName>
    <definedName name="master_def" localSheetId="12">#REF!</definedName>
    <definedName name="master_def" localSheetId="13">#REF!</definedName>
    <definedName name="master_def" localSheetId="11">#REF!</definedName>
    <definedName name="master_def" localSheetId="14">#REF!</definedName>
    <definedName name="master_def" localSheetId="17">#REF!</definedName>
    <definedName name="master_def" localSheetId="15">#REF!</definedName>
    <definedName name="master_def" localSheetId="3">#REF!</definedName>
    <definedName name="master_def" localSheetId="21">#REF!</definedName>
    <definedName name="master_def">#REF!</definedName>
    <definedName name="MATRIX" localSheetId="1">#REF!</definedName>
    <definedName name="MATRIX" localSheetId="20">#REF!</definedName>
    <definedName name="MATRIX" localSheetId="12">#REF!</definedName>
    <definedName name="MATRIX" localSheetId="13">#REF!</definedName>
    <definedName name="MATRIX" localSheetId="11">#REF!</definedName>
    <definedName name="MATRIX" localSheetId="14">#REF!</definedName>
    <definedName name="MATRIX" localSheetId="17">#REF!</definedName>
    <definedName name="MATRIX" localSheetId="3">#REF!</definedName>
    <definedName name="MATRIX">#REF!</definedName>
    <definedName name="MemoAttachment" localSheetId="1">#REF!</definedName>
    <definedName name="MemoAttachment" localSheetId="22">#REF!</definedName>
    <definedName name="MemoAttachment" localSheetId="20">#REF!</definedName>
    <definedName name="MemoAttachment" localSheetId="12">#REF!</definedName>
    <definedName name="MemoAttachment" localSheetId="13">#REF!</definedName>
    <definedName name="MemoAttachment" localSheetId="11">#REF!</definedName>
    <definedName name="MemoAttachment" localSheetId="14">#REF!</definedName>
    <definedName name="MemoAttachment" localSheetId="17">#REF!</definedName>
    <definedName name="MemoAttachment" localSheetId="15">#REF!</definedName>
    <definedName name="MemoAttachment" localSheetId="3">#REF!</definedName>
    <definedName name="MemoAttachment">#REF!</definedName>
    <definedName name="MetaSet">[1]Orientation!$C$22</definedName>
    <definedName name="MFStaffPriceOut" localSheetId="1">'[15]Price Out-Reg EASTSIDE-Resi'!#REF!</definedName>
    <definedName name="MFStaffPriceOut" localSheetId="20">'[15]Price Out-Reg EASTSIDE-Resi'!#REF!</definedName>
    <definedName name="MFStaffPriceOut" localSheetId="12">'[15]Price Out-Reg EASTSIDE-Resi'!#REF!</definedName>
    <definedName name="MFStaffPriceOut" localSheetId="13">'[15]Price Out-Reg EASTSIDE-Resi'!#REF!</definedName>
    <definedName name="MFStaffPriceOut" localSheetId="11">'[15]Price Out-Reg EASTSIDE-Resi'!#REF!</definedName>
    <definedName name="MFStaffPriceOut" localSheetId="14">'[15]Price Out-Reg EASTSIDE-Resi'!#REF!</definedName>
    <definedName name="MFStaffPriceOut" localSheetId="17">'[15]Price Out-Reg EASTSIDE-Resi'!#REF!</definedName>
    <definedName name="MFStaffPriceOut" localSheetId="3">'[15]Price Out-Reg EASTSIDE-Resi'!#REF!</definedName>
    <definedName name="MFStaffPriceOut">'[15]Price Out-Reg EASTSIDE-Resi'!#REF!</definedName>
    <definedName name="MILTON" localSheetId="20">#REF!</definedName>
    <definedName name="MILTON" localSheetId="13">#REF!</definedName>
    <definedName name="MILTON" localSheetId="14">#REF!</definedName>
    <definedName name="MILTON" localSheetId="3">#REF!</definedName>
    <definedName name="MILTON">#REF!</definedName>
    <definedName name="MonthList" localSheetId="20">'[19]Lookup Tables'!$A$1:$A$13</definedName>
    <definedName name="MonthList" localSheetId="17">'[20]Lookup Tables'!$A$1:$A$13</definedName>
    <definedName name="MonthList">'[21]Lookup Tables'!$A$1:$A$13</definedName>
    <definedName name="NewLob" localSheetId="20">[27]DropDownRanges!$B$4:$B$37</definedName>
    <definedName name="NewLob">[27]DropDownRanges!$B$4:$B$37</definedName>
    <definedName name="NewOnlyOrg">#N/A</definedName>
    <definedName name="NewSource" localSheetId="20">[27]DropDownRanges!$D$4:$D$7</definedName>
    <definedName name="NewSource">[27]DropDownRanges!$D$4:$D$7</definedName>
    <definedName name="nn" localSheetId="1">#REF!</definedName>
    <definedName name="nn" localSheetId="20">#REF!</definedName>
    <definedName name="nn" localSheetId="12">#REF!</definedName>
    <definedName name="nn" localSheetId="13">#REF!</definedName>
    <definedName name="nn" localSheetId="11">#REF!</definedName>
    <definedName name="nn" localSheetId="14">#REF!</definedName>
    <definedName name="nn" localSheetId="17">#REF!</definedName>
    <definedName name="nn" localSheetId="3">#REF!</definedName>
    <definedName name="nn">#REF!</definedName>
    <definedName name="NOTES" localSheetId="1">#REF!</definedName>
    <definedName name="NOTES" localSheetId="22">#REF!</definedName>
    <definedName name="NOTES" localSheetId="20">#REF!</definedName>
    <definedName name="NOTES" localSheetId="12">#REF!</definedName>
    <definedName name="NOTES" localSheetId="13">#REF!</definedName>
    <definedName name="NOTES" localSheetId="11">#REF!</definedName>
    <definedName name="NOTES" localSheetId="14">#REF!</definedName>
    <definedName name="NOTES" localSheetId="17">#REF!</definedName>
    <definedName name="NOTES" localSheetId="15">#REF!</definedName>
    <definedName name="NOTES" localSheetId="3">#REF!</definedName>
    <definedName name="NOTES">#REF!</definedName>
    <definedName name="NR" localSheetId="1">#REF!</definedName>
    <definedName name="NR" localSheetId="22">#REF!</definedName>
    <definedName name="NR" localSheetId="20">#REF!</definedName>
    <definedName name="NR" localSheetId="12">#REF!</definedName>
    <definedName name="NR" localSheetId="13">#REF!</definedName>
    <definedName name="NR" localSheetId="11">#REF!</definedName>
    <definedName name="NR" localSheetId="14">#REF!</definedName>
    <definedName name="NR" localSheetId="17">#REF!</definedName>
    <definedName name="NR" localSheetId="15">#REF!</definedName>
    <definedName name="NR" localSheetId="3">#REF!</definedName>
    <definedName name="NR">#REF!</definedName>
    <definedName name="OfficerSalary">#N/A</definedName>
    <definedName name="OffsetAcctBil">[28]JEexport!$L$10</definedName>
    <definedName name="OffsetAcctPmt">[28]JEexport!$L$9</definedName>
    <definedName name="Org11_13">#N/A</definedName>
    <definedName name="Org7_10">#N/A</definedName>
    <definedName name="p" localSheetId="1">#REF!</definedName>
    <definedName name="p" localSheetId="22">#REF!</definedName>
    <definedName name="p" localSheetId="20">#REF!</definedName>
    <definedName name="p" localSheetId="12">#REF!</definedName>
    <definedName name="p" localSheetId="13">#REF!</definedName>
    <definedName name="p" localSheetId="11">#REF!</definedName>
    <definedName name="p" localSheetId="14">#REF!</definedName>
    <definedName name="p" localSheetId="17">#REF!</definedName>
    <definedName name="p" localSheetId="15">#REF!</definedName>
    <definedName name="p" localSheetId="3">#REF!</definedName>
    <definedName name="p">#REF!</definedName>
    <definedName name="PAGE_1" localSheetId="1">#REF!</definedName>
    <definedName name="PAGE_1" localSheetId="22">#REF!</definedName>
    <definedName name="PAGE_1" localSheetId="20">#REF!</definedName>
    <definedName name="PAGE_1" localSheetId="12">#REF!</definedName>
    <definedName name="PAGE_1" localSheetId="13">#REF!</definedName>
    <definedName name="PAGE_1" localSheetId="11">#REF!</definedName>
    <definedName name="PAGE_1" localSheetId="14">#REF!</definedName>
    <definedName name="PAGE_1" localSheetId="17">#REF!</definedName>
    <definedName name="PAGE_1" localSheetId="15">#REF!</definedName>
    <definedName name="PAGE_1" localSheetId="3">#REF!</definedName>
    <definedName name="PAGE_1">#REF!</definedName>
    <definedName name="Page16" localSheetId="1">#REF!</definedName>
    <definedName name="Page16" localSheetId="20">#REF!</definedName>
    <definedName name="Page16" localSheetId="12">#REF!</definedName>
    <definedName name="Page16" localSheetId="13">#REF!</definedName>
    <definedName name="Page16" localSheetId="11">#REF!</definedName>
    <definedName name="Page16" localSheetId="14">#REF!</definedName>
    <definedName name="Page16" localSheetId="17">#REF!</definedName>
    <definedName name="Page16" localSheetId="3">#REF!</definedName>
    <definedName name="Page16">#REF!</definedName>
    <definedName name="Page17" localSheetId="1">#REF!</definedName>
    <definedName name="Page17" localSheetId="20">#REF!</definedName>
    <definedName name="Page17" localSheetId="12">#REF!</definedName>
    <definedName name="Page17" localSheetId="13">#REF!</definedName>
    <definedName name="Page17" localSheetId="11">#REF!</definedName>
    <definedName name="Page17" localSheetId="14">#REF!</definedName>
    <definedName name="Page17" localSheetId="17">#REF!</definedName>
    <definedName name="Page17" localSheetId="3">#REF!</definedName>
    <definedName name="Page17">#REF!</definedName>
    <definedName name="Page18" localSheetId="1">#REF!</definedName>
    <definedName name="Page18" localSheetId="20">#REF!</definedName>
    <definedName name="Page18" localSheetId="12">#REF!</definedName>
    <definedName name="Page18" localSheetId="13">#REF!</definedName>
    <definedName name="Page18" localSheetId="11">#REF!</definedName>
    <definedName name="Page18" localSheetId="14">#REF!</definedName>
    <definedName name="Page18" localSheetId="17">#REF!</definedName>
    <definedName name="Page18" localSheetId="3">#REF!</definedName>
    <definedName name="Page18">#REF!</definedName>
    <definedName name="Page7a" localSheetId="1">#REF!</definedName>
    <definedName name="Page7a" localSheetId="20">#REF!</definedName>
    <definedName name="Page7a" localSheetId="12">#REF!</definedName>
    <definedName name="Page7a" localSheetId="13">#REF!</definedName>
    <definedName name="Page7a" localSheetId="11">#REF!</definedName>
    <definedName name="Page7a" localSheetId="14">#REF!</definedName>
    <definedName name="Page7a" localSheetId="17">#REF!</definedName>
    <definedName name="Page7a" localSheetId="3">#REF!</definedName>
    <definedName name="Page7a">#REF!</definedName>
    <definedName name="pBatchID" localSheetId="1">#REF!</definedName>
    <definedName name="pBatchID" localSheetId="22">#REF!</definedName>
    <definedName name="pBatchID" localSheetId="20">#REF!</definedName>
    <definedName name="pBatchID" localSheetId="12">#REF!</definedName>
    <definedName name="pBatchID" localSheetId="13">#REF!</definedName>
    <definedName name="pBatchID" localSheetId="11">#REF!</definedName>
    <definedName name="pBatchID" localSheetId="14">#REF!</definedName>
    <definedName name="pBatchID" localSheetId="17">#REF!</definedName>
    <definedName name="pBatchID" localSheetId="15">#REF!</definedName>
    <definedName name="pBatchID" localSheetId="3">#REF!</definedName>
    <definedName name="pBatchID">#REF!</definedName>
    <definedName name="pBillArea" localSheetId="1">#REF!</definedName>
    <definedName name="pBillArea" localSheetId="22">#REF!</definedName>
    <definedName name="pBillArea" localSheetId="20">#REF!</definedName>
    <definedName name="pBillArea" localSheetId="12">#REF!</definedName>
    <definedName name="pBillArea" localSheetId="13">#REF!</definedName>
    <definedName name="pBillArea" localSheetId="11">#REF!</definedName>
    <definedName name="pBillArea" localSheetId="14">#REF!</definedName>
    <definedName name="pBillArea" localSheetId="17">#REF!</definedName>
    <definedName name="pBillArea" localSheetId="15">#REF!</definedName>
    <definedName name="pBillArea" localSheetId="3">#REF!</definedName>
    <definedName name="pBillArea">#REF!</definedName>
    <definedName name="pBillCycle" localSheetId="1">#REF!</definedName>
    <definedName name="pBillCycle" localSheetId="22">#REF!</definedName>
    <definedName name="pBillCycle" localSheetId="20">#REF!</definedName>
    <definedName name="pBillCycle" localSheetId="12">#REF!</definedName>
    <definedName name="pBillCycle" localSheetId="13">#REF!</definedName>
    <definedName name="pBillCycle" localSheetId="11">#REF!</definedName>
    <definedName name="pBillCycle" localSheetId="14">#REF!</definedName>
    <definedName name="pBillCycle" localSheetId="17">#REF!</definedName>
    <definedName name="pBillCycle" localSheetId="15">#REF!</definedName>
    <definedName name="pBillCycle" localSheetId="3">#REF!</definedName>
    <definedName name="pBillCycle">#REF!</definedName>
    <definedName name="pCategory" localSheetId="1">#REF!</definedName>
    <definedName name="pCategory" localSheetId="22">#REF!</definedName>
    <definedName name="pCategory" localSheetId="20">#REF!</definedName>
    <definedName name="pCategory" localSheetId="12">#REF!</definedName>
    <definedName name="pCategory" localSheetId="13">#REF!</definedName>
    <definedName name="pCategory" localSheetId="11">#REF!</definedName>
    <definedName name="pCategory" localSheetId="14">#REF!</definedName>
    <definedName name="pCategory" localSheetId="17">#REF!</definedName>
    <definedName name="pCategory" localSheetId="15">#REF!</definedName>
    <definedName name="pCategory" localSheetId="3">#REF!</definedName>
    <definedName name="pCategory">#REF!</definedName>
    <definedName name="pCompany" localSheetId="1">#REF!</definedName>
    <definedName name="pCompany" localSheetId="22">#REF!</definedName>
    <definedName name="pCompany" localSheetId="20">#REF!</definedName>
    <definedName name="pCompany" localSheetId="12">#REF!</definedName>
    <definedName name="pCompany" localSheetId="13">#REF!</definedName>
    <definedName name="pCompany" localSheetId="11">#REF!</definedName>
    <definedName name="pCompany" localSheetId="14">#REF!</definedName>
    <definedName name="pCompany" localSheetId="17">#REF!</definedName>
    <definedName name="pCompany" localSheetId="15">#REF!</definedName>
    <definedName name="pCompany" localSheetId="3">#REF!</definedName>
    <definedName name="pCompany">#REF!</definedName>
    <definedName name="pCustomerNumber" localSheetId="1">#REF!</definedName>
    <definedName name="pCustomerNumber" localSheetId="22">#REF!</definedName>
    <definedName name="pCustomerNumber" localSheetId="20">#REF!</definedName>
    <definedName name="pCustomerNumber" localSheetId="12">#REF!</definedName>
    <definedName name="pCustomerNumber" localSheetId="13">#REF!</definedName>
    <definedName name="pCustomerNumber" localSheetId="11">#REF!</definedName>
    <definedName name="pCustomerNumber" localSheetId="14">#REF!</definedName>
    <definedName name="pCustomerNumber" localSheetId="17">#REF!</definedName>
    <definedName name="pCustomerNumber" localSheetId="15">#REF!</definedName>
    <definedName name="pCustomerNumber" localSheetId="3">#REF!</definedName>
    <definedName name="pCustomerNumber">#REF!</definedName>
    <definedName name="pDatabase" localSheetId="1">#REF!</definedName>
    <definedName name="pDatabase" localSheetId="22">#REF!</definedName>
    <definedName name="pDatabase" localSheetId="20">#REF!</definedName>
    <definedName name="pDatabase" localSheetId="12">#REF!</definedName>
    <definedName name="pDatabase" localSheetId="13">#REF!</definedName>
    <definedName name="pDatabase" localSheetId="11">#REF!</definedName>
    <definedName name="pDatabase" localSheetId="14">#REF!</definedName>
    <definedName name="pDatabase" localSheetId="17">#REF!</definedName>
    <definedName name="pDatabase" localSheetId="15">#REF!</definedName>
    <definedName name="pDatabase" localSheetId="3">#REF!</definedName>
    <definedName name="pDatabase">#REF!</definedName>
    <definedName name="pEndPostDate" localSheetId="1">#REF!</definedName>
    <definedName name="pEndPostDate" localSheetId="22">#REF!</definedName>
    <definedName name="pEndPostDate" localSheetId="20">#REF!</definedName>
    <definedName name="pEndPostDate" localSheetId="12">#REF!</definedName>
    <definedName name="pEndPostDate" localSheetId="13">#REF!</definedName>
    <definedName name="pEndPostDate" localSheetId="11">#REF!</definedName>
    <definedName name="pEndPostDate" localSheetId="14">#REF!</definedName>
    <definedName name="pEndPostDate" localSheetId="17">#REF!</definedName>
    <definedName name="pEndPostDate" localSheetId="15">#REF!</definedName>
    <definedName name="pEndPostDate" localSheetId="3">#REF!</definedName>
    <definedName name="pEndPostDate">#REF!</definedName>
    <definedName name="Period" localSheetId="1">#REF!</definedName>
    <definedName name="Period" localSheetId="22">#REF!</definedName>
    <definedName name="Period" localSheetId="20">#REF!</definedName>
    <definedName name="Period" localSheetId="12">#REF!</definedName>
    <definedName name="Period" localSheetId="13">#REF!</definedName>
    <definedName name="Period" localSheetId="11">#REF!</definedName>
    <definedName name="Period" localSheetId="14">#REF!</definedName>
    <definedName name="Period" localSheetId="17">#REF!</definedName>
    <definedName name="Period" localSheetId="15">#REF!</definedName>
    <definedName name="Period" localSheetId="3">#REF!</definedName>
    <definedName name="Period" localSheetId="21">#REF!</definedName>
    <definedName name="Period">#REF!</definedName>
    <definedName name="Pfd_weighted" localSheetId="12">'LG MSW'!$U$56</definedName>
    <definedName name="Pfd_weighted" localSheetId="13">'LG Recycle'!$U$56</definedName>
    <definedName name="Pfd_weighted" localSheetId="11">'LG UTC'!$V$56</definedName>
    <definedName name="Pfd_weighted" localSheetId="14">'LG YW'!$U$56</definedName>
    <definedName name="pMonth" localSheetId="1">#REF!</definedName>
    <definedName name="pMonth" localSheetId="22">#REF!</definedName>
    <definedName name="pMonth" localSheetId="20">#REF!</definedName>
    <definedName name="pMonth" localSheetId="12">#REF!</definedName>
    <definedName name="pMonth" localSheetId="13">#REF!</definedName>
    <definedName name="pMonth" localSheetId="11">#REF!</definedName>
    <definedName name="pMonth" localSheetId="14">#REF!</definedName>
    <definedName name="pMonth" localSheetId="17">#REF!</definedName>
    <definedName name="pMonth" localSheetId="15">#REF!</definedName>
    <definedName name="pMonth" localSheetId="3">#REF!</definedName>
    <definedName name="pMonth">#REF!</definedName>
    <definedName name="pOnlyShowLastTranx" localSheetId="1">#REF!</definedName>
    <definedName name="pOnlyShowLastTranx" localSheetId="22">#REF!</definedName>
    <definedName name="pOnlyShowLastTranx" localSheetId="20">#REF!</definedName>
    <definedName name="pOnlyShowLastTranx" localSheetId="12">#REF!</definedName>
    <definedName name="pOnlyShowLastTranx" localSheetId="13">#REF!</definedName>
    <definedName name="pOnlyShowLastTranx" localSheetId="11">#REF!</definedName>
    <definedName name="pOnlyShowLastTranx" localSheetId="14">#REF!</definedName>
    <definedName name="pOnlyShowLastTranx" localSheetId="17">#REF!</definedName>
    <definedName name="pOnlyShowLastTranx" localSheetId="15">#REF!</definedName>
    <definedName name="pOnlyShowLastTranx" localSheetId="3">#REF!</definedName>
    <definedName name="pOnlyShowLastTranx">#REF!</definedName>
    <definedName name="Posting" localSheetId="24">'57125 JE Query'!$P$15</definedName>
    <definedName name="Posting" localSheetId="25">'70095 JE Query (C)'!$P$15</definedName>
    <definedName name="Posting" localSheetId="26">'70195 JE Query'!$P$15</definedName>
    <definedName name="Posting" localSheetId="20">#REF!</definedName>
    <definedName name="Posting" localSheetId="23">'JE Query - 41121, 41129'!$P$15</definedName>
    <definedName name="Posting" localSheetId="12">#REF!</definedName>
    <definedName name="Posting" localSheetId="13">#REF!</definedName>
    <definedName name="Posting" localSheetId="11">#REF!</definedName>
    <definedName name="Posting" localSheetId="14">#REF!</definedName>
    <definedName name="Posting" localSheetId="17">#REF!</definedName>
    <definedName name="Posting" localSheetId="15">#REF!</definedName>
    <definedName name="Posting" localSheetId="3">#REF!</definedName>
    <definedName name="Posting">#REF!</definedName>
    <definedName name="primtbl">[1]Orientation!$C$23</definedName>
    <definedName name="_xlnm.Print_Area" localSheetId="0">'2180 IS (C)'!$D$1:$AI$354</definedName>
    <definedName name="_xlnm.Print_Area" localSheetId="28">'2180_BS 11-2018'!$D$7:$V$243</definedName>
    <definedName name="_xlnm.Print_Area" localSheetId="27">'2180_BS 11-2019'!$D$7:$V$248</definedName>
    <definedName name="_xlnm.Print_Area" localSheetId="1">'2182 IS'!$D$6:$AJ$284</definedName>
    <definedName name="_xlnm.Print_Area" localSheetId="24">'57125 JE Query'!$A$1:$N$84</definedName>
    <definedName name="_xlnm.Print_Area" localSheetId="25">'70095 JE Query (C)'!$A$1:$N$507</definedName>
    <definedName name="_xlnm.Print_Area" localSheetId="26">'70195 JE Query'!$A:$Q</definedName>
    <definedName name="_xlnm.Print_Area" localSheetId="2">'Converted IS (C)'!$A$1:$AA$295</definedName>
    <definedName name="_xlnm.Print_Area" localSheetId="22">#REF!</definedName>
    <definedName name="_xlnm.Print_Area" localSheetId="16">Deprec!$A$1:$AC$81</definedName>
    <definedName name="_xlnm.Print_Area" localSheetId="18">'Disposal (C)'!$A$1:$O$90,'Disposal (C)'!$P$7:$V$38</definedName>
    <definedName name="_xlnm.Print_Area" localSheetId="20">'DVP-DivCon Allocs  (C)'!$A$1:$I$31,'DVP-DivCon Allocs  (C)'!$K$1:$T$31</definedName>
    <definedName name="_xlnm.Print_Area" localSheetId="10">'FtL - Price Out'!$B$1:$AR$107</definedName>
    <definedName name="_xlnm.Print_Area" localSheetId="9">'JBLM Housing - Price Out'!$B$1:$AS$98</definedName>
    <definedName name="_xlnm.Print_Area" localSheetId="23">'JE Query - 41121, 41129'!$A$1:$N$85</definedName>
    <definedName name="_xlnm.Print_Area" localSheetId="12">'LG MSW'!$B$2:$N$49</definedName>
    <definedName name="_xlnm.Print_Area" localSheetId="13">'LG Recycle'!$B$1:$N$49</definedName>
    <definedName name="_xlnm.Print_Area" localSheetId="11">'LG UTC'!$B$1:$Q$50</definedName>
    <definedName name="_xlnm.Print_Area" localSheetId="14">'LG YW'!$B$2:$N$49</definedName>
    <definedName name="_xlnm.Print_Area" localSheetId="17">Payroll!#REF!</definedName>
    <definedName name="_xlnm.Print_Area" localSheetId="7">'Pro forma Adj'!$A$1:$E$65</definedName>
    <definedName name="_xlnm.Print_Area" localSheetId="15">'Rate Sheet'!$A$1:$E$459</definedName>
    <definedName name="_xlnm.Print_Area" localSheetId="4">'Ratios (C)'!$A$1:$T$68</definedName>
    <definedName name="_xlnm.Print_Area" localSheetId="8">'Reg - Price Out '!$B$1:$AT$278,'Reg - Price Out '!$AU$10:$BA$54</definedName>
    <definedName name="_xlnm.Print_Area" localSheetId="3">'Reg by LOB'!$A$1:$I$295,'Reg by LOB'!$K$41:$P$56</definedName>
    <definedName name="_xlnm.Print_Area" localSheetId="21">'RegionOH (C)'!$A$1:$AJ$54</definedName>
    <definedName name="_xlnm.Print_Area" localSheetId="5">'Restating Adj'!$A$1:$L$88,'Restating Adj'!$O$8:$Z$59</definedName>
    <definedName name="_xlnm.Print_Area">#REF!</definedName>
    <definedName name="Print_Area_MI" localSheetId="1">#REF!</definedName>
    <definedName name="Print_Area_MI" localSheetId="22">#REF!</definedName>
    <definedName name="Print_Area_MI" localSheetId="20">#REF!</definedName>
    <definedName name="Print_Area_MI" localSheetId="12">#REF!</definedName>
    <definedName name="Print_Area_MI" localSheetId="13">#REF!</definedName>
    <definedName name="Print_Area_MI" localSheetId="11">#REF!</definedName>
    <definedName name="Print_Area_MI" localSheetId="14">#REF!</definedName>
    <definedName name="Print_Area_MI" localSheetId="17">#REF!</definedName>
    <definedName name="Print_Area_MI" localSheetId="15">#REF!</definedName>
    <definedName name="Print_Area_MI" localSheetId="3">#REF!</definedName>
    <definedName name="Print_Area_MI">#REF!</definedName>
    <definedName name="Print_Area_MIc" localSheetId="20">#REF!</definedName>
    <definedName name="Print_Area_MIc" localSheetId="12">#REF!</definedName>
    <definedName name="Print_Area_MIc" localSheetId="13">#REF!</definedName>
    <definedName name="Print_Area_MIc" localSheetId="11">#REF!</definedName>
    <definedName name="Print_Area_MIc" localSheetId="14">#REF!</definedName>
    <definedName name="Print_Area_MIc" localSheetId="17">#REF!</definedName>
    <definedName name="Print_Area_MIc" localSheetId="15">#REF!</definedName>
    <definedName name="Print_Area_MIc" localSheetId="3">#REF!</definedName>
    <definedName name="Print_Area_MIc">#REF!</definedName>
    <definedName name="Print_Area1" localSheetId="1">#REF!</definedName>
    <definedName name="Print_Area1" localSheetId="22">#REF!</definedName>
    <definedName name="Print_Area1" localSheetId="20">#REF!</definedName>
    <definedName name="Print_Area1" localSheetId="12">#REF!</definedName>
    <definedName name="Print_Area1" localSheetId="13">#REF!</definedName>
    <definedName name="Print_Area1" localSheetId="11">#REF!</definedName>
    <definedName name="Print_Area1" localSheetId="14">#REF!</definedName>
    <definedName name="Print_Area1" localSheetId="17">#REF!</definedName>
    <definedName name="Print_Area1" localSheetId="15">#REF!</definedName>
    <definedName name="Print_Area1" localSheetId="3">#REF!</definedName>
    <definedName name="Print_Area1">#REF!</definedName>
    <definedName name="Print_Area2" localSheetId="1">#REF!</definedName>
    <definedName name="Print_Area2" localSheetId="22">#REF!</definedName>
    <definedName name="Print_Area2" localSheetId="20">#REF!</definedName>
    <definedName name="Print_Area2" localSheetId="12">#REF!</definedName>
    <definedName name="Print_Area2" localSheetId="13">#REF!</definedName>
    <definedName name="Print_Area2" localSheetId="11">#REF!</definedName>
    <definedName name="Print_Area2" localSheetId="14">#REF!</definedName>
    <definedName name="Print_Area2" localSheetId="17">#REF!</definedName>
    <definedName name="Print_Area2" localSheetId="15">#REF!</definedName>
    <definedName name="Print_Area2" localSheetId="3">#REF!</definedName>
    <definedName name="Print_Area2">#REF!</definedName>
    <definedName name="Print_Area3" localSheetId="1">#REF!</definedName>
    <definedName name="Print_Area3" localSheetId="22">#REF!</definedName>
    <definedName name="Print_Area3" localSheetId="20">#REF!</definedName>
    <definedName name="Print_Area3" localSheetId="12">#REF!</definedName>
    <definedName name="Print_Area3" localSheetId="13">#REF!</definedName>
    <definedName name="Print_Area3" localSheetId="11">#REF!</definedName>
    <definedName name="Print_Area3" localSheetId="14">#REF!</definedName>
    <definedName name="Print_Area3" localSheetId="17">#REF!</definedName>
    <definedName name="Print_Area3" localSheetId="15">#REF!</definedName>
    <definedName name="Print_Area3" localSheetId="3">#REF!</definedName>
    <definedName name="Print_Area3">#REF!</definedName>
    <definedName name="Print_Area5" localSheetId="1">#REF!</definedName>
    <definedName name="Print_Area5" localSheetId="22">#REF!</definedName>
    <definedName name="Print_Area5" localSheetId="20">#REF!</definedName>
    <definedName name="Print_Area5" localSheetId="12">#REF!</definedName>
    <definedName name="Print_Area5" localSheetId="13">#REF!</definedName>
    <definedName name="Print_Area5" localSheetId="11">#REF!</definedName>
    <definedName name="Print_Area5" localSheetId="14">#REF!</definedName>
    <definedName name="Print_Area5" localSheetId="17">#REF!</definedName>
    <definedName name="Print_Area5" localSheetId="15">#REF!</definedName>
    <definedName name="Print_Area5" localSheetId="3">#REF!</definedName>
    <definedName name="Print_Area5">#REF!</definedName>
    <definedName name="_xlnm.Print_Titles" localSheetId="0">'2180 IS (C)'!$D:$H,'2180 IS (C)'!$1:$8</definedName>
    <definedName name="_xlnm.Print_Titles" localSheetId="28">'2180_BS 11-2018'!$D:$H,'2180_BS 11-2018'!$7:$15</definedName>
    <definedName name="_xlnm.Print_Titles" localSheetId="27">'2180_BS 11-2019'!$D:$H,'2180_BS 11-2019'!$7:$15</definedName>
    <definedName name="_xlnm.Print_Titles" localSheetId="1">'2182 IS'!$D:$H,'2182 IS'!$6:$13</definedName>
    <definedName name="_xlnm.Print_Titles" localSheetId="24">'57125 JE Query'!$B:$B,'57125 JE Query'!$9:$20</definedName>
    <definedName name="_xlnm.Print_Titles" localSheetId="25">'70095 JE Query (C)'!$B:$B,'70095 JE Query (C)'!$9:$20</definedName>
    <definedName name="_xlnm.Print_Titles" localSheetId="26">'70195 JE Query'!$B:$B,'70195 JE Query'!$9:$20</definedName>
    <definedName name="_xlnm.Print_Titles" localSheetId="2">'Converted IS (C)'!$1:$8</definedName>
    <definedName name="_xlnm.Print_Titles" localSheetId="22">'Corp OH (C)'!$7:$10</definedName>
    <definedName name="_xlnm.Print_Titles" localSheetId="10">'FtL - Price Out'!$1:$7</definedName>
    <definedName name="_xlnm.Print_Titles" localSheetId="9">'JBLM Housing - Price Out'!$1:$7</definedName>
    <definedName name="_xlnm.Print_Titles" localSheetId="23">'JE Query - 41121, 41129'!$B:$B,'JE Query - 41121, 41129'!$9:$20</definedName>
    <definedName name="_xlnm.Print_Titles" localSheetId="15">'Rate Sheet'!$1:$9</definedName>
    <definedName name="_xlnm.Print_Titles" localSheetId="8">'Reg - Price Out '!$1:$7</definedName>
    <definedName name="_xlnm.Print_Titles" localSheetId="3">'Reg by LOB'!$1:$8</definedName>
    <definedName name="_xlnm.Print_Titles" localSheetId="21">'RegionOH (C)'!$A:$E,'RegionOH (C)'!$1:$7</definedName>
    <definedName name="Print1" localSheetId="1">#REF!</definedName>
    <definedName name="Print1" localSheetId="22">#REF!</definedName>
    <definedName name="Print1" localSheetId="20">#REF!</definedName>
    <definedName name="Print1" localSheetId="12">#REF!</definedName>
    <definedName name="Print1" localSheetId="13">#REF!</definedName>
    <definedName name="Print1" localSheetId="11">#REF!</definedName>
    <definedName name="Print1" localSheetId="14">#REF!</definedName>
    <definedName name="Print1" localSheetId="17">#REF!</definedName>
    <definedName name="Print1" localSheetId="15">#REF!</definedName>
    <definedName name="Print1" localSheetId="3">#REF!</definedName>
    <definedName name="Print1">#REF!</definedName>
    <definedName name="Print2" localSheetId="1">#REF!</definedName>
    <definedName name="Print2" localSheetId="22">#REF!</definedName>
    <definedName name="Print2" localSheetId="20">#REF!</definedName>
    <definedName name="Print2" localSheetId="12">#REF!</definedName>
    <definedName name="Print2" localSheetId="13">#REF!</definedName>
    <definedName name="Print2" localSheetId="11">#REF!</definedName>
    <definedName name="Print2" localSheetId="14">#REF!</definedName>
    <definedName name="Print2" localSheetId="17">#REF!</definedName>
    <definedName name="Print2" localSheetId="15">#REF!</definedName>
    <definedName name="Print2" localSheetId="3">#REF!</definedName>
    <definedName name="Print2">#REF!</definedName>
    <definedName name="Print5" localSheetId="1">#REF!</definedName>
    <definedName name="Print5" localSheetId="22">#REF!</definedName>
    <definedName name="Print5" localSheetId="20">#REF!</definedName>
    <definedName name="Print5" localSheetId="12">#REF!</definedName>
    <definedName name="Print5" localSheetId="13">#REF!</definedName>
    <definedName name="Print5" localSheetId="11">#REF!</definedName>
    <definedName name="Print5" localSheetId="14">#REF!</definedName>
    <definedName name="Print5" localSheetId="17">#REF!</definedName>
    <definedName name="Print5" localSheetId="15">#REF!</definedName>
    <definedName name="Print5" localSheetId="3">#REF!</definedName>
    <definedName name="Print5">#REF!</definedName>
    <definedName name="ProRev" localSheetId="22">'[7]Pacific Regulated - Price Out'!$M$49</definedName>
    <definedName name="ProRev" localSheetId="20">'[8]Pacific Regulated - Price Out'!$M$49</definedName>
    <definedName name="ProRev" localSheetId="17">'[9]Pacific Regulated - Price Out'!$M$49</definedName>
    <definedName name="ProRev" localSheetId="15">'[10]Pacific Regulated - Price Out'!$M$49</definedName>
    <definedName name="ProRev">'[8]Pacific Regulated - Price Out'!$M$49</definedName>
    <definedName name="ProRev_com" localSheetId="22">'[7]Pacific Regulated - Price Out'!$M$213</definedName>
    <definedName name="ProRev_com" localSheetId="20">'[8]Pacific Regulated - Price Out'!$M$213</definedName>
    <definedName name="ProRev_com" localSheetId="17">'[9]Pacific Regulated - Price Out'!$M$213</definedName>
    <definedName name="ProRev_com" localSheetId="15">'[10]Pacific Regulated - Price Out'!$M$213</definedName>
    <definedName name="ProRev_com">'[8]Pacific Regulated - Price Out'!$M$213</definedName>
    <definedName name="ProRev_mfr" localSheetId="22">'[7]Pacific Regulated - Price Out'!$M$221</definedName>
    <definedName name="ProRev_mfr" localSheetId="20">'[8]Pacific Regulated - Price Out'!$M$221</definedName>
    <definedName name="ProRev_mfr" localSheetId="17">'[9]Pacific Regulated - Price Out'!$M$221</definedName>
    <definedName name="ProRev_mfr" localSheetId="15">'[10]Pacific Regulated - Price Out'!$M$221</definedName>
    <definedName name="ProRev_mfr">'[8]Pacific Regulated - Price Out'!$M$221</definedName>
    <definedName name="ProRev_ro" localSheetId="22">'[7]Pacific Regulated - Price Out'!$M$281</definedName>
    <definedName name="ProRev_ro" localSheetId="20">'[8]Pacific Regulated - Price Out'!$M$281</definedName>
    <definedName name="ProRev_ro" localSheetId="17">'[9]Pacific Regulated - Price Out'!$M$281</definedName>
    <definedName name="ProRev_ro" localSheetId="15">'[10]Pacific Regulated - Price Out'!$M$281</definedName>
    <definedName name="ProRev_ro">'[8]Pacific Regulated - Price Out'!$M$281</definedName>
    <definedName name="ProRev_rr" localSheetId="22">'[7]Pacific Regulated - Price Out'!$M$58</definedName>
    <definedName name="ProRev_rr" localSheetId="20">'[8]Pacific Regulated - Price Out'!$M$58</definedName>
    <definedName name="ProRev_rr" localSheetId="17">'[9]Pacific Regulated - Price Out'!$M$58</definedName>
    <definedName name="ProRev_rr" localSheetId="15">'[10]Pacific Regulated - Price Out'!$M$58</definedName>
    <definedName name="ProRev_rr">'[8]Pacific Regulated - Price Out'!$M$58</definedName>
    <definedName name="ProRev_yw" localSheetId="22">'[7]Pacific Regulated - Price Out'!$M$69</definedName>
    <definedName name="ProRev_yw" localSheetId="20">'[8]Pacific Regulated - Price Out'!$M$69</definedName>
    <definedName name="ProRev_yw" localSheetId="17">'[9]Pacific Regulated - Price Out'!$M$69</definedName>
    <definedName name="ProRev_yw" localSheetId="15">'[10]Pacific Regulated - Price Out'!$M$69</definedName>
    <definedName name="ProRev_yw">'[8]Pacific Regulated - Price Out'!$M$69</definedName>
    <definedName name="pServer" localSheetId="1">#REF!</definedName>
    <definedName name="pServer" localSheetId="22">#REF!</definedName>
    <definedName name="pServer" localSheetId="20">#REF!</definedName>
    <definedName name="pServer" localSheetId="12">#REF!</definedName>
    <definedName name="pServer" localSheetId="13">#REF!</definedName>
    <definedName name="pServer" localSheetId="11">#REF!</definedName>
    <definedName name="pServer" localSheetId="14">#REF!</definedName>
    <definedName name="pServer" localSheetId="17">#REF!</definedName>
    <definedName name="pServer" localSheetId="15">#REF!</definedName>
    <definedName name="pServer" localSheetId="3">#REF!</definedName>
    <definedName name="pServer">#REF!</definedName>
    <definedName name="pServiceCode" localSheetId="1">#REF!</definedName>
    <definedName name="pServiceCode" localSheetId="22">#REF!</definedName>
    <definedName name="pServiceCode" localSheetId="20">#REF!</definedName>
    <definedName name="pServiceCode" localSheetId="12">#REF!</definedName>
    <definedName name="pServiceCode" localSheetId="13">#REF!</definedName>
    <definedName name="pServiceCode" localSheetId="11">#REF!</definedName>
    <definedName name="pServiceCode" localSheetId="14">#REF!</definedName>
    <definedName name="pServiceCode" localSheetId="17">#REF!</definedName>
    <definedName name="pServiceCode" localSheetId="15">#REF!</definedName>
    <definedName name="pServiceCode" localSheetId="3">#REF!</definedName>
    <definedName name="pServiceCode">#REF!</definedName>
    <definedName name="pShowAllUnposted" localSheetId="1">#REF!</definedName>
    <definedName name="pShowAllUnposted" localSheetId="22">#REF!</definedName>
    <definedName name="pShowAllUnposted" localSheetId="20">#REF!</definedName>
    <definedName name="pShowAllUnposted" localSheetId="12">#REF!</definedName>
    <definedName name="pShowAllUnposted" localSheetId="13">#REF!</definedName>
    <definedName name="pShowAllUnposted" localSheetId="11">#REF!</definedName>
    <definedName name="pShowAllUnposted" localSheetId="14">#REF!</definedName>
    <definedName name="pShowAllUnposted" localSheetId="17">#REF!</definedName>
    <definedName name="pShowAllUnposted" localSheetId="15">#REF!</definedName>
    <definedName name="pShowAllUnposted" localSheetId="3">#REF!</definedName>
    <definedName name="pShowAllUnposted">#REF!</definedName>
    <definedName name="pShowCustomerDetail" localSheetId="1">#REF!</definedName>
    <definedName name="pShowCustomerDetail" localSheetId="22">#REF!</definedName>
    <definedName name="pShowCustomerDetail" localSheetId="20">#REF!</definedName>
    <definedName name="pShowCustomerDetail" localSheetId="12">#REF!</definedName>
    <definedName name="pShowCustomerDetail" localSheetId="13">#REF!</definedName>
    <definedName name="pShowCustomerDetail" localSheetId="11">#REF!</definedName>
    <definedName name="pShowCustomerDetail" localSheetId="14">#REF!</definedName>
    <definedName name="pShowCustomerDetail" localSheetId="17">#REF!</definedName>
    <definedName name="pShowCustomerDetail" localSheetId="15">#REF!</definedName>
    <definedName name="pShowCustomerDetail" localSheetId="3">#REF!</definedName>
    <definedName name="pShowCustomerDetail">#REF!</definedName>
    <definedName name="pSortOption" localSheetId="1">#REF!</definedName>
    <definedName name="pSortOption" localSheetId="22">#REF!</definedName>
    <definedName name="pSortOption" localSheetId="20">#REF!</definedName>
    <definedName name="pSortOption" localSheetId="12">#REF!</definedName>
    <definedName name="pSortOption" localSheetId="13">#REF!</definedName>
    <definedName name="pSortOption" localSheetId="11">#REF!</definedName>
    <definedName name="pSortOption" localSheetId="14">#REF!</definedName>
    <definedName name="pSortOption" localSheetId="17">#REF!</definedName>
    <definedName name="pSortOption" localSheetId="15">#REF!</definedName>
    <definedName name="pSortOption" localSheetId="3">#REF!</definedName>
    <definedName name="pSortOption">#REF!</definedName>
    <definedName name="pStartPostDate" localSheetId="1">#REF!</definedName>
    <definedName name="pStartPostDate" localSheetId="22">#REF!</definedName>
    <definedName name="pStartPostDate" localSheetId="20">#REF!</definedName>
    <definedName name="pStartPostDate" localSheetId="12">#REF!</definedName>
    <definedName name="pStartPostDate" localSheetId="13">#REF!</definedName>
    <definedName name="pStartPostDate" localSheetId="11">#REF!</definedName>
    <definedName name="pStartPostDate" localSheetId="14">#REF!</definedName>
    <definedName name="pStartPostDate" localSheetId="17">#REF!</definedName>
    <definedName name="pStartPostDate" localSheetId="15">#REF!</definedName>
    <definedName name="pStartPostDate" localSheetId="3">#REF!</definedName>
    <definedName name="pStartPostDate">#REF!</definedName>
    <definedName name="pTransType" localSheetId="1">#REF!</definedName>
    <definedName name="pTransType" localSheetId="22">#REF!</definedName>
    <definedName name="pTransType" localSheetId="20">#REF!</definedName>
    <definedName name="pTransType" localSheetId="12">#REF!</definedName>
    <definedName name="pTransType" localSheetId="13">#REF!</definedName>
    <definedName name="pTransType" localSheetId="11">#REF!</definedName>
    <definedName name="pTransType" localSheetId="14">#REF!</definedName>
    <definedName name="pTransType" localSheetId="17">#REF!</definedName>
    <definedName name="pTransType" localSheetId="15">#REF!</definedName>
    <definedName name="pTransType" localSheetId="3">#REF!</definedName>
    <definedName name="pTransType">#REF!</definedName>
    <definedName name="RCW_81.04.080">#N/A</definedName>
    <definedName name="RecyDisposal">#N/A</definedName>
    <definedName name="Reg_Cust_Billed_Percent" localSheetId="20">'[29]Consolidated IS 2009 2010'!$AK$20</definedName>
    <definedName name="Reg_Cust_Billed_Percent" localSheetId="17">'[30]Consolidated IS 2009 2010'!$AK$20</definedName>
    <definedName name="Reg_Cust_Billed_Percent">'[31]Consolidated IS 2009 2010'!$AK$20</definedName>
    <definedName name="Reg_Cust_Percent" localSheetId="20">'[29]Consolidated IS 2009 2010'!$AC$20</definedName>
    <definedName name="Reg_Cust_Percent" localSheetId="17">'[30]Consolidated IS 2009 2010'!$AC$20</definedName>
    <definedName name="Reg_Cust_Percent">'[31]Consolidated IS 2009 2010'!$AC$20</definedName>
    <definedName name="Reg_Drive_Percent" localSheetId="20">'[29]Consolidated IS 2009 2010'!$AC$40</definedName>
    <definedName name="Reg_Drive_Percent" localSheetId="17">'[30]Consolidated IS 2009 2010'!$AC$40</definedName>
    <definedName name="Reg_Drive_Percent">'[31]Consolidated IS 2009 2010'!$AC$40</definedName>
    <definedName name="Reg_Haul_Rev_Percent" localSheetId="20">'[29]Consolidated IS 2009 2010'!$Z$18</definedName>
    <definedName name="Reg_Haul_Rev_Percent" localSheetId="17">'[30]Consolidated IS 2009 2010'!$Z$18</definedName>
    <definedName name="Reg_Haul_Rev_Percent">'[31]Consolidated IS 2009 2010'!$Z$18</definedName>
    <definedName name="Reg_Lab_Percent" localSheetId="20">'[29]Consolidated IS 2009 2010'!$AC$39</definedName>
    <definedName name="Reg_Lab_Percent" localSheetId="17">'[30]Consolidated IS 2009 2010'!$AC$39</definedName>
    <definedName name="Reg_Lab_Percent">'[31]Consolidated IS 2009 2010'!$AC$39</definedName>
    <definedName name="Reg_Steel_Cont_Percent" localSheetId="20">'[29]Consolidated IS 2009 2010'!$AE$120</definedName>
    <definedName name="Reg_Steel_Cont_Percent" localSheetId="17">'[30]Consolidated IS 2009 2010'!$AE$120</definedName>
    <definedName name="Reg_Steel_Cont_Percent">'[31]Consolidated IS 2009 2010'!$AE$120</definedName>
    <definedName name="regDebt_weighted" localSheetId="12">'LG MSW'!$U$55</definedName>
    <definedName name="regDebt_weighted" localSheetId="13">'LG Recycle'!$U$55</definedName>
    <definedName name="regDebt_weighted" localSheetId="11">'LG UTC'!$V$55</definedName>
    <definedName name="regDebt_weighted" localSheetId="14">'LG YW'!$U$55</definedName>
    <definedName name="RegulatedIS" localSheetId="20">'[29]2009 IS'!$A$12:$Q$655</definedName>
    <definedName name="RegulatedIS" localSheetId="17">'[30]2009 IS'!$A$12:$Q$655</definedName>
    <definedName name="RegulatedIS">'[31]2009 IS'!$A$12:$Q$655</definedName>
    <definedName name="RelatedSalary">#N/A</definedName>
    <definedName name="report_type">[1]Orientation!$C$24</definedName>
    <definedName name="ReportNames">[32]ControlPanel!$S$2:$S$16</definedName>
    <definedName name="ReportVersion">[1]Settings!$D$5</definedName>
    <definedName name="ReslStaffPriceOut" localSheetId="1">'[15]Price Out-Reg EASTSIDE-Resi'!#REF!</definedName>
    <definedName name="ReslStaffPriceOut" localSheetId="20">'[15]Price Out-Reg EASTSIDE-Resi'!#REF!</definedName>
    <definedName name="ReslStaffPriceOut" localSheetId="12">'[15]Price Out-Reg EASTSIDE-Resi'!#REF!</definedName>
    <definedName name="ReslStaffPriceOut" localSheetId="13">'[15]Price Out-Reg EASTSIDE-Resi'!#REF!</definedName>
    <definedName name="ReslStaffPriceOut" localSheetId="11">'[15]Price Out-Reg EASTSIDE-Resi'!#REF!</definedName>
    <definedName name="ReslStaffPriceOut" localSheetId="14">'[15]Price Out-Reg EASTSIDE-Resi'!#REF!</definedName>
    <definedName name="ReslStaffPriceOut" localSheetId="17">'[15]Price Out-Reg EASTSIDE-Resi'!#REF!</definedName>
    <definedName name="ReslStaffPriceOut" localSheetId="3">'[15]Price Out-Reg EASTSIDE-Resi'!#REF!</definedName>
    <definedName name="ReslStaffPriceOut">'[15]Price Out-Reg EASTSIDE-Resi'!#REF!</definedName>
    <definedName name="RetainedEarnings" localSheetId="1">#REF!</definedName>
    <definedName name="RetainedEarnings" localSheetId="22">#REF!</definedName>
    <definedName name="RetainedEarnings" localSheetId="20">#REF!</definedName>
    <definedName name="RetainedEarnings" localSheetId="12">#REF!</definedName>
    <definedName name="RetainedEarnings" localSheetId="13">#REF!</definedName>
    <definedName name="RetainedEarnings" localSheetId="11">#REF!</definedName>
    <definedName name="RetainedEarnings" localSheetId="14">#REF!</definedName>
    <definedName name="RetainedEarnings" localSheetId="17">#REF!</definedName>
    <definedName name="RetainedEarnings" localSheetId="15">#REF!</definedName>
    <definedName name="RetainedEarnings" localSheetId="3">#REF!</definedName>
    <definedName name="RetainedEarnings">#REF!</definedName>
    <definedName name="RevCust" localSheetId="1">'[33]RevenuesCust, pg 8'!#REF!</definedName>
    <definedName name="RevCust" localSheetId="22">[34]RevenuesCust!#REF!</definedName>
    <definedName name="RevCust" localSheetId="20">[35]RevenuesCust!#REF!</definedName>
    <definedName name="RevCust" localSheetId="12">'[33]RevenuesCust, pg 8'!#REF!</definedName>
    <definedName name="RevCust" localSheetId="13">'[33]RevenuesCust, pg 8'!#REF!</definedName>
    <definedName name="RevCust" localSheetId="11">'[33]RevenuesCust, pg 8'!#REF!</definedName>
    <definedName name="RevCust" localSheetId="14">'[33]RevenuesCust, pg 8'!#REF!</definedName>
    <definedName name="RevCust" localSheetId="17">'[33]RevenuesCust, pg 8'!#REF!</definedName>
    <definedName name="RevCust" localSheetId="15">[36]RevenuesCust!#REF!</definedName>
    <definedName name="RevCust" localSheetId="3">'[33]RevenuesCust, pg 8'!#REF!</definedName>
    <definedName name="RevCust">'[33]RevenuesCust, pg 8'!#REF!</definedName>
    <definedName name="RevCustomer" localSheetId="1">#REF!</definedName>
    <definedName name="RevCustomer" localSheetId="22">#REF!</definedName>
    <definedName name="RevCustomer" localSheetId="20">#REF!</definedName>
    <definedName name="RevCustomer" localSheetId="12">#REF!</definedName>
    <definedName name="RevCustomer" localSheetId="13">#REF!</definedName>
    <definedName name="RevCustomer" localSheetId="11">#REF!</definedName>
    <definedName name="RevCustomer" localSheetId="14">#REF!</definedName>
    <definedName name="RevCustomer" localSheetId="17">#REF!</definedName>
    <definedName name="RevCustomer" localSheetId="15">#REF!</definedName>
    <definedName name="RevCustomer" localSheetId="3">#REF!</definedName>
    <definedName name="RevCustomer">#REF!</definedName>
    <definedName name="Revenue" localSheetId="12">'LG MSW'!$I$7</definedName>
    <definedName name="Revenue" localSheetId="13">'LG Recycle'!$I$7</definedName>
    <definedName name="Revenue" localSheetId="11">'LG UTC'!$I$7</definedName>
    <definedName name="Revenue" localSheetId="14">'LG YW'!$I$7</definedName>
    <definedName name="RevenuePF1" localSheetId="20">#REF!</definedName>
    <definedName name="RevenuePF1" localSheetId="12">#REF!</definedName>
    <definedName name="RevenuePF1" localSheetId="13">#REF!</definedName>
    <definedName name="RevenuePF1" localSheetId="11">#REF!</definedName>
    <definedName name="RevenuePF1" localSheetId="14">#REF!</definedName>
    <definedName name="RevenuePF1" localSheetId="17">#REF!</definedName>
    <definedName name="RevenuePF1" localSheetId="15">#REF!</definedName>
    <definedName name="RevenuePF1" localSheetId="3">#REF!</definedName>
    <definedName name="RevenuePF1">#REF!</definedName>
    <definedName name="rngCreateLog">[1]Delivery!$B$12</definedName>
    <definedName name="rngFilePassword">[1]Delivery!$B$6</definedName>
    <definedName name="rngSourceTab">[1]Delivery!$E$8</definedName>
    <definedName name="rowgroup">[1]Orientation!$C$17</definedName>
    <definedName name="rowsegment">[1]Orientation!$B$17</definedName>
    <definedName name="seffasfasdfsd" localSheetId="12">[6]Hidden!#REF!</definedName>
    <definedName name="seffasfasdfsd" localSheetId="13">[6]Hidden!#REF!</definedName>
    <definedName name="seffasfasdfsd" localSheetId="11">[6]Hidden!#REF!</definedName>
    <definedName name="seffasfasdfsd" localSheetId="14">[6]Hidden!#REF!</definedName>
    <definedName name="seffasfasdfsd" localSheetId="17">[6]Hidden!#REF!</definedName>
    <definedName name="seffasfasdfsd" localSheetId="15">[6]Hidden!#REF!</definedName>
    <definedName name="seffasfasdfsd" localSheetId="3">[6]Hidden!#REF!</definedName>
    <definedName name="seffasfasdfsd">[6]Hidden!#REF!</definedName>
    <definedName name="Sequential_Group">[1]Settings!$J$6</definedName>
    <definedName name="Sequential_Segment">[1]Settings!$I$6</definedName>
    <definedName name="Sequential_sort">[1]Settings!$I$10:$J$11</definedName>
    <definedName name="slope" localSheetId="20">'[37]LG Nonpublic 2018 V5.0'!$X$58</definedName>
    <definedName name="slope" localSheetId="12">'LG MSW'!$Y$57</definedName>
    <definedName name="slope" localSheetId="13">'LG Recycle'!$Y$57</definedName>
    <definedName name="slope" localSheetId="11">'LG UTC'!$Z$57</definedName>
    <definedName name="slope" localSheetId="14">'LG YW'!$Y$57</definedName>
    <definedName name="slope" localSheetId="17">'[38]LG Nonpublic 2018 V5.0'!$X$58</definedName>
    <definedName name="slope">'[37]LG Nonpublic 2018 V5.0'!$X$58</definedName>
    <definedName name="sortcol" localSheetId="1">#REF!</definedName>
    <definedName name="sortcol" localSheetId="22">#REF!</definedName>
    <definedName name="sortcol" localSheetId="20">#REF!</definedName>
    <definedName name="sortcol" localSheetId="12">#REF!</definedName>
    <definedName name="sortcol" localSheetId="13">#REF!</definedName>
    <definedName name="sortcol" localSheetId="11">#REF!</definedName>
    <definedName name="sortcol" localSheetId="14">#REF!</definedName>
    <definedName name="sortcol" localSheetId="17">#REF!</definedName>
    <definedName name="sortcol" localSheetId="15">#REF!</definedName>
    <definedName name="sortcol" localSheetId="3">#REF!</definedName>
    <definedName name="sortcol" localSheetId="21">#REF!</definedName>
    <definedName name="sortcol">#REF!</definedName>
    <definedName name="Source" localSheetId="20">[27]DropDownRanges!$D$4:$D$7</definedName>
    <definedName name="Source">[27]DropDownRanges!$D$4:$D$7</definedName>
    <definedName name="sSRCDate" localSheetId="1">'[39]Feb''12 FAR Data'!#REF!</definedName>
    <definedName name="sSRCDate" localSheetId="22">'[40]Feb''12 FAR Data'!#REF!</definedName>
    <definedName name="sSRCDate" localSheetId="20">'[39]Feb''12 FAR Data'!#REF!</definedName>
    <definedName name="sSRCDate" localSheetId="12">'[39]Feb''12 FAR Data'!#REF!</definedName>
    <definedName name="sSRCDate" localSheetId="13">'[39]Feb''12 FAR Data'!#REF!</definedName>
    <definedName name="sSRCDate" localSheetId="11">'[39]Feb''12 FAR Data'!#REF!</definedName>
    <definedName name="sSRCDate" localSheetId="14">'[39]Feb''12 FAR Data'!#REF!</definedName>
    <definedName name="sSRCDate" localSheetId="17">'[39]Feb''12 FAR Data'!#REF!</definedName>
    <definedName name="sSRCDate" localSheetId="15">'[41]Feb''12 FAR Data'!#REF!</definedName>
    <definedName name="sSRCDate" localSheetId="3">'[39]Feb''12 FAR Data'!#REF!</definedName>
    <definedName name="sSRCDate">'[39]Feb''12 FAR Data'!#REF!</definedName>
    <definedName name="SubSystem" localSheetId="28">'2180_BS 11-2018'!$V$8</definedName>
    <definedName name="SubSystem" localSheetId="27">'2180_BS 11-2019'!$V$8</definedName>
    <definedName name="SubSystem">'2180_BS 11-2018'!$V$8</definedName>
    <definedName name="SubSystems" localSheetId="24">'57125 JE Query'!$M$15</definedName>
    <definedName name="SubSystems" localSheetId="25">'70095 JE Query (C)'!$M$15</definedName>
    <definedName name="SubSystems" localSheetId="26">'70195 JE Query'!$M$15</definedName>
    <definedName name="SubSystems" localSheetId="20">#REF!</definedName>
    <definedName name="SubSystems" localSheetId="23">'JE Query - 41121, 41129'!$M$15</definedName>
    <definedName name="SubSystems" localSheetId="12">#REF!</definedName>
    <definedName name="SubSystems" localSheetId="13">#REF!</definedName>
    <definedName name="SubSystems" localSheetId="11">#REF!</definedName>
    <definedName name="SubSystems" localSheetId="14">#REF!</definedName>
    <definedName name="SubSystems" localSheetId="17">#REF!</definedName>
    <definedName name="SubSystems" localSheetId="15">#REF!</definedName>
    <definedName name="SubSystems" localSheetId="3">#REF!</definedName>
    <definedName name="SubSystems">#REF!</definedName>
    <definedName name="Supplemental_filter">[1]Settings!$C$31</definedName>
    <definedName name="SWDisposal">#N/A</definedName>
    <definedName name="System" localSheetId="0">'2180 IS (C)'!$R$2</definedName>
    <definedName name="System" localSheetId="28">'2180_BS 11-2018'!$V$7</definedName>
    <definedName name="System" localSheetId="27">'2180_BS 11-2019'!$V$7</definedName>
    <definedName name="System" localSheetId="1">'2182 IS'!$R$7</definedName>
    <definedName name="System" localSheetId="21">'RegionOH (C)'!$O$2</definedName>
    <definedName name="System">[42]BS_Close!$V$8</definedName>
    <definedName name="Systems" localSheetId="24">'57125 JE Query'!$M$14</definedName>
    <definedName name="Systems" localSheetId="25">'70095 JE Query (C)'!$M$14</definedName>
    <definedName name="Systems" localSheetId="26">'70195 JE Query'!$M$14</definedName>
    <definedName name="Systems" localSheetId="20">#REF!</definedName>
    <definedName name="Systems" localSheetId="23">'JE Query - 41121, 41129'!$M$14</definedName>
    <definedName name="Systems" localSheetId="12">#REF!</definedName>
    <definedName name="Systems" localSheetId="13">#REF!</definedName>
    <definedName name="Systems" localSheetId="11">#REF!</definedName>
    <definedName name="Systems" localSheetId="14">#REF!</definedName>
    <definedName name="Systems" localSheetId="17">#REF!</definedName>
    <definedName name="Systems" localSheetId="15">#REF!</definedName>
    <definedName name="Systems" localSheetId="3">#REF!</definedName>
    <definedName name="Systems">#REF!</definedName>
    <definedName name="taxrate" localSheetId="12">'LG MSW'!$J$38</definedName>
    <definedName name="taxrate" localSheetId="13">'LG Recycle'!$J$38</definedName>
    <definedName name="taxrate" localSheetId="11">'LG UTC'!$J$38</definedName>
    <definedName name="taxrate" localSheetId="14">'LG YW'!$J$38</definedName>
    <definedName name="TemplateEnd" localSheetId="1">#REF!</definedName>
    <definedName name="TemplateEnd" localSheetId="22">#REF!</definedName>
    <definedName name="TemplateEnd" localSheetId="20">#REF!</definedName>
    <definedName name="TemplateEnd" localSheetId="12">#REF!</definedName>
    <definedName name="TemplateEnd" localSheetId="13">#REF!</definedName>
    <definedName name="TemplateEnd" localSheetId="11">#REF!</definedName>
    <definedName name="TemplateEnd" localSheetId="14">#REF!</definedName>
    <definedName name="TemplateEnd" localSheetId="17">#REF!</definedName>
    <definedName name="TemplateEnd" localSheetId="15">#REF!</definedName>
    <definedName name="TemplateEnd" localSheetId="3">#REF!</definedName>
    <definedName name="TemplateEnd">#REF!</definedName>
    <definedName name="TemplateStart" localSheetId="1">#REF!</definedName>
    <definedName name="TemplateStart" localSheetId="22">#REF!</definedName>
    <definedName name="TemplateStart" localSheetId="20">#REF!</definedName>
    <definedName name="TemplateStart" localSheetId="12">#REF!</definedName>
    <definedName name="TemplateStart" localSheetId="13">#REF!</definedName>
    <definedName name="TemplateStart" localSheetId="11">#REF!</definedName>
    <definedName name="TemplateStart" localSheetId="14">#REF!</definedName>
    <definedName name="TemplateStart" localSheetId="17">#REF!</definedName>
    <definedName name="TemplateStart" localSheetId="15">#REF!</definedName>
    <definedName name="TemplateStart" localSheetId="3">#REF!</definedName>
    <definedName name="TemplateStart">#REF!</definedName>
    <definedName name="TheTable" localSheetId="1">#REF!</definedName>
    <definedName name="TheTable" localSheetId="22">#REF!</definedName>
    <definedName name="TheTable" localSheetId="20">#REF!</definedName>
    <definedName name="TheTable" localSheetId="12">#REF!</definedName>
    <definedName name="TheTable" localSheetId="13">#REF!</definedName>
    <definedName name="TheTable" localSheetId="11">#REF!</definedName>
    <definedName name="TheTable" localSheetId="14">#REF!</definedName>
    <definedName name="TheTable" localSheetId="17">#REF!</definedName>
    <definedName name="TheTable" localSheetId="15">#REF!</definedName>
    <definedName name="TheTable" localSheetId="3">#REF!</definedName>
    <definedName name="TheTable" localSheetId="21">#REF!</definedName>
    <definedName name="TheTable">#REF!</definedName>
    <definedName name="TheTableOLD" localSheetId="1">#REF!</definedName>
    <definedName name="TheTableOLD" localSheetId="22">#REF!</definedName>
    <definedName name="TheTableOLD" localSheetId="20">#REF!</definedName>
    <definedName name="TheTableOLD" localSheetId="12">#REF!</definedName>
    <definedName name="TheTableOLD" localSheetId="13">#REF!</definedName>
    <definedName name="TheTableOLD" localSheetId="11">#REF!</definedName>
    <definedName name="TheTableOLD" localSheetId="14">#REF!</definedName>
    <definedName name="TheTableOLD" localSheetId="17">#REF!</definedName>
    <definedName name="TheTableOLD" localSheetId="15">#REF!</definedName>
    <definedName name="TheTableOLD" localSheetId="3">#REF!</definedName>
    <definedName name="TheTableOLD" localSheetId="21">#REF!</definedName>
    <definedName name="TheTableOLD">#REF!</definedName>
    <definedName name="timeseries">[1]Orientation!$B$6:$C$13</definedName>
    <definedName name="ToMonth" localSheetId="24">'57125 JE Query'!$G$8</definedName>
    <definedName name="ToMonth" localSheetId="25">'70095 JE Query (C)'!$G$8</definedName>
    <definedName name="ToMonth" localSheetId="26">'70195 JE Query'!$G$8</definedName>
    <definedName name="ToMonth" localSheetId="20">#REF!</definedName>
    <definedName name="ToMonth" localSheetId="23">'JE Query - 41121, 41129'!$G$8</definedName>
    <definedName name="ToMonth" localSheetId="12">#REF!</definedName>
    <definedName name="ToMonth" localSheetId="13">#REF!</definedName>
    <definedName name="ToMonth" localSheetId="11">#REF!</definedName>
    <definedName name="ToMonth" localSheetId="14">#REF!</definedName>
    <definedName name="ToMonth" localSheetId="17">#REF!</definedName>
    <definedName name="ToMonth" localSheetId="15">#REF!</definedName>
    <definedName name="ToMonth" localSheetId="3">#REF!</definedName>
    <definedName name="ToMonth">#REF!</definedName>
    <definedName name="Tons" localSheetId="1">#REF!</definedName>
    <definedName name="Tons" localSheetId="20">#REF!</definedName>
    <definedName name="Tons" localSheetId="12">#REF!</definedName>
    <definedName name="Tons" localSheetId="13">#REF!</definedName>
    <definedName name="Tons" localSheetId="11">#REF!</definedName>
    <definedName name="Tons" localSheetId="14">#REF!</definedName>
    <definedName name="Tons" localSheetId="17">#REF!</definedName>
    <definedName name="Tons" localSheetId="3">#REF!</definedName>
    <definedName name="Tons">#REF!</definedName>
    <definedName name="Total_Comm" localSheetId="22">'[11]Tariff Rate Sheet'!$L$214</definedName>
    <definedName name="Total_Comm" localSheetId="20">'[12]Tariff Rate Sheet'!$L$214</definedName>
    <definedName name="Total_Comm" localSheetId="17">'[13]Tariff Rate Sheet'!$L$214</definedName>
    <definedName name="Total_Comm" localSheetId="15">'[14]Tariff Rate Sheet'!$L$214</definedName>
    <definedName name="Total_Comm">'[12]Tariff Rate Sheet'!$L$214</definedName>
    <definedName name="Total_DB" localSheetId="22">'[11]Tariff Rate Sheet'!$L$278</definedName>
    <definedName name="Total_DB" localSheetId="20">'[12]Tariff Rate Sheet'!$L$278</definedName>
    <definedName name="Total_DB" localSheetId="17">'[13]Tariff Rate Sheet'!$L$278</definedName>
    <definedName name="Total_DB" localSheetId="15">'[14]Tariff Rate Sheet'!$L$278</definedName>
    <definedName name="Total_DB">'[12]Tariff Rate Sheet'!$L$278</definedName>
    <definedName name="Total_Resi" localSheetId="22">'[11]Tariff Rate Sheet'!$L$107</definedName>
    <definedName name="Total_Resi" localSheetId="20">'[12]Tariff Rate Sheet'!$L$107</definedName>
    <definedName name="Total_Resi" localSheetId="17">'[13]Tariff Rate Sheet'!$L$107</definedName>
    <definedName name="Total_Resi" localSheetId="15">'[14]Tariff Rate Sheet'!$L$107</definedName>
    <definedName name="Total_Resi">'[12]Tariff Rate Sheet'!$L$107</definedName>
    <definedName name="Transactions" localSheetId="1">#REF!</definedName>
    <definedName name="Transactions" localSheetId="22">#REF!</definedName>
    <definedName name="Transactions" localSheetId="20">#REF!</definedName>
    <definedName name="Transactions" localSheetId="12">#REF!</definedName>
    <definedName name="Transactions" localSheetId="13">#REF!</definedName>
    <definedName name="Transactions" localSheetId="11">#REF!</definedName>
    <definedName name="Transactions" localSheetId="14">#REF!</definedName>
    <definedName name="Transactions" localSheetId="17">#REF!</definedName>
    <definedName name="Transactions" localSheetId="15">#REF!</definedName>
    <definedName name="Transactions" localSheetId="3">#REF!</definedName>
    <definedName name="Transactions">#REF!</definedName>
    <definedName name="UnregulatedIS" localSheetId="20">'[29]2010 IS'!$A$12:$Q$654</definedName>
    <definedName name="UnregulatedIS" localSheetId="17">'[30]2010 IS'!$A$12:$Q$654</definedName>
    <definedName name="UnregulatedIS">'[31]2010 IS'!$A$12:$Q$654</definedName>
    <definedName name="VendorCode" localSheetId="24">'57125 JE Query'!$P$12</definedName>
    <definedName name="VendorCode" localSheetId="25">'70095 JE Query (C)'!$P$12</definedName>
    <definedName name="VendorCode" localSheetId="26">'70195 JE Query'!$P$12</definedName>
    <definedName name="VendorCode" localSheetId="20">#REF!</definedName>
    <definedName name="VendorCode" localSheetId="23">'JE Query - 41121, 41129'!$P$12</definedName>
    <definedName name="VendorCode" localSheetId="12">#REF!</definedName>
    <definedName name="VendorCode" localSheetId="13">#REF!</definedName>
    <definedName name="VendorCode" localSheetId="11">#REF!</definedName>
    <definedName name="VendorCode" localSheetId="14">#REF!</definedName>
    <definedName name="VendorCode" localSheetId="17">#REF!</definedName>
    <definedName name="VendorCode" localSheetId="15">#REF!</definedName>
    <definedName name="VendorCode" localSheetId="3">#REF!</definedName>
    <definedName name="VendorCode">#REF!</definedName>
    <definedName name="Version" localSheetId="1">[21]Data!#REF!</definedName>
    <definedName name="Version" localSheetId="20">[19]Data!#REF!</definedName>
    <definedName name="Version" localSheetId="12">[21]Data!#REF!</definedName>
    <definedName name="Version" localSheetId="13">[21]Data!#REF!</definedName>
    <definedName name="Version" localSheetId="11">[21]Data!#REF!</definedName>
    <definedName name="Version" localSheetId="14">[21]Data!#REF!</definedName>
    <definedName name="Version" localSheetId="17">[20]Data!#REF!</definedName>
    <definedName name="Version" localSheetId="3">[21]Data!#REF!</definedName>
    <definedName name="Version" localSheetId="21">[21]Data!#REF!</definedName>
    <definedName name="Version">[21]Data!#REF!</definedName>
    <definedName name="wrn.PrintReview." localSheetId="20"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17" hidden="1">{#N/A,#N/A,TRUE,"SUMM";#N/A,#N/A,TRUE,"Rev";#N/A,#N/A,TRUE,"Dir_Costs";#N/A,#N/A,TRUE,"G and A Costs";#N/A,#N/A,TRUE,"Itemize";#N/A,#N/A,TRUE,"Cust_Count1";#N/A,#N/A,TRUE,"Cust_Count2";#N/A,#N/A,TRUE,"Rev_Breakdown";#N/A,#N/A,TRUE,"Truck Hours";#N/A,#N/A,TRUE,"Labor Hours";#N/A,#N/A,TRUE,"Container Breakdown";#N/A,#N/A,TRUE,"Cart Breakdown"}</definedName>
    <definedName name="wrn.PrintReview."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20"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17" hidden="1">{#N/A,#N/A,TRUE,"SUMM";#N/A,#N/A,TRUE,"Rev";#N/A,#N/A,TRUE,"Dir_Costs";#N/A,#N/A,TRUE,"G and A Costs";#N/A,#N/A,TRUE,"Itemize";#N/A,#N/A,TRUE,"Cust_Count1";#N/A,#N/A,TRUE,"Cust_Count2";#N/A,#N/A,TRUE,"Rev_Breakdown";#N/A,#N/A,TRUE,"Truck Hours";#N/A,#N/A,TRUE,"Labor Hours";#N/A,#N/A,TRUE,"Container Breakdown";#N/A,#N/A,TRUE,"Cart Breakdown"}</definedName>
    <definedName name="wrn.PrintReview2" hidden="1">{#N/A,#N/A,TRUE,"SUMM";#N/A,#N/A,TRUE,"Rev";#N/A,#N/A,TRUE,"Dir_Costs";#N/A,#N/A,TRUE,"G and A Costs";#N/A,#N/A,TRUE,"Itemize";#N/A,#N/A,TRUE,"Cust_Count1";#N/A,#N/A,TRUE,"Cust_Count2";#N/A,#N/A,TRUE,"Rev_Breakdown";#N/A,#N/A,TRUE,"Truck Hours";#N/A,#N/A,TRUE,"Labor Hours";#N/A,#N/A,TRUE,"Container Breakdown";#N/A,#N/A,TRUE,"Cart Breakdown"}</definedName>
    <definedName name="wrn.PrnPg1_Pg11." localSheetId="20"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17"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hidden="1">{"Page1",#N/A,TRUE,"SUMM";"Page2",#N/A,TRUE,"Rev";"Page3",#N/A,TRUE,"Dir_Costs";"Page4",#N/A,TRUE,"G and A Costs";"Page5",#N/A,TRUE,"Itemize";"Page6",#N/A,TRUE,"Cust_Count1";"Page7",#N/A,TRUE,"Cust_Count2";"Page8",#N/A,TRUE,"Rev_Breakdown";"Page9",#N/A,TRUE,"Truck Hours";"Page10",#N/A,TRUE,"Labor Hours";"Page11",#N/A,TRUE,"Container Breakdown"}</definedName>
    <definedName name="wrn.test." localSheetId="20" hidden="1">{"Page1",#N/A,TRUE,"SUMM";"Page2",#N/A,TRUE,"Rev";"Page3",#N/A,TRUE,"Dir_Costs"}</definedName>
    <definedName name="wrn.test." localSheetId="17" hidden="1">{"Page1",#N/A,TRUE,"SUMM";"Page2",#N/A,TRUE,"Rev";"Page3",#N/A,TRUE,"Dir_Costs"}</definedName>
    <definedName name="wrn.test." hidden="1">{"Page1",#N/A,TRUE,"SUMM";"Page2",#N/A,TRUE,"Rev";"Page3",#N/A,TRUE,"Dir_Costs"}</definedName>
    <definedName name="WTable" localSheetId="1">#REF!</definedName>
    <definedName name="WTable" localSheetId="22">#REF!</definedName>
    <definedName name="WTable" localSheetId="20">#REF!</definedName>
    <definedName name="WTable" localSheetId="12">#REF!</definedName>
    <definedName name="WTable" localSheetId="13">#REF!</definedName>
    <definedName name="WTable" localSheetId="11">#REF!</definedName>
    <definedName name="WTable" localSheetId="14">#REF!</definedName>
    <definedName name="WTable" localSheetId="17">#REF!</definedName>
    <definedName name="WTable" localSheetId="15">#REF!</definedName>
    <definedName name="WTable" localSheetId="3">#REF!</definedName>
    <definedName name="WTable" localSheetId="21">#REF!</definedName>
    <definedName name="WTable">#REF!</definedName>
    <definedName name="WTableOld" localSheetId="1">#REF!</definedName>
    <definedName name="WTableOld" localSheetId="22">#REF!</definedName>
    <definedName name="WTableOld" localSheetId="20">#REF!</definedName>
    <definedName name="WTableOld" localSheetId="12">#REF!</definedName>
    <definedName name="WTableOld" localSheetId="13">#REF!</definedName>
    <definedName name="WTableOld" localSheetId="11">#REF!</definedName>
    <definedName name="WTableOld" localSheetId="14">#REF!</definedName>
    <definedName name="WTableOld" localSheetId="17">#REF!</definedName>
    <definedName name="WTableOld" localSheetId="15">#REF!</definedName>
    <definedName name="WTableOld" localSheetId="3">#REF!</definedName>
    <definedName name="WTableOld" localSheetId="21">#REF!</definedName>
    <definedName name="WTableOld">#REF!</definedName>
    <definedName name="ww" localSheetId="1">#REF!</definedName>
    <definedName name="ww" localSheetId="22">#REF!</definedName>
    <definedName name="ww" localSheetId="20">#REF!</definedName>
    <definedName name="ww" localSheetId="12">#REF!</definedName>
    <definedName name="ww" localSheetId="13">#REF!</definedName>
    <definedName name="ww" localSheetId="11">#REF!</definedName>
    <definedName name="ww" localSheetId="14">#REF!</definedName>
    <definedName name="ww" localSheetId="17">#REF!</definedName>
    <definedName name="ww" localSheetId="15">#REF!</definedName>
    <definedName name="ww" localSheetId="3">#REF!</definedName>
    <definedName name="ww">#REF!</definedName>
    <definedName name="xperiod">[1]Orientation!$G$15</definedName>
    <definedName name="xtabin" localSheetId="1">[2]Hidden!#REF!</definedName>
    <definedName name="xtabin" localSheetId="22">[5]Hidden!#REF!</definedName>
    <definedName name="xtabin" localSheetId="20">[2]Hidden!#REF!</definedName>
    <definedName name="xtabin" localSheetId="12">[2]Hidden!#REF!</definedName>
    <definedName name="xtabin" localSheetId="13">[2]Hidden!#REF!</definedName>
    <definedName name="xtabin" localSheetId="11">[2]Hidden!#REF!</definedName>
    <definedName name="xtabin" localSheetId="14">[2]Hidden!#REF!</definedName>
    <definedName name="xtabin" localSheetId="17">[2]Hidden!#REF!</definedName>
    <definedName name="xtabin" localSheetId="15">[6]Hidden!#REF!</definedName>
    <definedName name="xtabin" localSheetId="3">[2]Hidden!#REF!</definedName>
    <definedName name="xtabin" localSheetId="21">[2]Hidden!#REF!</definedName>
    <definedName name="xtabin">[2]Hidden!#REF!</definedName>
    <definedName name="xx" localSheetId="1">#REF!</definedName>
    <definedName name="xx" localSheetId="22">#REF!</definedName>
    <definedName name="xx" localSheetId="20">#REF!</definedName>
    <definedName name="xx" localSheetId="12">#REF!</definedName>
    <definedName name="xx" localSheetId="13">#REF!</definedName>
    <definedName name="xx" localSheetId="11">#REF!</definedName>
    <definedName name="xx" localSheetId="14">#REF!</definedName>
    <definedName name="xx" localSheetId="17">#REF!</definedName>
    <definedName name="xx" localSheetId="15">#REF!</definedName>
    <definedName name="xx" localSheetId="3">#REF!</definedName>
    <definedName name="xx">#REF!</definedName>
    <definedName name="xxx" localSheetId="1">#REF!</definedName>
    <definedName name="xxx" localSheetId="22">#REF!</definedName>
    <definedName name="xxx" localSheetId="20">#REF!</definedName>
    <definedName name="xxx" localSheetId="12">#REF!</definedName>
    <definedName name="xxx" localSheetId="13">#REF!</definedName>
    <definedName name="xxx" localSheetId="11">#REF!</definedName>
    <definedName name="xxx" localSheetId="14">#REF!</definedName>
    <definedName name="xxx" localSheetId="17">#REF!</definedName>
    <definedName name="xxx" localSheetId="15">#REF!</definedName>
    <definedName name="xxx" localSheetId="3">#REF!</definedName>
    <definedName name="xxx">#REF!</definedName>
    <definedName name="xxxx" localSheetId="1">#REF!</definedName>
    <definedName name="xxxx" localSheetId="22">#REF!</definedName>
    <definedName name="xxxx" localSheetId="20">#REF!</definedName>
    <definedName name="xxxx" localSheetId="12">#REF!</definedName>
    <definedName name="xxxx" localSheetId="13">#REF!</definedName>
    <definedName name="xxxx" localSheetId="11">#REF!</definedName>
    <definedName name="xxxx" localSheetId="14">#REF!</definedName>
    <definedName name="xxxx" localSheetId="17">#REF!</definedName>
    <definedName name="xxxx" localSheetId="15">#REF!</definedName>
    <definedName name="xxxx" localSheetId="3">#REF!</definedName>
    <definedName name="xxxx">#REF!</definedName>
    <definedName name="y_inter1" localSheetId="20">'[37]LG Nonpublic 2018 V5.0'!$W$55</definedName>
    <definedName name="y_inter1" localSheetId="12">'LG MSW'!$X$54</definedName>
    <definedName name="y_inter1" localSheetId="13">'LG Recycle'!$X$54</definedName>
    <definedName name="y_inter1" localSheetId="11">'LG UTC'!$Y$54</definedName>
    <definedName name="y_inter1" localSheetId="14">'LG YW'!$X$54</definedName>
    <definedName name="y_inter1" localSheetId="17">'[38]LG Nonpublic 2018 V5.0'!$W$55</definedName>
    <definedName name="y_inter1">'[37]LG Nonpublic 2018 V5.0'!$W$55</definedName>
    <definedName name="y_inter2" localSheetId="20">'[37]LG Nonpublic 2018 V5.0'!$W$56</definedName>
    <definedName name="y_inter2" localSheetId="12">'LG MSW'!$X$55</definedName>
    <definedName name="y_inter2" localSheetId="13">'LG Recycle'!$X$55</definedName>
    <definedName name="y_inter2" localSheetId="11">'LG UTC'!$Y$55</definedName>
    <definedName name="y_inter2" localSheetId="14">'LG YW'!$X$55</definedName>
    <definedName name="y_inter2" localSheetId="17">'[38]LG Nonpublic 2018 V5.0'!$W$56</definedName>
    <definedName name="y_inter2">'[37]LG Nonpublic 2018 V5.0'!$W$56</definedName>
    <definedName name="y_inter3" localSheetId="20">'[37]LG Nonpublic 2018 V5.0'!$Y$55</definedName>
    <definedName name="y_inter3" localSheetId="12">'LG MSW'!$Z$54</definedName>
    <definedName name="y_inter3" localSheetId="13">'LG Recycle'!$Z$54</definedName>
    <definedName name="y_inter3" localSheetId="11">'LG UTC'!$AA$54</definedName>
    <definedName name="y_inter3" localSheetId="14">'LG YW'!$Z$54</definedName>
    <definedName name="y_inter3" localSheetId="17">'[38]LG Nonpublic 2018 V5.0'!$Y$55</definedName>
    <definedName name="y_inter3">'[37]LG Nonpublic 2018 V5.0'!$Y$55</definedName>
    <definedName name="y_inter4" localSheetId="20">'[37]LG Nonpublic 2018 V5.0'!$Y$56</definedName>
    <definedName name="y_inter4" localSheetId="12">'LG MSW'!$Z$55</definedName>
    <definedName name="y_inter4" localSheetId="13">'LG Recycle'!$Z$55</definedName>
    <definedName name="y_inter4" localSheetId="11">'LG UTC'!$AA$55</definedName>
    <definedName name="y_inter4" localSheetId="14">'LG YW'!$Z$55</definedName>
    <definedName name="y_inter4" localSheetId="17">'[38]LG Nonpublic 2018 V5.0'!$Y$56</definedName>
    <definedName name="y_inter4">'[37]LG Nonpublic 2018 V5.0'!$Y$56</definedName>
    <definedName name="YearMonth" localSheetId="0">'2180 IS (C)'!$D$3</definedName>
    <definedName name="YearMonth" localSheetId="28">'2180_BS 11-2018'!$D$9</definedName>
    <definedName name="YearMonth" localSheetId="27">'2180_BS 11-2019'!$D$9</definedName>
    <definedName name="YearMonth" localSheetId="1">'2182 IS'!$D$8</definedName>
    <definedName name="YearMonth" localSheetId="22">'[22]Vashon BS'!#REF!</definedName>
    <definedName name="YearMonth" localSheetId="20">'[23]Vashon BS'!#REF!</definedName>
    <definedName name="YearMonth" localSheetId="12">'[23]Vashon BS'!#REF!</definedName>
    <definedName name="YearMonth" localSheetId="13">'[23]Vashon BS'!#REF!</definedName>
    <definedName name="YearMonth" localSheetId="11">'[23]Vashon BS'!#REF!</definedName>
    <definedName name="YearMonth" localSheetId="14">'[23]Vashon BS'!#REF!</definedName>
    <definedName name="YearMonth" localSheetId="17">'[24]Yakima BS'!#REF!</definedName>
    <definedName name="YearMonth" localSheetId="15">'[25]Vashon BS'!#REF!</definedName>
    <definedName name="YearMonth" localSheetId="3">'[23]Vashon BS'!#REF!</definedName>
    <definedName name="YearMonth" localSheetId="21">'RegionOH (C)'!$A$3</definedName>
    <definedName name="YearMonth">'[23]Vashon BS'!#REF!</definedName>
    <definedName name="YWMedWasteDisp">#N/A</definedName>
    <definedName name="yy" localSheetId="1">#REF!</definedName>
    <definedName name="yy" localSheetId="22">#REF!</definedName>
    <definedName name="yy" localSheetId="20">#REF!</definedName>
    <definedName name="yy" localSheetId="12">#REF!</definedName>
    <definedName name="yy" localSheetId="13">#REF!</definedName>
    <definedName name="yy" localSheetId="11">#REF!</definedName>
    <definedName name="yy" localSheetId="14">#REF!</definedName>
    <definedName name="yy" localSheetId="17">#REF!</definedName>
    <definedName name="yy" localSheetId="15">#REF!</definedName>
    <definedName name="yy" localSheetId="3">#REF!</definedName>
    <definedName name="yy">#REF!</definedName>
    <definedName name="Z_16F8EA47_9864_4C0F_89A1_62B7CCC013F9_.wvu.Cols" localSheetId="0" hidden="1">'2180 IS (C)'!$A:$C</definedName>
    <definedName name="Z_16F8EA47_9864_4C0F_89A1_62B7CCC013F9_.wvu.Cols" localSheetId="1" hidden="1">'2182 IS'!$A:$C</definedName>
    <definedName name="Z_16F8EA47_9864_4C0F_89A1_62B7CCC013F9_.wvu.Cols" localSheetId="24" hidden="1">'57125 JE Query'!$AS:$AS</definedName>
    <definedName name="Z_16F8EA47_9864_4C0F_89A1_62B7CCC013F9_.wvu.Cols" localSheetId="26" hidden="1">'70195 JE Query'!$AS:$AS</definedName>
    <definedName name="Z_16F8EA47_9864_4C0F_89A1_62B7CCC013F9_.wvu.Cols" localSheetId="2" hidden="1">'Converted IS (C)'!#REF!,'Converted IS (C)'!#REF!</definedName>
    <definedName name="Z_16F8EA47_9864_4C0F_89A1_62B7CCC013F9_.wvu.Cols" localSheetId="10" hidden="1">'FtL - Price Out'!$D:$E,'FtL - Price Out'!$W:$AH</definedName>
    <definedName name="Z_16F8EA47_9864_4C0F_89A1_62B7CCC013F9_.wvu.Cols" localSheetId="9" hidden="1">'JBLM Housing - Price Out'!$D:$E,'JBLM Housing - Price Out'!$X:$AI</definedName>
    <definedName name="Z_16F8EA47_9864_4C0F_89A1_62B7CCC013F9_.wvu.Cols" localSheetId="23" hidden="1">'JE Query - 41121, 41129'!$AS:$AS</definedName>
    <definedName name="Z_16F8EA47_9864_4C0F_89A1_62B7CCC013F9_.wvu.Cols" localSheetId="12" hidden="1">'LG MSW'!$D:$D</definedName>
    <definedName name="Z_16F8EA47_9864_4C0F_89A1_62B7CCC013F9_.wvu.Cols" localSheetId="13" hidden="1">'LG Recycle'!$D:$D</definedName>
    <definedName name="Z_16F8EA47_9864_4C0F_89A1_62B7CCC013F9_.wvu.Cols" localSheetId="11" hidden="1">'LG UTC'!$D:$D</definedName>
    <definedName name="Z_16F8EA47_9864_4C0F_89A1_62B7CCC013F9_.wvu.Cols" localSheetId="14" hidden="1">'LG YW'!$D:$D</definedName>
    <definedName name="Z_16F8EA47_9864_4C0F_89A1_62B7CCC013F9_.wvu.Cols" localSheetId="8" hidden="1">'Reg - Price Out '!$D:$E,'Reg - Price Out '!$X:$AI</definedName>
    <definedName name="Z_16F8EA47_9864_4C0F_89A1_62B7CCC013F9_.wvu.Cols" localSheetId="3" hidden="1">'Reg by LOB'!#REF!,'Reg by LOB'!#REF!</definedName>
    <definedName name="Z_16F8EA47_9864_4C0F_89A1_62B7CCC013F9_.wvu.FilterData" localSheetId="24" hidden="1">'57125 JE Query'!$B$19:$AQ$81</definedName>
    <definedName name="Z_16F8EA47_9864_4C0F_89A1_62B7CCC013F9_.wvu.FilterData" localSheetId="26" hidden="1">'70195 JE Query'!$B$19:$AQ$20</definedName>
    <definedName name="Z_16F8EA47_9864_4C0F_89A1_62B7CCC013F9_.wvu.FilterData" localSheetId="23" hidden="1">'JE Query - 41121, 41129'!$B$19:$AQ$20</definedName>
    <definedName name="Z_16F8EA47_9864_4C0F_89A1_62B7CCC013F9_.wvu.FilterData" localSheetId="17" hidden="1">Payroll!$A$13:$U$264</definedName>
    <definedName name="Z_16F8EA47_9864_4C0F_89A1_62B7CCC013F9_.wvu.PrintArea" localSheetId="0" hidden="1">'2180 IS (C)'!$D$1:$AJ$354</definedName>
    <definedName name="Z_16F8EA47_9864_4C0F_89A1_62B7CCC013F9_.wvu.PrintArea" localSheetId="28" hidden="1">'2180_BS 11-2018'!$D$7:$V$243</definedName>
    <definedName name="Z_16F8EA47_9864_4C0F_89A1_62B7CCC013F9_.wvu.PrintArea" localSheetId="27" hidden="1">'2180_BS 11-2019'!$D$7:$V$248</definedName>
    <definedName name="Z_16F8EA47_9864_4C0F_89A1_62B7CCC013F9_.wvu.PrintArea" localSheetId="1" hidden="1">'2182 IS'!$D$6:$AJ$284</definedName>
    <definedName name="Z_16F8EA47_9864_4C0F_89A1_62B7CCC013F9_.wvu.PrintArea" localSheetId="24" hidden="1">'57125 JE Query'!$A:$Q</definedName>
    <definedName name="Z_16F8EA47_9864_4C0F_89A1_62B7CCC013F9_.wvu.PrintArea" localSheetId="26" hidden="1">'70195 JE Query'!$A:$Q</definedName>
    <definedName name="Z_16F8EA47_9864_4C0F_89A1_62B7CCC013F9_.wvu.PrintArea" localSheetId="10" hidden="1">'FtL - Price Out'!$B$64:$E$102</definedName>
    <definedName name="Z_16F8EA47_9864_4C0F_89A1_62B7CCC013F9_.wvu.PrintArea" localSheetId="9" hidden="1">'JBLM Housing - Price Out'!$B$64:$E$83</definedName>
    <definedName name="Z_16F8EA47_9864_4C0F_89A1_62B7CCC013F9_.wvu.PrintArea" localSheetId="23" hidden="1">'JE Query - 41121, 41129'!$A:$Q</definedName>
    <definedName name="Z_16F8EA47_9864_4C0F_89A1_62B7CCC013F9_.wvu.PrintArea" localSheetId="12" hidden="1">'LG MSW'!$F$2:$N$49</definedName>
    <definedName name="Z_16F8EA47_9864_4C0F_89A1_62B7CCC013F9_.wvu.PrintArea" localSheetId="13" hidden="1">'LG Recycle'!$F$2:$N$49</definedName>
    <definedName name="Z_16F8EA47_9864_4C0F_89A1_62B7CCC013F9_.wvu.PrintArea" localSheetId="11" hidden="1">'LG UTC'!$F$2:$N$49</definedName>
    <definedName name="Z_16F8EA47_9864_4C0F_89A1_62B7CCC013F9_.wvu.PrintArea" localSheetId="14" hidden="1">'LG YW'!$F$2:$N$49</definedName>
    <definedName name="Z_16F8EA47_9864_4C0F_89A1_62B7CCC013F9_.wvu.PrintArea" localSheetId="8" hidden="1">'Reg - Price Out '!$B$212:$E$263</definedName>
    <definedName name="Z_16F8EA47_9864_4C0F_89A1_62B7CCC013F9_.wvu.PrintArea" localSheetId="5" hidden="1">'Restating Adj'!$A$23:$H$132</definedName>
    <definedName name="Z_16F8EA47_9864_4C0F_89A1_62B7CCC013F9_.wvu.PrintTitles" localSheetId="0" hidden="1">'2180 IS (C)'!$D:$H,'2180 IS (C)'!$1:$8</definedName>
    <definedName name="Z_16F8EA47_9864_4C0F_89A1_62B7CCC013F9_.wvu.PrintTitles" localSheetId="28" hidden="1">'2180_BS 11-2018'!$D:$H,'2180_BS 11-2018'!$7:$15</definedName>
    <definedName name="Z_16F8EA47_9864_4C0F_89A1_62B7CCC013F9_.wvu.PrintTitles" localSheetId="27" hidden="1">'2180_BS 11-2019'!$D:$H,'2180_BS 11-2019'!$7:$15</definedName>
    <definedName name="Z_16F8EA47_9864_4C0F_89A1_62B7CCC013F9_.wvu.PrintTitles" localSheetId="1" hidden="1">'2182 IS'!$D:$H,'2182 IS'!$6:$13</definedName>
    <definedName name="Z_16F8EA47_9864_4C0F_89A1_62B7CCC013F9_.wvu.PrintTitles" localSheetId="24" hidden="1">'57125 JE Query'!$B:$B,'57125 JE Query'!$9:$20</definedName>
    <definedName name="Z_16F8EA47_9864_4C0F_89A1_62B7CCC013F9_.wvu.PrintTitles" localSheetId="26" hidden="1">'70195 JE Query'!$B:$B,'70195 JE Query'!$9:$20</definedName>
    <definedName name="Z_16F8EA47_9864_4C0F_89A1_62B7CCC013F9_.wvu.PrintTitles" localSheetId="22" hidden="1">'Corp OH (C)'!$7:$10</definedName>
    <definedName name="Z_16F8EA47_9864_4C0F_89A1_62B7CCC013F9_.wvu.PrintTitles" localSheetId="10" hidden="1">'FtL - Price Out'!$1:$7</definedName>
    <definedName name="Z_16F8EA47_9864_4C0F_89A1_62B7CCC013F9_.wvu.PrintTitles" localSheetId="9" hidden="1">'JBLM Housing - Price Out'!$1:$7</definedName>
    <definedName name="Z_16F8EA47_9864_4C0F_89A1_62B7CCC013F9_.wvu.PrintTitles" localSheetId="23" hidden="1">'JE Query - 41121, 41129'!$B:$B,'JE Query - 41121, 41129'!$9:$20</definedName>
    <definedName name="Z_16F8EA47_9864_4C0F_89A1_62B7CCC013F9_.wvu.PrintTitles" localSheetId="8" hidden="1">'Reg - Price Out '!$1:$7</definedName>
    <definedName name="Z_16F8EA47_9864_4C0F_89A1_62B7CCC013F9_.wvu.Rows" localSheetId="0" hidden="1">'2180 IS (C)'!$143:$144</definedName>
    <definedName name="Z_16F8EA47_9864_4C0F_89A1_62B7CCC013F9_.wvu.Rows" localSheetId="28" hidden="1">'2180_BS 11-2018'!$229:$229</definedName>
    <definedName name="Z_16F8EA47_9864_4C0F_89A1_62B7CCC013F9_.wvu.Rows" localSheetId="27" hidden="1">'2180_BS 11-2019'!$234:$234</definedName>
    <definedName name="Z_16F8EA47_9864_4C0F_89A1_62B7CCC013F9_.wvu.Rows" localSheetId="24" hidden="1">'57125 JE Query'!$1:$8</definedName>
    <definedName name="Z_16F8EA47_9864_4C0F_89A1_62B7CCC013F9_.wvu.Rows" localSheetId="26" hidden="1">'70195 JE Query'!$1:$8</definedName>
    <definedName name="Z_16F8EA47_9864_4C0F_89A1_62B7CCC013F9_.wvu.Rows" localSheetId="22" hidden="1">'Corp OH (C)'!$1:$4</definedName>
    <definedName name="Z_16F8EA47_9864_4C0F_89A1_62B7CCC013F9_.wvu.Rows" localSheetId="18" hidden="1">'Disposal (C)'!$94:$126</definedName>
    <definedName name="Z_16F8EA47_9864_4C0F_89A1_62B7CCC013F9_.wvu.Rows" localSheetId="23" hidden="1">'JE Query - 41121, 41129'!$1:$8</definedName>
    <definedName name="Z_16F8EA47_9864_4C0F_89A1_62B7CCC013F9_.wvu.Rows" localSheetId="17" hidden="1">Payroll!$310:$332</definedName>
    <definedName name="Z_76FC386D_C488_46EF_BB9C_D1C49FEBAB90_.wvu.Cols" localSheetId="0" hidden="1">'2180 IS (C)'!$A:$C</definedName>
    <definedName name="Z_76FC386D_C488_46EF_BB9C_D1C49FEBAB90_.wvu.Cols" localSheetId="1" hidden="1">'2182 IS'!$A:$C</definedName>
    <definedName name="Z_76FC386D_C488_46EF_BB9C_D1C49FEBAB90_.wvu.Cols" localSheetId="24" hidden="1">'57125 JE Query'!$AS:$AS</definedName>
    <definedName name="Z_76FC386D_C488_46EF_BB9C_D1C49FEBAB90_.wvu.Cols" localSheetId="26" hidden="1">'70195 JE Query'!$AS:$AS</definedName>
    <definedName name="Z_76FC386D_C488_46EF_BB9C_D1C49FEBAB90_.wvu.Cols" localSheetId="2" hidden="1">'Converted IS (C)'!#REF!,'Converted IS (C)'!#REF!</definedName>
    <definedName name="Z_76FC386D_C488_46EF_BB9C_D1C49FEBAB90_.wvu.Cols" localSheetId="10" hidden="1">'FtL - Price Out'!$D:$E,'FtL - Price Out'!$I:$T,'FtL - Price Out'!$W:$AH</definedName>
    <definedName name="Z_76FC386D_C488_46EF_BB9C_D1C49FEBAB90_.wvu.Cols" localSheetId="9" hidden="1">'JBLM Housing - Price Out'!$D:$E</definedName>
    <definedName name="Z_76FC386D_C488_46EF_BB9C_D1C49FEBAB90_.wvu.Cols" localSheetId="23" hidden="1">'JE Query - 41121, 41129'!$AS:$AS</definedName>
    <definedName name="Z_76FC386D_C488_46EF_BB9C_D1C49FEBAB90_.wvu.Cols" localSheetId="12" hidden="1">'LG MSW'!$D:$D</definedName>
    <definedName name="Z_76FC386D_C488_46EF_BB9C_D1C49FEBAB90_.wvu.Cols" localSheetId="13" hidden="1">'LG Recycle'!$D:$D</definedName>
    <definedName name="Z_76FC386D_C488_46EF_BB9C_D1C49FEBAB90_.wvu.Cols" localSheetId="11" hidden="1">'LG UTC'!$D:$D</definedName>
    <definedName name="Z_76FC386D_C488_46EF_BB9C_D1C49FEBAB90_.wvu.Cols" localSheetId="14" hidden="1">'LG YW'!$D:$D</definedName>
    <definedName name="Z_76FC386D_C488_46EF_BB9C_D1C49FEBAB90_.wvu.Cols" localSheetId="8" hidden="1">'Reg - Price Out '!$D:$E</definedName>
    <definedName name="Z_76FC386D_C488_46EF_BB9C_D1C49FEBAB90_.wvu.Cols" localSheetId="3" hidden="1">'Reg by LOB'!#REF!,'Reg by LOB'!#REF!</definedName>
    <definedName name="Z_76FC386D_C488_46EF_BB9C_D1C49FEBAB90_.wvu.FilterData" localSheetId="24" hidden="1">'57125 JE Query'!$B$19:$AQ$81</definedName>
    <definedName name="Z_76FC386D_C488_46EF_BB9C_D1C49FEBAB90_.wvu.FilterData" localSheetId="26" hidden="1">'70195 JE Query'!$B$19:$AQ$20</definedName>
    <definedName name="Z_76FC386D_C488_46EF_BB9C_D1C49FEBAB90_.wvu.FilterData" localSheetId="23" hidden="1">'JE Query - 41121, 41129'!$B$19:$AQ$20</definedName>
    <definedName name="Z_76FC386D_C488_46EF_BB9C_D1C49FEBAB90_.wvu.FilterData" localSheetId="17" hidden="1">Payroll!$A$13:$U$264</definedName>
    <definedName name="Z_76FC386D_C488_46EF_BB9C_D1C49FEBAB90_.wvu.PrintArea" localSheetId="0" hidden="1">'2180 IS (C)'!$D$1:$AJ$354</definedName>
    <definedName name="Z_76FC386D_C488_46EF_BB9C_D1C49FEBAB90_.wvu.PrintArea" localSheetId="28" hidden="1">'2180_BS 11-2018'!$D$7:$V$243</definedName>
    <definedName name="Z_76FC386D_C488_46EF_BB9C_D1C49FEBAB90_.wvu.PrintArea" localSheetId="27" hidden="1">'2180_BS 11-2019'!$D$7:$V$248</definedName>
    <definedName name="Z_76FC386D_C488_46EF_BB9C_D1C49FEBAB90_.wvu.PrintArea" localSheetId="1" hidden="1">'2182 IS'!$D$6:$AJ$284</definedName>
    <definedName name="Z_76FC386D_C488_46EF_BB9C_D1C49FEBAB90_.wvu.PrintArea" localSheetId="24" hidden="1">'57125 JE Query'!$A:$Q</definedName>
    <definedName name="Z_76FC386D_C488_46EF_BB9C_D1C49FEBAB90_.wvu.PrintArea" localSheetId="26" hidden="1">'70195 JE Query'!$A:$Q</definedName>
    <definedName name="Z_76FC386D_C488_46EF_BB9C_D1C49FEBAB90_.wvu.PrintArea" localSheetId="10" hidden="1">'FtL - Price Out'!$B$64:$E$102</definedName>
    <definedName name="Z_76FC386D_C488_46EF_BB9C_D1C49FEBAB90_.wvu.PrintArea" localSheetId="9" hidden="1">'JBLM Housing - Price Out'!$B$64:$E$83</definedName>
    <definedName name="Z_76FC386D_C488_46EF_BB9C_D1C49FEBAB90_.wvu.PrintArea" localSheetId="23" hidden="1">'JE Query - 41121, 41129'!$A:$Q</definedName>
    <definedName name="Z_76FC386D_C488_46EF_BB9C_D1C49FEBAB90_.wvu.PrintArea" localSheetId="12" hidden="1">'LG MSW'!$F$2:$N$49</definedName>
    <definedName name="Z_76FC386D_C488_46EF_BB9C_D1C49FEBAB90_.wvu.PrintArea" localSheetId="13" hidden="1">'LG Recycle'!$F$2:$N$49</definedName>
    <definedName name="Z_76FC386D_C488_46EF_BB9C_D1C49FEBAB90_.wvu.PrintArea" localSheetId="11" hidden="1">'LG UTC'!$F$2:$N$49</definedName>
    <definedName name="Z_76FC386D_C488_46EF_BB9C_D1C49FEBAB90_.wvu.PrintArea" localSheetId="14" hidden="1">'LG YW'!$F$2:$N$49</definedName>
    <definedName name="Z_76FC386D_C488_46EF_BB9C_D1C49FEBAB90_.wvu.PrintArea" localSheetId="8" hidden="1">'Reg - Price Out '!$B$212:$E$263</definedName>
    <definedName name="Z_76FC386D_C488_46EF_BB9C_D1C49FEBAB90_.wvu.PrintArea" localSheetId="5" hidden="1">'Restating Adj'!$A$23:$H$132</definedName>
    <definedName name="Z_76FC386D_C488_46EF_BB9C_D1C49FEBAB90_.wvu.PrintTitles" localSheetId="0" hidden="1">'2180 IS (C)'!$D:$H,'2180 IS (C)'!$1:$8</definedName>
    <definedName name="Z_76FC386D_C488_46EF_BB9C_D1C49FEBAB90_.wvu.PrintTitles" localSheetId="28" hidden="1">'2180_BS 11-2018'!$D:$H,'2180_BS 11-2018'!$7:$15</definedName>
    <definedName name="Z_76FC386D_C488_46EF_BB9C_D1C49FEBAB90_.wvu.PrintTitles" localSheetId="27" hidden="1">'2180_BS 11-2019'!$D:$H,'2180_BS 11-2019'!$7:$15</definedName>
    <definedName name="Z_76FC386D_C488_46EF_BB9C_D1C49FEBAB90_.wvu.PrintTitles" localSheetId="1" hidden="1">'2182 IS'!$D:$H,'2182 IS'!$6:$13</definedName>
    <definedName name="Z_76FC386D_C488_46EF_BB9C_D1C49FEBAB90_.wvu.PrintTitles" localSheetId="24" hidden="1">'57125 JE Query'!$B:$B,'57125 JE Query'!$9:$20</definedName>
    <definedName name="Z_76FC386D_C488_46EF_BB9C_D1C49FEBAB90_.wvu.PrintTitles" localSheetId="26" hidden="1">'70195 JE Query'!$B:$B,'70195 JE Query'!$9:$20</definedName>
    <definedName name="Z_76FC386D_C488_46EF_BB9C_D1C49FEBAB90_.wvu.PrintTitles" localSheetId="22" hidden="1">'Corp OH (C)'!$7:$10</definedName>
    <definedName name="Z_76FC386D_C488_46EF_BB9C_D1C49FEBAB90_.wvu.PrintTitles" localSheetId="10" hidden="1">'FtL - Price Out'!$1:$7</definedName>
    <definedName name="Z_76FC386D_C488_46EF_BB9C_D1C49FEBAB90_.wvu.PrintTitles" localSheetId="9" hidden="1">'JBLM Housing - Price Out'!$1:$7</definedName>
    <definedName name="Z_76FC386D_C488_46EF_BB9C_D1C49FEBAB90_.wvu.PrintTitles" localSheetId="23" hidden="1">'JE Query - 41121, 41129'!$B:$B,'JE Query - 41121, 41129'!$9:$20</definedName>
    <definedName name="Z_76FC386D_C488_46EF_BB9C_D1C49FEBAB90_.wvu.PrintTitles" localSheetId="8" hidden="1">'Reg - Price Out '!$1:$7</definedName>
    <definedName name="Z_76FC386D_C488_46EF_BB9C_D1C49FEBAB90_.wvu.Rows" localSheetId="0" hidden="1">'2180 IS (C)'!$143:$144</definedName>
    <definedName name="Z_76FC386D_C488_46EF_BB9C_D1C49FEBAB90_.wvu.Rows" localSheetId="28" hidden="1">'2180_BS 11-2018'!$229:$229</definedName>
    <definedName name="Z_76FC386D_C488_46EF_BB9C_D1C49FEBAB90_.wvu.Rows" localSheetId="27" hidden="1">'2180_BS 11-2019'!$234:$234</definedName>
    <definedName name="Z_76FC386D_C488_46EF_BB9C_D1C49FEBAB90_.wvu.Rows" localSheetId="24" hidden="1">'57125 JE Query'!$1:$8</definedName>
    <definedName name="Z_76FC386D_C488_46EF_BB9C_D1C49FEBAB90_.wvu.Rows" localSheetId="26" hidden="1">'70195 JE Query'!$1:$8</definedName>
    <definedName name="Z_76FC386D_C488_46EF_BB9C_D1C49FEBAB90_.wvu.Rows" localSheetId="22" hidden="1">'Corp OH (C)'!$1:$4</definedName>
    <definedName name="Z_76FC386D_C488_46EF_BB9C_D1C49FEBAB90_.wvu.Rows" localSheetId="18" hidden="1">'Disposal (C)'!$94:$126</definedName>
    <definedName name="Z_76FC386D_C488_46EF_BB9C_D1C49FEBAB90_.wvu.Rows" localSheetId="23" hidden="1">'JE Query - 41121, 41129'!$1:$8</definedName>
    <definedName name="Z_76FC386D_C488_46EF_BB9C_D1C49FEBAB90_.wvu.Rows" localSheetId="17" hidden="1">Payroll!$310:$332</definedName>
  </definedNames>
  <calcPr calcId="145621" iterate="1" concurrentManualCount="4"/>
  <customWorkbookViews>
    <customWorkbookView name="Heather Garland - Personal View" guid="{76FC386D-C488-46EF-BB9C-D1C49FEBAB90}" mergeInterval="0" personalView="1" maximized="1" windowWidth="1920" windowHeight="813" tabRatio="799" activeSheetId="4"/>
    <customWorkbookView name="Chelsea Paschke - Personal View" guid="{16F8EA47-9864-4C0F-89A1-62B7CCC013F9}" mergeInterval="0" personalView="1" maximized="1" windowWidth="1920" windowHeight="855" tabRatio="799" activeSheetId="10"/>
  </customWorkbookViews>
  <pivotCaches>
    <pivotCache cacheId="0" r:id="rId89"/>
    <pivotCache cacheId="1" r:id="rId90"/>
    <pivotCache cacheId="2" r:id="rId91"/>
  </pivotCaches>
</workbook>
</file>

<file path=xl/calcChain.xml><?xml version="1.0" encoding="utf-8"?>
<calcChain xmlns="http://schemas.openxmlformats.org/spreadsheetml/2006/main">
  <c r="AK132" i="8" l="1"/>
  <c r="AJ196" i="8" l="1"/>
  <c r="AJ195" i="8"/>
  <c r="AJ194" i="8"/>
  <c r="AJ193" i="8"/>
  <c r="AJ192" i="8"/>
  <c r="AJ191" i="8"/>
  <c r="AJ190" i="8"/>
  <c r="AJ189" i="8"/>
  <c r="AJ188" i="8"/>
  <c r="AJ187" i="8"/>
  <c r="AJ186" i="8"/>
  <c r="AJ185" i="8"/>
  <c r="AJ184" i="8"/>
  <c r="AJ183" i="8"/>
  <c r="AJ182" i="8"/>
  <c r="AJ181" i="8"/>
  <c r="AJ180" i="8"/>
  <c r="AJ179" i="8"/>
  <c r="AJ178" i="8"/>
  <c r="AJ177" i="8"/>
  <c r="AJ176" i="8"/>
  <c r="AJ175" i="8"/>
  <c r="AJ174" i="8"/>
  <c r="AJ173" i="8"/>
  <c r="AJ172" i="8"/>
  <c r="AJ171" i="8"/>
  <c r="AJ170" i="8"/>
  <c r="AJ169" i="8"/>
  <c r="AJ168" i="8"/>
  <c r="AJ167" i="8"/>
  <c r="AJ166" i="8"/>
  <c r="AJ165" i="8"/>
  <c r="AJ164" i="8"/>
  <c r="AJ163" i="8"/>
  <c r="AJ162" i="8"/>
  <c r="AJ161" i="8"/>
  <c r="AJ160" i="8"/>
  <c r="AJ159" i="8"/>
  <c r="AJ158" i="8"/>
  <c r="AJ157" i="8"/>
  <c r="AJ156" i="8"/>
  <c r="AJ155" i="8"/>
  <c r="AJ154" i="8"/>
  <c r="AJ153" i="8"/>
  <c r="AJ152" i="8"/>
  <c r="AJ151" i="8"/>
  <c r="AJ150" i="8"/>
  <c r="AJ149" i="8"/>
  <c r="AJ148" i="8"/>
  <c r="AJ147" i="8"/>
  <c r="AJ146" i="8"/>
  <c r="AJ145" i="8"/>
  <c r="AJ144" i="8"/>
  <c r="AJ143" i="8"/>
  <c r="AJ142" i="8"/>
  <c r="AJ141" i="8"/>
  <c r="AJ140" i="8"/>
  <c r="AJ139" i="8"/>
  <c r="AJ138" i="8"/>
  <c r="AJ137" i="8"/>
  <c r="AJ136" i="8"/>
  <c r="AJ135" i="8"/>
  <c r="V21" i="4" l="1"/>
  <c r="V19" i="4"/>
  <c r="X16" i="4"/>
  <c r="X19" i="4"/>
  <c r="X21" i="4"/>
  <c r="X22" i="4"/>
  <c r="X25" i="4"/>
  <c r="C9" i="37" l="1"/>
  <c r="C9" i="36"/>
  <c r="C9" i="22"/>
  <c r="AW44" i="8" l="1"/>
  <c r="AW39" i="8"/>
  <c r="AW53" i="8" s="1"/>
  <c r="AW38" i="8"/>
  <c r="AW52" i="8" s="1"/>
  <c r="AW37" i="8"/>
  <c r="AW51" i="8" s="1"/>
  <c r="AW32" i="8"/>
  <c r="AW31" i="8"/>
  <c r="AW30" i="8"/>
  <c r="C381" i="43"/>
  <c r="C380" i="43"/>
  <c r="C379" i="43"/>
  <c r="C378" i="43"/>
  <c r="C370" i="43"/>
  <c r="C369" i="43"/>
  <c r="C366" i="43"/>
  <c r="C365" i="43"/>
  <c r="C364" i="43"/>
  <c r="C361" i="43"/>
  <c r="C360" i="43"/>
  <c r="C359" i="43"/>
  <c r="C334" i="43"/>
  <c r="C333" i="43"/>
  <c r="C332" i="43"/>
  <c r="C331" i="43"/>
  <c r="C330" i="43"/>
  <c r="C329" i="43"/>
  <c r="C317" i="43"/>
  <c r="C316" i="43"/>
  <c r="C315" i="43"/>
  <c r="C314" i="43"/>
  <c r="C313" i="43"/>
  <c r="C312" i="43"/>
  <c r="C309" i="43"/>
  <c r="C308" i="43"/>
  <c r="C307" i="43"/>
  <c r="C306" i="43"/>
  <c r="C305" i="43"/>
  <c r="C304" i="43"/>
  <c r="C301" i="43"/>
  <c r="C300" i="43"/>
  <c r="C299" i="43"/>
  <c r="C298" i="43"/>
  <c r="C297" i="43"/>
  <c r="C296" i="43"/>
  <c r="E291" i="43"/>
  <c r="E290" i="43"/>
  <c r="E289" i="43"/>
  <c r="C231" i="43"/>
  <c r="C232" i="43" s="1"/>
  <c r="C225" i="43"/>
  <c r="C226" i="43" s="1"/>
  <c r="C202" i="43"/>
  <c r="C201" i="43"/>
  <c r="C200" i="43"/>
  <c r="C199" i="43"/>
  <c r="C198" i="43"/>
  <c r="C197" i="43"/>
  <c r="C196" i="43"/>
  <c r="C183" i="43"/>
  <c r="C182" i="43"/>
  <c r="C181" i="43"/>
  <c r="C180" i="43"/>
  <c r="C179" i="43"/>
  <c r="C178" i="43"/>
  <c r="C177" i="43"/>
  <c r="C174" i="43"/>
  <c r="C173" i="43"/>
  <c r="C172" i="43"/>
  <c r="C171" i="43"/>
  <c r="C170" i="43"/>
  <c r="C169" i="43"/>
  <c r="C168" i="43"/>
  <c r="C165" i="43"/>
  <c r="C164" i="43"/>
  <c r="C163" i="43"/>
  <c r="C162" i="43"/>
  <c r="C161" i="43"/>
  <c r="C160" i="43"/>
  <c r="C159" i="43"/>
  <c r="C154" i="43"/>
  <c r="C153" i="43"/>
  <c r="C152" i="43"/>
  <c r="C142" i="43"/>
  <c r="C141" i="43"/>
  <c r="C125" i="43"/>
  <c r="C123" i="43"/>
  <c r="C122" i="43"/>
  <c r="C121" i="43"/>
  <c r="C105" i="43"/>
  <c r="C104" i="43"/>
  <c r="C100" i="43"/>
  <c r="C99" i="43"/>
  <c r="C98" i="43"/>
  <c r="C103" i="43" s="1"/>
  <c r="C95" i="43"/>
  <c r="C94" i="43"/>
  <c r="C90" i="43"/>
  <c r="C89" i="43"/>
  <c r="C88" i="43"/>
  <c r="C93" i="43" s="1"/>
  <c r="C80" i="43"/>
  <c r="C85" i="43" s="1"/>
  <c r="C79" i="43"/>
  <c r="C84" i="43" s="1"/>
  <c r="C78" i="43"/>
  <c r="C83" i="43" s="1"/>
  <c r="C26" i="43"/>
  <c r="C227" i="43" l="1"/>
  <c r="C233" i="43"/>
  <c r="AN4" i="10" l="1"/>
  <c r="AN3" i="10"/>
  <c r="AN2" i="10"/>
  <c r="AQ4" i="9"/>
  <c r="AQ3" i="9"/>
  <c r="AQ2" i="9"/>
  <c r="AO2" i="8" l="1"/>
  <c r="AW23" i="8"/>
  <c r="AW22" i="8"/>
  <c r="AW19" i="8"/>
  <c r="AW20" i="8" s="1"/>
  <c r="AI39" i="10"/>
  <c r="AI40" i="10"/>
  <c r="AI41" i="10"/>
  <c r="AI42" i="10"/>
  <c r="AI43" i="10"/>
  <c r="AI44" i="10"/>
  <c r="AI45" i="10"/>
  <c r="AI46" i="10"/>
  <c r="AI47" i="10"/>
  <c r="AI48" i="10"/>
  <c r="AI49" i="10"/>
  <c r="AI50" i="10"/>
  <c r="AI51" i="10"/>
  <c r="AI52" i="10"/>
  <c r="AI53" i="10"/>
  <c r="AI54" i="10"/>
  <c r="AI55" i="10"/>
  <c r="W39" i="10"/>
  <c r="X39" i="10"/>
  <c r="Y39" i="10"/>
  <c r="Z39" i="10"/>
  <c r="AA39" i="10"/>
  <c r="AB39" i="10"/>
  <c r="AC39" i="10"/>
  <c r="AD39" i="10"/>
  <c r="AE39" i="10"/>
  <c r="AF39" i="10"/>
  <c r="AG39" i="10"/>
  <c r="AH39" i="10"/>
  <c r="W40" i="10"/>
  <c r="X40" i="10"/>
  <c r="Y40" i="10"/>
  <c r="Z40" i="10"/>
  <c r="AA40" i="10"/>
  <c r="AB40" i="10"/>
  <c r="AC40" i="10"/>
  <c r="AD40" i="10"/>
  <c r="AE40" i="10"/>
  <c r="AF40" i="10"/>
  <c r="AG40" i="10"/>
  <c r="AH40" i="10"/>
  <c r="W41" i="10"/>
  <c r="X41" i="10"/>
  <c r="Y41" i="10"/>
  <c r="Z41" i="10"/>
  <c r="AA41" i="10"/>
  <c r="AB41" i="10"/>
  <c r="AC41" i="10"/>
  <c r="AD41" i="10"/>
  <c r="AE41" i="10"/>
  <c r="AF41" i="10"/>
  <c r="AG41" i="10"/>
  <c r="AH41" i="10"/>
  <c r="W42" i="10"/>
  <c r="X42" i="10"/>
  <c r="Y42" i="10"/>
  <c r="Z42" i="10"/>
  <c r="AA42" i="10"/>
  <c r="AB42" i="10"/>
  <c r="AC42" i="10"/>
  <c r="AD42" i="10"/>
  <c r="AE42" i="10"/>
  <c r="AF42" i="10"/>
  <c r="AG42" i="10"/>
  <c r="AH42" i="10"/>
  <c r="W43" i="10"/>
  <c r="X43" i="10"/>
  <c r="Y43" i="10"/>
  <c r="Z43" i="10"/>
  <c r="AA43" i="10"/>
  <c r="AB43" i="10"/>
  <c r="AC43" i="10"/>
  <c r="AD43" i="10"/>
  <c r="AE43" i="10"/>
  <c r="AF43" i="10"/>
  <c r="AG43" i="10"/>
  <c r="AH43" i="10"/>
  <c r="W44" i="10"/>
  <c r="X44" i="10"/>
  <c r="Y44" i="10"/>
  <c r="Z44" i="10"/>
  <c r="AA44" i="10"/>
  <c r="AB44" i="10"/>
  <c r="AC44" i="10"/>
  <c r="AD44" i="10"/>
  <c r="AE44" i="10"/>
  <c r="AF44" i="10"/>
  <c r="AG44" i="10"/>
  <c r="AH44" i="10"/>
  <c r="W45" i="10"/>
  <c r="X45" i="10"/>
  <c r="Y45" i="10"/>
  <c r="Z45" i="10"/>
  <c r="AA45" i="10"/>
  <c r="AB45" i="10"/>
  <c r="AC45" i="10"/>
  <c r="AD45" i="10"/>
  <c r="AE45" i="10"/>
  <c r="AF45" i="10"/>
  <c r="AG45" i="10"/>
  <c r="AH45" i="10"/>
  <c r="W46" i="10"/>
  <c r="X46" i="10"/>
  <c r="Y46" i="10"/>
  <c r="Z46" i="10"/>
  <c r="AA46" i="10"/>
  <c r="AB46" i="10"/>
  <c r="AC46" i="10"/>
  <c r="AD46" i="10"/>
  <c r="AE46" i="10"/>
  <c r="AF46" i="10"/>
  <c r="AG46" i="10"/>
  <c r="AH46" i="10"/>
  <c r="W47" i="10"/>
  <c r="X47" i="10"/>
  <c r="Y47" i="10"/>
  <c r="Z47" i="10"/>
  <c r="AA47" i="10"/>
  <c r="AB47" i="10"/>
  <c r="AC47" i="10"/>
  <c r="AD47" i="10"/>
  <c r="AE47" i="10"/>
  <c r="AF47" i="10"/>
  <c r="AG47" i="10"/>
  <c r="AH47" i="10"/>
  <c r="W48" i="10"/>
  <c r="X48" i="10"/>
  <c r="Y48" i="10"/>
  <c r="Z48" i="10"/>
  <c r="AA48" i="10"/>
  <c r="AB48" i="10"/>
  <c r="AC48" i="10"/>
  <c r="AD48" i="10"/>
  <c r="AE48" i="10"/>
  <c r="AF48" i="10"/>
  <c r="AG48" i="10"/>
  <c r="AH48" i="10"/>
  <c r="W49" i="10"/>
  <c r="X49" i="10"/>
  <c r="Y49" i="10"/>
  <c r="Z49" i="10"/>
  <c r="AA49" i="10"/>
  <c r="AB49" i="10"/>
  <c r="AC49" i="10"/>
  <c r="AD49" i="10"/>
  <c r="AE49" i="10"/>
  <c r="AF49" i="10"/>
  <c r="AG49" i="10"/>
  <c r="AH49" i="10"/>
  <c r="W50" i="10"/>
  <c r="X50" i="10"/>
  <c r="Y50" i="10"/>
  <c r="Z50" i="10"/>
  <c r="AA50" i="10"/>
  <c r="AB50" i="10"/>
  <c r="AC50" i="10"/>
  <c r="AD50" i="10"/>
  <c r="AE50" i="10"/>
  <c r="AF50" i="10"/>
  <c r="AG50" i="10"/>
  <c r="AH50" i="10"/>
  <c r="W51" i="10"/>
  <c r="X51" i="10"/>
  <c r="Y51" i="10"/>
  <c r="Z51" i="10"/>
  <c r="AA51" i="10"/>
  <c r="AB51" i="10"/>
  <c r="AC51" i="10"/>
  <c r="AD51" i="10"/>
  <c r="AE51" i="10"/>
  <c r="AF51" i="10"/>
  <c r="AG51" i="10"/>
  <c r="AH51" i="10"/>
  <c r="W52" i="10"/>
  <c r="X52" i="10"/>
  <c r="Y52" i="10"/>
  <c r="Z52" i="10"/>
  <c r="AA52" i="10"/>
  <c r="AB52" i="10"/>
  <c r="AC52" i="10"/>
  <c r="AD52" i="10"/>
  <c r="AE52" i="10"/>
  <c r="AF52" i="10"/>
  <c r="AG52" i="10"/>
  <c r="AH52" i="10"/>
  <c r="W53" i="10"/>
  <c r="X53" i="10"/>
  <c r="Y53" i="10"/>
  <c r="Z53" i="10"/>
  <c r="AA53" i="10"/>
  <c r="AB53" i="10"/>
  <c r="AC53" i="10"/>
  <c r="AD53" i="10"/>
  <c r="AE53" i="10"/>
  <c r="AF53" i="10"/>
  <c r="AG53" i="10"/>
  <c r="AH53" i="10"/>
  <c r="W54" i="10"/>
  <c r="X54" i="10"/>
  <c r="Y54" i="10"/>
  <c r="Z54" i="10"/>
  <c r="AA54" i="10"/>
  <c r="AB54" i="10"/>
  <c r="AC54" i="10"/>
  <c r="AD54" i="10"/>
  <c r="AE54" i="10"/>
  <c r="AF54" i="10"/>
  <c r="AG54" i="10"/>
  <c r="AH54" i="10"/>
  <c r="W55" i="10"/>
  <c r="X55" i="10"/>
  <c r="Y55" i="10"/>
  <c r="Z55" i="10"/>
  <c r="AA55" i="10"/>
  <c r="AB55" i="10"/>
  <c r="AC55" i="10"/>
  <c r="AD55" i="10"/>
  <c r="AE55" i="10"/>
  <c r="AF55" i="10"/>
  <c r="AG55" i="10"/>
  <c r="AH55" i="10"/>
  <c r="AW16" i="8"/>
  <c r="AW13" i="8"/>
  <c r="AT262" i="8"/>
  <c r="AM2" i="10" l="1"/>
  <c r="AP2" i="9"/>
  <c r="AT272" i="8"/>
  <c r="AS82" i="9" l="1"/>
  <c r="V198" i="8" l="1"/>
  <c r="B14" i="6" s="1"/>
  <c r="U16" i="6" l="1"/>
  <c r="U13" i="6"/>
  <c r="U21" i="6" s="1"/>
  <c r="R59" i="6"/>
  <c r="T112" i="4"/>
  <c r="D19" i="41"/>
  <c r="D8" i="41"/>
  <c r="D9" i="41"/>
  <c r="D10" i="41"/>
  <c r="D11" i="41"/>
  <c r="D12" i="41"/>
  <c r="D13" i="41"/>
  <c r="D14" i="41"/>
  <c r="D15" i="41"/>
  <c r="D16" i="41"/>
  <c r="D17" i="41"/>
  <c r="D18" i="41"/>
  <c r="D7" i="41"/>
  <c r="B19" i="41"/>
  <c r="AR107" i="40" l="1"/>
  <c r="AQ107" i="40"/>
  <c r="AP107" i="40"/>
  <c r="AR106" i="40"/>
  <c r="AQ106" i="40"/>
  <c r="AP106" i="40"/>
  <c r="AR105" i="40"/>
  <c r="AQ105" i="40"/>
  <c r="AP105" i="40"/>
  <c r="AR104" i="40"/>
  <c r="AQ104" i="40"/>
  <c r="AP104" i="40"/>
  <c r="AR103" i="40"/>
  <c r="AQ103" i="40"/>
  <c r="AP103" i="40"/>
  <c r="AR102" i="40"/>
  <c r="AQ102" i="40"/>
  <c r="AP102" i="40"/>
  <c r="AR101" i="40"/>
  <c r="AQ101" i="40"/>
  <c r="AP101" i="40"/>
  <c r="AR100" i="40"/>
  <c r="AQ100" i="40"/>
  <c r="AP100" i="40"/>
  <c r="AR99" i="40"/>
  <c r="AQ99" i="40"/>
  <c r="AP99" i="40"/>
  <c r="AR98" i="40"/>
  <c r="AQ98" i="40"/>
  <c r="AP98" i="40"/>
  <c r="AR97" i="40"/>
  <c r="AQ97" i="40"/>
  <c r="AP97" i="40"/>
  <c r="AR96" i="40"/>
  <c r="AQ96" i="40"/>
  <c r="AP96" i="40"/>
  <c r="AR95" i="40"/>
  <c r="AQ95" i="40"/>
  <c r="AP95" i="40"/>
  <c r="AR94" i="40"/>
  <c r="AQ94" i="40"/>
  <c r="AP94" i="40"/>
  <c r="AR93" i="40"/>
  <c r="AQ93" i="40"/>
  <c r="AP93" i="40"/>
  <c r="AR92" i="40"/>
  <c r="AQ92" i="40"/>
  <c r="AP92" i="40"/>
  <c r="AR91" i="40"/>
  <c r="AQ91" i="40"/>
  <c r="AP91" i="40"/>
  <c r="AR90" i="40"/>
  <c r="AQ90" i="40"/>
  <c r="AP90" i="40"/>
  <c r="AR89" i="40"/>
  <c r="AQ89" i="40"/>
  <c r="AP89" i="40"/>
  <c r="AR88" i="40"/>
  <c r="AQ88" i="40"/>
  <c r="AP88" i="40"/>
  <c r="AR87" i="40"/>
  <c r="AQ87" i="40"/>
  <c r="AP87" i="40"/>
  <c r="AR86" i="40"/>
  <c r="AQ86" i="40"/>
  <c r="AP86" i="40"/>
  <c r="AR85" i="40"/>
  <c r="AQ85" i="40"/>
  <c r="AP85" i="40"/>
  <c r="AR84" i="40"/>
  <c r="AQ84" i="40"/>
  <c r="AP84" i="40"/>
  <c r="AR83" i="40"/>
  <c r="AQ83" i="40"/>
  <c r="AP83" i="40"/>
  <c r="AR82" i="40"/>
  <c r="AQ82" i="40"/>
  <c r="AP82" i="40"/>
  <c r="AR81" i="40"/>
  <c r="AQ81" i="40"/>
  <c r="AP81" i="40"/>
  <c r="AR80" i="40"/>
  <c r="AQ80" i="40"/>
  <c r="AP80" i="40"/>
  <c r="AR79" i="40"/>
  <c r="AQ79" i="40"/>
  <c r="AP79" i="40"/>
  <c r="AR78" i="40"/>
  <c r="AQ78" i="40"/>
  <c r="AP78" i="40"/>
  <c r="AR77" i="40"/>
  <c r="AQ77" i="40"/>
  <c r="AP77" i="40"/>
  <c r="AR76" i="40"/>
  <c r="AQ76" i="40"/>
  <c r="AP76" i="40"/>
  <c r="AR75" i="40"/>
  <c r="AQ75" i="40"/>
  <c r="AP75" i="40"/>
  <c r="AR74" i="40"/>
  <c r="AQ74" i="40"/>
  <c r="AP74" i="40"/>
  <c r="AR73" i="40"/>
  <c r="AQ73" i="40"/>
  <c r="AP73" i="40"/>
  <c r="AR72" i="40"/>
  <c r="AQ72" i="40"/>
  <c r="AP72" i="40"/>
  <c r="AR71" i="40"/>
  <c r="AQ71" i="40"/>
  <c r="AP71" i="40"/>
  <c r="AR70" i="40"/>
  <c r="AQ70" i="40"/>
  <c r="AP70" i="40"/>
  <c r="AR69" i="40"/>
  <c r="AQ69" i="40"/>
  <c r="AP69" i="40"/>
  <c r="AR68" i="40"/>
  <c r="AQ68" i="40"/>
  <c r="AP68" i="40"/>
  <c r="AR67" i="40"/>
  <c r="AQ67" i="40"/>
  <c r="AP67" i="40"/>
  <c r="AR66" i="40"/>
  <c r="AQ66" i="40"/>
  <c r="AP66" i="40"/>
  <c r="AR65" i="40"/>
  <c r="AQ65" i="40"/>
  <c r="AP65" i="40"/>
  <c r="AR64" i="40"/>
  <c r="AQ64" i="40"/>
  <c r="AP64" i="40"/>
  <c r="AR63" i="40"/>
  <c r="AQ63" i="40"/>
  <c r="AP63" i="40"/>
  <c r="AR62" i="40"/>
  <c r="AQ62" i="40"/>
  <c r="AP62" i="40"/>
  <c r="AR61" i="40"/>
  <c r="AQ61" i="40"/>
  <c r="AP61" i="40"/>
  <c r="AR60" i="40"/>
  <c r="AQ60" i="40"/>
  <c r="AP60" i="40"/>
  <c r="AR59" i="40"/>
  <c r="AQ59" i="40"/>
  <c r="AP59" i="40"/>
  <c r="AR58" i="40"/>
  <c r="AQ58" i="40"/>
  <c r="AP58" i="40"/>
  <c r="AR57" i="40"/>
  <c r="AQ57" i="40"/>
  <c r="AP57" i="40"/>
  <c r="AR56" i="40"/>
  <c r="AQ56" i="40"/>
  <c r="AP56" i="40"/>
  <c r="AR55" i="40"/>
  <c r="AQ55" i="40"/>
  <c r="AP55" i="40"/>
  <c r="AR54" i="40"/>
  <c r="AQ54" i="40"/>
  <c r="AP54" i="40"/>
  <c r="AR53" i="40"/>
  <c r="AQ53" i="40"/>
  <c r="AP53" i="40"/>
  <c r="AR52" i="40"/>
  <c r="AQ52" i="40"/>
  <c r="AP52" i="40"/>
  <c r="AR51" i="40"/>
  <c r="AQ51" i="40"/>
  <c r="AP51" i="40"/>
  <c r="AR50" i="40"/>
  <c r="AQ50" i="40"/>
  <c r="AP50" i="40"/>
  <c r="AR49" i="40"/>
  <c r="AQ49" i="40"/>
  <c r="AP49" i="40"/>
  <c r="AR48" i="40"/>
  <c r="AQ48" i="40"/>
  <c r="AP48" i="40"/>
  <c r="AR47" i="40"/>
  <c r="AQ47" i="40"/>
  <c r="AP47" i="40"/>
  <c r="AR46" i="40"/>
  <c r="AQ46" i="40"/>
  <c r="AP46" i="40"/>
  <c r="AC46" i="40"/>
  <c r="AA46" i="40"/>
  <c r="Y46" i="40"/>
  <c r="W46" i="40"/>
  <c r="U46" i="40"/>
  <c r="S46" i="40"/>
  <c r="Q46" i="40"/>
  <c r="O46" i="40"/>
  <c r="M46" i="40"/>
  <c r="K46" i="40"/>
  <c r="I46" i="40"/>
  <c r="G46" i="40"/>
  <c r="AR45" i="40"/>
  <c r="AQ45" i="40"/>
  <c r="AP45" i="40"/>
  <c r="AC45" i="40"/>
  <c r="AA45" i="40"/>
  <c r="Y45" i="40"/>
  <c r="W45" i="40"/>
  <c r="U45" i="40"/>
  <c r="S45" i="40"/>
  <c r="Q45" i="40"/>
  <c r="O45" i="40"/>
  <c r="M45" i="40"/>
  <c r="K45" i="40"/>
  <c r="I45" i="40"/>
  <c r="G45" i="40"/>
  <c r="AR44" i="40"/>
  <c r="AQ44" i="40"/>
  <c r="AP44" i="40"/>
  <c r="AC44" i="40"/>
  <c r="AA44" i="40"/>
  <c r="Y44" i="40"/>
  <c r="W44" i="40"/>
  <c r="U44" i="40"/>
  <c r="S44" i="40"/>
  <c r="Q44" i="40"/>
  <c r="O44" i="40"/>
  <c r="M44" i="40"/>
  <c r="K44" i="40"/>
  <c r="I44" i="40"/>
  <c r="G44" i="40"/>
  <c r="AR43" i="40"/>
  <c r="AQ43" i="40"/>
  <c r="AP43" i="40"/>
  <c r="AC43" i="40"/>
  <c r="AA43" i="40"/>
  <c r="Y43" i="40"/>
  <c r="W43" i="40"/>
  <c r="U43" i="40"/>
  <c r="S43" i="40"/>
  <c r="Q43" i="40"/>
  <c r="O43" i="40"/>
  <c r="M43" i="40"/>
  <c r="K43" i="40"/>
  <c r="I43" i="40"/>
  <c r="G43" i="40"/>
  <c r="AR42" i="40"/>
  <c r="AQ42" i="40"/>
  <c r="AP42" i="40"/>
  <c r="AC42" i="40"/>
  <c r="AA42" i="40"/>
  <c r="Y42" i="40"/>
  <c r="W42" i="40"/>
  <c r="U42" i="40"/>
  <c r="S42" i="40"/>
  <c r="Q42" i="40"/>
  <c r="O42" i="40"/>
  <c r="M42" i="40"/>
  <c r="K42" i="40"/>
  <c r="I42" i="40"/>
  <c r="G42" i="40"/>
  <c r="AR41" i="40"/>
  <c r="AQ41" i="40"/>
  <c r="AP41" i="40"/>
  <c r="AC41" i="40"/>
  <c r="AA41" i="40"/>
  <c r="Y41" i="40"/>
  <c r="W41" i="40"/>
  <c r="U41" i="40"/>
  <c r="S41" i="40"/>
  <c r="Q41" i="40"/>
  <c r="O41" i="40"/>
  <c r="M41" i="40"/>
  <c r="K41" i="40"/>
  <c r="I41" i="40"/>
  <c r="G41" i="40"/>
  <c r="AR40" i="40"/>
  <c r="AQ40" i="40"/>
  <c r="AP40" i="40"/>
  <c r="AC40" i="40"/>
  <c r="AA40" i="40"/>
  <c r="Y40" i="40"/>
  <c r="W40" i="40"/>
  <c r="U40" i="40"/>
  <c r="S40" i="40"/>
  <c r="Q40" i="40"/>
  <c r="O40" i="40"/>
  <c r="M40" i="40"/>
  <c r="K40" i="40"/>
  <c r="I40" i="40"/>
  <c r="G40" i="40"/>
  <c r="AR39" i="40"/>
  <c r="AQ39" i="40"/>
  <c r="AP39" i="40"/>
  <c r="AC39" i="40"/>
  <c r="AA39" i="40"/>
  <c r="Y39" i="40"/>
  <c r="W39" i="40"/>
  <c r="U39" i="40"/>
  <c r="S39" i="40"/>
  <c r="Q39" i="40"/>
  <c r="O39" i="40"/>
  <c r="M39" i="40"/>
  <c r="K39" i="40"/>
  <c r="I39" i="40"/>
  <c r="G39" i="40"/>
  <c r="AR38" i="40"/>
  <c r="AQ38" i="40"/>
  <c r="AP38" i="40"/>
  <c r="AC38" i="40"/>
  <c r="AA38" i="40"/>
  <c r="Y38" i="40"/>
  <c r="W38" i="40"/>
  <c r="U38" i="40"/>
  <c r="S38" i="40"/>
  <c r="Q38" i="40"/>
  <c r="O38" i="40"/>
  <c r="M38" i="40"/>
  <c r="K38" i="40"/>
  <c r="I38" i="40"/>
  <c r="G38" i="40"/>
  <c r="AR37" i="40"/>
  <c r="AQ37" i="40"/>
  <c r="AP37" i="40"/>
  <c r="AC37" i="40"/>
  <c r="AA37" i="40"/>
  <c r="Y37" i="40"/>
  <c r="W37" i="40"/>
  <c r="U37" i="40"/>
  <c r="S37" i="40"/>
  <c r="Q37" i="40"/>
  <c r="O37" i="40"/>
  <c r="M37" i="40"/>
  <c r="K37" i="40"/>
  <c r="I37" i="40"/>
  <c r="G37" i="40"/>
  <c r="AR36" i="40"/>
  <c r="AQ36" i="40"/>
  <c r="AP36" i="40"/>
  <c r="AC36" i="40"/>
  <c r="AA36" i="40"/>
  <c r="Y36" i="40"/>
  <c r="W36" i="40"/>
  <c r="U36" i="40"/>
  <c r="S36" i="40"/>
  <c r="Q36" i="40"/>
  <c r="O36" i="40"/>
  <c r="M36" i="40"/>
  <c r="K36" i="40"/>
  <c r="I36" i="40"/>
  <c r="G36" i="40"/>
  <c r="AR35" i="40"/>
  <c r="AQ35" i="40"/>
  <c r="AP35" i="40"/>
  <c r="AC35" i="40"/>
  <c r="AA35" i="40"/>
  <c r="Y35" i="40"/>
  <c r="W35" i="40"/>
  <c r="U35" i="40"/>
  <c r="S35" i="40"/>
  <c r="Q35" i="40"/>
  <c r="O35" i="40"/>
  <c r="M35" i="40"/>
  <c r="K35" i="40"/>
  <c r="I35" i="40"/>
  <c r="G35" i="40"/>
  <c r="AR34" i="40"/>
  <c r="AQ34" i="40"/>
  <c r="AP34" i="40"/>
  <c r="AC34" i="40"/>
  <c r="AA34" i="40"/>
  <c r="Y34" i="40"/>
  <c r="W34" i="40"/>
  <c r="U34" i="40"/>
  <c r="S34" i="40"/>
  <c r="Q34" i="40"/>
  <c r="O34" i="40"/>
  <c r="M34" i="40"/>
  <c r="K34" i="40"/>
  <c r="I34" i="40"/>
  <c r="G34" i="40"/>
  <c r="AR33" i="40"/>
  <c r="AQ33" i="40"/>
  <c r="AP33" i="40"/>
  <c r="AC33" i="40"/>
  <c r="AA33" i="40"/>
  <c r="Y33" i="40"/>
  <c r="W33" i="40"/>
  <c r="U33" i="40"/>
  <c r="S33" i="40"/>
  <c r="Q33" i="40"/>
  <c r="O33" i="40"/>
  <c r="M33" i="40"/>
  <c r="K33" i="40"/>
  <c r="I33" i="40"/>
  <c r="G33" i="40"/>
  <c r="AR32" i="40"/>
  <c r="AQ32" i="40"/>
  <c r="AP32" i="40"/>
  <c r="AC32" i="40"/>
  <c r="AA32" i="40"/>
  <c r="Y32" i="40"/>
  <c r="W32" i="40"/>
  <c r="U32" i="40"/>
  <c r="S32" i="40"/>
  <c r="Q32" i="40"/>
  <c r="O32" i="40"/>
  <c r="M32" i="40"/>
  <c r="K32" i="40"/>
  <c r="I32" i="40"/>
  <c r="G32" i="40"/>
  <c r="AR31" i="40"/>
  <c r="AQ31" i="40"/>
  <c r="AP31" i="40"/>
  <c r="AC31" i="40"/>
  <c r="AA31" i="40"/>
  <c r="Y31" i="40"/>
  <c r="W31" i="40"/>
  <c r="U31" i="40"/>
  <c r="S31" i="40"/>
  <c r="Q31" i="40"/>
  <c r="O31" i="40"/>
  <c r="M31" i="40"/>
  <c r="K31" i="40"/>
  <c r="I31" i="40"/>
  <c r="G31" i="40"/>
  <c r="AR30" i="40"/>
  <c r="AQ30" i="40"/>
  <c r="AP30" i="40"/>
  <c r="AC30" i="40"/>
  <c r="AA30" i="40"/>
  <c r="Y30" i="40"/>
  <c r="W30" i="40"/>
  <c r="U30" i="40"/>
  <c r="S30" i="40"/>
  <c r="Q30" i="40"/>
  <c r="O30" i="40"/>
  <c r="M30" i="40"/>
  <c r="K30" i="40"/>
  <c r="I30" i="40"/>
  <c r="G30" i="40"/>
  <c r="AR29" i="40"/>
  <c r="AQ29" i="40"/>
  <c r="AP29" i="40"/>
  <c r="AC29" i="40"/>
  <c r="AA29" i="40"/>
  <c r="Y29" i="40"/>
  <c r="W29" i="40"/>
  <c r="U29" i="40"/>
  <c r="S29" i="40"/>
  <c r="Q29" i="40"/>
  <c r="O29" i="40"/>
  <c r="M29" i="40"/>
  <c r="K29" i="40"/>
  <c r="I29" i="40"/>
  <c r="G29" i="40"/>
  <c r="AR28" i="40"/>
  <c r="AQ28" i="40"/>
  <c r="AP28" i="40"/>
  <c r="AC28" i="40"/>
  <c r="AA28" i="40"/>
  <c r="Y28" i="40"/>
  <c r="W28" i="40"/>
  <c r="U28" i="40"/>
  <c r="S28" i="40"/>
  <c r="Q28" i="40"/>
  <c r="O28" i="40"/>
  <c r="M28" i="40"/>
  <c r="K28" i="40"/>
  <c r="I28" i="40"/>
  <c r="G28" i="40"/>
  <c r="AR27" i="40"/>
  <c r="AQ27" i="40"/>
  <c r="AP27" i="40"/>
  <c r="AC27" i="40"/>
  <c r="AA27" i="40"/>
  <c r="Y27" i="40"/>
  <c r="W27" i="40"/>
  <c r="U27" i="40"/>
  <c r="S27" i="40"/>
  <c r="Q27" i="40"/>
  <c r="O27" i="40"/>
  <c r="M27" i="40"/>
  <c r="K27" i="40"/>
  <c r="I27" i="40"/>
  <c r="G27" i="40"/>
  <c r="AR26" i="40"/>
  <c r="AQ26" i="40"/>
  <c r="AP26" i="40"/>
  <c r="AC26" i="40"/>
  <c r="AA26" i="40"/>
  <c r="Y26" i="40"/>
  <c r="W26" i="40"/>
  <c r="U26" i="40"/>
  <c r="S26" i="40"/>
  <c r="Q26" i="40"/>
  <c r="O26" i="40"/>
  <c r="M26" i="40"/>
  <c r="K26" i="40"/>
  <c r="I26" i="40"/>
  <c r="G26" i="40"/>
  <c r="AR25" i="40"/>
  <c r="AQ25" i="40"/>
  <c r="AP25" i="40"/>
  <c r="AC25" i="40"/>
  <c r="AA25" i="40"/>
  <c r="Y25" i="40"/>
  <c r="W25" i="40"/>
  <c r="U25" i="40"/>
  <c r="S25" i="40"/>
  <c r="Q25" i="40"/>
  <c r="O25" i="40"/>
  <c r="M25" i="40"/>
  <c r="K25" i="40"/>
  <c r="I25" i="40"/>
  <c r="G25" i="40"/>
  <c r="AR24" i="40"/>
  <c r="AQ24" i="40"/>
  <c r="AP24" i="40"/>
  <c r="AC24" i="40"/>
  <c r="AA24" i="40"/>
  <c r="Y24" i="40"/>
  <c r="W24" i="40"/>
  <c r="U24" i="40"/>
  <c r="S24" i="40"/>
  <c r="Q24" i="40"/>
  <c r="O24" i="40"/>
  <c r="M24" i="40"/>
  <c r="K24" i="40"/>
  <c r="I24" i="40"/>
  <c r="G24" i="40"/>
  <c r="AR23" i="40"/>
  <c r="AQ23" i="40"/>
  <c r="AP23" i="40"/>
  <c r="AC23" i="40"/>
  <c r="AA23" i="40"/>
  <c r="Y23" i="40"/>
  <c r="W23" i="40"/>
  <c r="U23" i="40"/>
  <c r="S23" i="40"/>
  <c r="Q23" i="40"/>
  <c r="O23" i="40"/>
  <c r="M23" i="40"/>
  <c r="K23" i="40"/>
  <c r="I23" i="40"/>
  <c r="G23" i="40"/>
  <c r="AR22" i="40"/>
  <c r="AQ22" i="40"/>
  <c r="AP22" i="40"/>
  <c r="AC22" i="40"/>
  <c r="AA22" i="40"/>
  <c r="Y22" i="40"/>
  <c r="W22" i="40"/>
  <c r="U22" i="40"/>
  <c r="S22" i="40"/>
  <c r="Q22" i="40"/>
  <c r="O22" i="40"/>
  <c r="M22" i="40"/>
  <c r="K22" i="40"/>
  <c r="I22" i="40"/>
  <c r="G22" i="40"/>
  <c r="AR21" i="40"/>
  <c r="AQ21" i="40"/>
  <c r="AP21" i="40"/>
  <c r="AC21" i="40"/>
  <c r="AA21" i="40"/>
  <c r="Y21" i="40"/>
  <c r="W21" i="40"/>
  <c r="U21" i="40"/>
  <c r="S21" i="40"/>
  <c r="Q21" i="40"/>
  <c r="O21" i="40"/>
  <c r="M21" i="40"/>
  <c r="K21" i="40"/>
  <c r="I21" i="40"/>
  <c r="G21" i="40"/>
  <c r="AR20" i="40"/>
  <c r="AQ20" i="40"/>
  <c r="AP20" i="40"/>
  <c r="AC20" i="40"/>
  <c r="AA20" i="40"/>
  <c r="Y20" i="40"/>
  <c r="W20" i="40"/>
  <c r="U20" i="40"/>
  <c r="S20" i="40"/>
  <c r="Q20" i="40"/>
  <c r="O20" i="40"/>
  <c r="M20" i="40"/>
  <c r="K20" i="40"/>
  <c r="I20" i="40"/>
  <c r="G20" i="40"/>
  <c r="AR19" i="40"/>
  <c r="AQ19" i="40"/>
  <c r="AP19" i="40"/>
  <c r="AC19" i="40"/>
  <c r="AA19" i="40"/>
  <c r="Y19" i="40"/>
  <c r="W19" i="40"/>
  <c r="U19" i="40"/>
  <c r="S19" i="40"/>
  <c r="Q19" i="40"/>
  <c r="O19" i="40"/>
  <c r="M19" i="40"/>
  <c r="K19" i="40"/>
  <c r="I19" i="40"/>
  <c r="G19" i="40"/>
  <c r="AR18" i="40"/>
  <c r="AQ18" i="40"/>
  <c r="AP18" i="40"/>
  <c r="AC18" i="40"/>
  <c r="AA18" i="40"/>
  <c r="Y18" i="40"/>
  <c r="W18" i="40"/>
  <c r="U18" i="40"/>
  <c r="S18" i="40"/>
  <c r="Q18" i="40"/>
  <c r="O18" i="40"/>
  <c r="M18" i="40"/>
  <c r="K18" i="40"/>
  <c r="I18" i="40"/>
  <c r="G18" i="40"/>
  <c r="AR17" i="40"/>
  <c r="AQ17" i="40"/>
  <c r="AP17" i="40"/>
  <c r="AC17" i="40"/>
  <c r="AA17" i="40"/>
  <c r="Y17" i="40"/>
  <c r="W17" i="40"/>
  <c r="U17" i="40"/>
  <c r="S17" i="40"/>
  <c r="Q17" i="40"/>
  <c r="O17" i="40"/>
  <c r="M17" i="40"/>
  <c r="K17" i="40"/>
  <c r="I17" i="40"/>
  <c r="G17" i="40"/>
  <c r="AR16" i="40"/>
  <c r="AQ16" i="40"/>
  <c r="AP16" i="40"/>
  <c r="AC16" i="40"/>
  <c r="AA16" i="40"/>
  <c r="Y16" i="40"/>
  <c r="W16" i="40"/>
  <c r="U16" i="40"/>
  <c r="S16" i="40"/>
  <c r="Q16" i="40"/>
  <c r="O16" i="40"/>
  <c r="M16" i="40"/>
  <c r="K16" i="40"/>
  <c r="I16" i="40"/>
  <c r="G16" i="40"/>
  <c r="AR15" i="40"/>
  <c r="AQ15" i="40"/>
  <c r="AP15" i="40"/>
  <c r="AC15" i="40"/>
  <c r="AA15" i="40"/>
  <c r="Y15" i="40"/>
  <c r="W15" i="40"/>
  <c r="U15" i="40"/>
  <c r="S15" i="40"/>
  <c r="Q15" i="40"/>
  <c r="O15" i="40"/>
  <c r="M15" i="40"/>
  <c r="K15" i="40"/>
  <c r="I15" i="40"/>
  <c r="G15" i="40"/>
  <c r="AR14" i="40"/>
  <c r="AQ14" i="40"/>
  <c r="AP14" i="40"/>
  <c r="AC14" i="40"/>
  <c r="AA14" i="40"/>
  <c r="Y14" i="40"/>
  <c r="W14" i="40"/>
  <c r="U14" i="40"/>
  <c r="S14" i="40"/>
  <c r="Q14" i="40"/>
  <c r="O14" i="40"/>
  <c r="M14" i="40"/>
  <c r="K14" i="40"/>
  <c r="I14" i="40"/>
  <c r="G14" i="40"/>
  <c r="AR13" i="40"/>
  <c r="AQ13" i="40"/>
  <c r="AP13" i="40"/>
  <c r="AC13" i="40"/>
  <c r="AA13" i="40"/>
  <c r="Y13" i="40"/>
  <c r="W13" i="40"/>
  <c r="U13" i="40"/>
  <c r="S13" i="40"/>
  <c r="Q13" i="40"/>
  <c r="O13" i="40"/>
  <c r="M13" i="40"/>
  <c r="K13" i="40"/>
  <c r="I13" i="40"/>
  <c r="G13" i="40"/>
  <c r="AR12" i="40"/>
  <c r="AQ12" i="40"/>
  <c r="AP12" i="40"/>
  <c r="AC12" i="40"/>
  <c r="AA12" i="40"/>
  <c r="Y12" i="40"/>
  <c r="W12" i="40"/>
  <c r="U12" i="40"/>
  <c r="S12" i="40"/>
  <c r="Q12" i="40"/>
  <c r="O12" i="40"/>
  <c r="M12" i="40"/>
  <c r="K12" i="40"/>
  <c r="I12" i="40"/>
  <c r="G12" i="40"/>
  <c r="AR11" i="40"/>
  <c r="AQ11" i="40"/>
  <c r="AP11" i="40"/>
  <c r="AJ11" i="40"/>
  <c r="AC11" i="40"/>
  <c r="AA11" i="40"/>
  <c r="Y11" i="40"/>
  <c r="W11" i="40"/>
  <c r="U11" i="40"/>
  <c r="S11" i="40"/>
  <c r="Q11" i="40"/>
  <c r="O11" i="40"/>
  <c r="M11" i="40"/>
  <c r="K11" i="40"/>
  <c r="I11" i="40"/>
  <c r="G11" i="40"/>
  <c r="AR10" i="40"/>
  <c r="AQ10" i="40"/>
  <c r="AP10" i="40"/>
  <c r="AC10" i="40"/>
  <c r="AA10" i="40"/>
  <c r="Y10" i="40"/>
  <c r="W10" i="40"/>
  <c r="U10" i="40"/>
  <c r="S10" i="40"/>
  <c r="Q10" i="40"/>
  <c r="O10" i="40"/>
  <c r="M10" i="40"/>
  <c r="K10" i="40"/>
  <c r="I10" i="40"/>
  <c r="G10" i="40"/>
  <c r="AR9" i="40"/>
  <c r="AQ9" i="40"/>
  <c r="AP9" i="40"/>
  <c r="AC9" i="40"/>
  <c r="AA9" i="40"/>
  <c r="Y9" i="40"/>
  <c r="W9" i="40"/>
  <c r="W48" i="40" s="1"/>
  <c r="U9" i="40"/>
  <c r="S9" i="40"/>
  <c r="Q9" i="40"/>
  <c r="O9" i="40"/>
  <c r="O48" i="40" s="1"/>
  <c r="M9" i="40"/>
  <c r="K9" i="40"/>
  <c r="I9" i="40"/>
  <c r="G9" i="40"/>
  <c r="G48" i="40" s="1"/>
  <c r="AR8" i="40"/>
  <c r="AQ8" i="40"/>
  <c r="AP8" i="40"/>
  <c r="AR7" i="40"/>
  <c r="AQ7" i="40"/>
  <c r="AP7" i="40"/>
  <c r="AC7" i="40"/>
  <c r="AA7" i="40"/>
  <c r="Y7" i="40"/>
  <c r="W7" i="40"/>
  <c r="U7" i="40"/>
  <c r="S7" i="40"/>
  <c r="Q7" i="40"/>
  <c r="O7" i="40"/>
  <c r="M7" i="40"/>
  <c r="K7" i="40"/>
  <c r="I7" i="40"/>
  <c r="G7" i="40"/>
  <c r="AR6" i="40"/>
  <c r="AQ6" i="40"/>
  <c r="AP6" i="40"/>
  <c r="AR5" i="40"/>
  <c r="AQ5" i="40"/>
  <c r="AP5" i="40"/>
  <c r="AH4" i="40"/>
  <c r="AH3" i="40"/>
  <c r="AH2" i="40"/>
  <c r="AP108" i="40" l="1"/>
  <c r="AE12" i="40"/>
  <c r="AE18" i="40"/>
  <c r="AE37" i="40"/>
  <c r="AE43" i="40"/>
  <c r="AH45" i="40"/>
  <c r="AJ45" i="40" s="1"/>
  <c r="AQ108" i="40"/>
  <c r="Q48" i="40"/>
  <c r="AE11" i="40"/>
  <c r="AE16" i="40"/>
  <c r="AE23" i="40"/>
  <c r="AE31" i="40"/>
  <c r="AE35" i="40"/>
  <c r="AE40" i="40"/>
  <c r="AE44" i="40"/>
  <c r="AR108" i="40"/>
  <c r="K48" i="40"/>
  <c r="S48" i="40"/>
  <c r="AA48" i="40"/>
  <c r="AE10" i="40"/>
  <c r="AE14" i="40"/>
  <c r="AE15" i="40"/>
  <c r="AE20" i="40"/>
  <c r="AE24" i="40"/>
  <c r="AE28" i="40"/>
  <c r="AE32" i="40"/>
  <c r="AE36" i="40"/>
  <c r="AE41" i="40"/>
  <c r="AE45" i="40"/>
  <c r="AE22" i="40"/>
  <c r="AE26" i="40"/>
  <c r="AE30" i="40"/>
  <c r="AE34" i="40"/>
  <c r="AE39" i="40"/>
  <c r="I48" i="40"/>
  <c r="Y48" i="40"/>
  <c r="AE13" i="40"/>
  <c r="AE19" i="40"/>
  <c r="AE27" i="40"/>
  <c r="AH16" i="40"/>
  <c r="AI16" i="40" s="1"/>
  <c r="AJ16" i="40" s="1"/>
  <c r="M48" i="40"/>
  <c r="U48" i="40"/>
  <c r="AC48" i="40"/>
  <c r="AE17" i="40"/>
  <c r="AE21" i="40"/>
  <c r="AE25" i="40"/>
  <c r="AE29" i="40"/>
  <c r="AE33" i="40"/>
  <c r="AE38" i="40"/>
  <c r="AE42" i="40"/>
  <c r="AE46" i="40"/>
  <c r="AH10" i="40"/>
  <c r="AJ10" i="40" s="1"/>
  <c r="AE9" i="40"/>
  <c r="AH13" i="40"/>
  <c r="AJ13" i="40" s="1"/>
  <c r="AH18" i="40"/>
  <c r="AJ18" i="40" s="1"/>
  <c r="AH20" i="40"/>
  <c r="AJ20" i="40" s="1"/>
  <c r="AH22" i="40"/>
  <c r="AJ22" i="40" s="1"/>
  <c r="AH24" i="40"/>
  <c r="AJ24" i="40" s="1"/>
  <c r="AH26" i="40"/>
  <c r="AJ26" i="40" s="1"/>
  <c r="AH28" i="40"/>
  <c r="AJ28" i="40" s="1"/>
  <c r="AH30" i="40"/>
  <c r="AJ30" i="40" s="1"/>
  <c r="AH32" i="40"/>
  <c r="AJ32" i="40" s="1"/>
  <c r="AH34" i="40"/>
  <c r="AJ34" i="40" s="1"/>
  <c r="AH36" i="40"/>
  <c r="AH15" i="40"/>
  <c r="AJ15" i="40" s="1"/>
  <c r="AH38" i="40"/>
  <c r="AJ38" i="40" s="1"/>
  <c r="AH40" i="40"/>
  <c r="AJ40" i="40" s="1"/>
  <c r="AH42" i="40"/>
  <c r="AJ42" i="40" s="1"/>
  <c r="AH44" i="40"/>
  <c r="AJ44" i="40" s="1"/>
  <c r="AH46" i="40"/>
  <c r="AJ46" i="40" s="1"/>
  <c r="AH9" i="40"/>
  <c r="AH12" i="40"/>
  <c r="AJ12" i="40" s="1"/>
  <c r="AH14" i="40"/>
  <c r="AH17" i="40"/>
  <c r="AJ17" i="40" s="1"/>
  <c r="AH19" i="40"/>
  <c r="AJ19" i="40" s="1"/>
  <c r="AH21" i="40"/>
  <c r="AJ21" i="40" s="1"/>
  <c r="AH23" i="40"/>
  <c r="AJ23" i="40" s="1"/>
  <c r="AH25" i="40"/>
  <c r="AJ25" i="40" s="1"/>
  <c r="AH27" i="40"/>
  <c r="AJ27" i="40" s="1"/>
  <c r="AH29" i="40"/>
  <c r="AJ29" i="40" s="1"/>
  <c r="AH31" i="40"/>
  <c r="AJ31" i="40" s="1"/>
  <c r="AH33" i="40"/>
  <c r="AJ33" i="40" s="1"/>
  <c r="AH35" i="40"/>
  <c r="AJ35" i="40" s="1"/>
  <c r="AH37" i="40"/>
  <c r="AJ37" i="40" s="1"/>
  <c r="AH39" i="40"/>
  <c r="AJ39" i="40" s="1"/>
  <c r="AH41" i="40"/>
  <c r="AJ41" i="40" s="1"/>
  <c r="AH43" i="40"/>
  <c r="AJ43" i="40" s="1"/>
  <c r="AE48" i="40" l="1"/>
  <c r="AI14" i="40"/>
  <c r="AJ14" i="40"/>
  <c r="AH48" i="40"/>
  <c r="AJ9" i="40"/>
  <c r="AI36" i="40"/>
  <c r="AJ36" i="40" s="1"/>
  <c r="AJ48" i="40" l="1"/>
  <c r="AI48" i="40"/>
  <c r="G226" i="4" s="1"/>
  <c r="G222" i="4" l="1"/>
  <c r="D505" i="38"/>
  <c r="D256" i="31"/>
  <c r="AS339" i="38"/>
  <c r="AQ339" i="38"/>
  <c r="AS338" i="38"/>
  <c r="AQ338" i="38"/>
  <c r="AS337" i="38"/>
  <c r="AQ337" i="38"/>
  <c r="AS336" i="38"/>
  <c r="AQ336" i="38"/>
  <c r="AS335" i="38"/>
  <c r="AQ335" i="38"/>
  <c r="AS334" i="38"/>
  <c r="AQ334" i="38"/>
  <c r="AS333" i="38"/>
  <c r="AQ333" i="38"/>
  <c r="AS332" i="38"/>
  <c r="AQ332" i="38"/>
  <c r="AS331" i="38"/>
  <c r="AQ331" i="38"/>
  <c r="AS330" i="38"/>
  <c r="AQ330" i="38"/>
  <c r="AS329" i="38"/>
  <c r="AQ329" i="38"/>
  <c r="AS328" i="38"/>
  <c r="AQ328" i="38"/>
  <c r="AS327" i="38"/>
  <c r="AQ327" i="38"/>
  <c r="AS326" i="38"/>
  <c r="AQ326" i="38"/>
  <c r="AS325" i="38"/>
  <c r="AQ325" i="38"/>
  <c r="AS324" i="38"/>
  <c r="AQ324" i="38"/>
  <c r="AS323" i="38"/>
  <c r="AQ323" i="38"/>
  <c r="AS322" i="38"/>
  <c r="AQ322" i="38"/>
  <c r="AS321" i="38"/>
  <c r="AQ321" i="38"/>
  <c r="AS320" i="38"/>
  <c r="AQ320" i="38"/>
  <c r="AS319" i="38"/>
  <c r="AQ319" i="38"/>
  <c r="AS318" i="38"/>
  <c r="AQ318" i="38"/>
  <c r="AS317" i="38"/>
  <c r="AQ317" i="38"/>
  <c r="AS316" i="38"/>
  <c r="AQ316" i="38"/>
  <c r="AS315" i="38"/>
  <c r="AQ315" i="38"/>
  <c r="AS314" i="38"/>
  <c r="AQ314" i="38"/>
  <c r="AS313" i="38"/>
  <c r="AQ313" i="38"/>
  <c r="AS312" i="38"/>
  <c r="AQ312" i="38"/>
  <c r="AS311" i="38"/>
  <c r="AQ311" i="38"/>
  <c r="AS310" i="38"/>
  <c r="AQ310" i="38"/>
  <c r="AS309" i="38"/>
  <c r="AQ309" i="38"/>
  <c r="AS308" i="38"/>
  <c r="AQ308" i="38"/>
  <c r="AS307" i="38"/>
  <c r="AQ307" i="38"/>
  <c r="AS306" i="38"/>
  <c r="AQ306" i="38"/>
  <c r="AS305" i="38"/>
  <c r="AQ305" i="38"/>
  <c r="AS304" i="38"/>
  <c r="AQ304" i="38"/>
  <c r="AS303" i="38"/>
  <c r="AQ303" i="38"/>
  <c r="AS302" i="38"/>
  <c r="AQ302" i="38"/>
  <c r="AS301" i="38"/>
  <c r="AQ301" i="38"/>
  <c r="AS300" i="38"/>
  <c r="AQ300" i="38"/>
  <c r="AS299" i="38"/>
  <c r="AQ299" i="38"/>
  <c r="AS298" i="38"/>
  <c r="AQ298" i="38"/>
  <c r="AS297" i="38"/>
  <c r="AQ297" i="38"/>
  <c r="AS296" i="38"/>
  <c r="AQ296" i="38"/>
  <c r="AS295" i="38"/>
  <c r="AQ295" i="38"/>
  <c r="AS294" i="38"/>
  <c r="AQ294" i="38"/>
  <c r="AS293" i="38"/>
  <c r="AQ293" i="38"/>
  <c r="AS292" i="38"/>
  <c r="AQ292" i="38"/>
  <c r="AS291" i="38"/>
  <c r="AQ291" i="38"/>
  <c r="AS290" i="38"/>
  <c r="AQ290" i="38"/>
  <c r="AS289" i="38"/>
  <c r="AQ289" i="38"/>
  <c r="AS288" i="38"/>
  <c r="AQ288" i="38"/>
  <c r="AS287" i="38"/>
  <c r="AQ287" i="38"/>
  <c r="AS286" i="38"/>
  <c r="AQ286" i="38"/>
  <c r="AS285" i="38"/>
  <c r="AQ285" i="38"/>
  <c r="AS284" i="38"/>
  <c r="AQ284" i="38"/>
  <c r="AS283" i="38"/>
  <c r="AQ283" i="38"/>
  <c r="AS282" i="38"/>
  <c r="AQ282" i="38"/>
  <c r="AS281" i="38"/>
  <c r="AQ281" i="38"/>
  <c r="AS280" i="38"/>
  <c r="AQ280" i="38"/>
  <c r="AS279" i="38"/>
  <c r="AQ279" i="38"/>
  <c r="AS278" i="38"/>
  <c r="AQ278" i="38"/>
  <c r="AS277" i="38"/>
  <c r="AQ277" i="38"/>
  <c r="AS276" i="38"/>
  <c r="AQ276" i="38"/>
  <c r="AS275" i="38"/>
  <c r="AQ275" i="38"/>
  <c r="AS274" i="38"/>
  <c r="AQ274" i="38"/>
  <c r="AS273" i="38"/>
  <c r="AQ273" i="38"/>
  <c r="AS272" i="38"/>
  <c r="AQ272" i="38"/>
  <c r="AS271" i="38"/>
  <c r="AQ271" i="38"/>
  <c r="AS270" i="38"/>
  <c r="AQ270" i="38"/>
  <c r="AS269" i="38"/>
  <c r="AQ269" i="38"/>
  <c r="AS268" i="38"/>
  <c r="AQ268" i="38"/>
  <c r="AS267" i="38"/>
  <c r="AQ267" i="38"/>
  <c r="AS266" i="38"/>
  <c r="AQ266" i="38"/>
  <c r="AS265" i="38"/>
  <c r="AQ265" i="38"/>
  <c r="AS264" i="38"/>
  <c r="AQ264" i="38"/>
  <c r="AS263" i="38"/>
  <c r="AQ263" i="38"/>
  <c r="AS262" i="38"/>
  <c r="AQ262" i="38"/>
  <c r="AS261" i="38"/>
  <c r="AQ261" i="38"/>
  <c r="AS260" i="38"/>
  <c r="AQ260" i="38"/>
  <c r="AS259" i="38"/>
  <c r="AQ259" i="38"/>
  <c r="AS258" i="38"/>
  <c r="AQ258" i="38"/>
  <c r="AS257" i="38"/>
  <c r="AQ257" i="38"/>
  <c r="AS256" i="38"/>
  <c r="AQ256" i="38"/>
  <c r="AS255" i="38"/>
  <c r="AQ255" i="38"/>
  <c r="AS254" i="38"/>
  <c r="AQ254" i="38"/>
  <c r="AS253" i="38"/>
  <c r="AQ253" i="38"/>
  <c r="AS252" i="38"/>
  <c r="AQ252" i="38"/>
  <c r="AS251" i="38"/>
  <c r="AQ251" i="38"/>
  <c r="AS250" i="38"/>
  <c r="AQ250" i="38"/>
  <c r="AS249" i="38"/>
  <c r="AQ249" i="38"/>
  <c r="AS248" i="38"/>
  <c r="AQ248" i="38"/>
  <c r="AS247" i="38"/>
  <c r="AQ247" i="38"/>
  <c r="AS246" i="38"/>
  <c r="AQ246" i="38"/>
  <c r="AS245" i="38"/>
  <c r="AQ245" i="38"/>
  <c r="AS244" i="38"/>
  <c r="AQ244" i="38"/>
  <c r="AS243" i="38"/>
  <c r="AQ243" i="38"/>
  <c r="AS242" i="38"/>
  <c r="AQ242" i="38"/>
  <c r="AS241" i="38"/>
  <c r="AQ241" i="38"/>
  <c r="AS240" i="38"/>
  <c r="AQ240" i="38"/>
  <c r="AS239" i="38"/>
  <c r="AQ239" i="38"/>
  <c r="AS238" i="38"/>
  <c r="AQ238" i="38"/>
  <c r="AS237" i="38"/>
  <c r="AQ237" i="38"/>
  <c r="AS236" i="38"/>
  <c r="AQ236" i="38"/>
  <c r="AS235" i="38"/>
  <c r="AQ235" i="38"/>
  <c r="AS234" i="38"/>
  <c r="AQ234" i="38"/>
  <c r="AS233" i="38"/>
  <c r="AQ233" i="38"/>
  <c r="AS232" i="38"/>
  <c r="AQ232" i="38"/>
  <c r="AS231" i="38"/>
  <c r="AQ231" i="38"/>
  <c r="AS230" i="38"/>
  <c r="AQ230" i="38"/>
  <c r="AS229" i="38"/>
  <c r="AQ229" i="38"/>
  <c r="AS228" i="38"/>
  <c r="AQ228" i="38"/>
  <c r="AS227" i="38"/>
  <c r="AQ227" i="38"/>
  <c r="AS226" i="38"/>
  <c r="AQ226" i="38"/>
  <c r="AS225" i="38"/>
  <c r="AQ225" i="38"/>
  <c r="AS224" i="38"/>
  <c r="AQ224" i="38"/>
  <c r="AS223" i="38"/>
  <c r="AQ223" i="38"/>
  <c r="AS222" i="38"/>
  <c r="AQ222" i="38"/>
  <c r="AS221" i="38"/>
  <c r="AQ221" i="38"/>
  <c r="AS220" i="38"/>
  <c r="AQ220" i="38"/>
  <c r="AS219" i="38"/>
  <c r="AQ219" i="38"/>
  <c r="AS218" i="38"/>
  <c r="AQ218" i="38"/>
  <c r="AS217" i="38"/>
  <c r="AQ217" i="38"/>
  <c r="AS216" i="38"/>
  <c r="AQ216" i="38"/>
  <c r="AS215" i="38"/>
  <c r="AQ215" i="38"/>
  <c r="AS214" i="38"/>
  <c r="AQ214" i="38"/>
  <c r="AS213" i="38"/>
  <c r="AQ213" i="38"/>
  <c r="AS212" i="38"/>
  <c r="AQ212" i="38"/>
  <c r="AS211" i="38"/>
  <c r="AQ211" i="38"/>
  <c r="AS210" i="38"/>
  <c r="AQ210" i="38"/>
  <c r="AS209" i="38"/>
  <c r="AQ209" i="38"/>
  <c r="AS208" i="38"/>
  <c r="AQ208" i="38"/>
  <c r="AS207" i="38"/>
  <c r="AQ207" i="38"/>
  <c r="AS206" i="38"/>
  <c r="AQ206" i="38"/>
  <c r="AS205" i="38"/>
  <c r="AQ205" i="38"/>
  <c r="AS204" i="38"/>
  <c r="AQ204" i="38"/>
  <c r="AS203" i="38"/>
  <c r="AQ203" i="38"/>
  <c r="AS202" i="38"/>
  <c r="AQ202" i="38"/>
  <c r="AS201" i="38"/>
  <c r="AQ201" i="38"/>
  <c r="AS200" i="38"/>
  <c r="AQ200" i="38"/>
  <c r="AS199" i="38"/>
  <c r="AQ199" i="38"/>
  <c r="AS198" i="38"/>
  <c r="AQ198" i="38"/>
  <c r="AS197" i="38"/>
  <c r="AQ197" i="38"/>
  <c r="AS196" i="38"/>
  <c r="AQ196" i="38"/>
  <c r="AS195" i="38"/>
  <c r="AQ195" i="38"/>
  <c r="AS194" i="38"/>
  <c r="AQ194" i="38"/>
  <c r="AS193" i="38"/>
  <c r="AQ193" i="38"/>
  <c r="AS192" i="38"/>
  <c r="AQ192" i="38"/>
  <c r="AS191" i="38"/>
  <c r="AQ191" i="38"/>
  <c r="AS190" i="38"/>
  <c r="AQ190" i="38"/>
  <c r="AS189" i="38"/>
  <c r="AQ189" i="38"/>
  <c r="AS188" i="38"/>
  <c r="AQ188" i="38"/>
  <c r="AS187" i="38"/>
  <c r="AQ187" i="38"/>
  <c r="AS186" i="38"/>
  <c r="AQ186" i="38"/>
  <c r="AS185" i="38"/>
  <c r="AQ185" i="38"/>
  <c r="AS184" i="38"/>
  <c r="AQ184" i="38"/>
  <c r="AS183" i="38"/>
  <c r="AQ183" i="38"/>
  <c r="AS182" i="38"/>
  <c r="AQ182" i="38"/>
  <c r="AS181" i="38"/>
  <c r="AQ181" i="38"/>
  <c r="AS180" i="38"/>
  <c r="AQ180" i="38"/>
  <c r="AS179" i="38"/>
  <c r="AQ179" i="38"/>
  <c r="AS178" i="38"/>
  <c r="AQ178" i="38"/>
  <c r="AS177" i="38"/>
  <c r="AQ177" i="38"/>
  <c r="AS176" i="38"/>
  <c r="AQ176" i="38"/>
  <c r="AS175" i="38"/>
  <c r="AQ175" i="38"/>
  <c r="AS174" i="38"/>
  <c r="AQ174" i="38"/>
  <c r="AS173" i="38"/>
  <c r="AQ173" i="38"/>
  <c r="AS172" i="38"/>
  <c r="AQ172" i="38"/>
  <c r="AS171" i="38"/>
  <c r="AQ171" i="38"/>
  <c r="AS170" i="38"/>
  <c r="AQ170" i="38"/>
  <c r="AS169" i="38"/>
  <c r="AQ169" i="38"/>
  <c r="AS168" i="38"/>
  <c r="AQ168" i="38"/>
  <c r="AS167" i="38"/>
  <c r="AQ167" i="38"/>
  <c r="AS166" i="38"/>
  <c r="AQ166" i="38"/>
  <c r="AS165" i="38"/>
  <c r="AQ165" i="38"/>
  <c r="AS164" i="38"/>
  <c r="AQ164" i="38"/>
  <c r="AS163" i="38"/>
  <c r="AQ163" i="38"/>
  <c r="AS162" i="38"/>
  <c r="AQ162" i="38"/>
  <c r="AS161" i="38"/>
  <c r="AQ161" i="38"/>
  <c r="AS160" i="38"/>
  <c r="AQ160" i="38"/>
  <c r="AS159" i="38"/>
  <c r="AQ159" i="38"/>
  <c r="AS158" i="38"/>
  <c r="AQ158" i="38"/>
  <c r="AS157" i="38"/>
  <c r="AQ157" i="38"/>
  <c r="AS156" i="38"/>
  <c r="AQ156" i="38"/>
  <c r="AS155" i="38"/>
  <c r="AQ155" i="38"/>
  <c r="AS154" i="38"/>
  <c r="AQ154" i="38"/>
  <c r="AS153" i="38"/>
  <c r="AQ153" i="38"/>
  <c r="AS152" i="38"/>
  <c r="AQ152" i="38"/>
  <c r="AS151" i="38"/>
  <c r="AQ151" i="38"/>
  <c r="AS150" i="38"/>
  <c r="AQ150" i="38"/>
  <c r="AS149" i="38"/>
  <c r="AQ149" i="38"/>
  <c r="AS148" i="38"/>
  <c r="AQ148" i="38"/>
  <c r="AS147" i="38"/>
  <c r="AQ147" i="38"/>
  <c r="AS146" i="38"/>
  <c r="AQ146" i="38"/>
  <c r="AS145" i="38"/>
  <c r="AQ145" i="38"/>
  <c r="AS144" i="38"/>
  <c r="AQ144" i="38"/>
  <c r="AS143" i="38"/>
  <c r="AQ143" i="38"/>
  <c r="AS142" i="38"/>
  <c r="AQ142" i="38"/>
  <c r="AS141" i="38"/>
  <c r="AQ141" i="38"/>
  <c r="AS140" i="38"/>
  <c r="AQ140" i="38"/>
  <c r="AS139" i="38"/>
  <c r="AQ139" i="38"/>
  <c r="AS138" i="38"/>
  <c r="AQ138" i="38"/>
  <c r="AS137" i="38"/>
  <c r="AQ137" i="38"/>
  <c r="AS136" i="38"/>
  <c r="AQ136" i="38"/>
  <c r="AS135" i="38"/>
  <c r="AQ135" i="38"/>
  <c r="AS134" i="38"/>
  <c r="AQ134" i="38"/>
  <c r="AS133" i="38"/>
  <c r="AQ133" i="38"/>
  <c r="AS132" i="38"/>
  <c r="AQ132" i="38"/>
  <c r="AS131" i="38"/>
  <c r="AQ131" i="38"/>
  <c r="AS130" i="38"/>
  <c r="AQ130" i="38"/>
  <c r="AS129" i="38"/>
  <c r="AQ129" i="38"/>
  <c r="AS128" i="38"/>
  <c r="AQ128" i="38"/>
  <c r="AS127" i="38"/>
  <c r="AQ127" i="38"/>
  <c r="AS126" i="38"/>
  <c r="AQ126" i="38"/>
  <c r="AS125" i="38"/>
  <c r="AQ125" i="38"/>
  <c r="AS124" i="38"/>
  <c r="AQ124" i="38"/>
  <c r="AS123" i="38"/>
  <c r="AQ123" i="38"/>
  <c r="AS122" i="38"/>
  <c r="AQ122" i="38"/>
  <c r="AS121" i="38"/>
  <c r="AQ121" i="38"/>
  <c r="AS120" i="38"/>
  <c r="AQ120" i="38"/>
  <c r="AS119" i="38"/>
  <c r="AQ119" i="38"/>
  <c r="AS118" i="38"/>
  <c r="AQ118" i="38"/>
  <c r="AS117" i="38"/>
  <c r="AQ117" i="38"/>
  <c r="AS116" i="38"/>
  <c r="AQ116" i="38"/>
  <c r="AS115" i="38"/>
  <c r="AQ115" i="38"/>
  <c r="AS114" i="38"/>
  <c r="AQ114" i="38"/>
  <c r="AS113" i="38"/>
  <c r="AQ113" i="38"/>
  <c r="AS112" i="38"/>
  <c r="AQ112" i="38"/>
  <c r="AS111" i="38"/>
  <c r="AQ111" i="38"/>
  <c r="AS110" i="38"/>
  <c r="AQ110" i="38"/>
  <c r="AS109" i="38"/>
  <c r="AQ109" i="38"/>
  <c r="AS108" i="38"/>
  <c r="AQ108" i="38"/>
  <c r="AS107" i="38"/>
  <c r="AQ107" i="38"/>
  <c r="AS106" i="38"/>
  <c r="AQ106" i="38"/>
  <c r="AS105" i="38"/>
  <c r="AQ105" i="38"/>
  <c r="AS104" i="38"/>
  <c r="AQ104" i="38"/>
  <c r="AS103" i="38"/>
  <c r="AQ103" i="38"/>
  <c r="AS102" i="38"/>
  <c r="AQ102" i="38"/>
  <c r="AS101" i="38"/>
  <c r="AQ101" i="38"/>
  <c r="AS100" i="38"/>
  <c r="AQ100" i="38"/>
  <c r="AS99" i="38"/>
  <c r="AQ99" i="38"/>
  <c r="AS98" i="38"/>
  <c r="AQ98" i="38"/>
  <c r="AS97" i="38"/>
  <c r="AQ97" i="38"/>
  <c r="AS96" i="38"/>
  <c r="AQ96" i="38"/>
  <c r="AS95" i="38"/>
  <c r="AQ95" i="38"/>
  <c r="AS94" i="38"/>
  <c r="AQ94" i="38"/>
  <c r="AS93" i="38"/>
  <c r="AQ93" i="38"/>
  <c r="AS92" i="38"/>
  <c r="AQ92" i="38"/>
  <c r="AS91" i="38"/>
  <c r="AQ91" i="38"/>
  <c r="AS90" i="38"/>
  <c r="AQ90" i="38"/>
  <c r="AS89" i="38"/>
  <c r="AQ89" i="38"/>
  <c r="AS88" i="38"/>
  <c r="AQ88" i="38"/>
  <c r="AS87" i="38"/>
  <c r="AQ87" i="38"/>
  <c r="AS86" i="38"/>
  <c r="AQ86" i="38"/>
  <c r="AS85" i="38"/>
  <c r="AQ85" i="38"/>
  <c r="AS84" i="38"/>
  <c r="AQ84" i="38"/>
  <c r="AS83" i="38"/>
  <c r="AQ83" i="38"/>
  <c r="AS82" i="38"/>
  <c r="AQ82" i="38"/>
  <c r="AS81" i="38"/>
  <c r="AQ81" i="38"/>
  <c r="AS80" i="38"/>
  <c r="AQ80" i="38"/>
  <c r="AS79" i="38"/>
  <c r="AQ79" i="38"/>
  <c r="AS78" i="38"/>
  <c r="AQ78" i="38"/>
  <c r="AS77" i="38"/>
  <c r="AQ77" i="38"/>
  <c r="AS76" i="38"/>
  <c r="AQ76" i="38"/>
  <c r="AS75" i="38"/>
  <c r="AQ75" i="38"/>
  <c r="AS74" i="38"/>
  <c r="AQ74" i="38"/>
  <c r="AS73" i="38"/>
  <c r="AQ73" i="38"/>
  <c r="AS72" i="38"/>
  <c r="AQ72" i="38"/>
  <c r="AS71" i="38"/>
  <c r="AQ71" i="38"/>
  <c r="AS70" i="38"/>
  <c r="AQ70" i="38"/>
  <c r="AS69" i="38"/>
  <c r="AQ69" i="38"/>
  <c r="AS68" i="38"/>
  <c r="AQ68" i="38"/>
  <c r="AS67" i="38"/>
  <c r="AQ67" i="38"/>
  <c r="AS66" i="38"/>
  <c r="AQ66" i="38"/>
  <c r="AS65" i="38"/>
  <c r="AQ65" i="38"/>
  <c r="AS64" i="38"/>
  <c r="AQ64" i="38"/>
  <c r="AS63" i="38"/>
  <c r="AQ63" i="38"/>
  <c r="AS62" i="38"/>
  <c r="AQ62" i="38"/>
  <c r="AS61" i="38"/>
  <c r="AQ61" i="38"/>
  <c r="AS60" i="38"/>
  <c r="AQ60" i="38"/>
  <c r="AS59" i="38"/>
  <c r="AQ59" i="38"/>
  <c r="AS58" i="38"/>
  <c r="AQ58" i="38"/>
  <c r="AS57" i="38"/>
  <c r="AQ57" i="38"/>
  <c r="AS56" i="38"/>
  <c r="AQ56" i="38"/>
  <c r="AS55" i="38"/>
  <c r="AQ55" i="38"/>
  <c r="AS54" i="38"/>
  <c r="AQ54" i="38"/>
  <c r="AS53" i="38"/>
  <c r="AQ53" i="38"/>
  <c r="AS52" i="38"/>
  <c r="AQ52" i="38"/>
  <c r="AS51" i="38"/>
  <c r="AQ51" i="38"/>
  <c r="AS50" i="38"/>
  <c r="AQ50" i="38"/>
  <c r="AS49" i="38"/>
  <c r="AQ49" i="38"/>
  <c r="AS48" i="38"/>
  <c r="AQ48" i="38"/>
  <c r="AS47" i="38"/>
  <c r="AQ47" i="38"/>
  <c r="AS46" i="38"/>
  <c r="AQ46" i="38"/>
  <c r="AS45" i="38"/>
  <c r="AQ45" i="38"/>
  <c r="AS44" i="38"/>
  <c r="AQ44" i="38"/>
  <c r="AS43" i="38"/>
  <c r="AQ43" i="38"/>
  <c r="AS42" i="38"/>
  <c r="AQ42" i="38"/>
  <c r="AS41" i="38"/>
  <c r="AQ41" i="38"/>
  <c r="AS40" i="38"/>
  <c r="AQ40" i="38"/>
  <c r="AS39" i="38"/>
  <c r="AQ39" i="38"/>
  <c r="AS38" i="38"/>
  <c r="AQ38" i="38"/>
  <c r="AS37" i="38"/>
  <c r="AQ37" i="38"/>
  <c r="AS36" i="38"/>
  <c r="AQ36" i="38"/>
  <c r="AS35" i="38"/>
  <c r="AQ35" i="38"/>
  <c r="AS34" i="38"/>
  <c r="AQ34" i="38"/>
  <c r="AS33" i="38"/>
  <c r="AQ33" i="38"/>
  <c r="AS32" i="38"/>
  <c r="AQ32" i="38"/>
  <c r="AS31" i="38"/>
  <c r="AQ31" i="38"/>
  <c r="AS30" i="38"/>
  <c r="AQ30" i="38"/>
  <c r="AS29" i="38"/>
  <c r="AQ29" i="38"/>
  <c r="AS28" i="38"/>
  <c r="AQ28" i="38"/>
  <c r="AS27" i="38"/>
  <c r="AQ27" i="38"/>
  <c r="AS26" i="38"/>
  <c r="AQ26" i="38"/>
  <c r="AS25" i="38"/>
  <c r="AQ25" i="38"/>
  <c r="AS24" i="38"/>
  <c r="AQ24" i="38"/>
  <c r="AS23" i="38"/>
  <c r="AQ23" i="38"/>
  <c r="AS22" i="38"/>
  <c r="AQ22" i="38"/>
  <c r="AS21" i="38"/>
  <c r="AQ21" i="38"/>
  <c r="AS20" i="38"/>
  <c r="AQ20" i="38"/>
  <c r="G17" i="38"/>
  <c r="E17" i="38"/>
  <c r="D17" i="38"/>
  <c r="E16" i="38"/>
  <c r="D16" i="38"/>
  <c r="J8" i="38"/>
  <c r="G8" i="38"/>
  <c r="C8" i="38"/>
  <c r="Y4" i="38"/>
  <c r="Q4" i="38"/>
  <c r="Q5" i="38"/>
  <c r="U4" i="38"/>
  <c r="B5" i="38"/>
  <c r="G228" i="4" l="1"/>
  <c r="D110" i="27"/>
  <c r="D107" i="27"/>
  <c r="D106" i="27"/>
  <c r="S58" i="37"/>
  <c r="U56" i="37"/>
  <c r="U55" i="37"/>
  <c r="J45" i="37"/>
  <c r="J44" i="37"/>
  <c r="J43" i="37"/>
  <c r="V39" i="37"/>
  <c r="V38" i="37"/>
  <c r="K38" i="37"/>
  <c r="Z67" i="37" s="1"/>
  <c r="J38" i="37"/>
  <c r="Y67" i="37" s="1"/>
  <c r="V37" i="37"/>
  <c r="V36" i="37"/>
  <c r="V34" i="37"/>
  <c r="V33" i="37"/>
  <c r="V32" i="37"/>
  <c r="V31" i="37"/>
  <c r="V29" i="37"/>
  <c r="V28" i="37"/>
  <c r="V27" i="37"/>
  <c r="I27" i="37"/>
  <c r="I26" i="37" s="1"/>
  <c r="I28" i="37" s="1"/>
  <c r="V26" i="37"/>
  <c r="V24" i="37"/>
  <c r="V23" i="37"/>
  <c r="V22" i="37"/>
  <c r="V21" i="37"/>
  <c r="V19" i="37"/>
  <c r="V18" i="37"/>
  <c r="V17" i="37"/>
  <c r="V16" i="37"/>
  <c r="V14" i="37"/>
  <c r="V13" i="37"/>
  <c r="V12" i="37"/>
  <c r="V11" i="37"/>
  <c r="V9" i="37"/>
  <c r="K27" i="37"/>
  <c r="AC18" i="37" s="1"/>
  <c r="V8" i="37"/>
  <c r="F8" i="37"/>
  <c r="F9" i="37" s="1"/>
  <c r="F10" i="37" s="1"/>
  <c r="F11" i="37" s="1"/>
  <c r="F12" i="37" s="1"/>
  <c r="F13" i="37" s="1"/>
  <c r="F14" i="37" s="1"/>
  <c r="F15" i="37" s="1"/>
  <c r="F16" i="37" s="1"/>
  <c r="F17" i="37" s="1"/>
  <c r="F18" i="37" s="1"/>
  <c r="F19" i="37" s="1"/>
  <c r="F20" i="37" s="1"/>
  <c r="F21" i="37" s="1"/>
  <c r="F22" i="37" s="1"/>
  <c r="F23" i="37" s="1"/>
  <c r="F24" i="37" s="1"/>
  <c r="F25" i="37" s="1"/>
  <c r="F26" i="37" s="1"/>
  <c r="F27" i="37" s="1"/>
  <c r="F28" i="37" s="1"/>
  <c r="F29" i="37" s="1"/>
  <c r="F30" i="37" s="1"/>
  <c r="F31" i="37" s="1"/>
  <c r="F32" i="37" s="1"/>
  <c r="F33" i="37" s="1"/>
  <c r="F34" i="37" s="1"/>
  <c r="F35" i="37" s="1"/>
  <c r="F36" i="37" s="1"/>
  <c r="F37" i="37" s="1"/>
  <c r="F38" i="37" s="1"/>
  <c r="F39" i="37" s="1"/>
  <c r="F40" i="37" s="1"/>
  <c r="F41" i="37" s="1"/>
  <c r="F42" i="37" s="1"/>
  <c r="F43" i="37" s="1"/>
  <c r="F44" i="37" s="1"/>
  <c r="F45" i="37" s="1"/>
  <c r="F46" i="37" s="1"/>
  <c r="F47" i="37" s="1"/>
  <c r="F48" i="37" s="1"/>
  <c r="F49" i="37" s="1"/>
  <c r="V7" i="37"/>
  <c r="Y6" i="37"/>
  <c r="Y7" i="37" s="1"/>
  <c r="Y8" i="37" s="1"/>
  <c r="Y9" i="37" s="1"/>
  <c r="Y11" i="37" s="1"/>
  <c r="Y12" i="37" s="1"/>
  <c r="Y13" i="37" s="1"/>
  <c r="Y14" i="37" s="1"/>
  <c r="Y16" i="37" s="1"/>
  <c r="Y17" i="37" s="1"/>
  <c r="Y18" i="37" s="1"/>
  <c r="Y19" i="37" s="1"/>
  <c r="Y21" i="37" s="1"/>
  <c r="Y22" i="37" s="1"/>
  <c r="Y23" i="37" s="1"/>
  <c r="Y24" i="37" s="1"/>
  <c r="Y26" i="37" s="1"/>
  <c r="Y27" i="37" s="1"/>
  <c r="Y28" i="37" s="1"/>
  <c r="Y29" i="37" s="1"/>
  <c r="Y31" i="37" s="1"/>
  <c r="Y32" i="37" s="1"/>
  <c r="Y33" i="37" s="1"/>
  <c r="Y34" i="37" s="1"/>
  <c r="Y36" i="37" s="1"/>
  <c r="Y37" i="37" s="1"/>
  <c r="Y38" i="37" s="1"/>
  <c r="Y39" i="37" s="1"/>
  <c r="V6" i="37"/>
  <c r="S58" i="36"/>
  <c r="U56" i="36"/>
  <c r="U55" i="36"/>
  <c r="J45" i="36"/>
  <c r="J44" i="36"/>
  <c r="J43" i="36"/>
  <c r="V39" i="36"/>
  <c r="V38" i="36"/>
  <c r="K38" i="36"/>
  <c r="Z67" i="36" s="1"/>
  <c r="J38" i="36"/>
  <c r="Y67" i="36" s="1"/>
  <c r="V37" i="36"/>
  <c r="V36" i="36"/>
  <c r="V34" i="36"/>
  <c r="V33" i="36"/>
  <c r="V32" i="36"/>
  <c r="V31" i="36"/>
  <c r="V29" i="36"/>
  <c r="V28" i="36"/>
  <c r="V27" i="36"/>
  <c r="I27" i="36"/>
  <c r="I26" i="36" s="1"/>
  <c r="I28" i="36" s="1"/>
  <c r="V26" i="36"/>
  <c r="V24" i="36"/>
  <c r="V23" i="36"/>
  <c r="V22" i="36"/>
  <c r="V21" i="36"/>
  <c r="V19" i="36"/>
  <c r="V18" i="36"/>
  <c r="V17" i="36"/>
  <c r="V16" i="36"/>
  <c r="V14" i="36"/>
  <c r="V13" i="36"/>
  <c r="V12" i="36"/>
  <c r="V11" i="36"/>
  <c r="V9" i="36"/>
  <c r="K27" i="36"/>
  <c r="V8" i="36"/>
  <c r="F8" i="36"/>
  <c r="F9" i="36" s="1"/>
  <c r="F10" i="36" s="1"/>
  <c r="F11" i="36" s="1"/>
  <c r="F12" i="36" s="1"/>
  <c r="F13" i="36" s="1"/>
  <c r="F14" i="36" s="1"/>
  <c r="F15" i="36" s="1"/>
  <c r="F16" i="36" s="1"/>
  <c r="F17" i="36" s="1"/>
  <c r="F18" i="36" s="1"/>
  <c r="F19" i="36" s="1"/>
  <c r="F20" i="36" s="1"/>
  <c r="F21" i="36" s="1"/>
  <c r="F22" i="36" s="1"/>
  <c r="F23" i="36" s="1"/>
  <c r="F24" i="36" s="1"/>
  <c r="F25" i="36" s="1"/>
  <c r="F26" i="36" s="1"/>
  <c r="F27" i="36" s="1"/>
  <c r="F28" i="36" s="1"/>
  <c r="F29" i="36" s="1"/>
  <c r="F30" i="36" s="1"/>
  <c r="F31" i="36" s="1"/>
  <c r="F32" i="36" s="1"/>
  <c r="F33" i="36" s="1"/>
  <c r="F34" i="36" s="1"/>
  <c r="F35" i="36" s="1"/>
  <c r="F36" i="36" s="1"/>
  <c r="F37" i="36" s="1"/>
  <c r="F38" i="36" s="1"/>
  <c r="F39" i="36" s="1"/>
  <c r="F40" i="36" s="1"/>
  <c r="F41" i="36" s="1"/>
  <c r="F42" i="36" s="1"/>
  <c r="F43" i="36" s="1"/>
  <c r="F44" i="36" s="1"/>
  <c r="F45" i="36" s="1"/>
  <c r="F46" i="36" s="1"/>
  <c r="F47" i="36" s="1"/>
  <c r="F48" i="36" s="1"/>
  <c r="F49" i="36" s="1"/>
  <c r="V7" i="36"/>
  <c r="Y6" i="36"/>
  <c r="Y7" i="36" s="1"/>
  <c r="Y8" i="36" s="1"/>
  <c r="Y9" i="36" s="1"/>
  <c r="Y11" i="36" s="1"/>
  <c r="Y12" i="36" s="1"/>
  <c r="Y13" i="36" s="1"/>
  <c r="Y14" i="36" s="1"/>
  <c r="Y16" i="36" s="1"/>
  <c r="Y17" i="36" s="1"/>
  <c r="Y18" i="36" s="1"/>
  <c r="Y19" i="36" s="1"/>
  <c r="Y21" i="36" s="1"/>
  <c r="Y22" i="36" s="1"/>
  <c r="Y23" i="36" s="1"/>
  <c r="Y24" i="36" s="1"/>
  <c r="Y26" i="36" s="1"/>
  <c r="Y27" i="36" s="1"/>
  <c r="Y28" i="36" s="1"/>
  <c r="Y29" i="36" s="1"/>
  <c r="Y31" i="36" s="1"/>
  <c r="Y32" i="36" s="1"/>
  <c r="Y33" i="36" s="1"/>
  <c r="Y34" i="36" s="1"/>
  <c r="Y36" i="36" s="1"/>
  <c r="Y37" i="36" s="1"/>
  <c r="Y38" i="36" s="1"/>
  <c r="Y39" i="36" s="1"/>
  <c r="V6" i="36"/>
  <c r="AC53" i="35"/>
  <c r="AC51" i="35"/>
  <c r="AC45" i="35"/>
  <c r="AC39" i="35"/>
  <c r="AC26" i="35"/>
  <c r="AC24" i="35"/>
  <c r="AC22" i="35"/>
  <c r="Y53" i="35"/>
  <c r="Y51" i="35"/>
  <c r="Y45" i="35"/>
  <c r="Y39" i="35"/>
  <c r="Y26" i="35"/>
  <c r="Y24" i="35"/>
  <c r="Y22" i="35"/>
  <c r="AC19" i="37" l="1"/>
  <c r="AC37" i="37"/>
  <c r="AC6" i="37"/>
  <c r="AC21" i="37"/>
  <c r="AC7" i="37"/>
  <c r="AC8" i="37"/>
  <c r="AC9" i="37"/>
  <c r="AC11" i="37"/>
  <c r="AC12" i="37"/>
  <c r="AC13" i="37"/>
  <c r="AC14" i="37"/>
  <c r="AC16" i="37"/>
  <c r="AC17" i="37"/>
  <c r="L27" i="37"/>
  <c r="AC26" i="37"/>
  <c r="AC24" i="37"/>
  <c r="AC23" i="37"/>
  <c r="AC22" i="37"/>
  <c r="AC31" i="37"/>
  <c r="AC32" i="37"/>
  <c r="AC34" i="37"/>
  <c r="AC36" i="37"/>
  <c r="AC38" i="37"/>
  <c r="AC39" i="37"/>
  <c r="AC33" i="37"/>
  <c r="AC27" i="37"/>
  <c r="AC28" i="37"/>
  <c r="AC29" i="37"/>
  <c r="L27" i="36"/>
  <c r="AC26" i="36"/>
  <c r="AC24" i="36"/>
  <c r="AC23" i="36"/>
  <c r="AC22" i="36"/>
  <c r="AC19" i="36"/>
  <c r="AC18" i="36"/>
  <c r="AC17" i="36"/>
  <c r="AC16" i="36"/>
  <c r="AC14" i="36"/>
  <c r="AC13" i="36"/>
  <c r="AC12" i="36"/>
  <c r="AC11" i="36"/>
  <c r="AC9" i="36"/>
  <c r="AC8" i="36"/>
  <c r="AC7" i="36"/>
  <c r="AC21" i="36"/>
  <c r="AC6" i="36"/>
  <c r="AC37" i="36"/>
  <c r="AC31" i="36"/>
  <c r="AC32" i="36"/>
  <c r="AC34" i="36"/>
  <c r="AC36" i="36"/>
  <c r="AC38" i="36"/>
  <c r="AC39" i="36"/>
  <c r="AC33" i="36"/>
  <c r="AC27" i="36"/>
  <c r="AC28" i="36"/>
  <c r="AC29" i="36"/>
  <c r="I50" i="5"/>
  <c r="D53" i="35" l="1"/>
  <c r="B53" i="35"/>
  <c r="C53" i="35" s="1"/>
  <c r="A53" i="35"/>
  <c r="D51" i="35"/>
  <c r="B51" i="35"/>
  <c r="A51" i="35"/>
  <c r="D49" i="35"/>
  <c r="B49" i="35"/>
  <c r="A49" i="35"/>
  <c r="D47" i="35"/>
  <c r="B47" i="35"/>
  <c r="C47" i="35" s="1"/>
  <c r="A47" i="35"/>
  <c r="D45" i="35"/>
  <c r="B45" i="35"/>
  <c r="C45" i="35" s="1"/>
  <c r="A45" i="35"/>
  <c r="D43" i="35"/>
  <c r="B43" i="35"/>
  <c r="A43" i="35"/>
  <c r="D41" i="35"/>
  <c r="B41" i="35"/>
  <c r="A41" i="35"/>
  <c r="D39" i="35"/>
  <c r="B39" i="35"/>
  <c r="C39" i="35" s="1"/>
  <c r="A39" i="35"/>
  <c r="D37" i="35"/>
  <c r="B37" i="35"/>
  <c r="C37" i="35" s="1"/>
  <c r="A37" i="35"/>
  <c r="A32" i="35"/>
  <c r="C41" i="35" l="1"/>
  <c r="C49" i="35"/>
  <c r="C43" i="35"/>
  <c r="C51" i="35"/>
  <c r="H76" i="35"/>
  <c r="B76" i="35"/>
  <c r="E74" i="35"/>
  <c r="D74" i="35"/>
  <c r="B74" i="35"/>
  <c r="D72" i="35"/>
  <c r="B72" i="35"/>
  <c r="D70" i="35"/>
  <c r="B70" i="35"/>
  <c r="D64" i="35"/>
  <c r="B64" i="35"/>
  <c r="D62" i="35"/>
  <c r="B62" i="35"/>
  <c r="D60" i="35"/>
  <c r="B60" i="35"/>
  <c r="H6" i="35"/>
  <c r="G248" i="4" l="1"/>
  <c r="C60" i="35"/>
  <c r="C64" i="35"/>
  <c r="B66" i="35"/>
  <c r="D66" i="35"/>
  <c r="D79" i="35"/>
  <c r="D55" i="35"/>
  <c r="B79" i="35"/>
  <c r="C74" i="35"/>
  <c r="B55" i="35"/>
  <c r="C70" i="35"/>
  <c r="C62" i="35"/>
  <c r="C72" i="35"/>
  <c r="C66" i="35" l="1"/>
  <c r="B80" i="35"/>
  <c r="D80" i="35"/>
  <c r="C79" i="35"/>
  <c r="C55" i="35"/>
  <c r="C8" i="20" l="1"/>
  <c r="C9" i="20"/>
  <c r="B50" i="34"/>
  <c r="C49" i="34" s="1"/>
  <c r="B48" i="34"/>
  <c r="C48" i="34" s="1"/>
  <c r="G158" i="4"/>
  <c r="R16" i="32"/>
  <c r="Q16" i="32"/>
  <c r="H27" i="32"/>
  <c r="G27" i="32"/>
  <c r="H26" i="32"/>
  <c r="G26" i="32"/>
  <c r="H25" i="32"/>
  <c r="G25" i="32"/>
  <c r="H24" i="32"/>
  <c r="G24" i="32"/>
  <c r="H23" i="32"/>
  <c r="G23" i="32"/>
  <c r="H22" i="32"/>
  <c r="G22" i="32"/>
  <c r="H21" i="32"/>
  <c r="G21" i="32"/>
  <c r="H20" i="32"/>
  <c r="G20" i="32"/>
  <c r="H19" i="32"/>
  <c r="G19" i="32"/>
  <c r="H18" i="32"/>
  <c r="G18" i="32"/>
  <c r="H17" i="32"/>
  <c r="G17" i="32"/>
  <c r="H15" i="32"/>
  <c r="G15" i="32"/>
  <c r="H14" i="32"/>
  <c r="G14" i="32"/>
  <c r="H13" i="32"/>
  <c r="G13" i="32"/>
  <c r="H12" i="32"/>
  <c r="G12" i="32"/>
  <c r="H11" i="32"/>
  <c r="G11" i="32"/>
  <c r="G10" i="32"/>
  <c r="H10" i="32"/>
  <c r="M29" i="32"/>
  <c r="C29" i="32"/>
  <c r="N27" i="32" s="1"/>
  <c r="O27" i="32" s="1"/>
  <c r="P27" i="32" s="1"/>
  <c r="D27" i="32"/>
  <c r="E27" i="32" s="1"/>
  <c r="F27" i="32" s="1"/>
  <c r="N26" i="32"/>
  <c r="O26" i="32" s="1"/>
  <c r="P26" i="32" s="1"/>
  <c r="D26" i="32"/>
  <c r="E26" i="32" s="1"/>
  <c r="F26" i="32" s="1"/>
  <c r="D25" i="32"/>
  <c r="E25" i="32" s="1"/>
  <c r="F25" i="32" s="1"/>
  <c r="N24" i="32"/>
  <c r="O24" i="32" s="1"/>
  <c r="P24" i="32" s="1"/>
  <c r="D24" i="32"/>
  <c r="E24" i="32" s="1"/>
  <c r="F24" i="32" s="1"/>
  <c r="D23" i="32"/>
  <c r="E23" i="32" s="1"/>
  <c r="F23" i="32" s="1"/>
  <c r="N22" i="32"/>
  <c r="O22" i="32" s="1"/>
  <c r="P22" i="32" s="1"/>
  <c r="D22" i="32"/>
  <c r="E22" i="32" s="1"/>
  <c r="F22" i="32" s="1"/>
  <c r="N21" i="32"/>
  <c r="O21" i="32" s="1"/>
  <c r="D21" i="32"/>
  <c r="E21" i="32" s="1"/>
  <c r="D20" i="32"/>
  <c r="E20" i="32" s="1"/>
  <c r="N19" i="32"/>
  <c r="O19" i="32" s="1"/>
  <c r="D19" i="32"/>
  <c r="E19" i="32" s="1"/>
  <c r="N18" i="32"/>
  <c r="O18" i="32" s="1"/>
  <c r="P18" i="32" s="1"/>
  <c r="D18" i="32"/>
  <c r="E18" i="32" s="1"/>
  <c r="F18" i="32" s="1"/>
  <c r="D17" i="32"/>
  <c r="E17" i="32" s="1"/>
  <c r="F17" i="32" s="1"/>
  <c r="N16" i="32"/>
  <c r="O16" i="32" s="1"/>
  <c r="P16" i="32" s="1"/>
  <c r="D16" i="32"/>
  <c r="E16" i="32" s="1"/>
  <c r="F16" i="32" s="1"/>
  <c r="O15" i="32"/>
  <c r="P15" i="32" s="1"/>
  <c r="N15" i="32"/>
  <c r="D15" i="32"/>
  <c r="E15" i="32" s="1"/>
  <c r="F15" i="32" s="1"/>
  <c r="N14" i="32"/>
  <c r="O14" i="32" s="1"/>
  <c r="P14" i="32" s="1"/>
  <c r="D14" i="32"/>
  <c r="E14" i="32" s="1"/>
  <c r="F14" i="32" s="1"/>
  <c r="O13" i="32"/>
  <c r="P13" i="32" s="1"/>
  <c r="N13" i="32"/>
  <c r="D13" i="32"/>
  <c r="E13" i="32" s="1"/>
  <c r="F13" i="32" s="1"/>
  <c r="N12" i="32"/>
  <c r="O12" i="32" s="1"/>
  <c r="P12" i="32" s="1"/>
  <c r="D12" i="32"/>
  <c r="E12" i="32" s="1"/>
  <c r="F12" i="32" s="1"/>
  <c r="O11" i="32"/>
  <c r="P11" i="32" s="1"/>
  <c r="N11" i="32"/>
  <c r="D11" i="32"/>
  <c r="E11" i="32" s="1"/>
  <c r="F11" i="32" s="1"/>
  <c r="N10" i="32"/>
  <c r="O10" i="32" s="1"/>
  <c r="D10" i="32"/>
  <c r="D29" i="32" s="1"/>
  <c r="B55" i="34" l="1"/>
  <c r="B57" i="34" s="1"/>
  <c r="F19" i="32"/>
  <c r="P10" i="32"/>
  <c r="P21" i="32"/>
  <c r="P19" i="32"/>
  <c r="F20" i="32"/>
  <c r="F21" i="32"/>
  <c r="E10" i="32"/>
  <c r="N17" i="32"/>
  <c r="O17" i="32" s="1"/>
  <c r="P17" i="32" s="1"/>
  <c r="N20" i="32"/>
  <c r="O20" i="32" s="1"/>
  <c r="N23" i="32"/>
  <c r="O23" i="32" s="1"/>
  <c r="P23" i="32" s="1"/>
  <c r="N25" i="32"/>
  <c r="O25" i="32" s="1"/>
  <c r="P25" i="32" s="1"/>
  <c r="H29" i="32" l="1"/>
  <c r="P20" i="32"/>
  <c r="R29" i="32" s="1"/>
  <c r="Q29" i="32"/>
  <c r="O29" i="32"/>
  <c r="P29" i="32"/>
  <c r="F10" i="32"/>
  <c r="F29" i="32" s="1"/>
  <c r="E29" i="32"/>
  <c r="N29" i="32"/>
  <c r="G29" i="32"/>
  <c r="G31" i="32" s="1"/>
  <c r="Q31" i="32" l="1"/>
  <c r="H61" i="5" l="1"/>
  <c r="G61" i="5"/>
  <c r="F61" i="5"/>
  <c r="D91" i="31" l="1"/>
  <c r="D286" i="31"/>
  <c r="D282" i="31"/>
  <c r="D279" i="31"/>
  <c r="D252" i="31"/>
  <c r="D128" i="31"/>
  <c r="D112" i="31"/>
  <c r="F112" i="31" s="1"/>
  <c r="D111" i="31"/>
  <c r="D109" i="31"/>
  <c r="D99" i="31"/>
  <c r="D22" i="31"/>
  <c r="D21" i="31"/>
  <c r="D20" i="31"/>
  <c r="D19" i="31"/>
  <c r="D18" i="31"/>
  <c r="D16" i="31"/>
  <c r="J296" i="31"/>
  <c r="J294" i="31"/>
  <c r="J290" i="31"/>
  <c r="J288" i="31"/>
  <c r="G287" i="31"/>
  <c r="F287" i="31"/>
  <c r="E287" i="31"/>
  <c r="J285" i="31"/>
  <c r="J278" i="31"/>
  <c r="J270" i="31"/>
  <c r="J266" i="31"/>
  <c r="J262" i="31"/>
  <c r="J259" i="31"/>
  <c r="J243" i="31"/>
  <c r="J219" i="31"/>
  <c r="J216" i="31"/>
  <c r="J207" i="31"/>
  <c r="J199" i="31"/>
  <c r="J192" i="31"/>
  <c r="J188" i="31"/>
  <c r="J185" i="31"/>
  <c r="J171" i="31"/>
  <c r="J168" i="31"/>
  <c r="J157" i="31"/>
  <c r="J151" i="31"/>
  <c r="J145" i="31"/>
  <c r="J141" i="31"/>
  <c r="J138" i="31"/>
  <c r="J131" i="31"/>
  <c r="J130" i="31"/>
  <c r="G129" i="31"/>
  <c r="J125" i="31"/>
  <c r="J108" i="31"/>
  <c r="J101" i="31"/>
  <c r="F100" i="31"/>
  <c r="E100" i="31"/>
  <c r="J98" i="31"/>
  <c r="J86" i="31"/>
  <c r="J80" i="31"/>
  <c r="J73" i="31"/>
  <c r="J69" i="31"/>
  <c r="J65" i="31"/>
  <c r="J61" i="31"/>
  <c r="J59" i="31"/>
  <c r="J54" i="31"/>
  <c r="J53" i="31"/>
  <c r="J44" i="31"/>
  <c r="J35" i="31"/>
  <c r="J25" i="31"/>
  <c r="B18" i="31"/>
  <c r="J16" i="31" l="1"/>
  <c r="J91" i="31"/>
  <c r="F129" i="31"/>
  <c r="J289" i="31"/>
  <c r="V126" i="4"/>
  <c r="D60" i="13"/>
  <c r="C60" i="13"/>
  <c r="C59" i="13"/>
  <c r="B60" i="13"/>
  <c r="C34" i="6"/>
  <c r="B34" i="6"/>
  <c r="D34" i="6" s="1"/>
  <c r="J18" i="31" l="1"/>
  <c r="J111" i="31"/>
  <c r="J22" i="31"/>
  <c r="J252" i="31"/>
  <c r="J128" i="31"/>
  <c r="J282" i="31"/>
  <c r="J112" i="31"/>
  <c r="J21" i="31"/>
  <c r="J20" i="31"/>
  <c r="I81" i="25"/>
  <c r="H81" i="25"/>
  <c r="G81" i="25"/>
  <c r="F81" i="25"/>
  <c r="I80" i="25"/>
  <c r="H80" i="25"/>
  <c r="G80" i="25"/>
  <c r="F80" i="25"/>
  <c r="I77" i="25"/>
  <c r="H77" i="25"/>
  <c r="G77" i="25"/>
  <c r="F77" i="25"/>
  <c r="J99" i="31" l="1"/>
  <c r="D100" i="31"/>
  <c r="J279" i="31"/>
  <c r="J19" i="31"/>
  <c r="Y4" i="27"/>
  <c r="U4" i="27"/>
  <c r="Q5" i="27"/>
  <c r="Q4" i="27"/>
  <c r="B5" i="27"/>
  <c r="J286" i="31" l="1"/>
  <c r="D287" i="31"/>
  <c r="G100" i="31"/>
  <c r="C8" i="27"/>
  <c r="G8" i="27"/>
  <c r="J8" i="27"/>
  <c r="E12" i="27"/>
  <c r="E13" i="27"/>
  <c r="D16" i="27"/>
  <c r="E16" i="27"/>
  <c r="D17" i="27"/>
  <c r="E17" i="27"/>
  <c r="G17" i="27"/>
  <c r="AQ20" i="27"/>
  <c r="AS20" i="27"/>
  <c r="AQ21" i="27"/>
  <c r="AS21" i="27"/>
  <c r="AQ22" i="27"/>
  <c r="AS22" i="27"/>
  <c r="AQ23" i="27"/>
  <c r="AS23" i="27"/>
  <c r="AQ24" i="27"/>
  <c r="AS24" i="27"/>
  <c r="AQ25" i="27"/>
  <c r="AS25" i="27"/>
  <c r="AQ26" i="27"/>
  <c r="AS26" i="27"/>
  <c r="AQ27" i="27"/>
  <c r="AS27" i="27"/>
  <c r="AQ28" i="27"/>
  <c r="AS28" i="27"/>
  <c r="AQ29" i="27"/>
  <c r="AS29" i="27"/>
  <c r="AQ30" i="27"/>
  <c r="AS30" i="27"/>
  <c r="AQ31" i="27"/>
  <c r="AS31" i="27"/>
  <c r="AQ32" i="27"/>
  <c r="AS32" i="27"/>
  <c r="AQ33" i="27"/>
  <c r="AS33" i="27"/>
  <c r="AQ34" i="27"/>
  <c r="AS34" i="27"/>
  <c r="AQ35" i="27"/>
  <c r="AS35" i="27"/>
  <c r="AQ36" i="27"/>
  <c r="AS36" i="27"/>
  <c r="AQ37" i="27"/>
  <c r="AS37" i="27"/>
  <c r="AQ38" i="27"/>
  <c r="AS38" i="27"/>
  <c r="AQ39" i="27"/>
  <c r="AS39" i="27"/>
  <c r="AQ40" i="27"/>
  <c r="AS40" i="27"/>
  <c r="AQ41" i="27"/>
  <c r="AS41" i="27"/>
  <c r="AQ42" i="27"/>
  <c r="AS42" i="27"/>
  <c r="AQ43" i="27"/>
  <c r="AS43" i="27"/>
  <c r="AQ44" i="27"/>
  <c r="AS44" i="27"/>
  <c r="AQ45" i="27"/>
  <c r="AS45" i="27"/>
  <c r="AQ46" i="27"/>
  <c r="AS46" i="27"/>
  <c r="AQ47" i="27"/>
  <c r="AS47" i="27"/>
  <c r="AQ48" i="27"/>
  <c r="AS48" i="27"/>
  <c r="AQ49" i="27"/>
  <c r="AS49" i="27"/>
  <c r="AQ50" i="27"/>
  <c r="AS50" i="27"/>
  <c r="AQ51" i="27"/>
  <c r="AS51" i="27"/>
  <c r="AQ52" i="27"/>
  <c r="AS52" i="27"/>
  <c r="AQ53" i="27"/>
  <c r="AS53" i="27"/>
  <c r="AQ54" i="27"/>
  <c r="AS54" i="27"/>
  <c r="AQ55" i="27"/>
  <c r="AS55" i="27"/>
  <c r="AQ56" i="27"/>
  <c r="AS56" i="27"/>
  <c r="AQ57" i="27"/>
  <c r="AS57" i="27"/>
  <c r="AQ58" i="27"/>
  <c r="AS58" i="27"/>
  <c r="AQ59" i="27"/>
  <c r="AS59" i="27"/>
  <c r="AQ60" i="27"/>
  <c r="AS60" i="27"/>
  <c r="AQ61" i="27"/>
  <c r="AS61" i="27"/>
  <c r="AQ62" i="27"/>
  <c r="AS62" i="27"/>
  <c r="AQ63" i="27"/>
  <c r="AS63" i="27"/>
  <c r="AQ64" i="27"/>
  <c r="AS64" i="27"/>
  <c r="AQ65" i="27"/>
  <c r="AS65" i="27"/>
  <c r="AQ66" i="27"/>
  <c r="AS66" i="27"/>
  <c r="AQ67" i="27"/>
  <c r="AS67" i="27"/>
  <c r="AQ68" i="27"/>
  <c r="AS68" i="27"/>
  <c r="AQ69" i="27"/>
  <c r="AS69" i="27"/>
  <c r="AQ70" i="27"/>
  <c r="AS70" i="27"/>
  <c r="AQ71" i="27"/>
  <c r="AS71" i="27"/>
  <c r="AQ72" i="27"/>
  <c r="AS72" i="27"/>
  <c r="AQ73" i="27"/>
  <c r="AS73" i="27"/>
  <c r="AQ74" i="27"/>
  <c r="AS74" i="27"/>
  <c r="AQ75" i="27"/>
  <c r="AS75" i="27"/>
  <c r="AQ76" i="27"/>
  <c r="AS76" i="27"/>
  <c r="AQ77" i="27"/>
  <c r="AS77" i="27"/>
  <c r="B5" i="26"/>
  <c r="Y4" i="26"/>
  <c r="Q5" i="26"/>
  <c r="Q4" i="26"/>
  <c r="U4" i="26"/>
  <c r="J100" i="31" l="1"/>
  <c r="J109" i="31"/>
  <c r="C8" i="26"/>
  <c r="G8" i="26"/>
  <c r="J8" i="26"/>
  <c r="D16" i="26"/>
  <c r="E16" i="26"/>
  <c r="D84" i="26"/>
  <c r="D17" i="26"/>
  <c r="E17" i="26"/>
  <c r="G17" i="26"/>
  <c r="AQ20" i="26"/>
  <c r="AS20" i="26"/>
  <c r="AQ21" i="26"/>
  <c r="AS21" i="26"/>
  <c r="AQ22" i="26"/>
  <c r="AS22" i="26"/>
  <c r="AQ23" i="26"/>
  <c r="AS23" i="26"/>
  <c r="AQ24" i="26"/>
  <c r="AS24" i="26"/>
  <c r="AQ25" i="26"/>
  <c r="AS25" i="26"/>
  <c r="AQ26" i="26"/>
  <c r="AS26" i="26"/>
  <c r="AQ27" i="26"/>
  <c r="AS27" i="26"/>
  <c r="AQ28" i="26"/>
  <c r="AS28" i="26"/>
  <c r="AQ29" i="26"/>
  <c r="AS29" i="26"/>
  <c r="AQ30" i="26"/>
  <c r="AS30" i="26"/>
  <c r="AQ31" i="26"/>
  <c r="AS31" i="26"/>
  <c r="AQ32" i="26"/>
  <c r="AS32" i="26"/>
  <c r="AQ33" i="26"/>
  <c r="AS33" i="26"/>
  <c r="AQ34" i="26"/>
  <c r="AS34" i="26"/>
  <c r="AQ35" i="26"/>
  <c r="AS35" i="26"/>
  <c r="AQ36" i="26"/>
  <c r="AS36" i="26"/>
  <c r="AQ37" i="26"/>
  <c r="AS37" i="26"/>
  <c r="AQ38" i="26"/>
  <c r="AS38" i="26"/>
  <c r="AQ39" i="26"/>
  <c r="AS39" i="26"/>
  <c r="AQ40" i="26"/>
  <c r="AS40" i="26"/>
  <c r="AQ41" i="26"/>
  <c r="AS41" i="26"/>
  <c r="AQ42" i="26"/>
  <c r="AS42" i="26"/>
  <c r="AQ43" i="26"/>
  <c r="AS43" i="26"/>
  <c r="AQ44" i="26"/>
  <c r="AS44" i="26"/>
  <c r="AQ45" i="26"/>
  <c r="AS45" i="26"/>
  <c r="AQ46" i="26"/>
  <c r="AS46" i="26"/>
  <c r="AQ47" i="26"/>
  <c r="AS47" i="26"/>
  <c r="AQ48" i="26"/>
  <c r="AS48" i="26"/>
  <c r="AQ49" i="26"/>
  <c r="AS49" i="26"/>
  <c r="AQ50" i="26"/>
  <c r="AS50" i="26"/>
  <c r="AQ51" i="26"/>
  <c r="AS51" i="26"/>
  <c r="AQ52" i="26"/>
  <c r="AS52" i="26"/>
  <c r="AQ53" i="26"/>
  <c r="AS53" i="26"/>
  <c r="AQ54" i="26"/>
  <c r="AS54" i="26"/>
  <c r="AQ55" i="26"/>
  <c r="AS55" i="26"/>
  <c r="AQ56" i="26"/>
  <c r="AS56" i="26"/>
  <c r="AQ57" i="26"/>
  <c r="AS57" i="26"/>
  <c r="AQ58" i="26"/>
  <c r="AS58" i="26"/>
  <c r="AQ59" i="26"/>
  <c r="AS59" i="26"/>
  <c r="AQ60" i="26"/>
  <c r="AS60" i="26"/>
  <c r="AQ61" i="26"/>
  <c r="AS61" i="26"/>
  <c r="AQ62" i="26"/>
  <c r="AS62" i="26"/>
  <c r="AQ63" i="26"/>
  <c r="AS63" i="26"/>
  <c r="AQ64" i="26"/>
  <c r="AS64" i="26"/>
  <c r="AQ65" i="26"/>
  <c r="AS65" i="26"/>
  <c r="AQ66" i="26"/>
  <c r="AS66" i="26"/>
  <c r="AQ67" i="26"/>
  <c r="AS67" i="26"/>
  <c r="AQ68" i="26"/>
  <c r="AS68" i="26"/>
  <c r="AQ69" i="26"/>
  <c r="AS69" i="26"/>
  <c r="AQ70" i="26"/>
  <c r="AS70" i="26"/>
  <c r="AQ71" i="26"/>
  <c r="AS71" i="26"/>
  <c r="AQ72" i="26"/>
  <c r="AS72" i="26"/>
  <c r="AQ73" i="26"/>
  <c r="AS73" i="26"/>
  <c r="AQ74" i="26"/>
  <c r="AS74" i="26"/>
  <c r="AQ75" i="26"/>
  <c r="AS75" i="26"/>
  <c r="AQ76" i="26"/>
  <c r="AS76" i="26"/>
  <c r="AQ77" i="26"/>
  <c r="AS77" i="26"/>
  <c r="AQ78" i="26"/>
  <c r="AS78" i="26"/>
  <c r="AQ79" i="26"/>
  <c r="AS79" i="26"/>
  <c r="AQ80" i="26"/>
  <c r="AS80" i="26"/>
  <c r="AQ81" i="26"/>
  <c r="AS81" i="26"/>
  <c r="Q4" i="25"/>
  <c r="Q5" i="25"/>
  <c r="Y4" i="25"/>
  <c r="U4" i="25"/>
  <c r="B5" i="25"/>
  <c r="J287" i="31" l="1"/>
  <c r="C8" i="25"/>
  <c r="G8" i="25"/>
  <c r="J8" i="25"/>
  <c r="D16" i="25"/>
  <c r="E16" i="25"/>
  <c r="D17" i="25"/>
  <c r="E17" i="25"/>
  <c r="G17" i="25"/>
  <c r="AQ20" i="25"/>
  <c r="AS20" i="25"/>
  <c r="AQ21" i="25"/>
  <c r="AS21" i="25"/>
  <c r="AQ22" i="25"/>
  <c r="AS22" i="25"/>
  <c r="AQ23" i="25"/>
  <c r="AS23" i="25"/>
  <c r="AQ24" i="25"/>
  <c r="AS24" i="25"/>
  <c r="AQ25" i="25"/>
  <c r="AS25" i="25"/>
  <c r="AQ26" i="25"/>
  <c r="AS26" i="25"/>
  <c r="AQ27" i="25"/>
  <c r="AS27" i="25"/>
  <c r="AQ28" i="25"/>
  <c r="AS28" i="25"/>
  <c r="AQ29" i="25"/>
  <c r="AS29" i="25"/>
  <c r="AQ30" i="25"/>
  <c r="AS30" i="25"/>
  <c r="AQ31" i="25"/>
  <c r="AS31" i="25"/>
  <c r="AQ32" i="25"/>
  <c r="AS32" i="25"/>
  <c r="AQ33" i="25"/>
  <c r="AS33" i="25"/>
  <c r="AQ34" i="25"/>
  <c r="AS34" i="25"/>
  <c r="AQ35" i="25"/>
  <c r="AS35" i="25"/>
  <c r="AQ36" i="25"/>
  <c r="AS36" i="25"/>
  <c r="AQ37" i="25"/>
  <c r="AS37" i="25"/>
  <c r="AQ38" i="25"/>
  <c r="AS38" i="25"/>
  <c r="AQ39" i="25"/>
  <c r="AS39" i="25"/>
  <c r="AQ40" i="25"/>
  <c r="AS40" i="25"/>
  <c r="AQ41" i="25"/>
  <c r="AS41" i="25"/>
  <c r="AQ42" i="25"/>
  <c r="AS42" i="25"/>
  <c r="AQ43" i="25"/>
  <c r="AS43" i="25"/>
  <c r="AQ44" i="25"/>
  <c r="AS44" i="25"/>
  <c r="AQ45" i="25"/>
  <c r="AS45" i="25"/>
  <c r="AQ46" i="25"/>
  <c r="AS46" i="25"/>
  <c r="AQ47" i="25"/>
  <c r="AS47" i="25"/>
  <c r="AQ48" i="25"/>
  <c r="AS48" i="25"/>
  <c r="AQ49" i="25"/>
  <c r="AS49" i="25"/>
  <c r="AQ50" i="25"/>
  <c r="AS50" i="25"/>
  <c r="AQ51" i="25"/>
  <c r="AS51" i="25"/>
  <c r="AQ52" i="25"/>
  <c r="AS52" i="25"/>
  <c r="AQ53" i="25"/>
  <c r="AS53" i="25"/>
  <c r="AQ54" i="25"/>
  <c r="AS54" i="25"/>
  <c r="AQ55" i="25"/>
  <c r="AS55" i="25"/>
  <c r="AQ56" i="25"/>
  <c r="AS56" i="25"/>
  <c r="AQ57" i="25"/>
  <c r="AS57" i="25"/>
  <c r="AQ58" i="25"/>
  <c r="AS58" i="25"/>
  <c r="AQ59" i="25"/>
  <c r="AS59" i="25"/>
  <c r="AQ60" i="25"/>
  <c r="AS60" i="25"/>
  <c r="AQ61" i="25"/>
  <c r="AS61" i="25"/>
  <c r="AQ62" i="25"/>
  <c r="AS62" i="25"/>
  <c r="AQ63" i="25"/>
  <c r="AS63" i="25"/>
  <c r="AQ64" i="25"/>
  <c r="AS64" i="25"/>
  <c r="AQ65" i="25"/>
  <c r="AS65" i="25"/>
  <c r="AQ66" i="25"/>
  <c r="AS66" i="25"/>
  <c r="AQ67" i="25"/>
  <c r="AS67" i="25"/>
  <c r="AQ68" i="25"/>
  <c r="AS68" i="25"/>
  <c r="AQ69" i="25"/>
  <c r="AS69" i="25"/>
  <c r="AQ70" i="25"/>
  <c r="AS70" i="25"/>
  <c r="D76" i="25"/>
  <c r="D77" i="25"/>
  <c r="D78" i="25"/>
  <c r="D79" i="25"/>
  <c r="D80" i="25"/>
  <c r="D81" i="25"/>
  <c r="D82" i="25"/>
  <c r="F82" i="25"/>
  <c r="G82" i="25"/>
  <c r="H82" i="25"/>
  <c r="D83" i="25"/>
  <c r="D84" i="25"/>
  <c r="U55" i="22"/>
  <c r="V6" i="22"/>
  <c r="U56" i="22"/>
  <c r="Y6" i="22"/>
  <c r="I27" i="22"/>
  <c r="I26" i="22" s="1"/>
  <c r="I28" i="22" s="1"/>
  <c r="J38" i="22"/>
  <c r="K27" i="22"/>
  <c r="AC21" i="22" s="1"/>
  <c r="V7" i="22"/>
  <c r="Y7" i="22"/>
  <c r="F8" i="22"/>
  <c r="V8" i="22"/>
  <c r="Y8" i="22"/>
  <c r="Y9" i="22" s="1"/>
  <c r="Y11" i="22" s="1"/>
  <c r="Y12" i="22" s="1"/>
  <c r="Y13" i="22" s="1"/>
  <c r="Y14" i="22" s="1"/>
  <c r="Y16" i="22" s="1"/>
  <c r="Y17" i="22" s="1"/>
  <c r="Y18" i="22" s="1"/>
  <c r="Y19" i="22" s="1"/>
  <c r="Y21" i="22" s="1"/>
  <c r="Y22" i="22" s="1"/>
  <c r="Y23" i="22" s="1"/>
  <c r="Y24" i="22" s="1"/>
  <c r="Y26" i="22" s="1"/>
  <c r="Y27" i="22" s="1"/>
  <c r="Y28" i="22" s="1"/>
  <c r="Y29" i="22" s="1"/>
  <c r="Y31" i="22" s="1"/>
  <c r="Y32" i="22" s="1"/>
  <c r="Y33" i="22" s="1"/>
  <c r="Y34" i="22" s="1"/>
  <c r="Y36" i="22" s="1"/>
  <c r="Y37" i="22" s="1"/>
  <c r="Y38" i="22" s="1"/>
  <c r="Y39" i="22" s="1"/>
  <c r="F9" i="22"/>
  <c r="V9" i="22"/>
  <c r="F10" i="22"/>
  <c r="F11" i="22" s="1"/>
  <c r="F12" i="22" s="1"/>
  <c r="F13" i="22" s="1"/>
  <c r="F14" i="22" s="1"/>
  <c r="F15" i="22" s="1"/>
  <c r="F16" i="22" s="1"/>
  <c r="F17" i="22" s="1"/>
  <c r="F18" i="22" s="1"/>
  <c r="F19" i="22" s="1"/>
  <c r="F20" i="22" s="1"/>
  <c r="F21" i="22" s="1"/>
  <c r="F22" i="22" s="1"/>
  <c r="F23" i="22" s="1"/>
  <c r="F24" i="22" s="1"/>
  <c r="F25" i="22" s="1"/>
  <c r="F26" i="22" s="1"/>
  <c r="F27" i="22" s="1"/>
  <c r="F28" i="22" s="1"/>
  <c r="F29" i="22" s="1"/>
  <c r="F30" i="22" s="1"/>
  <c r="F31" i="22" s="1"/>
  <c r="F32" i="22" s="1"/>
  <c r="F33" i="22" s="1"/>
  <c r="F34" i="22" s="1"/>
  <c r="F35" i="22" s="1"/>
  <c r="F36" i="22" s="1"/>
  <c r="F37" i="22" s="1"/>
  <c r="F38" i="22" s="1"/>
  <c r="F39" i="22" s="1"/>
  <c r="F40" i="22" s="1"/>
  <c r="F41" i="22" s="1"/>
  <c r="F42" i="22" s="1"/>
  <c r="F43" i="22" s="1"/>
  <c r="F44" i="22" s="1"/>
  <c r="F45" i="22" s="1"/>
  <c r="F46" i="22" s="1"/>
  <c r="F47" i="22" s="1"/>
  <c r="F48" i="22" s="1"/>
  <c r="F49" i="22" s="1"/>
  <c r="V11" i="22"/>
  <c r="V12" i="22"/>
  <c r="V13" i="22"/>
  <c r="V14" i="22"/>
  <c r="V16" i="22"/>
  <c r="V17" i="22"/>
  <c r="V18" i="22"/>
  <c r="V19" i="22"/>
  <c r="V21" i="22"/>
  <c r="V22" i="22"/>
  <c r="V23" i="22"/>
  <c r="V24" i="22"/>
  <c r="V26" i="22"/>
  <c r="V27" i="22"/>
  <c r="V28" i="22"/>
  <c r="V29" i="22"/>
  <c r="V31" i="22"/>
  <c r="V32" i="22"/>
  <c r="V33" i="22"/>
  <c r="V34" i="22"/>
  <c r="V36" i="22"/>
  <c r="V37" i="22"/>
  <c r="K38" i="22"/>
  <c r="V38" i="22"/>
  <c r="V39" i="22"/>
  <c r="J43" i="22"/>
  <c r="J44" i="22"/>
  <c r="J45" i="22"/>
  <c r="S58" i="22"/>
  <c r="Y67" i="22"/>
  <c r="Z67" i="22"/>
  <c r="V55" i="20"/>
  <c r="V56" i="20"/>
  <c r="Z6" i="20"/>
  <c r="I27" i="20"/>
  <c r="AD7" i="20" s="1"/>
  <c r="J38" i="20"/>
  <c r="K27" i="20"/>
  <c r="AD9" i="20" s="1"/>
  <c r="AD21" i="20"/>
  <c r="Z7" i="20"/>
  <c r="Z8" i="20" s="1"/>
  <c r="Z9" i="20" s="1"/>
  <c r="Z11" i="20" s="1"/>
  <c r="Z12" i="20" s="1"/>
  <c r="Z13" i="20" s="1"/>
  <c r="Z14" i="20" s="1"/>
  <c r="Z16" i="20" s="1"/>
  <c r="Z17" i="20" s="1"/>
  <c r="Z18" i="20" s="1"/>
  <c r="Z19" i="20" s="1"/>
  <c r="Z21" i="20" s="1"/>
  <c r="Z22" i="20" s="1"/>
  <c r="Z23" i="20" s="1"/>
  <c r="Z24" i="20" s="1"/>
  <c r="Z26" i="20" s="1"/>
  <c r="Z27" i="20" s="1"/>
  <c r="Z28" i="20" s="1"/>
  <c r="Z29" i="20" s="1"/>
  <c r="Z31" i="20" s="1"/>
  <c r="Z32" i="20" s="1"/>
  <c r="Z33" i="20" s="1"/>
  <c r="Z34" i="20" s="1"/>
  <c r="Z36" i="20" s="1"/>
  <c r="Z37" i="20" s="1"/>
  <c r="Z38" i="20" s="1"/>
  <c r="Z39" i="20" s="1"/>
  <c r="F8" i="20"/>
  <c r="W8" i="20"/>
  <c r="F9" i="20"/>
  <c r="F10" i="20" s="1"/>
  <c r="F11" i="20" s="1"/>
  <c r="F12" i="20" s="1"/>
  <c r="F13" i="20" s="1"/>
  <c r="F14" i="20" s="1"/>
  <c r="F15" i="20" s="1"/>
  <c r="F16" i="20" s="1"/>
  <c r="F17" i="20" s="1"/>
  <c r="F18" i="20" s="1"/>
  <c r="F19" i="20" s="1"/>
  <c r="F20" i="20" s="1"/>
  <c r="F21" i="20" s="1"/>
  <c r="F22" i="20" s="1"/>
  <c r="F23" i="20" s="1"/>
  <c r="F24" i="20" s="1"/>
  <c r="F25" i="20" s="1"/>
  <c r="F26" i="20" s="1"/>
  <c r="F27" i="20" s="1"/>
  <c r="F28" i="20" s="1"/>
  <c r="F29" i="20" s="1"/>
  <c r="F30" i="20" s="1"/>
  <c r="F31" i="20" s="1"/>
  <c r="F32" i="20" s="1"/>
  <c r="F33" i="20" s="1"/>
  <c r="F34" i="20" s="1"/>
  <c r="F35" i="20" s="1"/>
  <c r="F36" i="20" s="1"/>
  <c r="F37" i="20" s="1"/>
  <c r="F38" i="20" s="1"/>
  <c r="F39" i="20" s="1"/>
  <c r="F40" i="20" s="1"/>
  <c r="F41" i="20" s="1"/>
  <c r="F42" i="20" s="1"/>
  <c r="F43" i="20" s="1"/>
  <c r="F44" i="20" s="1"/>
  <c r="F45" i="20" s="1"/>
  <c r="F46" i="20" s="1"/>
  <c r="F47" i="20" s="1"/>
  <c r="F48" i="20" s="1"/>
  <c r="F49" i="20" s="1"/>
  <c r="W9" i="20"/>
  <c r="W11" i="20"/>
  <c r="W12" i="20"/>
  <c r="W13" i="20"/>
  <c r="W14" i="20"/>
  <c r="AD14" i="20"/>
  <c r="W16" i="20"/>
  <c r="W17" i="20"/>
  <c r="W18" i="20"/>
  <c r="AD19" i="20"/>
  <c r="W21" i="20"/>
  <c r="W22" i="20"/>
  <c r="AD22" i="20"/>
  <c r="W23" i="20"/>
  <c r="AD23" i="20"/>
  <c r="W24" i="20"/>
  <c r="AD24" i="20"/>
  <c r="W26" i="20"/>
  <c r="L27" i="20"/>
  <c r="W27" i="20"/>
  <c r="AD27" i="20"/>
  <c r="W28" i="20"/>
  <c r="AD28" i="20"/>
  <c r="W29" i="20"/>
  <c r="AD29" i="20"/>
  <c r="W31" i="20"/>
  <c r="W32" i="20"/>
  <c r="AD32" i="20"/>
  <c r="W33" i="20"/>
  <c r="AD33" i="20"/>
  <c r="W34" i="20"/>
  <c r="AD34" i="20"/>
  <c r="W36" i="20"/>
  <c r="AD36" i="20"/>
  <c r="W37" i="20"/>
  <c r="AD37" i="20"/>
  <c r="K38" i="20"/>
  <c r="W38" i="20"/>
  <c r="AD38" i="20"/>
  <c r="W39" i="20"/>
  <c r="AD39" i="20"/>
  <c r="J43" i="20"/>
  <c r="J44" i="20"/>
  <c r="J45" i="20"/>
  <c r="T58" i="20"/>
  <c r="Z67" i="20"/>
  <c r="AA67" i="20"/>
  <c r="P2" i="18"/>
  <c r="T2" i="18"/>
  <c r="V2" i="18"/>
  <c r="J3" i="18"/>
  <c r="L3" i="18"/>
  <c r="N3" i="18"/>
  <c r="P3" i="18"/>
  <c r="B7" i="18"/>
  <c r="R3" i="18" s="1"/>
  <c r="T3" i="18"/>
  <c r="A4" i="18"/>
  <c r="B4" i="18"/>
  <c r="AC16" i="22" l="1"/>
  <c r="AC38" i="22"/>
  <c r="AC36" i="22"/>
  <c r="L27" i="22"/>
  <c r="AC28" i="22"/>
  <c r="AC6" i="22"/>
  <c r="AC18" i="22"/>
  <c r="AC14" i="22"/>
  <c r="I26" i="20"/>
  <c r="I28" i="20" s="1"/>
  <c r="AC8" i="22"/>
  <c r="AC7" i="22"/>
  <c r="AC26" i="22"/>
  <c r="AC33" i="22"/>
  <c r="AC23" i="22"/>
  <c r="AC12" i="22"/>
  <c r="AC9" i="22"/>
  <c r="AC39" i="22"/>
  <c r="AC29" i="22"/>
  <c r="AC19" i="22"/>
  <c r="AC17" i="22"/>
  <c r="AC31" i="22"/>
  <c r="AC37" i="22"/>
  <c r="AC34" i="22"/>
  <c r="AC32" i="22"/>
  <c r="AC27" i="22"/>
  <c r="AC24" i="22"/>
  <c r="AC22" i="22"/>
  <c r="AC13" i="22"/>
  <c r="AC11" i="22"/>
  <c r="I82" i="25"/>
  <c r="I85" i="25" s="1"/>
  <c r="AD16" i="20"/>
  <c r="AD26" i="20"/>
  <c r="S3" i="18"/>
  <c r="W6" i="20"/>
  <c r="W7" i="20"/>
  <c r="W19" i="20"/>
  <c r="AD6" i="20"/>
  <c r="AD31" i="20"/>
  <c r="AD11" i="20"/>
  <c r="AD8" i="20"/>
  <c r="AD12" i="20"/>
  <c r="AD13" i="20"/>
  <c r="AD17" i="20"/>
  <c r="AD18" i="20"/>
  <c r="F85" i="25"/>
  <c r="U110" i="4" s="1"/>
  <c r="G85" i="25"/>
  <c r="H85" i="25"/>
  <c r="T110" i="4" s="1"/>
  <c r="A5" i="18"/>
  <c r="B5" i="18"/>
  <c r="J85" i="25" l="1"/>
  <c r="A6" i="18"/>
  <c r="B6" i="18"/>
  <c r="A7" i="18"/>
  <c r="D10" i="18" l="1"/>
  <c r="T13" i="18"/>
  <c r="S13" i="18" s="1"/>
  <c r="R13" i="18" s="1"/>
  <c r="P16" i="18"/>
  <c r="T16" i="18"/>
  <c r="V16" i="18"/>
  <c r="P17" i="18"/>
  <c r="T17" i="18" s="1"/>
  <c r="P18" i="18"/>
  <c r="T18" i="18" s="1"/>
  <c r="V18" i="18" s="1"/>
  <c r="P19" i="18"/>
  <c r="T19" i="18"/>
  <c r="V19" i="18" s="1"/>
  <c r="P20" i="18"/>
  <c r="T20" i="18"/>
  <c r="V20" i="18"/>
  <c r="P21" i="18"/>
  <c r="T21" i="18" s="1"/>
  <c r="V21" i="18" s="1"/>
  <c r="P22" i="18"/>
  <c r="T22" i="18" s="1"/>
  <c r="V22" i="18" s="1"/>
  <c r="P23" i="18"/>
  <c r="T23" i="18"/>
  <c r="V23" i="18" s="1"/>
  <c r="P24" i="18"/>
  <c r="T24" i="18"/>
  <c r="V24" i="18"/>
  <c r="P25" i="18"/>
  <c r="T25" i="18" s="1"/>
  <c r="V25" i="18" s="1"/>
  <c r="P26" i="18"/>
  <c r="T26" i="18" s="1"/>
  <c r="V26" i="18" s="1"/>
  <c r="P27" i="18"/>
  <c r="T27" i="18"/>
  <c r="V27" i="18" s="1"/>
  <c r="P28" i="18"/>
  <c r="T28" i="18"/>
  <c r="V28" i="18"/>
  <c r="J30" i="18"/>
  <c r="L30" i="18"/>
  <c r="N30" i="18"/>
  <c r="P30" i="18"/>
  <c r="R30" i="18"/>
  <c r="S30" i="18"/>
  <c r="P31" i="18"/>
  <c r="T31" i="18" s="1"/>
  <c r="P32" i="18"/>
  <c r="T32" i="18" s="1"/>
  <c r="V32" i="18" s="1"/>
  <c r="P33" i="18"/>
  <c r="T33" i="18"/>
  <c r="V33" i="18" s="1"/>
  <c r="P34" i="18"/>
  <c r="T34" i="18"/>
  <c r="V34" i="18"/>
  <c r="P35" i="18"/>
  <c r="T35" i="18" s="1"/>
  <c r="V35" i="18" s="1"/>
  <c r="P36" i="18"/>
  <c r="T36" i="18" s="1"/>
  <c r="V36" i="18" s="1"/>
  <c r="P37" i="18"/>
  <c r="T37" i="18"/>
  <c r="V37" i="18" s="1"/>
  <c r="P38" i="18"/>
  <c r="T38" i="18"/>
  <c r="V38" i="18"/>
  <c r="P39" i="18"/>
  <c r="T39" i="18" s="1"/>
  <c r="V39" i="18" s="1"/>
  <c r="P40" i="18"/>
  <c r="T40" i="18" s="1"/>
  <c r="V40" i="18" s="1"/>
  <c r="J42" i="18"/>
  <c r="P42" i="18" s="1"/>
  <c r="L42" i="18"/>
  <c r="L60" i="18" s="1"/>
  <c r="N42" i="18"/>
  <c r="N60" i="18" s="1"/>
  <c r="R42" i="18"/>
  <c r="S42" i="18"/>
  <c r="S60" i="18" s="1"/>
  <c r="P43" i="18"/>
  <c r="T43" i="18"/>
  <c r="V43" i="18" s="1"/>
  <c r="P44" i="18"/>
  <c r="T44" i="18"/>
  <c r="V44" i="18"/>
  <c r="P45" i="18"/>
  <c r="T45" i="18" s="1"/>
  <c r="P46" i="18"/>
  <c r="T46" i="18" s="1"/>
  <c r="V46" i="18" s="1"/>
  <c r="P47" i="18"/>
  <c r="T47" i="18"/>
  <c r="V47" i="18" s="1"/>
  <c r="J49" i="18"/>
  <c r="L49" i="18"/>
  <c r="N49" i="18"/>
  <c r="P49" i="18" s="1"/>
  <c r="R49" i="18"/>
  <c r="S49" i="18"/>
  <c r="P50" i="18"/>
  <c r="T50" i="18"/>
  <c r="V50" i="18"/>
  <c r="P51" i="18"/>
  <c r="T51" i="18" s="1"/>
  <c r="P52" i="18"/>
  <c r="T52" i="18" s="1"/>
  <c r="V52" i="18" s="1"/>
  <c r="P53" i="18"/>
  <c r="T53" i="18"/>
  <c r="V53" i="18" s="1"/>
  <c r="J55" i="18"/>
  <c r="L55" i="18"/>
  <c r="N55" i="18"/>
  <c r="P55" i="18" s="1"/>
  <c r="R55" i="18"/>
  <c r="S55" i="18"/>
  <c r="P56" i="18"/>
  <c r="T56" i="18"/>
  <c r="V56" i="18"/>
  <c r="J58" i="18"/>
  <c r="L58" i="18"/>
  <c r="N58" i="18"/>
  <c r="P58" i="18"/>
  <c r="R58" i="18"/>
  <c r="S58" i="18"/>
  <c r="T58" i="18"/>
  <c r="V58" i="18"/>
  <c r="J60" i="18"/>
  <c r="R60" i="18"/>
  <c r="P63" i="18"/>
  <c r="T63" i="18" s="1"/>
  <c r="P64" i="18"/>
  <c r="T64" i="18" s="1"/>
  <c r="V64" i="18" s="1"/>
  <c r="P65" i="18"/>
  <c r="T65" i="18"/>
  <c r="V65" i="18" s="1"/>
  <c r="P66" i="18"/>
  <c r="T66" i="18"/>
  <c r="V66" i="18"/>
  <c r="P67" i="18"/>
  <c r="T67" i="18" s="1"/>
  <c r="V67" i="18" s="1"/>
  <c r="P68" i="18"/>
  <c r="T68" i="18" s="1"/>
  <c r="V68" i="18" s="1"/>
  <c r="P69" i="18"/>
  <c r="T69" i="18"/>
  <c r="V69" i="18" s="1"/>
  <c r="P70" i="18"/>
  <c r="T70" i="18"/>
  <c r="V70" i="18"/>
  <c r="P71" i="18"/>
  <c r="T71" i="18" s="1"/>
  <c r="V71" i="18" s="1"/>
  <c r="P72" i="18"/>
  <c r="T72" i="18" s="1"/>
  <c r="V72" i="18" s="1"/>
  <c r="P73" i="18"/>
  <c r="T73" i="18"/>
  <c r="V73" i="18" s="1"/>
  <c r="P74" i="18"/>
  <c r="T74" i="18"/>
  <c r="V74" i="18"/>
  <c r="P75" i="18"/>
  <c r="T75" i="18" s="1"/>
  <c r="V75" i="18" s="1"/>
  <c r="P76" i="18"/>
  <c r="T76" i="18" s="1"/>
  <c r="V76" i="18" s="1"/>
  <c r="P77" i="18"/>
  <c r="T77" i="18"/>
  <c r="V77" i="18" s="1"/>
  <c r="P78" i="18"/>
  <c r="T78" i="18"/>
  <c r="V78" i="18"/>
  <c r="P79" i="18"/>
  <c r="T79" i="18" s="1"/>
  <c r="V79" i="18" s="1"/>
  <c r="P80" i="18"/>
  <c r="T80" i="18" s="1"/>
  <c r="V80" i="18" s="1"/>
  <c r="P81" i="18"/>
  <c r="T81" i="18"/>
  <c r="V81" i="18" s="1"/>
  <c r="P82" i="18"/>
  <c r="T82" i="18"/>
  <c r="V82" i="18"/>
  <c r="P83" i="18"/>
  <c r="T83" i="18" s="1"/>
  <c r="V83" i="18" s="1"/>
  <c r="P84" i="18"/>
  <c r="T84" i="18" s="1"/>
  <c r="V84" i="18" s="1"/>
  <c r="P85" i="18"/>
  <c r="T85" i="18"/>
  <c r="V85" i="18" s="1"/>
  <c r="P86" i="18"/>
  <c r="T86" i="18"/>
  <c r="V86" i="18"/>
  <c r="P87" i="18"/>
  <c r="T87" i="18" s="1"/>
  <c r="V87" i="18" s="1"/>
  <c r="P88" i="18"/>
  <c r="T88" i="18" s="1"/>
  <c r="V88" i="18" s="1"/>
  <c r="P89" i="18"/>
  <c r="T89" i="18"/>
  <c r="V89" i="18" s="1"/>
  <c r="P90" i="18"/>
  <c r="T90" i="18"/>
  <c r="V90" i="18"/>
  <c r="P91" i="18"/>
  <c r="T91" i="18" s="1"/>
  <c r="V91" i="18" s="1"/>
  <c r="P92" i="18"/>
  <c r="T92" i="18" s="1"/>
  <c r="V92" i="18" s="1"/>
  <c r="P93" i="18"/>
  <c r="T93" i="18"/>
  <c r="V93" i="18" s="1"/>
  <c r="P94" i="18"/>
  <c r="T94" i="18"/>
  <c r="V94" i="18"/>
  <c r="P95" i="18"/>
  <c r="T95" i="18" s="1"/>
  <c r="V95" i="18" s="1"/>
  <c r="P96" i="18"/>
  <c r="T96" i="18" s="1"/>
  <c r="V96" i="18" s="1"/>
  <c r="P97" i="18"/>
  <c r="T97" i="18"/>
  <c r="V97" i="18" s="1"/>
  <c r="P98" i="18"/>
  <c r="T98" i="18"/>
  <c r="V98" i="18"/>
  <c r="P99" i="18"/>
  <c r="T99" i="18" s="1"/>
  <c r="V99" i="18" s="1"/>
  <c r="P100" i="18"/>
  <c r="T100" i="18" s="1"/>
  <c r="V100" i="18" s="1"/>
  <c r="P101" i="18"/>
  <c r="T101" i="18"/>
  <c r="V101" i="18" s="1"/>
  <c r="P102" i="18"/>
  <c r="T102" i="18"/>
  <c r="V102" i="18"/>
  <c r="P103" i="18"/>
  <c r="T103" i="18" s="1"/>
  <c r="V103" i="18" s="1"/>
  <c r="P104" i="18"/>
  <c r="T104" i="18" s="1"/>
  <c r="V104" i="18" s="1"/>
  <c r="P105" i="18"/>
  <c r="T105" i="18"/>
  <c r="V105" i="18" s="1"/>
  <c r="P106" i="18"/>
  <c r="T106" i="18"/>
  <c r="V106" i="18"/>
  <c r="P107" i="18"/>
  <c r="T107" i="18" s="1"/>
  <c r="V107" i="18" s="1"/>
  <c r="J109" i="18"/>
  <c r="P109" i="18" s="1"/>
  <c r="L109" i="18"/>
  <c r="N109" i="18"/>
  <c r="R109" i="18"/>
  <c r="S109" i="18"/>
  <c r="P110" i="18"/>
  <c r="T110" i="18" s="1"/>
  <c r="J112" i="18"/>
  <c r="P112" i="18" s="1"/>
  <c r="L112" i="18"/>
  <c r="L147" i="18" s="1"/>
  <c r="N112" i="18"/>
  <c r="R112" i="18"/>
  <c r="S112" i="18"/>
  <c r="S147" i="18" s="1"/>
  <c r="P113" i="18"/>
  <c r="T113" i="18"/>
  <c r="V113" i="18" s="1"/>
  <c r="V115" i="18" s="1"/>
  <c r="J115" i="18"/>
  <c r="L115" i="18"/>
  <c r="N115" i="18"/>
  <c r="N147" i="18" s="1"/>
  <c r="R115" i="18"/>
  <c r="S115" i="18"/>
  <c r="T115" i="18"/>
  <c r="P116" i="18"/>
  <c r="T116" i="18"/>
  <c r="T119" i="18" s="1"/>
  <c r="V116" i="18"/>
  <c r="P117" i="18"/>
  <c r="T117" i="18" s="1"/>
  <c r="V117" i="18" s="1"/>
  <c r="J119" i="18"/>
  <c r="P119" i="18" s="1"/>
  <c r="L119" i="18"/>
  <c r="N119" i="18"/>
  <c r="R119" i="18"/>
  <c r="S119" i="18"/>
  <c r="P120" i="18"/>
  <c r="T120" i="18" s="1"/>
  <c r="P121" i="18"/>
  <c r="T121" i="18"/>
  <c r="V121" i="18" s="1"/>
  <c r="P122" i="18"/>
  <c r="T122" i="18"/>
  <c r="V122" i="18"/>
  <c r="P123" i="18"/>
  <c r="T123" i="18" s="1"/>
  <c r="V123" i="18" s="1"/>
  <c r="P124" i="18"/>
  <c r="T124" i="18" s="1"/>
  <c r="V124" i="18" s="1"/>
  <c r="J126" i="18"/>
  <c r="P126" i="18" s="1"/>
  <c r="L126" i="18"/>
  <c r="N126" i="18"/>
  <c r="R126" i="18"/>
  <c r="S126" i="18"/>
  <c r="P127" i="18"/>
  <c r="T127" i="18"/>
  <c r="V127" i="18" s="1"/>
  <c r="V129" i="18" s="1"/>
  <c r="J129" i="18"/>
  <c r="L129" i="18"/>
  <c r="N129" i="18"/>
  <c r="P129" i="18" s="1"/>
  <c r="R129" i="18"/>
  <c r="S129" i="18"/>
  <c r="T129" i="18"/>
  <c r="P130" i="18"/>
  <c r="T130" i="18"/>
  <c r="V130" i="18"/>
  <c r="J132" i="18"/>
  <c r="L132" i="18"/>
  <c r="N132" i="18"/>
  <c r="P132" i="18"/>
  <c r="R132" i="18"/>
  <c r="S132" i="18"/>
  <c r="T132" i="18"/>
  <c r="V132" i="18"/>
  <c r="P133" i="18"/>
  <c r="T133" i="18" s="1"/>
  <c r="J135" i="18"/>
  <c r="P135" i="18" s="1"/>
  <c r="L135" i="18"/>
  <c r="N135" i="18"/>
  <c r="R135" i="18"/>
  <c r="S135" i="18"/>
  <c r="P136" i="18"/>
  <c r="T136" i="18" s="1"/>
  <c r="J138" i="18"/>
  <c r="P138" i="18" s="1"/>
  <c r="L138" i="18"/>
  <c r="N138" i="18"/>
  <c r="R138" i="18"/>
  <c r="S138" i="18"/>
  <c r="P139" i="18"/>
  <c r="T139" i="18"/>
  <c r="V139" i="18" s="1"/>
  <c r="V141" i="18" s="1"/>
  <c r="J141" i="18"/>
  <c r="L141" i="18"/>
  <c r="N141" i="18"/>
  <c r="P141" i="18" s="1"/>
  <c r="R141" i="18"/>
  <c r="S141" i="18"/>
  <c r="T141" i="18"/>
  <c r="P142" i="18"/>
  <c r="T142" i="18"/>
  <c r="V142" i="18"/>
  <c r="P143" i="18"/>
  <c r="T143" i="18" s="1"/>
  <c r="J145" i="18"/>
  <c r="P145" i="18" s="1"/>
  <c r="L145" i="18"/>
  <c r="N145" i="18"/>
  <c r="R145" i="18"/>
  <c r="S145" i="18"/>
  <c r="J147" i="18"/>
  <c r="R147" i="18"/>
  <c r="P149" i="18"/>
  <c r="T149" i="18" s="1"/>
  <c r="J151" i="18"/>
  <c r="L151" i="18"/>
  <c r="P151" i="18" s="1"/>
  <c r="N151" i="18"/>
  <c r="R151" i="18"/>
  <c r="S151" i="18"/>
  <c r="P153" i="18"/>
  <c r="T153" i="18"/>
  <c r="T155" i="18" s="1"/>
  <c r="J155" i="18"/>
  <c r="L155" i="18"/>
  <c r="N155" i="18"/>
  <c r="N181" i="18" s="1"/>
  <c r="R155" i="18"/>
  <c r="S155" i="18"/>
  <c r="P156" i="18"/>
  <c r="T156" i="18" s="1"/>
  <c r="P157" i="18"/>
  <c r="T157" i="18" s="1"/>
  <c r="V157" i="18" s="1"/>
  <c r="P158" i="18"/>
  <c r="T158" i="18" s="1"/>
  <c r="V158" i="18" s="1"/>
  <c r="P159" i="18"/>
  <c r="T159" i="18"/>
  <c r="V159" i="18" s="1"/>
  <c r="P160" i="18"/>
  <c r="T160" i="18" s="1"/>
  <c r="V160" i="18" s="1"/>
  <c r="P161" i="18"/>
  <c r="T161" i="18" s="1"/>
  <c r="V161" i="18" s="1"/>
  <c r="P162" i="18"/>
  <c r="T162" i="18" s="1"/>
  <c r="V162" i="18" s="1"/>
  <c r="P163" i="18"/>
  <c r="T163" i="18"/>
  <c r="V163" i="18" s="1"/>
  <c r="P164" i="18"/>
  <c r="T164" i="18" s="1"/>
  <c r="V164" i="18" s="1"/>
  <c r="P165" i="18"/>
  <c r="T165" i="18" s="1"/>
  <c r="V165" i="18" s="1"/>
  <c r="P166" i="18"/>
  <c r="T166" i="18" s="1"/>
  <c r="V166" i="18" s="1"/>
  <c r="J168" i="18"/>
  <c r="P168" i="18" s="1"/>
  <c r="L168" i="18"/>
  <c r="L181" i="18" s="1"/>
  <c r="N168" i="18"/>
  <c r="R168" i="18"/>
  <c r="S168" i="18"/>
  <c r="S181" i="18" s="1"/>
  <c r="P169" i="18"/>
  <c r="T169" i="18"/>
  <c r="V169" i="18" s="1"/>
  <c r="V171" i="18" s="1"/>
  <c r="J171" i="18"/>
  <c r="L171" i="18"/>
  <c r="N171" i="18"/>
  <c r="P171" i="18" s="1"/>
  <c r="R171" i="18"/>
  <c r="S171" i="18"/>
  <c r="T171" i="18"/>
  <c r="P172" i="18"/>
  <c r="T172" i="18"/>
  <c r="V172" i="18"/>
  <c r="P173" i="18"/>
  <c r="T173" i="18" s="1"/>
  <c r="P174" i="18"/>
  <c r="T174" i="18" s="1"/>
  <c r="V174" i="18" s="1"/>
  <c r="P175" i="18"/>
  <c r="T175" i="18"/>
  <c r="V175" i="18" s="1"/>
  <c r="P176" i="18"/>
  <c r="T176" i="18"/>
  <c r="V176" i="18"/>
  <c r="P177" i="18"/>
  <c r="T177" i="18" s="1"/>
  <c r="V177" i="18" s="1"/>
  <c r="J179" i="18"/>
  <c r="P179" i="18" s="1"/>
  <c r="L179" i="18"/>
  <c r="N179" i="18"/>
  <c r="R179" i="18"/>
  <c r="S179" i="18"/>
  <c r="J181" i="18"/>
  <c r="J206" i="18" s="1"/>
  <c r="R181" i="18"/>
  <c r="R206" i="18" s="1"/>
  <c r="R236" i="18" s="1"/>
  <c r="P184" i="18"/>
  <c r="T184" i="18" s="1"/>
  <c r="J186" i="18"/>
  <c r="P186" i="18" s="1"/>
  <c r="L186" i="18"/>
  <c r="L206" i="18" s="1"/>
  <c r="L236" i="18" s="1"/>
  <c r="N186" i="18"/>
  <c r="R186" i="18"/>
  <c r="S186" i="18"/>
  <c r="S206" i="18" s="1"/>
  <c r="P187" i="18"/>
  <c r="T187" i="18"/>
  <c r="V187" i="18" s="1"/>
  <c r="V189" i="18" s="1"/>
  <c r="J189" i="18"/>
  <c r="L189" i="18"/>
  <c r="P189" i="18" s="1"/>
  <c r="N189" i="18"/>
  <c r="R189" i="18"/>
  <c r="S189" i="18"/>
  <c r="T189" i="18"/>
  <c r="P190" i="18"/>
  <c r="T190" i="18"/>
  <c r="V190" i="18"/>
  <c r="J192" i="18"/>
  <c r="L192" i="18"/>
  <c r="N192" i="18"/>
  <c r="P192" i="18"/>
  <c r="R192" i="18"/>
  <c r="S192" i="18"/>
  <c r="T192" i="18"/>
  <c r="V192" i="18"/>
  <c r="P193" i="18"/>
  <c r="T193" i="18"/>
  <c r="V193" i="18"/>
  <c r="J195" i="18"/>
  <c r="P195" i="18" s="1"/>
  <c r="L195" i="18"/>
  <c r="N195" i="18"/>
  <c r="R195" i="18"/>
  <c r="S195" i="18"/>
  <c r="T195" i="18"/>
  <c r="V195" i="18"/>
  <c r="P196" i="18"/>
  <c r="T196" i="18" s="1"/>
  <c r="J198" i="18"/>
  <c r="P198" i="18" s="1"/>
  <c r="L198" i="18"/>
  <c r="N198" i="18"/>
  <c r="R198" i="18"/>
  <c r="S198" i="18"/>
  <c r="P199" i="18"/>
  <c r="T199" i="18"/>
  <c r="V199" i="18" s="1"/>
  <c r="V201" i="18" s="1"/>
  <c r="J201" i="18"/>
  <c r="P201" i="18" s="1"/>
  <c r="L201" i="18"/>
  <c r="N201" i="18"/>
  <c r="N206" i="18" s="1"/>
  <c r="R201" i="18"/>
  <c r="S201" i="18"/>
  <c r="P202" i="18"/>
  <c r="T202" i="18"/>
  <c r="V202" i="18"/>
  <c r="J204" i="18"/>
  <c r="L204" i="18"/>
  <c r="N204" i="18"/>
  <c r="P204" i="18"/>
  <c r="R204" i="18"/>
  <c r="S204" i="18"/>
  <c r="T204" i="18"/>
  <c r="V204" i="18"/>
  <c r="P208" i="18"/>
  <c r="T208" i="18"/>
  <c r="V208" i="18"/>
  <c r="J210" i="18"/>
  <c r="P210" i="18" s="1"/>
  <c r="L210" i="18"/>
  <c r="N210" i="18"/>
  <c r="R210" i="18"/>
  <c r="R234" i="18" s="1"/>
  <c r="S210" i="18"/>
  <c r="T210" i="18"/>
  <c r="V210" i="18"/>
  <c r="P211" i="18"/>
  <c r="T211" i="18" s="1"/>
  <c r="J213" i="18"/>
  <c r="P213" i="18" s="1"/>
  <c r="L213" i="18"/>
  <c r="N213" i="18"/>
  <c r="R213" i="18"/>
  <c r="S213" i="18"/>
  <c r="P214" i="18"/>
  <c r="T214" i="18"/>
  <c r="V214" i="18" s="1"/>
  <c r="V216" i="18" s="1"/>
  <c r="J216" i="18"/>
  <c r="P216" i="18" s="1"/>
  <c r="L216" i="18"/>
  <c r="N216" i="18"/>
  <c r="N234" i="18" s="1"/>
  <c r="R216" i="18"/>
  <c r="S216" i="18"/>
  <c r="T216" i="18"/>
  <c r="P217" i="18"/>
  <c r="T217" i="18"/>
  <c r="V217" i="18"/>
  <c r="J219" i="18"/>
  <c r="L219" i="18"/>
  <c r="N219" i="18"/>
  <c r="P219" i="18"/>
  <c r="R219" i="18"/>
  <c r="S219" i="18"/>
  <c r="T219" i="18"/>
  <c r="V219" i="18"/>
  <c r="P220" i="18"/>
  <c r="T220" i="18"/>
  <c r="V220" i="18"/>
  <c r="J222" i="18"/>
  <c r="P222" i="18" s="1"/>
  <c r="L222" i="18"/>
  <c r="N222" i="18"/>
  <c r="R222" i="18"/>
  <c r="S222" i="18"/>
  <c r="T222" i="18"/>
  <c r="V222" i="18"/>
  <c r="P223" i="18"/>
  <c r="T223" i="18" s="1"/>
  <c r="J225" i="18"/>
  <c r="P225" i="18" s="1"/>
  <c r="L225" i="18"/>
  <c r="N225" i="18"/>
  <c r="R225" i="18"/>
  <c r="S225" i="18"/>
  <c r="P226" i="18"/>
  <c r="T226" i="18"/>
  <c r="V226" i="18" s="1"/>
  <c r="V228" i="18" s="1"/>
  <c r="J228" i="18"/>
  <c r="P228" i="18" s="1"/>
  <c r="L228" i="18"/>
  <c r="L234" i="18" s="1"/>
  <c r="N228" i="18"/>
  <c r="R228" i="18"/>
  <c r="S228" i="18"/>
  <c r="S234" i="18" s="1"/>
  <c r="T228" i="18"/>
  <c r="P230" i="18"/>
  <c r="T230" i="18"/>
  <c r="V230" i="18"/>
  <c r="J232" i="18"/>
  <c r="L232" i="18"/>
  <c r="N232" i="18"/>
  <c r="P232" i="18"/>
  <c r="R232" i="18"/>
  <c r="S232" i="18"/>
  <c r="T232" i="18"/>
  <c r="V232" i="18"/>
  <c r="J242" i="18"/>
  <c r="L242" i="18"/>
  <c r="N242" i="18"/>
  <c r="P242" i="18"/>
  <c r="R242" i="18"/>
  <c r="S242" i="18"/>
  <c r="T242" i="18"/>
  <c r="V242" i="18"/>
  <c r="P2" i="17"/>
  <c r="T2" i="17"/>
  <c r="V2" i="17"/>
  <c r="J3" i="17"/>
  <c r="L3" i="17"/>
  <c r="N3" i="17"/>
  <c r="P3" i="17"/>
  <c r="B7" i="17"/>
  <c r="S3" i="17" s="1"/>
  <c r="T3" i="17"/>
  <c r="A8" i="18"/>
  <c r="A4" i="17"/>
  <c r="B4" i="17"/>
  <c r="V223" i="18" l="1"/>
  <c r="V225" i="18" s="1"/>
  <c r="T225" i="18"/>
  <c r="V184" i="18"/>
  <c r="V186" i="18" s="1"/>
  <c r="T186" i="18"/>
  <c r="V156" i="18"/>
  <c r="V168" i="18" s="1"/>
  <c r="T168" i="18"/>
  <c r="T181" i="18" s="1"/>
  <c r="T135" i="18"/>
  <c r="V133" i="18"/>
  <c r="V135" i="18" s="1"/>
  <c r="V120" i="18"/>
  <c r="V126" i="18" s="1"/>
  <c r="T126" i="18"/>
  <c r="V51" i="18"/>
  <c r="T55" i="18"/>
  <c r="V45" i="18"/>
  <c r="V49" i="18" s="1"/>
  <c r="T49" i="18"/>
  <c r="V196" i="18"/>
  <c r="V198" i="18" s="1"/>
  <c r="T198" i="18"/>
  <c r="V149" i="18"/>
  <c r="V151" i="18" s="1"/>
  <c r="T151" i="18"/>
  <c r="T145" i="18"/>
  <c r="V143" i="18"/>
  <c r="V145" i="18" s="1"/>
  <c r="L238" i="18"/>
  <c r="V55" i="18"/>
  <c r="V17" i="18"/>
  <c r="V30" i="18" s="1"/>
  <c r="T30" i="18"/>
  <c r="T234" i="18"/>
  <c r="R238" i="18"/>
  <c r="V136" i="18"/>
  <c r="V138" i="18" s="1"/>
  <c r="T138" i="18"/>
  <c r="S238" i="18"/>
  <c r="T109" i="18"/>
  <c r="V63" i="18"/>
  <c r="V109" i="18" s="1"/>
  <c r="P60" i="18"/>
  <c r="V31" i="18"/>
  <c r="V42" i="18" s="1"/>
  <c r="T42" i="18"/>
  <c r="P234" i="18"/>
  <c r="J236" i="18"/>
  <c r="J238" i="18" s="1"/>
  <c r="V211" i="18"/>
  <c r="V213" i="18" s="1"/>
  <c r="V234" i="18" s="1"/>
  <c r="T213" i="18"/>
  <c r="N236" i="18"/>
  <c r="N238" i="18" s="1"/>
  <c r="S236" i="18"/>
  <c r="P206" i="18"/>
  <c r="P236" i="18" s="1"/>
  <c r="T179" i="18"/>
  <c r="V173" i="18"/>
  <c r="V179" i="18" s="1"/>
  <c r="V119" i="18"/>
  <c r="V110" i="18"/>
  <c r="V112" i="18" s="1"/>
  <c r="T112" i="18"/>
  <c r="T201" i="18"/>
  <c r="R3" i="17"/>
  <c r="J234" i="18"/>
  <c r="P155" i="18"/>
  <c r="P181" i="18" s="1"/>
  <c r="V153" i="18"/>
  <c r="V155" i="18" s="1"/>
  <c r="P115" i="18"/>
  <c r="P147" i="18" s="1"/>
  <c r="P238" i="18" s="1"/>
  <c r="A5" i="17"/>
  <c r="B5" i="17"/>
  <c r="V60" i="18" l="1"/>
  <c r="V181" i="18"/>
  <c r="V206" i="18" s="1"/>
  <c r="V236" i="18" s="1"/>
  <c r="V147" i="18"/>
  <c r="T60" i="18"/>
  <c r="T147" i="18" s="1"/>
  <c r="T238" i="18" s="1"/>
  <c r="T206" i="18"/>
  <c r="T236" i="18" s="1"/>
  <c r="A6" i="17"/>
  <c r="B6" i="17"/>
  <c r="A7" i="17"/>
  <c r="V238" i="18" l="1"/>
  <c r="D10" i="17"/>
  <c r="T13" i="17"/>
  <c r="S13" i="17" s="1"/>
  <c r="R13" i="17" s="1"/>
  <c r="P16" i="17"/>
  <c r="T16" i="17"/>
  <c r="V16" i="17" s="1"/>
  <c r="P17" i="17"/>
  <c r="T17" i="17"/>
  <c r="V17" i="17"/>
  <c r="P18" i="17"/>
  <c r="T18" i="17"/>
  <c r="V18" i="17"/>
  <c r="P19" i="17"/>
  <c r="T19" i="17" s="1"/>
  <c r="V19" i="17" s="1"/>
  <c r="P20" i="17"/>
  <c r="T20" i="17"/>
  <c r="V20" i="17" s="1"/>
  <c r="P21" i="17"/>
  <c r="T21" i="17"/>
  <c r="V21" i="17"/>
  <c r="P22" i="17"/>
  <c r="T22" i="17"/>
  <c r="V22" i="17"/>
  <c r="P23" i="17"/>
  <c r="T23" i="17" s="1"/>
  <c r="V23" i="17" s="1"/>
  <c r="P24" i="17"/>
  <c r="T24" i="17"/>
  <c r="V24" i="17" s="1"/>
  <c r="P25" i="17"/>
  <c r="T25" i="17"/>
  <c r="V25" i="17"/>
  <c r="P26" i="17"/>
  <c r="T26" i="17"/>
  <c r="V26" i="17"/>
  <c r="J28" i="17"/>
  <c r="P28" i="17" s="1"/>
  <c r="L28" i="17"/>
  <c r="N28" i="17"/>
  <c r="R28" i="17"/>
  <c r="S28" i="17"/>
  <c r="P29" i="17"/>
  <c r="T29" i="17" s="1"/>
  <c r="P30" i="17"/>
  <c r="T30" i="17"/>
  <c r="V30" i="17" s="1"/>
  <c r="P31" i="17"/>
  <c r="T31" i="17"/>
  <c r="V31" i="17"/>
  <c r="P32" i="17"/>
  <c r="T32" i="17"/>
  <c r="V32" i="17"/>
  <c r="P33" i="17"/>
  <c r="T33" i="17" s="1"/>
  <c r="V33" i="17" s="1"/>
  <c r="P34" i="17"/>
  <c r="T34" i="17"/>
  <c r="V34" i="17" s="1"/>
  <c r="P35" i="17"/>
  <c r="T35" i="17"/>
  <c r="V35" i="17" s="1"/>
  <c r="P36" i="17"/>
  <c r="T36" i="17"/>
  <c r="V36" i="17"/>
  <c r="P37" i="17"/>
  <c r="T37" i="17" s="1"/>
  <c r="V37" i="17" s="1"/>
  <c r="P38" i="17"/>
  <c r="T38" i="17" s="1"/>
  <c r="V38" i="17" s="1"/>
  <c r="J40" i="17"/>
  <c r="P40" i="17" s="1"/>
  <c r="L40" i="17"/>
  <c r="L58" i="17" s="1"/>
  <c r="L146" i="17" s="1"/>
  <c r="L243" i="17" s="1"/>
  <c r="N40" i="17"/>
  <c r="R40" i="17"/>
  <c r="S40" i="17"/>
  <c r="S58" i="17" s="1"/>
  <c r="S146" i="17" s="1"/>
  <c r="S243" i="17" s="1"/>
  <c r="P41" i="17"/>
  <c r="T41" i="17"/>
  <c r="V41" i="17" s="1"/>
  <c r="P42" i="17"/>
  <c r="T42" i="17"/>
  <c r="V42" i="17"/>
  <c r="P43" i="17"/>
  <c r="T43" i="17" s="1"/>
  <c r="P44" i="17"/>
  <c r="T44" i="17" s="1"/>
  <c r="V44" i="17" s="1"/>
  <c r="P45" i="17"/>
  <c r="T45" i="17"/>
  <c r="V45" i="17" s="1"/>
  <c r="J47" i="17"/>
  <c r="L47" i="17"/>
  <c r="N47" i="17"/>
  <c r="P47" i="17" s="1"/>
  <c r="R47" i="17"/>
  <c r="S47" i="17"/>
  <c r="P48" i="17"/>
  <c r="T48" i="17"/>
  <c r="V48" i="17"/>
  <c r="P49" i="17"/>
  <c r="T49" i="17" s="1"/>
  <c r="P50" i="17"/>
  <c r="T50" i="17" s="1"/>
  <c r="V50" i="17" s="1"/>
  <c r="P51" i="17"/>
  <c r="T51" i="17"/>
  <c r="V51" i="17" s="1"/>
  <c r="J53" i="17"/>
  <c r="L53" i="17"/>
  <c r="N53" i="17"/>
  <c r="N58" i="17" s="1"/>
  <c r="R53" i="17"/>
  <c r="S53" i="17"/>
  <c r="P54" i="17"/>
  <c r="T54" i="17"/>
  <c r="V54" i="17"/>
  <c r="J56" i="17"/>
  <c r="L56" i="17"/>
  <c r="N56" i="17"/>
  <c r="P56" i="17"/>
  <c r="R56" i="17"/>
  <c r="S56" i="17"/>
  <c r="T56" i="17"/>
  <c r="V56" i="17"/>
  <c r="J58" i="17"/>
  <c r="R58" i="17"/>
  <c r="P61" i="17"/>
  <c r="T61" i="17" s="1"/>
  <c r="P62" i="17"/>
  <c r="T62" i="17" s="1"/>
  <c r="V62" i="17" s="1"/>
  <c r="P63" i="17"/>
  <c r="T63" i="17"/>
  <c r="V63" i="17" s="1"/>
  <c r="P64" i="17"/>
  <c r="T64" i="17"/>
  <c r="V64" i="17"/>
  <c r="P65" i="17"/>
  <c r="T65" i="17" s="1"/>
  <c r="V65" i="17" s="1"/>
  <c r="P66" i="17"/>
  <c r="T66" i="17" s="1"/>
  <c r="V66" i="17" s="1"/>
  <c r="P67" i="17"/>
  <c r="T67" i="17"/>
  <c r="V67" i="17" s="1"/>
  <c r="P68" i="17"/>
  <c r="T68" i="17"/>
  <c r="V68" i="17"/>
  <c r="P69" i="17"/>
  <c r="T69" i="17" s="1"/>
  <c r="V69" i="17" s="1"/>
  <c r="P70" i="17"/>
  <c r="T70" i="17" s="1"/>
  <c r="V70" i="17" s="1"/>
  <c r="P71" i="17"/>
  <c r="T71" i="17"/>
  <c r="V71" i="17" s="1"/>
  <c r="P72" i="17"/>
  <c r="T72" i="17"/>
  <c r="V72" i="17"/>
  <c r="P73" i="17"/>
  <c r="T73" i="17" s="1"/>
  <c r="V73" i="17" s="1"/>
  <c r="P74" i="17"/>
  <c r="T74" i="17" s="1"/>
  <c r="V74" i="17" s="1"/>
  <c r="P75" i="17"/>
  <c r="T75" i="17"/>
  <c r="V75" i="17" s="1"/>
  <c r="P76" i="17"/>
  <c r="T76" i="17"/>
  <c r="V76" i="17"/>
  <c r="P77" i="17"/>
  <c r="T77" i="17" s="1"/>
  <c r="V77" i="17" s="1"/>
  <c r="P78" i="17"/>
  <c r="T78" i="17" s="1"/>
  <c r="V78" i="17" s="1"/>
  <c r="P79" i="17"/>
  <c r="T79" i="17"/>
  <c r="V79" i="17" s="1"/>
  <c r="P80" i="17"/>
  <c r="T80" i="17"/>
  <c r="V80" i="17"/>
  <c r="P81" i="17"/>
  <c r="T81" i="17" s="1"/>
  <c r="V81" i="17" s="1"/>
  <c r="P82" i="17"/>
  <c r="T82" i="17" s="1"/>
  <c r="V82" i="17" s="1"/>
  <c r="P83" i="17"/>
  <c r="T83" i="17"/>
  <c r="V83" i="17" s="1"/>
  <c r="P84" i="17"/>
  <c r="T84" i="17"/>
  <c r="V84" i="17"/>
  <c r="P85" i="17"/>
  <c r="T85" i="17" s="1"/>
  <c r="V85" i="17" s="1"/>
  <c r="P86" i="17"/>
  <c r="T86" i="17" s="1"/>
  <c r="V86" i="17" s="1"/>
  <c r="P87" i="17"/>
  <c r="T87" i="17"/>
  <c r="V87" i="17" s="1"/>
  <c r="P88" i="17"/>
  <c r="T88" i="17"/>
  <c r="V88" i="17"/>
  <c r="P89" i="17"/>
  <c r="T89" i="17" s="1"/>
  <c r="V89" i="17" s="1"/>
  <c r="P90" i="17"/>
  <c r="T90" i="17" s="1"/>
  <c r="V90" i="17" s="1"/>
  <c r="P91" i="17"/>
  <c r="T91" i="17"/>
  <c r="V91" i="17" s="1"/>
  <c r="P92" i="17"/>
  <c r="T92" i="17"/>
  <c r="V92" i="17"/>
  <c r="P93" i="17"/>
  <c r="T93" i="17" s="1"/>
  <c r="V93" i="17" s="1"/>
  <c r="P94" i="17"/>
  <c r="T94" i="17" s="1"/>
  <c r="V94" i="17" s="1"/>
  <c r="P95" i="17"/>
  <c r="T95" i="17"/>
  <c r="V95" i="17" s="1"/>
  <c r="P96" i="17"/>
  <c r="T96" i="17"/>
  <c r="V96" i="17"/>
  <c r="P97" i="17"/>
  <c r="T97" i="17" s="1"/>
  <c r="V97" i="17" s="1"/>
  <c r="P98" i="17"/>
  <c r="T98" i="17" s="1"/>
  <c r="V98" i="17" s="1"/>
  <c r="P99" i="17"/>
  <c r="T99" i="17"/>
  <c r="V99" i="17" s="1"/>
  <c r="P100" i="17"/>
  <c r="T100" i="17"/>
  <c r="V100" i="17"/>
  <c r="P101" i="17"/>
  <c r="T101" i="17" s="1"/>
  <c r="V101" i="17" s="1"/>
  <c r="P102" i="17"/>
  <c r="T102" i="17" s="1"/>
  <c r="V102" i="17" s="1"/>
  <c r="P103" i="17"/>
  <c r="T103" i="17"/>
  <c r="V103" i="17" s="1"/>
  <c r="P104" i="17"/>
  <c r="T104" i="17"/>
  <c r="V104" i="17"/>
  <c r="P105" i="17"/>
  <c r="T105" i="17" s="1"/>
  <c r="V105" i="17" s="1"/>
  <c r="J107" i="17"/>
  <c r="P107" i="17" s="1"/>
  <c r="L107" i="17"/>
  <c r="N107" i="17"/>
  <c r="R107" i="17"/>
  <c r="S107" i="17"/>
  <c r="P108" i="17"/>
  <c r="T108" i="17" s="1"/>
  <c r="J110" i="17"/>
  <c r="P110" i="17" s="1"/>
  <c r="L110" i="17"/>
  <c r="N110" i="17"/>
  <c r="R110" i="17"/>
  <c r="S110" i="17"/>
  <c r="P111" i="17"/>
  <c r="T111" i="17"/>
  <c r="T114" i="17" s="1"/>
  <c r="P112" i="17"/>
  <c r="T112" i="17"/>
  <c r="V112" i="17"/>
  <c r="J114" i="17"/>
  <c r="L114" i="17"/>
  <c r="N114" i="17"/>
  <c r="P114" i="17"/>
  <c r="R114" i="17"/>
  <c r="S114" i="17"/>
  <c r="P115" i="17"/>
  <c r="T115" i="17" s="1"/>
  <c r="P116" i="17"/>
  <c r="T116" i="17" s="1"/>
  <c r="V116" i="17" s="1"/>
  <c r="J118" i="17"/>
  <c r="P118" i="17" s="1"/>
  <c r="L118" i="17"/>
  <c r="N118" i="17"/>
  <c r="R118" i="17"/>
  <c r="S118" i="17"/>
  <c r="P119" i="17"/>
  <c r="T119" i="17"/>
  <c r="V119" i="17" s="1"/>
  <c r="P120" i="17"/>
  <c r="T120" i="17"/>
  <c r="V120" i="17"/>
  <c r="P121" i="17"/>
  <c r="T121" i="17" s="1"/>
  <c r="P122" i="17"/>
  <c r="T122" i="17" s="1"/>
  <c r="V122" i="17" s="1"/>
  <c r="P123" i="17"/>
  <c r="T123" i="17"/>
  <c r="V123" i="17" s="1"/>
  <c r="J125" i="17"/>
  <c r="L125" i="17"/>
  <c r="P125" i="17" s="1"/>
  <c r="N125" i="17"/>
  <c r="N146" i="17" s="1"/>
  <c r="R125" i="17"/>
  <c r="S125" i="17"/>
  <c r="P126" i="17"/>
  <c r="T126" i="17"/>
  <c r="V126" i="17"/>
  <c r="J128" i="17"/>
  <c r="L128" i="17"/>
  <c r="N128" i="17"/>
  <c r="P128" i="17"/>
  <c r="R128" i="17"/>
  <c r="S128" i="17"/>
  <c r="T128" i="17"/>
  <c r="V128" i="17"/>
  <c r="P129" i="17"/>
  <c r="T129" i="17" s="1"/>
  <c r="J131" i="17"/>
  <c r="P131" i="17" s="1"/>
  <c r="L131" i="17"/>
  <c r="N131" i="17"/>
  <c r="R131" i="17"/>
  <c r="S131" i="17"/>
  <c r="P132" i="17"/>
  <c r="T132" i="17" s="1"/>
  <c r="J134" i="17"/>
  <c r="P134" i="17" s="1"/>
  <c r="L134" i="17"/>
  <c r="N134" i="17"/>
  <c r="R134" i="17"/>
  <c r="S134" i="17"/>
  <c r="P135" i="17"/>
  <c r="T135" i="17"/>
  <c r="V135" i="17" s="1"/>
  <c r="V137" i="17" s="1"/>
  <c r="J137" i="17"/>
  <c r="L137" i="17"/>
  <c r="P137" i="17" s="1"/>
  <c r="N137" i="17"/>
  <c r="R137" i="17"/>
  <c r="S137" i="17"/>
  <c r="T137" i="17"/>
  <c r="P138" i="17"/>
  <c r="T138" i="17"/>
  <c r="V138" i="17"/>
  <c r="J140" i="17"/>
  <c r="L140" i="17"/>
  <c r="N140" i="17"/>
  <c r="P140" i="17"/>
  <c r="R140" i="17"/>
  <c r="S140" i="17"/>
  <c r="T140" i="17"/>
  <c r="V140" i="17"/>
  <c r="P141" i="17"/>
  <c r="T141" i="17" s="1"/>
  <c r="P142" i="17"/>
  <c r="T142" i="17" s="1"/>
  <c r="V142" i="17" s="1"/>
  <c r="J144" i="17"/>
  <c r="P144" i="17" s="1"/>
  <c r="L144" i="17"/>
  <c r="N144" i="17"/>
  <c r="R144" i="17"/>
  <c r="S144" i="17"/>
  <c r="J146" i="17"/>
  <c r="R146" i="17"/>
  <c r="P148" i="17"/>
  <c r="T148" i="17"/>
  <c r="V148" i="17" s="1"/>
  <c r="V150" i="17" s="1"/>
  <c r="J150" i="17"/>
  <c r="L150" i="17"/>
  <c r="P150" i="17" s="1"/>
  <c r="N150" i="17"/>
  <c r="R150" i="17"/>
  <c r="S150" i="17"/>
  <c r="T150" i="17"/>
  <c r="P152" i="17"/>
  <c r="T152" i="17"/>
  <c r="V152" i="17"/>
  <c r="J154" i="17"/>
  <c r="L154" i="17"/>
  <c r="N154" i="17"/>
  <c r="N184" i="17" s="1"/>
  <c r="N211" i="17" s="1"/>
  <c r="N241" i="17" s="1"/>
  <c r="P154" i="17"/>
  <c r="P184" i="17" s="1"/>
  <c r="R154" i="17"/>
  <c r="S154" i="17"/>
  <c r="T154" i="17"/>
  <c r="V154" i="17"/>
  <c r="P155" i="17"/>
  <c r="T155" i="17" s="1"/>
  <c r="P156" i="17"/>
  <c r="T156" i="17" s="1"/>
  <c r="V156" i="17" s="1"/>
  <c r="P157" i="17"/>
  <c r="T157" i="17"/>
  <c r="V157" i="17" s="1"/>
  <c r="P158" i="17"/>
  <c r="T158" i="17"/>
  <c r="V158" i="17"/>
  <c r="P159" i="17"/>
  <c r="T159" i="17" s="1"/>
  <c r="V159" i="17" s="1"/>
  <c r="P160" i="17"/>
  <c r="T160" i="17" s="1"/>
  <c r="V160" i="17" s="1"/>
  <c r="P161" i="17"/>
  <c r="T161" i="17"/>
  <c r="V161" i="17" s="1"/>
  <c r="P162" i="17"/>
  <c r="T162" i="17"/>
  <c r="V162" i="17"/>
  <c r="P163" i="17"/>
  <c r="T163" i="17" s="1"/>
  <c r="V163" i="17" s="1"/>
  <c r="P164" i="17"/>
  <c r="T164" i="17" s="1"/>
  <c r="V164" i="17" s="1"/>
  <c r="J166" i="17"/>
  <c r="P166" i="17" s="1"/>
  <c r="L166" i="17"/>
  <c r="N166" i="17"/>
  <c r="R166" i="17"/>
  <c r="S166" i="17"/>
  <c r="P167" i="17"/>
  <c r="T167" i="17"/>
  <c r="V167" i="17" s="1"/>
  <c r="V169" i="17" s="1"/>
  <c r="J169" i="17"/>
  <c r="L169" i="17"/>
  <c r="P169" i="17" s="1"/>
  <c r="N169" i="17"/>
  <c r="R169" i="17"/>
  <c r="S169" i="17"/>
  <c r="T169" i="17"/>
  <c r="P170" i="17"/>
  <c r="T170" i="17"/>
  <c r="T182" i="17" s="1"/>
  <c r="V170" i="17"/>
  <c r="P171" i="17"/>
  <c r="T171" i="17" s="1"/>
  <c r="V171" i="17" s="1"/>
  <c r="P172" i="17"/>
  <c r="T172" i="17" s="1"/>
  <c r="V172" i="17" s="1"/>
  <c r="P173" i="17"/>
  <c r="T173" i="17"/>
  <c r="V173" i="17" s="1"/>
  <c r="P174" i="17"/>
  <c r="T174" i="17"/>
  <c r="V174" i="17"/>
  <c r="P175" i="17"/>
  <c r="T175" i="17" s="1"/>
  <c r="V175" i="17" s="1"/>
  <c r="P176" i="17"/>
  <c r="T176" i="17" s="1"/>
  <c r="V176" i="17" s="1"/>
  <c r="P177" i="17"/>
  <c r="T177" i="17"/>
  <c r="V177" i="17" s="1"/>
  <c r="P178" i="17"/>
  <c r="T178" i="17"/>
  <c r="V178" i="17"/>
  <c r="P179" i="17"/>
  <c r="T179" i="17" s="1"/>
  <c r="V179" i="17" s="1"/>
  <c r="P180" i="17"/>
  <c r="T180" i="17" s="1"/>
  <c r="V180" i="17" s="1"/>
  <c r="J182" i="17"/>
  <c r="P182" i="17" s="1"/>
  <c r="L182" i="17"/>
  <c r="N182" i="17"/>
  <c r="R182" i="17"/>
  <c r="S182" i="17"/>
  <c r="J184" i="17"/>
  <c r="L184" i="17"/>
  <c r="R184" i="17"/>
  <c r="S184" i="17"/>
  <c r="P187" i="17"/>
  <c r="T187" i="17"/>
  <c r="V187" i="17" s="1"/>
  <c r="V189" i="17" s="1"/>
  <c r="J189" i="17"/>
  <c r="L189" i="17"/>
  <c r="P189" i="17" s="1"/>
  <c r="N189" i="17"/>
  <c r="R189" i="17"/>
  <c r="S189" i="17"/>
  <c r="T189" i="17"/>
  <c r="P190" i="17"/>
  <c r="T190" i="17"/>
  <c r="V190" i="17" s="1"/>
  <c r="V192" i="17" s="1"/>
  <c r="J192" i="17"/>
  <c r="L192" i="17"/>
  <c r="N192" i="17"/>
  <c r="P192" i="17" s="1"/>
  <c r="R192" i="17"/>
  <c r="S192" i="17"/>
  <c r="T192" i="17"/>
  <c r="P193" i="17"/>
  <c r="T193" i="17"/>
  <c r="V193" i="17"/>
  <c r="P194" i="17"/>
  <c r="T194" i="17" s="1"/>
  <c r="P195" i="17"/>
  <c r="T195" i="17" s="1"/>
  <c r="V195" i="17" s="1"/>
  <c r="J197" i="17"/>
  <c r="L197" i="17"/>
  <c r="P197" i="17" s="1"/>
  <c r="N197" i="17"/>
  <c r="R197" i="17"/>
  <c r="S197" i="17"/>
  <c r="P198" i="17"/>
  <c r="T198" i="17"/>
  <c r="V198" i="17" s="1"/>
  <c r="V200" i="17" s="1"/>
  <c r="J200" i="17"/>
  <c r="L200" i="17"/>
  <c r="N200" i="17"/>
  <c r="P200" i="17" s="1"/>
  <c r="R200" i="17"/>
  <c r="S200" i="17"/>
  <c r="T200" i="17"/>
  <c r="P201" i="17"/>
  <c r="T201" i="17"/>
  <c r="V201" i="17"/>
  <c r="J203" i="17"/>
  <c r="L203" i="17"/>
  <c r="N203" i="17"/>
  <c r="P203" i="17"/>
  <c r="R203" i="17"/>
  <c r="S203" i="17"/>
  <c r="T203" i="17"/>
  <c r="V203" i="17"/>
  <c r="P204" i="17"/>
  <c r="T204" i="17" s="1"/>
  <c r="J206" i="17"/>
  <c r="P206" i="17" s="1"/>
  <c r="L206" i="17"/>
  <c r="N206" i="17"/>
  <c r="R206" i="17"/>
  <c r="R211" i="17" s="1"/>
  <c r="R241" i="17" s="1"/>
  <c r="R243" i="17" s="1"/>
  <c r="S206" i="17"/>
  <c r="P207" i="17"/>
  <c r="T207" i="17" s="1"/>
  <c r="J209" i="17"/>
  <c r="L209" i="17"/>
  <c r="P209" i="17" s="1"/>
  <c r="N209" i="17"/>
  <c r="R209" i="17"/>
  <c r="S209" i="17"/>
  <c r="L211" i="17"/>
  <c r="S211" i="17"/>
  <c r="P213" i="17"/>
  <c r="T213" i="17"/>
  <c r="V213" i="17" s="1"/>
  <c r="V215" i="17" s="1"/>
  <c r="J215" i="17"/>
  <c r="L215" i="17"/>
  <c r="N215" i="17"/>
  <c r="P215" i="17" s="1"/>
  <c r="R215" i="17"/>
  <c r="S215" i="17"/>
  <c r="T215" i="17"/>
  <c r="P216" i="17"/>
  <c r="T216" i="17" s="1"/>
  <c r="J218" i="17"/>
  <c r="L218" i="17"/>
  <c r="N218" i="17"/>
  <c r="P218" i="17"/>
  <c r="R218" i="17"/>
  <c r="S218" i="17"/>
  <c r="P219" i="17"/>
  <c r="T219" i="17" s="1"/>
  <c r="J221" i="17"/>
  <c r="P221" i="17" s="1"/>
  <c r="L221" i="17"/>
  <c r="N221" i="17"/>
  <c r="R221" i="17"/>
  <c r="R239" i="17" s="1"/>
  <c r="S221" i="17"/>
  <c r="P222" i="17"/>
  <c r="T222" i="17" s="1"/>
  <c r="J224" i="17"/>
  <c r="P224" i="17" s="1"/>
  <c r="L224" i="17"/>
  <c r="N224" i="17"/>
  <c r="R224" i="17"/>
  <c r="S224" i="17"/>
  <c r="P225" i="17"/>
  <c r="T225" i="17"/>
  <c r="V225" i="17" s="1"/>
  <c r="V227" i="17" s="1"/>
  <c r="J227" i="17"/>
  <c r="L227" i="17"/>
  <c r="N227" i="17"/>
  <c r="P227" i="17" s="1"/>
  <c r="R227" i="17"/>
  <c r="S227" i="17"/>
  <c r="T227" i="17"/>
  <c r="P228" i="17"/>
  <c r="T228" i="17"/>
  <c r="V228" i="17"/>
  <c r="J230" i="17"/>
  <c r="L230" i="17"/>
  <c r="N230" i="17"/>
  <c r="P230" i="17"/>
  <c r="R230" i="17"/>
  <c r="S230" i="17"/>
  <c r="T230" i="17"/>
  <c r="V230" i="17"/>
  <c r="P231" i="17"/>
  <c r="T231" i="17" s="1"/>
  <c r="J233" i="17"/>
  <c r="P233" i="17" s="1"/>
  <c r="L233" i="17"/>
  <c r="N233" i="17"/>
  <c r="R233" i="17"/>
  <c r="S233" i="17"/>
  <c r="P235" i="17"/>
  <c r="T235" i="17" s="1"/>
  <c r="J237" i="17"/>
  <c r="P237" i="17" s="1"/>
  <c r="L237" i="17"/>
  <c r="N237" i="17"/>
  <c r="R237" i="17"/>
  <c r="S237" i="17"/>
  <c r="L239" i="17"/>
  <c r="N239" i="17"/>
  <c r="S239" i="17"/>
  <c r="L241" i="17"/>
  <c r="S241" i="17"/>
  <c r="J247" i="17"/>
  <c r="L247" i="17"/>
  <c r="N247" i="17"/>
  <c r="P247" i="17"/>
  <c r="R247" i="17"/>
  <c r="S247" i="17"/>
  <c r="T247" i="17"/>
  <c r="V247" i="17"/>
  <c r="D6" i="16"/>
  <c r="E11" i="16"/>
  <c r="E12" i="16"/>
  <c r="E13" i="16"/>
  <c r="E14" i="16"/>
  <c r="E15" i="16"/>
  <c r="E16" i="16"/>
  <c r="E17" i="16"/>
  <c r="E18" i="16"/>
  <c r="E19" i="16"/>
  <c r="E20" i="16"/>
  <c r="E21" i="16"/>
  <c r="E22" i="16"/>
  <c r="E23" i="16"/>
  <c r="E24" i="16"/>
  <c r="D25" i="16"/>
  <c r="E25" i="16"/>
  <c r="D26" i="16"/>
  <c r="E26" i="16" s="1"/>
  <c r="D27" i="16"/>
  <c r="E27" i="16"/>
  <c r="E28" i="16"/>
  <c r="E30" i="16"/>
  <c r="E31" i="16"/>
  <c r="E32" i="16"/>
  <c r="E33" i="16"/>
  <c r="E34" i="16"/>
  <c r="D35" i="16"/>
  <c r="E35" i="16" s="1"/>
  <c r="D36" i="16"/>
  <c r="E36" i="16"/>
  <c r="E37" i="16"/>
  <c r="D38" i="16"/>
  <c r="E38" i="16" s="1"/>
  <c r="E39" i="16"/>
  <c r="E40" i="16"/>
  <c r="D41" i="16"/>
  <c r="E41" i="16" s="1"/>
  <c r="E42" i="16"/>
  <c r="E43" i="16"/>
  <c r="D44" i="16"/>
  <c r="E44" i="16" s="1"/>
  <c r="E45" i="16"/>
  <c r="E46" i="16"/>
  <c r="E47" i="16"/>
  <c r="E48" i="16"/>
  <c r="E49" i="16"/>
  <c r="E50" i="16"/>
  <c r="D51" i="16"/>
  <c r="E51" i="16" s="1"/>
  <c r="D52" i="16"/>
  <c r="E52" i="16"/>
  <c r="D53" i="16"/>
  <c r="E53" i="16" s="1"/>
  <c r="E54" i="16"/>
  <c r="D55" i="16"/>
  <c r="E55" i="16" s="1"/>
  <c r="D56" i="16"/>
  <c r="E56" i="16"/>
  <c r="E57" i="16"/>
  <c r="E58" i="16"/>
  <c r="E59" i="16"/>
  <c r="E60" i="16"/>
  <c r="E61" i="16"/>
  <c r="E62" i="16"/>
  <c r="E63" i="16"/>
  <c r="E64" i="16"/>
  <c r="E65" i="16"/>
  <c r="E66" i="16"/>
  <c r="D67" i="16"/>
  <c r="E67" i="16"/>
  <c r="E68" i="16"/>
  <c r="E69" i="16"/>
  <c r="D70" i="16"/>
  <c r="E70" i="16"/>
  <c r="E71" i="16"/>
  <c r="E72" i="16"/>
  <c r="E73" i="16"/>
  <c r="D74" i="16"/>
  <c r="E74" i="16"/>
  <c r="E75" i="16"/>
  <c r="E76" i="16"/>
  <c r="E77" i="16"/>
  <c r="E78" i="16"/>
  <c r="D79" i="16"/>
  <c r="E79" i="16" s="1"/>
  <c r="E80" i="16"/>
  <c r="E81" i="16"/>
  <c r="E82" i="16"/>
  <c r="E83" i="16"/>
  <c r="D84" i="16"/>
  <c r="E84" i="16"/>
  <c r="E86" i="16"/>
  <c r="C87" i="16"/>
  <c r="A8" i="17"/>
  <c r="V219" i="17" l="1"/>
  <c r="V221" i="17" s="1"/>
  <c r="T221" i="17"/>
  <c r="V197" i="17"/>
  <c r="V211" i="17" s="1"/>
  <c r="V241" i="17" s="1"/>
  <c r="V182" i="17"/>
  <c r="V132" i="17"/>
  <c r="V134" i="17" s="1"/>
  <c r="T134" i="17"/>
  <c r="N243" i="17"/>
  <c r="V49" i="17"/>
  <c r="V53" i="17" s="1"/>
  <c r="T53" i="17"/>
  <c r="V43" i="17"/>
  <c r="T47" i="17"/>
  <c r="V47" i="17"/>
  <c r="V29" i="17"/>
  <c r="V40" i="17" s="1"/>
  <c r="T40" i="17"/>
  <c r="V115" i="17"/>
  <c r="V118" i="17" s="1"/>
  <c r="T118" i="17"/>
  <c r="V231" i="17"/>
  <c r="V233" i="17" s="1"/>
  <c r="T233" i="17"/>
  <c r="V204" i="17"/>
  <c r="V206" i="17" s="1"/>
  <c r="T206" i="17"/>
  <c r="T184" i="17"/>
  <c r="T224" i="17"/>
  <c r="V222" i="17"/>
  <c r="V224" i="17" s="1"/>
  <c r="V239" i="17"/>
  <c r="T131" i="17"/>
  <c r="V129" i="17"/>
  <c r="V131" i="17" s="1"/>
  <c r="V121" i="17"/>
  <c r="V125" i="17" s="1"/>
  <c r="T125" i="17"/>
  <c r="T107" i="17"/>
  <c r="V61" i="17"/>
  <c r="V107" i="17" s="1"/>
  <c r="T237" i="17"/>
  <c r="V235" i="17"/>
  <c r="V237" i="17" s="1"/>
  <c r="T218" i="17"/>
  <c r="V216" i="17"/>
  <c r="V218" i="17" s="1"/>
  <c r="P239" i="17"/>
  <c r="T209" i="17"/>
  <c r="V207" i="17"/>
  <c r="V209" i="17" s="1"/>
  <c r="V194" i="17"/>
  <c r="T197" i="17"/>
  <c r="P211" i="17"/>
  <c r="P241" i="17" s="1"/>
  <c r="V155" i="17"/>
  <c r="V166" i="17" s="1"/>
  <c r="V184" i="17" s="1"/>
  <c r="T166" i="17"/>
  <c r="V141" i="17"/>
  <c r="V144" i="17" s="1"/>
  <c r="T144" i="17"/>
  <c r="V108" i="17"/>
  <c r="V110" i="17" s="1"/>
  <c r="T110" i="17"/>
  <c r="V28" i="17"/>
  <c r="V111" i="17"/>
  <c r="V114" i="17" s="1"/>
  <c r="P53" i="17"/>
  <c r="P58" i="17" s="1"/>
  <c r="P146" i="17" s="1"/>
  <c r="P243" i="17" s="1"/>
  <c r="D29" i="16"/>
  <c r="T28" i="17"/>
  <c r="J239" i="17"/>
  <c r="J211" i="17"/>
  <c r="J241" i="17" s="1"/>
  <c r="J243" i="17" s="1"/>
  <c r="T239" i="17" l="1"/>
  <c r="T58" i="17"/>
  <c r="T146" i="17" s="1"/>
  <c r="V58" i="17"/>
  <c r="V146" i="17" s="1"/>
  <c r="V243" i="17" s="1"/>
  <c r="T211" i="17"/>
  <c r="D85" i="16"/>
  <c r="E29" i="16"/>
  <c r="E85" i="16" s="1"/>
  <c r="E87" i="16" s="1"/>
  <c r="T241" i="17" l="1"/>
  <c r="T243" i="17" s="1"/>
  <c r="B61" i="13"/>
  <c r="C61" i="13"/>
  <c r="E148" i="12"/>
  <c r="E149" i="12"/>
  <c r="E119" i="12"/>
  <c r="E120" i="12"/>
  <c r="E123" i="12" s="1"/>
  <c r="E121" i="12"/>
  <c r="E100" i="12"/>
  <c r="E101" i="12"/>
  <c r="E102" i="12"/>
  <c r="E103" i="12"/>
  <c r="E104" i="12"/>
  <c r="E105" i="12"/>
  <c r="E106" i="12"/>
  <c r="E107" i="12"/>
  <c r="E108" i="12"/>
  <c r="E109" i="12"/>
  <c r="E110" i="12"/>
  <c r="E111" i="12"/>
  <c r="E112" i="12"/>
  <c r="E113" i="12"/>
  <c r="E114" i="12"/>
  <c r="E90" i="12"/>
  <c r="E91" i="12"/>
  <c r="E92" i="12"/>
  <c r="E93" i="12"/>
  <c r="E94" i="12"/>
  <c r="E95"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46" i="12"/>
  <c r="E47" i="12"/>
  <c r="E48" i="12"/>
  <c r="E49" i="12"/>
  <c r="E50" i="12"/>
  <c r="E51" i="12"/>
  <c r="E52" i="12"/>
  <c r="E53" i="12"/>
  <c r="E54" i="12"/>
  <c r="E55"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196" i="12"/>
  <c r="E197" i="12"/>
  <c r="E199" i="12"/>
  <c r="E201" i="12"/>
  <c r="E208" i="12"/>
  <c r="E210" i="12"/>
  <c r="E211" i="12"/>
  <c r="D17" i="12"/>
  <c r="F17" i="12"/>
  <c r="G17" i="12"/>
  <c r="H17" i="12"/>
  <c r="J17" i="12"/>
  <c r="K17" i="12"/>
  <c r="M17" i="12"/>
  <c r="V17" i="12"/>
  <c r="T17" i="12" s="1"/>
  <c r="D18" i="12"/>
  <c r="F18" i="12"/>
  <c r="G18" i="12"/>
  <c r="H18" i="12"/>
  <c r="J18" i="12"/>
  <c r="K18" i="12"/>
  <c r="M18" i="12"/>
  <c r="V18" i="12"/>
  <c r="T18" i="12" s="1"/>
  <c r="D19" i="12"/>
  <c r="F19" i="12"/>
  <c r="G19" i="12"/>
  <c r="H19" i="12"/>
  <c r="J19" i="12"/>
  <c r="K19" i="12"/>
  <c r="M19" i="12"/>
  <c r="V19" i="12"/>
  <c r="O19" i="12" s="1"/>
  <c r="P19" i="12" s="1"/>
  <c r="D20" i="12"/>
  <c r="F20" i="12"/>
  <c r="G20" i="12"/>
  <c r="H20" i="12"/>
  <c r="J20" i="12"/>
  <c r="K20" i="12"/>
  <c r="M20" i="12"/>
  <c r="V20" i="12"/>
  <c r="O20" i="12" s="1"/>
  <c r="D21" i="12"/>
  <c r="F21" i="12"/>
  <c r="G21" i="12"/>
  <c r="H21" i="12"/>
  <c r="J21" i="12"/>
  <c r="K21" i="12"/>
  <c r="M21" i="12"/>
  <c r="V21" i="12"/>
  <c r="T21" i="12" s="1"/>
  <c r="D22" i="12"/>
  <c r="F22" i="12"/>
  <c r="G22" i="12"/>
  <c r="H22" i="12"/>
  <c r="J22" i="12"/>
  <c r="K22" i="12"/>
  <c r="M22" i="12"/>
  <c r="V22" i="12"/>
  <c r="T22" i="12" s="1"/>
  <c r="D23" i="12"/>
  <c r="F23" i="12"/>
  <c r="G23" i="12"/>
  <c r="H23" i="12"/>
  <c r="J23" i="12"/>
  <c r="K23" i="12"/>
  <c r="M23" i="12"/>
  <c r="V23" i="12"/>
  <c r="O23" i="12" s="1"/>
  <c r="P23" i="12" s="1"/>
  <c r="D24" i="12"/>
  <c r="F24" i="12"/>
  <c r="I24" i="12" s="1"/>
  <c r="G24" i="12"/>
  <c r="H24" i="12"/>
  <c r="J24" i="12"/>
  <c r="K24" i="12"/>
  <c r="M24" i="12"/>
  <c r="V24" i="12"/>
  <c r="O24" i="12" s="1"/>
  <c r="D25" i="12"/>
  <c r="F25" i="12"/>
  <c r="I25" i="12" s="1"/>
  <c r="G25" i="12"/>
  <c r="H25" i="12"/>
  <c r="J25" i="12"/>
  <c r="K25" i="12"/>
  <c r="L25" i="12" s="1"/>
  <c r="M25" i="12"/>
  <c r="V25" i="12"/>
  <c r="T25" i="12" s="1"/>
  <c r="D26" i="12"/>
  <c r="F26" i="12"/>
  <c r="I26" i="12" s="1"/>
  <c r="G26" i="12"/>
  <c r="H26" i="12"/>
  <c r="J26" i="12"/>
  <c r="K26" i="12"/>
  <c r="L26" i="12" s="1"/>
  <c r="M26" i="12"/>
  <c r="V26" i="12"/>
  <c r="T26" i="12" s="1"/>
  <c r="D27" i="12"/>
  <c r="F27" i="12"/>
  <c r="G27" i="12"/>
  <c r="H27" i="12"/>
  <c r="J27" i="12"/>
  <c r="K27" i="12"/>
  <c r="M27" i="12"/>
  <c r="V27" i="12"/>
  <c r="T27" i="12" s="1"/>
  <c r="D28" i="12"/>
  <c r="F28" i="12"/>
  <c r="I28" i="12" s="1"/>
  <c r="G28" i="12"/>
  <c r="H28" i="12"/>
  <c r="J28" i="12"/>
  <c r="K28" i="12"/>
  <c r="M28" i="12"/>
  <c r="V28" i="12"/>
  <c r="O28" i="12" s="1"/>
  <c r="D29" i="12"/>
  <c r="F29" i="12"/>
  <c r="G29" i="12"/>
  <c r="H29" i="12"/>
  <c r="J29" i="12"/>
  <c r="K29" i="12"/>
  <c r="M29" i="12"/>
  <c r="V29" i="12"/>
  <c r="T29" i="12" s="1"/>
  <c r="D30" i="12"/>
  <c r="F30" i="12"/>
  <c r="G30" i="12"/>
  <c r="H30" i="12"/>
  <c r="J30" i="12"/>
  <c r="K30" i="12"/>
  <c r="M30" i="12"/>
  <c r="V30" i="12"/>
  <c r="T30" i="12" s="1"/>
  <c r="D31" i="12"/>
  <c r="F31" i="12"/>
  <c r="G31" i="12"/>
  <c r="H31" i="12"/>
  <c r="J31" i="12"/>
  <c r="K31" i="12"/>
  <c r="M31" i="12"/>
  <c r="V31" i="12"/>
  <c r="O31" i="12" s="1"/>
  <c r="P31" i="12" s="1"/>
  <c r="D32" i="12"/>
  <c r="F32" i="12"/>
  <c r="G32" i="12"/>
  <c r="H32" i="12"/>
  <c r="J32" i="12"/>
  <c r="K32" i="12"/>
  <c r="M32" i="12"/>
  <c r="V32" i="12"/>
  <c r="O32" i="12" s="1"/>
  <c r="D33" i="12"/>
  <c r="F33" i="12"/>
  <c r="G33" i="12"/>
  <c r="H33" i="12"/>
  <c r="J33" i="12"/>
  <c r="K33" i="12"/>
  <c r="M33" i="12"/>
  <c r="V33" i="12"/>
  <c r="T33" i="12" s="1"/>
  <c r="D34" i="12"/>
  <c r="F34" i="12"/>
  <c r="G34" i="12"/>
  <c r="H34" i="12"/>
  <c r="J34" i="12"/>
  <c r="K34" i="12"/>
  <c r="M34" i="12"/>
  <c r="V34" i="12"/>
  <c r="T34" i="12" s="1"/>
  <c r="D35" i="12"/>
  <c r="F35" i="12"/>
  <c r="G35" i="12"/>
  <c r="H35" i="12"/>
  <c r="J35" i="12"/>
  <c r="K35" i="12"/>
  <c r="M35" i="12"/>
  <c r="V35" i="12"/>
  <c r="T35" i="12" s="1"/>
  <c r="D36" i="12"/>
  <c r="F36" i="12"/>
  <c r="I36" i="12" s="1"/>
  <c r="G36" i="12"/>
  <c r="H36" i="12"/>
  <c r="J36" i="12"/>
  <c r="K36" i="12"/>
  <c r="M36" i="12"/>
  <c r="V36" i="12"/>
  <c r="O36" i="12" s="1"/>
  <c r="D37" i="12"/>
  <c r="F37" i="12"/>
  <c r="G37" i="12"/>
  <c r="H37" i="12"/>
  <c r="J37" i="12"/>
  <c r="K37" i="12"/>
  <c r="M37" i="12"/>
  <c r="V37" i="12"/>
  <c r="T37" i="12" s="1"/>
  <c r="D38" i="12"/>
  <c r="F38" i="12"/>
  <c r="G38" i="12"/>
  <c r="H38" i="12"/>
  <c r="J38" i="12"/>
  <c r="K38" i="12"/>
  <c r="M38" i="12"/>
  <c r="V38" i="12"/>
  <c r="T38" i="12" s="1"/>
  <c r="D39" i="12"/>
  <c r="F39" i="12"/>
  <c r="I39" i="12" s="1"/>
  <c r="G39" i="12"/>
  <c r="H39" i="12"/>
  <c r="J39" i="12"/>
  <c r="K39" i="12"/>
  <c r="M39" i="12"/>
  <c r="V39" i="12"/>
  <c r="T39" i="12" s="1"/>
  <c r="D40" i="12"/>
  <c r="F40" i="12"/>
  <c r="I40" i="12" s="1"/>
  <c r="G40" i="12"/>
  <c r="H40" i="12"/>
  <c r="J40" i="12"/>
  <c r="K40" i="12"/>
  <c r="M40" i="12"/>
  <c r="V40" i="12"/>
  <c r="O40" i="12" s="1"/>
  <c r="D41" i="12"/>
  <c r="F41" i="12"/>
  <c r="I41" i="12" s="1"/>
  <c r="G41" i="12"/>
  <c r="H41" i="12"/>
  <c r="J41" i="12"/>
  <c r="K41" i="12"/>
  <c r="M41" i="12"/>
  <c r="V41" i="12"/>
  <c r="T41" i="12" s="1"/>
  <c r="D46" i="12"/>
  <c r="F46" i="12"/>
  <c r="G46" i="12"/>
  <c r="H46" i="12"/>
  <c r="J46" i="12"/>
  <c r="K46" i="12"/>
  <c r="M46" i="12"/>
  <c r="V46" i="12"/>
  <c r="T46" i="12" s="1"/>
  <c r="D47" i="12"/>
  <c r="F47" i="12"/>
  <c r="I47" i="12" s="1"/>
  <c r="G47" i="12"/>
  <c r="H47" i="12"/>
  <c r="J47" i="12"/>
  <c r="K47" i="12"/>
  <c r="M47" i="12"/>
  <c r="V47" i="12"/>
  <c r="T47" i="12" s="1"/>
  <c r="O47" i="12"/>
  <c r="Q47" i="12" s="1"/>
  <c r="D48" i="12"/>
  <c r="F48" i="12"/>
  <c r="G48" i="12"/>
  <c r="H48" i="12"/>
  <c r="J48" i="12"/>
  <c r="K48" i="12"/>
  <c r="M48" i="12"/>
  <c r="V48" i="12"/>
  <c r="T48" i="12" s="1"/>
  <c r="D49" i="12"/>
  <c r="F49" i="12"/>
  <c r="G49" i="12"/>
  <c r="H49" i="12"/>
  <c r="J49" i="12"/>
  <c r="K49" i="12"/>
  <c r="M49" i="12"/>
  <c r="V49" i="12"/>
  <c r="O49" i="12" s="1"/>
  <c r="D50" i="12"/>
  <c r="F50" i="12"/>
  <c r="G50" i="12"/>
  <c r="H50" i="12"/>
  <c r="J50" i="12"/>
  <c r="K50" i="12"/>
  <c r="M50" i="12"/>
  <c r="V50" i="12"/>
  <c r="T50" i="12" s="1"/>
  <c r="D51" i="12"/>
  <c r="F51" i="12"/>
  <c r="G51" i="12"/>
  <c r="H51" i="12"/>
  <c r="J51" i="12"/>
  <c r="K51" i="12"/>
  <c r="M51" i="12"/>
  <c r="V51" i="12"/>
  <c r="T51" i="12" s="1"/>
  <c r="D52" i="12"/>
  <c r="F52" i="12"/>
  <c r="G52" i="12"/>
  <c r="H52" i="12"/>
  <c r="J52" i="12"/>
  <c r="K52" i="12"/>
  <c r="M52" i="12"/>
  <c r="V52" i="12"/>
  <c r="T52" i="12" s="1"/>
  <c r="D53" i="12"/>
  <c r="F53" i="12"/>
  <c r="G53" i="12"/>
  <c r="H53" i="12"/>
  <c r="J53" i="12"/>
  <c r="K53" i="12"/>
  <c r="M53" i="12"/>
  <c r="V53" i="12"/>
  <c r="O53" i="12" s="1"/>
  <c r="D54" i="12"/>
  <c r="F54" i="12"/>
  <c r="G54" i="12"/>
  <c r="H54" i="12"/>
  <c r="J54" i="12"/>
  <c r="K54" i="12"/>
  <c r="M54" i="12"/>
  <c r="V54" i="12"/>
  <c r="T54" i="12" s="1"/>
  <c r="D55" i="12"/>
  <c r="F55" i="12"/>
  <c r="G55" i="12"/>
  <c r="H55" i="12"/>
  <c r="J55" i="12"/>
  <c r="K55" i="12"/>
  <c r="M55" i="12"/>
  <c r="V55" i="12"/>
  <c r="T55" i="12" s="1"/>
  <c r="C57" i="12"/>
  <c r="D60" i="12"/>
  <c r="F60" i="12"/>
  <c r="G60" i="12"/>
  <c r="H60" i="12"/>
  <c r="J60" i="12"/>
  <c r="K60" i="12"/>
  <c r="M60" i="12"/>
  <c r="V60" i="12"/>
  <c r="T60" i="12" s="1"/>
  <c r="D61" i="12"/>
  <c r="F61" i="12"/>
  <c r="G61" i="12"/>
  <c r="H61" i="12"/>
  <c r="J61" i="12"/>
  <c r="K61" i="12"/>
  <c r="M61" i="12"/>
  <c r="V61" i="12"/>
  <c r="T61" i="12" s="1"/>
  <c r="D62" i="12"/>
  <c r="F62" i="12"/>
  <c r="G62" i="12"/>
  <c r="H62" i="12"/>
  <c r="J62" i="12"/>
  <c r="K62" i="12"/>
  <c r="M62" i="12"/>
  <c r="V62" i="12"/>
  <c r="T62" i="12" s="1"/>
  <c r="D63" i="12"/>
  <c r="F63" i="12"/>
  <c r="G63" i="12"/>
  <c r="H63" i="12"/>
  <c r="J63" i="12"/>
  <c r="K63" i="12"/>
  <c r="M63" i="12"/>
  <c r="V63" i="12"/>
  <c r="D64" i="12"/>
  <c r="F64" i="12"/>
  <c r="G64" i="12"/>
  <c r="H64" i="12"/>
  <c r="J64" i="12"/>
  <c r="K64" i="12"/>
  <c r="M64" i="12"/>
  <c r="V64" i="12"/>
  <c r="T64" i="12" s="1"/>
  <c r="D65" i="12"/>
  <c r="F65" i="12"/>
  <c r="G65" i="12"/>
  <c r="H65" i="12"/>
  <c r="J65" i="12"/>
  <c r="K65" i="12"/>
  <c r="M65" i="12"/>
  <c r="V65" i="12"/>
  <c r="T65" i="12" s="1"/>
  <c r="D66" i="12"/>
  <c r="F66" i="12"/>
  <c r="G66" i="12"/>
  <c r="H66" i="12"/>
  <c r="J66" i="12"/>
  <c r="K66" i="12"/>
  <c r="M66" i="12"/>
  <c r="V66" i="12"/>
  <c r="N66" i="12" s="1"/>
  <c r="D67" i="12"/>
  <c r="F67" i="12"/>
  <c r="G67" i="12"/>
  <c r="H67" i="12"/>
  <c r="J67" i="12"/>
  <c r="K67" i="12"/>
  <c r="M67" i="12"/>
  <c r="V67" i="12"/>
  <c r="T67" i="12" s="1"/>
  <c r="D68" i="12"/>
  <c r="F68" i="12"/>
  <c r="G68" i="12"/>
  <c r="H68" i="12"/>
  <c r="J68" i="12"/>
  <c r="K68" i="12"/>
  <c r="M68" i="12"/>
  <c r="V68" i="12"/>
  <c r="T68" i="12" s="1"/>
  <c r="D69" i="12"/>
  <c r="F69" i="12"/>
  <c r="G69" i="12"/>
  <c r="H69" i="12"/>
  <c r="J69" i="12"/>
  <c r="K69" i="12"/>
  <c r="M69" i="12"/>
  <c r="V69" i="12"/>
  <c r="T69" i="12" s="1"/>
  <c r="D70" i="12"/>
  <c r="F70" i="12"/>
  <c r="G70" i="12"/>
  <c r="H70" i="12"/>
  <c r="J70" i="12"/>
  <c r="K70" i="12"/>
  <c r="M70" i="12"/>
  <c r="V70" i="12"/>
  <c r="T70" i="12" s="1"/>
  <c r="D71" i="12"/>
  <c r="F71" i="12"/>
  <c r="G71" i="12"/>
  <c r="H71" i="12"/>
  <c r="J71" i="12"/>
  <c r="K71" i="12"/>
  <c r="M71" i="12"/>
  <c r="V71" i="12"/>
  <c r="T71" i="12" s="1"/>
  <c r="D72" i="12"/>
  <c r="F72" i="12"/>
  <c r="I72" i="12" s="1"/>
  <c r="G72" i="12"/>
  <c r="H72" i="12"/>
  <c r="J72" i="12"/>
  <c r="K72" i="12"/>
  <c r="M72" i="12"/>
  <c r="V72" i="12"/>
  <c r="T72" i="12" s="1"/>
  <c r="D73" i="12"/>
  <c r="F73" i="12"/>
  <c r="G73" i="12"/>
  <c r="H73" i="12"/>
  <c r="J73" i="12"/>
  <c r="K73" i="12"/>
  <c r="M73" i="12"/>
  <c r="V73" i="12"/>
  <c r="T73" i="12" s="1"/>
  <c r="D74" i="12"/>
  <c r="F74" i="12"/>
  <c r="G74" i="12"/>
  <c r="H74" i="12"/>
  <c r="J74" i="12"/>
  <c r="K74" i="12"/>
  <c r="M74" i="12"/>
  <c r="V74" i="12"/>
  <c r="N74" i="12" s="1"/>
  <c r="O74" i="12" s="1"/>
  <c r="P74" i="12" s="1"/>
  <c r="T74" i="12"/>
  <c r="D75" i="12"/>
  <c r="F75" i="12"/>
  <c r="G75" i="12"/>
  <c r="H75" i="12"/>
  <c r="J75" i="12"/>
  <c r="K75" i="12"/>
  <c r="M75" i="12"/>
  <c r="V75" i="12"/>
  <c r="T75" i="12" s="1"/>
  <c r="D76" i="12"/>
  <c r="F76" i="12"/>
  <c r="G76" i="12"/>
  <c r="H76" i="12"/>
  <c r="J76" i="12"/>
  <c r="K76" i="12"/>
  <c r="M76" i="12"/>
  <c r="V76" i="12"/>
  <c r="T76" i="12" s="1"/>
  <c r="D77" i="12"/>
  <c r="F77" i="12"/>
  <c r="G77" i="12"/>
  <c r="H77" i="12"/>
  <c r="J77" i="12"/>
  <c r="K77" i="12"/>
  <c r="M77" i="12"/>
  <c r="V77" i="12"/>
  <c r="T77" i="12" s="1"/>
  <c r="D78" i="12"/>
  <c r="F78" i="12"/>
  <c r="G78" i="12"/>
  <c r="H78" i="12"/>
  <c r="J78" i="12"/>
  <c r="K78" i="12"/>
  <c r="M78" i="12"/>
  <c r="V78" i="12"/>
  <c r="N78" i="12" s="1"/>
  <c r="D79" i="12"/>
  <c r="F79" i="12"/>
  <c r="G79" i="12"/>
  <c r="H79" i="12"/>
  <c r="J79" i="12"/>
  <c r="K79" i="12"/>
  <c r="M79" i="12"/>
  <c r="V79" i="12"/>
  <c r="T79" i="12" s="1"/>
  <c r="D80" i="12"/>
  <c r="F80" i="12"/>
  <c r="G80" i="12"/>
  <c r="H80" i="12"/>
  <c r="J80" i="12"/>
  <c r="K80" i="12"/>
  <c r="M80" i="12"/>
  <c r="V80" i="12"/>
  <c r="T80" i="12" s="1"/>
  <c r="D81" i="12"/>
  <c r="F81" i="12"/>
  <c r="G81" i="12"/>
  <c r="H81" i="12"/>
  <c r="J81" i="12"/>
  <c r="K81" i="12"/>
  <c r="M81" i="12"/>
  <c r="V81" i="12"/>
  <c r="T81" i="12" s="1"/>
  <c r="D82" i="12"/>
  <c r="F82" i="12"/>
  <c r="G82" i="12"/>
  <c r="H82" i="12"/>
  <c r="J82" i="12"/>
  <c r="K82" i="12"/>
  <c r="M82" i="12"/>
  <c r="V82" i="12"/>
  <c r="T82" i="12" s="1"/>
  <c r="D83" i="12"/>
  <c r="F83" i="12"/>
  <c r="G83" i="12"/>
  <c r="H83" i="12"/>
  <c r="J83" i="12"/>
  <c r="K83" i="12"/>
  <c r="M83" i="12"/>
  <c r="V83" i="12"/>
  <c r="T83" i="12" s="1"/>
  <c r="D84" i="12"/>
  <c r="F84" i="12"/>
  <c r="G84" i="12"/>
  <c r="H84" i="12"/>
  <c r="J84" i="12"/>
  <c r="K84" i="12"/>
  <c r="M84" i="12"/>
  <c r="V84" i="12"/>
  <c r="T84" i="12" s="1"/>
  <c r="D85" i="12"/>
  <c r="F85" i="12"/>
  <c r="G85" i="12"/>
  <c r="H85" i="12"/>
  <c r="J85" i="12"/>
  <c r="K85" i="12"/>
  <c r="M85" i="12"/>
  <c r="V85" i="12"/>
  <c r="T85" i="12" s="1"/>
  <c r="C87" i="12"/>
  <c r="F92" i="12"/>
  <c r="F89" i="12" s="1"/>
  <c r="D90" i="12"/>
  <c r="F90" i="12"/>
  <c r="G90" i="12"/>
  <c r="H90" i="12"/>
  <c r="J90" i="12"/>
  <c r="K90" i="12"/>
  <c r="M90" i="12"/>
  <c r="V90" i="12"/>
  <c r="N90" i="12" s="1"/>
  <c r="D91" i="12"/>
  <c r="F91" i="12"/>
  <c r="G91" i="12"/>
  <c r="H91" i="12"/>
  <c r="J91" i="12"/>
  <c r="K91" i="12"/>
  <c r="M91" i="12"/>
  <c r="V91" i="12"/>
  <c r="T91" i="12" s="1"/>
  <c r="D92" i="12"/>
  <c r="G92" i="12"/>
  <c r="H92" i="12"/>
  <c r="J92" i="12"/>
  <c r="K92" i="12"/>
  <c r="V92" i="12"/>
  <c r="D93" i="12"/>
  <c r="F93" i="12"/>
  <c r="G93" i="12"/>
  <c r="H93" i="12"/>
  <c r="J93" i="12"/>
  <c r="K93" i="12"/>
  <c r="M93" i="12"/>
  <c r="V93" i="12"/>
  <c r="D94" i="12"/>
  <c r="F94" i="12"/>
  <c r="G94" i="12"/>
  <c r="H94" i="12"/>
  <c r="J94" i="12"/>
  <c r="K94" i="12"/>
  <c r="M94" i="12"/>
  <c r="V94" i="12"/>
  <c r="N94" i="12" s="1"/>
  <c r="D95" i="12"/>
  <c r="F95" i="12"/>
  <c r="G95" i="12"/>
  <c r="H95" i="12"/>
  <c r="J95" i="12"/>
  <c r="K95" i="12"/>
  <c r="M95" i="12"/>
  <c r="V95" i="12"/>
  <c r="T95" i="12" s="1"/>
  <c r="C97" i="12"/>
  <c r="D100" i="12"/>
  <c r="F100" i="12"/>
  <c r="G100" i="12"/>
  <c r="H100" i="12"/>
  <c r="J100" i="12"/>
  <c r="K100" i="12"/>
  <c r="M100" i="12"/>
  <c r="V100" i="12"/>
  <c r="D101" i="12"/>
  <c r="F101" i="12"/>
  <c r="G101" i="12"/>
  <c r="H101" i="12"/>
  <c r="J101" i="12"/>
  <c r="K101" i="12"/>
  <c r="M101" i="12"/>
  <c r="V101" i="12"/>
  <c r="T101" i="12" s="1"/>
  <c r="D102" i="12"/>
  <c r="F102" i="12"/>
  <c r="G102" i="12"/>
  <c r="H102" i="12"/>
  <c r="J102" i="12"/>
  <c r="K102" i="12"/>
  <c r="M102" i="12"/>
  <c r="V102" i="12"/>
  <c r="O102" i="12" s="1"/>
  <c r="D103" i="12"/>
  <c r="F103" i="12"/>
  <c r="G103" i="12"/>
  <c r="H103" i="12"/>
  <c r="J103" i="12"/>
  <c r="K103" i="12"/>
  <c r="M103" i="12"/>
  <c r="V103" i="12"/>
  <c r="D104" i="12"/>
  <c r="F104" i="12"/>
  <c r="G104" i="12"/>
  <c r="H104" i="12"/>
  <c r="J104" i="12"/>
  <c r="K104" i="12"/>
  <c r="M104" i="12"/>
  <c r="V104" i="12"/>
  <c r="D105" i="12"/>
  <c r="F105" i="12"/>
  <c r="G105" i="12"/>
  <c r="H105" i="12"/>
  <c r="J105" i="12"/>
  <c r="K105" i="12"/>
  <c r="M105" i="12"/>
  <c r="V105" i="12"/>
  <c r="T105" i="12" s="1"/>
  <c r="D106" i="12"/>
  <c r="F106" i="12"/>
  <c r="G106" i="12"/>
  <c r="H106" i="12"/>
  <c r="J106" i="12"/>
  <c r="K106" i="12"/>
  <c r="M106" i="12"/>
  <c r="V106" i="12"/>
  <c r="O106" i="12" s="1"/>
  <c r="D107" i="12"/>
  <c r="F107" i="12"/>
  <c r="G107" i="12"/>
  <c r="H107" i="12"/>
  <c r="J107" i="12"/>
  <c r="K107" i="12"/>
  <c r="M107" i="12"/>
  <c r="V107" i="12"/>
  <c r="O107" i="12" s="1"/>
  <c r="P107" i="12" s="1"/>
  <c r="D108" i="12"/>
  <c r="F108" i="12"/>
  <c r="G108" i="12"/>
  <c r="H108" i="12"/>
  <c r="J108" i="12"/>
  <c r="K108" i="12"/>
  <c r="M108" i="12"/>
  <c r="V108" i="12"/>
  <c r="T108" i="12" s="1"/>
  <c r="D109" i="12"/>
  <c r="F109" i="12"/>
  <c r="G109" i="12"/>
  <c r="H109" i="12"/>
  <c r="J109" i="12"/>
  <c r="K109" i="12"/>
  <c r="M109" i="12"/>
  <c r="V109" i="12"/>
  <c r="T109" i="12" s="1"/>
  <c r="D110" i="12"/>
  <c r="F110" i="12"/>
  <c r="I110" i="12" s="1"/>
  <c r="G110" i="12"/>
  <c r="H110" i="12"/>
  <c r="J110" i="12"/>
  <c r="K110" i="12"/>
  <c r="M110" i="12"/>
  <c r="V110" i="12"/>
  <c r="O110" i="12" s="1"/>
  <c r="P110" i="12" s="1"/>
  <c r="T110" i="12"/>
  <c r="D111" i="12"/>
  <c r="F111" i="12"/>
  <c r="G111" i="12"/>
  <c r="H111" i="12"/>
  <c r="J111" i="12"/>
  <c r="K111" i="12"/>
  <c r="M111" i="12"/>
  <c r="V111" i="12"/>
  <c r="O111" i="12" s="1"/>
  <c r="P111" i="12" s="1"/>
  <c r="D112" i="12"/>
  <c r="F112" i="12"/>
  <c r="G112" i="12"/>
  <c r="H112" i="12"/>
  <c r="J112" i="12"/>
  <c r="K112" i="12"/>
  <c r="M112" i="12"/>
  <c r="V112" i="12"/>
  <c r="T112" i="12" s="1"/>
  <c r="D113" i="12"/>
  <c r="F113" i="12"/>
  <c r="G113" i="12"/>
  <c r="H113" i="12"/>
  <c r="I113" i="12" s="1"/>
  <c r="J113" i="12"/>
  <c r="K113" i="12"/>
  <c r="M113" i="12"/>
  <c r="V113" i="12"/>
  <c r="T113" i="12" s="1"/>
  <c r="D114" i="12"/>
  <c r="F114" i="12"/>
  <c r="G114" i="12"/>
  <c r="H114" i="12"/>
  <c r="J114" i="12"/>
  <c r="K114" i="12"/>
  <c r="M114" i="12"/>
  <c r="V114" i="12"/>
  <c r="C116" i="12"/>
  <c r="D119" i="12"/>
  <c r="F119" i="12"/>
  <c r="G119" i="12"/>
  <c r="H119" i="12"/>
  <c r="J119" i="12"/>
  <c r="K119" i="12"/>
  <c r="M119" i="12"/>
  <c r="V119" i="12"/>
  <c r="O119" i="12" s="1"/>
  <c r="D120" i="12"/>
  <c r="F120" i="12"/>
  <c r="G120" i="12"/>
  <c r="H120" i="12"/>
  <c r="J120" i="12"/>
  <c r="K120" i="12"/>
  <c r="M120" i="12"/>
  <c r="V120" i="12"/>
  <c r="O120" i="12" s="1"/>
  <c r="D121" i="12"/>
  <c r="F121" i="12"/>
  <c r="F123" i="12" s="1"/>
  <c r="G121" i="12"/>
  <c r="H121" i="12"/>
  <c r="J121" i="12"/>
  <c r="K121" i="12"/>
  <c r="M121" i="12"/>
  <c r="V121" i="12"/>
  <c r="O121" i="12" s="1"/>
  <c r="C123" i="12"/>
  <c r="D126" i="12"/>
  <c r="E126" i="12"/>
  <c r="F126" i="12"/>
  <c r="G126" i="12"/>
  <c r="H126" i="12"/>
  <c r="J126" i="12"/>
  <c r="K126" i="12"/>
  <c r="M126" i="12"/>
  <c r="V126" i="12"/>
  <c r="T126" i="12" s="1"/>
  <c r="D127" i="12"/>
  <c r="E127" i="12"/>
  <c r="F127" i="12"/>
  <c r="G127" i="12"/>
  <c r="H127" i="12"/>
  <c r="J127" i="12"/>
  <c r="K127" i="12"/>
  <c r="M127" i="12"/>
  <c r="V127" i="12"/>
  <c r="N127" i="12" s="1"/>
  <c r="D128" i="12"/>
  <c r="E128" i="12"/>
  <c r="F128" i="12"/>
  <c r="G128" i="12"/>
  <c r="H128" i="12"/>
  <c r="J128" i="12"/>
  <c r="K128" i="12"/>
  <c r="M128" i="12"/>
  <c r="V128" i="12"/>
  <c r="N128" i="12" s="1"/>
  <c r="D129" i="12"/>
  <c r="E129" i="12"/>
  <c r="F129" i="12"/>
  <c r="G129" i="12"/>
  <c r="H129" i="12"/>
  <c r="J129" i="12"/>
  <c r="K129" i="12"/>
  <c r="M129" i="12"/>
  <c r="V129" i="12"/>
  <c r="N129" i="12" s="1"/>
  <c r="D130" i="12"/>
  <c r="E130" i="12"/>
  <c r="F130" i="12"/>
  <c r="G130" i="12"/>
  <c r="H130" i="12"/>
  <c r="J130" i="12"/>
  <c r="K130" i="12"/>
  <c r="M130" i="12"/>
  <c r="V130" i="12"/>
  <c r="N130" i="12" s="1"/>
  <c r="C132" i="12"/>
  <c r="D136" i="12"/>
  <c r="E136" i="12"/>
  <c r="F136" i="12"/>
  <c r="G136" i="12"/>
  <c r="H136" i="12"/>
  <c r="J136" i="12"/>
  <c r="K136" i="12"/>
  <c r="M136" i="12"/>
  <c r="V136" i="12"/>
  <c r="N136" i="12" s="1"/>
  <c r="D137" i="12"/>
  <c r="E137" i="12"/>
  <c r="F137" i="12"/>
  <c r="G137" i="12"/>
  <c r="H137" i="12"/>
  <c r="J137" i="12"/>
  <c r="K137" i="12"/>
  <c r="M137" i="12"/>
  <c r="V137" i="12"/>
  <c r="O137" i="12" s="1"/>
  <c r="D138" i="12"/>
  <c r="E138" i="12"/>
  <c r="F138" i="12"/>
  <c r="G138" i="12"/>
  <c r="H138" i="12"/>
  <c r="J138" i="12"/>
  <c r="K138" i="12"/>
  <c r="M138" i="12"/>
  <c r="V138" i="12"/>
  <c r="T138" i="12" s="1"/>
  <c r="D139" i="12"/>
  <c r="E139" i="12"/>
  <c r="F139" i="12"/>
  <c r="G139" i="12"/>
  <c r="H139" i="12"/>
  <c r="J139" i="12"/>
  <c r="K139" i="12"/>
  <c r="M139" i="12"/>
  <c r="V139" i="12"/>
  <c r="N139" i="12" s="1"/>
  <c r="D140" i="12"/>
  <c r="E140" i="12"/>
  <c r="F140" i="12"/>
  <c r="G140" i="12"/>
  <c r="H140" i="12"/>
  <c r="J140" i="12"/>
  <c r="K140" i="12"/>
  <c r="M140" i="12"/>
  <c r="V140" i="12"/>
  <c r="N140" i="12" s="1"/>
  <c r="D141" i="12"/>
  <c r="E141" i="12"/>
  <c r="F141" i="12"/>
  <c r="G141" i="12"/>
  <c r="H141" i="12"/>
  <c r="J141" i="12"/>
  <c r="K141" i="12"/>
  <c r="M141" i="12"/>
  <c r="V141" i="12"/>
  <c r="N141" i="12" s="1"/>
  <c r="D142" i="12"/>
  <c r="E142" i="12"/>
  <c r="F142" i="12"/>
  <c r="G142" i="12"/>
  <c r="H142" i="12"/>
  <c r="J142" i="12"/>
  <c r="K142" i="12"/>
  <c r="M142" i="12"/>
  <c r="V142" i="12"/>
  <c r="T142" i="12" s="1"/>
  <c r="D143" i="12"/>
  <c r="E143" i="12"/>
  <c r="F143" i="12"/>
  <c r="G143" i="12"/>
  <c r="H143" i="12"/>
  <c r="J143" i="12"/>
  <c r="K143" i="12"/>
  <c r="M143" i="12"/>
  <c r="V143" i="12"/>
  <c r="N143" i="12" s="1"/>
  <c r="C145" i="12"/>
  <c r="D148" i="12"/>
  <c r="F148" i="12"/>
  <c r="G148" i="12"/>
  <c r="H148" i="12"/>
  <c r="J148" i="12"/>
  <c r="K148" i="12"/>
  <c r="M148" i="12"/>
  <c r="V148" i="12"/>
  <c r="N148" i="12" s="1"/>
  <c r="D149" i="12"/>
  <c r="F149" i="12"/>
  <c r="G149" i="12"/>
  <c r="H149" i="12"/>
  <c r="J149" i="12"/>
  <c r="K149" i="12"/>
  <c r="M149" i="12"/>
  <c r="V149" i="12"/>
  <c r="N149" i="12" s="1"/>
  <c r="C151" i="12"/>
  <c r="K151" i="12"/>
  <c r="D155" i="12"/>
  <c r="E155" i="12"/>
  <c r="E157" i="12" s="1"/>
  <c r="F155" i="12"/>
  <c r="F157" i="12" s="1"/>
  <c r="G155" i="12"/>
  <c r="G157" i="12" s="1"/>
  <c r="H155" i="12"/>
  <c r="H157" i="12" s="1"/>
  <c r="J155" i="12"/>
  <c r="J157" i="12" s="1"/>
  <c r="K155" i="12"/>
  <c r="K157" i="12" s="1"/>
  <c r="M155" i="12"/>
  <c r="M157" i="12" s="1"/>
  <c r="V155" i="12"/>
  <c r="N155" i="12" s="1"/>
  <c r="N157" i="12" s="1"/>
  <c r="C157" i="12"/>
  <c r="X161" i="12"/>
  <c r="D162" i="12"/>
  <c r="E162" i="12"/>
  <c r="F162" i="12"/>
  <c r="G162" i="12"/>
  <c r="H162" i="12"/>
  <c r="J162" i="12"/>
  <c r="K162" i="12"/>
  <c r="M162" i="12"/>
  <c r="N162" i="12"/>
  <c r="T162" i="12"/>
  <c r="D163" i="12"/>
  <c r="E163" i="12"/>
  <c r="F163" i="12"/>
  <c r="G163" i="12"/>
  <c r="H163" i="12"/>
  <c r="J163" i="12"/>
  <c r="K163" i="12"/>
  <c r="M163" i="12"/>
  <c r="O163" i="12" s="1"/>
  <c r="T163" i="12"/>
  <c r="T187" i="12" s="1"/>
  <c r="Z163" i="12"/>
  <c r="D164" i="12"/>
  <c r="E164" i="12"/>
  <c r="F164" i="12"/>
  <c r="G164" i="12"/>
  <c r="H164" i="12"/>
  <c r="J164" i="12"/>
  <c r="K164" i="12"/>
  <c r="M164" i="12"/>
  <c r="Z164" i="12"/>
  <c r="N164" i="12"/>
  <c r="T164" i="12"/>
  <c r="D165" i="12"/>
  <c r="E165" i="12"/>
  <c r="F165" i="12"/>
  <c r="G165" i="12"/>
  <c r="H165" i="12"/>
  <c r="J165" i="12"/>
  <c r="K165" i="12"/>
  <c r="M165" i="12"/>
  <c r="Z165" i="12"/>
  <c r="N165" i="12"/>
  <c r="T165" i="12"/>
  <c r="D166" i="12"/>
  <c r="E166" i="12"/>
  <c r="F166" i="12"/>
  <c r="G166" i="12"/>
  <c r="H166" i="12"/>
  <c r="J166" i="12"/>
  <c r="K166" i="12"/>
  <c r="M166" i="12"/>
  <c r="Z166" i="12"/>
  <c r="N166" i="12"/>
  <c r="T166" i="12"/>
  <c r="D167" i="12"/>
  <c r="E167" i="12"/>
  <c r="F167" i="12"/>
  <c r="G167" i="12"/>
  <c r="H167" i="12"/>
  <c r="J167" i="12"/>
  <c r="K167" i="12"/>
  <c r="M167" i="12"/>
  <c r="Z167" i="12"/>
  <c r="N167" i="12"/>
  <c r="T167" i="12"/>
  <c r="D168" i="12"/>
  <c r="E168" i="12"/>
  <c r="F168" i="12"/>
  <c r="G168" i="12"/>
  <c r="H168" i="12"/>
  <c r="J168" i="12"/>
  <c r="K168" i="12"/>
  <c r="M168" i="12"/>
  <c r="Z168" i="12"/>
  <c r="N168" i="12"/>
  <c r="T168" i="12"/>
  <c r="D169" i="12"/>
  <c r="E169" i="12"/>
  <c r="F169" i="12"/>
  <c r="G169" i="12"/>
  <c r="H169" i="12"/>
  <c r="J169" i="12"/>
  <c r="K169" i="12"/>
  <c r="M169" i="12"/>
  <c r="Z169" i="12"/>
  <c r="N169" i="12"/>
  <c r="T169" i="12"/>
  <c r="D170" i="12"/>
  <c r="E170" i="12"/>
  <c r="F170" i="12"/>
  <c r="G170" i="12"/>
  <c r="H170" i="12"/>
  <c r="J170" i="12"/>
  <c r="K170" i="12"/>
  <c r="M170" i="12"/>
  <c r="Z170" i="12"/>
  <c r="N170" i="12"/>
  <c r="T170" i="12"/>
  <c r="D171" i="12"/>
  <c r="E171" i="12"/>
  <c r="F171" i="12"/>
  <c r="G171" i="12"/>
  <c r="H171" i="12"/>
  <c r="J171" i="12"/>
  <c r="K171" i="12"/>
  <c r="M171" i="12"/>
  <c r="Z171" i="12"/>
  <c r="N171" i="12"/>
  <c r="T171" i="12"/>
  <c r="D172" i="12"/>
  <c r="E172" i="12"/>
  <c r="F172" i="12"/>
  <c r="G172" i="12"/>
  <c r="H172" i="12"/>
  <c r="J172" i="12"/>
  <c r="K172" i="12"/>
  <c r="M172" i="12"/>
  <c r="Z172" i="12"/>
  <c r="N172" i="12"/>
  <c r="T172" i="12"/>
  <c r="D173" i="12"/>
  <c r="E173" i="12"/>
  <c r="F173" i="12"/>
  <c r="G173" i="12"/>
  <c r="H173" i="12"/>
  <c r="J173" i="12"/>
  <c r="K173" i="12"/>
  <c r="M173" i="12"/>
  <c r="Z173" i="12"/>
  <c r="N173" i="12"/>
  <c r="T173" i="12"/>
  <c r="D174" i="12"/>
  <c r="E174" i="12"/>
  <c r="F174" i="12"/>
  <c r="G174" i="12"/>
  <c r="H174" i="12"/>
  <c r="J174" i="12"/>
  <c r="K174" i="12"/>
  <c r="M174" i="12"/>
  <c r="Z174" i="12"/>
  <c r="N174" i="12"/>
  <c r="T174" i="12"/>
  <c r="D175" i="12"/>
  <c r="E175" i="12"/>
  <c r="F175" i="12"/>
  <c r="G175" i="12"/>
  <c r="H175" i="12"/>
  <c r="J175" i="12"/>
  <c r="K175" i="12"/>
  <c r="M175" i="12"/>
  <c r="Z175" i="12"/>
  <c r="N175" i="12"/>
  <c r="T175" i="12"/>
  <c r="D176" i="12"/>
  <c r="E176" i="12"/>
  <c r="F176" i="12"/>
  <c r="G176" i="12"/>
  <c r="H176" i="12"/>
  <c r="J176" i="12"/>
  <c r="K176" i="12"/>
  <c r="M176" i="12"/>
  <c r="Z176" i="12"/>
  <c r="N176" i="12"/>
  <c r="T176" i="12"/>
  <c r="D177" i="12"/>
  <c r="E177" i="12"/>
  <c r="F177" i="12"/>
  <c r="G177" i="12"/>
  <c r="H177" i="12"/>
  <c r="J177" i="12"/>
  <c r="K177" i="12"/>
  <c r="M177" i="12"/>
  <c r="Z177" i="12"/>
  <c r="N177" i="12"/>
  <c r="T177" i="12"/>
  <c r="D178" i="12"/>
  <c r="E178" i="12"/>
  <c r="F178" i="12"/>
  <c r="G178" i="12"/>
  <c r="H178" i="12"/>
  <c r="J178" i="12"/>
  <c r="K178" i="12"/>
  <c r="M178" i="12"/>
  <c r="Z178" i="12"/>
  <c r="N178" i="12"/>
  <c r="T178" i="12"/>
  <c r="D179" i="12"/>
  <c r="E179" i="12"/>
  <c r="F179" i="12"/>
  <c r="G179" i="12"/>
  <c r="H179" i="12"/>
  <c r="J179" i="12"/>
  <c r="K179" i="12"/>
  <c r="M179" i="12"/>
  <c r="Z179" i="12"/>
  <c r="N179" i="12"/>
  <c r="T179" i="12"/>
  <c r="D180" i="12"/>
  <c r="E180" i="12"/>
  <c r="F180" i="12"/>
  <c r="G180" i="12"/>
  <c r="H180" i="12"/>
  <c r="J180" i="12"/>
  <c r="K180" i="12"/>
  <c r="M180" i="12"/>
  <c r="Z180" i="12"/>
  <c r="N180" i="12"/>
  <c r="T180" i="12"/>
  <c r="D181" i="12"/>
  <c r="E181" i="12"/>
  <c r="F181" i="12"/>
  <c r="G181" i="12"/>
  <c r="H181" i="12"/>
  <c r="J181" i="12"/>
  <c r="K181" i="12"/>
  <c r="M181" i="12"/>
  <c r="Z181" i="12"/>
  <c r="N181" i="12"/>
  <c r="T181" i="12"/>
  <c r="D182" i="12"/>
  <c r="E182" i="12"/>
  <c r="F182" i="12"/>
  <c r="G182" i="12"/>
  <c r="H182" i="12"/>
  <c r="J182" i="12"/>
  <c r="K182" i="12"/>
  <c r="M182" i="12"/>
  <c r="Z182" i="12"/>
  <c r="N182" i="12"/>
  <c r="T182" i="12"/>
  <c r="D183" i="12"/>
  <c r="E183" i="12"/>
  <c r="F183" i="12"/>
  <c r="G183" i="12"/>
  <c r="H183" i="12"/>
  <c r="J183" i="12"/>
  <c r="K183" i="12"/>
  <c r="M183" i="12"/>
  <c r="Z183" i="12"/>
  <c r="N183" i="12"/>
  <c r="T183" i="12"/>
  <c r="D184" i="12"/>
  <c r="E184" i="12"/>
  <c r="F184" i="12"/>
  <c r="G184" i="12"/>
  <c r="H184" i="12"/>
  <c r="J184" i="12"/>
  <c r="K184" i="12"/>
  <c r="M184" i="12"/>
  <c r="Z184" i="12"/>
  <c r="N184" i="12"/>
  <c r="T184" i="12"/>
  <c r="D185" i="12"/>
  <c r="E185" i="12"/>
  <c r="F185" i="12"/>
  <c r="G185" i="12"/>
  <c r="H185" i="12"/>
  <c r="J185" i="12"/>
  <c r="K185" i="12"/>
  <c r="M185" i="12"/>
  <c r="Z185" i="12"/>
  <c r="N185" i="12"/>
  <c r="T185" i="12"/>
  <c r="D190" i="12"/>
  <c r="E190" i="12"/>
  <c r="F190" i="12"/>
  <c r="G190" i="12"/>
  <c r="H190" i="12"/>
  <c r="J190" i="12"/>
  <c r="K190" i="12"/>
  <c r="M190" i="12"/>
  <c r="M193" i="12" s="1"/>
  <c r="N190" i="12"/>
  <c r="T190" i="12"/>
  <c r="D191" i="12"/>
  <c r="E191" i="12"/>
  <c r="F191" i="12"/>
  <c r="G191" i="12"/>
  <c r="H191" i="12"/>
  <c r="J191" i="12"/>
  <c r="K191" i="12"/>
  <c r="M191" i="12"/>
  <c r="N191" i="12"/>
  <c r="T191" i="12"/>
  <c r="T193" i="12" s="1"/>
  <c r="D196" i="12"/>
  <c r="F196" i="12"/>
  <c r="G196" i="12"/>
  <c r="H196" i="12"/>
  <c r="J196" i="12"/>
  <c r="K196" i="12"/>
  <c r="M196" i="12"/>
  <c r="Z196" i="12"/>
  <c r="N196" i="12" s="1"/>
  <c r="T196" i="12"/>
  <c r="D197" i="12"/>
  <c r="F197" i="12"/>
  <c r="G197" i="12"/>
  <c r="H197" i="12"/>
  <c r="J197" i="12"/>
  <c r="K197" i="12"/>
  <c r="M197" i="12"/>
  <c r="Z197" i="12"/>
  <c r="N197" i="12" s="1"/>
  <c r="T197" i="12"/>
  <c r="D198" i="12"/>
  <c r="E198" i="12"/>
  <c r="F198" i="12"/>
  <c r="G198" i="12"/>
  <c r="H198" i="12"/>
  <c r="J198" i="12"/>
  <c r="K198" i="12"/>
  <c r="M198" i="12"/>
  <c r="Z198" i="12"/>
  <c r="N198" i="12"/>
  <c r="T198" i="12"/>
  <c r="F199" i="12"/>
  <c r="G199" i="12"/>
  <c r="H199" i="12"/>
  <c r="J199" i="12"/>
  <c r="K199" i="12"/>
  <c r="M199" i="12"/>
  <c r="Z199" i="12"/>
  <c r="N199" i="12"/>
  <c r="R199" i="12" s="1"/>
  <c r="T199" i="12"/>
  <c r="D200" i="12"/>
  <c r="E200" i="12"/>
  <c r="F200" i="12"/>
  <c r="G200" i="12"/>
  <c r="H200" i="12"/>
  <c r="J200" i="12"/>
  <c r="K200" i="12"/>
  <c r="M200" i="12"/>
  <c r="Z200" i="12"/>
  <c r="N200" i="12"/>
  <c r="T200" i="12"/>
  <c r="D201" i="12"/>
  <c r="F201" i="12"/>
  <c r="G201" i="12"/>
  <c r="H201" i="12"/>
  <c r="J201" i="12"/>
  <c r="K201" i="12"/>
  <c r="M201" i="12"/>
  <c r="Z201" i="12"/>
  <c r="N201" i="12"/>
  <c r="T201" i="12"/>
  <c r="D202" i="12"/>
  <c r="E202" i="12"/>
  <c r="E213" i="12" s="1"/>
  <c r="F202" i="12"/>
  <c r="G202" i="12"/>
  <c r="H202" i="12"/>
  <c r="J202" i="12"/>
  <c r="K202" i="12"/>
  <c r="M202" i="12"/>
  <c r="Z202" i="12"/>
  <c r="N202" i="12"/>
  <c r="T202" i="12"/>
  <c r="D203" i="12"/>
  <c r="E203" i="12"/>
  <c r="F203" i="12"/>
  <c r="G203" i="12"/>
  <c r="H203" i="12"/>
  <c r="J203" i="12"/>
  <c r="K203" i="12"/>
  <c r="M203" i="12"/>
  <c r="Z203" i="12"/>
  <c r="N203" i="12"/>
  <c r="T203" i="12"/>
  <c r="D204" i="12"/>
  <c r="E204" i="12"/>
  <c r="F204" i="12"/>
  <c r="G204" i="12"/>
  <c r="H204" i="12"/>
  <c r="J204" i="12"/>
  <c r="K204" i="12"/>
  <c r="M204" i="12"/>
  <c r="Z204" i="12"/>
  <c r="N204" i="12"/>
  <c r="T204" i="12"/>
  <c r="D205" i="12"/>
  <c r="E205" i="12"/>
  <c r="F205" i="12"/>
  <c r="G205" i="12"/>
  <c r="H205" i="12"/>
  <c r="J205" i="12"/>
  <c r="K205" i="12"/>
  <c r="M205" i="12"/>
  <c r="Z205" i="12"/>
  <c r="N205" i="12"/>
  <c r="T205" i="12"/>
  <c r="D206" i="12"/>
  <c r="E206" i="12"/>
  <c r="F206" i="12"/>
  <c r="G206" i="12"/>
  <c r="H206" i="12"/>
  <c r="J206" i="12"/>
  <c r="K206" i="12"/>
  <c r="M206" i="12"/>
  <c r="Z206" i="12"/>
  <c r="N206" i="12"/>
  <c r="T206" i="12"/>
  <c r="D207" i="12"/>
  <c r="E207" i="12"/>
  <c r="F207" i="12"/>
  <c r="G207" i="12"/>
  <c r="H207" i="12"/>
  <c r="J207" i="12"/>
  <c r="K207" i="12"/>
  <c r="M207" i="12"/>
  <c r="Z207" i="12"/>
  <c r="N207" i="12"/>
  <c r="T207" i="12"/>
  <c r="D208" i="12"/>
  <c r="F208" i="12"/>
  <c r="G208" i="12"/>
  <c r="H208" i="12"/>
  <c r="J208" i="12"/>
  <c r="K208" i="12"/>
  <c r="M208" i="12"/>
  <c r="Z208" i="12"/>
  <c r="N208" i="12"/>
  <c r="T208" i="12"/>
  <c r="D209" i="12"/>
  <c r="E209" i="12"/>
  <c r="F209" i="12"/>
  <c r="G209" i="12"/>
  <c r="H209" i="12"/>
  <c r="J209" i="12"/>
  <c r="K209" i="12"/>
  <c r="M209" i="12"/>
  <c r="Z209" i="12"/>
  <c r="N209" i="12"/>
  <c r="T209" i="12"/>
  <c r="D210" i="12"/>
  <c r="F210" i="12"/>
  <c r="G210" i="12"/>
  <c r="H210" i="12"/>
  <c r="J210" i="12"/>
  <c r="K210" i="12"/>
  <c r="M210" i="12"/>
  <c r="Z210" i="12"/>
  <c r="N210" i="12"/>
  <c r="T210" i="12"/>
  <c r="D211" i="12"/>
  <c r="F211" i="12"/>
  <c r="G211" i="12"/>
  <c r="H211" i="12"/>
  <c r="J211" i="12"/>
  <c r="K211" i="12"/>
  <c r="M211" i="12"/>
  <c r="Z211" i="12"/>
  <c r="N211" i="12" s="1"/>
  <c r="T211" i="12"/>
  <c r="T213" i="12"/>
  <c r="D217" i="12"/>
  <c r="E217" i="12"/>
  <c r="F217" i="12"/>
  <c r="G217" i="12"/>
  <c r="H217" i="12"/>
  <c r="J217" i="12"/>
  <c r="K217" i="12"/>
  <c r="M217" i="12"/>
  <c r="Z217" i="12"/>
  <c r="N217" i="12" s="1"/>
  <c r="T217" i="12"/>
  <c r="M218" i="12"/>
  <c r="F218" i="12"/>
  <c r="G218" i="12"/>
  <c r="H218" i="12" s="1"/>
  <c r="J218" i="12"/>
  <c r="K218" i="12"/>
  <c r="O218" i="12"/>
  <c r="P218" i="12"/>
  <c r="T218" i="12"/>
  <c r="Z218" i="12"/>
  <c r="D219" i="12"/>
  <c r="E219" i="12"/>
  <c r="F219" i="12"/>
  <c r="G219" i="12"/>
  <c r="H219" i="12"/>
  <c r="J219" i="12"/>
  <c r="K219" i="12"/>
  <c r="M219" i="12"/>
  <c r="Z219" i="12"/>
  <c r="N219" i="12" s="1"/>
  <c r="T219" i="12"/>
  <c r="D220" i="12"/>
  <c r="E220" i="12"/>
  <c r="F220" i="12"/>
  <c r="G220" i="12"/>
  <c r="H220" i="12"/>
  <c r="J220" i="12"/>
  <c r="K220" i="12"/>
  <c r="M220" i="12"/>
  <c r="Z220" i="12"/>
  <c r="N220" i="12"/>
  <c r="T220" i="12"/>
  <c r="D221" i="12"/>
  <c r="E221" i="12"/>
  <c r="F221" i="12"/>
  <c r="G221" i="12"/>
  <c r="H221" i="12"/>
  <c r="J221" i="12"/>
  <c r="K221" i="12"/>
  <c r="M221" i="12"/>
  <c r="Z221" i="12"/>
  <c r="N221" i="12"/>
  <c r="T221" i="12"/>
  <c r="D222" i="12"/>
  <c r="F222" i="12"/>
  <c r="G222" i="12"/>
  <c r="H222" i="12"/>
  <c r="J222" i="12"/>
  <c r="K222" i="12"/>
  <c r="M222" i="12"/>
  <c r="Z222" i="12"/>
  <c r="N222" i="12" s="1"/>
  <c r="T222" i="12"/>
  <c r="D223" i="12"/>
  <c r="E223" i="12"/>
  <c r="F223" i="12"/>
  <c r="G223" i="12"/>
  <c r="H223" i="12"/>
  <c r="J223" i="12"/>
  <c r="K223" i="12"/>
  <c r="M223" i="12"/>
  <c r="Z223" i="12"/>
  <c r="N223" i="12"/>
  <c r="R223" i="12"/>
  <c r="T223" i="12"/>
  <c r="D224" i="12"/>
  <c r="E224" i="12"/>
  <c r="F224" i="12"/>
  <c r="G224" i="12"/>
  <c r="H224" i="12"/>
  <c r="J224" i="12"/>
  <c r="K224" i="12"/>
  <c r="R224" i="12" s="1"/>
  <c r="M224" i="12"/>
  <c r="Z224" i="12"/>
  <c r="N224" i="12" s="1"/>
  <c r="T224" i="12"/>
  <c r="D225" i="12"/>
  <c r="E225" i="12"/>
  <c r="F225" i="12"/>
  <c r="G225" i="12"/>
  <c r="H225" i="12"/>
  <c r="J225" i="12"/>
  <c r="K225" i="12"/>
  <c r="M225" i="12"/>
  <c r="Z225" i="12"/>
  <c r="N225" i="12"/>
  <c r="R225" i="12"/>
  <c r="T225" i="12"/>
  <c r="D226" i="12"/>
  <c r="E226" i="12"/>
  <c r="F226" i="12"/>
  <c r="G226" i="12"/>
  <c r="H226" i="12"/>
  <c r="J226" i="12"/>
  <c r="K226" i="12"/>
  <c r="R226" i="12" s="1"/>
  <c r="M226" i="12"/>
  <c r="Z226" i="12"/>
  <c r="N226" i="12" s="1"/>
  <c r="T226" i="12"/>
  <c r="D227" i="12"/>
  <c r="E227" i="12"/>
  <c r="F227" i="12"/>
  <c r="G227" i="12"/>
  <c r="H227" i="12"/>
  <c r="J227" i="12"/>
  <c r="K227" i="12"/>
  <c r="M227" i="12"/>
  <c r="Z227" i="12"/>
  <c r="N227" i="12"/>
  <c r="R227" i="12"/>
  <c r="T227" i="12"/>
  <c r="D228" i="12"/>
  <c r="E228" i="12"/>
  <c r="F228" i="12"/>
  <c r="G228" i="12"/>
  <c r="H228" i="12"/>
  <c r="J228" i="12"/>
  <c r="K228" i="12"/>
  <c r="M228" i="12"/>
  <c r="Z228" i="12"/>
  <c r="N228" i="12"/>
  <c r="R228" i="12"/>
  <c r="T228" i="12"/>
  <c r="D229" i="12"/>
  <c r="E229" i="12"/>
  <c r="F229" i="12"/>
  <c r="G229" i="12"/>
  <c r="H229" i="12"/>
  <c r="J229" i="12"/>
  <c r="K229" i="12"/>
  <c r="R229" i="12" s="1"/>
  <c r="M229" i="12"/>
  <c r="Z229" i="12"/>
  <c r="N229" i="12"/>
  <c r="T229" i="12"/>
  <c r="D230" i="12"/>
  <c r="E230" i="12"/>
  <c r="F230" i="12"/>
  <c r="G230" i="12"/>
  <c r="H230" i="12"/>
  <c r="J230" i="12"/>
  <c r="K230" i="12"/>
  <c r="R230" i="12" s="1"/>
  <c r="M230" i="12"/>
  <c r="Z230" i="12"/>
  <c r="N230" i="12"/>
  <c r="T230" i="12"/>
  <c r="D231" i="12"/>
  <c r="E231" i="12"/>
  <c r="F231" i="12"/>
  <c r="G231" i="12"/>
  <c r="H231" i="12"/>
  <c r="J231" i="12"/>
  <c r="K231" i="12"/>
  <c r="R231" i="12" s="1"/>
  <c r="M231" i="12"/>
  <c r="Z231" i="12"/>
  <c r="N231" i="12"/>
  <c r="T231" i="12"/>
  <c r="D232" i="12"/>
  <c r="E232" i="12"/>
  <c r="F232" i="12"/>
  <c r="G232" i="12"/>
  <c r="H232" i="12"/>
  <c r="J232" i="12"/>
  <c r="K232" i="12"/>
  <c r="M232" i="12"/>
  <c r="Z232" i="12"/>
  <c r="N232" i="12"/>
  <c r="R232" i="12"/>
  <c r="T232" i="12"/>
  <c r="D233" i="12"/>
  <c r="E233" i="12"/>
  <c r="F233" i="12"/>
  <c r="G233" i="12"/>
  <c r="H233" i="12"/>
  <c r="J233" i="12"/>
  <c r="K233" i="12"/>
  <c r="R233" i="12" s="1"/>
  <c r="M233" i="12"/>
  <c r="Z233" i="12"/>
  <c r="N233" i="12"/>
  <c r="T233" i="12"/>
  <c r="D234" i="12"/>
  <c r="E234" i="12"/>
  <c r="F234" i="12"/>
  <c r="G234" i="12"/>
  <c r="H234" i="12"/>
  <c r="J234" i="12"/>
  <c r="K234" i="12"/>
  <c r="R234" i="12" s="1"/>
  <c r="M234" i="12"/>
  <c r="Z234" i="12"/>
  <c r="N234" i="12"/>
  <c r="T234" i="12"/>
  <c r="D235" i="12"/>
  <c r="E235" i="12"/>
  <c r="F235" i="12"/>
  <c r="I235" i="12" s="1"/>
  <c r="G235" i="12"/>
  <c r="H235" i="12"/>
  <c r="J235" i="12"/>
  <c r="K235" i="12"/>
  <c r="M235" i="12"/>
  <c r="Z235" i="12"/>
  <c r="N235" i="12"/>
  <c r="T235" i="12"/>
  <c r="D236" i="12"/>
  <c r="E236" i="12"/>
  <c r="F236" i="12"/>
  <c r="G236" i="12"/>
  <c r="H236" i="12"/>
  <c r="J236" i="12"/>
  <c r="K236" i="12"/>
  <c r="M236" i="12"/>
  <c r="O236" i="12" s="1"/>
  <c r="Z236" i="12"/>
  <c r="N236" i="12"/>
  <c r="T236" i="12"/>
  <c r="D237" i="12"/>
  <c r="E237" i="12"/>
  <c r="F237" i="12"/>
  <c r="G237" i="12"/>
  <c r="H237" i="12"/>
  <c r="J237" i="12"/>
  <c r="K237" i="12"/>
  <c r="M237" i="12"/>
  <c r="Z237" i="12"/>
  <c r="N237" i="12"/>
  <c r="T237" i="12"/>
  <c r="D238" i="12"/>
  <c r="E238" i="12"/>
  <c r="F238" i="12"/>
  <c r="G238" i="12"/>
  <c r="H238" i="12"/>
  <c r="J238" i="12"/>
  <c r="K238" i="12"/>
  <c r="M238" i="12"/>
  <c r="Z238" i="12"/>
  <c r="N238" i="12"/>
  <c r="T238" i="12"/>
  <c r="D239" i="12"/>
  <c r="E239" i="12"/>
  <c r="F239" i="12"/>
  <c r="I239" i="12" s="1"/>
  <c r="G239" i="12"/>
  <c r="H239" i="12"/>
  <c r="J239" i="12"/>
  <c r="K239" i="12"/>
  <c r="M239" i="12"/>
  <c r="Z239" i="12"/>
  <c r="N239" i="12"/>
  <c r="T239" i="12"/>
  <c r="D240" i="12"/>
  <c r="E240" i="12"/>
  <c r="F240" i="12"/>
  <c r="G240" i="12"/>
  <c r="H240" i="12"/>
  <c r="J240" i="12"/>
  <c r="K240" i="12"/>
  <c r="M240" i="12"/>
  <c r="O240" i="12" s="1"/>
  <c r="Z240" i="12"/>
  <c r="N240" i="12"/>
  <c r="T240" i="12"/>
  <c r="D241" i="12"/>
  <c r="E241" i="12"/>
  <c r="F241" i="12"/>
  <c r="G241" i="12"/>
  <c r="H241" i="12"/>
  <c r="J241" i="12"/>
  <c r="K241" i="12"/>
  <c r="M241" i="12"/>
  <c r="Z241" i="12"/>
  <c r="N241" i="12"/>
  <c r="T241" i="12"/>
  <c r="D242" i="12"/>
  <c r="E242" i="12"/>
  <c r="F242" i="12"/>
  <c r="G242" i="12"/>
  <c r="H242" i="12"/>
  <c r="J242" i="12"/>
  <c r="K242" i="12"/>
  <c r="M242" i="12"/>
  <c r="Z242" i="12"/>
  <c r="N242" i="12"/>
  <c r="O242" i="12" s="1"/>
  <c r="T242" i="12"/>
  <c r="D243" i="12"/>
  <c r="E243" i="12"/>
  <c r="F243" i="12"/>
  <c r="I243" i="12" s="1"/>
  <c r="G243" i="12"/>
  <c r="H243" i="12"/>
  <c r="J243" i="12"/>
  <c r="K243" i="12"/>
  <c r="M243" i="12"/>
  <c r="Z243" i="12"/>
  <c r="N243" i="12"/>
  <c r="T243" i="12"/>
  <c r="D244" i="12"/>
  <c r="E244" i="12"/>
  <c r="F244" i="12"/>
  <c r="G244" i="12"/>
  <c r="H244" i="12"/>
  <c r="J244" i="12"/>
  <c r="K244" i="12"/>
  <c r="M244" i="12"/>
  <c r="Z244" i="12"/>
  <c r="N244" i="12"/>
  <c r="T244" i="12"/>
  <c r="D245" i="12"/>
  <c r="E245" i="12"/>
  <c r="F245" i="12"/>
  <c r="G245" i="12"/>
  <c r="H245" i="12"/>
  <c r="J245" i="12"/>
  <c r="K245" i="12"/>
  <c r="M245" i="12"/>
  <c r="Z245" i="12"/>
  <c r="N245" i="12"/>
  <c r="R245" i="12"/>
  <c r="T245" i="12"/>
  <c r="D246" i="12"/>
  <c r="E246" i="12"/>
  <c r="F246" i="12"/>
  <c r="G246" i="12"/>
  <c r="H246" i="12"/>
  <c r="J246" i="12"/>
  <c r="K246" i="12"/>
  <c r="M246" i="12"/>
  <c r="Z246" i="12"/>
  <c r="N246" i="12"/>
  <c r="T246" i="12"/>
  <c r="D247" i="12"/>
  <c r="E247" i="12"/>
  <c r="F247" i="12"/>
  <c r="G247" i="12"/>
  <c r="H247" i="12"/>
  <c r="J247" i="12"/>
  <c r="K247" i="12"/>
  <c r="M247" i="12"/>
  <c r="Z247" i="12"/>
  <c r="N247" i="12"/>
  <c r="O247" i="12" s="1"/>
  <c r="R247" i="12"/>
  <c r="T247" i="12"/>
  <c r="D248" i="12"/>
  <c r="E248" i="12"/>
  <c r="F248" i="12"/>
  <c r="G248" i="12"/>
  <c r="H248" i="12"/>
  <c r="J248" i="12"/>
  <c r="K248" i="12"/>
  <c r="M248" i="12"/>
  <c r="Z248" i="12"/>
  <c r="N248" i="12"/>
  <c r="O248" i="12" s="1"/>
  <c r="R248" i="12"/>
  <c r="T248" i="12"/>
  <c r="D249" i="12"/>
  <c r="E249" i="12"/>
  <c r="F249" i="12"/>
  <c r="G249" i="12"/>
  <c r="H249" i="12"/>
  <c r="J249" i="12"/>
  <c r="K249" i="12"/>
  <c r="M249" i="12"/>
  <c r="Z249" i="12"/>
  <c r="N249" i="12"/>
  <c r="O249" i="12" s="1"/>
  <c r="T249" i="12"/>
  <c r="D250" i="12"/>
  <c r="E250" i="12"/>
  <c r="F250" i="12"/>
  <c r="I250" i="12" s="1"/>
  <c r="G250" i="12"/>
  <c r="H250" i="12"/>
  <c r="J250" i="12"/>
  <c r="K250" i="12"/>
  <c r="M250" i="12"/>
  <c r="Z250" i="12"/>
  <c r="N250" i="12"/>
  <c r="T250" i="12"/>
  <c r="D251" i="12"/>
  <c r="E251" i="12"/>
  <c r="F251" i="12"/>
  <c r="G251" i="12"/>
  <c r="H251" i="12"/>
  <c r="J251" i="12"/>
  <c r="K251" i="12"/>
  <c r="M251" i="12"/>
  <c r="Z251" i="12"/>
  <c r="N251" i="12"/>
  <c r="T251" i="12"/>
  <c r="D252" i="12"/>
  <c r="E252" i="12"/>
  <c r="F252" i="12"/>
  <c r="G252" i="12"/>
  <c r="H252" i="12"/>
  <c r="J252" i="12"/>
  <c r="K252" i="12"/>
  <c r="M252" i="12"/>
  <c r="Z252" i="12"/>
  <c r="N252" i="12"/>
  <c r="R252" i="12"/>
  <c r="T252" i="12"/>
  <c r="D253" i="12"/>
  <c r="E253" i="12"/>
  <c r="F253" i="12"/>
  <c r="G253" i="12"/>
  <c r="H253" i="12"/>
  <c r="J253" i="12"/>
  <c r="K253" i="12"/>
  <c r="M253" i="12"/>
  <c r="Z253" i="12"/>
  <c r="N253" i="12"/>
  <c r="R253" i="12"/>
  <c r="T253" i="12"/>
  <c r="T255" i="12"/>
  <c r="X258" i="12"/>
  <c r="D259" i="12"/>
  <c r="E259" i="12"/>
  <c r="F259" i="12"/>
  <c r="G259" i="12"/>
  <c r="H259" i="12"/>
  <c r="J259" i="12"/>
  <c r="M259" i="12"/>
  <c r="O259" i="12" s="1"/>
  <c r="N259" i="12"/>
  <c r="T259" i="12"/>
  <c r="T266" i="12" s="1"/>
  <c r="D260" i="12"/>
  <c r="E260" i="12"/>
  <c r="F260" i="12"/>
  <c r="G260" i="12"/>
  <c r="H260" i="12"/>
  <c r="J260" i="12"/>
  <c r="K260" i="12"/>
  <c r="M260" i="12"/>
  <c r="N260" i="12"/>
  <c r="T260" i="12"/>
  <c r="D261" i="12"/>
  <c r="E261" i="12"/>
  <c r="F261" i="12"/>
  <c r="G261" i="12"/>
  <c r="H261" i="12"/>
  <c r="J261" i="12"/>
  <c r="K261" i="12"/>
  <c r="M261" i="12"/>
  <c r="N261" i="12"/>
  <c r="T261" i="12"/>
  <c r="D262" i="12"/>
  <c r="E262" i="12"/>
  <c r="F262" i="12"/>
  <c r="G262" i="12"/>
  <c r="H262" i="12"/>
  <c r="J262" i="12"/>
  <c r="K262" i="12"/>
  <c r="M262" i="12"/>
  <c r="N262" i="12"/>
  <c r="T262" i="12"/>
  <c r="D263" i="12"/>
  <c r="E263" i="12"/>
  <c r="F263" i="12"/>
  <c r="G263" i="12"/>
  <c r="H263" i="12"/>
  <c r="J263" i="12"/>
  <c r="K263" i="12"/>
  <c r="M263" i="12"/>
  <c r="N263" i="12"/>
  <c r="T263" i="12"/>
  <c r="D264" i="12"/>
  <c r="E264" i="12"/>
  <c r="F264" i="12"/>
  <c r="G264" i="12"/>
  <c r="H264" i="12"/>
  <c r="J264" i="12"/>
  <c r="K264" i="12"/>
  <c r="M264" i="12"/>
  <c r="N264" i="12"/>
  <c r="T264" i="12"/>
  <c r="X267" i="12"/>
  <c r="U276" i="12"/>
  <c r="U280" i="12"/>
  <c r="U294" i="12"/>
  <c r="U334" i="12"/>
  <c r="U339" i="12"/>
  <c r="U348" i="12"/>
  <c r="U353" i="12"/>
  <c r="U354" i="12"/>
  <c r="U356" i="12"/>
  <c r="U365" i="12"/>
  <c r="U384" i="12"/>
  <c r="N9" i="11"/>
  <c r="N14" i="11"/>
  <c r="B54" i="13" s="1"/>
  <c r="B57" i="13" s="1"/>
  <c r="D57" i="13" s="1"/>
  <c r="N19" i="11"/>
  <c r="B11" i="11"/>
  <c r="C11" i="11"/>
  <c r="C23" i="11" s="1"/>
  <c r="D11" i="11"/>
  <c r="D23" i="11" s="1"/>
  <c r="E11" i="11"/>
  <c r="F11" i="11"/>
  <c r="G11" i="11"/>
  <c r="G23" i="11" s="1"/>
  <c r="H11" i="11"/>
  <c r="H23" i="11" s="1"/>
  <c r="I11" i="11"/>
  <c r="J11" i="11"/>
  <c r="K11" i="11"/>
  <c r="K23" i="11" s="1"/>
  <c r="L11" i="11"/>
  <c r="L23" i="11" s="1"/>
  <c r="M11" i="11"/>
  <c r="Q11" i="11"/>
  <c r="B63" i="13" s="1"/>
  <c r="N32" i="11"/>
  <c r="C54" i="13" s="1"/>
  <c r="C57" i="13" s="1"/>
  <c r="N27" i="11"/>
  <c r="P25" i="11"/>
  <c r="Q13" i="11" s="1"/>
  <c r="C63" i="13" s="1"/>
  <c r="B15" i="11"/>
  <c r="C15" i="11"/>
  <c r="D15" i="11"/>
  <c r="E15" i="11"/>
  <c r="F15" i="11"/>
  <c r="G15" i="11"/>
  <c r="H15" i="11"/>
  <c r="I15" i="11"/>
  <c r="J15" i="11"/>
  <c r="K15" i="11"/>
  <c r="L15" i="11"/>
  <c r="M15" i="11"/>
  <c r="B16" i="11"/>
  <c r="C16" i="11"/>
  <c r="N16" i="11" s="1"/>
  <c r="D16" i="11"/>
  <c r="E16" i="11"/>
  <c r="F16" i="11"/>
  <c r="G16" i="11"/>
  <c r="H16" i="11"/>
  <c r="I16" i="11"/>
  <c r="J16" i="11"/>
  <c r="K16" i="11"/>
  <c r="L16" i="11"/>
  <c r="M16" i="11"/>
  <c r="B20" i="11"/>
  <c r="C20" i="11"/>
  <c r="D20" i="11"/>
  <c r="E20" i="11"/>
  <c r="F20" i="11"/>
  <c r="G20" i="11"/>
  <c r="H20" i="11"/>
  <c r="I20" i="11"/>
  <c r="J20" i="11"/>
  <c r="K20" i="11"/>
  <c r="L20" i="11"/>
  <c r="M20" i="11"/>
  <c r="B21" i="11"/>
  <c r="C21" i="11"/>
  <c r="N21" i="11" s="1"/>
  <c r="D21" i="11"/>
  <c r="E21" i="11"/>
  <c r="F21" i="11"/>
  <c r="G21" i="11"/>
  <c r="H21" i="11"/>
  <c r="I21" i="11"/>
  <c r="J21" i="11"/>
  <c r="K21" i="11"/>
  <c r="L21" i="11"/>
  <c r="M21" i="11"/>
  <c r="B23" i="11"/>
  <c r="E23" i="11"/>
  <c r="F23" i="11"/>
  <c r="I23" i="11"/>
  <c r="J23" i="11"/>
  <c r="M23" i="11"/>
  <c r="B26" i="11"/>
  <c r="C26" i="11"/>
  <c r="D26" i="11"/>
  <c r="E26" i="11"/>
  <c r="F26" i="11"/>
  <c r="G26" i="11"/>
  <c r="H26" i="11"/>
  <c r="I26" i="11"/>
  <c r="J26" i="11"/>
  <c r="K26" i="11"/>
  <c r="L26" i="11"/>
  <c r="M26" i="11"/>
  <c r="Q26" i="11"/>
  <c r="B29" i="11"/>
  <c r="C29" i="11"/>
  <c r="N29" i="11" s="1"/>
  <c r="D29" i="11"/>
  <c r="E29" i="11"/>
  <c r="F29" i="11"/>
  <c r="G29" i="11"/>
  <c r="H29" i="11"/>
  <c r="I29" i="11"/>
  <c r="J29" i="11"/>
  <c r="K29" i="11"/>
  <c r="L29" i="11"/>
  <c r="M29" i="11"/>
  <c r="B33" i="11"/>
  <c r="B38" i="11" s="1"/>
  <c r="B39" i="11" s="1"/>
  <c r="C33" i="11"/>
  <c r="D33" i="11"/>
  <c r="E33" i="11"/>
  <c r="E38" i="11" s="1"/>
  <c r="E39" i="11" s="1"/>
  <c r="E41" i="11" s="1"/>
  <c r="F33" i="11"/>
  <c r="F38" i="11" s="1"/>
  <c r="F39" i="11" s="1"/>
  <c r="F41" i="11" s="1"/>
  <c r="G33" i="11"/>
  <c r="H33" i="11"/>
  <c r="I33" i="11"/>
  <c r="I38" i="11" s="1"/>
  <c r="I39" i="11" s="1"/>
  <c r="I41" i="11" s="1"/>
  <c r="J33" i="11"/>
  <c r="J38" i="11" s="1"/>
  <c r="J39" i="11" s="1"/>
  <c r="J41" i="11" s="1"/>
  <c r="K33" i="11"/>
  <c r="L33" i="11"/>
  <c r="M33" i="11"/>
  <c r="M38" i="11" s="1"/>
  <c r="M39" i="11" s="1"/>
  <c r="M41" i="11" s="1"/>
  <c r="B34" i="11"/>
  <c r="C34" i="11"/>
  <c r="D34" i="11"/>
  <c r="E34" i="11"/>
  <c r="F34" i="11"/>
  <c r="G34" i="11"/>
  <c r="H34" i="11"/>
  <c r="I34" i="11"/>
  <c r="J34" i="11"/>
  <c r="K34" i="11"/>
  <c r="L34" i="11"/>
  <c r="M34" i="11"/>
  <c r="N34" i="11"/>
  <c r="N37" i="11"/>
  <c r="C38" i="11"/>
  <c r="D38" i="11"/>
  <c r="G38" i="11"/>
  <c r="H38" i="11"/>
  <c r="K38" i="11"/>
  <c r="L38" i="11"/>
  <c r="C39" i="11"/>
  <c r="D39" i="11"/>
  <c r="D41" i="11" s="1"/>
  <c r="G39" i="11"/>
  <c r="H39" i="11"/>
  <c r="H41" i="11" s="1"/>
  <c r="K39" i="11"/>
  <c r="L39" i="11"/>
  <c r="L41" i="11" s="1"/>
  <c r="C41" i="11"/>
  <c r="G41" i="11"/>
  <c r="K41" i="11"/>
  <c r="B44" i="11"/>
  <c r="C44" i="11"/>
  <c r="D44" i="11"/>
  <c r="E44" i="11"/>
  <c r="F44" i="11"/>
  <c r="G44" i="11"/>
  <c r="H44" i="11"/>
  <c r="I44" i="11"/>
  <c r="J44" i="11"/>
  <c r="K44" i="11"/>
  <c r="L44" i="11"/>
  <c r="M44" i="11"/>
  <c r="N45" i="11"/>
  <c r="B46" i="11"/>
  <c r="C46" i="11"/>
  <c r="D46" i="11"/>
  <c r="D51" i="11" s="1"/>
  <c r="D52" i="11" s="1"/>
  <c r="D59" i="11" s="1"/>
  <c r="E46" i="11"/>
  <c r="E51" i="11" s="1"/>
  <c r="E52" i="11" s="1"/>
  <c r="F46" i="11"/>
  <c r="G46" i="11"/>
  <c r="H46" i="11"/>
  <c r="H51" i="11" s="1"/>
  <c r="H52" i="11" s="1"/>
  <c r="H59" i="11" s="1"/>
  <c r="I46" i="11"/>
  <c r="I51" i="11" s="1"/>
  <c r="I52" i="11" s="1"/>
  <c r="J46" i="11"/>
  <c r="K46" i="11"/>
  <c r="L46" i="11"/>
  <c r="L51" i="11" s="1"/>
  <c r="L52" i="11" s="1"/>
  <c r="L59" i="11" s="1"/>
  <c r="M46" i="11"/>
  <c r="M51" i="11" s="1"/>
  <c r="M52" i="11" s="1"/>
  <c r="B47" i="11"/>
  <c r="B59" i="11" s="1"/>
  <c r="B72" i="11" s="1"/>
  <c r="C47" i="11"/>
  <c r="D47" i="11"/>
  <c r="N47" i="11" s="1"/>
  <c r="E47" i="11"/>
  <c r="E59" i="11" s="1"/>
  <c r="E72" i="11" s="1"/>
  <c r="F47" i="11"/>
  <c r="F59" i="11" s="1"/>
  <c r="F72" i="11" s="1"/>
  <c r="G47" i="11"/>
  <c r="H47" i="11"/>
  <c r="I47" i="11"/>
  <c r="I59" i="11" s="1"/>
  <c r="I72" i="11" s="1"/>
  <c r="J47" i="11"/>
  <c r="J59" i="11" s="1"/>
  <c r="J72" i="11" s="1"/>
  <c r="K47" i="11"/>
  <c r="L47" i="11"/>
  <c r="M47" i="11"/>
  <c r="M59" i="11" s="1"/>
  <c r="M72" i="11" s="1"/>
  <c r="N50" i="11"/>
  <c r="B51" i="11"/>
  <c r="C51" i="11"/>
  <c r="F51" i="11"/>
  <c r="G51" i="11"/>
  <c r="J51" i="11"/>
  <c r="K51" i="11"/>
  <c r="B52" i="11"/>
  <c r="C52" i="11"/>
  <c r="F52" i="11"/>
  <c r="G52" i="11"/>
  <c r="G59" i="11" s="1"/>
  <c r="J52" i="11"/>
  <c r="K52" i="11"/>
  <c r="K59" i="11" s="1"/>
  <c r="N55" i="11"/>
  <c r="B56" i="11"/>
  <c r="C56" i="11"/>
  <c r="D56" i="11"/>
  <c r="E56" i="11"/>
  <c r="F56" i="11"/>
  <c r="G56" i="11"/>
  <c r="H56" i="11"/>
  <c r="I56" i="11"/>
  <c r="J56" i="11"/>
  <c r="K56" i="11"/>
  <c r="L56" i="11"/>
  <c r="M56" i="11"/>
  <c r="B57" i="11"/>
  <c r="C57" i="11"/>
  <c r="D57" i="11"/>
  <c r="N57" i="11" s="1"/>
  <c r="E57" i="11"/>
  <c r="F57" i="11"/>
  <c r="G57" i="11"/>
  <c r="H57" i="11"/>
  <c r="I57" i="11"/>
  <c r="J57" i="11"/>
  <c r="K57" i="11"/>
  <c r="L57" i="11"/>
  <c r="M57" i="11"/>
  <c r="N62" i="11"/>
  <c r="B64" i="11"/>
  <c r="C64" i="11"/>
  <c r="D64" i="11"/>
  <c r="E64" i="11"/>
  <c r="F64" i="11"/>
  <c r="G64" i="11"/>
  <c r="H64" i="11"/>
  <c r="I64" i="11"/>
  <c r="J64" i="11"/>
  <c r="K64" i="11"/>
  <c r="L64" i="11"/>
  <c r="M64" i="11"/>
  <c r="N64" i="11"/>
  <c r="N68" i="11"/>
  <c r="C69" i="11"/>
  <c r="B70" i="11"/>
  <c r="C70" i="11"/>
  <c r="N70" i="11" s="1"/>
  <c r="D70" i="11"/>
  <c r="E70" i="11"/>
  <c r="F70" i="11"/>
  <c r="G70" i="11"/>
  <c r="H70" i="11"/>
  <c r="I70" i="11"/>
  <c r="J70" i="11"/>
  <c r="K70" i="11"/>
  <c r="L70" i="11"/>
  <c r="M70" i="11"/>
  <c r="B73" i="11"/>
  <c r="C73" i="11"/>
  <c r="D73" i="11"/>
  <c r="E73" i="11"/>
  <c r="F73" i="11"/>
  <c r="G73" i="11"/>
  <c r="H73" i="11"/>
  <c r="I73" i="11"/>
  <c r="J73" i="11"/>
  <c r="K73" i="11"/>
  <c r="L73" i="11"/>
  <c r="M73" i="11"/>
  <c r="O219" i="12" l="1"/>
  <c r="R208" i="12"/>
  <c r="T143" i="12"/>
  <c r="R207" i="12"/>
  <c r="R140" i="12"/>
  <c r="I138" i="12"/>
  <c r="I64" i="12"/>
  <c r="I62" i="12"/>
  <c r="L62" i="12" s="1"/>
  <c r="I31" i="12"/>
  <c r="L31" i="12" s="1"/>
  <c r="R90" i="12"/>
  <c r="I83" i="12"/>
  <c r="I65" i="12"/>
  <c r="N64" i="12"/>
  <c r="T19" i="12"/>
  <c r="O221" i="12"/>
  <c r="P221" i="12" s="1"/>
  <c r="I219" i="12"/>
  <c r="I206" i="12"/>
  <c r="O205" i="12"/>
  <c r="R184" i="12"/>
  <c r="R176" i="12"/>
  <c r="R172" i="12"/>
  <c r="R168" i="12"/>
  <c r="I167" i="12"/>
  <c r="L167" i="12" s="1"/>
  <c r="R164" i="12"/>
  <c r="P163" i="12"/>
  <c r="T137" i="12"/>
  <c r="I106" i="12"/>
  <c r="I226" i="12"/>
  <c r="O169" i="12"/>
  <c r="P169" i="12" s="1"/>
  <c r="I164" i="12"/>
  <c r="I227" i="12"/>
  <c r="O220" i="12"/>
  <c r="I211" i="12"/>
  <c r="L211" i="12" s="1"/>
  <c r="I201" i="12"/>
  <c r="I199" i="12"/>
  <c r="O143" i="12"/>
  <c r="R139" i="12"/>
  <c r="F132" i="12"/>
  <c r="R128" i="12"/>
  <c r="H132" i="12"/>
  <c r="I93" i="12"/>
  <c r="I27" i="12"/>
  <c r="O26" i="12"/>
  <c r="Q26" i="12" s="1"/>
  <c r="I225" i="12"/>
  <c r="O264" i="12"/>
  <c r="Q264" i="12" s="1"/>
  <c r="G193" i="12"/>
  <c r="M97" i="12"/>
  <c r="I81" i="12"/>
  <c r="L81" i="12" s="1"/>
  <c r="R66" i="12"/>
  <c r="Q259" i="12"/>
  <c r="P259" i="12"/>
  <c r="M255" i="12"/>
  <c r="I222" i="12"/>
  <c r="O208" i="12"/>
  <c r="P208" i="12" s="1"/>
  <c r="I207" i="12"/>
  <c r="L207" i="12" s="1"/>
  <c r="O206" i="12"/>
  <c r="I203" i="12"/>
  <c r="O202" i="12"/>
  <c r="J193" i="12"/>
  <c r="E193" i="12"/>
  <c r="O183" i="12"/>
  <c r="E187" i="12"/>
  <c r="R175" i="12"/>
  <c r="O167" i="12"/>
  <c r="P167" i="12" s="1"/>
  <c r="O165" i="12"/>
  <c r="P165" i="12" s="1"/>
  <c r="T155" i="12"/>
  <c r="T157" i="12" s="1"/>
  <c r="N142" i="12"/>
  <c r="J145" i="12"/>
  <c r="T139" i="12"/>
  <c r="E145" i="12"/>
  <c r="R129" i="12"/>
  <c r="N126" i="12"/>
  <c r="R126" i="12" s="1"/>
  <c r="G123" i="12"/>
  <c r="N119" i="12"/>
  <c r="R119" i="12" s="1"/>
  <c r="I114" i="12"/>
  <c r="O78" i="12"/>
  <c r="P78" i="12" s="1"/>
  <c r="I78" i="12"/>
  <c r="N77" i="12"/>
  <c r="O77" i="12" s="1"/>
  <c r="I70" i="12"/>
  <c r="N68" i="12"/>
  <c r="R68" i="12" s="1"/>
  <c r="I54" i="12"/>
  <c r="I53" i="12"/>
  <c r="I52" i="12"/>
  <c r="L52" i="12" s="1"/>
  <c r="I50" i="12"/>
  <c r="L50" i="12" s="1"/>
  <c r="I49" i="12"/>
  <c r="I34" i="12"/>
  <c r="L34" i="12" s="1"/>
  <c r="O22" i="12"/>
  <c r="Q22" i="12" s="1"/>
  <c r="I261" i="12"/>
  <c r="L261" i="12" s="1"/>
  <c r="I260" i="12"/>
  <c r="L260" i="12" s="1"/>
  <c r="O263" i="12"/>
  <c r="P263" i="12" s="1"/>
  <c r="I228" i="12"/>
  <c r="I218" i="12"/>
  <c r="O217" i="12"/>
  <c r="R210" i="12"/>
  <c r="O209" i="12"/>
  <c r="P209" i="12" s="1"/>
  <c r="O191" i="12"/>
  <c r="P191" i="12" s="1"/>
  <c r="J187" i="12"/>
  <c r="N100" i="12"/>
  <c r="M87" i="12"/>
  <c r="N65" i="12"/>
  <c r="N54" i="12"/>
  <c r="R54" i="12" s="1"/>
  <c r="N41" i="12"/>
  <c r="R41" i="12" s="1"/>
  <c r="O34" i="12"/>
  <c r="F151" i="12"/>
  <c r="L138" i="12"/>
  <c r="N22" i="12"/>
  <c r="L219" i="12"/>
  <c r="I202" i="12"/>
  <c r="O201" i="12"/>
  <c r="Q201" i="12" s="1"/>
  <c r="O199" i="12"/>
  <c r="O196" i="12"/>
  <c r="O182" i="12"/>
  <c r="I181" i="12"/>
  <c r="R178" i="12"/>
  <c r="R174" i="12"/>
  <c r="O170" i="12"/>
  <c r="P170" i="12" s="1"/>
  <c r="O164" i="12"/>
  <c r="P164" i="12" s="1"/>
  <c r="R130" i="12"/>
  <c r="K132" i="12"/>
  <c r="I120" i="12"/>
  <c r="T119" i="12"/>
  <c r="I107" i="12"/>
  <c r="I75" i="12"/>
  <c r="I67" i="12"/>
  <c r="N50" i="12"/>
  <c r="N47" i="12"/>
  <c r="I22" i="12"/>
  <c r="I21" i="12"/>
  <c r="L222" i="12"/>
  <c r="P264" i="12"/>
  <c r="R264" i="12"/>
  <c r="J266" i="12"/>
  <c r="O253" i="12"/>
  <c r="O252" i="12"/>
  <c r="E255" i="12"/>
  <c r="E266" i="12"/>
  <c r="L250" i="12"/>
  <c r="L243" i="12"/>
  <c r="L239" i="12"/>
  <c r="L235" i="12"/>
  <c r="I234" i="12"/>
  <c r="L234" i="12" s="1"/>
  <c r="I233" i="12"/>
  <c r="L233" i="12" s="1"/>
  <c r="I232" i="12"/>
  <c r="L232" i="12" s="1"/>
  <c r="I231" i="12"/>
  <c r="L231" i="12" s="1"/>
  <c r="O261" i="12"/>
  <c r="L225" i="12"/>
  <c r="G213" i="12"/>
  <c r="F187" i="12"/>
  <c r="J151" i="12"/>
  <c r="F145" i="12"/>
  <c r="J132" i="12"/>
  <c r="E132" i="12"/>
  <c r="J123" i="12"/>
  <c r="L113" i="12"/>
  <c r="I63" i="12"/>
  <c r="N60" i="12"/>
  <c r="R60" i="12" s="1"/>
  <c r="O48" i="12"/>
  <c r="Q48" i="12" s="1"/>
  <c r="M57" i="12"/>
  <c r="O38" i="12"/>
  <c r="Q38" i="12" s="1"/>
  <c r="I38" i="12"/>
  <c r="N35" i="12"/>
  <c r="R35" i="12" s="1"/>
  <c r="T32" i="12"/>
  <c r="N26" i="12"/>
  <c r="T23" i="12"/>
  <c r="T20" i="12"/>
  <c r="I249" i="12"/>
  <c r="L249" i="12" s="1"/>
  <c r="I248" i="12"/>
  <c r="L248" i="12" s="1"/>
  <c r="I247" i="12"/>
  <c r="L247" i="12" s="1"/>
  <c r="O246" i="12"/>
  <c r="O245" i="12"/>
  <c r="I242" i="12"/>
  <c r="O241" i="12"/>
  <c r="O239" i="12"/>
  <c r="I238" i="12"/>
  <c r="O235" i="12"/>
  <c r="O234" i="12"/>
  <c r="O233" i="12"/>
  <c r="O232" i="12"/>
  <c r="O231" i="12"/>
  <c r="O230" i="12"/>
  <c r="O229" i="12"/>
  <c r="O228" i="12"/>
  <c r="O227" i="12"/>
  <c r="Q218" i="12"/>
  <c r="R209" i="12"/>
  <c r="O207" i="12"/>
  <c r="I204" i="12"/>
  <c r="O203" i="12"/>
  <c r="I200" i="12"/>
  <c r="K213" i="12"/>
  <c r="I196" i="12"/>
  <c r="M187" i="12"/>
  <c r="L181" i="12"/>
  <c r="O180" i="12"/>
  <c r="I179" i="12"/>
  <c r="I178" i="12"/>
  <c r="O171" i="12"/>
  <c r="I168" i="12"/>
  <c r="L168" i="12" s="1"/>
  <c r="R166" i="12"/>
  <c r="R165" i="12"/>
  <c r="O162" i="12"/>
  <c r="P162" i="12" s="1"/>
  <c r="R155" i="12"/>
  <c r="R157" i="12" s="1"/>
  <c r="R149" i="12"/>
  <c r="H151" i="12"/>
  <c r="I148" i="12"/>
  <c r="T140" i="12"/>
  <c r="N137" i="12"/>
  <c r="R137" i="12" s="1"/>
  <c r="O126" i="12"/>
  <c r="Q126" i="12" s="1"/>
  <c r="I126" i="12"/>
  <c r="Q121" i="12"/>
  <c r="I121" i="12"/>
  <c r="L121" i="12" s="1"/>
  <c r="I119" i="12"/>
  <c r="I112" i="12"/>
  <c r="I111" i="12"/>
  <c r="N108" i="12"/>
  <c r="Q107" i="12"/>
  <c r="T106" i="12"/>
  <c r="N104" i="12"/>
  <c r="T90" i="12"/>
  <c r="I90" i="12"/>
  <c r="L90" i="12" s="1"/>
  <c r="I79" i="12"/>
  <c r="N72" i="12"/>
  <c r="R72" i="12" s="1"/>
  <c r="O66" i="12"/>
  <c r="P66" i="12" s="1"/>
  <c r="R64" i="12"/>
  <c r="R50" i="12"/>
  <c r="R47" i="12"/>
  <c r="L41" i="12"/>
  <c r="N38" i="12"/>
  <c r="R38" i="12" s="1"/>
  <c r="E57" i="12"/>
  <c r="I230" i="12"/>
  <c r="L230" i="12" s="1"/>
  <c r="I229" i="12"/>
  <c r="L229" i="12" s="1"/>
  <c r="I224" i="12"/>
  <c r="L224" i="12" s="1"/>
  <c r="I223" i="12"/>
  <c r="L223" i="12" s="1"/>
  <c r="R222" i="12"/>
  <c r="I217" i="12"/>
  <c r="L217" i="12" s="1"/>
  <c r="I210" i="12"/>
  <c r="L210" i="12" s="1"/>
  <c r="I205" i="12"/>
  <c r="L205" i="12" s="1"/>
  <c r="O204" i="12"/>
  <c r="R200" i="12"/>
  <c r="I198" i="12"/>
  <c r="R197" i="12"/>
  <c r="I197" i="12"/>
  <c r="R191" i="12"/>
  <c r="I191" i="12"/>
  <c r="O190" i="12"/>
  <c r="O181" i="12"/>
  <c r="I180" i="12"/>
  <c r="L180" i="12" s="1"/>
  <c r="O173" i="12"/>
  <c r="O172" i="12"/>
  <c r="I171" i="12"/>
  <c r="L171" i="12" s="1"/>
  <c r="O168" i="12"/>
  <c r="P168" i="12" s="1"/>
  <c r="R167" i="12"/>
  <c r="O166" i="12"/>
  <c r="P166" i="12" s="1"/>
  <c r="T141" i="12"/>
  <c r="O140" i="12"/>
  <c r="P140" i="12" s="1"/>
  <c r="I139" i="12"/>
  <c r="I137" i="12"/>
  <c r="R136" i="12"/>
  <c r="M132" i="12"/>
  <c r="G132" i="12"/>
  <c r="L112" i="12"/>
  <c r="N109" i="12"/>
  <c r="R109" i="12" s="1"/>
  <c r="I109" i="12"/>
  <c r="L109" i="12" s="1"/>
  <c r="Q106" i="12"/>
  <c r="F116" i="12"/>
  <c r="I84" i="12"/>
  <c r="L84" i="12" s="1"/>
  <c r="I82" i="12"/>
  <c r="L82" i="12" s="1"/>
  <c r="I71" i="12"/>
  <c r="I69" i="12"/>
  <c r="T66" i="12"/>
  <c r="L39" i="12"/>
  <c r="L27" i="12"/>
  <c r="R22" i="12"/>
  <c r="R221" i="12"/>
  <c r="R201" i="12"/>
  <c r="R170" i="12"/>
  <c r="R169" i="12"/>
  <c r="M145" i="12"/>
  <c r="G145" i="12"/>
  <c r="T136" i="12"/>
  <c r="O108" i="12"/>
  <c r="O105" i="12"/>
  <c r="H97" i="12"/>
  <c r="N85" i="12"/>
  <c r="R85" i="12" s="1"/>
  <c r="T78" i="12"/>
  <c r="R74" i="12"/>
  <c r="L70" i="12"/>
  <c r="N69" i="12"/>
  <c r="O69" i="12" s="1"/>
  <c r="I60" i="12"/>
  <c r="L60" i="12" s="1"/>
  <c r="I48" i="12"/>
  <c r="L48" i="12" s="1"/>
  <c r="O39" i="12"/>
  <c r="Q39" i="12" s="1"/>
  <c r="I35" i="12"/>
  <c r="L35" i="12" s="1"/>
  <c r="Q34" i="12"/>
  <c r="I32" i="12"/>
  <c r="N27" i="12"/>
  <c r="R27" i="12" s="1"/>
  <c r="N23" i="12"/>
  <c r="R23" i="12" s="1"/>
  <c r="I20" i="12"/>
  <c r="Q261" i="12"/>
  <c r="P261" i="12"/>
  <c r="S259" i="12"/>
  <c r="L228" i="12"/>
  <c r="J213" i="12"/>
  <c r="L201" i="12"/>
  <c r="L199" i="12"/>
  <c r="R198" i="12"/>
  <c r="L196" i="12"/>
  <c r="I185" i="12"/>
  <c r="L185" i="12" s="1"/>
  <c r="I184" i="12"/>
  <c r="L184" i="12" s="1"/>
  <c r="R180" i="12"/>
  <c r="O179" i="12"/>
  <c r="O178" i="12"/>
  <c r="I177" i="12"/>
  <c r="I176" i="12"/>
  <c r="I175" i="12"/>
  <c r="L175" i="12" s="1"/>
  <c r="I174" i="12"/>
  <c r="I169" i="12"/>
  <c r="L169" i="12" s="1"/>
  <c r="I165" i="12"/>
  <c r="L165" i="12" s="1"/>
  <c r="Q163" i="12"/>
  <c r="I163" i="12"/>
  <c r="L163" i="12" s="1"/>
  <c r="O155" i="12"/>
  <c r="P155" i="12" s="1"/>
  <c r="G151" i="12"/>
  <c r="O141" i="12"/>
  <c r="R141" i="12"/>
  <c r="O139" i="12"/>
  <c r="P139" i="12" s="1"/>
  <c r="H145" i="12"/>
  <c r="Q102" i="12"/>
  <c r="P102" i="12"/>
  <c r="F266" i="12"/>
  <c r="I264" i="12"/>
  <c r="L264" i="12" s="1"/>
  <c r="I262" i="12"/>
  <c r="L262" i="12" s="1"/>
  <c r="K266" i="12"/>
  <c r="I251" i="12"/>
  <c r="L251" i="12" s="1"/>
  <c r="O250" i="12"/>
  <c r="I244" i="12"/>
  <c r="L244" i="12" s="1"/>
  <c r="O243" i="12"/>
  <c r="I240" i="12"/>
  <c r="L240" i="12" s="1"/>
  <c r="O237" i="12"/>
  <c r="I236" i="12"/>
  <c r="L236" i="12" s="1"/>
  <c r="J255" i="12"/>
  <c r="L227" i="12"/>
  <c r="O225" i="12"/>
  <c r="I221" i="12"/>
  <c r="L221" i="12" s="1"/>
  <c r="R211" i="12"/>
  <c r="O210" i="12"/>
  <c r="I209" i="12"/>
  <c r="L209" i="12" s="1"/>
  <c r="R196" i="12"/>
  <c r="F193" i="12"/>
  <c r="R182" i="12"/>
  <c r="L164" i="12"/>
  <c r="T148" i="12"/>
  <c r="R143" i="12"/>
  <c r="O142" i="12"/>
  <c r="R142" i="12"/>
  <c r="P137" i="12"/>
  <c r="Q119" i="12"/>
  <c r="O123" i="12"/>
  <c r="S264" i="12"/>
  <c r="U264" i="12" s="1"/>
  <c r="X264" i="12" s="1"/>
  <c r="O262" i="12"/>
  <c r="G266" i="12"/>
  <c r="M266" i="12"/>
  <c r="I263" i="12"/>
  <c r="L263" i="12" s="1"/>
  <c r="R262" i="12"/>
  <c r="O260" i="12"/>
  <c r="I259" i="12"/>
  <c r="I253" i="12"/>
  <c r="L253" i="12" s="1"/>
  <c r="I252" i="12"/>
  <c r="L252" i="12" s="1"/>
  <c r="O251" i="12"/>
  <c r="I246" i="12"/>
  <c r="L246" i="12" s="1"/>
  <c r="I245" i="12"/>
  <c r="L245" i="12" s="1"/>
  <c r="O244" i="12"/>
  <c r="I241" i="12"/>
  <c r="L241" i="12" s="1"/>
  <c r="O238" i="12"/>
  <c r="I237" i="12"/>
  <c r="L237" i="12" s="1"/>
  <c r="L226" i="12"/>
  <c r="O223" i="12"/>
  <c r="I220" i="12"/>
  <c r="L220" i="12" s="1"/>
  <c r="S218" i="12"/>
  <c r="U218" i="12" s="1"/>
  <c r="H255" i="12"/>
  <c r="I208" i="12"/>
  <c r="L208" i="12" s="1"/>
  <c r="O200" i="12"/>
  <c r="O198" i="12"/>
  <c r="R190" i="12"/>
  <c r="I190" i="12"/>
  <c r="I193" i="12" s="1"/>
  <c r="L176" i="12"/>
  <c r="O138" i="12"/>
  <c r="P138" i="12" s="1"/>
  <c r="N138" i="12"/>
  <c r="R138" i="12" s="1"/>
  <c r="T145" i="12"/>
  <c r="P120" i="12"/>
  <c r="Q120" i="12"/>
  <c r="R78" i="12"/>
  <c r="L242" i="12"/>
  <c r="L238" i="12"/>
  <c r="G255" i="12"/>
  <c r="R206" i="12"/>
  <c r="L206" i="12"/>
  <c r="R205" i="12"/>
  <c r="R204" i="12"/>
  <c r="L204" i="12"/>
  <c r="R203" i="12"/>
  <c r="L203" i="12"/>
  <c r="R202" i="12"/>
  <c r="L202" i="12"/>
  <c r="L200" i="12"/>
  <c r="H187" i="12"/>
  <c r="O185" i="12"/>
  <c r="O184" i="12"/>
  <c r="I183" i="12"/>
  <c r="I182" i="12"/>
  <c r="L179" i="12"/>
  <c r="L178" i="12"/>
  <c r="O177" i="12"/>
  <c r="O176" i="12"/>
  <c r="O175" i="12"/>
  <c r="O174" i="12"/>
  <c r="I173" i="12"/>
  <c r="L173" i="12" s="1"/>
  <c r="I172" i="12"/>
  <c r="L172" i="12" s="1"/>
  <c r="I170" i="12"/>
  <c r="L170" i="12" s="1"/>
  <c r="I166" i="12"/>
  <c r="L166" i="12" s="1"/>
  <c r="K145" i="12"/>
  <c r="O136" i="12"/>
  <c r="P136" i="12" s="1"/>
  <c r="L139" i="12"/>
  <c r="I130" i="12"/>
  <c r="L130" i="12" s="1"/>
  <c r="I128" i="12"/>
  <c r="L128" i="12" s="1"/>
  <c r="T120" i="12"/>
  <c r="L114" i="12"/>
  <c r="O113" i="12"/>
  <c r="P113" i="12" s="1"/>
  <c r="Q110" i="12"/>
  <c r="K116" i="12"/>
  <c r="N106" i="12"/>
  <c r="R106" i="12" s="1"/>
  <c r="T102" i="12"/>
  <c r="N102" i="12"/>
  <c r="R102" i="12" s="1"/>
  <c r="N101" i="12"/>
  <c r="N95" i="12"/>
  <c r="O95" i="12" s="1"/>
  <c r="N92" i="12"/>
  <c r="O92" i="12" s="1"/>
  <c r="N82" i="12"/>
  <c r="R82" i="12" s="1"/>
  <c r="N80" i="12"/>
  <c r="R80" i="12" s="1"/>
  <c r="J87" i="12"/>
  <c r="N73" i="12"/>
  <c r="N70" i="12"/>
  <c r="R70" i="12" s="1"/>
  <c r="O65" i="12"/>
  <c r="I61" i="12"/>
  <c r="L61" i="12" s="1"/>
  <c r="N55" i="12"/>
  <c r="R55" i="12" s="1"/>
  <c r="O51" i="12"/>
  <c r="Q51" i="12" s="1"/>
  <c r="I51" i="12"/>
  <c r="L51" i="12" s="1"/>
  <c r="N48" i="12"/>
  <c r="R48" i="12" s="1"/>
  <c r="N46" i="12"/>
  <c r="R46" i="12" s="1"/>
  <c r="J57" i="12"/>
  <c r="N39" i="12"/>
  <c r="R39" i="12" s="1"/>
  <c r="N37" i="12"/>
  <c r="R37" i="12" s="1"/>
  <c r="O35" i="12"/>
  <c r="P35" i="12" s="1"/>
  <c r="I33" i="12"/>
  <c r="L33" i="12" s="1"/>
  <c r="T31" i="12"/>
  <c r="N30" i="12"/>
  <c r="R30" i="12" s="1"/>
  <c r="O27" i="12"/>
  <c r="P27" i="12" s="1"/>
  <c r="T24" i="12"/>
  <c r="L24" i="12"/>
  <c r="I23" i="12"/>
  <c r="L23" i="12" s="1"/>
  <c r="N19" i="12"/>
  <c r="R19" i="12" s="1"/>
  <c r="O18" i="12"/>
  <c r="Q18" i="12" s="1"/>
  <c r="I18" i="12"/>
  <c r="L18" i="12" s="1"/>
  <c r="I17" i="12"/>
  <c r="L17" i="12" s="1"/>
  <c r="E97" i="12"/>
  <c r="E151" i="12"/>
  <c r="O129" i="12"/>
  <c r="L110" i="12"/>
  <c r="O109" i="12"/>
  <c r="Q109" i="12" s="1"/>
  <c r="L79" i="12"/>
  <c r="L75" i="12"/>
  <c r="L72" i="12"/>
  <c r="R69" i="12"/>
  <c r="L69" i="12"/>
  <c r="L67" i="12"/>
  <c r="L64" i="12"/>
  <c r="L63" i="12"/>
  <c r="N62" i="12"/>
  <c r="R62" i="12" s="1"/>
  <c r="N61" i="12"/>
  <c r="R61" i="12" s="1"/>
  <c r="L54" i="12"/>
  <c r="O52" i="12"/>
  <c r="N51" i="12"/>
  <c r="R51" i="12" s="1"/>
  <c r="P48" i="12"/>
  <c r="L47" i="12"/>
  <c r="M43" i="12"/>
  <c r="P39" i="12"/>
  <c r="L38" i="12"/>
  <c r="T36" i="12"/>
  <c r="L36" i="12"/>
  <c r="N33" i="12"/>
  <c r="R33" i="12" s="1"/>
  <c r="T28" i="12"/>
  <c r="L28" i="12"/>
  <c r="R26" i="12"/>
  <c r="G43" i="12"/>
  <c r="K43" i="12"/>
  <c r="L21" i="12"/>
  <c r="N18" i="12"/>
  <c r="R18" i="12" s="1"/>
  <c r="E43" i="12"/>
  <c r="E87" i="12"/>
  <c r="R162" i="12"/>
  <c r="I162" i="12"/>
  <c r="I149" i="12"/>
  <c r="L149" i="12" s="1"/>
  <c r="M151" i="12"/>
  <c r="I143" i="12"/>
  <c r="I142" i="12"/>
  <c r="I141" i="12"/>
  <c r="L137" i="12"/>
  <c r="O130" i="12"/>
  <c r="P121" i="12"/>
  <c r="L120" i="12"/>
  <c r="N114" i="12"/>
  <c r="R114" i="12" s="1"/>
  <c r="N113" i="12"/>
  <c r="L107" i="12"/>
  <c r="N105" i="12"/>
  <c r="R105" i="12" s="1"/>
  <c r="R104" i="12"/>
  <c r="I104" i="12"/>
  <c r="I103" i="12"/>
  <c r="G116" i="12"/>
  <c r="T92" i="12"/>
  <c r="H87" i="12"/>
  <c r="N84" i="12"/>
  <c r="R84" i="12" s="1"/>
  <c r="N81" i="12"/>
  <c r="G87" i="12"/>
  <c r="G57" i="12"/>
  <c r="L32" i="12"/>
  <c r="J43" i="12"/>
  <c r="E116" i="12"/>
  <c r="I155" i="12"/>
  <c r="L148" i="12"/>
  <c r="I140" i="12"/>
  <c r="L140" i="12" s="1"/>
  <c r="I136" i="12"/>
  <c r="I129" i="12"/>
  <c r="L129" i="12" s="1"/>
  <c r="I127" i="12"/>
  <c r="L106" i="12"/>
  <c r="J116" i="12"/>
  <c r="I102" i="12"/>
  <c r="O101" i="12"/>
  <c r="I101" i="12"/>
  <c r="L101" i="12" s="1"/>
  <c r="I100" i="12"/>
  <c r="L100" i="12" s="1"/>
  <c r="I94" i="12"/>
  <c r="L94" i="12" s="1"/>
  <c r="O90" i="12"/>
  <c r="P90" i="12" s="1"/>
  <c r="L83" i="12"/>
  <c r="I80" i="12"/>
  <c r="L80" i="12" s="1"/>
  <c r="L78" i="12"/>
  <c r="R77" i="12"/>
  <c r="K87" i="12"/>
  <c r="I77" i="12"/>
  <c r="I76" i="12"/>
  <c r="L76" i="12" s="1"/>
  <c r="I74" i="12"/>
  <c r="L74" i="12" s="1"/>
  <c r="I73" i="12"/>
  <c r="L73" i="12" s="1"/>
  <c r="L71" i="12"/>
  <c r="I68" i="12"/>
  <c r="L68" i="12" s="1"/>
  <c r="I66" i="12"/>
  <c r="L66" i="12" s="1"/>
  <c r="R65" i="12"/>
  <c r="L65" i="12"/>
  <c r="O62" i="12"/>
  <c r="O55" i="12"/>
  <c r="Q55" i="12" s="1"/>
  <c r="I55" i="12"/>
  <c r="L55" i="12" s="1"/>
  <c r="N52" i="12"/>
  <c r="R52" i="12" s="1"/>
  <c r="H57" i="12"/>
  <c r="K57" i="12"/>
  <c r="I46" i="12"/>
  <c r="H43" i="12"/>
  <c r="I37" i="12"/>
  <c r="L37" i="12" s="1"/>
  <c r="N34" i="12"/>
  <c r="R34" i="12" s="1"/>
  <c r="N31" i="12"/>
  <c r="R31" i="12" s="1"/>
  <c r="O30" i="12"/>
  <c r="Q30" i="12" s="1"/>
  <c r="I30" i="12"/>
  <c r="L30" i="12" s="1"/>
  <c r="I29" i="12"/>
  <c r="L29" i="12" s="1"/>
  <c r="L20" i="12"/>
  <c r="I19" i="12"/>
  <c r="L19" i="12" s="1"/>
  <c r="N52" i="11"/>
  <c r="Q260" i="12"/>
  <c r="P260" i="12"/>
  <c r="I266" i="12"/>
  <c r="L259" i="12"/>
  <c r="P251" i="12"/>
  <c r="Q251" i="12"/>
  <c r="P244" i="12"/>
  <c r="Q244" i="12"/>
  <c r="P238" i="12"/>
  <c r="Q238" i="12"/>
  <c r="P223" i="12"/>
  <c r="Q223" i="12"/>
  <c r="O211" i="12"/>
  <c r="P200" i="12"/>
  <c r="Q200" i="12"/>
  <c r="Q196" i="12"/>
  <c r="P196" i="12"/>
  <c r="U259" i="12"/>
  <c r="P253" i="12"/>
  <c r="Q253" i="12"/>
  <c r="P252" i="12"/>
  <c r="Q252" i="12"/>
  <c r="P246" i="12"/>
  <c r="Q246" i="12"/>
  <c r="P245" i="12"/>
  <c r="Q245" i="12"/>
  <c r="P241" i="12"/>
  <c r="Q241" i="12"/>
  <c r="P239" i="12"/>
  <c r="Q239" i="12"/>
  <c r="P235" i="12"/>
  <c r="Q235" i="12"/>
  <c r="P234" i="12"/>
  <c r="Q234" i="12"/>
  <c r="P233" i="12"/>
  <c r="Q233" i="12"/>
  <c r="P232" i="12"/>
  <c r="Q232" i="12"/>
  <c r="P231" i="12"/>
  <c r="Q231" i="12"/>
  <c r="P230" i="12"/>
  <c r="Q230" i="12"/>
  <c r="P229" i="12"/>
  <c r="Q229" i="12"/>
  <c r="P228" i="12"/>
  <c r="Q228" i="12"/>
  <c r="Q220" i="12"/>
  <c r="P220" i="12"/>
  <c r="P219" i="12"/>
  <c r="Q219" i="12"/>
  <c r="I255" i="12"/>
  <c r="P217" i="12"/>
  <c r="Q217" i="12"/>
  <c r="P199" i="12"/>
  <c r="Q199" i="12"/>
  <c r="I213" i="12"/>
  <c r="L72" i="11"/>
  <c r="H72" i="11"/>
  <c r="D72" i="11"/>
  <c r="P262" i="12"/>
  <c r="Q262" i="12"/>
  <c r="P249" i="12"/>
  <c r="Q249" i="12"/>
  <c r="P248" i="12"/>
  <c r="Q248" i="12"/>
  <c r="P247" i="12"/>
  <c r="Q247" i="12"/>
  <c r="P242" i="12"/>
  <c r="Q242" i="12"/>
  <c r="P240" i="12"/>
  <c r="Q240" i="12"/>
  <c r="P236" i="12"/>
  <c r="Q236" i="12"/>
  <c r="P227" i="12"/>
  <c r="Q227" i="12"/>
  <c r="O226" i="12"/>
  <c r="L218" i="12"/>
  <c r="Q207" i="12"/>
  <c r="P207" i="12"/>
  <c r="Q206" i="12"/>
  <c r="P206" i="12"/>
  <c r="Q205" i="12"/>
  <c r="P205" i="12"/>
  <c r="Q204" i="12"/>
  <c r="P204" i="12"/>
  <c r="Q203" i="12"/>
  <c r="P203" i="12"/>
  <c r="Q202" i="12"/>
  <c r="P202" i="12"/>
  <c r="Q190" i="12"/>
  <c r="P190" i="12"/>
  <c r="N39" i="11"/>
  <c r="B41" i="11"/>
  <c r="N41" i="11"/>
  <c r="K72" i="11"/>
  <c r="G72" i="11"/>
  <c r="N23" i="11"/>
  <c r="S261" i="12"/>
  <c r="U261" i="12" s="1"/>
  <c r="X261" i="12" s="1"/>
  <c r="P250" i="12"/>
  <c r="Q250" i="12"/>
  <c r="P243" i="12"/>
  <c r="Q243" i="12"/>
  <c r="P237" i="12"/>
  <c r="Q237" i="12"/>
  <c r="P225" i="12"/>
  <c r="Q225" i="12"/>
  <c r="O224" i="12"/>
  <c r="O222" i="12"/>
  <c r="P210" i="12"/>
  <c r="Q210" i="12"/>
  <c r="R246" i="12"/>
  <c r="R241" i="12"/>
  <c r="R237" i="12"/>
  <c r="Q221" i="12"/>
  <c r="S221" i="12" s="1"/>
  <c r="U221" i="12" s="1"/>
  <c r="Y221" i="12" s="1"/>
  <c r="M213" i="12"/>
  <c r="Q209" i="12"/>
  <c r="S209" i="12" s="1"/>
  <c r="U209" i="12" s="1"/>
  <c r="X209" i="12" s="1"/>
  <c r="Q208" i="12"/>
  <c r="S208" i="12" s="1"/>
  <c r="U208" i="12" s="1"/>
  <c r="X208" i="12" s="1"/>
  <c r="P201" i="12"/>
  <c r="S201" i="12" s="1"/>
  <c r="U201" i="12" s="1"/>
  <c r="X201" i="12" s="1"/>
  <c r="L198" i="12"/>
  <c r="O197" i="12"/>
  <c r="K193" i="12"/>
  <c r="R185" i="12"/>
  <c r="P182" i="12"/>
  <c r="Q182" i="12"/>
  <c r="R181" i="12"/>
  <c r="P178" i="12"/>
  <c r="Q178" i="12"/>
  <c r="R177" i="12"/>
  <c r="L177" i="12"/>
  <c r="P174" i="12"/>
  <c r="Q174" i="12"/>
  <c r="R173" i="12"/>
  <c r="G187" i="12"/>
  <c r="P157" i="12"/>
  <c r="R148" i="12"/>
  <c r="R151" i="12" s="1"/>
  <c r="N151" i="12"/>
  <c r="I151" i="12"/>
  <c r="P143" i="12"/>
  <c r="Q143" i="12"/>
  <c r="P142" i="12"/>
  <c r="Q142" i="12"/>
  <c r="O145" i="12"/>
  <c r="P141" i="12"/>
  <c r="Q141" i="12"/>
  <c r="Q129" i="12"/>
  <c r="P129" i="12"/>
  <c r="L127" i="12"/>
  <c r="R100" i="12"/>
  <c r="R249" i="12"/>
  <c r="R242" i="12"/>
  <c r="R239" i="12"/>
  <c r="R235" i="12"/>
  <c r="C59" i="11"/>
  <c r="N59" i="11" s="1"/>
  <c r="N11" i="11"/>
  <c r="H213" i="12"/>
  <c r="L197" i="12"/>
  <c r="Q191" i="12"/>
  <c r="S191" i="12" s="1"/>
  <c r="U191" i="12" s="1"/>
  <c r="P185" i="12"/>
  <c r="Q185" i="12"/>
  <c r="P181" i="12"/>
  <c r="Q181" i="12"/>
  <c r="P177" i="12"/>
  <c r="Q177" i="12"/>
  <c r="P173" i="12"/>
  <c r="Q173" i="12"/>
  <c r="I187" i="12"/>
  <c r="Q130" i="12"/>
  <c r="P130" i="12"/>
  <c r="R250" i="12"/>
  <c r="R243" i="12"/>
  <c r="R240" i="12"/>
  <c r="R236" i="12"/>
  <c r="R263" i="12"/>
  <c r="K255" i="12"/>
  <c r="Q12" i="11"/>
  <c r="Q10" i="11"/>
  <c r="H266" i="12"/>
  <c r="Q263" i="12"/>
  <c r="F255" i="12"/>
  <c r="L191" i="12"/>
  <c r="H193" i="12"/>
  <c r="P184" i="12"/>
  <c r="Q184" i="12"/>
  <c r="R183" i="12"/>
  <c r="L183" i="12"/>
  <c r="P180" i="12"/>
  <c r="Q180" i="12"/>
  <c r="R179" i="12"/>
  <c r="P176" i="12"/>
  <c r="Q176" i="12"/>
  <c r="P172" i="12"/>
  <c r="Q172" i="12"/>
  <c r="R171" i="12"/>
  <c r="L155" i="12"/>
  <c r="L157" i="12" s="1"/>
  <c r="I157" i="12"/>
  <c r="L136" i="12"/>
  <c r="I145" i="12"/>
  <c r="N132" i="12"/>
  <c r="R127" i="12"/>
  <c r="R132" i="12" s="1"/>
  <c r="L102" i="12"/>
  <c r="D63" i="13"/>
  <c r="D65" i="13"/>
  <c r="R251" i="12"/>
  <c r="R244" i="12"/>
  <c r="R238" i="12"/>
  <c r="P26" i="11"/>
  <c r="F213" i="12"/>
  <c r="P183" i="12"/>
  <c r="Q183" i="12"/>
  <c r="L182" i="12"/>
  <c r="P179" i="12"/>
  <c r="Q179" i="12"/>
  <c r="P175" i="12"/>
  <c r="Q175" i="12"/>
  <c r="L174" i="12"/>
  <c r="P171" i="12"/>
  <c r="Q171" i="12"/>
  <c r="L143" i="12"/>
  <c r="L142" i="12"/>
  <c r="L141" i="12"/>
  <c r="L126" i="12"/>
  <c r="I132" i="12"/>
  <c r="I123" i="12"/>
  <c r="L119" i="12"/>
  <c r="Q95" i="12"/>
  <c r="P95" i="12"/>
  <c r="Q162" i="12"/>
  <c r="S162" i="12" s="1"/>
  <c r="O157" i="12"/>
  <c r="T149" i="12"/>
  <c r="T151" i="12" s="1"/>
  <c r="O148" i="12"/>
  <c r="Q140" i="12"/>
  <c r="S140" i="12" s="1"/>
  <c r="U140" i="12" s="1"/>
  <c r="X140" i="12" s="1"/>
  <c r="Q139" i="12"/>
  <c r="S139" i="12" s="1"/>
  <c r="U139" i="12" s="1"/>
  <c r="X139" i="12" s="1"/>
  <c r="Q138" i="12"/>
  <c r="Q137" i="12"/>
  <c r="S137" i="12" s="1"/>
  <c r="U137" i="12" s="1"/>
  <c r="X137" i="12" s="1"/>
  <c r="Q136" i="12"/>
  <c r="T130" i="12"/>
  <c r="T129" i="12"/>
  <c r="T128" i="12"/>
  <c r="T127" i="12"/>
  <c r="K123" i="12"/>
  <c r="T121" i="12"/>
  <c r="T123" i="12" s="1"/>
  <c r="N121" i="12"/>
  <c r="R121" i="12" s="1"/>
  <c r="S121" i="12" s="1"/>
  <c r="N120" i="12"/>
  <c r="R120" i="12" s="1"/>
  <c r="R113" i="12"/>
  <c r="N112" i="12"/>
  <c r="R112" i="12" s="1"/>
  <c r="T111" i="12"/>
  <c r="N111" i="12"/>
  <c r="R111" i="12" s="1"/>
  <c r="N110" i="12"/>
  <c r="R110" i="12" s="1"/>
  <c r="S110" i="12" s="1"/>
  <c r="U110" i="12" s="1"/>
  <c r="X110" i="12" s="1"/>
  <c r="Q105" i="12"/>
  <c r="P105" i="12"/>
  <c r="T104" i="12"/>
  <c r="O104" i="12"/>
  <c r="O103" i="12"/>
  <c r="N103" i="12"/>
  <c r="R103" i="12" s="1"/>
  <c r="I91" i="12"/>
  <c r="L91" i="12" s="1"/>
  <c r="F97" i="12"/>
  <c r="I92" i="12"/>
  <c r="L92" i="12" s="1"/>
  <c r="P24" i="12"/>
  <c r="Q24" i="12"/>
  <c r="K187" i="12"/>
  <c r="Q170" i="12"/>
  <c r="S170" i="12" s="1"/>
  <c r="U170" i="12" s="1"/>
  <c r="X170" i="12" s="1"/>
  <c r="Q169" i="12"/>
  <c r="S169" i="12" s="1"/>
  <c r="U169" i="12" s="1"/>
  <c r="X169" i="12" s="1"/>
  <c r="Q168" i="12"/>
  <c r="S168" i="12" s="1"/>
  <c r="U168" i="12" s="1"/>
  <c r="X168" i="12" s="1"/>
  <c r="Q167" i="12"/>
  <c r="S167" i="12" s="1"/>
  <c r="U167" i="12" s="1"/>
  <c r="X167" i="12" s="1"/>
  <c r="Q166" i="12"/>
  <c r="S166" i="12" s="1"/>
  <c r="U166" i="12" s="1"/>
  <c r="X166" i="12" s="1"/>
  <c r="Q165" i="12"/>
  <c r="S165" i="12" s="1"/>
  <c r="U165" i="12" s="1"/>
  <c r="X165" i="12" s="1"/>
  <c r="Q164" i="12"/>
  <c r="S164" i="12" s="1"/>
  <c r="U164" i="12" s="1"/>
  <c r="X164" i="12" s="1"/>
  <c r="R163" i="12"/>
  <c r="S163" i="12" s="1"/>
  <c r="U163" i="12" s="1"/>
  <c r="L162" i="12"/>
  <c r="Q155" i="12"/>
  <c r="Q157" i="12" s="1"/>
  <c r="O149" i="12"/>
  <c r="O128" i="12"/>
  <c r="O127" i="12"/>
  <c r="I108" i="12"/>
  <c r="L108" i="12" s="1"/>
  <c r="T107" i="12"/>
  <c r="N107" i="12"/>
  <c r="R107" i="12" s="1"/>
  <c r="S107" i="12" s="1"/>
  <c r="P106" i="12"/>
  <c r="S106" i="12" s="1"/>
  <c r="U106" i="12" s="1"/>
  <c r="X106" i="12" s="1"/>
  <c r="I105" i="12"/>
  <c r="L105" i="12" s="1"/>
  <c r="T103" i="12"/>
  <c r="R101" i="12"/>
  <c r="H116" i="12"/>
  <c r="R95" i="12"/>
  <c r="L93" i="12"/>
  <c r="G97" i="12"/>
  <c r="G159" i="12" s="1"/>
  <c r="J97" i="12"/>
  <c r="J159" i="12" s="1"/>
  <c r="J268" i="12" s="1"/>
  <c r="J269" i="12" s="1"/>
  <c r="I85" i="12"/>
  <c r="Q69" i="12"/>
  <c r="P69" i="12"/>
  <c r="L53" i="12"/>
  <c r="P36" i="12"/>
  <c r="Q36" i="12"/>
  <c r="P28" i="12"/>
  <c r="Q28" i="12"/>
  <c r="P126" i="12"/>
  <c r="H123" i="12"/>
  <c r="H159" i="12" s="1"/>
  <c r="P119" i="12"/>
  <c r="M123" i="12"/>
  <c r="M116" i="12"/>
  <c r="T114" i="12"/>
  <c r="O114" i="12"/>
  <c r="Q113" i="12"/>
  <c r="Q111" i="12"/>
  <c r="P109" i="12"/>
  <c r="R108" i="12"/>
  <c r="L104" i="12"/>
  <c r="Q101" i="12"/>
  <c r="P101" i="12"/>
  <c r="T100" i="12"/>
  <c r="O100" i="12"/>
  <c r="T94" i="12"/>
  <c r="O94" i="12"/>
  <c r="N93" i="12"/>
  <c r="R93" i="12" s="1"/>
  <c r="R92" i="12"/>
  <c r="K97" i="12"/>
  <c r="K159" i="12" s="1"/>
  <c r="N91" i="12"/>
  <c r="R91" i="12" s="1"/>
  <c r="P62" i="12"/>
  <c r="Q62" i="12"/>
  <c r="P53" i="12"/>
  <c r="Q53" i="12"/>
  <c r="L49" i="12"/>
  <c r="I57" i="12"/>
  <c r="L40" i="12"/>
  <c r="P32" i="12"/>
  <c r="Q32" i="12"/>
  <c r="Q123" i="12"/>
  <c r="O112" i="12"/>
  <c r="L111" i="12"/>
  <c r="L103" i="12"/>
  <c r="I95" i="12"/>
  <c r="L95" i="12" s="1"/>
  <c r="R94" i="12"/>
  <c r="R97" i="12" s="1"/>
  <c r="T93" i="12"/>
  <c r="Q90" i="12"/>
  <c r="S90" i="12" s="1"/>
  <c r="Q77" i="12"/>
  <c r="P77" i="12"/>
  <c r="Q65" i="12"/>
  <c r="P65" i="12"/>
  <c r="P49" i="12"/>
  <c r="Q49" i="12"/>
  <c r="P40" i="12"/>
  <c r="Q40" i="12"/>
  <c r="P20" i="12"/>
  <c r="Q20" i="12"/>
  <c r="I43" i="12"/>
  <c r="Y5" i="12"/>
  <c r="F87" i="12"/>
  <c r="O84" i="12"/>
  <c r="N83" i="12"/>
  <c r="R83" i="12" s="1"/>
  <c r="O80" i="12"/>
  <c r="N79" i="12"/>
  <c r="R79" i="12" s="1"/>
  <c r="Q78" i="12"/>
  <c r="S78" i="12" s="1"/>
  <c r="U78" i="12" s="1"/>
  <c r="X78" i="12" s="1"/>
  <c r="N75" i="12"/>
  <c r="R75" i="12" s="1"/>
  <c r="Q74" i="12"/>
  <c r="S74" i="12" s="1"/>
  <c r="U74" i="12" s="1"/>
  <c r="X74" i="12" s="1"/>
  <c r="O72" i="12"/>
  <c r="N71" i="12"/>
  <c r="R71" i="12" s="1"/>
  <c r="O68" i="12"/>
  <c r="N67" i="12"/>
  <c r="R67" i="12" s="1"/>
  <c r="Q66" i="12"/>
  <c r="S66" i="12" s="1"/>
  <c r="U66" i="12" s="1"/>
  <c r="X66" i="12" s="1"/>
  <c r="O64" i="12"/>
  <c r="N63" i="12"/>
  <c r="O63" i="12" s="1"/>
  <c r="O60" i="12"/>
  <c r="F57" i="12"/>
  <c r="P55" i="12"/>
  <c r="S55" i="12" s="1"/>
  <c r="U55" i="12" s="1"/>
  <c r="X55" i="12" s="1"/>
  <c r="O54" i="12"/>
  <c r="N53" i="12"/>
  <c r="R53" i="12" s="1"/>
  <c r="P51" i="12"/>
  <c r="S51" i="12" s="1"/>
  <c r="U51" i="12" s="1"/>
  <c r="X51" i="12" s="1"/>
  <c r="O50" i="12"/>
  <c r="N49" i="12"/>
  <c r="R49" i="12" s="1"/>
  <c r="P47" i="12"/>
  <c r="S47" i="12" s="1"/>
  <c r="U47" i="12" s="1"/>
  <c r="X47" i="12" s="1"/>
  <c r="O46" i="12"/>
  <c r="L46" i="12"/>
  <c r="F43" i="12"/>
  <c r="O41" i="12"/>
  <c r="N40" i="12"/>
  <c r="R40" i="12" s="1"/>
  <c r="P38" i="12"/>
  <c r="O37" i="12"/>
  <c r="N36" i="12"/>
  <c r="R36" i="12" s="1"/>
  <c r="Q35" i="12"/>
  <c r="S35" i="12" s="1"/>
  <c r="U35" i="12" s="1"/>
  <c r="X35" i="12" s="1"/>
  <c r="P34" i="12"/>
  <c r="O33" i="12"/>
  <c r="N32" i="12"/>
  <c r="R32" i="12" s="1"/>
  <c r="Q31" i="12"/>
  <c r="S31" i="12" s="1"/>
  <c r="U31" i="12" s="1"/>
  <c r="X31" i="12" s="1"/>
  <c r="P30" i="12"/>
  <c r="S30" i="12" s="1"/>
  <c r="U30" i="12" s="1"/>
  <c r="O29" i="12"/>
  <c r="N28" i="12"/>
  <c r="R28" i="12" s="1"/>
  <c r="Q27" i="12"/>
  <c r="S27" i="12" s="1"/>
  <c r="U27" i="12" s="1"/>
  <c r="X27" i="12" s="1"/>
  <c r="P26" i="12"/>
  <c r="S26" i="12" s="1"/>
  <c r="U26" i="12" s="1"/>
  <c r="X26" i="12" s="1"/>
  <c r="O25" i="12"/>
  <c r="N24" i="12"/>
  <c r="R24" i="12" s="1"/>
  <c r="Q23" i="12"/>
  <c r="S23" i="12" s="1"/>
  <c r="U23" i="12" s="1"/>
  <c r="X23" i="12" s="1"/>
  <c r="P22" i="12"/>
  <c r="S22" i="12" s="1"/>
  <c r="U22" i="12" s="1"/>
  <c r="O21" i="12"/>
  <c r="N20" i="12"/>
  <c r="R20" i="12" s="1"/>
  <c r="Q19" i="12"/>
  <c r="S19" i="12" s="1"/>
  <c r="U19" i="12" s="1"/>
  <c r="X19" i="12" s="1"/>
  <c r="P18" i="12"/>
  <c r="S18" i="12" s="1"/>
  <c r="U18" i="12" s="1"/>
  <c r="O17" i="12"/>
  <c r="L77" i="12"/>
  <c r="N76" i="12"/>
  <c r="R76" i="12" s="1"/>
  <c r="N29" i="12"/>
  <c r="R29" i="12" s="1"/>
  <c r="N25" i="12"/>
  <c r="R25" i="12" s="1"/>
  <c r="L22" i="12"/>
  <c r="N21" i="12"/>
  <c r="R21" i="12" s="1"/>
  <c r="N17" i="12"/>
  <c r="T63" i="12"/>
  <c r="T87" i="12" s="1"/>
  <c r="T53" i="12"/>
  <c r="T49" i="12"/>
  <c r="T57" i="12" s="1"/>
  <c r="T40" i="12"/>
  <c r="T43" i="12" s="1"/>
  <c r="N73" i="11"/>
  <c r="B74" i="11"/>
  <c r="D74" i="11"/>
  <c r="E74" i="11"/>
  <c r="F74" i="11"/>
  <c r="G74" i="11"/>
  <c r="H74" i="11"/>
  <c r="I74" i="11"/>
  <c r="J74" i="11"/>
  <c r="K74" i="11"/>
  <c r="L74" i="11"/>
  <c r="M74" i="11"/>
  <c r="B77" i="11"/>
  <c r="C77" i="11"/>
  <c r="D77" i="11"/>
  <c r="E77" i="11"/>
  <c r="F77" i="11"/>
  <c r="N77" i="11" s="1"/>
  <c r="G77" i="11"/>
  <c r="H77" i="11"/>
  <c r="I77" i="11"/>
  <c r="J77" i="11"/>
  <c r="K77" i="11"/>
  <c r="L77" i="11"/>
  <c r="M77" i="11"/>
  <c r="B78" i="11"/>
  <c r="C78" i="11"/>
  <c r="D78" i="11"/>
  <c r="E78" i="11"/>
  <c r="F78" i="11"/>
  <c r="G78" i="11"/>
  <c r="H78" i="11"/>
  <c r="I78" i="11"/>
  <c r="J78" i="11"/>
  <c r="K78" i="11"/>
  <c r="L78" i="11"/>
  <c r="M78" i="11"/>
  <c r="T97" i="12" l="1"/>
  <c r="S109" i="12"/>
  <c r="U109" i="12" s="1"/>
  <c r="X109" i="12" s="1"/>
  <c r="M159" i="12"/>
  <c r="M268" i="12" s="1"/>
  <c r="L123" i="12"/>
  <c r="S142" i="12"/>
  <c r="U142" i="12" s="1"/>
  <c r="S48" i="12"/>
  <c r="U48" i="12" s="1"/>
  <c r="X48" i="12" s="1"/>
  <c r="L57" i="12"/>
  <c r="O91" i="12"/>
  <c r="O93" i="12"/>
  <c r="S39" i="12"/>
  <c r="U39" i="12" s="1"/>
  <c r="X39" i="12" s="1"/>
  <c r="R145" i="12"/>
  <c r="L190" i="12"/>
  <c r="L193" i="12" s="1"/>
  <c r="U309" i="12" s="1"/>
  <c r="X18" i="12"/>
  <c r="S179" i="12"/>
  <c r="U179" i="12" s="1"/>
  <c r="X179" i="12" s="1"/>
  <c r="S172" i="12"/>
  <c r="U172" i="12" s="1"/>
  <c r="S182" i="12"/>
  <c r="U182" i="12" s="1"/>
  <c r="S229" i="12"/>
  <c r="U229" i="12" s="1"/>
  <c r="X229" i="12" s="1"/>
  <c r="S231" i="12"/>
  <c r="U231" i="12" s="1"/>
  <c r="X231" i="12" s="1"/>
  <c r="S233" i="12"/>
  <c r="U233" i="12" s="1"/>
  <c r="X233" i="12" s="1"/>
  <c r="S253" i="12"/>
  <c r="U253" i="12" s="1"/>
  <c r="U121" i="12"/>
  <c r="X121" i="12" s="1"/>
  <c r="S263" i="12"/>
  <c r="U263" i="12" s="1"/>
  <c r="X263" i="12" s="1"/>
  <c r="X30" i="12"/>
  <c r="S38" i="12"/>
  <c r="U38" i="12" s="1"/>
  <c r="X38" i="12" s="1"/>
  <c r="L151" i="12"/>
  <c r="E159" i="12"/>
  <c r="E268" i="12" s="1"/>
  <c r="E269" i="12" s="1"/>
  <c r="T116" i="12"/>
  <c r="P108" i="12"/>
  <c r="Q108" i="12"/>
  <c r="O85" i="12"/>
  <c r="S177" i="12"/>
  <c r="U177" i="12" s="1"/>
  <c r="X177" i="12" s="1"/>
  <c r="S185" i="12"/>
  <c r="U185" i="12" s="1"/>
  <c r="X185" i="12" s="1"/>
  <c r="S111" i="12"/>
  <c r="U111" i="12" s="1"/>
  <c r="X111" i="12" s="1"/>
  <c r="Q92" i="12"/>
  <c r="P92" i="12"/>
  <c r="S34" i="12"/>
  <c r="U34" i="12" s="1"/>
  <c r="X34" i="12" s="1"/>
  <c r="S65" i="12"/>
  <c r="U65" i="12" s="1"/>
  <c r="X65" i="12" s="1"/>
  <c r="S113" i="12"/>
  <c r="U113" i="12" s="1"/>
  <c r="X113" i="12" s="1"/>
  <c r="F159" i="12"/>
  <c r="F268" i="12" s="1"/>
  <c r="S138" i="12"/>
  <c r="U138" i="12" s="1"/>
  <c r="X138" i="12" s="1"/>
  <c r="L132" i="12"/>
  <c r="X172" i="12"/>
  <c r="L213" i="12"/>
  <c r="U382" i="12" s="1"/>
  <c r="S190" i="12"/>
  <c r="S220" i="12"/>
  <c r="U220" i="12" s="1"/>
  <c r="X220" i="12" s="1"/>
  <c r="O82" i="12"/>
  <c r="L187" i="12"/>
  <c r="U292" i="12" s="1"/>
  <c r="X253" i="12"/>
  <c r="B24" i="13" s="1"/>
  <c r="L266" i="12"/>
  <c r="Q52" i="12"/>
  <c r="P52" i="12"/>
  <c r="O73" i="12"/>
  <c r="R73" i="12"/>
  <c r="O70" i="12"/>
  <c r="S102" i="12"/>
  <c r="U102" i="12" s="1"/>
  <c r="X102" i="12" s="1"/>
  <c r="N145" i="12"/>
  <c r="S101" i="12"/>
  <c r="U101" i="12" s="1"/>
  <c r="X101" i="12" s="1"/>
  <c r="X163" i="12"/>
  <c r="S171" i="12"/>
  <c r="U171" i="12" s="1"/>
  <c r="X171" i="12" s="1"/>
  <c r="S183" i="12"/>
  <c r="U183" i="12" s="1"/>
  <c r="X183" i="12" s="1"/>
  <c r="X191" i="12"/>
  <c r="S202" i="12"/>
  <c r="U202" i="12" s="1"/>
  <c r="X202" i="12" s="1"/>
  <c r="S204" i="12"/>
  <c r="U204" i="12" s="1"/>
  <c r="X204" i="12" s="1"/>
  <c r="S206" i="12"/>
  <c r="U206" i="12" s="1"/>
  <c r="X206" i="12" s="1"/>
  <c r="O81" i="12"/>
  <c r="R81" i="12"/>
  <c r="O61" i="12"/>
  <c r="P198" i="12"/>
  <c r="Q198" i="12"/>
  <c r="L43" i="12"/>
  <c r="R57" i="12"/>
  <c r="S62" i="12"/>
  <c r="U62" i="12" s="1"/>
  <c r="X62" i="12" s="1"/>
  <c r="L255" i="12"/>
  <c r="U363" i="12" s="1"/>
  <c r="S196" i="12"/>
  <c r="S260" i="12"/>
  <c r="U260" i="12" s="1"/>
  <c r="X260" i="12" s="1"/>
  <c r="U162" i="12"/>
  <c r="G268" i="12"/>
  <c r="G269" i="12" s="1"/>
  <c r="P63" i="12"/>
  <c r="Q63" i="12"/>
  <c r="U90" i="12"/>
  <c r="L116" i="12"/>
  <c r="K268" i="12"/>
  <c r="K269" i="12" s="1"/>
  <c r="P29" i="12"/>
  <c r="Q29" i="12"/>
  <c r="P54" i="12"/>
  <c r="Q54" i="12"/>
  <c r="R17" i="12"/>
  <c r="R43" i="12" s="1"/>
  <c r="N43" i="12"/>
  <c r="P41" i="12"/>
  <c r="Q41" i="12"/>
  <c r="P60" i="12"/>
  <c r="Q60" i="12"/>
  <c r="O76" i="12"/>
  <c r="S20" i="12"/>
  <c r="U20" i="12" s="1"/>
  <c r="X20" i="12" s="1"/>
  <c r="S40" i="12"/>
  <c r="U40" i="12" s="1"/>
  <c r="X40" i="12" s="1"/>
  <c r="O71" i="12"/>
  <c r="S32" i="12"/>
  <c r="U32" i="12" s="1"/>
  <c r="X32" i="12" s="1"/>
  <c r="P100" i="12"/>
  <c r="Q100" i="12"/>
  <c r="O116" i="12"/>
  <c r="S36" i="12"/>
  <c r="U36" i="12" s="1"/>
  <c r="X36" i="12" s="1"/>
  <c r="S69" i="12"/>
  <c r="U69" i="12" s="1"/>
  <c r="X69" i="12" s="1"/>
  <c r="Q128" i="12"/>
  <c r="P128" i="12"/>
  <c r="P103" i="12"/>
  <c r="Q103" i="12"/>
  <c r="R123" i="12"/>
  <c r="T132" i="12"/>
  <c r="T159" i="12" s="1"/>
  <c r="T268" i="12" s="1"/>
  <c r="Q145" i="12"/>
  <c r="I116" i="12"/>
  <c r="S130" i="12"/>
  <c r="U130" i="12" s="1"/>
  <c r="X130" i="12" s="1"/>
  <c r="R116" i="12"/>
  <c r="S129" i="12"/>
  <c r="U129" i="12" s="1"/>
  <c r="X129" i="12" s="1"/>
  <c r="S155" i="12"/>
  <c r="P197" i="12"/>
  <c r="Q197" i="12"/>
  <c r="P222" i="12"/>
  <c r="Q222" i="12"/>
  <c r="S235" i="12"/>
  <c r="U235" i="12" s="1"/>
  <c r="X235" i="12" s="1"/>
  <c r="S241" i="12"/>
  <c r="U241" i="12" s="1"/>
  <c r="X241" i="12" s="1"/>
  <c r="S246" i="12"/>
  <c r="U246" i="12" s="1"/>
  <c r="X246" i="12" s="1"/>
  <c r="Y218" i="12"/>
  <c r="Y255" i="12" s="1"/>
  <c r="Y268" i="12" s="1"/>
  <c r="S238" i="12"/>
  <c r="U238" i="12" s="1"/>
  <c r="X238" i="12" s="1"/>
  <c r="S251" i="12"/>
  <c r="U251" i="12" s="1"/>
  <c r="X251" i="12" s="1"/>
  <c r="P17" i="12"/>
  <c r="O43" i="12"/>
  <c r="Q17" i="12"/>
  <c r="P33" i="12"/>
  <c r="Q33" i="12"/>
  <c r="P72" i="12"/>
  <c r="Q72" i="12"/>
  <c r="N57" i="12"/>
  <c r="O83" i="12"/>
  <c r="P91" i="12"/>
  <c r="Q91" i="12"/>
  <c r="P93" i="12"/>
  <c r="Q93" i="12"/>
  <c r="P114" i="12"/>
  <c r="Q114" i="12"/>
  <c r="S119" i="12"/>
  <c r="P123" i="12"/>
  <c r="L97" i="12"/>
  <c r="Q149" i="12"/>
  <c r="P149" i="12"/>
  <c r="I97" i="12"/>
  <c r="P104" i="12"/>
  <c r="Q104" i="12"/>
  <c r="U107" i="12"/>
  <c r="X107" i="12" s="1"/>
  <c r="P148" i="12"/>
  <c r="O151" i="12"/>
  <c r="Q148" i="12"/>
  <c r="S95" i="12"/>
  <c r="U95" i="12" s="1"/>
  <c r="X95" i="12" s="1"/>
  <c r="X142" i="12"/>
  <c r="X182" i="12"/>
  <c r="P224" i="12"/>
  <c r="Q224" i="12"/>
  <c r="S237" i="12"/>
  <c r="U237" i="12" s="1"/>
  <c r="X237" i="12" s="1"/>
  <c r="S250" i="12"/>
  <c r="U250" i="12" s="1"/>
  <c r="X250" i="12" s="1"/>
  <c r="U190" i="12"/>
  <c r="S193" i="12"/>
  <c r="S227" i="12"/>
  <c r="U227" i="12" s="1"/>
  <c r="X227" i="12" s="1"/>
  <c r="S240" i="12"/>
  <c r="U240" i="12" s="1"/>
  <c r="X240" i="12" s="1"/>
  <c r="S247" i="12"/>
  <c r="U247" i="12" s="1"/>
  <c r="X247" i="12" s="1"/>
  <c r="S249" i="12"/>
  <c r="U249" i="12" s="1"/>
  <c r="X249" i="12" s="1"/>
  <c r="S219" i="12"/>
  <c r="U219" i="12" s="1"/>
  <c r="X219" i="12" s="1"/>
  <c r="X259" i="12"/>
  <c r="U196" i="12"/>
  <c r="S200" i="12"/>
  <c r="U200" i="12" s="1"/>
  <c r="X200" i="12" s="1"/>
  <c r="U346" i="12"/>
  <c r="P25" i="12"/>
  <c r="Q25" i="12"/>
  <c r="P50" i="12"/>
  <c r="Q50" i="12"/>
  <c r="R63" i="12"/>
  <c r="R87" i="12" s="1"/>
  <c r="N87" i="12"/>
  <c r="P68" i="12"/>
  <c r="Q68" i="12"/>
  <c r="P84" i="12"/>
  <c r="Q84" i="12"/>
  <c r="P112" i="12"/>
  <c r="Q112" i="12"/>
  <c r="S53" i="12"/>
  <c r="U53" i="12" s="1"/>
  <c r="X53" i="12" s="1"/>
  <c r="P94" i="12"/>
  <c r="Q94" i="12"/>
  <c r="S28" i="12"/>
  <c r="U28" i="12" s="1"/>
  <c r="X28" i="12" s="1"/>
  <c r="O75" i="12"/>
  <c r="L85" i="12"/>
  <c r="L87" i="12" s="1"/>
  <c r="I87" i="12"/>
  <c r="S180" i="12"/>
  <c r="U180" i="12" s="1"/>
  <c r="X180" i="12" s="1"/>
  <c r="S184" i="12"/>
  <c r="U184" i="12" s="1"/>
  <c r="X184" i="12" s="1"/>
  <c r="S120" i="12"/>
  <c r="U120" i="12" s="1"/>
  <c r="X120" i="12" s="1"/>
  <c r="P145" i="12"/>
  <c r="S141" i="12"/>
  <c r="U141" i="12" s="1"/>
  <c r="X141" i="12" s="1"/>
  <c r="S174" i="12"/>
  <c r="U174" i="12" s="1"/>
  <c r="X174" i="12" s="1"/>
  <c r="S178" i="12"/>
  <c r="U178" i="12" s="1"/>
  <c r="X178" i="12" s="1"/>
  <c r="C72" i="11"/>
  <c r="S217" i="12"/>
  <c r="S228" i="12"/>
  <c r="U228" i="12" s="1"/>
  <c r="X228" i="12" s="1"/>
  <c r="S230" i="12"/>
  <c r="U230" i="12" s="1"/>
  <c r="X230" i="12" s="1"/>
  <c r="S232" i="12"/>
  <c r="U232" i="12" s="1"/>
  <c r="X232" i="12" s="1"/>
  <c r="S234" i="12"/>
  <c r="U234" i="12" s="1"/>
  <c r="X234" i="12" s="1"/>
  <c r="S239" i="12"/>
  <c r="U239" i="12" s="1"/>
  <c r="X239" i="12" s="1"/>
  <c r="S245" i="12"/>
  <c r="U245" i="12" s="1"/>
  <c r="X245" i="12" s="1"/>
  <c r="S252" i="12"/>
  <c r="U252" i="12" s="1"/>
  <c r="X252" i="12" s="1"/>
  <c r="P211" i="12"/>
  <c r="Q211" i="12"/>
  <c r="S223" i="12"/>
  <c r="U223" i="12" s="1"/>
  <c r="X223" i="12" s="1"/>
  <c r="S244" i="12"/>
  <c r="U244" i="12" s="1"/>
  <c r="X244" i="12" s="1"/>
  <c r="P21" i="12"/>
  <c r="Q21" i="12"/>
  <c r="P37" i="12"/>
  <c r="Q37" i="12"/>
  <c r="X22" i="12"/>
  <c r="P46" i="12"/>
  <c r="O57" i="12"/>
  <c r="Q46" i="12"/>
  <c r="P64" i="12"/>
  <c r="Q64" i="12"/>
  <c r="P80" i="12"/>
  <c r="Q80" i="12"/>
  <c r="S49" i="12"/>
  <c r="U49" i="12" s="1"/>
  <c r="X49" i="12" s="1"/>
  <c r="S77" i="12"/>
  <c r="U77" i="12" s="1"/>
  <c r="X77" i="12" s="1"/>
  <c r="O97" i="12"/>
  <c r="S126" i="12"/>
  <c r="O67" i="12"/>
  <c r="O79" i="12"/>
  <c r="N97" i="12"/>
  <c r="S92" i="12"/>
  <c r="U92" i="12" s="1"/>
  <c r="X92" i="12" s="1"/>
  <c r="Q127" i="12"/>
  <c r="Q132" i="12" s="1"/>
  <c r="O132" i="12"/>
  <c r="P127" i="12"/>
  <c r="S127" i="12" s="1"/>
  <c r="U127" i="12" s="1"/>
  <c r="X127" i="12" s="1"/>
  <c r="S24" i="12"/>
  <c r="U24" i="12" s="1"/>
  <c r="X24" i="12" s="1"/>
  <c r="S105" i="12"/>
  <c r="U105" i="12" s="1"/>
  <c r="X105" i="12" s="1"/>
  <c r="S175" i="12"/>
  <c r="U175" i="12" s="1"/>
  <c r="X175" i="12" s="1"/>
  <c r="N123" i="12"/>
  <c r="L145" i="12"/>
  <c r="S176" i="12"/>
  <c r="U176" i="12" s="1"/>
  <c r="X176" i="12" s="1"/>
  <c r="H268" i="12"/>
  <c r="S173" i="12"/>
  <c r="U173" i="12" s="1"/>
  <c r="X173" i="12" s="1"/>
  <c r="S181" i="12"/>
  <c r="U181" i="12" s="1"/>
  <c r="X181" i="12" s="1"/>
  <c r="N116" i="12"/>
  <c r="S136" i="12"/>
  <c r="S143" i="12"/>
  <c r="U143" i="12" s="1"/>
  <c r="X143" i="12" s="1"/>
  <c r="S210" i="12"/>
  <c r="U210" i="12" s="1"/>
  <c r="X210" i="12" s="1"/>
  <c r="S225" i="12"/>
  <c r="U225" i="12" s="1"/>
  <c r="X225" i="12" s="1"/>
  <c r="S243" i="12"/>
  <c r="U243" i="12" s="1"/>
  <c r="X243" i="12" s="1"/>
  <c r="S203" i="12"/>
  <c r="U203" i="12" s="1"/>
  <c r="X203" i="12" s="1"/>
  <c r="S205" i="12"/>
  <c r="U205" i="12" s="1"/>
  <c r="X205" i="12" s="1"/>
  <c r="S207" i="12"/>
  <c r="U207" i="12" s="1"/>
  <c r="X207" i="12" s="1"/>
  <c r="P226" i="12"/>
  <c r="Q226" i="12"/>
  <c r="S236" i="12"/>
  <c r="U236" i="12" s="1"/>
  <c r="X236" i="12" s="1"/>
  <c r="S242" i="12"/>
  <c r="U242" i="12" s="1"/>
  <c r="X242" i="12" s="1"/>
  <c r="S248" i="12"/>
  <c r="U248" i="12" s="1"/>
  <c r="X248" i="12" s="1"/>
  <c r="S262" i="12"/>
  <c r="U262" i="12" s="1"/>
  <c r="X262" i="12" s="1"/>
  <c r="S199" i="12"/>
  <c r="U199" i="12" s="1"/>
  <c r="X199" i="12" s="1"/>
  <c r="N78" i="11"/>
  <c r="B79" i="11"/>
  <c r="N79" i="11" s="1"/>
  <c r="C79" i="11"/>
  <c r="D79" i="11"/>
  <c r="E79" i="11"/>
  <c r="F79" i="11"/>
  <c r="G79" i="11"/>
  <c r="H79" i="11"/>
  <c r="I79" i="11"/>
  <c r="J79" i="11"/>
  <c r="K79" i="11"/>
  <c r="L79" i="11"/>
  <c r="M79" i="11"/>
  <c r="B81" i="11"/>
  <c r="C81" i="11"/>
  <c r="D81" i="11"/>
  <c r="E81" i="11"/>
  <c r="N81" i="11" s="1"/>
  <c r="F81" i="11"/>
  <c r="G81" i="11"/>
  <c r="H81" i="11"/>
  <c r="I81" i="11"/>
  <c r="J81" i="11"/>
  <c r="K81" i="11"/>
  <c r="L81" i="11"/>
  <c r="M81" i="11"/>
  <c r="B82" i="11"/>
  <c r="C82" i="11"/>
  <c r="D82" i="11"/>
  <c r="E82" i="11"/>
  <c r="F82" i="11"/>
  <c r="G82" i="11"/>
  <c r="H82" i="11"/>
  <c r="I82" i="11"/>
  <c r="J82" i="11"/>
  <c r="K82" i="11"/>
  <c r="L82" i="11"/>
  <c r="M82" i="11"/>
  <c r="N159" i="12" l="1"/>
  <c r="S33" i="12"/>
  <c r="U33" i="12" s="1"/>
  <c r="X33" i="12" s="1"/>
  <c r="S128" i="12"/>
  <c r="U128" i="12" s="1"/>
  <c r="X128" i="12" s="1"/>
  <c r="L159" i="12"/>
  <c r="L268" i="12" s="1"/>
  <c r="S198" i="12"/>
  <c r="U198" i="12" s="1"/>
  <c r="X198" i="12" s="1"/>
  <c r="S108" i="12"/>
  <c r="U108" i="12" s="1"/>
  <c r="X108" i="12" s="1"/>
  <c r="S104" i="12"/>
  <c r="U104" i="12" s="1"/>
  <c r="X104" i="12" s="1"/>
  <c r="Q85" i="12"/>
  <c r="P85" i="12"/>
  <c r="S52" i="12"/>
  <c r="U52" i="12" s="1"/>
  <c r="X52" i="12" s="1"/>
  <c r="Q61" i="12"/>
  <c r="P61" i="12"/>
  <c r="S61" i="12" s="1"/>
  <c r="U61" i="12" s="1"/>
  <c r="X61" i="12" s="1"/>
  <c r="Q73" i="12"/>
  <c r="P73" i="12"/>
  <c r="S211" i="12"/>
  <c r="U211" i="12" s="1"/>
  <c r="X211" i="12" s="1"/>
  <c r="S114" i="12"/>
  <c r="U114" i="12" s="1"/>
  <c r="X114" i="12" s="1"/>
  <c r="Q97" i="12"/>
  <c r="R159" i="12"/>
  <c r="Q57" i="12"/>
  <c r="I159" i="12"/>
  <c r="I268" i="12" s="1"/>
  <c r="S112" i="12"/>
  <c r="U112" i="12" s="1"/>
  <c r="X112" i="12" s="1"/>
  <c r="S72" i="12"/>
  <c r="U72" i="12" s="1"/>
  <c r="X72" i="12" s="1"/>
  <c r="P81" i="12"/>
  <c r="Q81" i="12"/>
  <c r="P70" i="12"/>
  <c r="Q70" i="12"/>
  <c r="S149" i="12"/>
  <c r="U149" i="12" s="1"/>
  <c r="X149" i="12" s="1"/>
  <c r="P82" i="12"/>
  <c r="Q82" i="12"/>
  <c r="S145" i="12"/>
  <c r="U136" i="12"/>
  <c r="P67" i="12"/>
  <c r="Q67" i="12"/>
  <c r="P57" i="12"/>
  <c r="S46" i="12"/>
  <c r="C74" i="11"/>
  <c r="N74" i="11" s="1"/>
  <c r="N72" i="11"/>
  <c r="P75" i="12"/>
  <c r="Q75" i="12"/>
  <c r="X266" i="12"/>
  <c r="P76" i="12"/>
  <c r="Q76" i="12"/>
  <c r="U126" i="12"/>
  <c r="S132" i="12"/>
  <c r="S64" i="12"/>
  <c r="U64" i="12" s="1"/>
  <c r="X64" i="12" s="1"/>
  <c r="S21" i="12"/>
  <c r="U21" i="12" s="1"/>
  <c r="X21" i="12" s="1"/>
  <c r="S84" i="12"/>
  <c r="U84" i="12" s="1"/>
  <c r="X84" i="12" s="1"/>
  <c r="S25" i="12"/>
  <c r="U25" i="12" s="1"/>
  <c r="X25" i="12" s="1"/>
  <c r="X196" i="12"/>
  <c r="P151" i="12"/>
  <c r="S148" i="12"/>
  <c r="S91" i="12"/>
  <c r="P97" i="12"/>
  <c r="Q43" i="12"/>
  <c r="S197" i="12"/>
  <c r="P71" i="12"/>
  <c r="Q71" i="12"/>
  <c r="S41" i="12"/>
  <c r="U41" i="12" s="1"/>
  <c r="X41" i="12" s="1"/>
  <c r="S54" i="12"/>
  <c r="U54" i="12" s="1"/>
  <c r="X54" i="12" s="1"/>
  <c r="P132" i="12"/>
  <c r="P83" i="12"/>
  <c r="Q83" i="12"/>
  <c r="Q116" i="12"/>
  <c r="O87" i="12"/>
  <c r="O159" i="12" s="1"/>
  <c r="S63" i="12"/>
  <c r="U63" i="12" s="1"/>
  <c r="X63" i="12" s="1"/>
  <c r="X162" i="12"/>
  <c r="X187" i="12" s="1"/>
  <c r="B19" i="13" s="1"/>
  <c r="J36" i="4" s="1"/>
  <c r="U187" i="12"/>
  <c r="U119" i="12"/>
  <c r="S123" i="12"/>
  <c r="U155" i="12"/>
  <c r="S157" i="12"/>
  <c r="S226" i="12"/>
  <c r="U226" i="12" s="1"/>
  <c r="X226" i="12" s="1"/>
  <c r="P79" i="12"/>
  <c r="Q79" i="12"/>
  <c r="S80" i="12"/>
  <c r="U80" i="12" s="1"/>
  <c r="X80" i="12" s="1"/>
  <c r="S37" i="12"/>
  <c r="U37" i="12" s="1"/>
  <c r="X37" i="12" s="1"/>
  <c r="S266" i="12"/>
  <c r="U217" i="12"/>
  <c r="S94" i="12"/>
  <c r="U94" i="12" s="1"/>
  <c r="X94" i="12" s="1"/>
  <c r="S68" i="12"/>
  <c r="U68" i="12" s="1"/>
  <c r="X68" i="12" s="1"/>
  <c r="S50" i="12"/>
  <c r="U50" i="12" s="1"/>
  <c r="X50" i="12" s="1"/>
  <c r="U266" i="12"/>
  <c r="U193" i="12"/>
  <c r="X190" i="12"/>
  <c r="X193" i="12" s="1"/>
  <c r="B21" i="13" s="1"/>
  <c r="B34" i="13" s="1"/>
  <c r="S224" i="12"/>
  <c r="U224" i="12" s="1"/>
  <c r="X224" i="12" s="1"/>
  <c r="Q151" i="12"/>
  <c r="S93" i="12"/>
  <c r="U93" i="12" s="1"/>
  <c r="X93" i="12" s="1"/>
  <c r="P43" i="12"/>
  <c r="S17" i="12"/>
  <c r="S222" i="12"/>
  <c r="U222" i="12" s="1"/>
  <c r="X222" i="12" s="1"/>
  <c r="S103" i="12"/>
  <c r="U103" i="12" s="1"/>
  <c r="X103" i="12" s="1"/>
  <c r="P116" i="12"/>
  <c r="S100" i="12"/>
  <c r="S60" i="12"/>
  <c r="S29" i="12"/>
  <c r="U29" i="12" s="1"/>
  <c r="X29" i="12" s="1"/>
  <c r="X90" i="12"/>
  <c r="S187" i="12"/>
  <c r="N82" i="11"/>
  <c r="B83" i="11"/>
  <c r="C83" i="11"/>
  <c r="D83" i="11"/>
  <c r="E83" i="11"/>
  <c r="F83" i="11"/>
  <c r="G83" i="11"/>
  <c r="H83" i="11"/>
  <c r="I83" i="11"/>
  <c r="J83" i="11"/>
  <c r="K83" i="11"/>
  <c r="L83" i="11"/>
  <c r="M83" i="11"/>
  <c r="B85" i="11"/>
  <c r="N85" i="11" s="1"/>
  <c r="C85" i="11"/>
  <c r="D85" i="11"/>
  <c r="E85" i="11"/>
  <c r="F85" i="11"/>
  <c r="G85" i="11"/>
  <c r="H85" i="11"/>
  <c r="I85" i="11"/>
  <c r="J85" i="11"/>
  <c r="K85" i="11"/>
  <c r="L85" i="11"/>
  <c r="M85" i="11"/>
  <c r="B86" i="11"/>
  <c r="C86" i="11"/>
  <c r="D86" i="11"/>
  <c r="E86" i="11"/>
  <c r="F86" i="11"/>
  <c r="G86" i="11"/>
  <c r="H86" i="11"/>
  <c r="I86" i="11"/>
  <c r="J86" i="11"/>
  <c r="K86" i="11"/>
  <c r="L86" i="11"/>
  <c r="M86" i="11"/>
  <c r="S85" i="12" l="1"/>
  <c r="U85" i="12" s="1"/>
  <c r="X85" i="12" s="1"/>
  <c r="P87" i="12"/>
  <c r="U274" i="12"/>
  <c r="AA256" i="12"/>
  <c r="S82" i="12"/>
  <c r="U82" i="12" s="1"/>
  <c r="X82" i="12" s="1"/>
  <c r="S73" i="12"/>
  <c r="U73" i="12" s="1"/>
  <c r="X73" i="12" s="1"/>
  <c r="S75" i="12"/>
  <c r="U75" i="12" s="1"/>
  <c r="X75" i="12" s="1"/>
  <c r="Q87" i="12"/>
  <c r="Q159" i="12" s="1"/>
  <c r="S81" i="12"/>
  <c r="U81" i="12" s="1"/>
  <c r="X81" i="12" s="1"/>
  <c r="S70" i="12"/>
  <c r="U70" i="12" s="1"/>
  <c r="X70" i="12" s="1"/>
  <c r="U123" i="12"/>
  <c r="X119" i="12"/>
  <c r="X123" i="12" s="1"/>
  <c r="B12" i="13" s="1"/>
  <c r="S57" i="12"/>
  <c r="U46" i="12"/>
  <c r="X136" i="12"/>
  <c r="X145" i="12" s="1"/>
  <c r="B14" i="13" s="1"/>
  <c r="U145" i="12"/>
  <c r="S71" i="12"/>
  <c r="U71" i="12" s="1"/>
  <c r="X71" i="12" s="1"/>
  <c r="U91" i="12"/>
  <c r="S97" i="12"/>
  <c r="S76" i="12"/>
  <c r="U76" i="12" s="1"/>
  <c r="X76" i="12" s="1"/>
  <c r="U100" i="12"/>
  <c r="S116" i="12"/>
  <c r="B32" i="13"/>
  <c r="U197" i="12"/>
  <c r="N45" i="31" s="1"/>
  <c r="S213" i="12"/>
  <c r="S151" i="12"/>
  <c r="U148" i="12"/>
  <c r="B25" i="13"/>
  <c r="B36" i="13" s="1"/>
  <c r="S43" i="12"/>
  <c r="U17" i="12"/>
  <c r="S255" i="12"/>
  <c r="U255" i="12"/>
  <c r="X217" i="12"/>
  <c r="U157" i="12"/>
  <c r="X155" i="12"/>
  <c r="X157" i="12" s="1"/>
  <c r="U60" i="12"/>
  <c r="S79" i="12"/>
  <c r="U79" i="12" s="1"/>
  <c r="X79" i="12" s="1"/>
  <c r="S83" i="12"/>
  <c r="U83" i="12" s="1"/>
  <c r="X83" i="12" s="1"/>
  <c r="P159" i="12"/>
  <c r="X126" i="12"/>
  <c r="X132" i="12" s="1"/>
  <c r="B13" i="13" s="1"/>
  <c r="U132" i="12"/>
  <c r="S67" i="12"/>
  <c r="U67" i="12" s="1"/>
  <c r="X67" i="12" s="1"/>
  <c r="N86" i="11"/>
  <c r="B87" i="11"/>
  <c r="C87" i="11"/>
  <c r="D87" i="11"/>
  <c r="N87" i="11" s="1"/>
  <c r="E87" i="11"/>
  <c r="F87" i="11"/>
  <c r="G87" i="11"/>
  <c r="H87" i="11"/>
  <c r="I87" i="11"/>
  <c r="J87" i="11"/>
  <c r="K87" i="11"/>
  <c r="L87" i="11"/>
  <c r="M87" i="11"/>
  <c r="B89" i="11"/>
  <c r="C89" i="11"/>
  <c r="D89" i="11"/>
  <c r="E89" i="11"/>
  <c r="F89" i="11"/>
  <c r="G89" i="11"/>
  <c r="H89" i="11"/>
  <c r="I89" i="11"/>
  <c r="J89" i="11"/>
  <c r="K89" i="11"/>
  <c r="L89" i="11"/>
  <c r="M89" i="11"/>
  <c r="B99" i="11"/>
  <c r="C99" i="11"/>
  <c r="D99" i="11"/>
  <c r="E99" i="11"/>
  <c r="F99" i="11"/>
  <c r="G99" i="11"/>
  <c r="H99" i="11"/>
  <c r="I99" i="11"/>
  <c r="J99" i="11"/>
  <c r="K99" i="11"/>
  <c r="L99" i="11"/>
  <c r="M99" i="11"/>
  <c r="B105" i="11"/>
  <c r="C105" i="11"/>
  <c r="D105" i="11"/>
  <c r="E105" i="11"/>
  <c r="F105" i="11"/>
  <c r="G105" i="11"/>
  <c r="H105" i="11"/>
  <c r="I105" i="11"/>
  <c r="J105" i="11"/>
  <c r="K105" i="11"/>
  <c r="L105" i="11"/>
  <c r="M105" i="11"/>
  <c r="B111" i="11"/>
  <c r="C111" i="11"/>
  <c r="D111" i="11"/>
  <c r="E111" i="11"/>
  <c r="F111" i="11"/>
  <c r="G111" i="11"/>
  <c r="H111" i="11"/>
  <c r="I111" i="11"/>
  <c r="J111" i="11"/>
  <c r="K111" i="11"/>
  <c r="L111" i="11"/>
  <c r="M111" i="11"/>
  <c r="B116" i="11"/>
  <c r="C116" i="11"/>
  <c r="D116" i="11"/>
  <c r="E116" i="11"/>
  <c r="F116" i="11"/>
  <c r="G116" i="11"/>
  <c r="H116" i="11"/>
  <c r="I116" i="11"/>
  <c r="J116" i="11"/>
  <c r="K116" i="11"/>
  <c r="L116" i="11"/>
  <c r="M116" i="11"/>
  <c r="B119" i="11"/>
  <c r="C119" i="11"/>
  <c r="D119" i="11"/>
  <c r="E119" i="11"/>
  <c r="F119" i="11"/>
  <c r="G119" i="11"/>
  <c r="H119" i="11"/>
  <c r="I119" i="11"/>
  <c r="J119" i="11"/>
  <c r="K119" i="11"/>
  <c r="L119" i="11"/>
  <c r="M119" i="11"/>
  <c r="B121" i="11"/>
  <c r="C121" i="11"/>
  <c r="D121" i="11"/>
  <c r="E121" i="11"/>
  <c r="F121" i="11"/>
  <c r="G121" i="11"/>
  <c r="H121" i="11"/>
  <c r="I121" i="11"/>
  <c r="J121" i="11"/>
  <c r="K121" i="11"/>
  <c r="L121" i="11"/>
  <c r="M121" i="11"/>
  <c r="W6" i="10"/>
  <c r="X6" i="10"/>
  <c r="Y6" i="10"/>
  <c r="Z6" i="10"/>
  <c r="AA6" i="10"/>
  <c r="AB6" i="10"/>
  <c r="AC6" i="10"/>
  <c r="AD6" i="10"/>
  <c r="AE6" i="10"/>
  <c r="AF6" i="10"/>
  <c r="AG6" i="10"/>
  <c r="AH6" i="10"/>
  <c r="I13" i="10"/>
  <c r="J13" i="10"/>
  <c r="K13" i="10"/>
  <c r="L13" i="10"/>
  <c r="L16" i="10" s="1"/>
  <c r="L107" i="10" s="1"/>
  <c r="M13" i="10"/>
  <c r="N13" i="10"/>
  <c r="N16" i="10" s="1"/>
  <c r="O13" i="10"/>
  <c r="O16" i="10" s="1"/>
  <c r="P13" i="10"/>
  <c r="P16" i="10" s="1"/>
  <c r="P107" i="10" s="1"/>
  <c r="Q13" i="10"/>
  <c r="R13" i="10"/>
  <c r="R16" i="10" s="1"/>
  <c r="S13" i="10"/>
  <c r="T13" i="10"/>
  <c r="T16" i="10" s="1"/>
  <c r="T107" i="10" s="1"/>
  <c r="I16" i="10"/>
  <c r="K16" i="10"/>
  <c r="M16" i="10"/>
  <c r="Q16" i="10"/>
  <c r="S16" i="10"/>
  <c r="A22" i="10"/>
  <c r="U22" i="10"/>
  <c r="W22" i="10"/>
  <c r="X22" i="10"/>
  <c r="AI22" i="10" s="1"/>
  <c r="Y22" i="10"/>
  <c r="Z22" i="10"/>
  <c r="AA22" i="10"/>
  <c r="AB22" i="10"/>
  <c r="AB57" i="10" s="1"/>
  <c r="AC22" i="10"/>
  <c r="AD22" i="10"/>
  <c r="AE22" i="10"/>
  <c r="AF22" i="10"/>
  <c r="AF57" i="10" s="1"/>
  <c r="AG22" i="10"/>
  <c r="AH22" i="10"/>
  <c r="A23" i="10"/>
  <c r="U23" i="10"/>
  <c r="W23" i="10"/>
  <c r="X23" i="10"/>
  <c r="Y23" i="10"/>
  <c r="AI23" i="10" s="1"/>
  <c r="Z23" i="10"/>
  <c r="AA23" i="10"/>
  <c r="AB23" i="10"/>
  <c r="AC23" i="10"/>
  <c r="AD23" i="10"/>
  <c r="AE23" i="10"/>
  <c r="AF23" i="10"/>
  <c r="AG23" i="10"/>
  <c r="AH23" i="10"/>
  <c r="A24" i="10"/>
  <c r="U24" i="10"/>
  <c r="W24" i="10"/>
  <c r="X24" i="10"/>
  <c r="Y24" i="10"/>
  <c r="Z24" i="10"/>
  <c r="AI24" i="10" s="1"/>
  <c r="AA24" i="10"/>
  <c r="AB24" i="10"/>
  <c r="AC24" i="10"/>
  <c r="AD24" i="10"/>
  <c r="AE24" i="10"/>
  <c r="AF24" i="10"/>
  <c r="AG24" i="10"/>
  <c r="AH24" i="10"/>
  <c r="A25" i="10"/>
  <c r="U25" i="10"/>
  <c r="W25" i="10"/>
  <c r="W57" i="10" s="1"/>
  <c r="X25" i="10"/>
  <c r="Y25" i="10"/>
  <c r="Z25" i="10"/>
  <c r="AA25" i="10"/>
  <c r="AA57" i="10" s="1"/>
  <c r="AB25" i="10"/>
  <c r="AC25" i="10"/>
  <c r="AD25" i="10"/>
  <c r="AE25" i="10"/>
  <c r="AE57" i="10" s="1"/>
  <c r="AF25" i="10"/>
  <c r="AG25" i="10"/>
  <c r="AH25" i="10"/>
  <c r="AI25" i="10"/>
  <c r="A26" i="10"/>
  <c r="U26" i="10"/>
  <c r="W26" i="10"/>
  <c r="X26" i="10"/>
  <c r="AI26" i="10" s="1"/>
  <c r="Y26" i="10"/>
  <c r="Z26" i="10"/>
  <c r="AA26" i="10"/>
  <c r="AB26" i="10"/>
  <c r="AC26" i="10"/>
  <c r="AD26" i="10"/>
  <c r="AE26" i="10"/>
  <c r="AF26" i="10"/>
  <c r="AG26" i="10"/>
  <c r="AH26" i="10"/>
  <c r="A27" i="10"/>
  <c r="U27" i="10"/>
  <c r="W27" i="10"/>
  <c r="X27" i="10"/>
  <c r="Y27" i="10"/>
  <c r="AI27" i="10" s="1"/>
  <c r="Z27" i="10"/>
  <c r="AA27" i="10"/>
  <c r="AB27" i="10"/>
  <c r="AC27" i="10"/>
  <c r="AD27" i="10"/>
  <c r="AE27" i="10"/>
  <c r="AF27" i="10"/>
  <c r="AG27" i="10"/>
  <c r="AH27" i="10"/>
  <c r="A28" i="10"/>
  <c r="U28" i="10"/>
  <c r="U57" i="10" s="1"/>
  <c r="U62" i="10" s="1"/>
  <c r="W28" i="10"/>
  <c r="X28" i="10"/>
  <c r="Y28" i="10"/>
  <c r="Z28" i="10"/>
  <c r="AI28" i="10" s="1"/>
  <c r="AA28" i="10"/>
  <c r="AB28" i="10"/>
  <c r="AC28" i="10"/>
  <c r="AD28" i="10"/>
  <c r="AD57" i="10" s="1"/>
  <c r="AE28" i="10"/>
  <c r="AF28" i="10"/>
  <c r="AG28" i="10"/>
  <c r="AH28" i="10"/>
  <c r="AH57" i="10" s="1"/>
  <c r="A29" i="10"/>
  <c r="U29" i="10"/>
  <c r="W29" i="10"/>
  <c r="X29" i="10"/>
  <c r="Y29" i="10"/>
  <c r="Z29" i="10"/>
  <c r="AA29" i="10"/>
  <c r="AB29" i="10"/>
  <c r="AC29" i="10"/>
  <c r="AD29" i="10"/>
  <c r="AE29" i="10"/>
  <c r="AF29" i="10"/>
  <c r="AG29" i="10"/>
  <c r="AH29" i="10"/>
  <c r="AI29" i="10"/>
  <c r="A30" i="10"/>
  <c r="U30" i="10"/>
  <c r="W30" i="10"/>
  <c r="X30" i="10"/>
  <c r="AI30" i="10" s="1"/>
  <c r="Y30" i="10"/>
  <c r="Z30" i="10"/>
  <c r="AA30" i="10"/>
  <c r="AB30" i="10"/>
  <c r="AC30" i="10"/>
  <c r="AD30" i="10"/>
  <c r="AE30" i="10"/>
  <c r="AF30" i="10"/>
  <c r="AG30" i="10"/>
  <c r="AH30" i="10"/>
  <c r="A31" i="10"/>
  <c r="U31" i="10"/>
  <c r="W31" i="10"/>
  <c r="X31" i="10"/>
  <c r="Y31" i="10"/>
  <c r="AI31" i="10" s="1"/>
  <c r="Z31" i="10"/>
  <c r="AA31" i="10"/>
  <c r="AB31" i="10"/>
  <c r="AC31" i="10"/>
  <c r="AD31" i="10"/>
  <c r="AE31" i="10"/>
  <c r="AF31" i="10"/>
  <c r="AG31" i="10"/>
  <c r="AH31" i="10"/>
  <c r="A32" i="10"/>
  <c r="U32" i="10"/>
  <c r="W32" i="10"/>
  <c r="X32" i="10"/>
  <c r="Y32" i="10"/>
  <c r="Z32" i="10"/>
  <c r="AI32" i="10" s="1"/>
  <c r="AA32" i="10"/>
  <c r="AB32" i="10"/>
  <c r="AC32" i="10"/>
  <c r="AD32" i="10"/>
  <c r="AE32" i="10"/>
  <c r="AF32" i="10"/>
  <c r="AG32" i="10"/>
  <c r="AH32" i="10"/>
  <c r="A33" i="10"/>
  <c r="U33" i="10"/>
  <c r="W33" i="10"/>
  <c r="X33" i="10"/>
  <c r="Y33" i="10"/>
  <c r="Z33" i="10"/>
  <c r="AA33" i="10"/>
  <c r="AB33" i="10"/>
  <c r="AC33" i="10"/>
  <c r="AD33" i="10"/>
  <c r="AE33" i="10"/>
  <c r="AF33" i="10"/>
  <c r="AG33" i="10"/>
  <c r="AH33" i="10"/>
  <c r="AI33" i="10"/>
  <c r="A34" i="10"/>
  <c r="U34" i="10"/>
  <c r="W34" i="10"/>
  <c r="X34" i="10"/>
  <c r="AI34" i="10" s="1"/>
  <c r="Y34" i="10"/>
  <c r="Z34" i="10"/>
  <c r="AA34" i="10"/>
  <c r="AB34" i="10"/>
  <c r="AC34" i="10"/>
  <c r="AD34" i="10"/>
  <c r="AE34" i="10"/>
  <c r="AF34" i="10"/>
  <c r="AG34" i="10"/>
  <c r="AH34" i="10"/>
  <c r="A35" i="10"/>
  <c r="U35" i="10"/>
  <c r="W35" i="10"/>
  <c r="X35" i="10"/>
  <c r="Y35" i="10"/>
  <c r="AI35" i="10" s="1"/>
  <c r="Z35" i="10"/>
  <c r="AA35" i="10"/>
  <c r="AB35" i="10"/>
  <c r="AC35" i="10"/>
  <c r="AD35" i="10"/>
  <c r="AE35" i="10"/>
  <c r="AF35" i="10"/>
  <c r="AG35" i="10"/>
  <c r="AH35" i="10"/>
  <c r="A36" i="10"/>
  <c r="U36" i="10"/>
  <c r="W36" i="10"/>
  <c r="X36" i="10"/>
  <c r="Y36" i="10"/>
  <c r="Z36" i="10"/>
  <c r="AI36" i="10" s="1"/>
  <c r="AA36" i="10"/>
  <c r="AB36" i="10"/>
  <c r="AC36" i="10"/>
  <c r="AD36" i="10"/>
  <c r="AE36" i="10"/>
  <c r="AF36" i="10"/>
  <c r="AG36" i="10"/>
  <c r="AH36" i="10"/>
  <c r="A37" i="10"/>
  <c r="U37" i="10"/>
  <c r="W37" i="10"/>
  <c r="X37" i="10"/>
  <c r="Y37" i="10"/>
  <c r="Z37" i="10"/>
  <c r="AA37" i="10"/>
  <c r="AB37" i="10"/>
  <c r="AC37" i="10"/>
  <c r="AD37" i="10"/>
  <c r="AE37" i="10"/>
  <c r="AF37" i="10"/>
  <c r="AG37" i="10"/>
  <c r="AH37" i="10"/>
  <c r="AI37" i="10"/>
  <c r="A38" i="10"/>
  <c r="U38" i="10"/>
  <c r="W38" i="10"/>
  <c r="X38" i="10"/>
  <c r="AI38" i="10" s="1"/>
  <c r="Y38" i="10"/>
  <c r="Z38" i="10"/>
  <c r="AA38" i="10"/>
  <c r="AB38" i="10"/>
  <c r="AC38" i="10"/>
  <c r="AD38" i="10"/>
  <c r="AE38" i="10"/>
  <c r="AF38" i="10"/>
  <c r="AG38" i="10"/>
  <c r="AH38" i="10"/>
  <c r="A39" i="10"/>
  <c r="U39" i="10"/>
  <c r="A40" i="10"/>
  <c r="U40" i="10"/>
  <c r="A41" i="10"/>
  <c r="U41" i="10"/>
  <c r="AK57" i="10"/>
  <c r="A42" i="10"/>
  <c r="U42" i="10"/>
  <c r="A43" i="10"/>
  <c r="U43" i="10"/>
  <c r="A44" i="10"/>
  <c r="U44" i="10"/>
  <c r="A45" i="10"/>
  <c r="U45" i="10"/>
  <c r="A46" i="10"/>
  <c r="U46" i="10"/>
  <c r="A47" i="10"/>
  <c r="U47" i="10"/>
  <c r="A48" i="10"/>
  <c r="U48" i="10"/>
  <c r="A49" i="10"/>
  <c r="U49" i="10"/>
  <c r="A50" i="10"/>
  <c r="U50" i="10"/>
  <c r="A51" i="10"/>
  <c r="U51" i="10"/>
  <c r="A52" i="10"/>
  <c r="U52" i="10"/>
  <c r="A53" i="10"/>
  <c r="U53" i="10"/>
  <c r="A54" i="10"/>
  <c r="U54" i="10"/>
  <c r="A55" i="10"/>
  <c r="U55" i="10"/>
  <c r="I57" i="10"/>
  <c r="J57" i="10"/>
  <c r="K57" i="10"/>
  <c r="L57" i="10"/>
  <c r="M57" i="10"/>
  <c r="N57" i="10"/>
  <c r="O57" i="10"/>
  <c r="P57" i="10"/>
  <c r="Q57" i="10"/>
  <c r="R57" i="10"/>
  <c r="S57" i="10"/>
  <c r="T57" i="10"/>
  <c r="Y57" i="10"/>
  <c r="AC57" i="10"/>
  <c r="AG57" i="10"/>
  <c r="I62" i="10"/>
  <c r="J62" i="10"/>
  <c r="K62" i="10"/>
  <c r="L62" i="10"/>
  <c r="M62" i="10"/>
  <c r="N62" i="10"/>
  <c r="O62" i="10"/>
  <c r="P62" i="10"/>
  <c r="Q62" i="10"/>
  <c r="R62" i="10"/>
  <c r="S62" i="10"/>
  <c r="T62" i="10"/>
  <c r="A67" i="10"/>
  <c r="U67" i="10"/>
  <c r="W67" i="10"/>
  <c r="X67" i="10"/>
  <c r="Y67" i="10"/>
  <c r="Z67" i="10"/>
  <c r="AA67" i="10"/>
  <c r="AB67" i="10"/>
  <c r="AC67" i="10"/>
  <c r="AD67" i="10"/>
  <c r="AE67" i="10"/>
  <c r="AF67" i="10"/>
  <c r="AG67" i="10"/>
  <c r="AH67" i="10"/>
  <c r="AI67" i="10"/>
  <c r="A68" i="10"/>
  <c r="U68" i="10"/>
  <c r="W68" i="10"/>
  <c r="X68" i="10"/>
  <c r="AI68" i="10" s="1"/>
  <c r="Y68" i="10"/>
  <c r="Z68" i="10"/>
  <c r="AA68" i="10"/>
  <c r="AB68" i="10"/>
  <c r="AC68" i="10"/>
  <c r="AD68" i="10"/>
  <c r="AE68" i="10"/>
  <c r="AF68" i="10"/>
  <c r="AG68" i="10"/>
  <c r="AH68" i="10"/>
  <c r="A69" i="10"/>
  <c r="U69" i="10"/>
  <c r="W69" i="10"/>
  <c r="X69" i="10"/>
  <c r="AI69" i="10" s="1"/>
  <c r="Y69" i="10"/>
  <c r="Z69" i="10"/>
  <c r="AA69" i="10"/>
  <c r="AB69" i="10"/>
  <c r="AC69" i="10"/>
  <c r="AD69" i="10"/>
  <c r="AE69" i="10"/>
  <c r="AF69" i="10"/>
  <c r="AG69" i="10"/>
  <c r="AH69" i="10"/>
  <c r="A70" i="10"/>
  <c r="U70" i="10"/>
  <c r="U95" i="10" s="1"/>
  <c r="W70" i="10"/>
  <c r="X70" i="10"/>
  <c r="Y70" i="10"/>
  <c r="Z70" i="10"/>
  <c r="AI70" i="10" s="1"/>
  <c r="AA70" i="10"/>
  <c r="AB70" i="10"/>
  <c r="AC70" i="10"/>
  <c r="AD70" i="10"/>
  <c r="AE70" i="10"/>
  <c r="AF70" i="10"/>
  <c r="AG70" i="10"/>
  <c r="AH70" i="10"/>
  <c r="A71" i="10"/>
  <c r="U71" i="10"/>
  <c r="W71" i="10"/>
  <c r="X71" i="10"/>
  <c r="Y71" i="10"/>
  <c r="Z71" i="10"/>
  <c r="AA71" i="10"/>
  <c r="AB71" i="10"/>
  <c r="AC71" i="10"/>
  <c r="AD71" i="10"/>
  <c r="AE71" i="10"/>
  <c r="AF71" i="10"/>
  <c r="AG71" i="10"/>
  <c r="AH71" i="10"/>
  <c r="AI71" i="10"/>
  <c r="A72" i="10"/>
  <c r="U72" i="10"/>
  <c r="W72" i="10"/>
  <c r="X72" i="10"/>
  <c r="AI72" i="10" s="1"/>
  <c r="Y72" i="10"/>
  <c r="Z72" i="10"/>
  <c r="AA72" i="10"/>
  <c r="AB72" i="10"/>
  <c r="AC72" i="10"/>
  <c r="AD72" i="10"/>
  <c r="AE72" i="10"/>
  <c r="AF72" i="10"/>
  <c r="AG72" i="10"/>
  <c r="AH72" i="10"/>
  <c r="A73" i="10"/>
  <c r="U73" i="10"/>
  <c r="W73" i="10"/>
  <c r="X73" i="10"/>
  <c r="AI73" i="10" s="1"/>
  <c r="Y73" i="10"/>
  <c r="Z73" i="10"/>
  <c r="AA73" i="10"/>
  <c r="AB73" i="10"/>
  <c r="AC73" i="10"/>
  <c r="AD73" i="10"/>
  <c r="AE73" i="10"/>
  <c r="AF73" i="10"/>
  <c r="AG73" i="10"/>
  <c r="AH73" i="10"/>
  <c r="A74" i="10"/>
  <c r="U74" i="10"/>
  <c r="W74" i="10"/>
  <c r="X74" i="10"/>
  <c r="Y74" i="10"/>
  <c r="Z74" i="10"/>
  <c r="AI74" i="10" s="1"/>
  <c r="AA74" i="10"/>
  <c r="AB74" i="10"/>
  <c r="AC74" i="10"/>
  <c r="AD74" i="10"/>
  <c r="AE74" i="10"/>
  <c r="AF74" i="10"/>
  <c r="AG74" i="10"/>
  <c r="AH74" i="10"/>
  <c r="A75" i="10"/>
  <c r="U75" i="10"/>
  <c r="W75" i="10"/>
  <c r="X75" i="10"/>
  <c r="Y75" i="10"/>
  <c r="Z75" i="10"/>
  <c r="AA75" i="10"/>
  <c r="AB75" i="10"/>
  <c r="AC75" i="10"/>
  <c r="AD75" i="10"/>
  <c r="AE75" i="10"/>
  <c r="AF75" i="10"/>
  <c r="AG75" i="10"/>
  <c r="AH75" i="10"/>
  <c r="AI75" i="10"/>
  <c r="A76" i="10"/>
  <c r="U76" i="10"/>
  <c r="W76" i="10"/>
  <c r="X76" i="10"/>
  <c r="AI76" i="10" s="1"/>
  <c r="Y76" i="10"/>
  <c r="Z76" i="10"/>
  <c r="AA76" i="10"/>
  <c r="AB76" i="10"/>
  <c r="AC76" i="10"/>
  <c r="AD76" i="10"/>
  <c r="AE76" i="10"/>
  <c r="AF76" i="10"/>
  <c r="AG76" i="10"/>
  <c r="AH76" i="10"/>
  <c r="A77" i="10"/>
  <c r="U77" i="10"/>
  <c r="W77" i="10"/>
  <c r="X77" i="10"/>
  <c r="AI77" i="10" s="1"/>
  <c r="Y77" i="10"/>
  <c r="Z77" i="10"/>
  <c r="AA77" i="10"/>
  <c r="AB77" i="10"/>
  <c r="AC77" i="10"/>
  <c r="AD77" i="10"/>
  <c r="AE77" i="10"/>
  <c r="AF77" i="10"/>
  <c r="AG77" i="10"/>
  <c r="AH77" i="10"/>
  <c r="A78" i="10"/>
  <c r="U78" i="10"/>
  <c r="W78" i="10"/>
  <c r="X78" i="10"/>
  <c r="Y78" i="10"/>
  <c r="Z78" i="10"/>
  <c r="AI78" i="10" s="1"/>
  <c r="AA78" i="10"/>
  <c r="AB78" i="10"/>
  <c r="AC78" i="10"/>
  <c r="AD78" i="10"/>
  <c r="AE78" i="10"/>
  <c r="AF78" i="10"/>
  <c r="AG78" i="10"/>
  <c r="AH78" i="10"/>
  <c r="A79" i="10"/>
  <c r="U79" i="10"/>
  <c r="W79" i="10"/>
  <c r="X79" i="10"/>
  <c r="Y79" i="10"/>
  <c r="Z79" i="10"/>
  <c r="AA79" i="10"/>
  <c r="AB79" i="10"/>
  <c r="AC79" i="10"/>
  <c r="AD79" i="10"/>
  <c r="AE79" i="10"/>
  <c r="AF79" i="10"/>
  <c r="AG79" i="10"/>
  <c r="AH79" i="10"/>
  <c r="AI79" i="10"/>
  <c r="A80" i="10"/>
  <c r="U80" i="10"/>
  <c r="W80" i="10"/>
  <c r="X80" i="10"/>
  <c r="AI80" i="10" s="1"/>
  <c r="Y80" i="10"/>
  <c r="Z80" i="10"/>
  <c r="AA80" i="10"/>
  <c r="AB80" i="10"/>
  <c r="AC80" i="10"/>
  <c r="AD80" i="10"/>
  <c r="AE80" i="10"/>
  <c r="AF80" i="10"/>
  <c r="AG80" i="10"/>
  <c r="AH80" i="10"/>
  <c r="A81" i="10"/>
  <c r="U81" i="10"/>
  <c r="W81" i="10"/>
  <c r="X81" i="10"/>
  <c r="AI81" i="10" s="1"/>
  <c r="Y81" i="10"/>
  <c r="Z81" i="10"/>
  <c r="AA81" i="10"/>
  <c r="AB81" i="10"/>
  <c r="AC81" i="10"/>
  <c r="AD81" i="10"/>
  <c r="AE81" i="10"/>
  <c r="AF81" i="10"/>
  <c r="AG81" i="10"/>
  <c r="AH81" i="10"/>
  <c r="A82" i="10"/>
  <c r="U82" i="10"/>
  <c r="W82" i="10"/>
  <c r="X82" i="10"/>
  <c r="Y82" i="10"/>
  <c r="Z82" i="10"/>
  <c r="AI82" i="10" s="1"/>
  <c r="AA82" i="10"/>
  <c r="AB82" i="10"/>
  <c r="AC82" i="10"/>
  <c r="AD82" i="10"/>
  <c r="AE82" i="10"/>
  <c r="AF82" i="10"/>
  <c r="AG82" i="10"/>
  <c r="AH82" i="10"/>
  <c r="A83" i="10"/>
  <c r="U83" i="10"/>
  <c r="W83" i="10"/>
  <c r="X83" i="10"/>
  <c r="Y83" i="10"/>
  <c r="Z83" i="10"/>
  <c r="AA83" i="10"/>
  <c r="AB83" i="10"/>
  <c r="AC83" i="10"/>
  <c r="AD83" i="10"/>
  <c r="AE83" i="10"/>
  <c r="AF83" i="10"/>
  <c r="AG83" i="10"/>
  <c r="AH83" i="10"/>
  <c r="AI83" i="10"/>
  <c r="A84" i="10"/>
  <c r="U84" i="10"/>
  <c r="W84" i="10"/>
  <c r="X84" i="10"/>
  <c r="AI84" i="10" s="1"/>
  <c r="Y84" i="10"/>
  <c r="Y95" i="10" s="1"/>
  <c r="Y104" i="10" s="1"/>
  <c r="Z84" i="10"/>
  <c r="AA84" i="10"/>
  <c r="AB84" i="10"/>
  <c r="AB95" i="10" s="1"/>
  <c r="AC84" i="10"/>
  <c r="AC95" i="10" s="1"/>
  <c r="AC104" i="10" s="1"/>
  <c r="AD84" i="10"/>
  <c r="AE84" i="10"/>
  <c r="AF84" i="10"/>
  <c r="AF95" i="10" s="1"/>
  <c r="AG84" i="10"/>
  <c r="AG95" i="10" s="1"/>
  <c r="AG104" i="10" s="1"/>
  <c r="AH84" i="10"/>
  <c r="A85" i="10"/>
  <c r="U85" i="10"/>
  <c r="W85" i="10"/>
  <c r="X85" i="10"/>
  <c r="AI85" i="10" s="1"/>
  <c r="Y85" i="10"/>
  <c r="Z85" i="10"/>
  <c r="AA85" i="10"/>
  <c r="AB85" i="10"/>
  <c r="AC85" i="10"/>
  <c r="AD85" i="10"/>
  <c r="AE85" i="10"/>
  <c r="AF85" i="10"/>
  <c r="AG85" i="10"/>
  <c r="AH85" i="10"/>
  <c r="A86" i="10"/>
  <c r="U86" i="10"/>
  <c r="W86" i="10"/>
  <c r="X86" i="10"/>
  <c r="Y86" i="10"/>
  <c r="Z86" i="10"/>
  <c r="Z95" i="10" s="1"/>
  <c r="AA86" i="10"/>
  <c r="AB86" i="10"/>
  <c r="AC86" i="10"/>
  <c r="AD86" i="10"/>
  <c r="AD95" i="10" s="1"/>
  <c r="AE86" i="10"/>
  <c r="AF86" i="10"/>
  <c r="AG86" i="10"/>
  <c r="AH86" i="10"/>
  <c r="AH95" i="10" s="1"/>
  <c r="A87" i="10"/>
  <c r="U87" i="10"/>
  <c r="W87" i="10"/>
  <c r="X87" i="10"/>
  <c r="Y87" i="10"/>
  <c r="Z87" i="10"/>
  <c r="AA87" i="10"/>
  <c r="AB87" i="10"/>
  <c r="AC87" i="10"/>
  <c r="AD87" i="10"/>
  <c r="AE87" i="10"/>
  <c r="AF87" i="10"/>
  <c r="AG87" i="10"/>
  <c r="AH87" i="10"/>
  <c r="AI87" i="10"/>
  <c r="A88" i="10"/>
  <c r="U88" i="10"/>
  <c r="W88" i="10"/>
  <c r="X88" i="10"/>
  <c r="AI88" i="10" s="1"/>
  <c r="Y88" i="10"/>
  <c r="Z88" i="10"/>
  <c r="AA88" i="10"/>
  <c r="AB88" i="10"/>
  <c r="AC88" i="10"/>
  <c r="AD88" i="10"/>
  <c r="AE88" i="10"/>
  <c r="AF88" i="10"/>
  <c r="AG88" i="10"/>
  <c r="AH88" i="10"/>
  <c r="A89" i="10"/>
  <c r="U89" i="10"/>
  <c r="W89" i="10"/>
  <c r="X89" i="10"/>
  <c r="AI89" i="10" s="1"/>
  <c r="Y89" i="10"/>
  <c r="Z89" i="10"/>
  <c r="AA89" i="10"/>
  <c r="AB89" i="10"/>
  <c r="AC89" i="10"/>
  <c r="AD89" i="10"/>
  <c r="AE89" i="10"/>
  <c r="AF89" i="10"/>
  <c r="AG89" i="10"/>
  <c r="AH89" i="10"/>
  <c r="A90" i="10"/>
  <c r="U90" i="10"/>
  <c r="W90" i="10"/>
  <c r="X90" i="10"/>
  <c r="Y90" i="10"/>
  <c r="Z90" i="10"/>
  <c r="AI90" i="10" s="1"/>
  <c r="AA90" i="10"/>
  <c r="AB90" i="10"/>
  <c r="AC90" i="10"/>
  <c r="AD90" i="10"/>
  <c r="AE90" i="10"/>
  <c r="AF90" i="10"/>
  <c r="AG90" i="10"/>
  <c r="AH90" i="10"/>
  <c r="A91" i="10"/>
  <c r="U91" i="10"/>
  <c r="W91" i="10"/>
  <c r="X91" i="10"/>
  <c r="Y91" i="10"/>
  <c r="Z91" i="10"/>
  <c r="AA91" i="10"/>
  <c r="AB91" i="10"/>
  <c r="AC91" i="10"/>
  <c r="AD91" i="10"/>
  <c r="AE91" i="10"/>
  <c r="AF91" i="10"/>
  <c r="AG91" i="10"/>
  <c r="AH91" i="10"/>
  <c r="AI91" i="10"/>
  <c r="A92" i="10"/>
  <c r="U92" i="10"/>
  <c r="W92" i="10"/>
  <c r="X92" i="10"/>
  <c r="AI92" i="10" s="1"/>
  <c r="Y92" i="10"/>
  <c r="Z92" i="10"/>
  <c r="AA92" i="10"/>
  <c r="AB92" i="10"/>
  <c r="AC92" i="10"/>
  <c r="AD92" i="10"/>
  <c r="AE92" i="10"/>
  <c r="AF92" i="10"/>
  <c r="AG92" i="10"/>
  <c r="AH92" i="10"/>
  <c r="A93" i="10"/>
  <c r="U93" i="10"/>
  <c r="W93" i="10"/>
  <c r="X93" i="10"/>
  <c r="AI93" i="10" s="1"/>
  <c r="Y93" i="10"/>
  <c r="Z93" i="10"/>
  <c r="AA93" i="10"/>
  <c r="AB93" i="10"/>
  <c r="AC93" i="10"/>
  <c r="AD93" i="10"/>
  <c r="AE93" i="10"/>
  <c r="AF93" i="10"/>
  <c r="AG93" i="10"/>
  <c r="AH93" i="10"/>
  <c r="I95" i="10"/>
  <c r="J95" i="10"/>
  <c r="J104" i="10" s="1"/>
  <c r="K95" i="10"/>
  <c r="L95" i="10"/>
  <c r="M95" i="10"/>
  <c r="N95" i="10"/>
  <c r="N104" i="10" s="1"/>
  <c r="O95" i="10"/>
  <c r="P95" i="10"/>
  <c r="Q95" i="10"/>
  <c r="R95" i="10"/>
  <c r="R104" i="10" s="1"/>
  <c r="S95" i="10"/>
  <c r="T95" i="10"/>
  <c r="W95" i="10"/>
  <c r="W104" i="10" s="1"/>
  <c r="AA95" i="10"/>
  <c r="AA104" i="10" s="1"/>
  <c r="AE95" i="10"/>
  <c r="AE104" i="10" s="1"/>
  <c r="A98" i="10"/>
  <c r="U98" i="10"/>
  <c r="W98" i="10"/>
  <c r="X98" i="10"/>
  <c r="X101" i="10" s="1"/>
  <c r="Y98" i="10"/>
  <c r="Y101" i="10" s="1"/>
  <c r="Z98" i="10"/>
  <c r="AA98" i="10"/>
  <c r="AB98" i="10"/>
  <c r="AB101" i="10" s="1"/>
  <c r="AC98" i="10"/>
  <c r="AC101" i="10" s="1"/>
  <c r="AD98" i="10"/>
  <c r="AE98" i="10"/>
  <c r="AF98" i="10"/>
  <c r="AF101" i="10" s="1"/>
  <c r="AG98" i="10"/>
  <c r="AG101" i="10" s="1"/>
  <c r="AH98" i="10"/>
  <c r="A99" i="10"/>
  <c r="C99" i="10"/>
  <c r="U99" i="10"/>
  <c r="U101" i="10" s="1"/>
  <c r="D18" i="6" s="1"/>
  <c r="W99" i="10"/>
  <c r="X99" i="10"/>
  <c r="AI99" i="10" s="1"/>
  <c r="Y99" i="10"/>
  <c r="Z99" i="10"/>
  <c r="Z101" i="10" s="1"/>
  <c r="AA99" i="10"/>
  <c r="AB99" i="10"/>
  <c r="AC99" i="10"/>
  <c r="AD99" i="10"/>
  <c r="AD101" i="10" s="1"/>
  <c r="AE99" i="10"/>
  <c r="AF99" i="10"/>
  <c r="AG99" i="10"/>
  <c r="AH99" i="10"/>
  <c r="AH101" i="10" s="1"/>
  <c r="I101" i="10"/>
  <c r="J101" i="10"/>
  <c r="K101" i="10"/>
  <c r="K104" i="10" s="1"/>
  <c r="K107" i="10" s="1"/>
  <c r="L101" i="10"/>
  <c r="M101" i="10"/>
  <c r="N101" i="10"/>
  <c r="O101" i="10"/>
  <c r="O104" i="10" s="1"/>
  <c r="P101" i="10"/>
  <c r="Q101" i="10"/>
  <c r="R101" i="10"/>
  <c r="S101" i="10"/>
  <c r="S104" i="10" s="1"/>
  <c r="S107" i="10" s="1"/>
  <c r="T101" i="10"/>
  <c r="W101" i="10"/>
  <c r="AA101" i="10"/>
  <c r="AE101" i="10"/>
  <c r="I104" i="10"/>
  <c r="L104" i="10"/>
  <c r="M104" i="10"/>
  <c r="P104" i="10"/>
  <c r="Q104" i="10"/>
  <c r="T104" i="10"/>
  <c r="I107" i="10"/>
  <c r="M107" i="10"/>
  <c r="Q107" i="10"/>
  <c r="X6" i="9"/>
  <c r="Y6" i="9"/>
  <c r="Z6" i="9"/>
  <c r="AA6" i="9"/>
  <c r="AB6" i="9"/>
  <c r="AC6" i="9"/>
  <c r="AD6" i="9"/>
  <c r="AE6" i="9"/>
  <c r="AF6" i="9"/>
  <c r="AG6" i="9"/>
  <c r="AH6" i="9"/>
  <c r="AI6" i="9"/>
  <c r="A11" i="9"/>
  <c r="V11" i="9"/>
  <c r="V22" i="9" s="1"/>
  <c r="V39" i="9" s="1"/>
  <c r="X11" i="9"/>
  <c r="Y11" i="9"/>
  <c r="AJ11" i="9" s="1"/>
  <c r="Z11" i="9"/>
  <c r="Z22" i="9" s="1"/>
  <c r="AA11" i="9"/>
  <c r="AA22" i="9" s="1"/>
  <c r="AB11" i="9"/>
  <c r="AC11" i="9"/>
  <c r="AD11" i="9"/>
  <c r="AD22" i="9" s="1"/>
  <c r="AE11" i="9"/>
  <c r="AE22" i="9" s="1"/>
  <c r="AF11" i="9"/>
  <c r="AG11" i="9"/>
  <c r="AH11" i="9"/>
  <c r="AH22" i="9" s="1"/>
  <c r="AI11" i="9"/>
  <c r="AI22" i="9" s="1"/>
  <c r="A12" i="9"/>
  <c r="V12" i="9"/>
  <c r="X12" i="9"/>
  <c r="Y12" i="9"/>
  <c r="Z12" i="9"/>
  <c r="AJ12" i="9" s="1"/>
  <c r="AA12" i="9"/>
  <c r="AB12" i="9"/>
  <c r="AC12" i="9"/>
  <c r="AD12" i="9"/>
  <c r="AE12" i="9"/>
  <c r="AF12" i="9"/>
  <c r="AG12" i="9"/>
  <c r="AH12" i="9"/>
  <c r="AI12" i="9"/>
  <c r="A13" i="9"/>
  <c r="V13" i="9"/>
  <c r="X13" i="9"/>
  <c r="X22" i="9" s="1"/>
  <c r="Y13" i="9"/>
  <c r="Z13" i="9"/>
  <c r="AA13" i="9"/>
  <c r="AB13" i="9"/>
  <c r="AB22" i="9" s="1"/>
  <c r="AC13" i="9"/>
  <c r="AD13" i="9"/>
  <c r="AE13" i="9"/>
  <c r="AF13" i="9"/>
  <c r="AF22" i="9" s="1"/>
  <c r="AG13" i="9"/>
  <c r="AH13" i="9"/>
  <c r="AI13" i="9"/>
  <c r="AJ13" i="9"/>
  <c r="A14" i="9"/>
  <c r="V14" i="9"/>
  <c r="X14" i="9"/>
  <c r="Y14" i="9"/>
  <c r="AJ14" i="9" s="1"/>
  <c r="Z14" i="9"/>
  <c r="AA14" i="9"/>
  <c r="AB14" i="9"/>
  <c r="AC14" i="9"/>
  <c r="AD14" i="9"/>
  <c r="AE14" i="9"/>
  <c r="AF14" i="9"/>
  <c r="AG14" i="9"/>
  <c r="AH14" i="9"/>
  <c r="AI14" i="9"/>
  <c r="A15" i="9"/>
  <c r="V15" i="9"/>
  <c r="X15" i="9"/>
  <c r="Y15" i="9"/>
  <c r="AJ15" i="9" s="1"/>
  <c r="Z15" i="9"/>
  <c r="AA15" i="9"/>
  <c r="AB15" i="9"/>
  <c r="AC15" i="9"/>
  <c r="AD15" i="9"/>
  <c r="AE15" i="9"/>
  <c r="AF15" i="9"/>
  <c r="AG15" i="9"/>
  <c r="AH15" i="9"/>
  <c r="AI15" i="9"/>
  <c r="A16" i="9"/>
  <c r="V16" i="9"/>
  <c r="X16" i="9"/>
  <c r="Y16" i="9"/>
  <c r="Z16" i="9"/>
  <c r="AJ16" i="9" s="1"/>
  <c r="AA16" i="9"/>
  <c r="AB16" i="9"/>
  <c r="AC16" i="9"/>
  <c r="AD16" i="9"/>
  <c r="AE16" i="9"/>
  <c r="AF16" i="9"/>
  <c r="AG16" i="9"/>
  <c r="AH16" i="9"/>
  <c r="AI16" i="9"/>
  <c r="A17" i="9"/>
  <c r="V17" i="9"/>
  <c r="X17" i="9"/>
  <c r="Y17" i="9"/>
  <c r="Z17" i="9"/>
  <c r="AA17" i="9"/>
  <c r="AB17" i="9"/>
  <c r="AC17" i="9"/>
  <c r="AD17" i="9"/>
  <c r="AE17" i="9"/>
  <c r="AF17" i="9"/>
  <c r="AG17" i="9"/>
  <c r="AH17" i="9"/>
  <c r="AI17" i="9"/>
  <c r="AJ17" i="9"/>
  <c r="A18" i="9"/>
  <c r="V18" i="9"/>
  <c r="X18" i="9"/>
  <c r="Y18" i="9"/>
  <c r="AJ18" i="9" s="1"/>
  <c r="Z18" i="9"/>
  <c r="AA18" i="9"/>
  <c r="AB18" i="9"/>
  <c r="AC18" i="9"/>
  <c r="AD18" i="9"/>
  <c r="AE18" i="9"/>
  <c r="AF18" i="9"/>
  <c r="AG18" i="9"/>
  <c r="AH18" i="9"/>
  <c r="AI18" i="9"/>
  <c r="A19" i="9"/>
  <c r="V19" i="9"/>
  <c r="X19" i="9"/>
  <c r="Y19" i="9"/>
  <c r="AJ19" i="9" s="1"/>
  <c r="Z19" i="9"/>
  <c r="AA19" i="9"/>
  <c r="AB19" i="9"/>
  <c r="AC19" i="9"/>
  <c r="AD19" i="9"/>
  <c r="AE19" i="9"/>
  <c r="AF19" i="9"/>
  <c r="AG19" i="9"/>
  <c r="AH19" i="9"/>
  <c r="AI19" i="9"/>
  <c r="A20" i="9"/>
  <c r="V20" i="9"/>
  <c r="X20" i="9"/>
  <c r="Y20" i="9"/>
  <c r="Z20" i="9"/>
  <c r="AJ20" i="9" s="1"/>
  <c r="AA20" i="9"/>
  <c r="AB20" i="9"/>
  <c r="AC20" i="9"/>
  <c r="AD20" i="9"/>
  <c r="AE20" i="9"/>
  <c r="AF20" i="9"/>
  <c r="AG20" i="9"/>
  <c r="AH20" i="9"/>
  <c r="AI20" i="9"/>
  <c r="I22" i="9"/>
  <c r="J22" i="9"/>
  <c r="J39" i="9" s="1"/>
  <c r="K22" i="9"/>
  <c r="K39" i="9" s="1"/>
  <c r="L22" i="9"/>
  <c r="M22" i="9"/>
  <c r="N22" i="9"/>
  <c r="N39" i="9" s="1"/>
  <c r="O22" i="9"/>
  <c r="O39" i="9" s="1"/>
  <c r="P22" i="9"/>
  <c r="Q22" i="9"/>
  <c r="R22" i="9"/>
  <c r="R39" i="9" s="1"/>
  <c r="S22" i="9"/>
  <c r="S39" i="9" s="1"/>
  <c r="T22" i="9"/>
  <c r="Y22" i="9"/>
  <c r="AC22" i="9"/>
  <c r="AG22" i="9"/>
  <c r="A25" i="9"/>
  <c r="V25" i="9"/>
  <c r="X25" i="9"/>
  <c r="Y25" i="9"/>
  <c r="AJ25" i="9" s="1"/>
  <c r="Z25" i="9"/>
  <c r="AA25" i="9"/>
  <c r="AB25" i="9"/>
  <c r="AC25" i="9"/>
  <c r="AD25" i="9"/>
  <c r="AE25" i="9"/>
  <c r="AF25" i="9"/>
  <c r="AG25" i="9"/>
  <c r="AH25" i="9"/>
  <c r="AI25" i="9"/>
  <c r="A26" i="9"/>
  <c r="V26" i="9"/>
  <c r="V29" i="9" s="1"/>
  <c r="C12" i="6" s="1"/>
  <c r="X26" i="9"/>
  <c r="X29" i="9" s="1"/>
  <c r="Y26" i="9"/>
  <c r="Z26" i="9"/>
  <c r="AJ26" i="9" s="1"/>
  <c r="AA26" i="9"/>
  <c r="AA29" i="9" s="1"/>
  <c r="AB26" i="9"/>
  <c r="AB29" i="9" s="1"/>
  <c r="AC26" i="9"/>
  <c r="AD26" i="9"/>
  <c r="AE26" i="9"/>
  <c r="AE29" i="9" s="1"/>
  <c r="AF26" i="9"/>
  <c r="AF29" i="9" s="1"/>
  <c r="AG26" i="9"/>
  <c r="AH26" i="9"/>
  <c r="AI26" i="9"/>
  <c r="AI29" i="9" s="1"/>
  <c r="A27" i="9"/>
  <c r="V27" i="9"/>
  <c r="X27" i="9"/>
  <c r="Y27" i="9"/>
  <c r="Z27" i="9"/>
  <c r="AA27" i="9"/>
  <c r="AB27" i="9"/>
  <c r="AC27" i="9"/>
  <c r="AD27" i="9"/>
  <c r="AE27" i="9"/>
  <c r="AF27" i="9"/>
  <c r="AG27" i="9"/>
  <c r="AH27" i="9"/>
  <c r="AI27" i="9"/>
  <c r="AJ27" i="9"/>
  <c r="I29" i="9"/>
  <c r="J29" i="9"/>
  <c r="K29" i="9"/>
  <c r="L29" i="9"/>
  <c r="M29" i="9"/>
  <c r="N29" i="9"/>
  <c r="O29" i="9"/>
  <c r="P29" i="9"/>
  <c r="Q29" i="9"/>
  <c r="R29" i="9"/>
  <c r="S29" i="9"/>
  <c r="T29" i="9"/>
  <c r="Y29" i="9"/>
  <c r="Z29" i="9"/>
  <c r="AC29" i="9"/>
  <c r="AD29" i="9"/>
  <c r="AG29" i="9"/>
  <c r="AH29" i="9"/>
  <c r="A31" i="9"/>
  <c r="X31" i="9"/>
  <c r="Y31" i="9"/>
  <c r="Z31" i="9"/>
  <c r="AA31" i="9"/>
  <c r="AB31" i="9"/>
  <c r="AC31" i="9"/>
  <c r="AD31" i="9"/>
  <c r="AE31" i="9"/>
  <c r="AF31" i="9"/>
  <c r="AG31" i="9"/>
  <c r="AH31" i="9"/>
  <c r="AI31" i="9"/>
  <c r="A34" i="9"/>
  <c r="V34" i="9"/>
  <c r="X34" i="9"/>
  <c r="Y34" i="9"/>
  <c r="AJ34" i="9" s="1"/>
  <c r="Z34" i="9"/>
  <c r="Z35" i="9" s="1"/>
  <c r="AA34" i="9"/>
  <c r="AB34" i="9"/>
  <c r="AC34" i="9"/>
  <c r="AD34" i="9"/>
  <c r="AD35" i="9" s="1"/>
  <c r="AE34" i="9"/>
  <c r="AF34" i="9"/>
  <c r="AG34" i="9"/>
  <c r="AH34" i="9"/>
  <c r="AH35" i="9" s="1"/>
  <c r="AI34" i="9"/>
  <c r="I35" i="9"/>
  <c r="J35" i="9"/>
  <c r="K35" i="9"/>
  <c r="L35" i="9"/>
  <c r="M35" i="9"/>
  <c r="N35" i="9"/>
  <c r="O35" i="9"/>
  <c r="P35" i="9"/>
  <c r="Q35" i="9"/>
  <c r="R35" i="9"/>
  <c r="S35" i="9"/>
  <c r="T35" i="9"/>
  <c r="V35" i="9"/>
  <c r="X35" i="9"/>
  <c r="Y35" i="9"/>
  <c r="AA35" i="9"/>
  <c r="AB35" i="9"/>
  <c r="AC35" i="9"/>
  <c r="AE35" i="9"/>
  <c r="AF35" i="9"/>
  <c r="AG35" i="9"/>
  <c r="AI35" i="9"/>
  <c r="I39" i="9"/>
  <c r="L39" i="9"/>
  <c r="M39" i="9"/>
  <c r="P39" i="9"/>
  <c r="Q39" i="9"/>
  <c r="T39" i="9"/>
  <c r="A47" i="9"/>
  <c r="V47" i="9"/>
  <c r="X47" i="9"/>
  <c r="Y47" i="9"/>
  <c r="Z47" i="9"/>
  <c r="AA47" i="9"/>
  <c r="AB47" i="9"/>
  <c r="AC47" i="9"/>
  <c r="AD47" i="9"/>
  <c r="AE47" i="9"/>
  <c r="AF47" i="9"/>
  <c r="AG47" i="9"/>
  <c r="AH47" i="9"/>
  <c r="AI47" i="9"/>
  <c r="AJ47" i="9"/>
  <c r="A48" i="9"/>
  <c r="V48" i="9"/>
  <c r="X48" i="9"/>
  <c r="Y48" i="9"/>
  <c r="AJ48" i="9" s="1"/>
  <c r="Z48" i="9"/>
  <c r="AA48" i="9"/>
  <c r="AB48" i="9"/>
  <c r="AC48" i="9"/>
  <c r="AD48" i="9"/>
  <c r="AE48" i="9"/>
  <c r="AF48" i="9"/>
  <c r="AG48" i="9"/>
  <c r="AH48" i="9"/>
  <c r="AI48" i="9"/>
  <c r="I50" i="9"/>
  <c r="J50" i="9"/>
  <c r="K50" i="9"/>
  <c r="L50" i="9"/>
  <c r="M50" i="9"/>
  <c r="N50" i="9"/>
  <c r="O50" i="9"/>
  <c r="P50" i="9"/>
  <c r="Q50" i="9"/>
  <c r="R50" i="9"/>
  <c r="S50" i="9"/>
  <c r="T50" i="9"/>
  <c r="V50" i="9"/>
  <c r="I57" i="9"/>
  <c r="I60" i="9" s="1"/>
  <c r="I98" i="9" s="1"/>
  <c r="J57" i="9"/>
  <c r="K57" i="9"/>
  <c r="L57" i="9"/>
  <c r="L60" i="9" s="1"/>
  <c r="M57" i="9"/>
  <c r="M60" i="9" s="1"/>
  <c r="M98" i="9" s="1"/>
  <c r="N57" i="9"/>
  <c r="O57" i="9"/>
  <c r="P57" i="9"/>
  <c r="P60" i="9" s="1"/>
  <c r="Q57" i="9"/>
  <c r="Q60" i="9" s="1"/>
  <c r="Q98" i="9" s="1"/>
  <c r="R57" i="9"/>
  <c r="S57" i="9"/>
  <c r="T57" i="9"/>
  <c r="T60" i="9" s="1"/>
  <c r="V57" i="9"/>
  <c r="V60" i="9" s="1"/>
  <c r="J60" i="9"/>
  <c r="K60" i="9"/>
  <c r="N60" i="9"/>
  <c r="O60" i="9"/>
  <c r="R60" i="9"/>
  <c r="S60" i="9"/>
  <c r="A67" i="9"/>
  <c r="V67" i="9"/>
  <c r="V77" i="9" s="1"/>
  <c r="V85" i="9" s="1"/>
  <c r="X67" i="9"/>
  <c r="Y67" i="9"/>
  <c r="Z67" i="9"/>
  <c r="AA67" i="9"/>
  <c r="AJ67" i="9" s="1"/>
  <c r="AB67" i="9"/>
  <c r="AC67" i="9"/>
  <c r="AD67" i="9"/>
  <c r="AE67" i="9"/>
  <c r="AF67" i="9"/>
  <c r="AG67" i="9"/>
  <c r="AH67" i="9"/>
  <c r="AI67" i="9"/>
  <c r="A68" i="9"/>
  <c r="V68" i="9"/>
  <c r="X68" i="9"/>
  <c r="Y68" i="9"/>
  <c r="Z68" i="9"/>
  <c r="AA68" i="9"/>
  <c r="AB68" i="9"/>
  <c r="AC68" i="9"/>
  <c r="AD68" i="9"/>
  <c r="AE68" i="9"/>
  <c r="AF68" i="9"/>
  <c r="AG68" i="9"/>
  <c r="AH68" i="9"/>
  <c r="AI68" i="9"/>
  <c r="AJ68" i="9"/>
  <c r="A69" i="9"/>
  <c r="V69" i="9"/>
  <c r="X69" i="9"/>
  <c r="Y69" i="9"/>
  <c r="AJ69" i="9" s="1"/>
  <c r="Z69" i="9"/>
  <c r="AA69" i="9"/>
  <c r="AB69" i="9"/>
  <c r="AC69" i="9"/>
  <c r="AD69" i="9"/>
  <c r="AE69" i="9"/>
  <c r="AF69" i="9"/>
  <c r="AG69" i="9"/>
  <c r="AH69" i="9"/>
  <c r="AI69" i="9"/>
  <c r="A70" i="9"/>
  <c r="V70" i="9"/>
  <c r="X70" i="9"/>
  <c r="Y70" i="9"/>
  <c r="AJ70" i="9" s="1"/>
  <c r="Z70" i="9"/>
  <c r="Z77" i="9" s="1"/>
  <c r="AA70" i="9"/>
  <c r="AA77" i="9" s="1"/>
  <c r="AB70" i="9"/>
  <c r="AC70" i="9"/>
  <c r="AD70" i="9"/>
  <c r="AD77" i="9" s="1"/>
  <c r="AE70" i="9"/>
  <c r="AE77" i="9" s="1"/>
  <c r="AF70" i="9"/>
  <c r="AG70" i="9"/>
  <c r="AH70" i="9"/>
  <c r="AH77" i="9" s="1"/>
  <c r="AI70" i="9"/>
  <c r="AI77" i="9" s="1"/>
  <c r="A71" i="9"/>
  <c r="V71" i="9"/>
  <c r="X71" i="9"/>
  <c r="Y71" i="9"/>
  <c r="Z71" i="9"/>
  <c r="AA71" i="9"/>
  <c r="AJ71" i="9" s="1"/>
  <c r="AB71" i="9"/>
  <c r="AC71" i="9"/>
  <c r="AD71" i="9"/>
  <c r="AE71" i="9"/>
  <c r="AF71" i="9"/>
  <c r="AG71" i="9"/>
  <c r="AH71" i="9"/>
  <c r="AI71" i="9"/>
  <c r="A72" i="9"/>
  <c r="V72" i="9"/>
  <c r="X72" i="9"/>
  <c r="X77" i="9" s="1"/>
  <c r="Y72" i="9"/>
  <c r="Z72" i="9"/>
  <c r="AA72" i="9"/>
  <c r="AB72" i="9"/>
  <c r="AB77" i="9" s="1"/>
  <c r="AC72" i="9"/>
  <c r="AD72" i="9"/>
  <c r="AE72" i="9"/>
  <c r="AF72" i="9"/>
  <c r="AF77" i="9" s="1"/>
  <c r="AG72" i="9"/>
  <c r="AH72" i="9"/>
  <c r="AI72" i="9"/>
  <c r="AJ72" i="9"/>
  <c r="A73" i="9"/>
  <c r="V73" i="9"/>
  <c r="X73" i="9"/>
  <c r="Y73" i="9"/>
  <c r="AJ73" i="9" s="1"/>
  <c r="Z73" i="9"/>
  <c r="AA73" i="9"/>
  <c r="AB73" i="9"/>
  <c r="AC73" i="9"/>
  <c r="AD73" i="9"/>
  <c r="AE73" i="9"/>
  <c r="AF73" i="9"/>
  <c r="AG73" i="9"/>
  <c r="AH73" i="9"/>
  <c r="AI73" i="9"/>
  <c r="A74" i="9"/>
  <c r="V74" i="9"/>
  <c r="X74" i="9"/>
  <c r="Y74" i="9"/>
  <c r="AJ74" i="9" s="1"/>
  <c r="Z74" i="9"/>
  <c r="AA74" i="9"/>
  <c r="AB74" i="9"/>
  <c r="AC74" i="9"/>
  <c r="AD74" i="9"/>
  <c r="AE74" i="9"/>
  <c r="AF74" i="9"/>
  <c r="AG74" i="9"/>
  <c r="AH74" i="9"/>
  <c r="AI74" i="9"/>
  <c r="A75" i="9"/>
  <c r="V75" i="9"/>
  <c r="X75" i="9"/>
  <c r="Y75" i="9"/>
  <c r="Z75" i="9"/>
  <c r="AA75" i="9"/>
  <c r="AJ75" i="9" s="1"/>
  <c r="AB75" i="9"/>
  <c r="AC75" i="9"/>
  <c r="AD75" i="9"/>
  <c r="AE75" i="9"/>
  <c r="AF75" i="9"/>
  <c r="AG75" i="9"/>
  <c r="AH75" i="9"/>
  <c r="AI75" i="9"/>
  <c r="I77" i="9"/>
  <c r="J77" i="9"/>
  <c r="K77" i="9"/>
  <c r="K85" i="9" s="1"/>
  <c r="L77" i="9"/>
  <c r="M77" i="9"/>
  <c r="N77" i="9"/>
  <c r="O77" i="9"/>
  <c r="O85" i="9" s="1"/>
  <c r="P77" i="9"/>
  <c r="Q77" i="9"/>
  <c r="R77" i="9"/>
  <c r="S77" i="9"/>
  <c r="S85" i="9" s="1"/>
  <c r="T77" i="9"/>
  <c r="Y77" i="9"/>
  <c r="AC77" i="9"/>
  <c r="AG77" i="9"/>
  <c r="A80" i="9"/>
  <c r="V80" i="9"/>
  <c r="X80" i="9"/>
  <c r="Y80" i="9"/>
  <c r="AJ80" i="9" s="1"/>
  <c r="Z80" i="9"/>
  <c r="AA80" i="9"/>
  <c r="AB80" i="9"/>
  <c r="AC80" i="9"/>
  <c r="AD80" i="9"/>
  <c r="AE80" i="9"/>
  <c r="AF80" i="9"/>
  <c r="AG80" i="9"/>
  <c r="AH80" i="9"/>
  <c r="AI80" i="9"/>
  <c r="A81" i="9"/>
  <c r="C81" i="9"/>
  <c r="V81" i="9"/>
  <c r="X81" i="9"/>
  <c r="Y81" i="9"/>
  <c r="AJ81" i="9" s="1"/>
  <c r="Z81" i="9"/>
  <c r="AA81" i="9"/>
  <c r="AB81" i="9"/>
  <c r="AC81" i="9"/>
  <c r="AD81" i="9"/>
  <c r="AE81" i="9"/>
  <c r="AF81" i="9"/>
  <c r="AG81" i="9"/>
  <c r="AH81" i="9"/>
  <c r="AI81" i="9"/>
  <c r="I82" i="9"/>
  <c r="J82" i="9"/>
  <c r="J85" i="9" s="1"/>
  <c r="K82" i="9"/>
  <c r="L82" i="9"/>
  <c r="M82" i="9"/>
  <c r="N82" i="9"/>
  <c r="N85" i="9" s="1"/>
  <c r="O82" i="9"/>
  <c r="P82" i="9"/>
  <c r="Q82" i="9"/>
  <c r="R82" i="9"/>
  <c r="R85" i="9" s="1"/>
  <c r="S82" i="9"/>
  <c r="T82" i="9"/>
  <c r="V82" i="9"/>
  <c r="I85" i="9"/>
  <c r="L85" i="9"/>
  <c r="M85" i="9"/>
  <c r="P85" i="9"/>
  <c r="Q85" i="9"/>
  <c r="T85" i="9"/>
  <c r="A90" i="9"/>
  <c r="X90" i="9"/>
  <c r="Y90" i="9"/>
  <c r="Z90" i="9"/>
  <c r="AA90" i="9"/>
  <c r="AB90" i="9"/>
  <c r="AC90" i="9"/>
  <c r="AD90" i="9"/>
  <c r="AE90" i="9"/>
  <c r="AF90" i="9"/>
  <c r="AG90" i="9"/>
  <c r="AH90" i="9"/>
  <c r="AI90" i="9"/>
  <c r="A91" i="9"/>
  <c r="X91" i="9"/>
  <c r="Y91" i="9"/>
  <c r="Z91" i="9"/>
  <c r="AA91" i="9"/>
  <c r="AB91" i="9"/>
  <c r="AC91" i="9"/>
  <c r="AD91" i="9"/>
  <c r="AE91" i="9"/>
  <c r="AF91" i="9"/>
  <c r="AG91" i="9"/>
  <c r="AH91" i="9"/>
  <c r="AI91" i="9"/>
  <c r="I93" i="9"/>
  <c r="J93" i="9"/>
  <c r="K93" i="9"/>
  <c r="L93" i="9"/>
  <c r="M93" i="9"/>
  <c r="N93" i="9"/>
  <c r="O93" i="9"/>
  <c r="P93" i="9"/>
  <c r="Q93" i="9"/>
  <c r="R93" i="9"/>
  <c r="S93" i="9"/>
  <c r="T93" i="9"/>
  <c r="X6" i="8"/>
  <c r="Y6" i="8"/>
  <c r="Z6" i="8"/>
  <c r="AA6" i="8"/>
  <c r="AB6" i="8"/>
  <c r="AC6" i="8"/>
  <c r="AD6" i="8"/>
  <c r="AE6" i="8"/>
  <c r="AF6" i="8"/>
  <c r="AG6" i="8"/>
  <c r="AH6" i="8"/>
  <c r="AI6" i="8"/>
  <c r="A11" i="8"/>
  <c r="V11" i="8"/>
  <c r="X11" i="8"/>
  <c r="Y11" i="8"/>
  <c r="AJ11" i="8" s="1"/>
  <c r="Z11" i="8"/>
  <c r="Z63" i="8" s="1"/>
  <c r="AA11" i="8"/>
  <c r="AB11" i="8"/>
  <c r="AC11" i="8"/>
  <c r="AD11" i="8"/>
  <c r="AD63" i="8" s="1"/>
  <c r="AE11" i="8"/>
  <c r="AF11" i="8"/>
  <c r="AG11" i="8"/>
  <c r="AH11" i="8"/>
  <c r="AH63" i="8" s="1"/>
  <c r="AI11" i="8"/>
  <c r="A12" i="8"/>
  <c r="V12" i="8"/>
  <c r="V63" i="8" s="1"/>
  <c r="X12" i="8"/>
  <c r="Y12" i="8"/>
  <c r="Z12" i="8"/>
  <c r="AA12" i="8"/>
  <c r="AA63" i="8" s="1"/>
  <c r="AB12" i="8"/>
  <c r="AC12" i="8"/>
  <c r="AD12" i="8"/>
  <c r="AE12" i="8"/>
  <c r="AE63" i="8" s="1"/>
  <c r="AF12" i="8"/>
  <c r="AG12" i="8"/>
  <c r="AH12" i="8"/>
  <c r="AI12" i="8"/>
  <c r="AI63" i="8" s="1"/>
  <c r="A13" i="8"/>
  <c r="V13" i="8"/>
  <c r="X13" i="8"/>
  <c r="Y13" i="8"/>
  <c r="Z13" i="8"/>
  <c r="AA13" i="8"/>
  <c r="AB13" i="8"/>
  <c r="AC13" i="8"/>
  <c r="AD13" i="8"/>
  <c r="AE13" i="8"/>
  <c r="AF13" i="8"/>
  <c r="AG13" i="8"/>
  <c r="AH13" i="8"/>
  <c r="AI13" i="8"/>
  <c r="AJ13" i="8"/>
  <c r="A14" i="8"/>
  <c r="V14" i="8"/>
  <c r="X14" i="8"/>
  <c r="Y14" i="8"/>
  <c r="AJ14" i="8" s="1"/>
  <c r="Z14" i="8"/>
  <c r="AA14" i="8"/>
  <c r="AB14" i="8"/>
  <c r="AC14" i="8"/>
  <c r="AC63" i="8" s="1"/>
  <c r="AD14" i="8"/>
  <c r="AE14" i="8"/>
  <c r="AF14" i="8"/>
  <c r="AG14" i="8"/>
  <c r="AG63" i="8" s="1"/>
  <c r="AH14" i="8"/>
  <c r="AI14" i="8"/>
  <c r="A15" i="8"/>
  <c r="V15" i="8"/>
  <c r="X15" i="8"/>
  <c r="Y15" i="8"/>
  <c r="AJ15" i="8" s="1"/>
  <c r="Z15" i="8"/>
  <c r="AA15" i="8"/>
  <c r="AB15" i="8"/>
  <c r="AC15" i="8"/>
  <c r="AD15" i="8"/>
  <c r="AE15" i="8"/>
  <c r="AF15" i="8"/>
  <c r="AG15" i="8"/>
  <c r="AH15" i="8"/>
  <c r="AI15" i="8"/>
  <c r="A16" i="8"/>
  <c r="V16" i="8"/>
  <c r="X16" i="8"/>
  <c r="Y16" i="8"/>
  <c r="Z16" i="8"/>
  <c r="AA16" i="8"/>
  <c r="AJ16" i="8" s="1"/>
  <c r="AB16" i="8"/>
  <c r="AC16" i="8"/>
  <c r="AD16" i="8"/>
  <c r="AE16" i="8"/>
  <c r="AF16" i="8"/>
  <c r="AG16" i="8"/>
  <c r="AH16" i="8"/>
  <c r="AI16" i="8"/>
  <c r="A17" i="8"/>
  <c r="V17" i="8"/>
  <c r="X17" i="8"/>
  <c r="Y17" i="8"/>
  <c r="Z17" i="8"/>
  <c r="AA17" i="8"/>
  <c r="AB17" i="8"/>
  <c r="AC17" i="8"/>
  <c r="AD17" i="8"/>
  <c r="AE17" i="8"/>
  <c r="AF17" i="8"/>
  <c r="AG17" i="8"/>
  <c r="AH17" i="8"/>
  <c r="AI17" i="8"/>
  <c r="AJ17" i="8"/>
  <c r="A18" i="8"/>
  <c r="V18" i="8"/>
  <c r="X18" i="8"/>
  <c r="Y18" i="8"/>
  <c r="AJ18" i="8" s="1"/>
  <c r="Z18" i="8"/>
  <c r="AA18" i="8"/>
  <c r="AB18" i="8"/>
  <c r="AC18" i="8"/>
  <c r="AD18" i="8"/>
  <c r="AE18" i="8"/>
  <c r="AF18" i="8"/>
  <c r="AG18" i="8"/>
  <c r="AH18" i="8"/>
  <c r="AI18" i="8"/>
  <c r="A19" i="8"/>
  <c r="V19" i="8"/>
  <c r="X19" i="8"/>
  <c r="Y19" i="8"/>
  <c r="AJ19" i="8" s="1"/>
  <c r="Z19" i="8"/>
  <c r="Z64" i="8" s="1"/>
  <c r="AA19" i="8"/>
  <c r="AB19" i="8"/>
  <c r="AC19" i="8"/>
  <c r="AD19" i="8"/>
  <c r="AD64" i="8" s="1"/>
  <c r="AE19" i="8"/>
  <c r="AF19" i="8"/>
  <c r="AG19" i="8"/>
  <c r="AH19" i="8"/>
  <c r="AH64" i="8" s="1"/>
  <c r="AI19" i="8"/>
  <c r="A20" i="8"/>
  <c r="V20" i="8"/>
  <c r="X20" i="8"/>
  <c r="Y20" i="8"/>
  <c r="Z20" i="8"/>
  <c r="AA20" i="8"/>
  <c r="AJ20" i="8" s="1"/>
  <c r="AB20" i="8"/>
  <c r="AC20" i="8"/>
  <c r="AD20" i="8"/>
  <c r="AE20" i="8"/>
  <c r="AF20" i="8"/>
  <c r="AG20" i="8"/>
  <c r="AH20" i="8"/>
  <c r="AI20" i="8"/>
  <c r="A21" i="8"/>
  <c r="V21" i="8"/>
  <c r="X21" i="8"/>
  <c r="Y21" i="8"/>
  <c r="Z21" i="8"/>
  <c r="AA21" i="8"/>
  <c r="AB21" i="8"/>
  <c r="AC21" i="8"/>
  <c r="AD21" i="8"/>
  <c r="AE21" i="8"/>
  <c r="AF21" i="8"/>
  <c r="AG21" i="8"/>
  <c r="AH21" i="8"/>
  <c r="AI21" i="8"/>
  <c r="AJ21" i="8"/>
  <c r="A22" i="8"/>
  <c r="V22" i="8"/>
  <c r="X22" i="8"/>
  <c r="Y22" i="8"/>
  <c r="AJ22" i="8" s="1"/>
  <c r="Z22" i="8"/>
  <c r="AA22" i="8"/>
  <c r="AB22" i="8"/>
  <c r="AC22" i="8"/>
  <c r="AD22" i="8"/>
  <c r="AE22" i="8"/>
  <c r="AF22" i="8"/>
  <c r="AG22" i="8"/>
  <c r="AH22" i="8"/>
  <c r="AI22" i="8"/>
  <c r="A23" i="8"/>
  <c r="V23" i="8"/>
  <c r="X23" i="8"/>
  <c r="Y23" i="8"/>
  <c r="AJ23" i="8" s="1"/>
  <c r="Z23" i="8"/>
  <c r="AA23" i="8"/>
  <c r="AB23" i="8"/>
  <c r="AC23" i="8"/>
  <c r="AD23" i="8"/>
  <c r="AE23" i="8"/>
  <c r="AF23" i="8"/>
  <c r="AG23" i="8"/>
  <c r="AH23" i="8"/>
  <c r="AI23" i="8"/>
  <c r="A24" i="8"/>
  <c r="V24" i="8"/>
  <c r="X24" i="8"/>
  <c r="Y24" i="8"/>
  <c r="Z24" i="8"/>
  <c r="AA24" i="8"/>
  <c r="AJ24" i="8" s="1"/>
  <c r="AB24" i="8"/>
  <c r="AC24" i="8"/>
  <c r="AD24" i="8"/>
  <c r="AE24" i="8"/>
  <c r="AF24" i="8"/>
  <c r="AG24" i="8"/>
  <c r="AH24" i="8"/>
  <c r="AI24" i="8"/>
  <c r="A25" i="8"/>
  <c r="V25" i="8"/>
  <c r="X25" i="8"/>
  <c r="X64" i="8" s="1"/>
  <c r="X65" i="8" s="1"/>
  <c r="Y25" i="8"/>
  <c r="Z25" i="8"/>
  <c r="AA25" i="8"/>
  <c r="AB25" i="8"/>
  <c r="AB64" i="8" s="1"/>
  <c r="AB65" i="8" s="1"/>
  <c r="AC25" i="8"/>
  <c r="AD25" i="8"/>
  <c r="AE25" i="8"/>
  <c r="AF25" i="8"/>
  <c r="AF64" i="8" s="1"/>
  <c r="AF65" i="8" s="1"/>
  <c r="AG25" i="8"/>
  <c r="AH25" i="8"/>
  <c r="AI25" i="8"/>
  <c r="AJ25" i="8"/>
  <c r="A26" i="8"/>
  <c r="V26" i="8"/>
  <c r="X26" i="8"/>
  <c r="Y26" i="8"/>
  <c r="AJ26" i="8" s="1"/>
  <c r="Z26" i="8"/>
  <c r="AA26" i="8"/>
  <c r="AB26" i="8"/>
  <c r="AC26" i="8"/>
  <c r="AD26" i="8"/>
  <c r="AE26" i="8"/>
  <c r="AF26" i="8"/>
  <c r="AG26" i="8"/>
  <c r="AH26" i="8"/>
  <c r="AI26" i="8"/>
  <c r="A27" i="8"/>
  <c r="V27" i="8"/>
  <c r="X27" i="8"/>
  <c r="Y27" i="8"/>
  <c r="AJ27" i="8" s="1"/>
  <c r="Z27" i="8"/>
  <c r="AA27" i="8"/>
  <c r="AB27" i="8"/>
  <c r="AC27" i="8"/>
  <c r="AD27" i="8"/>
  <c r="AE27" i="8"/>
  <c r="AF27" i="8"/>
  <c r="AG27" i="8"/>
  <c r="AH27" i="8"/>
  <c r="AI27" i="8"/>
  <c r="A28" i="8"/>
  <c r="V28" i="8"/>
  <c r="X28" i="8"/>
  <c r="Y28" i="8"/>
  <c r="Z28" i="8"/>
  <c r="AA28" i="8"/>
  <c r="AJ28" i="8" s="1"/>
  <c r="AB28" i="8"/>
  <c r="AC28" i="8"/>
  <c r="AD28" i="8"/>
  <c r="AE28" i="8"/>
  <c r="AF28" i="8"/>
  <c r="AG28" i="8"/>
  <c r="AH28" i="8"/>
  <c r="AI28" i="8"/>
  <c r="A29" i="8"/>
  <c r="V29" i="8"/>
  <c r="X29" i="8"/>
  <c r="Y29" i="8"/>
  <c r="Z29" i="8"/>
  <c r="AA29" i="8"/>
  <c r="AB29" i="8"/>
  <c r="AC29" i="8"/>
  <c r="AD29" i="8"/>
  <c r="AE29" i="8"/>
  <c r="AF29" i="8"/>
  <c r="AG29" i="8"/>
  <c r="AH29" i="8"/>
  <c r="AI29" i="8"/>
  <c r="AJ29" i="8"/>
  <c r="A30" i="8"/>
  <c r="V30" i="8"/>
  <c r="X30" i="8"/>
  <c r="Y30" i="8"/>
  <c r="AJ30" i="8" s="1"/>
  <c r="Z30" i="8"/>
  <c r="AA30" i="8"/>
  <c r="AB30" i="8"/>
  <c r="AC30" i="8"/>
  <c r="AD30" i="8"/>
  <c r="AE30" i="8"/>
  <c r="AF30" i="8"/>
  <c r="AG30" i="8"/>
  <c r="AH30" i="8"/>
  <c r="AI30" i="8"/>
  <c r="A31" i="8"/>
  <c r="V31" i="8"/>
  <c r="X31" i="8"/>
  <c r="Y31" i="8"/>
  <c r="AJ31" i="8" s="1"/>
  <c r="Z31" i="8"/>
  <c r="AA31" i="8"/>
  <c r="AB31" i="8"/>
  <c r="AC31" i="8"/>
  <c r="AD31" i="8"/>
  <c r="AE31" i="8"/>
  <c r="AF31" i="8"/>
  <c r="AG31" i="8"/>
  <c r="AH31" i="8"/>
  <c r="AI31" i="8"/>
  <c r="A32" i="8"/>
  <c r="V32" i="8"/>
  <c r="X32" i="8"/>
  <c r="Y32" i="8"/>
  <c r="Z32" i="8"/>
  <c r="AA32" i="8"/>
  <c r="AJ32" i="8" s="1"/>
  <c r="AB32" i="8"/>
  <c r="AC32" i="8"/>
  <c r="AD32" i="8"/>
  <c r="AE32" i="8"/>
  <c r="AF32" i="8"/>
  <c r="AG32" i="8"/>
  <c r="AH32" i="8"/>
  <c r="AI32" i="8"/>
  <c r="A33" i="8"/>
  <c r="V33" i="8"/>
  <c r="X33" i="8"/>
  <c r="Y33" i="8"/>
  <c r="Z33" i="8"/>
  <c r="AA33" i="8"/>
  <c r="AB33" i="8"/>
  <c r="AC33" i="8"/>
  <c r="AD33" i="8"/>
  <c r="AE33" i="8"/>
  <c r="AF33" i="8"/>
  <c r="AG33" i="8"/>
  <c r="AH33" i="8"/>
  <c r="AI33" i="8"/>
  <c r="AJ33" i="8"/>
  <c r="A34" i="8"/>
  <c r="V34" i="8"/>
  <c r="X34" i="8"/>
  <c r="Y34" i="8"/>
  <c r="AJ34" i="8" s="1"/>
  <c r="Z34" i="8"/>
  <c r="AA34" i="8"/>
  <c r="AB34" i="8"/>
  <c r="AC34" i="8"/>
  <c r="AD34" i="8"/>
  <c r="AE34" i="8"/>
  <c r="AF34" i="8"/>
  <c r="AG34" i="8"/>
  <c r="AH34" i="8"/>
  <c r="AI34" i="8"/>
  <c r="A35" i="8"/>
  <c r="V35" i="8"/>
  <c r="X35" i="8"/>
  <c r="Y35" i="8"/>
  <c r="AJ35" i="8" s="1"/>
  <c r="Z35" i="8"/>
  <c r="AA35" i="8"/>
  <c r="AB35" i="8"/>
  <c r="AC35" i="8"/>
  <c r="AD35" i="8"/>
  <c r="AE35" i="8"/>
  <c r="AF35" i="8"/>
  <c r="AG35" i="8"/>
  <c r="AH35" i="8"/>
  <c r="AI35" i="8"/>
  <c r="A36" i="8"/>
  <c r="V36" i="8"/>
  <c r="X36" i="8"/>
  <c r="Y36" i="8"/>
  <c r="Z36" i="8"/>
  <c r="AA36" i="8"/>
  <c r="AJ36" i="8" s="1"/>
  <c r="AB36" i="8"/>
  <c r="AC36" i="8"/>
  <c r="AD36" i="8"/>
  <c r="AE36" i="8"/>
  <c r="AF36" i="8"/>
  <c r="AG36" i="8"/>
  <c r="AH36" i="8"/>
  <c r="AI36" i="8"/>
  <c r="A37" i="8"/>
  <c r="V37" i="8"/>
  <c r="X37" i="8"/>
  <c r="Y37" i="8"/>
  <c r="Z37" i="8"/>
  <c r="AA37" i="8"/>
  <c r="AB37" i="8"/>
  <c r="AC37" i="8"/>
  <c r="AD37" i="8"/>
  <c r="AE37" i="8"/>
  <c r="AF37" i="8"/>
  <c r="AG37" i="8"/>
  <c r="AH37" i="8"/>
  <c r="AI37" i="8"/>
  <c r="AJ37" i="8"/>
  <c r="A38" i="8"/>
  <c r="V38" i="8"/>
  <c r="X38" i="8"/>
  <c r="Y38" i="8"/>
  <c r="AJ38" i="8" s="1"/>
  <c r="Z38" i="8"/>
  <c r="AA38" i="8"/>
  <c r="AB38" i="8"/>
  <c r="AC38" i="8"/>
  <c r="AD38" i="8"/>
  <c r="AE38" i="8"/>
  <c r="AF38" i="8"/>
  <c r="AG38" i="8"/>
  <c r="AH38" i="8"/>
  <c r="AI38" i="8"/>
  <c r="A39" i="8"/>
  <c r="V39" i="8"/>
  <c r="X39" i="8"/>
  <c r="Y39" i="8"/>
  <c r="AJ39" i="8" s="1"/>
  <c r="Z39" i="8"/>
  <c r="AA39" i="8"/>
  <c r="AB39" i="8"/>
  <c r="AC39" i="8"/>
  <c r="AD39" i="8"/>
  <c r="AE39" i="8"/>
  <c r="AF39" i="8"/>
  <c r="AG39" i="8"/>
  <c r="AH39" i="8"/>
  <c r="AI39" i="8"/>
  <c r="A40" i="8"/>
  <c r="V40" i="8"/>
  <c r="X40" i="8"/>
  <c r="Y40" i="8"/>
  <c r="Z40" i="8"/>
  <c r="AA40" i="8"/>
  <c r="AJ40" i="8" s="1"/>
  <c r="AB40" i="8"/>
  <c r="AC40" i="8"/>
  <c r="AD40" i="8"/>
  <c r="AE40" i="8"/>
  <c r="AF40" i="8"/>
  <c r="AG40" i="8"/>
  <c r="AH40" i="8"/>
  <c r="AI40" i="8"/>
  <c r="A41" i="8"/>
  <c r="V41" i="8"/>
  <c r="X41" i="8"/>
  <c r="Y41" i="8"/>
  <c r="Z41" i="8"/>
  <c r="AA41" i="8"/>
  <c r="AB41" i="8"/>
  <c r="AC41" i="8"/>
  <c r="AD41" i="8"/>
  <c r="AE41" i="8"/>
  <c r="AF41" i="8"/>
  <c r="AG41" i="8"/>
  <c r="AH41" i="8"/>
  <c r="AI41" i="8"/>
  <c r="AJ41" i="8"/>
  <c r="A42" i="8"/>
  <c r="V42" i="8"/>
  <c r="X42" i="8"/>
  <c r="Y42" i="8"/>
  <c r="AJ42" i="8" s="1"/>
  <c r="Z42" i="8"/>
  <c r="AA42" i="8"/>
  <c r="AB42" i="8"/>
  <c r="AC42" i="8"/>
  <c r="AD42" i="8"/>
  <c r="AE42" i="8"/>
  <c r="AF42" i="8"/>
  <c r="AG42" i="8"/>
  <c r="AH42" i="8"/>
  <c r="AI42" i="8"/>
  <c r="A43" i="8"/>
  <c r="V43" i="8"/>
  <c r="X43" i="8"/>
  <c r="Y43" i="8"/>
  <c r="AJ43" i="8" s="1"/>
  <c r="Z43" i="8"/>
  <c r="AA43" i="8"/>
  <c r="AB43" i="8"/>
  <c r="AC43" i="8"/>
  <c r="AD43" i="8"/>
  <c r="AE43" i="8"/>
  <c r="AF43" i="8"/>
  <c r="AG43" i="8"/>
  <c r="AH43" i="8"/>
  <c r="AI43" i="8"/>
  <c r="A44" i="8"/>
  <c r="C44" i="8"/>
  <c r="V44" i="8"/>
  <c r="X44" i="8"/>
  <c r="Y44" i="8"/>
  <c r="AJ44" i="8" s="1"/>
  <c r="Z44" i="8"/>
  <c r="AA44" i="8"/>
  <c r="AB44" i="8"/>
  <c r="AC44" i="8"/>
  <c r="AD44" i="8"/>
  <c r="AE44" i="8"/>
  <c r="AF44" i="8"/>
  <c r="AG44" i="8"/>
  <c r="AH44" i="8"/>
  <c r="AI44" i="8"/>
  <c r="A45" i="8"/>
  <c r="V45" i="8"/>
  <c r="X45" i="8"/>
  <c r="Y45" i="8"/>
  <c r="Z45" i="8"/>
  <c r="AA45" i="8"/>
  <c r="AJ45" i="8" s="1"/>
  <c r="AB45" i="8"/>
  <c r="AC45" i="8"/>
  <c r="AD45" i="8"/>
  <c r="AE45" i="8"/>
  <c r="AF45" i="8"/>
  <c r="AG45" i="8"/>
  <c r="AH45" i="8"/>
  <c r="AI45" i="8"/>
  <c r="A46" i="8"/>
  <c r="V46" i="8"/>
  <c r="X46" i="8"/>
  <c r="Y46" i="8"/>
  <c r="Z46" i="8"/>
  <c r="AA46" i="8"/>
  <c r="AB46" i="8"/>
  <c r="AC46" i="8"/>
  <c r="AD46" i="8"/>
  <c r="AE46" i="8"/>
  <c r="AF46" i="8"/>
  <c r="AG46" i="8"/>
  <c r="AH46" i="8"/>
  <c r="AI46" i="8"/>
  <c r="AJ46" i="8"/>
  <c r="A47" i="8"/>
  <c r="V47" i="8"/>
  <c r="X47" i="8"/>
  <c r="Y47" i="8"/>
  <c r="AJ47" i="8" s="1"/>
  <c r="Z47" i="8"/>
  <c r="AA47" i="8"/>
  <c r="AB47" i="8"/>
  <c r="AC47" i="8"/>
  <c r="AD47" i="8"/>
  <c r="AE47" i="8"/>
  <c r="AF47" i="8"/>
  <c r="AG47" i="8"/>
  <c r="AH47" i="8"/>
  <c r="AI47" i="8"/>
  <c r="A48" i="8"/>
  <c r="V48" i="8"/>
  <c r="X48" i="8"/>
  <c r="Y48" i="8"/>
  <c r="AJ48" i="8" s="1"/>
  <c r="Z48" i="8"/>
  <c r="AA48" i="8"/>
  <c r="AB48" i="8"/>
  <c r="AC48" i="8"/>
  <c r="AD48" i="8"/>
  <c r="AE48" i="8"/>
  <c r="AF48" i="8"/>
  <c r="AG48" i="8"/>
  <c r="AH48" i="8"/>
  <c r="AI48" i="8"/>
  <c r="A49" i="8"/>
  <c r="V49" i="8"/>
  <c r="X49" i="8"/>
  <c r="Y49" i="8"/>
  <c r="Z49" i="8"/>
  <c r="AA49" i="8"/>
  <c r="AJ49" i="8" s="1"/>
  <c r="AB49" i="8"/>
  <c r="AC49" i="8"/>
  <c r="AD49" i="8"/>
  <c r="AE49" i="8"/>
  <c r="AF49" i="8"/>
  <c r="AG49" i="8"/>
  <c r="AH49" i="8"/>
  <c r="AI49" i="8"/>
  <c r="A50" i="8"/>
  <c r="V50" i="8"/>
  <c r="X50" i="8"/>
  <c r="Y50" i="8"/>
  <c r="Z50" i="8"/>
  <c r="AA50" i="8"/>
  <c r="AB50" i="8"/>
  <c r="AC50" i="8"/>
  <c r="AD50" i="8"/>
  <c r="AE50" i="8"/>
  <c r="AF50" i="8"/>
  <c r="AG50" i="8"/>
  <c r="AH50" i="8"/>
  <c r="AI50" i="8"/>
  <c r="AJ50" i="8"/>
  <c r="A51" i="8"/>
  <c r="V51" i="8"/>
  <c r="X51" i="8"/>
  <c r="Y51" i="8"/>
  <c r="AJ51" i="8" s="1"/>
  <c r="Z51" i="8"/>
  <c r="AA51" i="8"/>
  <c r="AB51" i="8"/>
  <c r="AC51" i="8"/>
  <c r="AD51" i="8"/>
  <c r="AE51" i="8"/>
  <c r="AF51" i="8"/>
  <c r="AG51" i="8"/>
  <c r="AH51" i="8"/>
  <c r="AI51" i="8"/>
  <c r="A52" i="8"/>
  <c r="V52" i="8"/>
  <c r="X52" i="8"/>
  <c r="Y52" i="8"/>
  <c r="AJ52" i="8" s="1"/>
  <c r="Z52" i="8"/>
  <c r="AA52" i="8"/>
  <c r="AB52" i="8"/>
  <c r="AC52" i="8"/>
  <c r="AD52" i="8"/>
  <c r="AE52" i="8"/>
  <c r="AF52" i="8"/>
  <c r="AG52" i="8"/>
  <c r="AH52" i="8"/>
  <c r="AI52" i="8"/>
  <c r="A53" i="8"/>
  <c r="V53" i="8"/>
  <c r="X53" i="8"/>
  <c r="Y53" i="8"/>
  <c r="Z53" i="8"/>
  <c r="AA53" i="8"/>
  <c r="AJ53" i="8" s="1"/>
  <c r="AB53" i="8"/>
  <c r="AC53" i="8"/>
  <c r="AD53" i="8"/>
  <c r="AE53" i="8"/>
  <c r="AF53" i="8"/>
  <c r="AG53" i="8"/>
  <c r="AH53" i="8"/>
  <c r="AI53" i="8"/>
  <c r="A54" i="8"/>
  <c r="V54" i="8"/>
  <c r="X54" i="8"/>
  <c r="Y54" i="8"/>
  <c r="Z54" i="8"/>
  <c r="AA54" i="8"/>
  <c r="AB54" i="8"/>
  <c r="AC54" i="8"/>
  <c r="AD54" i="8"/>
  <c r="AE54" i="8"/>
  <c r="AF54" i="8"/>
  <c r="AG54" i="8"/>
  <c r="AH54" i="8"/>
  <c r="AI54" i="8"/>
  <c r="AJ54" i="8"/>
  <c r="A55" i="8"/>
  <c r="V55" i="8"/>
  <c r="X55" i="8"/>
  <c r="Y55" i="8"/>
  <c r="AJ55" i="8" s="1"/>
  <c r="Z55" i="8"/>
  <c r="AA55" i="8"/>
  <c r="AB55" i="8"/>
  <c r="AC55" i="8"/>
  <c r="AD55" i="8"/>
  <c r="AE55" i="8"/>
  <c r="AF55" i="8"/>
  <c r="AG55" i="8"/>
  <c r="AH55" i="8"/>
  <c r="AI55" i="8"/>
  <c r="A56" i="8"/>
  <c r="V56" i="8"/>
  <c r="X56" i="8"/>
  <c r="Y56" i="8"/>
  <c r="AJ56" i="8" s="1"/>
  <c r="Z56" i="8"/>
  <c r="AA56" i="8"/>
  <c r="AB56" i="8"/>
  <c r="AC56" i="8"/>
  <c r="AD56" i="8"/>
  <c r="AE56" i="8"/>
  <c r="AF56" i="8"/>
  <c r="AG56" i="8"/>
  <c r="AH56" i="8"/>
  <c r="AI56" i="8"/>
  <c r="A57" i="8"/>
  <c r="V57" i="8"/>
  <c r="X57" i="8"/>
  <c r="Y57" i="8"/>
  <c r="Z57" i="8"/>
  <c r="AA57" i="8"/>
  <c r="AJ57" i="8" s="1"/>
  <c r="AB57" i="8"/>
  <c r="AC57" i="8"/>
  <c r="AD57" i="8"/>
  <c r="AE57" i="8"/>
  <c r="AF57" i="8"/>
  <c r="AG57" i="8"/>
  <c r="AH57" i="8"/>
  <c r="AI57" i="8"/>
  <c r="A58" i="8"/>
  <c r="V58" i="8"/>
  <c r="X58" i="8"/>
  <c r="Y58" i="8"/>
  <c r="Z58" i="8"/>
  <c r="AA58" i="8"/>
  <c r="AB58" i="8"/>
  <c r="AC58" i="8"/>
  <c r="AD58" i="8"/>
  <c r="AE58" i="8"/>
  <c r="AF58" i="8"/>
  <c r="AG58" i="8"/>
  <c r="AH58" i="8"/>
  <c r="AI58" i="8"/>
  <c r="AJ58" i="8"/>
  <c r="A59" i="8"/>
  <c r="V59" i="8"/>
  <c r="X59" i="8"/>
  <c r="Y59" i="8"/>
  <c r="AJ59" i="8" s="1"/>
  <c r="Z59" i="8"/>
  <c r="AA59" i="8"/>
  <c r="AB59" i="8"/>
  <c r="AC59" i="8"/>
  <c r="AD59" i="8"/>
  <c r="AE59" i="8"/>
  <c r="AF59" i="8"/>
  <c r="AG59" i="8"/>
  <c r="AH59" i="8"/>
  <c r="AI59" i="8"/>
  <c r="A60" i="8"/>
  <c r="V60" i="8"/>
  <c r="X60" i="8"/>
  <c r="Y60" i="8"/>
  <c r="AJ60" i="8" s="1"/>
  <c r="Z60" i="8"/>
  <c r="AA60" i="8"/>
  <c r="AB60" i="8"/>
  <c r="AC60" i="8"/>
  <c r="AD60" i="8"/>
  <c r="AE60" i="8"/>
  <c r="AF60" i="8"/>
  <c r="AG60" i="8"/>
  <c r="AH60" i="8"/>
  <c r="AI60" i="8"/>
  <c r="A61" i="8"/>
  <c r="C61" i="8"/>
  <c r="V61" i="8"/>
  <c r="X61" i="8"/>
  <c r="Y61" i="8"/>
  <c r="AJ61" i="8" s="1"/>
  <c r="Z61" i="8"/>
  <c r="AA61" i="8"/>
  <c r="AB61" i="8"/>
  <c r="AC61" i="8"/>
  <c r="AD61" i="8"/>
  <c r="AE61" i="8"/>
  <c r="AF61" i="8"/>
  <c r="AG61" i="8"/>
  <c r="AH61" i="8"/>
  <c r="AI61" i="8"/>
  <c r="I63" i="8"/>
  <c r="J63" i="8"/>
  <c r="J82" i="8" s="1"/>
  <c r="K63" i="8"/>
  <c r="L63" i="8"/>
  <c r="M63" i="8"/>
  <c r="N63" i="8"/>
  <c r="N82" i="8" s="1"/>
  <c r="O63" i="8"/>
  <c r="P63" i="8"/>
  <c r="Q63" i="8"/>
  <c r="R63" i="8"/>
  <c r="R82" i="8" s="1"/>
  <c r="S63" i="8"/>
  <c r="T63" i="8"/>
  <c r="X63" i="8"/>
  <c r="AB63" i="8"/>
  <c r="AF63" i="8"/>
  <c r="AA64" i="8"/>
  <c r="AE64" i="8"/>
  <c r="AI64" i="8"/>
  <c r="X68" i="8"/>
  <c r="X67" i="8"/>
  <c r="X71" i="8" s="1"/>
  <c r="Y68" i="8"/>
  <c r="Y67" i="8"/>
  <c r="Z68" i="8"/>
  <c r="Z65" i="8" s="1"/>
  <c r="Z67" i="8"/>
  <c r="AJ67" i="8" s="1"/>
  <c r="AA68" i="8"/>
  <c r="AA67" i="8"/>
  <c r="AA65" i="8" s="1"/>
  <c r="AB68" i="8"/>
  <c r="AB67" i="8"/>
  <c r="AB71" i="8" s="1"/>
  <c r="AC68" i="8"/>
  <c r="AC67" i="8"/>
  <c r="AD68" i="8"/>
  <c r="AD65" i="8" s="1"/>
  <c r="AD67" i="8"/>
  <c r="AE68" i="8"/>
  <c r="AE67" i="8"/>
  <c r="AE65" i="8" s="1"/>
  <c r="AF68" i="8"/>
  <c r="AF67" i="8"/>
  <c r="AF71" i="8" s="1"/>
  <c r="AG68" i="8"/>
  <c r="AG67" i="8"/>
  <c r="AH68" i="8"/>
  <c r="AH65" i="8" s="1"/>
  <c r="AH67" i="8"/>
  <c r="AI68" i="8"/>
  <c r="AI67" i="8"/>
  <c r="AI65" i="8" s="1"/>
  <c r="A67" i="8"/>
  <c r="V67" i="8"/>
  <c r="A68" i="8"/>
  <c r="V68" i="8"/>
  <c r="V71" i="8" s="1"/>
  <c r="A69" i="8"/>
  <c r="C69" i="8"/>
  <c r="V69" i="8"/>
  <c r="X69" i="8"/>
  <c r="Y69" i="8"/>
  <c r="Z69" i="8"/>
  <c r="AA69" i="8"/>
  <c r="AB69" i="8"/>
  <c r="AC69" i="8"/>
  <c r="AD69" i="8"/>
  <c r="AE69" i="8"/>
  <c r="AF69" i="8"/>
  <c r="AG69" i="8"/>
  <c r="AH69" i="8"/>
  <c r="AI69" i="8"/>
  <c r="AJ69" i="8"/>
  <c r="I71" i="8"/>
  <c r="J71" i="8"/>
  <c r="K71" i="8"/>
  <c r="L71" i="8"/>
  <c r="M71" i="8"/>
  <c r="N71" i="8"/>
  <c r="O71" i="8"/>
  <c r="P71" i="8"/>
  <c r="Q71" i="8"/>
  <c r="R71" i="8"/>
  <c r="S71" i="8"/>
  <c r="T71" i="8"/>
  <c r="Z71" i="8"/>
  <c r="AD71" i="8"/>
  <c r="AH71" i="8"/>
  <c r="A73" i="8"/>
  <c r="V73" i="8"/>
  <c r="X73" i="8"/>
  <c r="Y73" i="8"/>
  <c r="Z73" i="8"/>
  <c r="AA73" i="8"/>
  <c r="AB73" i="8"/>
  <c r="AC73" i="8"/>
  <c r="AD73" i="8"/>
  <c r="AE73" i="8"/>
  <c r="AF73" i="8"/>
  <c r="AG73" i="8"/>
  <c r="AH73" i="8"/>
  <c r="AI73" i="8"/>
  <c r="A76" i="8"/>
  <c r="V76" i="8"/>
  <c r="X76" i="8"/>
  <c r="Y76" i="8"/>
  <c r="AJ76" i="8" s="1"/>
  <c r="AJ80" i="8" s="1"/>
  <c r="Z76" i="8"/>
  <c r="Z80" i="8" s="1"/>
  <c r="AA76" i="8"/>
  <c r="AB76" i="8"/>
  <c r="AC76" i="8"/>
  <c r="AC80" i="8" s="1"/>
  <c r="AD76" i="8"/>
  <c r="AD80" i="8" s="1"/>
  <c r="AE76" i="8"/>
  <c r="AF76" i="8"/>
  <c r="AG76" i="8"/>
  <c r="AG80" i="8" s="1"/>
  <c r="AH76" i="8"/>
  <c r="AH80" i="8" s="1"/>
  <c r="AI76" i="8"/>
  <c r="A77" i="8"/>
  <c r="V77" i="8"/>
  <c r="V80" i="8" s="1"/>
  <c r="B13" i="6" s="1"/>
  <c r="X77" i="8"/>
  <c r="Y77" i="8"/>
  <c r="AJ77" i="8" s="1"/>
  <c r="Z77" i="8"/>
  <c r="AA77" i="8"/>
  <c r="AA80" i="8" s="1"/>
  <c r="AB77" i="8"/>
  <c r="AC77" i="8"/>
  <c r="AD77" i="8"/>
  <c r="AE77" i="8"/>
  <c r="AE80" i="8" s="1"/>
  <c r="AF77" i="8"/>
  <c r="AG77" i="8"/>
  <c r="AH77" i="8"/>
  <c r="AI77" i="8"/>
  <c r="AI80" i="8" s="1"/>
  <c r="A78" i="8"/>
  <c r="V78" i="8"/>
  <c r="X78" i="8"/>
  <c r="Y78" i="8"/>
  <c r="Z78" i="8"/>
  <c r="AA78" i="8"/>
  <c r="AB78" i="8"/>
  <c r="AC78" i="8"/>
  <c r="AD78" i="8"/>
  <c r="AE78" i="8"/>
  <c r="AF78" i="8"/>
  <c r="AG78" i="8"/>
  <c r="AH78" i="8"/>
  <c r="AI78" i="8"/>
  <c r="A79" i="8"/>
  <c r="V79" i="8"/>
  <c r="X79" i="8"/>
  <c r="Y79" i="8"/>
  <c r="Z79" i="8"/>
  <c r="AA79" i="8"/>
  <c r="AB79" i="8"/>
  <c r="AC79" i="8"/>
  <c r="AD79" i="8"/>
  <c r="AE79" i="8"/>
  <c r="AF79" i="8"/>
  <c r="AG79" i="8"/>
  <c r="AH79" i="8"/>
  <c r="AI79" i="8"/>
  <c r="I80" i="8"/>
  <c r="J80" i="8"/>
  <c r="K80" i="8"/>
  <c r="K82" i="8" s="1"/>
  <c r="L80" i="8"/>
  <c r="M80" i="8"/>
  <c r="N80" i="8"/>
  <c r="O80" i="8"/>
  <c r="O82" i="8" s="1"/>
  <c r="P80" i="8"/>
  <c r="Q80" i="8"/>
  <c r="R80" i="8"/>
  <c r="S80" i="8"/>
  <c r="S82" i="8" s="1"/>
  <c r="T80" i="8"/>
  <c r="X80" i="8"/>
  <c r="AB80" i="8"/>
  <c r="AF80" i="8"/>
  <c r="I82" i="8"/>
  <c r="L82" i="8"/>
  <c r="M82" i="8"/>
  <c r="P82" i="8"/>
  <c r="Q82" i="8"/>
  <c r="T82" i="8"/>
  <c r="A88" i="8"/>
  <c r="C88" i="8"/>
  <c r="V88" i="8"/>
  <c r="X88" i="8"/>
  <c r="Y88" i="8"/>
  <c r="Z88" i="8"/>
  <c r="AJ88" i="8" s="1"/>
  <c r="AA88" i="8"/>
  <c r="AB88" i="8"/>
  <c r="AC88" i="8"/>
  <c r="AD88" i="8"/>
  <c r="AE88" i="8"/>
  <c r="AF88" i="8"/>
  <c r="AG88" i="8"/>
  <c r="AH88" i="8"/>
  <c r="AI88" i="8"/>
  <c r="A89" i="8"/>
  <c r="V89" i="8"/>
  <c r="X89" i="8"/>
  <c r="Y89" i="8"/>
  <c r="Z89" i="8"/>
  <c r="AA89" i="8"/>
  <c r="AB89" i="8"/>
  <c r="AC89" i="8"/>
  <c r="AD89" i="8"/>
  <c r="AE89" i="8"/>
  <c r="AF89" i="8"/>
  <c r="AG89" i="8"/>
  <c r="AH89" i="8"/>
  <c r="AI89" i="8"/>
  <c r="AJ89" i="8"/>
  <c r="A90" i="8"/>
  <c r="V90" i="8"/>
  <c r="X90" i="8"/>
  <c r="Y90" i="8"/>
  <c r="AJ90" i="8" s="1"/>
  <c r="Z90" i="8"/>
  <c r="AA90" i="8"/>
  <c r="AB90" i="8"/>
  <c r="AC90" i="8"/>
  <c r="AD90" i="8"/>
  <c r="AE90" i="8"/>
  <c r="AF90" i="8"/>
  <c r="AG90" i="8"/>
  <c r="AH90" i="8"/>
  <c r="AI90" i="8"/>
  <c r="A91" i="8"/>
  <c r="V91" i="8"/>
  <c r="X91" i="8"/>
  <c r="Y91" i="8"/>
  <c r="AJ91" i="8" s="1"/>
  <c r="Z91" i="8"/>
  <c r="AA91" i="8"/>
  <c r="AB91" i="8"/>
  <c r="AC91" i="8"/>
  <c r="AD91" i="8"/>
  <c r="AE91" i="8"/>
  <c r="AF91" i="8"/>
  <c r="AG91" i="8"/>
  <c r="AH91" i="8"/>
  <c r="AI91" i="8"/>
  <c r="A92" i="8"/>
  <c r="V92" i="8"/>
  <c r="X92" i="8"/>
  <c r="Y92" i="8"/>
  <c r="Z92" i="8"/>
  <c r="AJ92" i="8" s="1"/>
  <c r="AA92" i="8"/>
  <c r="AB92" i="8"/>
  <c r="AC92" i="8"/>
  <c r="AD92" i="8"/>
  <c r="AE92" i="8"/>
  <c r="AF92" i="8"/>
  <c r="AG92" i="8"/>
  <c r="AH92" i="8"/>
  <c r="AI92" i="8"/>
  <c r="A93" i="8"/>
  <c r="V93" i="8"/>
  <c r="X93" i="8"/>
  <c r="Y93" i="8"/>
  <c r="Z93" i="8"/>
  <c r="AA93" i="8"/>
  <c r="AB93" i="8"/>
  <c r="AC93" i="8"/>
  <c r="AD93" i="8"/>
  <c r="AE93" i="8"/>
  <c r="AF93" i="8"/>
  <c r="AG93" i="8"/>
  <c r="AH93" i="8"/>
  <c r="AI93" i="8"/>
  <c r="AJ93" i="8"/>
  <c r="A94" i="8"/>
  <c r="V94" i="8"/>
  <c r="X94" i="8"/>
  <c r="Y94" i="8"/>
  <c r="AJ94" i="8" s="1"/>
  <c r="Z94" i="8"/>
  <c r="AA94" i="8"/>
  <c r="AB94" i="8"/>
  <c r="AC94" i="8"/>
  <c r="AD94" i="8"/>
  <c r="AE94" i="8"/>
  <c r="AF94" i="8"/>
  <c r="AG94" i="8"/>
  <c r="AH94" i="8"/>
  <c r="AI94" i="8"/>
  <c r="A95" i="8"/>
  <c r="V95" i="8"/>
  <c r="X95" i="8"/>
  <c r="Y95" i="8"/>
  <c r="AJ95" i="8" s="1"/>
  <c r="Z95" i="8"/>
  <c r="AA95" i="8"/>
  <c r="AB95" i="8"/>
  <c r="AC95" i="8"/>
  <c r="AD95" i="8"/>
  <c r="AE95" i="8"/>
  <c r="AF95" i="8"/>
  <c r="AG95" i="8"/>
  <c r="AH95" i="8"/>
  <c r="AI95" i="8"/>
  <c r="A96" i="8"/>
  <c r="V96" i="8"/>
  <c r="X96" i="8"/>
  <c r="Y96" i="8"/>
  <c r="Z96" i="8"/>
  <c r="AJ96" i="8" s="1"/>
  <c r="AA96" i="8"/>
  <c r="AB96" i="8"/>
  <c r="AC96" i="8"/>
  <c r="AD96" i="8"/>
  <c r="AE96" i="8"/>
  <c r="AF96" i="8"/>
  <c r="AG96" i="8"/>
  <c r="AH96" i="8"/>
  <c r="AI96" i="8"/>
  <c r="A97" i="8"/>
  <c r="V97" i="8"/>
  <c r="X97" i="8"/>
  <c r="Y97" i="8"/>
  <c r="Z97" i="8"/>
  <c r="AA97" i="8"/>
  <c r="AB97" i="8"/>
  <c r="AC97" i="8"/>
  <c r="AD97" i="8"/>
  <c r="AE97" i="8"/>
  <c r="AF97" i="8"/>
  <c r="AG97" i="8"/>
  <c r="AH97" i="8"/>
  <c r="AI97" i="8"/>
  <c r="AJ97" i="8"/>
  <c r="A98" i="8"/>
  <c r="V98" i="8"/>
  <c r="X98" i="8"/>
  <c r="Y98" i="8"/>
  <c r="AJ98" i="8" s="1"/>
  <c r="Z98" i="8"/>
  <c r="AA98" i="8"/>
  <c r="AB98" i="8"/>
  <c r="AC98" i="8"/>
  <c r="AD98" i="8"/>
  <c r="AE98" i="8"/>
  <c r="AF98" i="8"/>
  <c r="AG98" i="8"/>
  <c r="AH98" i="8"/>
  <c r="AI98" i="8"/>
  <c r="A99" i="8"/>
  <c r="V99" i="8"/>
  <c r="X99" i="8"/>
  <c r="Y99" i="8"/>
  <c r="AJ99" i="8" s="1"/>
  <c r="Z99" i="8"/>
  <c r="AA99" i="8"/>
  <c r="AB99" i="8"/>
  <c r="AC99" i="8"/>
  <c r="AD99" i="8"/>
  <c r="AE99" i="8"/>
  <c r="AF99" i="8"/>
  <c r="AG99" i="8"/>
  <c r="AH99" i="8"/>
  <c r="AI99" i="8"/>
  <c r="A100" i="8"/>
  <c r="V100" i="8"/>
  <c r="X100" i="8"/>
  <c r="Y100" i="8"/>
  <c r="Z100" i="8"/>
  <c r="AJ100" i="8" s="1"/>
  <c r="AA100" i="8"/>
  <c r="AB100" i="8"/>
  <c r="AC100" i="8"/>
  <c r="AD100" i="8"/>
  <c r="AE100" i="8"/>
  <c r="AF100" i="8"/>
  <c r="AG100" i="8"/>
  <c r="AH100" i="8"/>
  <c r="AI100" i="8"/>
  <c r="A101" i="8"/>
  <c r="C101" i="8"/>
  <c r="V101" i="8"/>
  <c r="X101" i="8"/>
  <c r="Y101" i="8"/>
  <c r="Z101" i="8"/>
  <c r="AJ101" i="8" s="1"/>
  <c r="AA101" i="8"/>
  <c r="AB101" i="8"/>
  <c r="AC101" i="8"/>
  <c r="AD101" i="8"/>
  <c r="AE101" i="8"/>
  <c r="AF101" i="8"/>
  <c r="AG101" i="8"/>
  <c r="AH101" i="8"/>
  <c r="AI101" i="8"/>
  <c r="A102" i="8"/>
  <c r="V102" i="8"/>
  <c r="X102" i="8"/>
  <c r="Y102" i="8"/>
  <c r="Z102" i="8"/>
  <c r="AA102" i="8"/>
  <c r="AB102" i="8"/>
  <c r="AC102" i="8"/>
  <c r="AD102" i="8"/>
  <c r="AE102" i="8"/>
  <c r="AF102" i="8"/>
  <c r="AG102" i="8"/>
  <c r="AH102" i="8"/>
  <c r="AI102" i="8"/>
  <c r="AJ102" i="8"/>
  <c r="A103" i="8"/>
  <c r="V103" i="8"/>
  <c r="X103" i="8"/>
  <c r="Y103" i="8"/>
  <c r="AJ103" i="8" s="1"/>
  <c r="Z103" i="8"/>
  <c r="AA103" i="8"/>
  <c r="AB103" i="8"/>
  <c r="AC103" i="8"/>
  <c r="AD103" i="8"/>
  <c r="AE103" i="8"/>
  <c r="AF103" i="8"/>
  <c r="AG103" i="8"/>
  <c r="AH103" i="8"/>
  <c r="AI103" i="8"/>
  <c r="A104" i="8"/>
  <c r="V104" i="8"/>
  <c r="X104" i="8"/>
  <c r="Y104" i="8"/>
  <c r="AJ104" i="8" s="1"/>
  <c r="Z104" i="8"/>
  <c r="AA104" i="8"/>
  <c r="AB104" i="8"/>
  <c r="AC104" i="8"/>
  <c r="AD104" i="8"/>
  <c r="AE104" i="8"/>
  <c r="AF104" i="8"/>
  <c r="AG104" i="8"/>
  <c r="AH104" i="8"/>
  <c r="AI104" i="8"/>
  <c r="A105" i="8"/>
  <c r="V105" i="8"/>
  <c r="X105" i="8"/>
  <c r="Y105" i="8"/>
  <c r="Z105" i="8"/>
  <c r="AJ105" i="8" s="1"/>
  <c r="AA105" i="8"/>
  <c r="AB105" i="8"/>
  <c r="AC105" i="8"/>
  <c r="AD105" i="8"/>
  <c r="AE105" i="8"/>
  <c r="AF105" i="8"/>
  <c r="AG105" i="8"/>
  <c r="AH105" i="8"/>
  <c r="AI105" i="8"/>
  <c r="A106" i="8"/>
  <c r="V106" i="8"/>
  <c r="X106" i="8"/>
  <c r="Y106" i="8"/>
  <c r="Z106" i="8"/>
  <c r="AA106" i="8"/>
  <c r="AB106" i="8"/>
  <c r="AC106" i="8"/>
  <c r="AD106" i="8"/>
  <c r="AE106" i="8"/>
  <c r="AF106" i="8"/>
  <c r="AG106" i="8"/>
  <c r="AH106" i="8"/>
  <c r="AI106" i="8"/>
  <c r="AJ106" i="8"/>
  <c r="A107" i="8"/>
  <c r="V107" i="8"/>
  <c r="X107" i="8"/>
  <c r="Y107" i="8"/>
  <c r="AJ107" i="8" s="1"/>
  <c r="Z107" i="8"/>
  <c r="AA107" i="8"/>
  <c r="AB107" i="8"/>
  <c r="AC107" i="8"/>
  <c r="AD107" i="8"/>
  <c r="AE107" i="8"/>
  <c r="AF107" i="8"/>
  <c r="AG107" i="8"/>
  <c r="AH107" i="8"/>
  <c r="AI107" i="8"/>
  <c r="A108" i="8"/>
  <c r="V108" i="8"/>
  <c r="X108" i="8"/>
  <c r="Y108" i="8"/>
  <c r="AJ108" i="8" s="1"/>
  <c r="Z108" i="8"/>
  <c r="AA108" i="8"/>
  <c r="AB108" i="8"/>
  <c r="AC108" i="8"/>
  <c r="AD108" i="8"/>
  <c r="AE108" i="8"/>
  <c r="AF108" i="8"/>
  <c r="AG108" i="8"/>
  <c r="AH108" i="8"/>
  <c r="AI108" i="8"/>
  <c r="A109" i="8"/>
  <c r="V109" i="8"/>
  <c r="X109" i="8"/>
  <c r="Y109" i="8"/>
  <c r="Z109" i="8"/>
  <c r="AJ109" i="8" s="1"/>
  <c r="AA109" i="8"/>
  <c r="AB109" i="8"/>
  <c r="AC109" i="8"/>
  <c r="AD109" i="8"/>
  <c r="AE109" i="8"/>
  <c r="AF109" i="8"/>
  <c r="AG109" i="8"/>
  <c r="AH109" i="8"/>
  <c r="AI109" i="8"/>
  <c r="A110" i="8"/>
  <c r="V110" i="8"/>
  <c r="X110" i="8"/>
  <c r="Y110" i="8"/>
  <c r="Z110" i="8"/>
  <c r="AA110" i="8"/>
  <c r="AB110" i="8"/>
  <c r="AC110" i="8"/>
  <c r="AD110" i="8"/>
  <c r="AE110" i="8"/>
  <c r="AF110" i="8"/>
  <c r="AG110" i="8"/>
  <c r="AH110" i="8"/>
  <c r="AI110" i="8"/>
  <c r="AJ110" i="8"/>
  <c r="A111" i="8"/>
  <c r="V111" i="8"/>
  <c r="X111" i="8"/>
  <c r="Y111" i="8"/>
  <c r="AJ111" i="8" s="1"/>
  <c r="Z111" i="8"/>
  <c r="AA111" i="8"/>
  <c r="AB111" i="8"/>
  <c r="AC111" i="8"/>
  <c r="AD111" i="8"/>
  <c r="AE111" i="8"/>
  <c r="AF111" i="8"/>
  <c r="AG111" i="8"/>
  <c r="AH111" i="8"/>
  <c r="AI111" i="8"/>
  <c r="A112" i="8"/>
  <c r="V112" i="8"/>
  <c r="X112" i="8"/>
  <c r="Y112" i="8"/>
  <c r="AJ112" i="8" s="1"/>
  <c r="Z112" i="8"/>
  <c r="AA112" i="8"/>
  <c r="AB112" i="8"/>
  <c r="AC112" i="8"/>
  <c r="AD112" i="8"/>
  <c r="AE112" i="8"/>
  <c r="AF112" i="8"/>
  <c r="AG112" i="8"/>
  <c r="AH112" i="8"/>
  <c r="AI112" i="8"/>
  <c r="A113" i="8"/>
  <c r="V113" i="8"/>
  <c r="X113" i="8"/>
  <c r="Y113" i="8"/>
  <c r="Z113" i="8"/>
  <c r="AJ113" i="8" s="1"/>
  <c r="AA113" i="8"/>
  <c r="AB113" i="8"/>
  <c r="AC113" i="8"/>
  <c r="AD113" i="8"/>
  <c r="AE113" i="8"/>
  <c r="AF113" i="8"/>
  <c r="AG113" i="8"/>
  <c r="AH113" i="8"/>
  <c r="AI113" i="8"/>
  <c r="A114" i="8"/>
  <c r="V114" i="8"/>
  <c r="X114" i="8"/>
  <c r="Y114" i="8"/>
  <c r="Z114" i="8"/>
  <c r="AA114" i="8"/>
  <c r="AB114" i="8"/>
  <c r="AC114" i="8"/>
  <c r="AD114" i="8"/>
  <c r="AE114" i="8"/>
  <c r="AF114" i="8"/>
  <c r="AG114" i="8"/>
  <c r="AH114" i="8"/>
  <c r="AI114" i="8"/>
  <c r="AJ114" i="8"/>
  <c r="A115" i="8"/>
  <c r="C115" i="8"/>
  <c r="V115" i="8"/>
  <c r="X115" i="8"/>
  <c r="Y115" i="8"/>
  <c r="Z115" i="8"/>
  <c r="AA115" i="8"/>
  <c r="AB115" i="8"/>
  <c r="AC115" i="8"/>
  <c r="AD115" i="8"/>
  <c r="AE115" i="8"/>
  <c r="AF115" i="8"/>
  <c r="AG115" i="8"/>
  <c r="AH115" i="8"/>
  <c r="AI115" i="8"/>
  <c r="AJ115" i="8"/>
  <c r="A116" i="8"/>
  <c r="V116" i="8"/>
  <c r="X116" i="8"/>
  <c r="Y116" i="8"/>
  <c r="AJ116" i="8" s="1"/>
  <c r="Z116" i="8"/>
  <c r="AA116" i="8"/>
  <c r="AB116" i="8"/>
  <c r="AC116" i="8"/>
  <c r="AD116" i="8"/>
  <c r="AE116" i="8"/>
  <c r="AF116" i="8"/>
  <c r="AG116" i="8"/>
  <c r="AH116" i="8"/>
  <c r="AI116" i="8"/>
  <c r="A117" i="8"/>
  <c r="V117" i="8"/>
  <c r="X117" i="8"/>
  <c r="Y117" i="8"/>
  <c r="AJ117" i="8" s="1"/>
  <c r="Z117" i="8"/>
  <c r="AA117" i="8"/>
  <c r="AB117" i="8"/>
  <c r="AC117" i="8"/>
  <c r="AD117" i="8"/>
  <c r="AE117" i="8"/>
  <c r="AF117" i="8"/>
  <c r="AG117" i="8"/>
  <c r="AH117" i="8"/>
  <c r="AI117" i="8"/>
  <c r="A118" i="8"/>
  <c r="V118" i="8"/>
  <c r="X118" i="8"/>
  <c r="Y118" i="8"/>
  <c r="AJ118" i="8" s="1"/>
  <c r="Z118" i="8"/>
  <c r="AA118" i="8"/>
  <c r="AB118" i="8"/>
  <c r="AC118" i="8"/>
  <c r="AD118" i="8"/>
  <c r="AE118" i="8"/>
  <c r="AF118" i="8"/>
  <c r="AG118" i="8"/>
  <c r="AH118" i="8"/>
  <c r="AI118" i="8"/>
  <c r="A119" i="8"/>
  <c r="V119" i="8"/>
  <c r="X119" i="8"/>
  <c r="Y119" i="8"/>
  <c r="Z119" i="8"/>
  <c r="AA119" i="8"/>
  <c r="AB119" i="8"/>
  <c r="AC119" i="8"/>
  <c r="AD119" i="8"/>
  <c r="AE119" i="8"/>
  <c r="AF119" i="8"/>
  <c r="AG119" i="8"/>
  <c r="AH119" i="8"/>
  <c r="AI119" i="8"/>
  <c r="AJ119" i="8"/>
  <c r="A120" i="8"/>
  <c r="V120" i="8"/>
  <c r="X120" i="8"/>
  <c r="Y120" i="8"/>
  <c r="AJ120" i="8" s="1"/>
  <c r="Z120" i="8"/>
  <c r="AA120" i="8"/>
  <c r="AB120" i="8"/>
  <c r="AC120" i="8"/>
  <c r="AD120" i="8"/>
  <c r="AE120" i="8"/>
  <c r="AF120" i="8"/>
  <c r="AG120" i="8"/>
  <c r="AH120" i="8"/>
  <c r="AI120" i="8"/>
  <c r="A121" i="8"/>
  <c r="V121" i="8"/>
  <c r="X121" i="8"/>
  <c r="Y121" i="8"/>
  <c r="AJ121" i="8" s="1"/>
  <c r="Z121" i="8"/>
  <c r="AA121" i="8"/>
  <c r="AB121" i="8"/>
  <c r="AC121" i="8"/>
  <c r="AD121" i="8"/>
  <c r="AE121" i="8"/>
  <c r="AF121" i="8"/>
  <c r="AG121" i="8"/>
  <c r="AH121" i="8"/>
  <c r="AI121" i="8"/>
  <c r="A122" i="8"/>
  <c r="C122" i="8"/>
  <c r="V122" i="8"/>
  <c r="X122" i="8"/>
  <c r="Y122" i="8"/>
  <c r="AJ122" i="8" s="1"/>
  <c r="Z122" i="8"/>
  <c r="Z198" i="8" s="1"/>
  <c r="AA122" i="8"/>
  <c r="AB122" i="8"/>
  <c r="AC122" i="8"/>
  <c r="AD122" i="8"/>
  <c r="AD198" i="8" s="1"/>
  <c r="AE122" i="8"/>
  <c r="AF122" i="8"/>
  <c r="AG122" i="8"/>
  <c r="AH122" i="8"/>
  <c r="AH198" i="8" s="1"/>
  <c r="AI122" i="8"/>
  <c r="A123" i="8"/>
  <c r="C123" i="8"/>
  <c r="V123" i="8"/>
  <c r="X123" i="8"/>
  <c r="Y123" i="8"/>
  <c r="AJ123" i="8" s="1"/>
  <c r="Z123" i="8"/>
  <c r="AA123" i="8"/>
  <c r="AB123" i="8"/>
  <c r="AC123" i="8"/>
  <c r="AD123" i="8"/>
  <c r="AE123" i="8"/>
  <c r="AF123" i="8"/>
  <c r="AG123" i="8"/>
  <c r="AH123" i="8"/>
  <c r="AI123" i="8"/>
  <c r="A124" i="8"/>
  <c r="V124" i="8"/>
  <c r="X124" i="8"/>
  <c r="Y124" i="8"/>
  <c r="AJ124" i="8" s="1"/>
  <c r="Z124" i="8"/>
  <c r="AA124" i="8"/>
  <c r="AB124" i="8"/>
  <c r="AC124" i="8"/>
  <c r="AD124" i="8"/>
  <c r="AE124" i="8"/>
  <c r="AF124" i="8"/>
  <c r="AG124" i="8"/>
  <c r="AH124" i="8"/>
  <c r="AI124" i="8"/>
  <c r="A125" i="8"/>
  <c r="V125" i="8"/>
  <c r="X125" i="8"/>
  <c r="Y125" i="8"/>
  <c r="Z125" i="8"/>
  <c r="AA125" i="8"/>
  <c r="AB125" i="8"/>
  <c r="AC125" i="8"/>
  <c r="AD125" i="8"/>
  <c r="AE125" i="8"/>
  <c r="AF125" i="8"/>
  <c r="AG125" i="8"/>
  <c r="AH125" i="8"/>
  <c r="AI125" i="8"/>
  <c r="AJ125" i="8"/>
  <c r="A126" i="8"/>
  <c r="V126" i="8"/>
  <c r="X126" i="8"/>
  <c r="Y126" i="8"/>
  <c r="AJ126" i="8" s="1"/>
  <c r="Z126" i="8"/>
  <c r="AA126" i="8"/>
  <c r="AB126" i="8"/>
  <c r="AC126" i="8"/>
  <c r="AD126" i="8"/>
  <c r="AE126" i="8"/>
  <c r="AF126" i="8"/>
  <c r="AG126" i="8"/>
  <c r="AH126" i="8"/>
  <c r="AI126" i="8"/>
  <c r="A127" i="8"/>
  <c r="V127" i="8"/>
  <c r="X127" i="8"/>
  <c r="Y127" i="8"/>
  <c r="AJ127" i="8" s="1"/>
  <c r="Z127" i="8"/>
  <c r="AA127" i="8"/>
  <c r="AB127" i="8"/>
  <c r="AC127" i="8"/>
  <c r="AD127" i="8"/>
  <c r="AE127" i="8"/>
  <c r="AF127" i="8"/>
  <c r="AG127" i="8"/>
  <c r="AH127" i="8"/>
  <c r="AI127" i="8"/>
  <c r="A128" i="8"/>
  <c r="V128" i="8"/>
  <c r="X128" i="8"/>
  <c r="Y128" i="8"/>
  <c r="AJ128" i="8" s="1"/>
  <c r="Z128" i="8"/>
  <c r="AA128" i="8"/>
  <c r="AB128" i="8"/>
  <c r="AC128" i="8"/>
  <c r="AD128" i="8"/>
  <c r="AE128" i="8"/>
  <c r="AF128" i="8"/>
  <c r="AG128" i="8"/>
  <c r="AH128" i="8"/>
  <c r="AI128" i="8"/>
  <c r="A129" i="8"/>
  <c r="V129" i="8"/>
  <c r="X129" i="8"/>
  <c r="Y129" i="8"/>
  <c r="Z129" i="8"/>
  <c r="AA129" i="8"/>
  <c r="AB129" i="8"/>
  <c r="AC129" i="8"/>
  <c r="AD129" i="8"/>
  <c r="AE129" i="8"/>
  <c r="AF129" i="8"/>
  <c r="AG129" i="8"/>
  <c r="AH129" i="8"/>
  <c r="AI129" i="8"/>
  <c r="AJ129" i="8"/>
  <c r="A130" i="8"/>
  <c r="V130" i="8"/>
  <c r="X130" i="8"/>
  <c r="Y130" i="8"/>
  <c r="AJ130" i="8" s="1"/>
  <c r="Z130" i="8"/>
  <c r="AA130" i="8"/>
  <c r="AB130" i="8"/>
  <c r="AC130" i="8"/>
  <c r="AD130" i="8"/>
  <c r="AE130" i="8"/>
  <c r="AF130" i="8"/>
  <c r="AG130" i="8"/>
  <c r="AH130" i="8"/>
  <c r="AI130" i="8"/>
  <c r="A131" i="8"/>
  <c r="V131" i="8"/>
  <c r="X131" i="8"/>
  <c r="Y131" i="8"/>
  <c r="AJ131" i="8" s="1"/>
  <c r="Z131" i="8"/>
  <c r="AA131" i="8"/>
  <c r="AB131" i="8"/>
  <c r="AC131" i="8"/>
  <c r="AD131" i="8"/>
  <c r="AE131" i="8"/>
  <c r="AF131" i="8"/>
  <c r="AG131" i="8"/>
  <c r="AH131" i="8"/>
  <c r="AI131" i="8"/>
  <c r="A132" i="8"/>
  <c r="V132" i="8"/>
  <c r="X132" i="8"/>
  <c r="Y132" i="8"/>
  <c r="AJ132" i="8" s="1"/>
  <c r="Z132" i="8"/>
  <c r="AA132" i="8"/>
  <c r="AB132" i="8"/>
  <c r="AC132" i="8"/>
  <c r="AD132" i="8"/>
  <c r="AE132" i="8"/>
  <c r="AF132" i="8"/>
  <c r="AG132" i="8"/>
  <c r="AH132" i="8"/>
  <c r="AI132" i="8"/>
  <c r="A133" i="8"/>
  <c r="V133" i="8"/>
  <c r="X133" i="8"/>
  <c r="Y133" i="8"/>
  <c r="AJ133" i="8" s="1"/>
  <c r="AK133" i="8" s="1"/>
  <c r="Z133" i="8"/>
  <c r="AA133" i="8"/>
  <c r="AB133" i="8"/>
  <c r="AC133" i="8"/>
  <c r="AD133" i="8"/>
  <c r="AE133" i="8"/>
  <c r="AF133" i="8"/>
  <c r="AG133" i="8"/>
  <c r="AH133" i="8"/>
  <c r="AI133" i="8"/>
  <c r="A134" i="8"/>
  <c r="V134" i="8"/>
  <c r="X134" i="8"/>
  <c r="Y134" i="8"/>
  <c r="AJ134" i="8" s="1"/>
  <c r="AK134" i="8" s="1"/>
  <c r="Z134" i="8"/>
  <c r="AA134" i="8"/>
  <c r="AB134" i="8"/>
  <c r="AC134" i="8"/>
  <c r="AD134" i="8"/>
  <c r="AE134" i="8"/>
  <c r="AF134" i="8"/>
  <c r="AG134" i="8"/>
  <c r="AH134" i="8"/>
  <c r="AI134" i="8"/>
  <c r="A135" i="8"/>
  <c r="V135" i="8"/>
  <c r="X135" i="8"/>
  <c r="Y135" i="8"/>
  <c r="Z135" i="8"/>
  <c r="AA135" i="8"/>
  <c r="AB135" i="8"/>
  <c r="AC135" i="8"/>
  <c r="AD135" i="8"/>
  <c r="AE135" i="8"/>
  <c r="AF135" i="8"/>
  <c r="AG135" i="8"/>
  <c r="AH135" i="8"/>
  <c r="AI135" i="8"/>
  <c r="A136" i="8"/>
  <c r="V136" i="8"/>
  <c r="X136" i="8"/>
  <c r="Y136" i="8"/>
  <c r="Z136" i="8"/>
  <c r="AA136" i="8"/>
  <c r="AB136" i="8"/>
  <c r="AC136" i="8"/>
  <c r="AD136" i="8"/>
  <c r="AE136" i="8"/>
  <c r="AF136" i="8"/>
  <c r="AG136" i="8"/>
  <c r="AH136" i="8"/>
  <c r="AI136" i="8"/>
  <c r="A137" i="8"/>
  <c r="V137" i="8"/>
  <c r="X137" i="8"/>
  <c r="Y137" i="8"/>
  <c r="Z137" i="8"/>
  <c r="AA137" i="8"/>
  <c r="AB137" i="8"/>
  <c r="AC137" i="8"/>
  <c r="AD137" i="8"/>
  <c r="AE137" i="8"/>
  <c r="AF137" i="8"/>
  <c r="AG137" i="8"/>
  <c r="AH137" i="8"/>
  <c r="AI137" i="8"/>
  <c r="A138" i="8"/>
  <c r="V138" i="8"/>
  <c r="X138" i="8"/>
  <c r="Y138" i="8"/>
  <c r="Z138" i="8"/>
  <c r="AA138" i="8"/>
  <c r="AB138" i="8"/>
  <c r="AC138" i="8"/>
  <c r="AD138" i="8"/>
  <c r="AE138" i="8"/>
  <c r="AF138" i="8"/>
  <c r="AG138" i="8"/>
  <c r="AH138" i="8"/>
  <c r="AI138" i="8"/>
  <c r="A139" i="8"/>
  <c r="V139" i="8"/>
  <c r="X139" i="8"/>
  <c r="Y139" i="8"/>
  <c r="Z139" i="8"/>
  <c r="AA139" i="8"/>
  <c r="AB139" i="8"/>
  <c r="AC139" i="8"/>
  <c r="AD139" i="8"/>
  <c r="AE139" i="8"/>
  <c r="AF139" i="8"/>
  <c r="AG139" i="8"/>
  <c r="AH139" i="8"/>
  <c r="AI139" i="8"/>
  <c r="A140" i="8"/>
  <c r="V140" i="8"/>
  <c r="X140" i="8"/>
  <c r="Y140" i="8"/>
  <c r="Z140" i="8"/>
  <c r="AA140" i="8"/>
  <c r="AB140" i="8"/>
  <c r="AC140" i="8"/>
  <c r="AD140" i="8"/>
  <c r="AE140" i="8"/>
  <c r="AF140" i="8"/>
  <c r="AG140" i="8"/>
  <c r="AH140" i="8"/>
  <c r="AI140" i="8"/>
  <c r="A141" i="8"/>
  <c r="V141" i="8"/>
  <c r="X141" i="8"/>
  <c r="Y141" i="8"/>
  <c r="Z141" i="8"/>
  <c r="AA141" i="8"/>
  <c r="AB141" i="8"/>
  <c r="AC141" i="8"/>
  <c r="AD141" i="8"/>
  <c r="AE141" i="8"/>
  <c r="AF141" i="8"/>
  <c r="AG141" i="8"/>
  <c r="AH141" i="8"/>
  <c r="AI141" i="8"/>
  <c r="A142" i="8"/>
  <c r="V142" i="8"/>
  <c r="X142" i="8"/>
  <c r="Y142" i="8"/>
  <c r="Z142" i="8"/>
  <c r="AA142" i="8"/>
  <c r="AB142" i="8"/>
  <c r="AC142" i="8"/>
  <c r="AD142" i="8"/>
  <c r="AE142" i="8"/>
  <c r="AF142" i="8"/>
  <c r="AG142" i="8"/>
  <c r="AH142" i="8"/>
  <c r="AI142" i="8"/>
  <c r="A143" i="8"/>
  <c r="V143" i="8"/>
  <c r="X143" i="8"/>
  <c r="Y143" i="8"/>
  <c r="Z143" i="8"/>
  <c r="AA143" i="8"/>
  <c r="AB143" i="8"/>
  <c r="AC143" i="8"/>
  <c r="AD143" i="8"/>
  <c r="AE143" i="8"/>
  <c r="AF143" i="8"/>
  <c r="AG143" i="8"/>
  <c r="AH143" i="8"/>
  <c r="AI143" i="8"/>
  <c r="A144" i="8"/>
  <c r="V144" i="8"/>
  <c r="X144" i="8"/>
  <c r="Y144" i="8"/>
  <c r="Z144" i="8"/>
  <c r="AA144" i="8"/>
  <c r="AB144" i="8"/>
  <c r="AC144" i="8"/>
  <c r="AD144" i="8"/>
  <c r="AE144" i="8"/>
  <c r="AF144" i="8"/>
  <c r="AG144" i="8"/>
  <c r="AH144" i="8"/>
  <c r="AI144" i="8"/>
  <c r="A145" i="8"/>
  <c r="V145" i="8"/>
  <c r="X145" i="8"/>
  <c r="Y145" i="8"/>
  <c r="Z145" i="8"/>
  <c r="AA145" i="8"/>
  <c r="AB145" i="8"/>
  <c r="AC145" i="8"/>
  <c r="AD145" i="8"/>
  <c r="AE145" i="8"/>
  <c r="AF145" i="8"/>
  <c r="AG145" i="8"/>
  <c r="AH145" i="8"/>
  <c r="AI145" i="8"/>
  <c r="A146" i="8"/>
  <c r="V146" i="8"/>
  <c r="X146" i="8"/>
  <c r="Y146" i="8"/>
  <c r="Z146" i="8"/>
  <c r="AA146" i="8"/>
  <c r="AB146" i="8"/>
  <c r="AC146" i="8"/>
  <c r="AD146" i="8"/>
  <c r="AE146" i="8"/>
  <c r="AF146" i="8"/>
  <c r="AG146" i="8"/>
  <c r="AH146" i="8"/>
  <c r="AI146" i="8"/>
  <c r="A147" i="8"/>
  <c r="V147" i="8"/>
  <c r="X147" i="8"/>
  <c r="Y147" i="8"/>
  <c r="Z147" i="8"/>
  <c r="AA147" i="8"/>
  <c r="AB147" i="8"/>
  <c r="AC147" i="8"/>
  <c r="AD147" i="8"/>
  <c r="AE147" i="8"/>
  <c r="AF147" i="8"/>
  <c r="AG147" i="8"/>
  <c r="AH147" i="8"/>
  <c r="AI147" i="8"/>
  <c r="A148" i="8"/>
  <c r="V148" i="8"/>
  <c r="X148" i="8"/>
  <c r="Y148" i="8"/>
  <c r="Z148" i="8"/>
  <c r="AA148" i="8"/>
  <c r="AB148" i="8"/>
  <c r="AC148" i="8"/>
  <c r="AD148" i="8"/>
  <c r="AE148" i="8"/>
  <c r="AF148" i="8"/>
  <c r="AG148" i="8"/>
  <c r="AH148" i="8"/>
  <c r="AI148" i="8"/>
  <c r="A149" i="8"/>
  <c r="V149" i="8"/>
  <c r="X149" i="8"/>
  <c r="Y149" i="8"/>
  <c r="Z149" i="8"/>
  <c r="AA149" i="8"/>
  <c r="AB149" i="8"/>
  <c r="AC149" i="8"/>
  <c r="AD149" i="8"/>
  <c r="AE149" i="8"/>
  <c r="AF149" i="8"/>
  <c r="AG149" i="8"/>
  <c r="AH149" i="8"/>
  <c r="AI149" i="8"/>
  <c r="A150" i="8"/>
  <c r="V150" i="8"/>
  <c r="X150" i="8"/>
  <c r="Y150" i="8"/>
  <c r="Z150" i="8"/>
  <c r="AA150" i="8"/>
  <c r="AB150" i="8"/>
  <c r="AC150" i="8"/>
  <c r="AD150" i="8"/>
  <c r="AE150" i="8"/>
  <c r="AF150" i="8"/>
  <c r="AG150" i="8"/>
  <c r="AH150" i="8"/>
  <c r="AI150" i="8"/>
  <c r="A151" i="8"/>
  <c r="V151" i="8"/>
  <c r="X151" i="8"/>
  <c r="Y151" i="8"/>
  <c r="Z151" i="8"/>
  <c r="AA151" i="8"/>
  <c r="AB151" i="8"/>
  <c r="AC151" i="8"/>
  <c r="AD151" i="8"/>
  <c r="AE151" i="8"/>
  <c r="AF151" i="8"/>
  <c r="AG151" i="8"/>
  <c r="AH151" i="8"/>
  <c r="AI151" i="8"/>
  <c r="A152" i="8"/>
  <c r="V152" i="8"/>
  <c r="X152" i="8"/>
  <c r="Y152" i="8"/>
  <c r="Z152" i="8"/>
  <c r="AA152" i="8"/>
  <c r="AB152" i="8"/>
  <c r="AC152" i="8"/>
  <c r="AD152" i="8"/>
  <c r="AE152" i="8"/>
  <c r="AF152" i="8"/>
  <c r="AG152" i="8"/>
  <c r="AH152" i="8"/>
  <c r="AI152" i="8"/>
  <c r="A153" i="8"/>
  <c r="V153" i="8"/>
  <c r="X153" i="8"/>
  <c r="Y153" i="8"/>
  <c r="Z153" i="8"/>
  <c r="AA153" i="8"/>
  <c r="AB153" i="8"/>
  <c r="AC153" i="8"/>
  <c r="AD153" i="8"/>
  <c r="AE153" i="8"/>
  <c r="AF153" i="8"/>
  <c r="AG153" i="8"/>
  <c r="AH153" i="8"/>
  <c r="AI153" i="8"/>
  <c r="A154" i="8"/>
  <c r="V154" i="8"/>
  <c r="X154" i="8"/>
  <c r="Y154" i="8"/>
  <c r="Z154" i="8"/>
  <c r="AA154" i="8"/>
  <c r="AB154" i="8"/>
  <c r="AC154" i="8"/>
  <c r="AD154" i="8"/>
  <c r="AE154" i="8"/>
  <c r="AF154" i="8"/>
  <c r="AG154" i="8"/>
  <c r="AH154" i="8"/>
  <c r="AI154" i="8"/>
  <c r="A155" i="8"/>
  <c r="V155" i="8"/>
  <c r="X155" i="8"/>
  <c r="Y155" i="8"/>
  <c r="Z155" i="8"/>
  <c r="AA155" i="8"/>
  <c r="AB155" i="8"/>
  <c r="AC155" i="8"/>
  <c r="AD155" i="8"/>
  <c r="AE155" i="8"/>
  <c r="AF155" i="8"/>
  <c r="AG155" i="8"/>
  <c r="AH155" i="8"/>
  <c r="AI155" i="8"/>
  <c r="A156" i="8"/>
  <c r="V156" i="8"/>
  <c r="X156" i="8"/>
  <c r="Y156" i="8"/>
  <c r="Z156" i="8"/>
  <c r="AA156" i="8"/>
  <c r="AB156" i="8"/>
  <c r="AC156" i="8"/>
  <c r="AD156" i="8"/>
  <c r="AE156" i="8"/>
  <c r="AF156" i="8"/>
  <c r="AG156" i="8"/>
  <c r="AH156" i="8"/>
  <c r="AI156" i="8"/>
  <c r="A157" i="8"/>
  <c r="V157" i="8"/>
  <c r="X157" i="8"/>
  <c r="Y157" i="8"/>
  <c r="Z157" i="8"/>
  <c r="AA157" i="8"/>
  <c r="AB157" i="8"/>
  <c r="AC157" i="8"/>
  <c r="AD157" i="8"/>
  <c r="AE157" i="8"/>
  <c r="AF157" i="8"/>
  <c r="AG157" i="8"/>
  <c r="AH157" i="8"/>
  <c r="AI157" i="8"/>
  <c r="A158" i="8"/>
  <c r="V158" i="8"/>
  <c r="X158" i="8"/>
  <c r="Y158" i="8"/>
  <c r="Z158" i="8"/>
  <c r="AA158" i="8"/>
  <c r="AB158" i="8"/>
  <c r="AC158" i="8"/>
  <c r="AD158" i="8"/>
  <c r="AE158" i="8"/>
  <c r="AF158" i="8"/>
  <c r="AG158" i="8"/>
  <c r="AH158" i="8"/>
  <c r="AI158" i="8"/>
  <c r="A159" i="8"/>
  <c r="V159" i="8"/>
  <c r="X159" i="8"/>
  <c r="Y159" i="8"/>
  <c r="Z159" i="8"/>
  <c r="AA159" i="8"/>
  <c r="AB159" i="8"/>
  <c r="AC159" i="8"/>
  <c r="AD159" i="8"/>
  <c r="AE159" i="8"/>
  <c r="AF159" i="8"/>
  <c r="AG159" i="8"/>
  <c r="AH159" i="8"/>
  <c r="AI159" i="8"/>
  <c r="A160" i="8"/>
  <c r="V160" i="8"/>
  <c r="X160" i="8"/>
  <c r="Y160" i="8"/>
  <c r="Z160" i="8"/>
  <c r="AA160" i="8"/>
  <c r="AB160" i="8"/>
  <c r="AC160" i="8"/>
  <c r="AD160" i="8"/>
  <c r="AE160" i="8"/>
  <c r="AF160" i="8"/>
  <c r="AG160" i="8"/>
  <c r="AH160" i="8"/>
  <c r="AI160" i="8"/>
  <c r="A161" i="8"/>
  <c r="V161" i="8"/>
  <c r="X161" i="8"/>
  <c r="Y161" i="8"/>
  <c r="Z161" i="8"/>
  <c r="AA161" i="8"/>
  <c r="AB161" i="8"/>
  <c r="AC161" i="8"/>
  <c r="AD161" i="8"/>
  <c r="AE161" i="8"/>
  <c r="AF161" i="8"/>
  <c r="AG161" i="8"/>
  <c r="AH161" i="8"/>
  <c r="AI161" i="8"/>
  <c r="A162" i="8"/>
  <c r="V162" i="8"/>
  <c r="X162" i="8"/>
  <c r="Y162" i="8"/>
  <c r="Z162" i="8"/>
  <c r="AA162" i="8"/>
  <c r="AB162" i="8"/>
  <c r="AC162" i="8"/>
  <c r="AD162" i="8"/>
  <c r="AE162" i="8"/>
  <c r="AF162" i="8"/>
  <c r="AG162" i="8"/>
  <c r="AH162" i="8"/>
  <c r="AI162" i="8"/>
  <c r="A163" i="8"/>
  <c r="V163" i="8"/>
  <c r="X163" i="8"/>
  <c r="Y163" i="8"/>
  <c r="Z163" i="8"/>
  <c r="AA163" i="8"/>
  <c r="AB163" i="8"/>
  <c r="AC163" i="8"/>
  <c r="AD163" i="8"/>
  <c r="AE163" i="8"/>
  <c r="AF163" i="8"/>
  <c r="AG163" i="8"/>
  <c r="AH163" i="8"/>
  <c r="AI163" i="8"/>
  <c r="A164" i="8"/>
  <c r="V164" i="8"/>
  <c r="X164" i="8"/>
  <c r="Y164" i="8"/>
  <c r="Z164" i="8"/>
  <c r="AA164" i="8"/>
  <c r="AB164" i="8"/>
  <c r="AC164" i="8"/>
  <c r="AD164" i="8"/>
  <c r="AE164" i="8"/>
  <c r="AF164" i="8"/>
  <c r="AG164" i="8"/>
  <c r="AH164" i="8"/>
  <c r="AI164" i="8"/>
  <c r="A165" i="8"/>
  <c r="V165" i="8"/>
  <c r="X165" i="8"/>
  <c r="Y165" i="8"/>
  <c r="Z165" i="8"/>
  <c r="AA165" i="8"/>
  <c r="AB165" i="8"/>
  <c r="AC165" i="8"/>
  <c r="AD165" i="8"/>
  <c r="AE165" i="8"/>
  <c r="AF165" i="8"/>
  <c r="AG165" i="8"/>
  <c r="AH165" i="8"/>
  <c r="AI165" i="8"/>
  <c r="A166" i="8"/>
  <c r="V166" i="8"/>
  <c r="X166" i="8"/>
  <c r="Y166" i="8"/>
  <c r="Z166" i="8"/>
  <c r="AA166" i="8"/>
  <c r="AB166" i="8"/>
  <c r="AC166" i="8"/>
  <c r="AD166" i="8"/>
  <c r="AE166" i="8"/>
  <c r="AF166" i="8"/>
  <c r="AG166" i="8"/>
  <c r="AH166" i="8"/>
  <c r="AI166" i="8"/>
  <c r="A167" i="8"/>
  <c r="V167" i="8"/>
  <c r="X167" i="8"/>
  <c r="Y167" i="8"/>
  <c r="Z167" i="8"/>
  <c r="AA167" i="8"/>
  <c r="AB167" i="8"/>
  <c r="AC167" i="8"/>
  <c r="AD167" i="8"/>
  <c r="AE167" i="8"/>
  <c r="AF167" i="8"/>
  <c r="AG167" i="8"/>
  <c r="AH167" i="8"/>
  <c r="AI167" i="8"/>
  <c r="A168" i="8"/>
  <c r="V168" i="8"/>
  <c r="X168" i="8"/>
  <c r="Y168" i="8"/>
  <c r="Z168" i="8"/>
  <c r="AA168" i="8"/>
  <c r="AB168" i="8"/>
  <c r="AC168" i="8"/>
  <c r="AD168" i="8"/>
  <c r="AE168" i="8"/>
  <c r="AF168" i="8"/>
  <c r="AG168" i="8"/>
  <c r="AH168" i="8"/>
  <c r="AI168" i="8"/>
  <c r="A169" i="8"/>
  <c r="V169" i="8"/>
  <c r="X169" i="8"/>
  <c r="Y169" i="8"/>
  <c r="Z169" i="8"/>
  <c r="AA169" i="8"/>
  <c r="AB169" i="8"/>
  <c r="AC169" i="8"/>
  <c r="AD169" i="8"/>
  <c r="AE169" i="8"/>
  <c r="AF169" i="8"/>
  <c r="AG169" i="8"/>
  <c r="AH169" i="8"/>
  <c r="AI169" i="8"/>
  <c r="A170" i="8"/>
  <c r="V170" i="8"/>
  <c r="X170" i="8"/>
  <c r="Y170" i="8"/>
  <c r="Z170" i="8"/>
  <c r="AA170" i="8"/>
  <c r="AB170" i="8"/>
  <c r="AC170" i="8"/>
  <c r="AD170" i="8"/>
  <c r="AE170" i="8"/>
  <c r="AF170" i="8"/>
  <c r="AG170" i="8"/>
  <c r="AH170" i="8"/>
  <c r="AI170" i="8"/>
  <c r="A171" i="8"/>
  <c r="V171" i="8"/>
  <c r="X171" i="8"/>
  <c r="Y171" i="8"/>
  <c r="Z171" i="8"/>
  <c r="AA171" i="8"/>
  <c r="AB171" i="8"/>
  <c r="AC171" i="8"/>
  <c r="AD171" i="8"/>
  <c r="AE171" i="8"/>
  <c r="AF171" i="8"/>
  <c r="AG171" i="8"/>
  <c r="AH171" i="8"/>
  <c r="AI171" i="8"/>
  <c r="A172" i="8"/>
  <c r="V172" i="8"/>
  <c r="X172" i="8"/>
  <c r="Y172" i="8"/>
  <c r="Z172" i="8"/>
  <c r="AA172" i="8"/>
  <c r="AB172" i="8"/>
  <c r="AC172" i="8"/>
  <c r="AD172" i="8"/>
  <c r="AE172" i="8"/>
  <c r="AF172" i="8"/>
  <c r="AG172" i="8"/>
  <c r="AH172" i="8"/>
  <c r="AI172" i="8"/>
  <c r="A173" i="8"/>
  <c r="V173" i="8"/>
  <c r="X173" i="8"/>
  <c r="Y173" i="8"/>
  <c r="Z173" i="8"/>
  <c r="AA173" i="8"/>
  <c r="AB173" i="8"/>
  <c r="AC173" i="8"/>
  <c r="AD173" i="8"/>
  <c r="AE173" i="8"/>
  <c r="AF173" i="8"/>
  <c r="AG173" i="8"/>
  <c r="AH173" i="8"/>
  <c r="AI173" i="8"/>
  <c r="A174" i="8"/>
  <c r="V174" i="8"/>
  <c r="X174" i="8"/>
  <c r="Y174" i="8"/>
  <c r="Z174" i="8"/>
  <c r="AA174" i="8"/>
  <c r="AB174" i="8"/>
  <c r="AC174" i="8"/>
  <c r="AD174" i="8"/>
  <c r="AE174" i="8"/>
  <c r="AF174" i="8"/>
  <c r="AG174" i="8"/>
  <c r="AH174" i="8"/>
  <c r="AI174" i="8"/>
  <c r="A175" i="8"/>
  <c r="V175" i="8"/>
  <c r="X175" i="8"/>
  <c r="Y175" i="8"/>
  <c r="Z175" i="8"/>
  <c r="AA175" i="8"/>
  <c r="AB175" i="8"/>
  <c r="AC175" i="8"/>
  <c r="AD175" i="8"/>
  <c r="AE175" i="8"/>
  <c r="AF175" i="8"/>
  <c r="AG175" i="8"/>
  <c r="AH175" i="8"/>
  <c r="AI175" i="8"/>
  <c r="A176" i="8"/>
  <c r="V176" i="8"/>
  <c r="X176" i="8"/>
  <c r="Y176" i="8"/>
  <c r="Z176" i="8"/>
  <c r="AA176" i="8"/>
  <c r="AB176" i="8"/>
  <c r="AC176" i="8"/>
  <c r="AD176" i="8"/>
  <c r="AE176" i="8"/>
  <c r="AF176" i="8"/>
  <c r="AG176" i="8"/>
  <c r="AH176" i="8"/>
  <c r="AI176" i="8"/>
  <c r="A177" i="8"/>
  <c r="V177" i="8"/>
  <c r="X177" i="8"/>
  <c r="Y177" i="8"/>
  <c r="Z177" i="8"/>
  <c r="AA177" i="8"/>
  <c r="AB177" i="8"/>
  <c r="AC177" i="8"/>
  <c r="AD177" i="8"/>
  <c r="AE177" i="8"/>
  <c r="AF177" i="8"/>
  <c r="AG177" i="8"/>
  <c r="AH177" i="8"/>
  <c r="AI177" i="8"/>
  <c r="A178" i="8"/>
  <c r="V178" i="8"/>
  <c r="X178" i="8"/>
  <c r="Y178" i="8"/>
  <c r="Z178" i="8"/>
  <c r="AA178" i="8"/>
  <c r="AB178" i="8"/>
  <c r="AC178" i="8"/>
  <c r="AD178" i="8"/>
  <c r="AE178" i="8"/>
  <c r="AF178" i="8"/>
  <c r="AG178" i="8"/>
  <c r="AH178" i="8"/>
  <c r="AI178" i="8"/>
  <c r="A179" i="8"/>
  <c r="V179" i="8"/>
  <c r="X179" i="8"/>
  <c r="Y179" i="8"/>
  <c r="Z179" i="8"/>
  <c r="AA179" i="8"/>
  <c r="AB179" i="8"/>
  <c r="AC179" i="8"/>
  <c r="AD179" i="8"/>
  <c r="AE179" i="8"/>
  <c r="AF179" i="8"/>
  <c r="AG179" i="8"/>
  <c r="AH179" i="8"/>
  <c r="AI179" i="8"/>
  <c r="A180" i="8"/>
  <c r="V180" i="8"/>
  <c r="X180" i="8"/>
  <c r="Y180" i="8"/>
  <c r="Z180" i="8"/>
  <c r="AA180" i="8"/>
  <c r="AB180" i="8"/>
  <c r="AC180" i="8"/>
  <c r="AD180" i="8"/>
  <c r="AE180" i="8"/>
  <c r="AF180" i="8"/>
  <c r="AG180" i="8"/>
  <c r="AH180" i="8"/>
  <c r="AI180" i="8"/>
  <c r="A181" i="8"/>
  <c r="V181" i="8"/>
  <c r="X181" i="8"/>
  <c r="Y181" i="8"/>
  <c r="Z181" i="8"/>
  <c r="AA181" i="8"/>
  <c r="AB181" i="8"/>
  <c r="AC181" i="8"/>
  <c r="AD181" i="8"/>
  <c r="AE181" i="8"/>
  <c r="AF181" i="8"/>
  <c r="AG181" i="8"/>
  <c r="AH181" i="8"/>
  <c r="AI181" i="8"/>
  <c r="A182" i="8"/>
  <c r="V182" i="8"/>
  <c r="X182" i="8"/>
  <c r="Y182" i="8"/>
  <c r="Z182" i="8"/>
  <c r="AA182" i="8"/>
  <c r="AB182" i="8"/>
  <c r="AC182" i="8"/>
  <c r="AD182" i="8"/>
  <c r="AE182" i="8"/>
  <c r="AF182" i="8"/>
  <c r="AG182" i="8"/>
  <c r="AH182" i="8"/>
  <c r="AI182" i="8"/>
  <c r="A183" i="8"/>
  <c r="V183" i="8"/>
  <c r="X183" i="8"/>
  <c r="Y183" i="8"/>
  <c r="Z183" i="8"/>
  <c r="AA183" i="8"/>
  <c r="AB183" i="8"/>
  <c r="AC183" i="8"/>
  <c r="AD183" i="8"/>
  <c r="AE183" i="8"/>
  <c r="AF183" i="8"/>
  <c r="AG183" i="8"/>
  <c r="AH183" i="8"/>
  <c r="AI183" i="8"/>
  <c r="A184" i="8"/>
  <c r="V184" i="8"/>
  <c r="X184" i="8"/>
  <c r="Y184" i="8"/>
  <c r="Z184" i="8"/>
  <c r="AA184" i="8"/>
  <c r="AB184" i="8"/>
  <c r="AC184" i="8"/>
  <c r="AD184" i="8"/>
  <c r="AE184" i="8"/>
  <c r="AF184" i="8"/>
  <c r="AG184" i="8"/>
  <c r="AH184" i="8"/>
  <c r="AI184" i="8"/>
  <c r="A185" i="8"/>
  <c r="V185" i="8"/>
  <c r="X185" i="8"/>
  <c r="Y185" i="8"/>
  <c r="Z185" i="8"/>
  <c r="AA185" i="8"/>
  <c r="AB185" i="8"/>
  <c r="AC185" i="8"/>
  <c r="AD185" i="8"/>
  <c r="AE185" i="8"/>
  <c r="AF185" i="8"/>
  <c r="AG185" i="8"/>
  <c r="AH185" i="8"/>
  <c r="AI185" i="8"/>
  <c r="A186" i="8"/>
  <c r="C186" i="8"/>
  <c r="V186" i="8"/>
  <c r="X186" i="8"/>
  <c r="Y186" i="8"/>
  <c r="Z186" i="8"/>
  <c r="AA186" i="8"/>
  <c r="AB186" i="8"/>
  <c r="AC186" i="8"/>
  <c r="AD186" i="8"/>
  <c r="AE186" i="8"/>
  <c r="AF186" i="8"/>
  <c r="AG186" i="8"/>
  <c r="AH186" i="8"/>
  <c r="AI186" i="8"/>
  <c r="A187" i="8"/>
  <c r="C187" i="8"/>
  <c r="V187" i="8"/>
  <c r="X187" i="8"/>
  <c r="Y187" i="8"/>
  <c r="Z187" i="8"/>
  <c r="AA187" i="8"/>
  <c r="AB187" i="8"/>
  <c r="AC187" i="8"/>
  <c r="AD187" i="8"/>
  <c r="AE187" i="8"/>
  <c r="AF187" i="8"/>
  <c r="AG187" i="8"/>
  <c r="AH187" i="8"/>
  <c r="AI187" i="8"/>
  <c r="A188" i="8"/>
  <c r="C188" i="8"/>
  <c r="V188" i="8"/>
  <c r="X188" i="8"/>
  <c r="Y188" i="8"/>
  <c r="Z188" i="8"/>
  <c r="AA188" i="8"/>
  <c r="AB188" i="8"/>
  <c r="AC188" i="8"/>
  <c r="AD188" i="8"/>
  <c r="AE188" i="8"/>
  <c r="AF188" i="8"/>
  <c r="AG188" i="8"/>
  <c r="AH188" i="8"/>
  <c r="AI188" i="8"/>
  <c r="A189" i="8"/>
  <c r="C189" i="8"/>
  <c r="V189" i="8"/>
  <c r="X189" i="8"/>
  <c r="Y189" i="8"/>
  <c r="Z189" i="8"/>
  <c r="AA189" i="8"/>
  <c r="AB189" i="8"/>
  <c r="AC189" i="8"/>
  <c r="AD189" i="8"/>
  <c r="AE189" i="8"/>
  <c r="AF189" i="8"/>
  <c r="AG189" i="8"/>
  <c r="AH189" i="8"/>
  <c r="AI189" i="8"/>
  <c r="A190" i="8"/>
  <c r="V190" i="8"/>
  <c r="X190" i="8"/>
  <c r="Y190" i="8"/>
  <c r="Z190" i="8"/>
  <c r="AA190" i="8"/>
  <c r="AB190" i="8"/>
  <c r="AC190" i="8"/>
  <c r="AD190" i="8"/>
  <c r="AE190" i="8"/>
  <c r="AF190" i="8"/>
  <c r="AG190" i="8"/>
  <c r="AH190" i="8"/>
  <c r="AI190" i="8"/>
  <c r="A191" i="8"/>
  <c r="V191" i="8"/>
  <c r="X191" i="8"/>
  <c r="Y191" i="8"/>
  <c r="Z191" i="8"/>
  <c r="AA191" i="8"/>
  <c r="AB191" i="8"/>
  <c r="AC191" i="8"/>
  <c r="AD191" i="8"/>
  <c r="AE191" i="8"/>
  <c r="AF191" i="8"/>
  <c r="AG191" i="8"/>
  <c r="AH191" i="8"/>
  <c r="AI191" i="8"/>
  <c r="A192" i="8"/>
  <c r="V192" i="8"/>
  <c r="X192" i="8"/>
  <c r="Y192" i="8"/>
  <c r="Z192" i="8"/>
  <c r="AA192" i="8"/>
  <c r="AB192" i="8"/>
  <c r="AC192" i="8"/>
  <c r="AD192" i="8"/>
  <c r="AE192" i="8"/>
  <c r="AF192" i="8"/>
  <c r="AG192" i="8"/>
  <c r="AH192" i="8"/>
  <c r="AI192" i="8"/>
  <c r="A193" i="8"/>
  <c r="C193" i="8"/>
  <c r="V193" i="8"/>
  <c r="X193" i="8"/>
  <c r="Y193" i="8"/>
  <c r="Z193" i="8"/>
  <c r="AA193" i="8"/>
  <c r="AB193" i="8"/>
  <c r="AC193" i="8"/>
  <c r="AD193" i="8"/>
  <c r="AE193" i="8"/>
  <c r="AF193" i="8"/>
  <c r="AG193" i="8"/>
  <c r="AH193" i="8"/>
  <c r="AI193" i="8"/>
  <c r="A194" i="8"/>
  <c r="C194" i="8"/>
  <c r="V194" i="8"/>
  <c r="X194" i="8"/>
  <c r="Y194" i="8"/>
  <c r="Z194" i="8"/>
  <c r="AA194" i="8"/>
  <c r="AB194" i="8"/>
  <c r="AC194" i="8"/>
  <c r="AD194" i="8"/>
  <c r="AE194" i="8"/>
  <c r="AF194" i="8"/>
  <c r="AG194" i="8"/>
  <c r="AH194" i="8"/>
  <c r="AI194" i="8"/>
  <c r="A195" i="8"/>
  <c r="C195" i="8"/>
  <c r="V195" i="8"/>
  <c r="X195" i="8"/>
  <c r="Y195" i="8"/>
  <c r="Z195" i="8"/>
  <c r="AA195" i="8"/>
  <c r="AB195" i="8"/>
  <c r="AC195" i="8"/>
  <c r="AD195" i="8"/>
  <c r="AE195" i="8"/>
  <c r="AF195" i="8"/>
  <c r="AG195" i="8"/>
  <c r="AH195" i="8"/>
  <c r="AI195" i="8"/>
  <c r="A196" i="8"/>
  <c r="C196" i="8"/>
  <c r="V196" i="8"/>
  <c r="X196" i="8"/>
  <c r="Y196" i="8"/>
  <c r="Z196" i="8"/>
  <c r="AA196" i="8"/>
  <c r="AB196" i="8"/>
  <c r="AC196" i="8"/>
  <c r="AD196" i="8"/>
  <c r="AE196" i="8"/>
  <c r="AF196" i="8"/>
  <c r="AG196" i="8"/>
  <c r="AH196" i="8"/>
  <c r="AI196" i="8"/>
  <c r="I198" i="8"/>
  <c r="J198" i="8"/>
  <c r="K198" i="8"/>
  <c r="L198" i="8"/>
  <c r="M198" i="8"/>
  <c r="M209" i="8" s="1"/>
  <c r="M277" i="8" s="1"/>
  <c r="N198" i="8"/>
  <c r="O198" i="8"/>
  <c r="P198" i="8"/>
  <c r="Q198" i="8"/>
  <c r="Q209" i="8" s="1"/>
  <c r="Q277" i="8" s="1"/>
  <c r="R198" i="8"/>
  <c r="R209" i="8" s="1"/>
  <c r="S198" i="8"/>
  <c r="T198" i="8"/>
  <c r="X198" i="8"/>
  <c r="Y198" i="8"/>
  <c r="AA198" i="8"/>
  <c r="AB198" i="8"/>
  <c r="AC198" i="8"/>
  <c r="AE198" i="8"/>
  <c r="AF198" i="8"/>
  <c r="AG198" i="8"/>
  <c r="AI198" i="8"/>
  <c r="AJ198" i="8"/>
  <c r="AL199" i="8" s="1"/>
  <c r="AL198" i="8"/>
  <c r="C7" i="5" s="1"/>
  <c r="A201" i="8"/>
  <c r="V201" i="8"/>
  <c r="V204" i="8" s="1"/>
  <c r="X201" i="8"/>
  <c r="Y201" i="8"/>
  <c r="Z201" i="8"/>
  <c r="AJ201" i="8" s="1"/>
  <c r="AJ204" i="8" s="1"/>
  <c r="AA201" i="8"/>
  <c r="AB201" i="8"/>
  <c r="AC201" i="8"/>
  <c r="AD201" i="8"/>
  <c r="AD204" i="8" s="1"/>
  <c r="AE201" i="8"/>
  <c r="AF201" i="8"/>
  <c r="AG201" i="8"/>
  <c r="AH201" i="8"/>
  <c r="AH204" i="8" s="1"/>
  <c r="AI201" i="8"/>
  <c r="AI204" i="8" s="1"/>
  <c r="A202" i="8"/>
  <c r="V202" i="8"/>
  <c r="X202" i="8"/>
  <c r="Y202" i="8"/>
  <c r="Y204" i="8" s="1"/>
  <c r="Z202" i="8"/>
  <c r="AA202" i="8"/>
  <c r="AJ202" i="8" s="1"/>
  <c r="AB202" i="8"/>
  <c r="AC202" i="8"/>
  <c r="AD202" i="8"/>
  <c r="AE202" i="8"/>
  <c r="AF202" i="8"/>
  <c r="AG202" i="8"/>
  <c r="AH202" i="8"/>
  <c r="AI202" i="8"/>
  <c r="I204" i="8"/>
  <c r="J204" i="8"/>
  <c r="K204" i="8"/>
  <c r="K209" i="8" s="1"/>
  <c r="L204" i="8"/>
  <c r="L209" i="8" s="1"/>
  <c r="M204" i="8"/>
  <c r="N204" i="8"/>
  <c r="O204" i="8"/>
  <c r="O209" i="8" s="1"/>
  <c r="O277" i="8" s="1"/>
  <c r="P204" i="8"/>
  <c r="P209" i="8" s="1"/>
  <c r="Q204" i="8"/>
  <c r="R204" i="8"/>
  <c r="S204" i="8"/>
  <c r="T204" i="8"/>
  <c r="T209" i="8" s="1"/>
  <c r="Z204" i="8"/>
  <c r="AC204" i="8"/>
  <c r="AE204" i="8"/>
  <c r="AG204" i="8"/>
  <c r="X206" i="8"/>
  <c r="Y206" i="8"/>
  <c r="Z206" i="8"/>
  <c r="AA206" i="8"/>
  <c r="AB206" i="8"/>
  <c r="AC206" i="8"/>
  <c r="AD206" i="8"/>
  <c r="AE206" i="8"/>
  <c r="AF206" i="8"/>
  <c r="AG206" i="8"/>
  <c r="AH206" i="8"/>
  <c r="AI206" i="8"/>
  <c r="I209" i="8"/>
  <c r="J209" i="8"/>
  <c r="N209" i="8"/>
  <c r="S209" i="8"/>
  <c r="A215" i="8"/>
  <c r="V215" i="8"/>
  <c r="X215" i="8"/>
  <c r="Y215" i="8"/>
  <c r="Z215" i="8"/>
  <c r="AA215" i="8"/>
  <c r="AB215" i="8"/>
  <c r="AC215" i="8"/>
  <c r="AD215" i="8"/>
  <c r="AE215" i="8"/>
  <c r="AF215" i="8"/>
  <c r="AG215" i="8"/>
  <c r="AH215" i="8"/>
  <c r="AI215" i="8"/>
  <c r="A216" i="8"/>
  <c r="V216" i="8"/>
  <c r="X216" i="8"/>
  <c r="Y216" i="8"/>
  <c r="Z216" i="8"/>
  <c r="AJ216" i="8" s="1"/>
  <c r="AA216" i="8"/>
  <c r="AB216" i="8"/>
  <c r="AC216" i="8"/>
  <c r="AD216" i="8"/>
  <c r="AE216" i="8"/>
  <c r="AF216" i="8"/>
  <c r="AG216" i="8"/>
  <c r="AH216" i="8"/>
  <c r="AI216" i="8"/>
  <c r="A217" i="8"/>
  <c r="V217" i="8"/>
  <c r="V256" i="8" s="1"/>
  <c r="X217" i="8"/>
  <c r="Y217" i="8"/>
  <c r="Z217" i="8"/>
  <c r="AA217" i="8"/>
  <c r="AJ217" i="8" s="1"/>
  <c r="AB217" i="8"/>
  <c r="AC217" i="8"/>
  <c r="AD217" i="8"/>
  <c r="AE217" i="8"/>
  <c r="AF217" i="8"/>
  <c r="AG217" i="8"/>
  <c r="AH217" i="8"/>
  <c r="AI217" i="8"/>
  <c r="A218" i="8"/>
  <c r="C218" i="8"/>
  <c r="V218" i="8"/>
  <c r="X218" i="8"/>
  <c r="Y218" i="8"/>
  <c r="Z218" i="8"/>
  <c r="AA218" i="8"/>
  <c r="AJ218" i="8" s="1"/>
  <c r="AB218" i="8"/>
  <c r="AC218" i="8"/>
  <c r="AD218" i="8"/>
  <c r="AE218" i="8"/>
  <c r="AF218" i="8"/>
  <c r="AG218" i="8"/>
  <c r="AH218" i="8"/>
  <c r="AI218" i="8"/>
  <c r="A219" i="8"/>
  <c r="V219" i="8"/>
  <c r="X219" i="8"/>
  <c r="Y219" i="8"/>
  <c r="Z219" i="8"/>
  <c r="AA219" i="8"/>
  <c r="AB219" i="8"/>
  <c r="AC219" i="8"/>
  <c r="AD219" i="8"/>
  <c r="AE219" i="8"/>
  <c r="AF219" i="8"/>
  <c r="AG219" i="8"/>
  <c r="AH219" i="8"/>
  <c r="AI219" i="8"/>
  <c r="AJ219" i="8"/>
  <c r="A220" i="8"/>
  <c r="V220" i="8"/>
  <c r="X220" i="8"/>
  <c r="Y220" i="8"/>
  <c r="Z220" i="8"/>
  <c r="AA220" i="8"/>
  <c r="AB220" i="8"/>
  <c r="AC220" i="8"/>
  <c r="AD220" i="8"/>
  <c r="AE220" i="8"/>
  <c r="AF220" i="8"/>
  <c r="AG220" i="8"/>
  <c r="AH220" i="8"/>
  <c r="AI220" i="8"/>
  <c r="A221" i="8"/>
  <c r="V221" i="8"/>
  <c r="X221" i="8"/>
  <c r="Y221" i="8"/>
  <c r="Z221" i="8"/>
  <c r="AA221" i="8"/>
  <c r="AJ221" i="8" s="1"/>
  <c r="AB221" i="8"/>
  <c r="AC221" i="8"/>
  <c r="AD221" i="8"/>
  <c r="AE221" i="8"/>
  <c r="AF221" i="8"/>
  <c r="AG221" i="8"/>
  <c r="AH221" i="8"/>
  <c r="AI221" i="8"/>
  <c r="A222" i="8"/>
  <c r="V222" i="8"/>
  <c r="X222" i="8"/>
  <c r="Y222" i="8"/>
  <c r="Z222" i="8"/>
  <c r="AA222" i="8"/>
  <c r="AB222" i="8"/>
  <c r="AC222" i="8"/>
  <c r="AD222" i="8"/>
  <c r="AE222" i="8"/>
  <c r="AF222" i="8"/>
  <c r="AG222" i="8"/>
  <c r="AH222" i="8"/>
  <c r="AI222" i="8"/>
  <c r="AJ222" i="8"/>
  <c r="A223" i="8"/>
  <c r="V223" i="8"/>
  <c r="X223" i="8"/>
  <c r="Y223" i="8"/>
  <c r="AJ223" i="8" s="1"/>
  <c r="Z223" i="8"/>
  <c r="AA223" i="8"/>
  <c r="AB223" i="8"/>
  <c r="AC223" i="8"/>
  <c r="AD223" i="8"/>
  <c r="AE223" i="8"/>
  <c r="AF223" i="8"/>
  <c r="AG223" i="8"/>
  <c r="AH223" i="8"/>
  <c r="AI223" i="8"/>
  <c r="A224" i="8"/>
  <c r="V224" i="8"/>
  <c r="X224" i="8"/>
  <c r="Y224" i="8"/>
  <c r="Z224" i="8"/>
  <c r="AA224" i="8"/>
  <c r="AB224" i="8"/>
  <c r="AC224" i="8"/>
  <c r="AD224" i="8"/>
  <c r="AE224" i="8"/>
  <c r="AF224" i="8"/>
  <c r="AG224" i="8"/>
  <c r="AH224" i="8"/>
  <c r="AI224" i="8"/>
  <c r="A225" i="8"/>
  <c r="V225" i="8"/>
  <c r="X225" i="8"/>
  <c r="Y225" i="8"/>
  <c r="Z225" i="8"/>
  <c r="AA225" i="8"/>
  <c r="AB225" i="8"/>
  <c r="AC225" i="8"/>
  <c r="AD225" i="8"/>
  <c r="AE225" i="8"/>
  <c r="AF225" i="8"/>
  <c r="AG225" i="8"/>
  <c r="AH225" i="8"/>
  <c r="AI225" i="8"/>
  <c r="AJ225" i="8"/>
  <c r="A226" i="8"/>
  <c r="V226" i="8"/>
  <c r="X226" i="8"/>
  <c r="Y226" i="8"/>
  <c r="AJ226" i="8" s="1"/>
  <c r="Z226" i="8"/>
  <c r="AA226" i="8"/>
  <c r="AB226" i="8"/>
  <c r="AC226" i="8"/>
  <c r="AD226" i="8"/>
  <c r="AE226" i="8"/>
  <c r="AF226" i="8"/>
  <c r="AG226" i="8"/>
  <c r="AH226" i="8"/>
  <c r="AI226" i="8"/>
  <c r="A227" i="8"/>
  <c r="V227" i="8"/>
  <c r="X227" i="8"/>
  <c r="Y227" i="8"/>
  <c r="Z227" i="8"/>
  <c r="AJ227" i="8" s="1"/>
  <c r="AA227" i="8"/>
  <c r="AB227" i="8"/>
  <c r="AC227" i="8"/>
  <c r="AD227" i="8"/>
  <c r="AE227" i="8"/>
  <c r="AF227" i="8"/>
  <c r="AG227" i="8"/>
  <c r="AH227" i="8"/>
  <c r="AI227" i="8"/>
  <c r="A228" i="8"/>
  <c r="V228" i="8"/>
  <c r="X228" i="8"/>
  <c r="Y228" i="8"/>
  <c r="Z228" i="8"/>
  <c r="AA228" i="8"/>
  <c r="AB228" i="8"/>
  <c r="AC228" i="8"/>
  <c r="AD228" i="8"/>
  <c r="AE228" i="8"/>
  <c r="AF228" i="8"/>
  <c r="AG228" i="8"/>
  <c r="AH228" i="8"/>
  <c r="AI228" i="8"/>
  <c r="A229" i="8"/>
  <c r="V229" i="8"/>
  <c r="X229" i="8"/>
  <c r="Y229" i="8"/>
  <c r="Z229" i="8"/>
  <c r="AJ229" i="8" s="1"/>
  <c r="AA229" i="8"/>
  <c r="AB229" i="8"/>
  <c r="AC229" i="8"/>
  <c r="AD229" i="8"/>
  <c r="AE229" i="8"/>
  <c r="AF229" i="8"/>
  <c r="AG229" i="8"/>
  <c r="AH229" i="8"/>
  <c r="AI229" i="8"/>
  <c r="A230" i="8"/>
  <c r="V230" i="8"/>
  <c r="X230" i="8"/>
  <c r="Y230" i="8"/>
  <c r="Z230" i="8"/>
  <c r="AA230" i="8"/>
  <c r="AJ230" i="8" s="1"/>
  <c r="AB230" i="8"/>
  <c r="AC230" i="8"/>
  <c r="AD230" i="8"/>
  <c r="AE230" i="8"/>
  <c r="AF230" i="8"/>
  <c r="AG230" i="8"/>
  <c r="AH230" i="8"/>
  <c r="AI230" i="8"/>
  <c r="A231" i="8"/>
  <c r="V231" i="8"/>
  <c r="X231" i="8"/>
  <c r="Y231" i="8"/>
  <c r="Z231" i="8"/>
  <c r="AA231" i="8"/>
  <c r="AB231" i="8"/>
  <c r="AC231" i="8"/>
  <c r="AD231" i="8"/>
  <c r="AE231" i="8"/>
  <c r="AF231" i="8"/>
  <c r="AG231" i="8"/>
  <c r="AH231" i="8"/>
  <c r="AI231" i="8"/>
  <c r="AJ231" i="8"/>
  <c r="A232" i="8"/>
  <c r="V232" i="8"/>
  <c r="X232" i="8"/>
  <c r="Y232" i="8"/>
  <c r="Z232" i="8"/>
  <c r="AA232" i="8"/>
  <c r="AB232" i="8"/>
  <c r="AC232" i="8"/>
  <c r="AD232" i="8"/>
  <c r="AE232" i="8"/>
  <c r="AF232" i="8"/>
  <c r="AG232" i="8"/>
  <c r="AH232" i="8"/>
  <c r="AI232" i="8"/>
  <c r="A233" i="8"/>
  <c r="V233" i="8"/>
  <c r="X233" i="8"/>
  <c r="Y233" i="8"/>
  <c r="Z233" i="8"/>
  <c r="AJ233" i="8" s="1"/>
  <c r="AA233" i="8"/>
  <c r="AB233" i="8"/>
  <c r="AC233" i="8"/>
  <c r="AD233" i="8"/>
  <c r="AE233" i="8"/>
  <c r="AF233" i="8"/>
  <c r="AG233" i="8"/>
  <c r="AH233" i="8"/>
  <c r="AI233" i="8"/>
  <c r="A234" i="8"/>
  <c r="V234" i="8"/>
  <c r="X234" i="8"/>
  <c r="Y234" i="8"/>
  <c r="Z234" i="8"/>
  <c r="AA234" i="8"/>
  <c r="AJ234" i="8" s="1"/>
  <c r="AB234" i="8"/>
  <c r="AC234" i="8"/>
  <c r="AD234" i="8"/>
  <c r="AE234" i="8"/>
  <c r="AF234" i="8"/>
  <c r="AG234" i="8"/>
  <c r="AH234" i="8"/>
  <c r="AI234" i="8"/>
  <c r="A235" i="8"/>
  <c r="V235" i="8"/>
  <c r="X235" i="8"/>
  <c r="Y235" i="8"/>
  <c r="Z235" i="8"/>
  <c r="AA235" i="8"/>
  <c r="AB235" i="8"/>
  <c r="AC235" i="8"/>
  <c r="AD235" i="8"/>
  <c r="AE235" i="8"/>
  <c r="AF235" i="8"/>
  <c r="AG235" i="8"/>
  <c r="AH235" i="8"/>
  <c r="AI235" i="8"/>
  <c r="AJ235" i="8"/>
  <c r="A236" i="8"/>
  <c r="V236" i="8"/>
  <c r="X236" i="8"/>
  <c r="Y236" i="8"/>
  <c r="Y256" i="8" s="1"/>
  <c r="Z236" i="8"/>
  <c r="AA236" i="8"/>
  <c r="AB236" i="8"/>
  <c r="AC236" i="8"/>
  <c r="AC256" i="8" s="1"/>
  <c r="AD236" i="8"/>
  <c r="AD256" i="8" s="1"/>
  <c r="AE236" i="8"/>
  <c r="AF236" i="8"/>
  <c r="AG236" i="8"/>
  <c r="AG256" i="8" s="1"/>
  <c r="AH236" i="8"/>
  <c r="AI236" i="8"/>
  <c r="AI256" i="8" s="1"/>
  <c r="A237" i="8"/>
  <c r="V237" i="8"/>
  <c r="X237" i="8"/>
  <c r="Y237" i="8"/>
  <c r="Z237" i="8"/>
  <c r="AA237" i="8"/>
  <c r="AJ237" i="8" s="1"/>
  <c r="AB237" i="8"/>
  <c r="AC237" i="8"/>
  <c r="AD237" i="8"/>
  <c r="AE237" i="8"/>
  <c r="AF237" i="8"/>
  <c r="AG237" i="8"/>
  <c r="AH237" i="8"/>
  <c r="AI237" i="8"/>
  <c r="A238" i="8"/>
  <c r="V238" i="8"/>
  <c r="X238" i="8"/>
  <c r="Y238" i="8"/>
  <c r="Z238" i="8"/>
  <c r="AA238" i="8"/>
  <c r="AB238" i="8"/>
  <c r="AC238" i="8"/>
  <c r="AD238" i="8"/>
  <c r="AE238" i="8"/>
  <c r="AF238" i="8"/>
  <c r="AG238" i="8"/>
  <c r="AH238" i="8"/>
  <c r="AI238" i="8"/>
  <c r="AJ238" i="8"/>
  <c r="A239" i="8"/>
  <c r="V239" i="8"/>
  <c r="X239" i="8"/>
  <c r="Y239" i="8"/>
  <c r="AJ239" i="8" s="1"/>
  <c r="AK239" i="8" s="1"/>
  <c r="Z239" i="8"/>
  <c r="AA239" i="8"/>
  <c r="AB239" i="8"/>
  <c r="AC239" i="8"/>
  <c r="AD239" i="8"/>
  <c r="AE239" i="8"/>
  <c r="AF239" i="8"/>
  <c r="AG239" i="8"/>
  <c r="AH239" i="8"/>
  <c r="AI239" i="8"/>
  <c r="A240" i="8"/>
  <c r="V240" i="8"/>
  <c r="X240" i="8"/>
  <c r="Y240" i="8"/>
  <c r="AJ240" i="8" s="1"/>
  <c r="AK240" i="8" s="1"/>
  <c r="Z240" i="8"/>
  <c r="AA240" i="8"/>
  <c r="AB240" i="8"/>
  <c r="AC240" i="8"/>
  <c r="AD240" i="8"/>
  <c r="AE240" i="8"/>
  <c r="AF240" i="8"/>
  <c r="AG240" i="8"/>
  <c r="AH240" i="8"/>
  <c r="AI240" i="8"/>
  <c r="A241" i="8"/>
  <c r="V241" i="8"/>
  <c r="X241" i="8"/>
  <c r="Y241" i="8"/>
  <c r="AJ241" i="8" s="1"/>
  <c r="AK241" i="8" s="1"/>
  <c r="Z241" i="8"/>
  <c r="AA241" i="8"/>
  <c r="AB241" i="8"/>
  <c r="AC241" i="8"/>
  <c r="AD241" i="8"/>
  <c r="AE241" i="8"/>
  <c r="AF241" i="8"/>
  <c r="AG241" i="8"/>
  <c r="AH241" i="8"/>
  <c r="AI241" i="8"/>
  <c r="A242" i="8"/>
  <c r="V242" i="8"/>
  <c r="X242" i="8"/>
  <c r="Y242" i="8"/>
  <c r="AJ242" i="8" s="1"/>
  <c r="AK242" i="8" s="1"/>
  <c r="Z242" i="8"/>
  <c r="AA242" i="8"/>
  <c r="AB242" i="8"/>
  <c r="AC242" i="8"/>
  <c r="AD242" i="8"/>
  <c r="AE242" i="8"/>
  <c r="AF242" i="8"/>
  <c r="AG242" i="8"/>
  <c r="AH242" i="8"/>
  <c r="AI242" i="8"/>
  <c r="A243" i="8"/>
  <c r="V243" i="8"/>
  <c r="X243" i="8"/>
  <c r="Y243" i="8"/>
  <c r="AJ243" i="8" s="1"/>
  <c r="Z243" i="8"/>
  <c r="AA243" i="8"/>
  <c r="AB243" i="8"/>
  <c r="AC243" i="8"/>
  <c r="AD243" i="8"/>
  <c r="AE243" i="8"/>
  <c r="AF243" i="8"/>
  <c r="AG243" i="8"/>
  <c r="AH243" i="8"/>
  <c r="AI243" i="8"/>
  <c r="A244" i="8"/>
  <c r="V244" i="8"/>
  <c r="X244" i="8"/>
  <c r="Y244" i="8"/>
  <c r="Z244" i="8"/>
  <c r="AA244" i="8"/>
  <c r="AB244" i="8"/>
  <c r="AC244" i="8"/>
  <c r="AD244" i="8"/>
  <c r="AE244" i="8"/>
  <c r="AF244" i="8"/>
  <c r="AG244" i="8"/>
  <c r="AH244" i="8"/>
  <c r="AI244" i="8"/>
  <c r="A245" i="8"/>
  <c r="V245" i="8"/>
  <c r="X245" i="8"/>
  <c r="Y245" i="8"/>
  <c r="Z245" i="8"/>
  <c r="AA245" i="8"/>
  <c r="AB245" i="8"/>
  <c r="AC245" i="8"/>
  <c r="AD245" i="8"/>
  <c r="AE245" i="8"/>
  <c r="AF245" i="8"/>
  <c r="AG245" i="8"/>
  <c r="AH245" i="8"/>
  <c r="AI245" i="8"/>
  <c r="AJ245" i="8"/>
  <c r="A246" i="8"/>
  <c r="V246" i="8"/>
  <c r="X246" i="8"/>
  <c r="Y246" i="8"/>
  <c r="AJ246" i="8" s="1"/>
  <c r="Z246" i="8"/>
  <c r="AA246" i="8"/>
  <c r="AB246" i="8"/>
  <c r="AC246" i="8"/>
  <c r="AD246" i="8"/>
  <c r="AE246" i="8"/>
  <c r="AF246" i="8"/>
  <c r="AG246" i="8"/>
  <c r="AH246" i="8"/>
  <c r="AI246" i="8"/>
  <c r="A247" i="8"/>
  <c r="V247" i="8"/>
  <c r="X247" i="8"/>
  <c r="Y247" i="8"/>
  <c r="Z247" i="8"/>
  <c r="AJ247" i="8" s="1"/>
  <c r="AA247" i="8"/>
  <c r="AB247" i="8"/>
  <c r="AC247" i="8"/>
  <c r="AD247" i="8"/>
  <c r="AE247" i="8"/>
  <c r="AF247" i="8"/>
  <c r="AG247" i="8"/>
  <c r="AH247" i="8"/>
  <c r="AI247" i="8"/>
  <c r="A248" i="8"/>
  <c r="V248" i="8"/>
  <c r="X248" i="8"/>
  <c r="Y248" i="8"/>
  <c r="Z248" i="8"/>
  <c r="AA248" i="8"/>
  <c r="AB248" i="8"/>
  <c r="AC248" i="8"/>
  <c r="AD248" i="8"/>
  <c r="AE248" i="8"/>
  <c r="AF248" i="8"/>
  <c r="AG248" i="8"/>
  <c r="AH248" i="8"/>
  <c r="AI248" i="8"/>
  <c r="A249" i="8"/>
  <c r="V249" i="8"/>
  <c r="X249" i="8"/>
  <c r="Y249" i="8"/>
  <c r="Z249" i="8"/>
  <c r="AJ249" i="8" s="1"/>
  <c r="AA249" i="8"/>
  <c r="AB249" i="8"/>
  <c r="AC249" i="8"/>
  <c r="AD249" i="8"/>
  <c r="AE249" i="8"/>
  <c r="AF249" i="8"/>
  <c r="AG249" i="8"/>
  <c r="AH249" i="8"/>
  <c r="AI249" i="8"/>
  <c r="A250" i="8"/>
  <c r="V250" i="8"/>
  <c r="X250" i="8"/>
  <c r="Y250" i="8"/>
  <c r="Z250" i="8"/>
  <c r="AA250" i="8"/>
  <c r="AJ250" i="8" s="1"/>
  <c r="AB250" i="8"/>
  <c r="AC250" i="8"/>
  <c r="AD250" i="8"/>
  <c r="AE250" i="8"/>
  <c r="AF250" i="8"/>
  <c r="AG250" i="8"/>
  <c r="AH250" i="8"/>
  <c r="AI250" i="8"/>
  <c r="A251" i="8"/>
  <c r="V251" i="8"/>
  <c r="X251" i="8"/>
  <c r="Y251" i="8"/>
  <c r="Z251" i="8"/>
  <c r="AA251" i="8"/>
  <c r="AB251" i="8"/>
  <c r="AC251" i="8"/>
  <c r="AD251" i="8"/>
  <c r="AE251" i="8"/>
  <c r="AF251" i="8"/>
  <c r="AG251" i="8"/>
  <c r="AH251" i="8"/>
  <c r="AI251" i="8"/>
  <c r="AJ251" i="8"/>
  <c r="A252" i="8"/>
  <c r="V252" i="8"/>
  <c r="X252" i="8"/>
  <c r="Y252" i="8"/>
  <c r="Z252" i="8"/>
  <c r="AA252" i="8"/>
  <c r="AB252" i="8"/>
  <c r="AC252" i="8"/>
  <c r="AD252" i="8"/>
  <c r="AE252" i="8"/>
  <c r="AF252" i="8"/>
  <c r="AG252" i="8"/>
  <c r="AH252" i="8"/>
  <c r="AI252" i="8"/>
  <c r="A253" i="8"/>
  <c r="V253" i="8"/>
  <c r="X253" i="8"/>
  <c r="Y253" i="8"/>
  <c r="Z253" i="8"/>
  <c r="AJ253" i="8" s="1"/>
  <c r="AA253" i="8"/>
  <c r="AB253" i="8"/>
  <c r="AC253" i="8"/>
  <c r="AD253" i="8"/>
  <c r="AE253" i="8"/>
  <c r="AF253" i="8"/>
  <c r="AG253" i="8"/>
  <c r="AH253" i="8"/>
  <c r="AI253" i="8"/>
  <c r="A254" i="8"/>
  <c r="V254" i="8"/>
  <c r="X254" i="8"/>
  <c r="Y254" i="8"/>
  <c r="Z254" i="8"/>
  <c r="AA254" i="8"/>
  <c r="AJ254" i="8" s="1"/>
  <c r="AB254" i="8"/>
  <c r="AC254" i="8"/>
  <c r="AD254" i="8"/>
  <c r="AE254" i="8"/>
  <c r="AF254" i="8"/>
  <c r="AG254" i="8"/>
  <c r="AH254" i="8"/>
  <c r="AI254" i="8"/>
  <c r="I256" i="8"/>
  <c r="I265" i="8" s="1"/>
  <c r="J256" i="8"/>
  <c r="K256" i="8"/>
  <c r="K265" i="8" s="1"/>
  <c r="L256" i="8"/>
  <c r="L265" i="8" s="1"/>
  <c r="M256" i="8"/>
  <c r="N256" i="8"/>
  <c r="O256" i="8"/>
  <c r="P256" i="8"/>
  <c r="P265" i="8" s="1"/>
  <c r="P277" i="8" s="1"/>
  <c r="Q256" i="8"/>
  <c r="R256" i="8"/>
  <c r="S256" i="8"/>
  <c r="S265" i="8" s="1"/>
  <c r="S277" i="8" s="1"/>
  <c r="T256" i="8"/>
  <c r="T265" i="8" s="1"/>
  <c r="Z256" i="8"/>
  <c r="AE256" i="8"/>
  <c r="AH256" i="8"/>
  <c r="A259" i="8"/>
  <c r="V259" i="8"/>
  <c r="X259" i="8"/>
  <c r="Y259" i="8"/>
  <c r="Z259" i="8"/>
  <c r="AJ259" i="8" s="1"/>
  <c r="AA259" i="8"/>
  <c r="AB259" i="8"/>
  <c r="AC259" i="8"/>
  <c r="AD259" i="8"/>
  <c r="AE259" i="8"/>
  <c r="AF259" i="8"/>
  <c r="AG259" i="8"/>
  <c r="AH259" i="8"/>
  <c r="AI259" i="8"/>
  <c r="A260" i="8"/>
  <c r="C260" i="8"/>
  <c r="V260" i="8"/>
  <c r="X260" i="8"/>
  <c r="Y260" i="8"/>
  <c r="Z260" i="8"/>
  <c r="AJ260" i="8" s="1"/>
  <c r="AA260" i="8"/>
  <c r="AB260" i="8"/>
  <c r="AC260" i="8"/>
  <c r="AD260" i="8"/>
  <c r="AE260" i="8"/>
  <c r="AF260" i="8"/>
  <c r="AG260" i="8"/>
  <c r="AH260" i="8"/>
  <c r="AI260" i="8"/>
  <c r="I262" i="8"/>
  <c r="J262" i="8"/>
  <c r="K262" i="8"/>
  <c r="L262" i="8"/>
  <c r="M262" i="8"/>
  <c r="N262" i="8"/>
  <c r="N265" i="8" s="1"/>
  <c r="O262" i="8"/>
  <c r="P262" i="8"/>
  <c r="Q262" i="8"/>
  <c r="R262" i="8"/>
  <c r="R265" i="8" s="1"/>
  <c r="S262" i="8"/>
  <c r="T262" i="8"/>
  <c r="J265" i="8"/>
  <c r="M265" i="8"/>
  <c r="O265" i="8"/>
  <c r="Q265" i="8"/>
  <c r="A269" i="8"/>
  <c r="V269" i="8"/>
  <c r="X269" i="8"/>
  <c r="Y269" i="8"/>
  <c r="Z269" i="8"/>
  <c r="AA269" i="8"/>
  <c r="AB269" i="8"/>
  <c r="AC269" i="8"/>
  <c r="AD269" i="8"/>
  <c r="AE269" i="8"/>
  <c r="AF269" i="8"/>
  <c r="AG269" i="8"/>
  <c r="AH269" i="8"/>
  <c r="AI269" i="8"/>
  <c r="A270" i="8"/>
  <c r="V270" i="8"/>
  <c r="V272" i="8" s="1"/>
  <c r="X270" i="8"/>
  <c r="Y270" i="8"/>
  <c r="Z270" i="8"/>
  <c r="AA270" i="8"/>
  <c r="AB270" i="8"/>
  <c r="AC270" i="8"/>
  <c r="AD270" i="8"/>
  <c r="AE270" i="8"/>
  <c r="AF270" i="8"/>
  <c r="AG270" i="8"/>
  <c r="AH270" i="8"/>
  <c r="AI270" i="8"/>
  <c r="I272" i="8"/>
  <c r="J272" i="8"/>
  <c r="K272" i="8"/>
  <c r="L272" i="8"/>
  <c r="M272" i="8"/>
  <c r="N272" i="8"/>
  <c r="O272" i="8"/>
  <c r="P272" i="8"/>
  <c r="Q272" i="8"/>
  <c r="R272" i="8"/>
  <c r="S272" i="8"/>
  <c r="T272" i="8"/>
  <c r="T277" i="8" s="1"/>
  <c r="L277" i="8"/>
  <c r="C11" i="6"/>
  <c r="G11" i="6"/>
  <c r="V9" i="4" s="1"/>
  <c r="B12" i="6"/>
  <c r="E12" i="6"/>
  <c r="T10" i="4" s="1"/>
  <c r="D10" i="31" s="1"/>
  <c r="G12" i="6"/>
  <c r="V10" i="4" s="1"/>
  <c r="B28" i="6"/>
  <c r="C28" i="6"/>
  <c r="C31" i="6" s="1"/>
  <c r="C13" i="6"/>
  <c r="G13" i="6"/>
  <c r="V11" i="4" s="1"/>
  <c r="C14" i="6"/>
  <c r="D14" i="6"/>
  <c r="F14" i="6"/>
  <c r="F20" i="6" s="1"/>
  <c r="G14" i="6"/>
  <c r="V12" i="4" s="1"/>
  <c r="G15" i="6"/>
  <c r="V13" i="4" s="1"/>
  <c r="I15" i="6"/>
  <c r="E16" i="6"/>
  <c r="G16" i="6"/>
  <c r="C17" i="6"/>
  <c r="D17" i="6"/>
  <c r="D20" i="6" s="1"/>
  <c r="G17" i="6"/>
  <c r="V14" i="4" s="1"/>
  <c r="C18" i="6"/>
  <c r="G18" i="6"/>
  <c r="V15" i="4" s="1"/>
  <c r="E19" i="6"/>
  <c r="B37" i="6"/>
  <c r="C37" i="6"/>
  <c r="T21" i="6"/>
  <c r="V21" i="6"/>
  <c r="W21" i="6"/>
  <c r="B46" i="6"/>
  <c r="C46" i="6"/>
  <c r="B47" i="6"/>
  <c r="X28" i="6"/>
  <c r="X29" i="6"/>
  <c r="X30" i="6"/>
  <c r="X31" i="6"/>
  <c r="X32" i="6"/>
  <c r="X33" i="6"/>
  <c r="B73" i="6"/>
  <c r="X35" i="6"/>
  <c r="X36" i="6"/>
  <c r="X37" i="6"/>
  <c r="X38" i="6"/>
  <c r="X39" i="6"/>
  <c r="X40" i="6"/>
  <c r="X41" i="6"/>
  <c r="X43" i="6"/>
  <c r="X45" i="6"/>
  <c r="X46" i="6"/>
  <c r="X47" i="6"/>
  <c r="X48" i="6"/>
  <c r="X49" i="6"/>
  <c r="X50" i="6"/>
  <c r="X51" i="6"/>
  <c r="X52" i="6"/>
  <c r="X53" i="6"/>
  <c r="X54" i="6"/>
  <c r="X55" i="6"/>
  <c r="X56" i="6"/>
  <c r="X58" i="6"/>
  <c r="C47" i="6"/>
  <c r="B56" i="6"/>
  <c r="B57" i="6"/>
  <c r="B60" i="6"/>
  <c r="B61" i="6"/>
  <c r="C73" i="6"/>
  <c r="I4" i="5"/>
  <c r="J4" i="5"/>
  <c r="K4" i="5"/>
  <c r="L4" i="5"/>
  <c r="M4" i="5"/>
  <c r="D6" i="5"/>
  <c r="G6" i="5"/>
  <c r="C13" i="5"/>
  <c r="C14" i="5"/>
  <c r="C17" i="5"/>
  <c r="D10" i="5"/>
  <c r="D12" i="5"/>
  <c r="D13" i="5"/>
  <c r="E8" i="5"/>
  <c r="E10" i="5"/>
  <c r="F15" i="5"/>
  <c r="F16" i="5"/>
  <c r="F17" i="5"/>
  <c r="G7" i="5"/>
  <c r="H7" i="5" s="1"/>
  <c r="G8" i="5"/>
  <c r="G10" i="5"/>
  <c r="G12" i="5"/>
  <c r="G13" i="5"/>
  <c r="G14" i="5"/>
  <c r="G15" i="5"/>
  <c r="G16" i="5"/>
  <c r="G17" i="5"/>
  <c r="H9" i="5"/>
  <c r="H11" i="5"/>
  <c r="C34" i="5"/>
  <c r="D34" i="5"/>
  <c r="E34" i="5"/>
  <c r="K34" i="5" s="1"/>
  <c r="F34" i="5"/>
  <c r="G34" i="5"/>
  <c r="L34" i="5"/>
  <c r="M34" i="5"/>
  <c r="C36" i="5"/>
  <c r="D36" i="5"/>
  <c r="E36" i="5"/>
  <c r="K50" i="5" s="1"/>
  <c r="F36" i="5"/>
  <c r="G36" i="5"/>
  <c r="C38" i="5"/>
  <c r="C40" i="5"/>
  <c r="C42" i="5"/>
  <c r="C44" i="5"/>
  <c r="C46" i="5"/>
  <c r="D38" i="5"/>
  <c r="D40" i="5"/>
  <c r="D42" i="5"/>
  <c r="D44" i="5"/>
  <c r="D46" i="5"/>
  <c r="E38" i="5"/>
  <c r="E40" i="5"/>
  <c r="E42" i="5"/>
  <c r="E44" i="5"/>
  <c r="E46" i="5"/>
  <c r="F38" i="5"/>
  <c r="F40" i="5"/>
  <c r="F42" i="5"/>
  <c r="F44" i="5"/>
  <c r="F46" i="5"/>
  <c r="F48" i="5"/>
  <c r="G38" i="5"/>
  <c r="G40" i="5"/>
  <c r="G42" i="5"/>
  <c r="G44" i="5"/>
  <c r="G46" i="5"/>
  <c r="H45" i="5"/>
  <c r="B61" i="5"/>
  <c r="C61" i="5"/>
  <c r="D61" i="5"/>
  <c r="E61" i="5"/>
  <c r="B62" i="5"/>
  <c r="C62" i="5"/>
  <c r="D62" i="5"/>
  <c r="E62" i="5"/>
  <c r="B63" i="5"/>
  <c r="C63" i="5"/>
  <c r="D63" i="5"/>
  <c r="E63" i="5"/>
  <c r="B64" i="5"/>
  <c r="C64" i="5"/>
  <c r="D64" i="5"/>
  <c r="E64" i="5"/>
  <c r="B65" i="5"/>
  <c r="K74" i="35" s="1"/>
  <c r="U248" i="4" s="1"/>
  <c r="C65" i="5"/>
  <c r="D65" i="5"/>
  <c r="E65" i="5"/>
  <c r="L74" i="35" s="1"/>
  <c r="V248" i="4" s="1"/>
  <c r="B66" i="5"/>
  <c r="C66" i="5"/>
  <c r="D66" i="5"/>
  <c r="E66" i="5"/>
  <c r="J9" i="4"/>
  <c r="N9" i="4"/>
  <c r="N10" i="4"/>
  <c r="N11" i="4"/>
  <c r="N12" i="4"/>
  <c r="U12" i="4"/>
  <c r="E13" i="4"/>
  <c r="N13" i="4"/>
  <c r="J15" i="4"/>
  <c r="N15" i="4"/>
  <c r="Q15" i="4" s="1"/>
  <c r="N17" i="4"/>
  <c r="Q17" i="4" s="1"/>
  <c r="T17" i="4"/>
  <c r="D17" i="31" s="1"/>
  <c r="J17" i="31" s="1"/>
  <c r="U17" i="4"/>
  <c r="B18" i="4"/>
  <c r="D18" i="4"/>
  <c r="N18" i="4" s="1"/>
  <c r="Q18" i="4" s="1"/>
  <c r="U18" i="4"/>
  <c r="U20" i="4"/>
  <c r="D21" i="4"/>
  <c r="N21" i="4" s="1"/>
  <c r="Q21" i="4" s="1"/>
  <c r="D22" i="4"/>
  <c r="N22" i="4" s="1"/>
  <c r="Q22" i="4" s="1"/>
  <c r="U23" i="4"/>
  <c r="M25" i="4"/>
  <c r="N25" i="4"/>
  <c r="H26" i="4"/>
  <c r="J26" i="4"/>
  <c r="K26" i="4"/>
  <c r="G34" i="4"/>
  <c r="H34" i="4"/>
  <c r="J34" i="4"/>
  <c r="K34" i="4"/>
  <c r="P34" i="4"/>
  <c r="X35" i="4"/>
  <c r="D40" i="4"/>
  <c r="N40" i="4" s="1"/>
  <c r="Q40" i="4" s="1"/>
  <c r="G43" i="4"/>
  <c r="H43" i="4"/>
  <c r="K43" i="4"/>
  <c r="P43" i="4"/>
  <c r="X44" i="4"/>
  <c r="D45" i="4"/>
  <c r="D46" i="4"/>
  <c r="N46" i="4" s="1"/>
  <c r="Q46" i="4" s="1"/>
  <c r="D47" i="4"/>
  <c r="N47" i="4" s="1"/>
  <c r="Q47" i="4" s="1"/>
  <c r="D48" i="4"/>
  <c r="N48" i="4" s="1"/>
  <c r="Q48" i="4" s="1"/>
  <c r="D49" i="4"/>
  <c r="N49" i="4" s="1"/>
  <c r="Q49" i="4" s="1"/>
  <c r="D50" i="4"/>
  <c r="N50" i="4" s="1"/>
  <c r="Q50" i="4" s="1"/>
  <c r="D51" i="4"/>
  <c r="N51" i="4" s="1"/>
  <c r="Q51" i="4" s="1"/>
  <c r="G52" i="4"/>
  <c r="H52" i="4"/>
  <c r="K52" i="4"/>
  <c r="P52" i="4"/>
  <c r="X53" i="4"/>
  <c r="M54" i="4"/>
  <c r="N54" i="4"/>
  <c r="Q54" i="4" s="1"/>
  <c r="X54" i="4"/>
  <c r="D58" i="4"/>
  <c r="N58" i="4" s="1"/>
  <c r="Q58" i="4" s="1"/>
  <c r="X59" i="4"/>
  <c r="F60" i="4"/>
  <c r="G60" i="4"/>
  <c r="H60" i="4"/>
  <c r="I60" i="4"/>
  <c r="J60" i="4"/>
  <c r="K60" i="4"/>
  <c r="L60" i="4"/>
  <c r="P60" i="4"/>
  <c r="X61" i="4"/>
  <c r="D63" i="4"/>
  <c r="N63" i="4" s="1"/>
  <c r="Q63" i="4" s="1"/>
  <c r="G64" i="4"/>
  <c r="H64" i="4"/>
  <c r="J64" i="4"/>
  <c r="K64" i="4"/>
  <c r="P64" i="4"/>
  <c r="X65" i="4"/>
  <c r="C67" i="4"/>
  <c r="M67" i="4" s="1"/>
  <c r="G68" i="4"/>
  <c r="H68" i="4"/>
  <c r="J68" i="4"/>
  <c r="K68" i="4"/>
  <c r="P68" i="4"/>
  <c r="X69" i="4"/>
  <c r="F72" i="4"/>
  <c r="G72" i="4"/>
  <c r="H72" i="4"/>
  <c r="I72" i="4"/>
  <c r="J72" i="4"/>
  <c r="K72" i="4"/>
  <c r="L72" i="4"/>
  <c r="P72" i="4"/>
  <c r="X73" i="4"/>
  <c r="M78" i="4"/>
  <c r="N78" i="4"/>
  <c r="Q78" i="4" s="1"/>
  <c r="G79" i="4"/>
  <c r="H79" i="4"/>
  <c r="J79" i="4"/>
  <c r="K79" i="4"/>
  <c r="P79" i="4"/>
  <c r="X80" i="4"/>
  <c r="J81" i="4"/>
  <c r="J85" i="4" s="1"/>
  <c r="D83" i="4"/>
  <c r="N83" i="4" s="1"/>
  <c r="Q83" i="4" s="1"/>
  <c r="D84" i="4"/>
  <c r="N84" i="4" s="1"/>
  <c r="Q84" i="4" s="1"/>
  <c r="G85" i="4"/>
  <c r="H85" i="4"/>
  <c r="K85" i="4"/>
  <c r="P85" i="4"/>
  <c r="X86" i="4"/>
  <c r="G89" i="4"/>
  <c r="G90" i="4"/>
  <c r="G91" i="4"/>
  <c r="J89" i="4"/>
  <c r="J90" i="4"/>
  <c r="J91" i="4"/>
  <c r="N89" i="4"/>
  <c r="Q89" i="4" s="1"/>
  <c r="N90" i="4"/>
  <c r="Q90" i="4" s="1"/>
  <c r="N91" i="4"/>
  <c r="N92" i="4"/>
  <c r="D94" i="4"/>
  <c r="N94" i="4" s="1"/>
  <c r="Q94" i="4" s="1"/>
  <c r="K97" i="4"/>
  <c r="P97" i="4"/>
  <c r="X98" i="4"/>
  <c r="D99" i="4"/>
  <c r="D100" i="4" s="1"/>
  <c r="G100" i="4"/>
  <c r="H100" i="4"/>
  <c r="J100" i="4"/>
  <c r="K100" i="4"/>
  <c r="P100" i="4"/>
  <c r="T100" i="4"/>
  <c r="V100" i="4"/>
  <c r="X101" i="4"/>
  <c r="G107" i="4"/>
  <c r="H107" i="4"/>
  <c r="J107" i="4"/>
  <c r="K107" i="4"/>
  <c r="P107" i="4"/>
  <c r="X108" i="4"/>
  <c r="D110" i="4"/>
  <c r="N110" i="4" s="1"/>
  <c r="Q110" i="4" s="1"/>
  <c r="D110" i="31"/>
  <c r="E110" i="31" s="1"/>
  <c r="V110" i="4"/>
  <c r="D111" i="4"/>
  <c r="N111" i="4" s="1"/>
  <c r="Q111" i="4" s="1"/>
  <c r="D112" i="4"/>
  <c r="N112" i="4" s="1"/>
  <c r="Q112" i="4" s="1"/>
  <c r="U112" i="4"/>
  <c r="D113" i="4"/>
  <c r="N113" i="4" s="1"/>
  <c r="Q113" i="4" s="1"/>
  <c r="C116" i="4"/>
  <c r="M116" i="4" s="1"/>
  <c r="D117" i="4"/>
  <c r="N117" i="4" s="1"/>
  <c r="Q117" i="4" s="1"/>
  <c r="D118" i="4"/>
  <c r="N118" i="4" s="1"/>
  <c r="Q118" i="4" s="1"/>
  <c r="D120" i="4"/>
  <c r="N120" i="4" s="1"/>
  <c r="Q120" i="4" s="1"/>
  <c r="D121" i="4"/>
  <c r="N121" i="4" s="1"/>
  <c r="Q121" i="4" s="1"/>
  <c r="H124" i="4"/>
  <c r="J124" i="4"/>
  <c r="K124" i="4"/>
  <c r="P124" i="4"/>
  <c r="X125" i="4"/>
  <c r="J126" i="4"/>
  <c r="U126" i="4"/>
  <c r="C127" i="4"/>
  <c r="D127" i="4"/>
  <c r="N127" i="4" s="1"/>
  <c r="Q127" i="4" s="1"/>
  <c r="J127" i="4"/>
  <c r="U128" i="4"/>
  <c r="H129" i="4"/>
  <c r="K129" i="4"/>
  <c r="P129" i="4"/>
  <c r="X130" i="4"/>
  <c r="X131" i="4"/>
  <c r="D132" i="4"/>
  <c r="N132" i="4" s="1"/>
  <c r="Q132" i="4" s="1"/>
  <c r="J132" i="4"/>
  <c r="J137" i="4" s="1"/>
  <c r="D133" i="4"/>
  <c r="N133" i="4" s="1"/>
  <c r="D134" i="4"/>
  <c r="N134" i="4" s="1"/>
  <c r="Q134" i="4" s="1"/>
  <c r="D135" i="4"/>
  <c r="N135" i="4" s="1"/>
  <c r="Q135" i="4" s="1"/>
  <c r="D136" i="4"/>
  <c r="N136" i="4" s="1"/>
  <c r="Q136" i="4" s="1"/>
  <c r="G137" i="4"/>
  <c r="H137" i="4"/>
  <c r="K137" i="4"/>
  <c r="P137" i="4"/>
  <c r="X138" i="4"/>
  <c r="D139" i="4"/>
  <c r="D140" i="4" s="1"/>
  <c r="G140" i="4"/>
  <c r="H140" i="4"/>
  <c r="J140" i="4"/>
  <c r="K140" i="4"/>
  <c r="P140" i="4"/>
  <c r="Q140" i="4"/>
  <c r="V140" i="4"/>
  <c r="X141" i="4"/>
  <c r="D142" i="4"/>
  <c r="N142" i="4" s="1"/>
  <c r="G144" i="4"/>
  <c r="H144" i="4"/>
  <c r="J144" i="4"/>
  <c r="K144" i="4"/>
  <c r="P144" i="4"/>
  <c r="U144" i="4"/>
  <c r="X145" i="4"/>
  <c r="D148" i="4"/>
  <c r="N148" i="4" s="1"/>
  <c r="Q148" i="4" s="1"/>
  <c r="G150" i="4"/>
  <c r="H150" i="4"/>
  <c r="J150" i="4"/>
  <c r="K150" i="4"/>
  <c r="P150" i="4"/>
  <c r="X151" i="4"/>
  <c r="G156" i="4"/>
  <c r="H156" i="4"/>
  <c r="J156" i="4"/>
  <c r="K156" i="4"/>
  <c r="P156" i="4"/>
  <c r="X157" i="4"/>
  <c r="G160" i="4"/>
  <c r="E160" i="4"/>
  <c r="J160" i="4"/>
  <c r="N160" i="4"/>
  <c r="Q160" i="4" s="1"/>
  <c r="D164" i="4"/>
  <c r="N164" i="4" s="1"/>
  <c r="Q164" i="4" s="1"/>
  <c r="K167" i="4"/>
  <c r="P167" i="4"/>
  <c r="X168" i="4"/>
  <c r="J170" i="4"/>
  <c r="K170" i="4"/>
  <c r="P170" i="4"/>
  <c r="X171" i="4"/>
  <c r="D172" i="4"/>
  <c r="N172" i="4" s="1"/>
  <c r="Q172" i="4" s="1"/>
  <c r="C176" i="4"/>
  <c r="D176" i="4"/>
  <c r="N176" i="4" s="1"/>
  <c r="Q176" i="4" s="1"/>
  <c r="D177" i="4"/>
  <c r="N177" i="4" s="1"/>
  <c r="Q177" i="4" s="1"/>
  <c r="D178" i="4"/>
  <c r="N178" i="4" s="1"/>
  <c r="Q178" i="4" s="1"/>
  <c r="D179" i="4"/>
  <c r="N179" i="4" s="1"/>
  <c r="Q179" i="4" s="1"/>
  <c r="D182" i="4"/>
  <c r="N182" i="4" s="1"/>
  <c r="Q182" i="4" s="1"/>
  <c r="G184" i="4"/>
  <c r="H184" i="4"/>
  <c r="K184" i="4"/>
  <c r="P184" i="4"/>
  <c r="X185" i="4"/>
  <c r="G187" i="4"/>
  <c r="H187" i="4"/>
  <c r="J187" i="4"/>
  <c r="K187" i="4"/>
  <c r="P187" i="4"/>
  <c r="X188" i="4"/>
  <c r="D190" i="4"/>
  <c r="N190" i="4" s="1"/>
  <c r="Q190" i="4" s="1"/>
  <c r="G191" i="4"/>
  <c r="H191" i="4"/>
  <c r="J191" i="4"/>
  <c r="K191" i="4"/>
  <c r="P191" i="4"/>
  <c r="X192" i="4"/>
  <c r="D193" i="4"/>
  <c r="N193" i="4" s="1"/>
  <c r="Q193" i="4" s="1"/>
  <c r="D194" i="4"/>
  <c r="N194" i="4" s="1"/>
  <c r="Q194" i="4" s="1"/>
  <c r="D196" i="4"/>
  <c r="N196" i="4" s="1"/>
  <c r="Q196" i="4" s="1"/>
  <c r="G198" i="4"/>
  <c r="H198" i="4"/>
  <c r="J198" i="4"/>
  <c r="K198" i="4"/>
  <c r="P198" i="4"/>
  <c r="X199" i="4"/>
  <c r="D201" i="4"/>
  <c r="N201" i="4" s="1"/>
  <c r="Q201" i="4" s="1"/>
  <c r="D203" i="4"/>
  <c r="N203" i="4" s="1"/>
  <c r="Q203" i="4" s="1"/>
  <c r="G206" i="4"/>
  <c r="H206" i="4"/>
  <c r="J206" i="4"/>
  <c r="K206" i="4"/>
  <c r="P206" i="4"/>
  <c r="X207" i="4"/>
  <c r="D209" i="4"/>
  <c r="N209" i="4" s="1"/>
  <c r="Q209" i="4" s="1"/>
  <c r="D211" i="4"/>
  <c r="N211" i="4" s="1"/>
  <c r="Q211" i="4" s="1"/>
  <c r="D213" i="4"/>
  <c r="N213" i="4" s="1"/>
  <c r="Q213" i="4" s="1"/>
  <c r="G215" i="4"/>
  <c r="H215" i="4"/>
  <c r="J215" i="4"/>
  <c r="K215" i="4"/>
  <c r="P215" i="4"/>
  <c r="X216" i="4"/>
  <c r="D217" i="4"/>
  <c r="D218" i="4" s="1"/>
  <c r="H218" i="4"/>
  <c r="J218" i="4"/>
  <c r="K218" i="4"/>
  <c r="P218" i="4"/>
  <c r="U218" i="4"/>
  <c r="X219" i="4"/>
  <c r="D220" i="4"/>
  <c r="N220" i="4" s="1"/>
  <c r="D223" i="4"/>
  <c r="N223" i="4" s="1"/>
  <c r="Q223" i="4" s="1"/>
  <c r="D224" i="4"/>
  <c r="N224" i="4" s="1"/>
  <c r="Q224" i="4" s="1"/>
  <c r="D227" i="4"/>
  <c r="N227" i="4" s="1"/>
  <c r="Q227" i="4" s="1"/>
  <c r="D228" i="4"/>
  <c r="N228" i="4" s="1"/>
  <c r="Q228" i="4" s="1"/>
  <c r="D232" i="4"/>
  <c r="N232" i="4" s="1"/>
  <c r="Q232" i="4" s="1"/>
  <c r="D235" i="4"/>
  <c r="N235" i="4" s="1"/>
  <c r="Q235" i="4" s="1"/>
  <c r="D237" i="4"/>
  <c r="N237" i="4" s="1"/>
  <c r="Q237" i="4" s="1"/>
  <c r="D238" i="4"/>
  <c r="N238" i="4" s="1"/>
  <c r="Q238" i="4" s="1"/>
  <c r="J242" i="4"/>
  <c r="K242" i="4"/>
  <c r="P242" i="4"/>
  <c r="X243" i="4"/>
  <c r="C246" i="4"/>
  <c r="D246" i="4"/>
  <c r="C248" i="4"/>
  <c r="D248" i="4"/>
  <c r="C250" i="4"/>
  <c r="D250" i="4"/>
  <c r="N250" i="4" s="1"/>
  <c r="Q250" i="4" s="1"/>
  <c r="C251" i="4"/>
  <c r="D251" i="4"/>
  <c r="N251" i="4" s="1"/>
  <c r="Q251" i="4" s="1"/>
  <c r="C252" i="4"/>
  <c r="D252" i="4"/>
  <c r="N252" i="4" s="1"/>
  <c r="Q252" i="4" s="1"/>
  <c r="H254" i="4"/>
  <c r="J254" i="4"/>
  <c r="K254" i="4"/>
  <c r="P254" i="4"/>
  <c r="D256" i="4"/>
  <c r="N256" i="4" s="1"/>
  <c r="G258" i="4"/>
  <c r="H258" i="4"/>
  <c r="J258" i="4"/>
  <c r="K258" i="4"/>
  <c r="P258" i="4"/>
  <c r="X259" i="4"/>
  <c r="G261" i="4"/>
  <c r="H261" i="4"/>
  <c r="J261" i="4"/>
  <c r="K261" i="4"/>
  <c r="P261" i="4"/>
  <c r="X262" i="4"/>
  <c r="G265" i="4"/>
  <c r="H265" i="4"/>
  <c r="J265" i="4"/>
  <c r="K265" i="4"/>
  <c r="P265" i="4"/>
  <c r="X266" i="4"/>
  <c r="G269" i="4"/>
  <c r="H269" i="4"/>
  <c r="J269" i="4"/>
  <c r="K269" i="4"/>
  <c r="P269" i="4"/>
  <c r="X270" i="4"/>
  <c r="J272" i="4"/>
  <c r="D273" i="4"/>
  <c r="N273" i="4" s="1"/>
  <c r="Q273" i="4" s="1"/>
  <c r="J274" i="4"/>
  <c r="D275" i="4"/>
  <c r="N275" i="4" s="1"/>
  <c r="Q275" i="4" s="1"/>
  <c r="J276" i="4"/>
  <c r="G277" i="4"/>
  <c r="H277" i="4"/>
  <c r="K277" i="4"/>
  <c r="P277" i="4"/>
  <c r="X278" i="4"/>
  <c r="C279" i="4"/>
  <c r="M279" i="4" s="1"/>
  <c r="D279" i="4"/>
  <c r="D281" i="4"/>
  <c r="N281" i="4" s="1"/>
  <c r="Q281" i="4" s="1"/>
  <c r="C282" i="4"/>
  <c r="M282" i="4" s="1"/>
  <c r="D283" i="4"/>
  <c r="N283" i="4" s="1"/>
  <c r="Q283" i="4" s="1"/>
  <c r="G284" i="4"/>
  <c r="H284" i="4"/>
  <c r="J284" i="4"/>
  <c r="K284" i="4"/>
  <c r="P284" i="4"/>
  <c r="X285" i="4"/>
  <c r="D286" i="4"/>
  <c r="H286" i="4" s="1"/>
  <c r="N286" i="4" s="1"/>
  <c r="J287" i="4"/>
  <c r="K287" i="4"/>
  <c r="P287" i="4"/>
  <c r="T287" i="4"/>
  <c r="U287" i="4"/>
  <c r="X288" i="4"/>
  <c r="C289" i="4"/>
  <c r="M289" i="4" s="1"/>
  <c r="D289" i="4"/>
  <c r="N289" i="4" s="1"/>
  <c r="Q289" i="4" s="1"/>
  <c r="X290" i="4"/>
  <c r="I291" i="4"/>
  <c r="L291" i="4"/>
  <c r="X294" i="4"/>
  <c r="X296" i="4"/>
  <c r="AH2" i="3"/>
  <c r="AH22" i="3"/>
  <c r="AH23" i="3"/>
  <c r="AH25" i="3"/>
  <c r="AH28" i="3"/>
  <c r="D19" i="4" s="1"/>
  <c r="N19" i="4" s="1"/>
  <c r="Q19" i="4" s="1"/>
  <c r="AH29" i="3"/>
  <c r="D20" i="4" s="1"/>
  <c r="N20" i="4" s="1"/>
  <c r="Q20" i="4" s="1"/>
  <c r="AH30" i="3"/>
  <c r="AH32" i="3"/>
  <c r="AH35" i="3"/>
  <c r="AH37" i="3"/>
  <c r="AH44" i="3"/>
  <c r="D23" i="4" s="1"/>
  <c r="N23" i="4" s="1"/>
  <c r="Q23" i="4" s="1"/>
  <c r="AH45" i="3"/>
  <c r="D24" i="4" s="1"/>
  <c r="N24" i="4" s="1"/>
  <c r="AH16" i="3"/>
  <c r="AH17" i="3"/>
  <c r="AH18" i="3"/>
  <c r="D16" i="4" s="1"/>
  <c r="N16" i="4" s="1"/>
  <c r="Q16" i="4" s="1"/>
  <c r="AH39" i="3"/>
  <c r="AH41" i="3"/>
  <c r="J3" i="3"/>
  <c r="L3" i="3"/>
  <c r="N3" i="3"/>
  <c r="P3" i="3"/>
  <c r="R3" i="3"/>
  <c r="T3" i="3"/>
  <c r="V3" i="3"/>
  <c r="X3" i="3"/>
  <c r="Z3" i="3"/>
  <c r="AB3" i="3"/>
  <c r="AD3" i="3"/>
  <c r="AF3" i="3"/>
  <c r="B5" i="3"/>
  <c r="B4" i="3"/>
  <c r="V18" i="4" l="1"/>
  <c r="X18" i="4" s="1"/>
  <c r="V20" i="4"/>
  <c r="X20" i="4"/>
  <c r="H14" i="5"/>
  <c r="J74" i="35"/>
  <c r="J50" i="5"/>
  <c r="N50" i="5" s="1"/>
  <c r="H46" i="5"/>
  <c r="M46" i="5" s="1"/>
  <c r="H44" i="5"/>
  <c r="H16" i="5"/>
  <c r="O107" i="10"/>
  <c r="U13" i="10"/>
  <c r="U16" i="10" s="1"/>
  <c r="H38" i="5"/>
  <c r="L38" i="5" s="1"/>
  <c r="F51" i="5"/>
  <c r="H15" i="5"/>
  <c r="D30" i="5" s="1"/>
  <c r="Q36" i="5"/>
  <c r="R36" i="5"/>
  <c r="M90" i="4"/>
  <c r="O90" i="4" s="1"/>
  <c r="S90" i="4" s="1"/>
  <c r="M89" i="4"/>
  <c r="O89" i="4" s="1"/>
  <c r="S89" i="4" s="1"/>
  <c r="U89" i="4" s="1"/>
  <c r="H40" i="5"/>
  <c r="M40" i="5" s="1"/>
  <c r="P36" i="5"/>
  <c r="H13" i="5"/>
  <c r="G19" i="5"/>
  <c r="M7" i="5" s="1"/>
  <c r="F19" i="5"/>
  <c r="L6" i="5" s="1"/>
  <c r="E127" i="4"/>
  <c r="D46" i="6"/>
  <c r="B48" i="6" s="1"/>
  <c r="E14" i="6"/>
  <c r="H14" i="6" s="1"/>
  <c r="F10" i="31"/>
  <c r="J10" i="31" s="1"/>
  <c r="H16" i="6"/>
  <c r="V17" i="4" s="1"/>
  <c r="H12" i="6"/>
  <c r="B31" i="6"/>
  <c r="T126" i="4" s="1"/>
  <c r="D126" i="31" s="1"/>
  <c r="D28" i="6"/>
  <c r="J110" i="31"/>
  <c r="B58" i="6"/>
  <c r="D287" i="4"/>
  <c r="P291" i="4"/>
  <c r="N99" i="4"/>
  <c r="Q99" i="4" s="1"/>
  <c r="Q100" i="4" s="1"/>
  <c r="D137" i="4"/>
  <c r="U129" i="4"/>
  <c r="O78" i="4"/>
  <c r="D52" i="4"/>
  <c r="E279" i="4"/>
  <c r="M160" i="4"/>
  <c r="O160" i="4" s="1"/>
  <c r="S160" i="4" s="1"/>
  <c r="J129" i="4"/>
  <c r="K291" i="4"/>
  <c r="K295" i="4" s="1"/>
  <c r="O289" i="4"/>
  <c r="S289" i="4" s="1"/>
  <c r="X289" i="4" s="1"/>
  <c r="E176" i="4"/>
  <c r="M252" i="4"/>
  <c r="O252" i="4" s="1"/>
  <c r="S252" i="4" s="1"/>
  <c r="E246" i="4"/>
  <c r="E289" i="4"/>
  <c r="N246" i="4"/>
  <c r="Q246" i="4" s="1"/>
  <c r="M91" i="4"/>
  <c r="O91" i="4" s="1"/>
  <c r="S91" i="4" s="1"/>
  <c r="U91" i="4" s="1"/>
  <c r="X91" i="4" s="1"/>
  <c r="E250" i="4"/>
  <c r="H242" i="4"/>
  <c r="O25" i="4"/>
  <c r="P25" i="4" s="1"/>
  <c r="D37" i="6"/>
  <c r="F37" i="6" s="1"/>
  <c r="X44" i="6" s="1"/>
  <c r="N287" i="4"/>
  <c r="Q286" i="4"/>
  <c r="Q287" i="4" s="1"/>
  <c r="Q220" i="4"/>
  <c r="N279" i="4"/>
  <c r="O279" i="4" s="1"/>
  <c r="Q256" i="4"/>
  <c r="E252" i="4"/>
  <c r="M248" i="4"/>
  <c r="O248" i="4" s="1"/>
  <c r="S248" i="4" s="1"/>
  <c r="H287" i="4"/>
  <c r="D14" i="4"/>
  <c r="E251" i="4"/>
  <c r="N217" i="4"/>
  <c r="Q133" i="4"/>
  <c r="Q137" i="4" s="1"/>
  <c r="N137" i="4"/>
  <c r="AH20" i="3"/>
  <c r="AH47" i="3"/>
  <c r="Q142" i="4"/>
  <c r="N139" i="4"/>
  <c r="N140" i="4" s="1"/>
  <c r="S78" i="4"/>
  <c r="O54" i="4"/>
  <c r="N45" i="4"/>
  <c r="L12" i="5"/>
  <c r="L8" i="5"/>
  <c r="K277" i="8"/>
  <c r="M10" i="5"/>
  <c r="B17" i="6"/>
  <c r="V209" i="8"/>
  <c r="B15" i="6"/>
  <c r="E15" i="6" s="1"/>
  <c r="I277" i="8"/>
  <c r="F30" i="5"/>
  <c r="G20" i="6"/>
  <c r="C20" i="6"/>
  <c r="AJ244" i="8"/>
  <c r="AJ224" i="8"/>
  <c r="V82" i="8"/>
  <c r="B11" i="6"/>
  <c r="P98" i="9"/>
  <c r="AJ22" i="9"/>
  <c r="AI101" i="10"/>
  <c r="R107" i="10"/>
  <c r="N107" i="10"/>
  <c r="U107" i="10"/>
  <c r="D21" i="6" s="1"/>
  <c r="H42" i="5"/>
  <c r="E30" i="5"/>
  <c r="E19" i="5"/>
  <c r="AJ248" i="8"/>
  <c r="AJ228" i="8"/>
  <c r="AF204" i="8"/>
  <c r="AB204" i="8"/>
  <c r="X204" i="8"/>
  <c r="E13" i="6"/>
  <c r="AJ29" i="9"/>
  <c r="V98" i="9"/>
  <c r="U104" i="10"/>
  <c r="AF104" i="10"/>
  <c r="AB104" i="10"/>
  <c r="H36" i="5"/>
  <c r="M36" i="5" s="1"/>
  <c r="B62" i="6"/>
  <c r="W59" i="6"/>
  <c r="V262" i="8"/>
  <c r="B18" i="6" s="1"/>
  <c r="E18" i="6" s="1"/>
  <c r="AA256" i="8"/>
  <c r="AJ252" i="8"/>
  <c r="AF256" i="8"/>
  <c r="AB256" i="8"/>
  <c r="X256" i="8"/>
  <c r="AJ232" i="8"/>
  <c r="AJ215" i="8"/>
  <c r="AA204" i="8"/>
  <c r="R277" i="8"/>
  <c r="N277" i="8"/>
  <c r="J277" i="8"/>
  <c r="AJ77" i="9"/>
  <c r="T98" i="9"/>
  <c r="L98" i="9"/>
  <c r="S98" i="9"/>
  <c r="O98" i="9"/>
  <c r="K98" i="9"/>
  <c r="M12" i="5"/>
  <c r="K8" i="5"/>
  <c r="AJ236" i="8"/>
  <c r="AJ256" i="8" s="1"/>
  <c r="AJ220" i="8"/>
  <c r="AJ35" i="9"/>
  <c r="D17" i="5" s="1"/>
  <c r="R98" i="9"/>
  <c r="N98" i="9"/>
  <c r="J98" i="9"/>
  <c r="AH104" i="10"/>
  <c r="AD104" i="10"/>
  <c r="Z104" i="10"/>
  <c r="AJ68" i="8"/>
  <c r="AJ71" i="8" s="1"/>
  <c r="AG64" i="8"/>
  <c r="AG65" i="8" s="1"/>
  <c r="AC64" i="8"/>
  <c r="AC65" i="8" s="1"/>
  <c r="Y64" i="8"/>
  <c r="Y65" i="8" s="1"/>
  <c r="B16" i="13"/>
  <c r="J92" i="4" s="1"/>
  <c r="Y80" i="8"/>
  <c r="AI71" i="8"/>
  <c r="AE71" i="8"/>
  <c r="AA71" i="8"/>
  <c r="Y63" i="8"/>
  <c r="AJ12" i="8"/>
  <c r="AJ64" i="8" s="1"/>
  <c r="X95" i="10"/>
  <c r="AI86" i="10"/>
  <c r="Z57" i="10"/>
  <c r="J16" i="10"/>
  <c r="J107" i="10" s="1"/>
  <c r="X197" i="12"/>
  <c r="X213" i="12" s="1"/>
  <c r="B20" i="13" s="1"/>
  <c r="U213" i="12"/>
  <c r="N46" i="31" s="1"/>
  <c r="X100" i="12"/>
  <c r="X116" i="12" s="1"/>
  <c r="B11" i="13" s="1"/>
  <c r="U116" i="12"/>
  <c r="X91" i="12"/>
  <c r="X97" i="12" s="1"/>
  <c r="B10" i="13" s="1"/>
  <c r="U97" i="12"/>
  <c r="X46" i="12"/>
  <c r="X57" i="12" s="1"/>
  <c r="B8" i="13" s="1"/>
  <c r="U57" i="12"/>
  <c r="X60" i="12"/>
  <c r="X87" i="12" s="1"/>
  <c r="B9" i="13" s="1"/>
  <c r="U87" i="12"/>
  <c r="B22" i="13"/>
  <c r="X255" i="12"/>
  <c r="X17" i="12"/>
  <c r="X43" i="12" s="1"/>
  <c r="B7" i="13" s="1"/>
  <c r="U43" i="12"/>
  <c r="X148" i="12"/>
  <c r="X151" i="12" s="1"/>
  <c r="B15" i="13" s="1"/>
  <c r="U151" i="12"/>
  <c r="AG71" i="8"/>
  <c r="AC71" i="8"/>
  <c r="Y71" i="8"/>
  <c r="X57" i="10"/>
  <c r="AI57" i="10" s="1"/>
  <c r="AK58" i="10" s="1"/>
  <c r="C8" i="5" s="1"/>
  <c r="S87" i="12"/>
  <c r="S159" i="12" s="1"/>
  <c r="S268" i="12" s="1"/>
  <c r="J12" i="3"/>
  <c r="L12" i="3"/>
  <c r="N12" i="3"/>
  <c r="P12" i="3"/>
  <c r="R12" i="3"/>
  <c r="T12" i="3"/>
  <c r="V12" i="3"/>
  <c r="X12" i="3"/>
  <c r="Z12" i="3"/>
  <c r="AB12" i="3"/>
  <c r="AD12" i="3"/>
  <c r="AF12" i="3"/>
  <c r="AH13" i="3"/>
  <c r="J20" i="3"/>
  <c r="L20" i="3"/>
  <c r="N20" i="3"/>
  <c r="P20" i="3"/>
  <c r="R20" i="3"/>
  <c r="T20" i="3"/>
  <c r="V20" i="3"/>
  <c r="X20" i="3"/>
  <c r="Z20" i="3"/>
  <c r="AB20" i="3"/>
  <c r="AD20" i="3"/>
  <c r="AF20" i="3"/>
  <c r="J25" i="3"/>
  <c r="L25" i="3"/>
  <c r="N25" i="3"/>
  <c r="P25" i="3"/>
  <c r="R25" i="3"/>
  <c r="T25" i="3"/>
  <c r="V25" i="3"/>
  <c r="X25" i="3"/>
  <c r="Z25" i="3"/>
  <c r="AB25" i="3"/>
  <c r="AD25" i="3"/>
  <c r="AF25" i="3"/>
  <c r="J32" i="3"/>
  <c r="L32" i="3"/>
  <c r="N32" i="3"/>
  <c r="P32" i="3"/>
  <c r="R32" i="3"/>
  <c r="T32" i="3"/>
  <c r="V32" i="3"/>
  <c r="X32" i="3"/>
  <c r="Z32" i="3"/>
  <c r="AB32" i="3"/>
  <c r="AD32" i="3"/>
  <c r="AF32" i="3"/>
  <c r="J37" i="3"/>
  <c r="L37" i="3"/>
  <c r="L49" i="3" s="1"/>
  <c r="L78" i="3" s="1"/>
  <c r="N37" i="3"/>
  <c r="P37" i="3"/>
  <c r="R37" i="3"/>
  <c r="T37" i="3"/>
  <c r="T49" i="3" s="1"/>
  <c r="T78" i="3" s="1"/>
  <c r="V37" i="3"/>
  <c r="X37" i="3"/>
  <c r="Z37" i="3"/>
  <c r="AB37" i="3"/>
  <c r="AB49" i="3" s="1"/>
  <c r="AD37" i="3"/>
  <c r="AF37" i="3"/>
  <c r="J41" i="3"/>
  <c r="L41" i="3"/>
  <c r="N41" i="3"/>
  <c r="P41" i="3"/>
  <c r="R41" i="3"/>
  <c r="T41" i="3"/>
  <c r="V41" i="3"/>
  <c r="X41" i="3"/>
  <c r="Z41" i="3"/>
  <c r="AB41" i="3"/>
  <c r="AD41" i="3"/>
  <c r="AF41" i="3"/>
  <c r="J47" i="3"/>
  <c r="L47" i="3"/>
  <c r="N47" i="3"/>
  <c r="P47" i="3"/>
  <c r="P49" i="3" s="1"/>
  <c r="P78" i="3" s="1"/>
  <c r="R47" i="3"/>
  <c r="T47" i="3"/>
  <c r="V47" i="3"/>
  <c r="X47" i="3"/>
  <c r="X49" i="3" s="1"/>
  <c r="Z47" i="3"/>
  <c r="AB47" i="3"/>
  <c r="AD47" i="3"/>
  <c r="AF47" i="3"/>
  <c r="AF49" i="3" s="1"/>
  <c r="J49" i="3"/>
  <c r="N49" i="3"/>
  <c r="R49" i="3"/>
  <c r="V49" i="3"/>
  <c r="Z49" i="3"/>
  <c r="AD49" i="3"/>
  <c r="AH52" i="3"/>
  <c r="D126" i="4" s="1"/>
  <c r="AH53" i="3"/>
  <c r="D128" i="4" s="1"/>
  <c r="N128" i="4" s="1"/>
  <c r="Q128" i="4" s="1"/>
  <c r="J55" i="3"/>
  <c r="L55" i="3"/>
  <c r="N55" i="3"/>
  <c r="P55" i="3"/>
  <c r="R55" i="3"/>
  <c r="T55" i="3"/>
  <c r="V55" i="3"/>
  <c r="X55" i="3"/>
  <c r="Z55" i="3"/>
  <c r="AB55" i="3"/>
  <c r="AD55" i="3"/>
  <c r="AF55" i="3"/>
  <c r="AH57" i="3"/>
  <c r="J59" i="3"/>
  <c r="L59" i="3"/>
  <c r="N59" i="3"/>
  <c r="P59" i="3"/>
  <c r="R59" i="3"/>
  <c r="T59" i="3"/>
  <c r="V59" i="3"/>
  <c r="X59" i="3"/>
  <c r="Z59" i="3"/>
  <c r="AB59" i="3"/>
  <c r="AD59" i="3"/>
  <c r="AF59" i="3"/>
  <c r="AH59" i="3"/>
  <c r="AH62" i="3"/>
  <c r="D109" i="4" s="1"/>
  <c r="AH63" i="3"/>
  <c r="D260" i="4" s="1"/>
  <c r="J65" i="3"/>
  <c r="L65" i="3"/>
  <c r="N65" i="3"/>
  <c r="P65" i="3"/>
  <c r="R65" i="3"/>
  <c r="T65" i="3"/>
  <c r="V65" i="3"/>
  <c r="X65" i="3"/>
  <c r="Z65" i="3"/>
  <c r="AB65" i="3"/>
  <c r="AD65" i="3"/>
  <c r="AF65" i="3"/>
  <c r="AH65" i="3"/>
  <c r="AH68" i="3"/>
  <c r="J70" i="3"/>
  <c r="J76" i="3" s="1"/>
  <c r="J78" i="3" s="1"/>
  <c r="J176" i="3" s="1"/>
  <c r="J226" i="3" s="1"/>
  <c r="L70" i="3"/>
  <c r="N70" i="3"/>
  <c r="P70" i="3"/>
  <c r="R70" i="3"/>
  <c r="R76" i="3" s="1"/>
  <c r="R78" i="3" s="1"/>
  <c r="R176" i="3" s="1"/>
  <c r="R226" i="3" s="1"/>
  <c r="T70" i="3"/>
  <c r="V70" i="3"/>
  <c r="X70" i="3"/>
  <c r="Z70" i="3"/>
  <c r="Z76" i="3" s="1"/>
  <c r="Z78" i="3" s="1"/>
  <c r="Z176" i="3" s="1"/>
  <c r="Z226" i="3" s="1"/>
  <c r="AB70" i="3"/>
  <c r="AD70" i="3"/>
  <c r="AF70" i="3"/>
  <c r="AH70" i="3"/>
  <c r="AH72" i="3"/>
  <c r="AH74" i="3" s="1"/>
  <c r="J74" i="3"/>
  <c r="L74" i="3"/>
  <c r="N74" i="3"/>
  <c r="P74" i="3"/>
  <c r="R74" i="3"/>
  <c r="T74" i="3"/>
  <c r="V74" i="3"/>
  <c r="X74" i="3"/>
  <c r="Z74" i="3"/>
  <c r="AB74" i="3"/>
  <c r="AD74" i="3"/>
  <c r="AF74" i="3"/>
  <c r="L76" i="3"/>
  <c r="N76" i="3"/>
  <c r="P76" i="3"/>
  <c r="T76" i="3"/>
  <c r="V76" i="3"/>
  <c r="X76" i="3"/>
  <c r="AB76" i="3"/>
  <c r="AD76" i="3"/>
  <c r="AF76" i="3"/>
  <c r="N78" i="3"/>
  <c r="V78" i="3"/>
  <c r="AD78" i="3"/>
  <c r="AH81" i="3"/>
  <c r="D87" i="4" s="1"/>
  <c r="AH82" i="3"/>
  <c r="D88" i="4" s="1"/>
  <c r="N88" i="4" s="1"/>
  <c r="Q88" i="4" s="1"/>
  <c r="AH83" i="3"/>
  <c r="D93" i="4" s="1"/>
  <c r="N93" i="4" s="1"/>
  <c r="Q93" i="4" s="1"/>
  <c r="AH84" i="3"/>
  <c r="D271" i="4" s="1"/>
  <c r="AH85" i="3"/>
  <c r="D200" i="4" s="1"/>
  <c r="AH86" i="3"/>
  <c r="D95" i="4" s="1"/>
  <c r="N95" i="4" s="1"/>
  <c r="Q95" i="4" s="1"/>
  <c r="AH87" i="3"/>
  <c r="D96" i="4" s="1"/>
  <c r="N96" i="4" s="1"/>
  <c r="Q96" i="4" s="1"/>
  <c r="AH88" i="3"/>
  <c r="D114" i="4" s="1"/>
  <c r="N114" i="4" s="1"/>
  <c r="Q114" i="4" s="1"/>
  <c r="AH89" i="3"/>
  <c r="D115" i="4" s="1"/>
  <c r="N115" i="4" s="1"/>
  <c r="Q115" i="4" s="1"/>
  <c r="AH90" i="3"/>
  <c r="D208" i="4" s="1"/>
  <c r="J92" i="3"/>
  <c r="L92" i="3"/>
  <c r="N92" i="3"/>
  <c r="P92" i="3"/>
  <c r="R92" i="3"/>
  <c r="T92" i="3"/>
  <c r="V92" i="3"/>
  <c r="X92" i="3"/>
  <c r="Z92" i="3"/>
  <c r="AB92" i="3"/>
  <c r="AD92" i="3"/>
  <c r="AF92" i="3"/>
  <c r="AH94" i="3"/>
  <c r="D263" i="4" s="1"/>
  <c r="J96" i="3"/>
  <c r="L96" i="3"/>
  <c r="N96" i="3"/>
  <c r="P96" i="3"/>
  <c r="R96" i="3"/>
  <c r="T96" i="3"/>
  <c r="V96" i="3"/>
  <c r="X96" i="3"/>
  <c r="Z96" i="3"/>
  <c r="AB96" i="3"/>
  <c r="AD96" i="3"/>
  <c r="AF96" i="3"/>
  <c r="AH96" i="3"/>
  <c r="AH99" i="3"/>
  <c r="D36" i="4" s="1"/>
  <c r="AH100" i="3"/>
  <c r="D37" i="4" s="1"/>
  <c r="N37" i="4" s="1"/>
  <c r="Q37" i="4" s="1"/>
  <c r="AH101" i="3"/>
  <c r="D38" i="4" s="1"/>
  <c r="N38" i="4" s="1"/>
  <c r="Q38" i="4" s="1"/>
  <c r="AH102" i="3"/>
  <c r="D39" i="4" s="1"/>
  <c r="N39" i="4" s="1"/>
  <c r="Q39" i="4" s="1"/>
  <c r="AH103" i="3"/>
  <c r="D272" i="4" s="1"/>
  <c r="N272" i="4" s="1"/>
  <c r="Q272" i="4" s="1"/>
  <c r="AH104" i="3"/>
  <c r="D202" i="4" s="1"/>
  <c r="N202" i="4" s="1"/>
  <c r="Q202" i="4" s="1"/>
  <c r="AH105" i="3"/>
  <c r="D41" i="4" s="1"/>
  <c r="N41" i="4" s="1"/>
  <c r="Q41" i="4" s="1"/>
  <c r="AH106" i="3"/>
  <c r="D42" i="4" s="1"/>
  <c r="N42" i="4" s="1"/>
  <c r="Q42" i="4" s="1"/>
  <c r="AH107" i="3"/>
  <c r="D74" i="4" s="1"/>
  <c r="AH108" i="3"/>
  <c r="D75" i="4" s="1"/>
  <c r="N75" i="4" s="1"/>
  <c r="Q75" i="4" s="1"/>
  <c r="AH109" i="3"/>
  <c r="D210" i="4" s="1"/>
  <c r="N210" i="4" s="1"/>
  <c r="Q210" i="4" s="1"/>
  <c r="AH110" i="3"/>
  <c r="D55" i="4" s="1"/>
  <c r="AH111" i="3"/>
  <c r="D56" i="4" s="1"/>
  <c r="N56" i="4" s="1"/>
  <c r="Q56" i="4" s="1"/>
  <c r="AH112" i="3"/>
  <c r="D70" i="4" s="1"/>
  <c r="AH113" i="3"/>
  <c r="D102" i="4" s="1"/>
  <c r="AH114" i="3"/>
  <c r="D104" i="4" s="1"/>
  <c r="N104" i="4" s="1"/>
  <c r="Q104" i="4" s="1"/>
  <c r="AH115" i="3"/>
  <c r="D105" i="4" s="1"/>
  <c r="N105" i="4" s="1"/>
  <c r="Q105" i="4" s="1"/>
  <c r="AH116" i="3"/>
  <c r="D62" i="4" s="1"/>
  <c r="AH117" i="3"/>
  <c r="D76" i="4" s="1"/>
  <c r="N76" i="4" s="1"/>
  <c r="Q76" i="4" s="1"/>
  <c r="AH118" i="3"/>
  <c r="D116" i="4" s="1"/>
  <c r="N116" i="4" s="1"/>
  <c r="Q116" i="4" s="1"/>
  <c r="AH119" i="3"/>
  <c r="J121" i="3"/>
  <c r="L121" i="3"/>
  <c r="N121" i="3"/>
  <c r="P121" i="3"/>
  <c r="R121" i="3"/>
  <c r="T121" i="3"/>
  <c r="V121" i="3"/>
  <c r="X121" i="3"/>
  <c r="Z121" i="3"/>
  <c r="AB121" i="3"/>
  <c r="AD121" i="3"/>
  <c r="AF121" i="3"/>
  <c r="AH124" i="3"/>
  <c r="D57" i="4" s="1"/>
  <c r="N57" i="4" s="1"/>
  <c r="Q57" i="4" s="1"/>
  <c r="AH125" i="3"/>
  <c r="D103" i="4" s="1"/>
  <c r="N103" i="4" s="1"/>
  <c r="Q103" i="4" s="1"/>
  <c r="J127" i="3"/>
  <c r="L127" i="3"/>
  <c r="N127" i="3"/>
  <c r="P127" i="3"/>
  <c r="R127" i="3"/>
  <c r="T127" i="3"/>
  <c r="V127" i="3"/>
  <c r="X127" i="3"/>
  <c r="Z127" i="3"/>
  <c r="AB127" i="3"/>
  <c r="AD127" i="3"/>
  <c r="AF127" i="3"/>
  <c r="AH130" i="3"/>
  <c r="D81" i="4" s="1"/>
  <c r="AH131" i="3"/>
  <c r="D82" i="4" s="1"/>
  <c r="N82" i="4" s="1"/>
  <c r="Q82" i="4" s="1"/>
  <c r="AH132" i="3"/>
  <c r="D274" i="4" s="1"/>
  <c r="N274" i="4" s="1"/>
  <c r="Q274" i="4" s="1"/>
  <c r="AH133" i="3"/>
  <c r="D204" i="4" s="1"/>
  <c r="N204" i="4" s="1"/>
  <c r="Q204" i="4" s="1"/>
  <c r="AH134" i="3"/>
  <c r="D119" i="4" s="1"/>
  <c r="N119" i="4" s="1"/>
  <c r="Q119" i="4" s="1"/>
  <c r="AH135" i="3"/>
  <c r="D212" i="4" s="1"/>
  <c r="N212" i="4" s="1"/>
  <c r="Q212" i="4" s="1"/>
  <c r="J137" i="3"/>
  <c r="L137" i="3"/>
  <c r="N137" i="3"/>
  <c r="P137" i="3"/>
  <c r="R137" i="3"/>
  <c r="T137" i="3"/>
  <c r="V137" i="3"/>
  <c r="X137" i="3"/>
  <c r="Z137" i="3"/>
  <c r="AB137" i="3"/>
  <c r="AD137" i="3"/>
  <c r="AF137" i="3"/>
  <c r="AH140" i="3"/>
  <c r="D31" i="4" s="1"/>
  <c r="AH141" i="3"/>
  <c r="D32" i="4" s="1"/>
  <c r="N32" i="4" s="1"/>
  <c r="Q32" i="4" s="1"/>
  <c r="AH142" i="3"/>
  <c r="D282" i="4" s="1"/>
  <c r="AH143" i="3"/>
  <c r="D189" i="4" s="1"/>
  <c r="AH144" i="3"/>
  <c r="D280" i="4" s="1"/>
  <c r="AH145" i="3"/>
  <c r="D77" i="4" s="1"/>
  <c r="N77" i="4" s="1"/>
  <c r="Q77" i="4" s="1"/>
  <c r="AH146" i="3"/>
  <c r="D122" i="4" s="1"/>
  <c r="N122" i="4" s="1"/>
  <c r="Q122" i="4" s="1"/>
  <c r="AH147" i="3"/>
  <c r="D267" i="4" s="1"/>
  <c r="AH148" i="3"/>
  <c r="D257" i="4" s="1"/>
  <c r="AH149" i="3"/>
  <c r="D173" i="4" s="1"/>
  <c r="AH150" i="3"/>
  <c r="D264" i="4" s="1"/>
  <c r="N264" i="4" s="1"/>
  <c r="Q264" i="4" s="1"/>
  <c r="AH151" i="3"/>
  <c r="D155" i="4" s="1"/>
  <c r="N155" i="4" s="1"/>
  <c r="Q155" i="4" s="1"/>
  <c r="J153" i="3"/>
  <c r="L153" i="3"/>
  <c r="L174" i="3" s="1"/>
  <c r="N153" i="3"/>
  <c r="P153" i="3"/>
  <c r="P174" i="3" s="1"/>
  <c r="R153" i="3"/>
  <c r="T153" i="3"/>
  <c r="T174" i="3" s="1"/>
  <c r="V153" i="3"/>
  <c r="X153" i="3"/>
  <c r="X174" i="3" s="1"/>
  <c r="Z153" i="3"/>
  <c r="AB153" i="3"/>
  <c r="AB174" i="3" s="1"/>
  <c r="AD153" i="3"/>
  <c r="AF153" i="3"/>
  <c r="AF174" i="3" s="1"/>
  <c r="J157" i="3"/>
  <c r="L157" i="3"/>
  <c r="N157" i="3"/>
  <c r="P157" i="3"/>
  <c r="R157" i="3"/>
  <c r="T157" i="3"/>
  <c r="V157" i="3"/>
  <c r="X157" i="3"/>
  <c r="Z157" i="3"/>
  <c r="AB157" i="3"/>
  <c r="AD157" i="3"/>
  <c r="AF157" i="3"/>
  <c r="AH157" i="3"/>
  <c r="AH160" i="3"/>
  <c r="D146" i="4" s="1"/>
  <c r="AH161" i="3"/>
  <c r="D147" i="4" s="1"/>
  <c r="N147" i="4" s="1"/>
  <c r="Q147" i="4" s="1"/>
  <c r="AH162" i="3"/>
  <c r="D152" i="4" s="1"/>
  <c r="AH163" i="3"/>
  <c r="D153" i="4" s="1"/>
  <c r="N153" i="4" s="1"/>
  <c r="Q153" i="4" s="1"/>
  <c r="AH164" i="3"/>
  <c r="D66" i="4" s="1"/>
  <c r="AH165" i="3"/>
  <c r="D67" i="4" s="1"/>
  <c r="AH166" i="3"/>
  <c r="D154" i="4" s="1"/>
  <c r="N154" i="4" s="1"/>
  <c r="Q154" i="4" s="1"/>
  <c r="J168" i="3"/>
  <c r="L168" i="3"/>
  <c r="N168" i="3"/>
  <c r="P168" i="3"/>
  <c r="R168" i="3"/>
  <c r="T168" i="3"/>
  <c r="V168" i="3"/>
  <c r="X168" i="3"/>
  <c r="Z168" i="3"/>
  <c r="AB168" i="3"/>
  <c r="AD168" i="3"/>
  <c r="AF168" i="3"/>
  <c r="AH170" i="3"/>
  <c r="D253" i="4" s="1"/>
  <c r="N253" i="4" s="1"/>
  <c r="Q253" i="4" s="1"/>
  <c r="J172" i="3"/>
  <c r="L172" i="3"/>
  <c r="N172" i="3"/>
  <c r="P172" i="3"/>
  <c r="R172" i="3"/>
  <c r="T172" i="3"/>
  <c r="V172" i="3"/>
  <c r="X172" i="3"/>
  <c r="Z172" i="3"/>
  <c r="AB172" i="3"/>
  <c r="AD172" i="3"/>
  <c r="AF172" i="3"/>
  <c r="AH172" i="3"/>
  <c r="J174" i="3"/>
  <c r="N174" i="3"/>
  <c r="R174" i="3"/>
  <c r="V174" i="3"/>
  <c r="Z174" i="3"/>
  <c r="AD174" i="3"/>
  <c r="N176" i="3"/>
  <c r="V176" i="3"/>
  <c r="AD176" i="3"/>
  <c r="AH179" i="3"/>
  <c r="J181" i="3"/>
  <c r="L181" i="3"/>
  <c r="N181" i="3"/>
  <c r="P181" i="3"/>
  <c r="R181" i="3"/>
  <c r="T181" i="3"/>
  <c r="V181" i="3"/>
  <c r="X181" i="3"/>
  <c r="Z181" i="3"/>
  <c r="AB181" i="3"/>
  <c r="AD181" i="3"/>
  <c r="AF181" i="3"/>
  <c r="AH181" i="3"/>
  <c r="AH184" i="3"/>
  <c r="D158" i="4" s="1"/>
  <c r="AH185" i="3"/>
  <c r="D159" i="4" s="1"/>
  <c r="AH186" i="3"/>
  <c r="D161" i="4" s="1"/>
  <c r="AH187" i="3"/>
  <c r="D162" i="4" s="1"/>
  <c r="N162" i="4" s="1"/>
  <c r="Q162" i="4" s="1"/>
  <c r="AH188" i="3"/>
  <c r="D163" i="4" s="1"/>
  <c r="N163" i="4" s="1"/>
  <c r="Q163" i="4" s="1"/>
  <c r="AH189" i="3"/>
  <c r="D276" i="4" s="1"/>
  <c r="N276" i="4" s="1"/>
  <c r="Q276" i="4" s="1"/>
  <c r="AH190" i="3"/>
  <c r="D205" i="4" s="1"/>
  <c r="N205" i="4" s="1"/>
  <c r="Q205" i="4" s="1"/>
  <c r="AH191" i="3"/>
  <c r="D165" i="4" s="1"/>
  <c r="N165" i="4" s="1"/>
  <c r="Q165" i="4" s="1"/>
  <c r="AH192" i="3"/>
  <c r="D166" i="4" s="1"/>
  <c r="N166" i="4" s="1"/>
  <c r="Q166" i="4" s="1"/>
  <c r="AH193" i="3"/>
  <c r="D221" i="4" s="1"/>
  <c r="AH194" i="3"/>
  <c r="D222" i="4" s="1"/>
  <c r="N222" i="4" s="1"/>
  <c r="Q222" i="4" s="1"/>
  <c r="AH195" i="3"/>
  <c r="D225" i="4" s="1"/>
  <c r="N225" i="4" s="1"/>
  <c r="Q225" i="4" s="1"/>
  <c r="AH196" i="3"/>
  <c r="D214" i="4" s="1"/>
  <c r="N214" i="4" s="1"/>
  <c r="Q214" i="4" s="1"/>
  <c r="AH197" i="3"/>
  <c r="D226" i="4" s="1"/>
  <c r="N226" i="4" s="1"/>
  <c r="Q226" i="4" s="1"/>
  <c r="AH198" i="3"/>
  <c r="D195" i="4" s="1"/>
  <c r="AH199" i="3"/>
  <c r="D197" i="4" s="1"/>
  <c r="N197" i="4" s="1"/>
  <c r="Q197" i="4" s="1"/>
  <c r="AH200" i="3"/>
  <c r="D174" i="4" s="1"/>
  <c r="N174" i="4" s="1"/>
  <c r="Q174" i="4" s="1"/>
  <c r="AH201" i="3"/>
  <c r="D229" i="4" s="1"/>
  <c r="N229" i="4" s="1"/>
  <c r="Q229" i="4" s="1"/>
  <c r="AH202" i="3"/>
  <c r="D230" i="4" s="1"/>
  <c r="N230" i="4" s="1"/>
  <c r="Q230" i="4" s="1"/>
  <c r="AH203" i="3"/>
  <c r="D231" i="4" s="1"/>
  <c r="N231" i="4" s="1"/>
  <c r="Q231" i="4" s="1"/>
  <c r="AH204" i="3"/>
  <c r="D233" i="4" s="1"/>
  <c r="N233" i="4" s="1"/>
  <c r="Q233" i="4" s="1"/>
  <c r="AH205" i="3"/>
  <c r="D234" i="4" s="1"/>
  <c r="N234" i="4" s="1"/>
  <c r="Q234" i="4" s="1"/>
  <c r="AH206" i="3"/>
  <c r="D175" i="4" s="1"/>
  <c r="N175" i="4" s="1"/>
  <c r="Q175" i="4" s="1"/>
  <c r="AH207" i="3"/>
  <c r="D143" i="4" s="1"/>
  <c r="AH208" i="3"/>
  <c r="D186" i="4" s="1"/>
  <c r="AH209" i="3"/>
  <c r="D236" i="4" s="1"/>
  <c r="N236" i="4" s="1"/>
  <c r="Q236" i="4" s="1"/>
  <c r="AH210" i="3"/>
  <c r="D180" i="4" s="1"/>
  <c r="N180" i="4" s="1"/>
  <c r="Q180" i="4" s="1"/>
  <c r="AH211" i="3"/>
  <c r="D181" i="4" s="1"/>
  <c r="N181" i="4" s="1"/>
  <c r="Q181" i="4" s="1"/>
  <c r="AH212" i="3"/>
  <c r="D239" i="4" s="1"/>
  <c r="N239" i="4" s="1"/>
  <c r="Q239" i="4" s="1"/>
  <c r="AH213" i="3"/>
  <c r="D240" i="4" s="1"/>
  <c r="N240" i="4" s="1"/>
  <c r="Q240" i="4" s="1"/>
  <c r="AH214" i="3"/>
  <c r="D183" i="4" s="1"/>
  <c r="N183" i="4" s="1"/>
  <c r="Q183" i="4" s="1"/>
  <c r="AH215" i="3"/>
  <c r="J217" i="3"/>
  <c r="L217" i="3"/>
  <c r="N217" i="3"/>
  <c r="P217" i="3"/>
  <c r="R217" i="3"/>
  <c r="T217" i="3"/>
  <c r="V217" i="3"/>
  <c r="X217" i="3"/>
  <c r="Z217" i="3"/>
  <c r="AB217" i="3"/>
  <c r="AD217" i="3"/>
  <c r="AF217" i="3"/>
  <c r="AH217" i="3"/>
  <c r="AH219" i="3"/>
  <c r="D169" i="4" s="1"/>
  <c r="J221" i="3"/>
  <c r="L221" i="3"/>
  <c r="N221" i="3"/>
  <c r="P221" i="3"/>
  <c r="R221" i="3"/>
  <c r="T221" i="3"/>
  <c r="V221" i="3"/>
  <c r="X221" i="3"/>
  <c r="Z221" i="3"/>
  <c r="AB221" i="3"/>
  <c r="AD221" i="3"/>
  <c r="AF221" i="3"/>
  <c r="AH221" i="3"/>
  <c r="J223" i="3"/>
  <c r="L223" i="3"/>
  <c r="N223" i="3"/>
  <c r="P223" i="3"/>
  <c r="R223" i="3"/>
  <c r="T223" i="3"/>
  <c r="V223" i="3"/>
  <c r="X223" i="3"/>
  <c r="Z223" i="3"/>
  <c r="AB223" i="3"/>
  <c r="AD223" i="3"/>
  <c r="AF223" i="3"/>
  <c r="AH223" i="3"/>
  <c r="N226" i="3"/>
  <c r="V226" i="3"/>
  <c r="AD226" i="3"/>
  <c r="N228" i="3"/>
  <c r="V228" i="3"/>
  <c r="AD228" i="3"/>
  <c r="AH230" i="3"/>
  <c r="D244" i="4" s="1"/>
  <c r="AH231" i="3"/>
  <c r="D245" i="4" s="1"/>
  <c r="N245" i="4" s="1"/>
  <c r="Q245" i="4" s="1"/>
  <c r="AH232" i="3"/>
  <c r="D247" i="4" s="1"/>
  <c r="N247" i="4" s="1"/>
  <c r="Q247" i="4" s="1"/>
  <c r="AH233" i="3"/>
  <c r="D249" i="4" s="1"/>
  <c r="N249" i="4" s="1"/>
  <c r="Q249" i="4" s="1"/>
  <c r="J235" i="3"/>
  <c r="L235" i="3"/>
  <c r="L245" i="3" s="1"/>
  <c r="N235" i="3"/>
  <c r="O235" i="3"/>
  <c r="P235" i="3"/>
  <c r="R235" i="3"/>
  <c r="R245" i="3" s="1"/>
  <c r="T235" i="3"/>
  <c r="U235" i="3"/>
  <c r="V235" i="3"/>
  <c r="X235" i="3"/>
  <c r="X245" i="3" s="1"/>
  <c r="Z235" i="3"/>
  <c r="AA235" i="3"/>
  <c r="AB235" i="3"/>
  <c r="AD235" i="3"/>
  <c r="AD245" i="3" s="1"/>
  <c r="AD247" i="3" s="1"/>
  <c r="AD261" i="3" s="1"/>
  <c r="AD267" i="3" s="1"/>
  <c r="AD273" i="3" s="1"/>
  <c r="AD279" i="3" s="1"/>
  <c r="AD288" i="3" s="1"/>
  <c r="AD289" i="3" s="1"/>
  <c r="AF235" i="3"/>
  <c r="AG235" i="3"/>
  <c r="AH237" i="3"/>
  <c r="J239" i="3"/>
  <c r="L239" i="3"/>
  <c r="N239" i="3"/>
  <c r="AH239" i="3" s="1"/>
  <c r="O239" i="3"/>
  <c r="P239" i="3"/>
  <c r="R239" i="3"/>
  <c r="T239" i="3"/>
  <c r="T245" i="3" s="1"/>
  <c r="U239" i="3"/>
  <c r="V239" i="3"/>
  <c r="X239" i="3"/>
  <c r="Z239" i="3"/>
  <c r="Z245" i="3" s="1"/>
  <c r="AA239" i="3"/>
  <c r="AB239" i="3"/>
  <c r="AD239" i="3"/>
  <c r="AF239" i="3"/>
  <c r="AF245" i="3" s="1"/>
  <c r="AG239" i="3"/>
  <c r="AH241" i="3"/>
  <c r="J243" i="3"/>
  <c r="L243" i="3"/>
  <c r="N243" i="3"/>
  <c r="O243" i="3"/>
  <c r="P243" i="3"/>
  <c r="R243" i="3"/>
  <c r="T243" i="3"/>
  <c r="U243" i="3"/>
  <c r="V243" i="3"/>
  <c r="X243" i="3"/>
  <c r="Z243" i="3"/>
  <c r="AA243" i="3"/>
  <c r="AB243" i="3"/>
  <c r="AD243" i="3"/>
  <c r="AF243" i="3"/>
  <c r="AG243" i="3"/>
  <c r="AH243" i="3"/>
  <c r="J245" i="3"/>
  <c r="O245" i="3"/>
  <c r="P245" i="3"/>
  <c r="U245" i="3"/>
  <c r="V245" i="3"/>
  <c r="AA245" i="3"/>
  <c r="AB245" i="3"/>
  <c r="AG245" i="3"/>
  <c r="O247" i="3"/>
  <c r="U247" i="3"/>
  <c r="V247" i="3"/>
  <c r="AA247" i="3"/>
  <c r="AG247" i="3"/>
  <c r="AH249" i="3"/>
  <c r="J251" i="3"/>
  <c r="L251" i="3"/>
  <c r="N251" i="3"/>
  <c r="O251" i="3"/>
  <c r="P251" i="3"/>
  <c r="R251" i="3"/>
  <c r="T251" i="3"/>
  <c r="U251" i="3"/>
  <c r="V251" i="3"/>
  <c r="V261" i="3" s="1"/>
  <c r="V267" i="3" s="1"/>
  <c r="V273" i="3" s="1"/>
  <c r="V279" i="3" s="1"/>
  <c r="V288" i="3" s="1"/>
  <c r="V289" i="3" s="1"/>
  <c r="X251" i="3"/>
  <c r="Z251" i="3"/>
  <c r="AA251" i="3"/>
  <c r="AB251" i="3"/>
  <c r="AD251" i="3"/>
  <c r="AF251" i="3"/>
  <c r="AG251" i="3"/>
  <c r="AH251" i="3"/>
  <c r="AH253" i="3"/>
  <c r="AH255" i="3" s="1"/>
  <c r="J255" i="3"/>
  <c r="L255" i="3"/>
  <c r="N255" i="3"/>
  <c r="O255" i="3"/>
  <c r="P255" i="3"/>
  <c r="R255" i="3"/>
  <c r="T255" i="3"/>
  <c r="U255" i="3"/>
  <c r="V255" i="3"/>
  <c r="X255" i="3"/>
  <c r="Z255" i="3"/>
  <c r="AA255" i="3"/>
  <c r="AB255" i="3"/>
  <c r="AD255" i="3"/>
  <c r="AF255" i="3"/>
  <c r="AG255" i="3"/>
  <c r="AH257" i="3"/>
  <c r="J259" i="3"/>
  <c r="L259" i="3"/>
  <c r="N259" i="3"/>
  <c r="O259" i="3"/>
  <c r="P259" i="3"/>
  <c r="R259" i="3"/>
  <c r="T259" i="3"/>
  <c r="U259" i="3"/>
  <c r="V259" i="3"/>
  <c r="X259" i="3"/>
  <c r="Z259" i="3"/>
  <c r="AA259" i="3"/>
  <c r="AB259" i="3"/>
  <c r="AD259" i="3"/>
  <c r="AF259" i="3"/>
  <c r="AG259" i="3"/>
  <c r="AH259" i="3"/>
  <c r="O261" i="3"/>
  <c r="U261" i="3"/>
  <c r="AA261" i="3"/>
  <c r="AG261" i="3"/>
  <c r="AH263" i="3"/>
  <c r="AH265" i="3" s="1"/>
  <c r="J265" i="3"/>
  <c r="L265" i="3"/>
  <c r="N265" i="3"/>
  <c r="O265" i="3"/>
  <c r="P265" i="3"/>
  <c r="R265" i="3"/>
  <c r="T265" i="3"/>
  <c r="U265" i="3"/>
  <c r="V265" i="3"/>
  <c r="X265" i="3"/>
  <c r="Z265" i="3"/>
  <c r="AA265" i="3"/>
  <c r="AB265" i="3"/>
  <c r="AD265" i="3"/>
  <c r="AF265" i="3"/>
  <c r="AG265" i="3"/>
  <c r="O267" i="3"/>
  <c r="U267" i="3"/>
  <c r="AA267" i="3"/>
  <c r="AG267" i="3"/>
  <c r="AH269" i="3"/>
  <c r="J271" i="3"/>
  <c r="L271" i="3"/>
  <c r="N271" i="3"/>
  <c r="O271" i="3"/>
  <c r="P271" i="3"/>
  <c r="R271" i="3"/>
  <c r="T271" i="3"/>
  <c r="U271" i="3"/>
  <c r="V271" i="3"/>
  <c r="X271" i="3"/>
  <c r="Z271" i="3"/>
  <c r="AA271" i="3"/>
  <c r="AB271" i="3"/>
  <c r="AD271" i="3"/>
  <c r="AF271" i="3"/>
  <c r="AG271" i="3"/>
  <c r="AH271" i="3"/>
  <c r="O273" i="3"/>
  <c r="U273" i="3"/>
  <c r="AA273" i="3"/>
  <c r="AG273" i="3"/>
  <c r="AH275" i="3"/>
  <c r="AH277" i="3" s="1"/>
  <c r="J277" i="3"/>
  <c r="L277" i="3"/>
  <c r="N277" i="3"/>
  <c r="O277" i="3"/>
  <c r="P277" i="3"/>
  <c r="R277" i="3"/>
  <c r="T277" i="3"/>
  <c r="U277" i="3"/>
  <c r="V277" i="3"/>
  <c r="X277" i="3"/>
  <c r="Z277" i="3"/>
  <c r="AA277" i="3"/>
  <c r="AB277" i="3"/>
  <c r="AD277" i="3"/>
  <c r="AF277" i="3"/>
  <c r="AG277" i="3"/>
  <c r="O279" i="3"/>
  <c r="U279" i="3"/>
  <c r="AA279" i="3"/>
  <c r="AG279" i="3"/>
  <c r="J283" i="3"/>
  <c r="L283" i="3"/>
  <c r="N283" i="3"/>
  <c r="P283" i="3"/>
  <c r="R283" i="3"/>
  <c r="T283" i="3"/>
  <c r="V283" i="3"/>
  <c r="X283" i="3"/>
  <c r="Z283" i="3"/>
  <c r="AB283" i="3"/>
  <c r="AD283" i="3"/>
  <c r="AF283" i="3"/>
  <c r="AH283" i="3"/>
  <c r="W288" i="3"/>
  <c r="W289" i="3"/>
  <c r="AH31" i="2"/>
  <c r="AH33" i="2"/>
  <c r="C16" i="4" s="1"/>
  <c r="AH36" i="2"/>
  <c r="C18" i="4" s="1"/>
  <c r="AH37" i="2"/>
  <c r="AH38" i="2"/>
  <c r="C19" i="4" s="1"/>
  <c r="AH39" i="2"/>
  <c r="C20" i="4" s="1"/>
  <c r="AH40" i="2"/>
  <c r="AH41" i="2"/>
  <c r="C22" i="4" s="1"/>
  <c r="AH42" i="2"/>
  <c r="C21" i="4" s="1"/>
  <c r="AH47" i="2"/>
  <c r="AH49" i="2" s="1"/>
  <c r="AH56" i="2"/>
  <c r="C23" i="4" s="1"/>
  <c r="AH57" i="2"/>
  <c r="C24" i="4" s="1"/>
  <c r="AH11" i="2"/>
  <c r="AH12" i="2"/>
  <c r="AH13" i="2"/>
  <c r="AH14" i="2"/>
  <c r="AH15" i="2"/>
  <c r="C15" i="4" s="1"/>
  <c r="AH16" i="2"/>
  <c r="AH17" i="2"/>
  <c r="AH18" i="2"/>
  <c r="AH19" i="2"/>
  <c r="AH20" i="2"/>
  <c r="AH21" i="2"/>
  <c r="C10" i="4" s="1"/>
  <c r="AH22" i="2"/>
  <c r="C11" i="4" s="1"/>
  <c r="AH23" i="2"/>
  <c r="AH24" i="2"/>
  <c r="AH25" i="2"/>
  <c r="AH26" i="2"/>
  <c r="AH27" i="2"/>
  <c r="AH51" i="2"/>
  <c r="AH53" i="2" s="1"/>
  <c r="M38" i="5" l="1"/>
  <c r="M6" i="5"/>
  <c r="L17" i="5"/>
  <c r="M14" i="5"/>
  <c r="M13" i="5"/>
  <c r="L14" i="5"/>
  <c r="L10" i="5"/>
  <c r="M16" i="5"/>
  <c r="M15" i="5"/>
  <c r="S36" i="5"/>
  <c r="J38" i="5"/>
  <c r="M8" i="5"/>
  <c r="D54" i="5"/>
  <c r="L7" i="5"/>
  <c r="L16" i="5"/>
  <c r="J46" i="5"/>
  <c r="C30" i="5"/>
  <c r="L15" i="5"/>
  <c r="L13" i="5"/>
  <c r="K38" i="5"/>
  <c r="C12" i="4"/>
  <c r="C9" i="4"/>
  <c r="AH29" i="2"/>
  <c r="AH44" i="2"/>
  <c r="B17" i="13"/>
  <c r="K46" i="5"/>
  <c r="N100" i="4"/>
  <c r="G30" i="5"/>
  <c r="N47" i="31"/>
  <c r="O45" i="31" s="1"/>
  <c r="M17" i="5"/>
  <c r="L46" i="5"/>
  <c r="W74" i="35"/>
  <c r="F248" i="31" s="1"/>
  <c r="V74" i="35"/>
  <c r="X74" i="35"/>
  <c r="G248" i="31" s="1"/>
  <c r="M74" i="35"/>
  <c r="T248" i="4"/>
  <c r="D248" i="31" s="1"/>
  <c r="T12" i="4"/>
  <c r="G92" i="4"/>
  <c r="M92" i="4" s="1"/>
  <c r="O92" i="4" s="1"/>
  <c r="S92" i="4" s="1"/>
  <c r="B49" i="6"/>
  <c r="U26" i="6" s="1"/>
  <c r="U59" i="6" s="1"/>
  <c r="D31" i="6"/>
  <c r="F31" i="6" s="1"/>
  <c r="B64" i="6"/>
  <c r="B81" i="6" s="1"/>
  <c r="C48" i="6"/>
  <c r="C49" i="6" s="1"/>
  <c r="H87" i="4" s="1"/>
  <c r="H97" i="4" s="1"/>
  <c r="T89" i="4"/>
  <c r="D89" i="31" s="1"/>
  <c r="E89" i="31" s="1"/>
  <c r="V89" i="4"/>
  <c r="V90" i="4"/>
  <c r="U160" i="4"/>
  <c r="X160" i="4" s="1"/>
  <c r="J36" i="5"/>
  <c r="L40" i="5"/>
  <c r="U159" i="12"/>
  <c r="U268" i="12" s="1"/>
  <c r="E54" i="5"/>
  <c r="K40" i="5"/>
  <c r="J40" i="5"/>
  <c r="E126" i="31"/>
  <c r="D12" i="31"/>
  <c r="T90" i="4"/>
  <c r="D90" i="31" s="1"/>
  <c r="U90" i="4"/>
  <c r="S19" i="6"/>
  <c r="T15" i="4" s="1"/>
  <c r="D15" i="31" s="1"/>
  <c r="G127" i="4"/>
  <c r="M127" i="4" s="1"/>
  <c r="O127" i="4" s="1"/>
  <c r="S127" i="4" s="1"/>
  <c r="AB78" i="3"/>
  <c r="AB176" i="3" s="1"/>
  <c r="AB226" i="3" s="1"/>
  <c r="T176" i="3"/>
  <c r="T226" i="3" s="1"/>
  <c r="L176" i="3"/>
  <c r="L226" i="3" s="1"/>
  <c r="B43" i="13"/>
  <c r="D43" i="13" s="1"/>
  <c r="H8" i="5"/>
  <c r="Z228" i="3"/>
  <c r="Z247" i="3"/>
  <c r="Z261" i="3" s="1"/>
  <c r="Z267" i="3" s="1"/>
  <c r="Z273" i="3" s="1"/>
  <c r="Z279" i="3" s="1"/>
  <c r="Z288" i="3" s="1"/>
  <c r="Z289" i="3" s="1"/>
  <c r="R228" i="3"/>
  <c r="R247" i="3"/>
  <c r="R261" i="3" s="1"/>
  <c r="R267" i="3" s="1"/>
  <c r="R273" i="3" s="1"/>
  <c r="R279" i="3" s="1"/>
  <c r="J247" i="3"/>
  <c r="J261" i="3" s="1"/>
  <c r="J267" i="3" s="1"/>
  <c r="J273" i="3" s="1"/>
  <c r="J279" i="3" s="1"/>
  <c r="J228" i="3"/>
  <c r="AF78" i="3"/>
  <c r="AF176" i="3" s="1"/>
  <c r="AF226" i="3" s="1"/>
  <c r="X78" i="3"/>
  <c r="X176" i="3" s="1"/>
  <c r="X226" i="3" s="1"/>
  <c r="P176" i="3"/>
  <c r="P226" i="3" s="1"/>
  <c r="E23" i="4"/>
  <c r="M23" i="4"/>
  <c r="O23" i="4" s="1"/>
  <c r="S23" i="4"/>
  <c r="S21" i="4"/>
  <c r="E21" i="4"/>
  <c r="M21" i="4"/>
  <c r="O21" i="4" s="1"/>
  <c r="E19" i="4"/>
  <c r="M19" i="4"/>
  <c r="O19" i="4" s="1"/>
  <c r="S19" i="4"/>
  <c r="U19" i="4"/>
  <c r="N245" i="3"/>
  <c r="N247" i="3" s="1"/>
  <c r="N261" i="3" s="1"/>
  <c r="N267" i="3" s="1"/>
  <c r="N273" i="3" s="1"/>
  <c r="N279" i="3" s="1"/>
  <c r="AH235" i="3"/>
  <c r="AH245" i="3" s="1"/>
  <c r="N143" i="4"/>
  <c r="D144" i="4"/>
  <c r="D242" i="4"/>
  <c r="N221" i="4"/>
  <c r="H159" i="4"/>
  <c r="N159" i="4" s="1"/>
  <c r="Q159" i="4" s="1"/>
  <c r="G159" i="4"/>
  <c r="AH153" i="3"/>
  <c r="AH127" i="3"/>
  <c r="D215" i="4"/>
  <c r="N208" i="4"/>
  <c r="D277" i="4"/>
  <c r="N271" i="4"/>
  <c r="D129" i="4"/>
  <c r="N126" i="4"/>
  <c r="B35" i="13"/>
  <c r="J275" i="4" s="1"/>
  <c r="J158" i="4"/>
  <c r="E11" i="6"/>
  <c r="B20" i="6"/>
  <c r="H15" i="6"/>
  <c r="J15" i="6" s="1"/>
  <c r="T13" i="4"/>
  <c r="L19" i="5"/>
  <c r="Q217" i="4"/>
  <c r="Q218" i="4" s="1"/>
  <c r="N218" i="4"/>
  <c r="E12" i="4"/>
  <c r="I14" i="6"/>
  <c r="J14" i="6" s="1"/>
  <c r="E9" i="4"/>
  <c r="I11" i="6"/>
  <c r="I18" i="6"/>
  <c r="E15" i="4"/>
  <c r="C14" i="4"/>
  <c r="M22" i="4"/>
  <c r="O22" i="4" s="1"/>
  <c r="E22" i="4"/>
  <c r="S22" i="4"/>
  <c r="N244" i="4"/>
  <c r="D254" i="4"/>
  <c r="C76" i="6"/>
  <c r="D170" i="4"/>
  <c r="N66" i="4"/>
  <c r="D68" i="4"/>
  <c r="N152" i="4"/>
  <c r="D156" i="4"/>
  <c r="N146" i="4"/>
  <c r="D150" i="4"/>
  <c r="N257" i="4"/>
  <c r="D258" i="4"/>
  <c r="D284" i="4"/>
  <c r="N280" i="4"/>
  <c r="Q280" i="4" s="1"/>
  <c r="E282" i="4"/>
  <c r="N282" i="4"/>
  <c r="D34" i="4"/>
  <c r="N31" i="4"/>
  <c r="N102" i="4"/>
  <c r="D107" i="4"/>
  <c r="N74" i="4"/>
  <c r="D79" i="4"/>
  <c r="D43" i="4"/>
  <c r="N36" i="4"/>
  <c r="N263" i="4"/>
  <c r="D265" i="4"/>
  <c r="AH92" i="3"/>
  <c r="AH174" i="3" s="1"/>
  <c r="N260" i="4"/>
  <c r="D261" i="4"/>
  <c r="H30" i="5"/>
  <c r="G54" i="5"/>
  <c r="M19" i="5"/>
  <c r="X252" i="4"/>
  <c r="I12" i="6"/>
  <c r="J12" i="6" s="1"/>
  <c r="E10" i="4"/>
  <c r="S16" i="4"/>
  <c r="E16" i="4"/>
  <c r="M16" i="4"/>
  <c r="O16" i="4" s="1"/>
  <c r="C17" i="4"/>
  <c r="E11" i="4"/>
  <c r="I13" i="6"/>
  <c r="AH59" i="2"/>
  <c r="AH61" i="2" s="1"/>
  <c r="E18" i="4"/>
  <c r="M18" i="4"/>
  <c r="O18" i="4" s="1"/>
  <c r="S18" i="4"/>
  <c r="N186" i="4"/>
  <c r="D187" i="4"/>
  <c r="N195" i="4"/>
  <c r="D198" i="4"/>
  <c r="G161" i="4"/>
  <c r="H161" i="4" s="1"/>
  <c r="N161" i="4" s="1"/>
  <c r="Q161" i="4" s="1"/>
  <c r="N158" i="4"/>
  <c r="D167" i="4"/>
  <c r="AH168" i="3"/>
  <c r="AH137" i="3"/>
  <c r="AH121" i="3"/>
  <c r="N200" i="4"/>
  <c r="D206" i="4"/>
  <c r="D97" i="4"/>
  <c r="B31" i="13"/>
  <c r="J43" i="4"/>
  <c r="J87" i="4"/>
  <c r="J97" i="4" s="1"/>
  <c r="J98" i="4" s="1"/>
  <c r="B33" i="13"/>
  <c r="J273" i="4" s="1"/>
  <c r="J45" i="4"/>
  <c r="J52" i="4" s="1"/>
  <c r="X159" i="12"/>
  <c r="X268" i="12" s="1"/>
  <c r="H18" i="6"/>
  <c r="K13" i="5"/>
  <c r="K15" i="5"/>
  <c r="K17" i="5"/>
  <c r="K10" i="5"/>
  <c r="K12" i="5"/>
  <c r="K7" i="5"/>
  <c r="K14" i="5"/>
  <c r="K6" i="5"/>
  <c r="K16" i="5"/>
  <c r="S12" i="6"/>
  <c r="E17" i="6"/>
  <c r="E116" i="4"/>
  <c r="U97" i="4"/>
  <c r="N14" i="4"/>
  <c r="D26" i="4"/>
  <c r="O116" i="4"/>
  <c r="S116" i="4" s="1"/>
  <c r="E24" i="4"/>
  <c r="M24" i="4"/>
  <c r="O24" i="4" s="1"/>
  <c r="S24" i="4" s="1"/>
  <c r="M20" i="4"/>
  <c r="O20" i="4" s="1"/>
  <c r="S20" i="4"/>
  <c r="E20" i="4"/>
  <c r="N67" i="4"/>
  <c r="E67" i="4"/>
  <c r="D184" i="4"/>
  <c r="N173" i="4"/>
  <c r="D269" i="4"/>
  <c r="N267" i="4"/>
  <c r="D191" i="4"/>
  <c r="N189" i="4"/>
  <c r="N81" i="4"/>
  <c r="D85" i="4"/>
  <c r="N62" i="4"/>
  <c r="D64" i="4"/>
  <c r="D72" i="4"/>
  <c r="N70" i="4"/>
  <c r="N55" i="4"/>
  <c r="D60" i="4"/>
  <c r="N109" i="4"/>
  <c r="D124" i="4"/>
  <c r="AH55" i="3"/>
  <c r="AH76" i="3" s="1"/>
  <c r="B23" i="13"/>
  <c r="J159" i="4" s="1"/>
  <c r="X104" i="10"/>
  <c r="AI104" i="10" s="1"/>
  <c r="AI95" i="10"/>
  <c r="C10" i="5" s="1"/>
  <c r="AJ65" i="8"/>
  <c r="C12" i="5" s="1"/>
  <c r="H17" i="5"/>
  <c r="D24" i="5" s="1"/>
  <c r="F54" i="5"/>
  <c r="T11" i="4"/>
  <c r="H13" i="6"/>
  <c r="AJ63" i="8"/>
  <c r="C6" i="5" s="1"/>
  <c r="C21" i="6"/>
  <c r="C54" i="5"/>
  <c r="V265" i="8"/>
  <c r="V277" i="8" s="1"/>
  <c r="D19" i="5"/>
  <c r="J17" i="5" s="1"/>
  <c r="Q45" i="4"/>
  <c r="Q52" i="4" s="1"/>
  <c r="N52" i="4"/>
  <c r="AH49" i="3"/>
  <c r="Q279" i="4"/>
  <c r="S279" i="4" s="1"/>
  <c r="AH8" i="2"/>
  <c r="J29" i="2"/>
  <c r="L29" i="2"/>
  <c r="N29" i="2"/>
  <c r="P29" i="2"/>
  <c r="R29" i="2"/>
  <c r="T29" i="2"/>
  <c r="V29" i="2"/>
  <c r="X29" i="2"/>
  <c r="Z29" i="2"/>
  <c r="AB29" i="2"/>
  <c r="AD29" i="2"/>
  <c r="AF29" i="2"/>
  <c r="J33" i="2"/>
  <c r="L33" i="2"/>
  <c r="N33" i="2"/>
  <c r="P33" i="2"/>
  <c r="R33" i="2"/>
  <c r="T33" i="2"/>
  <c r="V33" i="2"/>
  <c r="X33" i="2"/>
  <c r="Z33" i="2"/>
  <c r="AB33" i="2"/>
  <c r="AD33" i="2"/>
  <c r="AF33" i="2"/>
  <c r="J44" i="2"/>
  <c r="L44" i="2"/>
  <c r="N44" i="2"/>
  <c r="P44" i="2"/>
  <c r="R44" i="2"/>
  <c r="T44" i="2"/>
  <c r="V44" i="2"/>
  <c r="X44" i="2"/>
  <c r="Z44" i="2"/>
  <c r="AB44" i="2"/>
  <c r="AD44" i="2"/>
  <c r="AF44" i="2"/>
  <c r="J49" i="2"/>
  <c r="L49" i="2"/>
  <c r="N49" i="2"/>
  <c r="P49" i="2"/>
  <c r="R49" i="2"/>
  <c r="T49" i="2"/>
  <c r="V49" i="2"/>
  <c r="X49" i="2"/>
  <c r="Z49" i="2"/>
  <c r="AB49" i="2"/>
  <c r="AD49" i="2"/>
  <c r="AF49" i="2"/>
  <c r="J53" i="2"/>
  <c r="L53" i="2"/>
  <c r="N53" i="2"/>
  <c r="P53" i="2"/>
  <c r="R53" i="2"/>
  <c r="T53" i="2"/>
  <c r="V53" i="2"/>
  <c r="X53" i="2"/>
  <c r="Z53" i="2"/>
  <c r="AB53" i="2"/>
  <c r="AD53" i="2"/>
  <c r="AF53" i="2"/>
  <c r="J59" i="2"/>
  <c r="L59" i="2"/>
  <c r="N59" i="2"/>
  <c r="P59" i="2"/>
  <c r="R59" i="2"/>
  <c r="T59" i="2"/>
  <c r="V59" i="2"/>
  <c r="X59" i="2"/>
  <c r="Z59" i="2"/>
  <c r="AB59" i="2"/>
  <c r="AD59" i="2"/>
  <c r="AF59" i="2"/>
  <c r="AH64" i="2"/>
  <c r="C126" i="4" s="1"/>
  <c r="AH65" i="2"/>
  <c r="C128" i="4" s="1"/>
  <c r="J67" i="2"/>
  <c r="L67" i="2"/>
  <c r="N67" i="2"/>
  <c r="P67" i="2"/>
  <c r="R67" i="2"/>
  <c r="T67" i="2"/>
  <c r="V67" i="2"/>
  <c r="X67" i="2"/>
  <c r="Z67" i="2"/>
  <c r="AB67" i="2"/>
  <c r="AD67" i="2"/>
  <c r="AF67" i="2"/>
  <c r="AH69" i="2"/>
  <c r="AH71" i="2" s="1"/>
  <c r="J71" i="2"/>
  <c r="L71" i="2"/>
  <c r="N71" i="2"/>
  <c r="P71" i="2"/>
  <c r="R71" i="2"/>
  <c r="T71" i="2"/>
  <c r="V71" i="2"/>
  <c r="X71" i="2"/>
  <c r="Z71" i="2"/>
  <c r="AB71" i="2"/>
  <c r="AD71" i="2"/>
  <c r="AF71" i="2"/>
  <c r="AH74" i="2"/>
  <c r="C109" i="4" s="1"/>
  <c r="AH75" i="2"/>
  <c r="C110" i="4" s="1"/>
  <c r="AH76" i="2"/>
  <c r="C256" i="4" s="1"/>
  <c r="AH77" i="2"/>
  <c r="C260" i="4" s="1"/>
  <c r="AH78" i="2"/>
  <c r="C139" i="4" s="1"/>
  <c r="J80" i="2"/>
  <c r="L80" i="2"/>
  <c r="N80" i="2"/>
  <c r="P80" i="2"/>
  <c r="R80" i="2"/>
  <c r="T80" i="2"/>
  <c r="V80" i="2"/>
  <c r="X80" i="2"/>
  <c r="Z80" i="2"/>
  <c r="AB80" i="2"/>
  <c r="AD80" i="2"/>
  <c r="AF80" i="2"/>
  <c r="AH83" i="2"/>
  <c r="C111" i="4" s="1"/>
  <c r="AH84" i="2"/>
  <c r="C112" i="4" s="1"/>
  <c r="AH85" i="2"/>
  <c r="C113" i="4" s="1"/>
  <c r="J87" i="2"/>
  <c r="L87" i="2"/>
  <c r="N87" i="2"/>
  <c r="P87" i="2"/>
  <c r="R87" i="2"/>
  <c r="T87" i="2"/>
  <c r="V87" i="2"/>
  <c r="X87" i="2"/>
  <c r="Z87" i="2"/>
  <c r="AB87" i="2"/>
  <c r="AD87" i="2"/>
  <c r="AF87" i="2"/>
  <c r="AH89" i="2"/>
  <c r="J91" i="2"/>
  <c r="L91" i="2"/>
  <c r="N91" i="2"/>
  <c r="P91" i="2"/>
  <c r="R91" i="2"/>
  <c r="T91" i="2"/>
  <c r="V91" i="2"/>
  <c r="X91" i="2"/>
  <c r="Z91" i="2"/>
  <c r="AB91" i="2"/>
  <c r="AD91" i="2"/>
  <c r="AF91" i="2"/>
  <c r="AF93" i="2"/>
  <c r="AH98" i="2"/>
  <c r="AH99" i="2"/>
  <c r="AH100" i="2"/>
  <c r="AH101" i="2"/>
  <c r="AH102" i="2"/>
  <c r="C99" i="4" s="1"/>
  <c r="AH103" i="2"/>
  <c r="C271" i="4" s="1"/>
  <c r="AH104" i="2"/>
  <c r="C200" i="4" s="1"/>
  <c r="AH105" i="2"/>
  <c r="AH106" i="2"/>
  <c r="AH107" i="2"/>
  <c r="C114" i="4" s="1"/>
  <c r="AH108" i="2"/>
  <c r="C115" i="4" s="1"/>
  <c r="AH109" i="2"/>
  <c r="C208" i="4" s="1"/>
  <c r="AH110" i="2"/>
  <c r="C201" i="4" s="1"/>
  <c r="AH111" i="2"/>
  <c r="C209" i="4" s="1"/>
  <c r="J113" i="2"/>
  <c r="L113" i="2"/>
  <c r="N113" i="2"/>
  <c r="P113" i="2"/>
  <c r="R113" i="2"/>
  <c r="T113" i="2"/>
  <c r="V113" i="2"/>
  <c r="X113" i="2"/>
  <c r="Z113" i="2"/>
  <c r="AB113" i="2"/>
  <c r="AD113" i="2"/>
  <c r="AF113" i="2"/>
  <c r="AH115" i="2"/>
  <c r="C263" i="4" s="1"/>
  <c r="J117" i="2"/>
  <c r="L117" i="2"/>
  <c r="N117" i="2"/>
  <c r="P117" i="2"/>
  <c r="R117" i="2"/>
  <c r="T117" i="2"/>
  <c r="V117" i="2"/>
  <c r="X117" i="2"/>
  <c r="Z117" i="2"/>
  <c r="AB117" i="2"/>
  <c r="AD117" i="2"/>
  <c r="AF117" i="2"/>
  <c r="AH117" i="2"/>
  <c r="AH120" i="2"/>
  <c r="AH121" i="2"/>
  <c r="AH122" i="2"/>
  <c r="AH123" i="2"/>
  <c r="AH124" i="2"/>
  <c r="AH125" i="2"/>
  <c r="C272" i="4" s="1"/>
  <c r="AH126" i="2"/>
  <c r="C202" i="4" s="1"/>
  <c r="AH127" i="2"/>
  <c r="AH128" i="2"/>
  <c r="AH129" i="2"/>
  <c r="C74" i="4" s="1"/>
  <c r="AH130" i="2"/>
  <c r="C75" i="4" s="1"/>
  <c r="AH131" i="2"/>
  <c r="C210" i="4" s="1"/>
  <c r="AH132" i="2"/>
  <c r="C55" i="4" s="1"/>
  <c r="AH133" i="2"/>
  <c r="C56" i="4" s="1"/>
  <c r="AH134" i="2"/>
  <c r="C70" i="4" s="1"/>
  <c r="AH135" i="2"/>
  <c r="C102" i="4" s="1"/>
  <c r="AH136" i="2"/>
  <c r="C104" i="4" s="1"/>
  <c r="AH137" i="2"/>
  <c r="C105" i="4" s="1"/>
  <c r="AH138" i="2"/>
  <c r="C62" i="4" s="1"/>
  <c r="AH139" i="2"/>
  <c r="C193" i="4" s="1"/>
  <c r="AH140" i="2"/>
  <c r="C76" i="4" s="1"/>
  <c r="AH141" i="2"/>
  <c r="C172" i="4" s="1"/>
  <c r="AH142" i="2"/>
  <c r="J144" i="2"/>
  <c r="L144" i="2"/>
  <c r="N144" i="2"/>
  <c r="P144" i="2"/>
  <c r="R144" i="2"/>
  <c r="T144" i="2"/>
  <c r="V144" i="2"/>
  <c r="X144" i="2"/>
  <c r="Z144" i="2"/>
  <c r="AB144" i="2"/>
  <c r="AD144" i="2"/>
  <c r="AF144" i="2"/>
  <c r="AH144" i="2"/>
  <c r="AH145" i="2"/>
  <c r="AH147" i="2"/>
  <c r="AH148" i="2"/>
  <c r="AH149" i="2"/>
  <c r="AH150" i="2"/>
  <c r="AH151" i="2"/>
  <c r="C49" i="4" s="1"/>
  <c r="AH152" i="2"/>
  <c r="C273" i="4" s="1"/>
  <c r="AH153" i="2"/>
  <c r="C203" i="4" s="1"/>
  <c r="AH154" i="2"/>
  <c r="AH155" i="2"/>
  <c r="AH156" i="2"/>
  <c r="C117" i="4" s="1"/>
  <c r="AH157" i="2"/>
  <c r="C118" i="4" s="1"/>
  <c r="AH158" i="2"/>
  <c r="C211" i="4" s="1"/>
  <c r="AH159" i="2"/>
  <c r="AH160" i="2"/>
  <c r="C57" i="4" s="1"/>
  <c r="AH161" i="2"/>
  <c r="C58" i="4" s="1"/>
  <c r="AH162" i="2"/>
  <c r="C103" i="4" s="1"/>
  <c r="AH163" i="2"/>
  <c r="C63" i="4" s="1"/>
  <c r="J165" i="2"/>
  <c r="L165" i="2"/>
  <c r="N165" i="2"/>
  <c r="P165" i="2"/>
  <c r="R165" i="2"/>
  <c r="T165" i="2"/>
  <c r="V165" i="2"/>
  <c r="X165" i="2"/>
  <c r="Z165" i="2"/>
  <c r="AB165" i="2"/>
  <c r="AD165" i="2"/>
  <c r="AF165" i="2"/>
  <c r="AH168" i="2"/>
  <c r="AH169" i="2"/>
  <c r="AH170" i="2"/>
  <c r="C274" i="4" s="1"/>
  <c r="AH171" i="2"/>
  <c r="C204" i="4" s="1"/>
  <c r="AH172" i="2"/>
  <c r="AH173" i="2"/>
  <c r="AH174" i="2"/>
  <c r="C119" i="4" s="1"/>
  <c r="AH175" i="2"/>
  <c r="C212" i="4" s="1"/>
  <c r="AH176" i="2"/>
  <c r="C194" i="4" s="1"/>
  <c r="AH177" i="2"/>
  <c r="C120" i="4" s="1"/>
  <c r="AH178" i="2"/>
  <c r="C121" i="4" s="1"/>
  <c r="J180" i="2"/>
  <c r="L180" i="2"/>
  <c r="N180" i="2"/>
  <c r="P180" i="2"/>
  <c r="R180" i="2"/>
  <c r="T180" i="2"/>
  <c r="V180" i="2"/>
  <c r="X180" i="2"/>
  <c r="Z180" i="2"/>
  <c r="AB180" i="2"/>
  <c r="AD180" i="2"/>
  <c r="AF180" i="2"/>
  <c r="AH183" i="2"/>
  <c r="C31" i="4" s="1"/>
  <c r="AH184" i="2"/>
  <c r="C32" i="4" s="1"/>
  <c r="AH185" i="2"/>
  <c r="C281" i="4" s="1"/>
  <c r="AH186" i="2"/>
  <c r="C189" i="4" s="1"/>
  <c r="AH187" i="2"/>
  <c r="C280" i="4" s="1"/>
  <c r="AH188" i="2"/>
  <c r="C77" i="4" s="1"/>
  <c r="AH189" i="2"/>
  <c r="C122" i="4" s="1"/>
  <c r="AH190" i="2"/>
  <c r="C267" i="4" s="1"/>
  <c r="AH191" i="2"/>
  <c r="C257" i="4" s="1"/>
  <c r="AH192" i="2"/>
  <c r="C173" i="4" s="1"/>
  <c r="AH193" i="2"/>
  <c r="C264" i="4" s="1"/>
  <c r="AH194" i="2"/>
  <c r="C155" i="4" s="1"/>
  <c r="J196" i="2"/>
  <c r="L196" i="2"/>
  <c r="N196" i="2"/>
  <c r="P196" i="2"/>
  <c r="R196" i="2"/>
  <c r="T196" i="2"/>
  <c r="V196" i="2"/>
  <c r="X196" i="2"/>
  <c r="Z196" i="2"/>
  <c r="AB196" i="2"/>
  <c r="AD196" i="2"/>
  <c r="AF196" i="2"/>
  <c r="J200" i="2"/>
  <c r="L200" i="2"/>
  <c r="N200" i="2"/>
  <c r="P200" i="2"/>
  <c r="R200" i="2"/>
  <c r="T200" i="2"/>
  <c r="V200" i="2"/>
  <c r="X200" i="2"/>
  <c r="Z200" i="2"/>
  <c r="AB200" i="2"/>
  <c r="AD200" i="2"/>
  <c r="AF200" i="2"/>
  <c r="AH200" i="2"/>
  <c r="AH203" i="2"/>
  <c r="C146" i="4" s="1"/>
  <c r="AH204" i="2"/>
  <c r="C147" i="4" s="1"/>
  <c r="AH205" i="2"/>
  <c r="C148" i="4" s="1"/>
  <c r="AH206" i="2"/>
  <c r="C152" i="4" s="1"/>
  <c r="AH207" i="2"/>
  <c r="C153" i="4" s="1"/>
  <c r="AH208" i="2"/>
  <c r="C66" i="4" s="1"/>
  <c r="AH209" i="2"/>
  <c r="C154" i="4" s="1"/>
  <c r="J211" i="2"/>
  <c r="L211" i="2"/>
  <c r="N211" i="2"/>
  <c r="P211" i="2"/>
  <c r="R211" i="2"/>
  <c r="T211" i="2"/>
  <c r="V211" i="2"/>
  <c r="X211" i="2"/>
  <c r="Z211" i="2"/>
  <c r="AB211" i="2"/>
  <c r="AD211" i="2"/>
  <c r="AF211" i="2"/>
  <c r="AH213" i="2"/>
  <c r="C253" i="4" s="1"/>
  <c r="J215" i="2"/>
  <c r="L215" i="2"/>
  <c r="N215" i="2"/>
  <c r="P215" i="2"/>
  <c r="R215" i="2"/>
  <c r="T215" i="2"/>
  <c r="V215" i="2"/>
  <c r="X215" i="2"/>
  <c r="Z215" i="2"/>
  <c r="AB215" i="2"/>
  <c r="AD215" i="2"/>
  <c r="AF215" i="2"/>
  <c r="J217" i="2"/>
  <c r="R217" i="2"/>
  <c r="Z217" i="2"/>
  <c r="AH222" i="2"/>
  <c r="AH223" i="2"/>
  <c r="C275" i="4" s="1"/>
  <c r="AH224" i="2"/>
  <c r="C133" i="4" s="1"/>
  <c r="AH225" i="2"/>
  <c r="U340" i="12" s="1"/>
  <c r="AH226" i="2"/>
  <c r="AH227" i="2"/>
  <c r="C213" i="4" s="1"/>
  <c r="AH228" i="2"/>
  <c r="C136" i="4" s="1"/>
  <c r="AH229" i="2"/>
  <c r="C135" i="4" s="1"/>
  <c r="AH230" i="2"/>
  <c r="C142" i="4" s="1"/>
  <c r="J232" i="2"/>
  <c r="L232" i="2"/>
  <c r="N232" i="2"/>
  <c r="P232" i="2"/>
  <c r="R232" i="2"/>
  <c r="T232" i="2"/>
  <c r="V232" i="2"/>
  <c r="X232" i="2"/>
  <c r="Z232" i="2"/>
  <c r="AB232" i="2"/>
  <c r="AD232" i="2"/>
  <c r="AF232" i="2"/>
  <c r="AH232" i="2"/>
  <c r="AH235" i="2"/>
  <c r="AH236" i="2"/>
  <c r="AH237" i="2"/>
  <c r="AH238" i="2"/>
  <c r="AH239" i="2"/>
  <c r="AH240" i="2"/>
  <c r="C164" i="4" s="1"/>
  <c r="AH241" i="2"/>
  <c r="C276" i="4" s="1"/>
  <c r="AH242" i="2"/>
  <c r="C205" i="4" s="1"/>
  <c r="AH243" i="2"/>
  <c r="AH244" i="2"/>
  <c r="AH245" i="2"/>
  <c r="C220" i="4" s="1"/>
  <c r="AH246" i="2"/>
  <c r="C221" i="4" s="1"/>
  <c r="AH247" i="2"/>
  <c r="C222" i="4" s="1"/>
  <c r="AH248" i="2"/>
  <c r="C223" i="4" s="1"/>
  <c r="AH249" i="2"/>
  <c r="C224" i="4" s="1"/>
  <c r="G224" i="4" s="1"/>
  <c r="AH250" i="2"/>
  <c r="C225" i="4" s="1"/>
  <c r="G225" i="4" s="1"/>
  <c r="AH251" i="2"/>
  <c r="C214" i="4" s="1"/>
  <c r="AH252" i="2"/>
  <c r="C226" i="4" s="1"/>
  <c r="AH253" i="2"/>
  <c r="C190" i="4" s="1"/>
  <c r="AH254" i="2"/>
  <c r="C195" i="4" s="1"/>
  <c r="AH255" i="2"/>
  <c r="C196" i="4" s="1"/>
  <c r="AH256" i="2"/>
  <c r="C197" i="4" s="1"/>
  <c r="AH257" i="2"/>
  <c r="C283" i="4" s="1"/>
  <c r="AH258" i="2"/>
  <c r="C174" i="4" s="1"/>
  <c r="AH259" i="2"/>
  <c r="C227" i="4" s="1"/>
  <c r="AH260" i="2"/>
  <c r="C228" i="4" s="1"/>
  <c r="AH261" i="2"/>
  <c r="C229" i="4" s="1"/>
  <c r="AH262" i="2"/>
  <c r="C230" i="4" s="1"/>
  <c r="G230" i="4" s="1"/>
  <c r="AH263" i="2"/>
  <c r="C231" i="4" s="1"/>
  <c r="AH264" i="2"/>
  <c r="C232" i="4" s="1"/>
  <c r="AH265" i="2"/>
  <c r="C233" i="4" s="1"/>
  <c r="AH266" i="2"/>
  <c r="C234" i="4" s="1"/>
  <c r="AH267" i="2"/>
  <c r="AH268" i="2"/>
  <c r="C175" i="4" s="1"/>
  <c r="AH269" i="2"/>
  <c r="C177" i="4" s="1"/>
  <c r="AH270" i="2"/>
  <c r="C178" i="4" s="1"/>
  <c r="AH271" i="2"/>
  <c r="C179" i="4" s="1"/>
  <c r="AH272" i="2"/>
  <c r="C143" i="4" s="1"/>
  <c r="AH273" i="2"/>
  <c r="C235" i="4" s="1"/>
  <c r="AH274" i="2"/>
  <c r="C186" i="4" s="1"/>
  <c r="AH275" i="2"/>
  <c r="C236" i="4" s="1"/>
  <c r="AH276" i="2"/>
  <c r="C180" i="4" s="1"/>
  <c r="AH277" i="2"/>
  <c r="C181" i="4" s="1"/>
  <c r="AH278" i="2"/>
  <c r="C217" i="4" s="1"/>
  <c r="AH279" i="2"/>
  <c r="C182" i="4" s="1"/>
  <c r="AH280" i="2"/>
  <c r="C238" i="4" s="1"/>
  <c r="AH281" i="2"/>
  <c r="C237" i="4" s="1"/>
  <c r="AH282" i="2"/>
  <c r="C239" i="4" s="1"/>
  <c r="AH283" i="2"/>
  <c r="C240" i="4" s="1"/>
  <c r="AH284" i="2"/>
  <c r="C183" i="4" s="1"/>
  <c r="AH285" i="2"/>
  <c r="J287" i="2"/>
  <c r="L287" i="2"/>
  <c r="N287" i="2"/>
  <c r="P287" i="2"/>
  <c r="R287" i="2"/>
  <c r="T287" i="2"/>
  <c r="V287" i="2"/>
  <c r="X287" i="2"/>
  <c r="Z287" i="2"/>
  <c r="AB287" i="2"/>
  <c r="AD287" i="2"/>
  <c r="AF287" i="2"/>
  <c r="AH287" i="2"/>
  <c r="AH289" i="2"/>
  <c r="C169" i="4" s="1"/>
  <c r="J291" i="2"/>
  <c r="L291" i="2"/>
  <c r="N291" i="2"/>
  <c r="P291" i="2"/>
  <c r="P293" i="2" s="1"/>
  <c r="R291" i="2"/>
  <c r="T291" i="2"/>
  <c r="V291" i="2"/>
  <c r="X291" i="2"/>
  <c r="X293" i="2" s="1"/>
  <c r="Z291" i="2"/>
  <c r="AB291" i="2"/>
  <c r="AD291" i="2"/>
  <c r="AF291" i="2"/>
  <c r="AF293" i="2" s="1"/>
  <c r="L293" i="2"/>
  <c r="AB293" i="2"/>
  <c r="AH300" i="2"/>
  <c r="C244" i="4" s="1"/>
  <c r="AH301" i="2"/>
  <c r="C245" i="4" s="1"/>
  <c r="AH302" i="2"/>
  <c r="C247" i="4" s="1"/>
  <c r="AH303" i="2"/>
  <c r="C249" i="4" s="1"/>
  <c r="J305" i="2"/>
  <c r="L305" i="2"/>
  <c r="N305" i="2"/>
  <c r="O305" i="2"/>
  <c r="P305" i="2"/>
  <c r="R305" i="2"/>
  <c r="T305" i="2"/>
  <c r="U305" i="2"/>
  <c r="V305" i="2"/>
  <c r="X305" i="2"/>
  <c r="Z305" i="2"/>
  <c r="AA305" i="2"/>
  <c r="AB305" i="2"/>
  <c r="AD305" i="2"/>
  <c r="AF305" i="2"/>
  <c r="AG305" i="2"/>
  <c r="AH307" i="2"/>
  <c r="J309" i="2"/>
  <c r="L309" i="2"/>
  <c r="N309" i="2"/>
  <c r="O309" i="2"/>
  <c r="P309" i="2"/>
  <c r="R309" i="2"/>
  <c r="T309" i="2"/>
  <c r="U309" i="2"/>
  <c r="V309" i="2"/>
  <c r="X309" i="2"/>
  <c r="Z309" i="2"/>
  <c r="AA309" i="2"/>
  <c r="AB309" i="2"/>
  <c r="AD309" i="2"/>
  <c r="AF309" i="2"/>
  <c r="AG309" i="2"/>
  <c r="AH311" i="2"/>
  <c r="C286" i="4" s="1"/>
  <c r="J313" i="2"/>
  <c r="L313" i="2"/>
  <c r="N313" i="2"/>
  <c r="O313" i="2"/>
  <c r="P313" i="2"/>
  <c r="R313" i="2"/>
  <c r="T313" i="2"/>
  <c r="U313" i="2"/>
  <c r="V313" i="2"/>
  <c r="X313" i="2"/>
  <c r="Z313" i="2"/>
  <c r="AA313" i="2"/>
  <c r="AB313" i="2"/>
  <c r="AD313" i="2"/>
  <c r="AF313" i="2"/>
  <c r="AG313" i="2"/>
  <c r="O315" i="2"/>
  <c r="U315" i="2"/>
  <c r="AA315" i="2"/>
  <c r="AG315" i="2"/>
  <c r="O317" i="2"/>
  <c r="U317" i="2"/>
  <c r="AA317" i="2"/>
  <c r="AG317" i="2"/>
  <c r="AH319" i="2"/>
  <c r="AH321" i="2" s="1"/>
  <c r="J321" i="2"/>
  <c r="L321" i="2"/>
  <c r="N321" i="2"/>
  <c r="O321" i="2"/>
  <c r="P321" i="2"/>
  <c r="R321" i="2"/>
  <c r="T321" i="2"/>
  <c r="U321" i="2"/>
  <c r="V321" i="2"/>
  <c r="X321" i="2"/>
  <c r="Z321" i="2"/>
  <c r="AA321" i="2"/>
  <c r="AB321" i="2"/>
  <c r="AD321" i="2"/>
  <c r="AF321" i="2"/>
  <c r="AG321" i="2"/>
  <c r="AH323" i="2"/>
  <c r="AH325" i="2" s="1"/>
  <c r="J325" i="2"/>
  <c r="L325" i="2"/>
  <c r="N325" i="2"/>
  <c r="O325" i="2"/>
  <c r="P325" i="2"/>
  <c r="R325" i="2"/>
  <c r="T325" i="2"/>
  <c r="U325" i="2"/>
  <c r="V325" i="2"/>
  <c r="X325" i="2"/>
  <c r="Z325" i="2"/>
  <c r="AA325" i="2"/>
  <c r="AB325" i="2"/>
  <c r="AD325" i="2"/>
  <c r="AF325" i="2"/>
  <c r="AG325" i="2"/>
  <c r="AH327" i="2"/>
  <c r="J329" i="2"/>
  <c r="L329" i="2"/>
  <c r="N329" i="2"/>
  <c r="O329" i="2"/>
  <c r="P329" i="2"/>
  <c r="R329" i="2"/>
  <c r="T329" i="2"/>
  <c r="U329" i="2"/>
  <c r="V329" i="2"/>
  <c r="X329" i="2"/>
  <c r="Z329" i="2"/>
  <c r="AA329" i="2"/>
  <c r="AB329" i="2"/>
  <c r="AD329" i="2"/>
  <c r="AF329" i="2"/>
  <c r="AG329" i="2"/>
  <c r="AH329" i="2"/>
  <c r="O331" i="2"/>
  <c r="U331" i="2"/>
  <c r="AA331" i="2"/>
  <c r="AG331" i="2"/>
  <c r="AH333" i="2"/>
  <c r="J335" i="2"/>
  <c r="L335" i="2"/>
  <c r="N335" i="2"/>
  <c r="O335" i="2"/>
  <c r="P335" i="2"/>
  <c r="R335" i="2"/>
  <c r="T335" i="2"/>
  <c r="U335" i="2"/>
  <c r="V335" i="2"/>
  <c r="X335" i="2"/>
  <c r="Z335" i="2"/>
  <c r="AA335" i="2"/>
  <c r="AB335" i="2"/>
  <c r="AD335" i="2"/>
  <c r="AF335" i="2"/>
  <c r="AG335" i="2"/>
  <c r="O337" i="2"/>
  <c r="U337" i="2"/>
  <c r="AA337" i="2"/>
  <c r="AG337" i="2"/>
  <c r="AH339" i="2"/>
  <c r="AH341" i="2" s="1"/>
  <c r="J341" i="2"/>
  <c r="L341" i="2"/>
  <c r="N341" i="2"/>
  <c r="O341" i="2"/>
  <c r="P341" i="2"/>
  <c r="R341" i="2"/>
  <c r="T341" i="2"/>
  <c r="U341" i="2"/>
  <c r="V341" i="2"/>
  <c r="X341" i="2"/>
  <c r="Z341" i="2"/>
  <c r="AA341" i="2"/>
  <c r="AB341" i="2"/>
  <c r="AD341" i="2"/>
  <c r="AF341" i="2"/>
  <c r="AG341" i="2"/>
  <c r="O343" i="2"/>
  <c r="U343" i="2"/>
  <c r="AA343" i="2"/>
  <c r="AG343" i="2"/>
  <c r="AH345" i="2"/>
  <c r="AH347" i="2" s="1"/>
  <c r="J347" i="2"/>
  <c r="L347" i="2"/>
  <c r="N347" i="2"/>
  <c r="O347" i="2"/>
  <c r="P347" i="2"/>
  <c r="R347" i="2"/>
  <c r="T347" i="2"/>
  <c r="U347" i="2"/>
  <c r="V347" i="2"/>
  <c r="X347" i="2"/>
  <c r="Z347" i="2"/>
  <c r="AA347" i="2"/>
  <c r="AB347" i="2"/>
  <c r="AD347" i="2"/>
  <c r="AF347" i="2"/>
  <c r="AG347" i="2"/>
  <c r="O349" i="2"/>
  <c r="U349" i="2"/>
  <c r="AA349" i="2"/>
  <c r="AG349" i="2"/>
  <c r="J353" i="2"/>
  <c r="L353" i="2"/>
  <c r="N353" i="2"/>
  <c r="P353" i="2"/>
  <c r="R353" i="2"/>
  <c r="T353" i="2"/>
  <c r="V353" i="2"/>
  <c r="X353" i="2"/>
  <c r="Z353" i="2"/>
  <c r="AB353" i="2"/>
  <c r="AD353" i="2"/>
  <c r="AF353" i="2"/>
  <c r="AH353" i="2"/>
  <c r="Y89" i="4" l="1"/>
  <c r="X90" i="4"/>
  <c r="L51" i="5"/>
  <c r="N38" i="5"/>
  <c r="J13" i="6"/>
  <c r="X248" i="4"/>
  <c r="P93" i="2"/>
  <c r="X93" i="2"/>
  <c r="AB93" i="2"/>
  <c r="L93" i="2"/>
  <c r="T293" i="2"/>
  <c r="AH215" i="2"/>
  <c r="AD93" i="2"/>
  <c r="V93" i="2"/>
  <c r="N93" i="2"/>
  <c r="AB315" i="2"/>
  <c r="V315" i="2"/>
  <c r="P315" i="2"/>
  <c r="J315" i="2"/>
  <c r="T93" i="2"/>
  <c r="AD61" i="2"/>
  <c r="V61" i="2"/>
  <c r="N61" i="2"/>
  <c r="AH313" i="2"/>
  <c r="AF315" i="2"/>
  <c r="Z315" i="2"/>
  <c r="T315" i="2"/>
  <c r="N315" i="2"/>
  <c r="AH87" i="2"/>
  <c r="AH80" i="2"/>
  <c r="AI80" i="2" s="1"/>
  <c r="AD217" i="2"/>
  <c r="V217" i="2"/>
  <c r="N217" i="2"/>
  <c r="AI13" i="2"/>
  <c r="AI19" i="2"/>
  <c r="AI24" i="2"/>
  <c r="AI31" i="2"/>
  <c r="AI41" i="2"/>
  <c r="AI53" i="2"/>
  <c r="AI83" i="2"/>
  <c r="AI85" i="2"/>
  <c r="AI115" i="2"/>
  <c r="AI213" i="2"/>
  <c r="AI235" i="2"/>
  <c r="AI237" i="2"/>
  <c r="AI239" i="2"/>
  <c r="AI241" i="2"/>
  <c r="AI243" i="2"/>
  <c r="AI245" i="2"/>
  <c r="AI247" i="2"/>
  <c r="AI249" i="2"/>
  <c r="AI251" i="2"/>
  <c r="AI253" i="2"/>
  <c r="AI255" i="2"/>
  <c r="AI257" i="2"/>
  <c r="AI259" i="2"/>
  <c r="AI261" i="2"/>
  <c r="AI263" i="2"/>
  <c r="AI265" i="2"/>
  <c r="AI267" i="2"/>
  <c r="AI269" i="2"/>
  <c r="AI271" i="2"/>
  <c r="AI273" i="2"/>
  <c r="AI275" i="2"/>
  <c r="AI277" i="2"/>
  <c r="AI279" i="2"/>
  <c r="AI281" i="2"/>
  <c r="AI283" i="2"/>
  <c r="AI285" i="2"/>
  <c r="AI327" i="2"/>
  <c r="AI15" i="2"/>
  <c r="AI20" i="2"/>
  <c r="AI25" i="2"/>
  <c r="AI37" i="2"/>
  <c r="AI42" i="2"/>
  <c r="AI56" i="2"/>
  <c r="AI74" i="2"/>
  <c r="AI76" i="2"/>
  <c r="AI78" i="2"/>
  <c r="AI121" i="2"/>
  <c r="AI123" i="2"/>
  <c r="AI125" i="2"/>
  <c r="AI127" i="2"/>
  <c r="AI129" i="2"/>
  <c r="AI131" i="2"/>
  <c r="AI133" i="2"/>
  <c r="AI135" i="2"/>
  <c r="AI137" i="2"/>
  <c r="AI139" i="2"/>
  <c r="AI141" i="2"/>
  <c r="AI222" i="2"/>
  <c r="AI224" i="2"/>
  <c r="AI226" i="2"/>
  <c r="AI228" i="2"/>
  <c r="AI230" i="2"/>
  <c r="AI319" i="2"/>
  <c r="AI339" i="2"/>
  <c r="AI11" i="2"/>
  <c r="AI16" i="2"/>
  <c r="AI21" i="2"/>
  <c r="AI27" i="2"/>
  <c r="AI38" i="2"/>
  <c r="AI49" i="2"/>
  <c r="AI59" i="2"/>
  <c r="AI61" i="2"/>
  <c r="AI69" i="2"/>
  <c r="AI84" i="2"/>
  <c r="AI236" i="2"/>
  <c r="AI238" i="2"/>
  <c r="AI240" i="2"/>
  <c r="AI242" i="2"/>
  <c r="AI244" i="2"/>
  <c r="AI246" i="2"/>
  <c r="AI248" i="2"/>
  <c r="AI250" i="2"/>
  <c r="AI252" i="2"/>
  <c r="AI254" i="2"/>
  <c r="AI256" i="2"/>
  <c r="AI258" i="2"/>
  <c r="AI260" i="2"/>
  <c r="AI262" i="2"/>
  <c r="AI264" i="2"/>
  <c r="AI266" i="2"/>
  <c r="AI268" i="2"/>
  <c r="AI270" i="2"/>
  <c r="AI272" i="2"/>
  <c r="AI274" i="2"/>
  <c r="AI276" i="2"/>
  <c r="AI278" i="2"/>
  <c r="AI280" i="2"/>
  <c r="AI282" i="2"/>
  <c r="AI284" i="2"/>
  <c r="AI307" i="2"/>
  <c r="AI12" i="2"/>
  <c r="AI17" i="2"/>
  <c r="AI23" i="2"/>
  <c r="AI29" i="2"/>
  <c r="AI39" i="2"/>
  <c r="AI51" i="2"/>
  <c r="AI75" i="2"/>
  <c r="AI77" i="2"/>
  <c r="AI120" i="2"/>
  <c r="AI122" i="2"/>
  <c r="AI124" i="2"/>
  <c r="AI126" i="2"/>
  <c r="AI128" i="2"/>
  <c r="AI130" i="2"/>
  <c r="AI132" i="2"/>
  <c r="AI134" i="2"/>
  <c r="AI136" i="2"/>
  <c r="AI138" i="2"/>
  <c r="AI140" i="2"/>
  <c r="AI142" i="2"/>
  <c r="AI200" i="2"/>
  <c r="AI223" i="2"/>
  <c r="AI225" i="2"/>
  <c r="AI227" i="2"/>
  <c r="AI229" i="2"/>
  <c r="AI333" i="2"/>
  <c r="V293" i="2"/>
  <c r="N293" i="2"/>
  <c r="AI172" i="2"/>
  <c r="AI168" i="2"/>
  <c r="AI148" i="2"/>
  <c r="AI100" i="2"/>
  <c r="AI71" i="2"/>
  <c r="AB61" i="2"/>
  <c r="T61" i="2"/>
  <c r="T95" i="2" s="1"/>
  <c r="L61" i="2"/>
  <c r="L95" i="2" s="1"/>
  <c r="AI347" i="2"/>
  <c r="AI325" i="2"/>
  <c r="AH309" i="2"/>
  <c r="AI309" i="2" s="1"/>
  <c r="AD293" i="2"/>
  <c r="AI341" i="2"/>
  <c r="AI329" i="2"/>
  <c r="AI321" i="2"/>
  <c r="AD315" i="2"/>
  <c r="X315" i="2"/>
  <c r="R315" i="2"/>
  <c r="AH305" i="2"/>
  <c r="AI232" i="2"/>
  <c r="Z293" i="2"/>
  <c r="R293" i="2"/>
  <c r="J293" i="2"/>
  <c r="AI155" i="2"/>
  <c r="AI147" i="2"/>
  <c r="AF217" i="2"/>
  <c r="X217" i="2"/>
  <c r="P217" i="2"/>
  <c r="AI99" i="2"/>
  <c r="AI89" i="2"/>
  <c r="AI215" i="2"/>
  <c r="AI154" i="2"/>
  <c r="AI150" i="2"/>
  <c r="AI117" i="2"/>
  <c r="AI106" i="2"/>
  <c r="AI98" i="2"/>
  <c r="AI87" i="2"/>
  <c r="Z93" i="2"/>
  <c r="R93" i="2"/>
  <c r="J93" i="2"/>
  <c r="AI313" i="2"/>
  <c r="AI287" i="2"/>
  <c r="AI173" i="2"/>
  <c r="AI169" i="2"/>
  <c r="AB217" i="2"/>
  <c r="T217" i="2"/>
  <c r="T219" i="2" s="1"/>
  <c r="T296" i="2" s="1"/>
  <c r="L217" i="2"/>
  <c r="AI149" i="2"/>
  <c r="AI144" i="2"/>
  <c r="AI105" i="2"/>
  <c r="AI101" i="2"/>
  <c r="Z61" i="2"/>
  <c r="R61" i="2"/>
  <c r="J61" i="2"/>
  <c r="AF61" i="2"/>
  <c r="X61" i="2"/>
  <c r="X95" i="2" s="1"/>
  <c r="X219" i="2" s="1"/>
  <c r="X296" i="2" s="1"/>
  <c r="P61" i="2"/>
  <c r="P95" i="2" s="1"/>
  <c r="N46" i="5"/>
  <c r="N87" i="4"/>
  <c r="Y74" i="35"/>
  <c r="E248" i="31"/>
  <c r="Y90" i="4"/>
  <c r="X89" i="4"/>
  <c r="X26" i="6"/>
  <c r="J248" i="31"/>
  <c r="O46" i="31"/>
  <c r="O47" i="31" s="1"/>
  <c r="Q7" i="5"/>
  <c r="P7" i="5"/>
  <c r="G126" i="4"/>
  <c r="G129" i="4" s="1"/>
  <c r="G87" i="4"/>
  <c r="G97" i="4" s="1"/>
  <c r="D39" i="6"/>
  <c r="S27" i="6" s="1"/>
  <c r="X27" i="6" s="1"/>
  <c r="J18" i="6"/>
  <c r="R19" i="6" s="1"/>
  <c r="X19" i="6" s="1"/>
  <c r="AH50" i="40"/>
  <c r="N36" i="5"/>
  <c r="F90" i="31"/>
  <c r="E90" i="31"/>
  <c r="G90" i="31"/>
  <c r="N40" i="5"/>
  <c r="D27" i="5"/>
  <c r="G27" i="5"/>
  <c r="C27" i="5"/>
  <c r="E15" i="31"/>
  <c r="E127" i="31" s="1"/>
  <c r="E129" i="31" s="1"/>
  <c r="T9" i="4"/>
  <c r="D11" i="31"/>
  <c r="D13" i="31"/>
  <c r="E12" i="31"/>
  <c r="J12" i="31" s="1"/>
  <c r="J126" i="31"/>
  <c r="K126" i="31" s="1"/>
  <c r="J89" i="31"/>
  <c r="P24" i="4"/>
  <c r="N284" i="4"/>
  <c r="P20" i="4"/>
  <c r="P22" i="4"/>
  <c r="G167" i="4"/>
  <c r="AB95" i="2"/>
  <c r="AB219" i="2" s="1"/>
  <c r="AB296" i="2" s="1"/>
  <c r="L219" i="2"/>
  <c r="L296" i="2" s="1"/>
  <c r="X279" i="4"/>
  <c r="R15" i="6"/>
  <c r="X15" i="6" s="1"/>
  <c r="G12" i="4"/>
  <c r="AD95" i="2"/>
  <c r="AD219" i="2" s="1"/>
  <c r="AD296" i="2" s="1"/>
  <c r="B44" i="13"/>
  <c r="D44" i="13" s="1"/>
  <c r="H10" i="5"/>
  <c r="C33" i="5" s="1"/>
  <c r="V95" i="2"/>
  <c r="V219" i="2" s="1"/>
  <c r="V296" i="2" s="1"/>
  <c r="AI305" i="2"/>
  <c r="AH315" i="2"/>
  <c r="AI315" i="2" s="1"/>
  <c r="N95" i="2"/>
  <c r="N219" i="2" s="1"/>
  <c r="N296" i="2" s="1"/>
  <c r="AF95" i="2"/>
  <c r="AF219" i="2" s="1"/>
  <c r="AF296" i="2" s="1"/>
  <c r="P219" i="2"/>
  <c r="P296" i="2" s="1"/>
  <c r="L315" i="2"/>
  <c r="AI345" i="2"/>
  <c r="AH335" i="2"/>
  <c r="AI335" i="2" s="1"/>
  <c r="AI323" i="2"/>
  <c r="AI303" i="2"/>
  <c r="AI301" i="2"/>
  <c r="AH291" i="2"/>
  <c r="AI291" i="2" s="1"/>
  <c r="M183" i="4"/>
  <c r="O183" i="4" s="1"/>
  <c r="S183" i="4" s="1"/>
  <c r="E183" i="4"/>
  <c r="E239" i="4"/>
  <c r="M239" i="4"/>
  <c r="O239" i="4" s="1"/>
  <c r="S239" i="4" s="1"/>
  <c r="G238" i="4"/>
  <c r="M238" i="4" s="1"/>
  <c r="O238" i="4" s="1"/>
  <c r="S238" i="4" s="1"/>
  <c r="E238" i="4"/>
  <c r="B66" i="6"/>
  <c r="C68" i="6" s="1"/>
  <c r="V42" i="6" s="1"/>
  <c r="E217" i="4"/>
  <c r="E218" i="4" s="1"/>
  <c r="C218" i="4"/>
  <c r="M180" i="4"/>
  <c r="O180" i="4" s="1"/>
  <c r="S180" i="4" s="1"/>
  <c r="E180" i="4"/>
  <c r="C187" i="4"/>
  <c r="E186" i="4"/>
  <c r="E187" i="4" s="1"/>
  <c r="M186" i="4"/>
  <c r="E143" i="4"/>
  <c r="M143" i="4"/>
  <c r="O143" i="4" s="1"/>
  <c r="M178" i="4"/>
  <c r="O178" i="4" s="1"/>
  <c r="S178" i="4" s="1"/>
  <c r="E178" i="4"/>
  <c r="E175" i="4"/>
  <c r="M175" i="4"/>
  <c r="O175" i="4" s="1"/>
  <c r="S175" i="4" s="1"/>
  <c r="E234" i="4"/>
  <c r="M234" i="4"/>
  <c r="O234" i="4" s="1"/>
  <c r="S234" i="4" s="1"/>
  <c r="E232" i="4"/>
  <c r="M232" i="4"/>
  <c r="O232" i="4" s="1"/>
  <c r="S232" i="4" s="1"/>
  <c r="E230" i="4"/>
  <c r="M230" i="4"/>
  <c r="O230" i="4" s="1"/>
  <c r="S230" i="4" s="1"/>
  <c r="E228" i="4"/>
  <c r="M228" i="4"/>
  <c r="O228" i="4" s="1"/>
  <c r="S228" i="4" s="1"/>
  <c r="E174" i="4"/>
  <c r="M174" i="4"/>
  <c r="O174" i="4" s="1"/>
  <c r="S174" i="4" s="1"/>
  <c r="E197" i="4"/>
  <c r="M197" i="4"/>
  <c r="O197" i="4" s="1"/>
  <c r="S197" i="4" s="1"/>
  <c r="E195" i="4"/>
  <c r="M195" i="4"/>
  <c r="O195" i="4" s="1"/>
  <c r="M226" i="4"/>
  <c r="O226" i="4" s="1"/>
  <c r="S226" i="4" s="1"/>
  <c r="E226" i="4"/>
  <c r="E225" i="4"/>
  <c r="E223" i="4"/>
  <c r="M223" i="4"/>
  <c r="O223" i="4" s="1"/>
  <c r="S223" i="4" s="1"/>
  <c r="E221" i="4"/>
  <c r="M221" i="4"/>
  <c r="O221" i="4" s="1"/>
  <c r="U375" i="12"/>
  <c r="C166" i="4"/>
  <c r="M205" i="4"/>
  <c r="O205" i="4" s="1"/>
  <c r="S205" i="4" s="1"/>
  <c r="E205" i="4"/>
  <c r="E164" i="4"/>
  <c r="M164" i="4"/>
  <c r="O164" i="4" s="1"/>
  <c r="S164" i="4" s="1"/>
  <c r="U372" i="12"/>
  <c r="C162" i="4"/>
  <c r="U370" i="12"/>
  <c r="C159" i="4"/>
  <c r="E135" i="4"/>
  <c r="M135" i="4"/>
  <c r="O135" i="4" s="1"/>
  <c r="S135" i="4" s="1"/>
  <c r="E213" i="4"/>
  <c r="M213" i="4"/>
  <c r="O213" i="4" s="1"/>
  <c r="S213" i="4" s="1"/>
  <c r="E275" i="4"/>
  <c r="M275" i="4"/>
  <c r="O275" i="4" s="1"/>
  <c r="S275" i="4" s="1"/>
  <c r="AI209" i="2"/>
  <c r="AI207" i="2"/>
  <c r="AI205" i="2"/>
  <c r="AI203" i="2"/>
  <c r="AH196" i="2"/>
  <c r="AI196" i="2" s="1"/>
  <c r="AI193" i="2"/>
  <c r="AI191" i="2"/>
  <c r="AI189" i="2"/>
  <c r="AI187" i="2"/>
  <c r="AI185" i="2"/>
  <c r="AI183" i="2"/>
  <c r="AI178" i="2"/>
  <c r="AI176" i="2"/>
  <c r="AI174" i="2"/>
  <c r="AI170" i="2"/>
  <c r="AI163" i="2"/>
  <c r="AI161" i="2"/>
  <c r="AI159" i="2"/>
  <c r="AI157" i="2"/>
  <c r="AI153" i="2"/>
  <c r="AI151" i="2"/>
  <c r="E172" i="4"/>
  <c r="C184" i="4"/>
  <c r="M172" i="4"/>
  <c r="E193" i="4"/>
  <c r="M193" i="4"/>
  <c r="C198" i="4"/>
  <c r="E105" i="4"/>
  <c r="M105" i="4"/>
  <c r="O105" i="4" s="1"/>
  <c r="S105" i="4" s="1"/>
  <c r="E102" i="4"/>
  <c r="M102" i="4"/>
  <c r="C107" i="4"/>
  <c r="E56" i="4"/>
  <c r="M56" i="4"/>
  <c r="O56" i="4" s="1"/>
  <c r="S56" i="4" s="1"/>
  <c r="E210" i="4"/>
  <c r="M210" i="4"/>
  <c r="O210" i="4" s="1"/>
  <c r="S210" i="4" s="1"/>
  <c r="M74" i="4"/>
  <c r="C79" i="4"/>
  <c r="E74" i="4"/>
  <c r="U303" i="12"/>
  <c r="C41" i="4"/>
  <c r="E272" i="4"/>
  <c r="M272" i="4"/>
  <c r="O272" i="4" s="1"/>
  <c r="S272" i="4" s="1"/>
  <c r="U301" i="12"/>
  <c r="C39" i="4"/>
  <c r="U299" i="12"/>
  <c r="C37" i="4"/>
  <c r="AI111" i="2"/>
  <c r="AI109" i="2"/>
  <c r="AI107" i="2"/>
  <c r="AI103" i="2"/>
  <c r="AH91" i="2"/>
  <c r="AI91" i="2" s="1"/>
  <c r="E112" i="4"/>
  <c r="M112" i="4"/>
  <c r="O112" i="4" s="1"/>
  <c r="S112" i="4" s="1"/>
  <c r="V112" i="4" s="1"/>
  <c r="M260" i="4"/>
  <c r="C261" i="4"/>
  <c r="E260" i="4"/>
  <c r="E261" i="4" s="1"/>
  <c r="E110" i="4"/>
  <c r="M110" i="4"/>
  <c r="O110" i="4" s="1"/>
  <c r="S110" i="4" s="1"/>
  <c r="AI65" i="2"/>
  <c r="AI57" i="2"/>
  <c r="AI47" i="2"/>
  <c r="AI44" i="2"/>
  <c r="AI40" i="2"/>
  <c r="AI36" i="2"/>
  <c r="AI33" i="2"/>
  <c r="AI26" i="2"/>
  <c r="AI22" i="2"/>
  <c r="AI18" i="2"/>
  <c r="AI14" i="2"/>
  <c r="AI8" i="2"/>
  <c r="H54" i="5"/>
  <c r="B42" i="13"/>
  <c r="D42" i="13" s="1"/>
  <c r="D45" i="13" s="1"/>
  <c r="D47" i="13" s="1"/>
  <c r="J176" i="4" s="1"/>
  <c r="C19" i="5"/>
  <c r="R6" i="5" s="1"/>
  <c r="H6" i="5"/>
  <c r="G24" i="5"/>
  <c r="C24" i="5"/>
  <c r="E24" i="5"/>
  <c r="F24" i="5"/>
  <c r="Q109" i="4"/>
  <c r="Q124" i="4" s="1"/>
  <c r="N124" i="4"/>
  <c r="Q81" i="4"/>
  <c r="Q85" i="4" s="1"/>
  <c r="N85" i="4"/>
  <c r="Q67" i="4"/>
  <c r="O67" i="4"/>
  <c r="D27" i="4"/>
  <c r="C72" i="6"/>
  <c r="C74" i="6" s="1"/>
  <c r="C78" i="6" s="1"/>
  <c r="B26" i="13"/>
  <c r="B28" i="13" s="1"/>
  <c r="B37" i="13"/>
  <c r="J271" i="4"/>
  <c r="J277" i="4" s="1"/>
  <c r="N187" i="4"/>
  <c r="Q186" i="4"/>
  <c r="Q187" i="4" s="1"/>
  <c r="R13" i="6"/>
  <c r="X13" i="6" s="1"/>
  <c r="G10" i="4"/>
  <c r="N261" i="4"/>
  <c r="Q260" i="4"/>
  <c r="Q261" i="4" s="1"/>
  <c r="N43" i="4"/>
  <c r="Q36" i="4"/>
  <c r="Q43" i="4" s="1"/>
  <c r="Q282" i="4"/>
  <c r="O282" i="4"/>
  <c r="Q244" i="4"/>
  <c r="Q254" i="4" s="1"/>
  <c r="N254" i="4"/>
  <c r="I17" i="6"/>
  <c r="E14" i="4"/>
  <c r="Q126" i="4"/>
  <c r="Q129" i="4" s="1"/>
  <c r="N129" i="4"/>
  <c r="Q208" i="4"/>
  <c r="Q215" i="4" s="1"/>
  <c r="N215" i="4"/>
  <c r="P19" i="4"/>
  <c r="AF228" i="3"/>
  <c r="AF247" i="3"/>
  <c r="AF261" i="3" s="1"/>
  <c r="AF267" i="3" s="1"/>
  <c r="AF273" i="3" s="1"/>
  <c r="AF279" i="3" s="1"/>
  <c r="AF288" i="3" s="1"/>
  <c r="AF289" i="3" s="1"/>
  <c r="L247" i="3"/>
  <c r="L261" i="3" s="1"/>
  <c r="L267" i="3" s="1"/>
  <c r="L273" i="3" s="1"/>
  <c r="L279" i="3" s="1"/>
  <c r="L228" i="3"/>
  <c r="E249" i="4"/>
  <c r="E245" i="4"/>
  <c r="E154" i="4"/>
  <c r="M154" i="4"/>
  <c r="O154" i="4" s="1"/>
  <c r="S154" i="4" s="1"/>
  <c r="E153" i="4"/>
  <c r="M153" i="4"/>
  <c r="O153" i="4" s="1"/>
  <c r="S153" i="4" s="1"/>
  <c r="M148" i="4"/>
  <c r="O148" i="4" s="1"/>
  <c r="S148" i="4" s="1"/>
  <c r="E148" i="4"/>
  <c r="M146" i="4"/>
  <c r="C150" i="4"/>
  <c r="E146" i="4"/>
  <c r="E264" i="4"/>
  <c r="M264" i="4"/>
  <c r="O264" i="4" s="1"/>
  <c r="S264" i="4" s="1"/>
  <c r="E257" i="4"/>
  <c r="M257" i="4"/>
  <c r="O257" i="4" s="1"/>
  <c r="E122" i="4"/>
  <c r="M122" i="4"/>
  <c r="O122" i="4" s="1"/>
  <c r="S122" i="4" s="1"/>
  <c r="E280" i="4"/>
  <c r="C284" i="4"/>
  <c r="M280" i="4"/>
  <c r="E281" i="4"/>
  <c r="M281" i="4"/>
  <c r="O281" i="4" s="1"/>
  <c r="S281" i="4" s="1"/>
  <c r="M31" i="4"/>
  <c r="C34" i="4"/>
  <c r="E31" i="4"/>
  <c r="E121" i="4"/>
  <c r="M121" i="4"/>
  <c r="O121" i="4" s="1"/>
  <c r="S121" i="4" s="1"/>
  <c r="E194" i="4"/>
  <c r="M194" i="4"/>
  <c r="O194" i="4" s="1"/>
  <c r="S194" i="4" s="1"/>
  <c r="E119" i="4"/>
  <c r="M119" i="4"/>
  <c r="O119" i="4" s="1"/>
  <c r="S119" i="4" s="1"/>
  <c r="U357" i="12"/>
  <c r="C83" i="4"/>
  <c r="M274" i="4"/>
  <c r="O274" i="4" s="1"/>
  <c r="S274" i="4" s="1"/>
  <c r="E274" i="4"/>
  <c r="U352" i="12"/>
  <c r="C81" i="4"/>
  <c r="M63" i="4"/>
  <c r="O63" i="4" s="1"/>
  <c r="S63" i="4" s="1"/>
  <c r="E63" i="4"/>
  <c r="E58" i="4"/>
  <c r="M58" i="4"/>
  <c r="O58" i="4" s="1"/>
  <c r="S58" i="4" s="1"/>
  <c r="M118" i="4"/>
  <c r="O118" i="4" s="1"/>
  <c r="S118" i="4" s="1"/>
  <c r="E118" i="4"/>
  <c r="U394" i="12"/>
  <c r="C51" i="4"/>
  <c r="M203" i="4"/>
  <c r="O203" i="4" s="1"/>
  <c r="S203" i="4" s="1"/>
  <c r="E203" i="4"/>
  <c r="E49" i="4"/>
  <c r="M49" i="4"/>
  <c r="O49" i="4" s="1"/>
  <c r="S49" i="4" s="1"/>
  <c r="U391" i="12"/>
  <c r="C47" i="4"/>
  <c r="U389" i="12"/>
  <c r="C45" i="4"/>
  <c r="E209" i="4"/>
  <c r="M209" i="4"/>
  <c r="O209" i="4" s="1"/>
  <c r="S209" i="4" s="1"/>
  <c r="M208" i="4"/>
  <c r="E208" i="4"/>
  <c r="C215" i="4"/>
  <c r="M114" i="4"/>
  <c r="O114" i="4" s="1"/>
  <c r="S114" i="4" s="1"/>
  <c r="E114" i="4"/>
  <c r="U285" i="12"/>
  <c r="C95" i="4"/>
  <c r="E271" i="4"/>
  <c r="C277" i="4"/>
  <c r="U284" i="12"/>
  <c r="C94" i="4"/>
  <c r="U282" i="12"/>
  <c r="C88" i="4"/>
  <c r="M128" i="4"/>
  <c r="O128" i="4" s="1"/>
  <c r="S128" i="4" s="1"/>
  <c r="E128" i="4"/>
  <c r="AI2" i="3"/>
  <c r="AI16" i="3"/>
  <c r="AI20" i="3"/>
  <c r="AI23" i="3"/>
  <c r="AI30" i="3"/>
  <c r="AI37" i="3"/>
  <c r="AI47" i="3"/>
  <c r="AI52" i="3"/>
  <c r="AI59" i="3"/>
  <c r="AH78" i="3"/>
  <c r="AH176" i="3" s="1"/>
  <c r="AH226" i="3" s="1"/>
  <c r="AI82" i="3"/>
  <c r="AI84" i="3"/>
  <c r="AI86" i="3"/>
  <c r="AI88" i="3"/>
  <c r="AI90" i="3"/>
  <c r="AI127" i="3"/>
  <c r="AI153" i="3"/>
  <c r="AI185" i="3"/>
  <c r="AI187" i="3"/>
  <c r="AI189" i="3"/>
  <c r="AI191" i="3"/>
  <c r="AI193" i="3"/>
  <c r="AI195" i="3"/>
  <c r="AI197" i="3"/>
  <c r="AI199" i="3"/>
  <c r="AI201" i="3"/>
  <c r="AI203" i="3"/>
  <c r="AI205" i="3"/>
  <c r="AI207" i="3"/>
  <c r="AI209" i="3"/>
  <c r="AI211" i="3"/>
  <c r="AI213" i="3"/>
  <c r="AI215" i="3"/>
  <c r="AI255" i="3"/>
  <c r="AI257" i="3"/>
  <c r="AI277" i="3"/>
  <c r="AI17" i="3"/>
  <c r="AI41" i="3"/>
  <c r="AI44" i="3"/>
  <c r="AI55" i="3"/>
  <c r="AI57" i="3"/>
  <c r="AI62" i="3"/>
  <c r="AI74" i="3"/>
  <c r="AI76" i="3"/>
  <c r="AI78" i="3"/>
  <c r="AI100" i="3"/>
  <c r="AI102" i="3"/>
  <c r="AI104" i="3"/>
  <c r="AI106" i="3"/>
  <c r="AI108" i="3"/>
  <c r="AI110" i="3"/>
  <c r="AI112" i="3"/>
  <c r="AI114" i="3"/>
  <c r="AI116" i="3"/>
  <c r="AI118" i="3"/>
  <c r="AI125" i="3"/>
  <c r="AI130" i="3"/>
  <c r="AI132" i="3"/>
  <c r="AI134" i="3"/>
  <c r="AI141" i="3"/>
  <c r="AI143" i="3"/>
  <c r="AI145" i="3"/>
  <c r="AI147" i="3"/>
  <c r="AI149" i="3"/>
  <c r="AI151" i="3"/>
  <c r="AI161" i="3"/>
  <c r="AI163" i="3"/>
  <c r="AI165" i="3"/>
  <c r="AI172" i="3"/>
  <c r="AI174" i="3"/>
  <c r="AI176" i="3"/>
  <c r="AI181" i="3"/>
  <c r="AI231" i="3"/>
  <c r="AI233" i="3"/>
  <c r="AI251" i="3"/>
  <c r="AI253" i="3"/>
  <c r="AI271" i="3"/>
  <c r="AI275" i="3"/>
  <c r="AI235" i="3"/>
  <c r="AI237" i="3"/>
  <c r="AI18" i="3"/>
  <c r="AI25" i="3"/>
  <c r="AI28" i="3"/>
  <c r="AI32" i="3"/>
  <c r="AI35" i="3"/>
  <c r="AI45" i="3"/>
  <c r="AI53" i="3"/>
  <c r="AI65" i="3"/>
  <c r="AI70" i="3"/>
  <c r="AI72" i="3"/>
  <c r="AI81" i="3"/>
  <c r="AI83" i="3"/>
  <c r="AI85" i="3"/>
  <c r="AI87" i="3"/>
  <c r="AI89" i="3"/>
  <c r="AI96" i="3"/>
  <c r="AI121" i="3"/>
  <c r="AI137" i="3"/>
  <c r="AI157" i="3"/>
  <c r="AI168" i="3"/>
  <c r="AI170" i="3"/>
  <c r="AI179" i="3"/>
  <c r="AI184" i="3"/>
  <c r="AI186" i="3"/>
  <c r="AI188" i="3"/>
  <c r="AI190" i="3"/>
  <c r="AI192" i="3"/>
  <c r="AI194" i="3"/>
  <c r="AI196" i="3"/>
  <c r="AI198" i="3"/>
  <c r="AI200" i="3"/>
  <c r="AI202" i="3"/>
  <c r="AI204" i="3"/>
  <c r="AI206" i="3"/>
  <c r="AI208" i="3"/>
  <c r="AI210" i="3"/>
  <c r="AI212" i="3"/>
  <c r="AI214" i="3"/>
  <c r="AI221" i="3"/>
  <c r="AI223" i="3"/>
  <c r="AI243" i="3"/>
  <c r="AI245" i="3"/>
  <c r="AI249" i="3"/>
  <c r="AI265" i="3"/>
  <c r="AI269" i="3"/>
  <c r="AI13" i="3"/>
  <c r="AI22" i="3"/>
  <c r="AI29" i="3"/>
  <c r="AI39" i="3"/>
  <c r="AI49" i="3"/>
  <c r="AI63" i="3"/>
  <c r="AI68" i="3"/>
  <c r="AI92" i="3"/>
  <c r="AI94" i="3"/>
  <c r="AI99" i="3"/>
  <c r="AI101" i="3"/>
  <c r="AI103" i="3"/>
  <c r="AI105" i="3"/>
  <c r="AI107" i="3"/>
  <c r="AI109" i="3"/>
  <c r="AI111" i="3"/>
  <c r="AI113" i="3"/>
  <c r="AI115" i="3"/>
  <c r="AI117" i="3"/>
  <c r="AI119" i="3"/>
  <c r="AI124" i="3"/>
  <c r="AI131" i="3"/>
  <c r="AI133" i="3"/>
  <c r="AI135" i="3"/>
  <c r="AI140" i="3"/>
  <c r="AI142" i="3"/>
  <c r="AI144" i="3"/>
  <c r="AI146" i="3"/>
  <c r="AI148" i="3"/>
  <c r="AI150" i="3"/>
  <c r="AI160" i="3"/>
  <c r="AI162" i="3"/>
  <c r="AI164" i="3"/>
  <c r="AI166" i="3"/>
  <c r="AI217" i="3"/>
  <c r="AI219" i="3"/>
  <c r="AI226" i="3"/>
  <c r="AI230" i="3"/>
  <c r="AI232" i="3"/>
  <c r="AI239" i="3"/>
  <c r="AI241" i="3"/>
  <c r="AI259" i="3"/>
  <c r="AI263" i="3"/>
  <c r="R14" i="6"/>
  <c r="X14" i="6" s="1"/>
  <c r="G11" i="4"/>
  <c r="Q189" i="4"/>
  <c r="Q191" i="4" s="1"/>
  <c r="N191" i="4"/>
  <c r="Q173" i="4"/>
  <c r="Q184" i="4" s="1"/>
  <c r="N184" i="4"/>
  <c r="Q14" i="4"/>
  <c r="Q26" i="4" s="1"/>
  <c r="N26" i="4"/>
  <c r="H17" i="6"/>
  <c r="T14" i="4"/>
  <c r="S21" i="6"/>
  <c r="T127" i="4"/>
  <c r="N206" i="4"/>
  <c r="Q200" i="4"/>
  <c r="Q206" i="4" s="1"/>
  <c r="I16" i="6"/>
  <c r="J16" i="6" s="1"/>
  <c r="E17" i="4"/>
  <c r="E26" i="4" s="1"/>
  <c r="Q102" i="4"/>
  <c r="Q107" i="4" s="1"/>
  <c r="N107" i="4"/>
  <c r="Q257" i="4"/>
  <c r="Q258" i="4" s="1"/>
  <c r="N258" i="4"/>
  <c r="N156" i="4"/>
  <c r="Q152" i="4"/>
  <c r="Q156" i="4" s="1"/>
  <c r="U22" i="4"/>
  <c r="C26" i="4"/>
  <c r="B21" i="6"/>
  <c r="P228" i="3"/>
  <c r="P247" i="3"/>
  <c r="P261" i="3" s="1"/>
  <c r="P267" i="3" s="1"/>
  <c r="P273" i="3" s="1"/>
  <c r="P279" i="3" s="1"/>
  <c r="T228" i="3"/>
  <c r="T247" i="3"/>
  <c r="T261" i="3" s="1"/>
  <c r="T267" i="3" s="1"/>
  <c r="T273" i="3" s="1"/>
  <c r="T279" i="3" s="1"/>
  <c r="AI311" i="2"/>
  <c r="AI302" i="2"/>
  <c r="AI300" i="2"/>
  <c r="AI289" i="2"/>
  <c r="E240" i="4"/>
  <c r="M240" i="4"/>
  <c r="O240" i="4" s="1"/>
  <c r="S240" i="4" s="1"/>
  <c r="E237" i="4"/>
  <c r="M237" i="4"/>
  <c r="O237" i="4" s="1"/>
  <c r="S237" i="4" s="1"/>
  <c r="M182" i="4"/>
  <c r="O182" i="4" s="1"/>
  <c r="S182" i="4" s="1"/>
  <c r="E182" i="4"/>
  <c r="M181" i="4"/>
  <c r="O181" i="4" s="1"/>
  <c r="S181" i="4" s="1"/>
  <c r="E181" i="4"/>
  <c r="E236" i="4"/>
  <c r="M236" i="4"/>
  <c r="O236" i="4" s="1"/>
  <c r="S236" i="4" s="1"/>
  <c r="E235" i="4"/>
  <c r="M235" i="4"/>
  <c r="O235" i="4" s="1"/>
  <c r="S235" i="4" s="1"/>
  <c r="M179" i="4"/>
  <c r="O179" i="4" s="1"/>
  <c r="S179" i="4" s="1"/>
  <c r="E179" i="4"/>
  <c r="M177" i="4"/>
  <c r="O177" i="4" s="1"/>
  <c r="S177" i="4" s="1"/>
  <c r="E177" i="4"/>
  <c r="E233" i="4"/>
  <c r="M233" i="4"/>
  <c r="O233" i="4" s="1"/>
  <c r="S233" i="4" s="1"/>
  <c r="E231" i="4"/>
  <c r="M231" i="4"/>
  <c r="O231" i="4" s="1"/>
  <c r="S231" i="4" s="1"/>
  <c r="E229" i="4"/>
  <c r="M229" i="4"/>
  <c r="O229" i="4" s="1"/>
  <c r="S229" i="4" s="1"/>
  <c r="E227" i="4"/>
  <c r="M227" i="4"/>
  <c r="O227" i="4" s="1"/>
  <c r="S227" i="4" s="1"/>
  <c r="M283" i="4"/>
  <c r="O283" i="4" s="1"/>
  <c r="S283" i="4" s="1"/>
  <c r="E283" i="4"/>
  <c r="E196" i="4"/>
  <c r="M196" i="4"/>
  <c r="O196" i="4" s="1"/>
  <c r="S196" i="4" s="1"/>
  <c r="E190" i="4"/>
  <c r="M190" i="4"/>
  <c r="O190" i="4" s="1"/>
  <c r="S190" i="4" s="1"/>
  <c r="E214" i="4"/>
  <c r="M214" i="4"/>
  <c r="O214" i="4" s="1"/>
  <c r="S214" i="4" s="1"/>
  <c r="E224" i="4"/>
  <c r="E222" i="4"/>
  <c r="M222" i="4"/>
  <c r="O222" i="4" s="1"/>
  <c r="S222" i="4" s="1"/>
  <c r="E220" i="4"/>
  <c r="M220" i="4"/>
  <c r="C242" i="4"/>
  <c r="U374" i="12"/>
  <c r="C165" i="4"/>
  <c r="E276" i="4"/>
  <c r="M276" i="4"/>
  <c r="O276" i="4" s="1"/>
  <c r="S276" i="4" s="1"/>
  <c r="U373" i="12"/>
  <c r="C163" i="4"/>
  <c r="U371" i="12"/>
  <c r="C161" i="4"/>
  <c r="U369" i="12"/>
  <c r="C158" i="4"/>
  <c r="E142" i="4"/>
  <c r="M142" i="4"/>
  <c r="C144" i="4"/>
  <c r="E136" i="4"/>
  <c r="M136" i="4"/>
  <c r="O136" i="4" s="1"/>
  <c r="S136" i="4" s="1"/>
  <c r="U341" i="12"/>
  <c r="C134" i="4"/>
  <c r="E133" i="4"/>
  <c r="M133" i="4"/>
  <c r="O133" i="4" s="1"/>
  <c r="S133" i="4" s="1"/>
  <c r="U338" i="12"/>
  <c r="U342" i="12" s="1"/>
  <c r="U344" i="12" s="1"/>
  <c r="C132" i="4"/>
  <c r="M253" i="4"/>
  <c r="O253" i="4" s="1"/>
  <c r="S253" i="4" s="1"/>
  <c r="E253" i="4"/>
  <c r="AH211" i="2"/>
  <c r="AI211" i="2" s="1"/>
  <c r="AI208" i="2"/>
  <c r="AI206" i="2"/>
  <c r="AI204" i="2"/>
  <c r="AI194" i="2"/>
  <c r="AI192" i="2"/>
  <c r="AI190" i="2"/>
  <c r="AI188" i="2"/>
  <c r="AI186" i="2"/>
  <c r="AI184" i="2"/>
  <c r="AH180" i="2"/>
  <c r="AI180" i="2" s="1"/>
  <c r="AI177" i="2"/>
  <c r="AI175" i="2"/>
  <c r="AI171" i="2"/>
  <c r="AH165" i="2"/>
  <c r="AI165" i="2" s="1"/>
  <c r="AI162" i="2"/>
  <c r="AI160" i="2"/>
  <c r="AI158" i="2"/>
  <c r="AI156" i="2"/>
  <c r="AI152" i="2"/>
  <c r="M76" i="4"/>
  <c r="O76" i="4" s="1"/>
  <c r="S76" i="4" s="1"/>
  <c r="E76" i="4"/>
  <c r="M62" i="4"/>
  <c r="C64" i="4"/>
  <c r="E62" i="4"/>
  <c r="E104" i="4"/>
  <c r="M104" i="4"/>
  <c r="O104" i="4" s="1"/>
  <c r="S104" i="4" s="1"/>
  <c r="E70" i="4"/>
  <c r="E72" i="4" s="1"/>
  <c r="M70" i="4"/>
  <c r="C72" i="4"/>
  <c r="E55" i="4"/>
  <c r="M55" i="4"/>
  <c r="C60" i="4"/>
  <c r="M75" i="4"/>
  <c r="O75" i="4" s="1"/>
  <c r="S75" i="4" s="1"/>
  <c r="E75" i="4"/>
  <c r="U304" i="12"/>
  <c r="C42" i="4"/>
  <c r="M202" i="4"/>
  <c r="O202" i="4" s="1"/>
  <c r="S202" i="4" s="1"/>
  <c r="E202" i="4"/>
  <c r="U302" i="12"/>
  <c r="C40" i="4"/>
  <c r="U300" i="12"/>
  <c r="C38" i="4"/>
  <c r="U298" i="12"/>
  <c r="C36" i="4"/>
  <c r="C265" i="4"/>
  <c r="E263" i="4"/>
  <c r="M263" i="4"/>
  <c r="AH113" i="2"/>
  <c r="AI110" i="2"/>
  <c r="AI108" i="2"/>
  <c r="AI104" i="2"/>
  <c r="AI102" i="2"/>
  <c r="M113" i="4"/>
  <c r="O113" i="4" s="1"/>
  <c r="S113" i="4" s="1"/>
  <c r="E113" i="4"/>
  <c r="E111" i="4"/>
  <c r="G124" i="4"/>
  <c r="M111" i="4"/>
  <c r="O111" i="4" s="1"/>
  <c r="S111" i="4" s="1"/>
  <c r="V111" i="4" s="1"/>
  <c r="M139" i="4"/>
  <c r="E139" i="4"/>
  <c r="C140" i="4"/>
  <c r="M256" i="4"/>
  <c r="C258" i="4"/>
  <c r="E256" i="4"/>
  <c r="M109" i="4"/>
  <c r="E109" i="4"/>
  <c r="C124" i="4"/>
  <c r="AH67" i="2"/>
  <c r="AI64" i="2"/>
  <c r="J12" i="5"/>
  <c r="J7" i="5"/>
  <c r="J13" i="5"/>
  <c r="J14" i="5"/>
  <c r="J8" i="5"/>
  <c r="J15" i="5"/>
  <c r="J16" i="5"/>
  <c r="J10" i="5"/>
  <c r="J6" i="5"/>
  <c r="C25" i="5"/>
  <c r="H12" i="5"/>
  <c r="C29" i="5" s="1"/>
  <c r="C22" i="5"/>
  <c r="G25" i="5"/>
  <c r="Q55" i="4"/>
  <c r="Q60" i="4" s="1"/>
  <c r="N60" i="4"/>
  <c r="N64" i="4"/>
  <c r="Q62" i="4"/>
  <c r="Q64" i="4" s="1"/>
  <c r="Q158" i="4"/>
  <c r="Q167" i="4" s="1"/>
  <c r="N167" i="4"/>
  <c r="Q195" i="4"/>
  <c r="Q198" i="4" s="1"/>
  <c r="N198" i="4"/>
  <c r="N34" i="4"/>
  <c r="Q31" i="4"/>
  <c r="Q34" i="4" s="1"/>
  <c r="H11" i="6"/>
  <c r="E20" i="6"/>
  <c r="X57" i="6"/>
  <c r="J167" i="4"/>
  <c r="N277" i="4"/>
  <c r="Q271" i="4"/>
  <c r="Q277" i="4" s="1"/>
  <c r="H167" i="4"/>
  <c r="Q143" i="4"/>
  <c r="Q144" i="4" s="1"/>
  <c r="N144" i="4"/>
  <c r="P21" i="4"/>
  <c r="P23" i="4"/>
  <c r="X228" i="3"/>
  <c r="X247" i="3"/>
  <c r="X261" i="3" s="1"/>
  <c r="X267" i="3" s="1"/>
  <c r="X273" i="3" s="1"/>
  <c r="X279" i="3" s="1"/>
  <c r="X288" i="3" s="1"/>
  <c r="X289" i="3" s="1"/>
  <c r="F27" i="5"/>
  <c r="E286" i="4"/>
  <c r="G286" i="4"/>
  <c r="G287" i="4" s="1"/>
  <c r="C287" i="4"/>
  <c r="E287" i="4" s="1"/>
  <c r="E247" i="4"/>
  <c r="E244" i="4"/>
  <c r="C254" i="4"/>
  <c r="B76" i="6"/>
  <c r="D76" i="6" s="1"/>
  <c r="E169" i="4"/>
  <c r="E170" i="4" s="1"/>
  <c r="C170" i="4"/>
  <c r="C68" i="4"/>
  <c r="E66" i="4"/>
  <c r="E68" i="4" s="1"/>
  <c r="M66" i="4"/>
  <c r="C156" i="4"/>
  <c r="E152" i="4"/>
  <c r="M152" i="4"/>
  <c r="M147" i="4"/>
  <c r="O147" i="4" s="1"/>
  <c r="S147" i="4" s="1"/>
  <c r="E147" i="4"/>
  <c r="E155" i="4"/>
  <c r="M155" i="4"/>
  <c r="O155" i="4" s="1"/>
  <c r="S155" i="4" s="1"/>
  <c r="E173" i="4"/>
  <c r="M173" i="4"/>
  <c r="O173" i="4" s="1"/>
  <c r="E267" i="4"/>
  <c r="E269" i="4" s="1"/>
  <c r="M267" i="4"/>
  <c r="C269" i="4"/>
  <c r="M77" i="4"/>
  <c r="O77" i="4" s="1"/>
  <c r="S77" i="4" s="1"/>
  <c r="E77" i="4"/>
  <c r="E189" i="4"/>
  <c r="M189" i="4"/>
  <c r="C191" i="4"/>
  <c r="M32" i="4"/>
  <c r="O32" i="4" s="1"/>
  <c r="S32" i="4" s="1"/>
  <c r="E32" i="4"/>
  <c r="E120" i="4"/>
  <c r="M120" i="4"/>
  <c r="O120" i="4" s="1"/>
  <c r="S120" i="4" s="1"/>
  <c r="E212" i="4"/>
  <c r="M212" i="4"/>
  <c r="O212" i="4" s="1"/>
  <c r="S212" i="4" s="1"/>
  <c r="U358" i="12"/>
  <c r="C84" i="4"/>
  <c r="M204" i="4"/>
  <c r="O204" i="4" s="1"/>
  <c r="S204" i="4" s="1"/>
  <c r="E204" i="4"/>
  <c r="U355" i="12"/>
  <c r="C82" i="4"/>
  <c r="E103" i="4"/>
  <c r="M103" i="4"/>
  <c r="O103" i="4" s="1"/>
  <c r="S103" i="4" s="1"/>
  <c r="E57" i="4"/>
  <c r="M57" i="4"/>
  <c r="O57" i="4" s="1"/>
  <c r="S57" i="4" s="1"/>
  <c r="E211" i="4"/>
  <c r="M211" i="4"/>
  <c r="O211" i="4" s="1"/>
  <c r="S211" i="4" s="1"/>
  <c r="M117" i="4"/>
  <c r="O117" i="4" s="1"/>
  <c r="S117" i="4" s="1"/>
  <c r="E117" i="4"/>
  <c r="U393" i="12"/>
  <c r="C50" i="4"/>
  <c r="M273" i="4"/>
  <c r="O273" i="4" s="1"/>
  <c r="S273" i="4" s="1"/>
  <c r="E273" i="4"/>
  <c r="U392" i="12"/>
  <c r="C48" i="4"/>
  <c r="U390" i="12"/>
  <c r="C46" i="4"/>
  <c r="M201" i="4"/>
  <c r="O201" i="4" s="1"/>
  <c r="S201" i="4" s="1"/>
  <c r="E201" i="4"/>
  <c r="M115" i="4"/>
  <c r="O115" i="4" s="1"/>
  <c r="S115" i="4" s="1"/>
  <c r="E115" i="4"/>
  <c r="U286" i="12"/>
  <c r="C96" i="4"/>
  <c r="M200" i="4"/>
  <c r="C206" i="4"/>
  <c r="E200" i="4"/>
  <c r="E99" i="4"/>
  <c r="E100" i="4" s="1"/>
  <c r="M99" i="4"/>
  <c r="C100" i="4"/>
  <c r="U283" i="12"/>
  <c r="C93" i="4"/>
  <c r="U281" i="12"/>
  <c r="C87" i="4"/>
  <c r="M126" i="4"/>
  <c r="E126" i="4"/>
  <c r="C129" i="4"/>
  <c r="Q284" i="4"/>
  <c r="Q70" i="4"/>
  <c r="Q72" i="4" s="1"/>
  <c r="N72" i="4"/>
  <c r="Q267" i="4"/>
  <c r="Q269" i="4" s="1"/>
  <c r="N269" i="4"/>
  <c r="K19" i="5"/>
  <c r="Q87" i="4"/>
  <c r="Q97" i="4" s="1"/>
  <c r="N97" i="4"/>
  <c r="P18" i="4"/>
  <c r="P16" i="4"/>
  <c r="N265" i="4"/>
  <c r="Q263" i="4"/>
  <c r="Q265" i="4" s="1"/>
  <c r="N79" i="4"/>
  <c r="Q74" i="4"/>
  <c r="Q79" i="4" s="1"/>
  <c r="D291" i="4"/>
  <c r="D293" i="4" s="1"/>
  <c r="N150" i="4"/>
  <c r="Q146" i="4"/>
  <c r="Q150" i="4" s="1"/>
  <c r="N68" i="4"/>
  <c r="Q66" i="4"/>
  <c r="Q68" i="4" s="1"/>
  <c r="G13" i="4"/>
  <c r="R16" i="6"/>
  <c r="X16" i="6" s="1"/>
  <c r="Q221" i="4"/>
  <c r="Q242" i="4" s="1"/>
  <c r="N242" i="4"/>
  <c r="AB247" i="3"/>
  <c r="AB261" i="3" s="1"/>
  <c r="AB267" i="3" s="1"/>
  <c r="AB273" i="3" s="1"/>
  <c r="AB279" i="3" s="1"/>
  <c r="AB288" i="3" s="1"/>
  <c r="AB289" i="3" s="1"/>
  <c r="AB228" i="3"/>
  <c r="D127" i="31" l="1"/>
  <c r="D129" i="31" s="1"/>
  <c r="V127" i="4"/>
  <c r="I6" i="5"/>
  <c r="H25" i="5"/>
  <c r="M271" i="4"/>
  <c r="J95" i="2"/>
  <c r="J219" i="2" s="1"/>
  <c r="J296" i="2" s="1"/>
  <c r="Z95" i="2"/>
  <c r="Z219" i="2" s="1"/>
  <c r="Z296" i="2" s="1"/>
  <c r="R95" i="2"/>
  <c r="R219" i="2" s="1"/>
  <c r="R296" i="2" s="1"/>
  <c r="S7" i="5"/>
  <c r="F33" i="5"/>
  <c r="G15" i="4"/>
  <c r="M15" i="4" s="1"/>
  <c r="O15" i="4" s="1"/>
  <c r="P15" i="4" s="1"/>
  <c r="I12" i="5"/>
  <c r="G33" i="5"/>
  <c r="E33" i="5"/>
  <c r="D31" i="5"/>
  <c r="D33" i="5"/>
  <c r="G217" i="4"/>
  <c r="X42" i="6"/>
  <c r="V59" i="6"/>
  <c r="S59" i="6"/>
  <c r="I20" i="6"/>
  <c r="E144" i="4"/>
  <c r="E258" i="4"/>
  <c r="AJ50" i="40"/>
  <c r="AJ51" i="40" s="1"/>
  <c r="AH51" i="40"/>
  <c r="E191" i="4"/>
  <c r="C23" i="5"/>
  <c r="C32" i="5"/>
  <c r="G22" i="5"/>
  <c r="H22" i="5" s="1"/>
  <c r="P6" i="5"/>
  <c r="C26" i="5"/>
  <c r="F32" i="5"/>
  <c r="E32" i="5"/>
  <c r="G32" i="5"/>
  <c r="V211" i="4" s="1"/>
  <c r="D32" i="5"/>
  <c r="Q6" i="5"/>
  <c r="J15" i="31"/>
  <c r="J17" i="6"/>
  <c r="G14" i="4" s="1"/>
  <c r="D14" i="31"/>
  <c r="F13" i="31"/>
  <c r="J13" i="31" s="1"/>
  <c r="T28" i="4"/>
  <c r="D9" i="31"/>
  <c r="J129" i="31"/>
  <c r="G11" i="31"/>
  <c r="J11" i="31" s="1"/>
  <c r="J127" i="31"/>
  <c r="J90" i="31"/>
  <c r="M225" i="4"/>
  <c r="O225" i="4" s="1"/>
  <c r="S225" i="4" s="1"/>
  <c r="E64" i="4"/>
  <c r="U359" i="12"/>
  <c r="U361" i="12" s="1"/>
  <c r="H169" i="4"/>
  <c r="H170" i="4" s="1"/>
  <c r="H291" i="4" s="1"/>
  <c r="H295" i="4" s="1"/>
  <c r="E129" i="4"/>
  <c r="V281" i="4"/>
  <c r="U281" i="4"/>
  <c r="T281" i="4"/>
  <c r="D281" i="31" s="1"/>
  <c r="E206" i="4"/>
  <c r="S67" i="4"/>
  <c r="M286" i="4"/>
  <c r="M287" i="4" s="1"/>
  <c r="E254" i="4"/>
  <c r="E124" i="4"/>
  <c r="E242" i="4"/>
  <c r="E93" i="4"/>
  <c r="M93" i="4"/>
  <c r="O93" i="4" s="1"/>
  <c r="S93" i="4" s="1"/>
  <c r="E96" i="4"/>
  <c r="M96" i="4"/>
  <c r="O96" i="4" s="1"/>
  <c r="S96" i="4" s="1"/>
  <c r="E48" i="4"/>
  <c r="M48" i="4"/>
  <c r="O48" i="4" s="1"/>
  <c r="S48" i="4" s="1"/>
  <c r="E50" i="4"/>
  <c r="M50" i="4"/>
  <c r="O50" i="4" s="1"/>
  <c r="S50" i="4" s="1"/>
  <c r="O267" i="4"/>
  <c r="M269" i="4"/>
  <c r="O152" i="4"/>
  <c r="M156" i="4"/>
  <c r="V28" i="4"/>
  <c r="V23" i="4" s="1"/>
  <c r="O139" i="4"/>
  <c r="M140" i="4"/>
  <c r="E265" i="4"/>
  <c r="E38" i="4"/>
  <c r="M38" i="4"/>
  <c r="O38" i="4" s="1"/>
  <c r="S38" i="4" s="1"/>
  <c r="E60" i="4"/>
  <c r="M64" i="4"/>
  <c r="O62" i="4"/>
  <c r="O220" i="4"/>
  <c r="R18" i="6"/>
  <c r="X18" i="6" s="1"/>
  <c r="M11" i="4"/>
  <c r="O11" i="4" s="1"/>
  <c r="P11" i="4" s="1"/>
  <c r="S11" i="4"/>
  <c r="X11" i="4" s="1"/>
  <c r="M94" i="4"/>
  <c r="O94" i="4" s="1"/>
  <c r="S94" i="4" s="1"/>
  <c r="E94" i="4"/>
  <c r="E277" i="4"/>
  <c r="M47" i="4"/>
  <c r="O47" i="4" s="1"/>
  <c r="S47" i="4" s="1"/>
  <c r="E47" i="4"/>
  <c r="M81" i="4"/>
  <c r="C85" i="4"/>
  <c r="E81" i="4"/>
  <c r="E83" i="4"/>
  <c r="M83" i="4"/>
  <c r="O83" i="4" s="1"/>
  <c r="S83" i="4" s="1"/>
  <c r="E34" i="4"/>
  <c r="M150" i="4"/>
  <c r="O146" i="4"/>
  <c r="S282" i="4"/>
  <c r="T176" i="4"/>
  <c r="J184" i="4"/>
  <c r="J291" i="4" s="1"/>
  <c r="J295" i="4" s="1"/>
  <c r="M176" i="4"/>
  <c r="O176" i="4" s="1"/>
  <c r="S176" i="4" s="1"/>
  <c r="E107" i="4"/>
  <c r="M198" i="4"/>
  <c r="O193" i="4"/>
  <c r="E184" i="4"/>
  <c r="E159" i="4"/>
  <c r="M159" i="4"/>
  <c r="O159" i="4" s="1"/>
  <c r="S159" i="4" s="1"/>
  <c r="E166" i="4"/>
  <c r="M166" i="4"/>
  <c r="O166" i="4" s="1"/>
  <c r="S166" i="4" s="1"/>
  <c r="E28" i="5"/>
  <c r="F28" i="5"/>
  <c r="G28" i="5"/>
  <c r="D28" i="5"/>
  <c r="L298" i="2"/>
  <c r="L317" i="2"/>
  <c r="L331" i="2" s="1"/>
  <c r="L337" i="2" s="1"/>
  <c r="L343" i="2" s="1"/>
  <c r="L349" i="2" s="1"/>
  <c r="J298" i="2"/>
  <c r="J317" i="2"/>
  <c r="J331" i="2" s="1"/>
  <c r="J337" i="2" s="1"/>
  <c r="J343" i="2" s="1"/>
  <c r="J349" i="2" s="1"/>
  <c r="E163" i="4"/>
  <c r="M163" i="4"/>
  <c r="O163" i="4" s="1"/>
  <c r="S163" i="4" s="1"/>
  <c r="H27" i="5"/>
  <c r="E26" i="5"/>
  <c r="F26" i="5"/>
  <c r="H19" i="5"/>
  <c r="C21" i="5" s="1"/>
  <c r="G26" i="5"/>
  <c r="D26" i="5"/>
  <c r="E39" i="4"/>
  <c r="M39" i="4"/>
  <c r="O39" i="4" s="1"/>
  <c r="S39" i="4" s="1"/>
  <c r="M41" i="4"/>
  <c r="O41" i="4" s="1"/>
  <c r="S41" i="4" s="1"/>
  <c r="E41" i="4"/>
  <c r="M79" i="4"/>
  <c r="O74" i="4"/>
  <c r="E198" i="4"/>
  <c r="S195" i="4"/>
  <c r="O186" i="4"/>
  <c r="M187" i="4"/>
  <c r="P298" i="2"/>
  <c r="P317" i="2"/>
  <c r="P331" i="2" s="1"/>
  <c r="P337" i="2" s="1"/>
  <c r="P343" i="2" s="1"/>
  <c r="P349" i="2" s="1"/>
  <c r="AF317" i="2"/>
  <c r="AF331" i="2" s="1"/>
  <c r="AF337" i="2" s="1"/>
  <c r="AF343" i="2" s="1"/>
  <c r="AF349" i="2" s="1"/>
  <c r="AF298" i="2"/>
  <c r="V298" i="2"/>
  <c r="V317" i="2"/>
  <c r="V331" i="2" s="1"/>
  <c r="V337" i="2" s="1"/>
  <c r="V343" i="2" s="1"/>
  <c r="V349" i="2" s="1"/>
  <c r="T298" i="2"/>
  <c r="T317" i="2"/>
  <c r="T331" i="2" s="1"/>
  <c r="T337" i="2" s="1"/>
  <c r="T343" i="2" s="1"/>
  <c r="T349" i="2" s="1"/>
  <c r="R298" i="2"/>
  <c r="R317" i="2"/>
  <c r="R331" i="2" s="1"/>
  <c r="R337" i="2" s="1"/>
  <c r="R343" i="2" s="1"/>
  <c r="R349" i="2" s="1"/>
  <c r="O126" i="4"/>
  <c r="M129" i="4"/>
  <c r="E156" i="4"/>
  <c r="J11" i="6"/>
  <c r="H20" i="6"/>
  <c r="M258" i="4"/>
  <c r="O256" i="4"/>
  <c r="E158" i="4"/>
  <c r="M158" i="4"/>
  <c r="C167" i="4"/>
  <c r="M165" i="4"/>
  <c r="O165" i="4" s="1"/>
  <c r="S165" i="4" s="1"/>
  <c r="E165" i="4"/>
  <c r="R17" i="6"/>
  <c r="X17" i="6" s="1"/>
  <c r="G17" i="4"/>
  <c r="V128" i="4"/>
  <c r="E95" i="4"/>
  <c r="M95" i="4"/>
  <c r="O95" i="4" s="1"/>
  <c r="S95" i="4" s="1"/>
  <c r="O280" i="4"/>
  <c r="M284" i="4"/>
  <c r="C97" i="4"/>
  <c r="E87" i="4"/>
  <c r="M87" i="4"/>
  <c r="E46" i="4"/>
  <c r="M46" i="4"/>
  <c r="O46" i="4" s="1"/>
  <c r="S46" i="4" s="1"/>
  <c r="E82" i="4"/>
  <c r="M82" i="4"/>
  <c r="O82" i="4" s="1"/>
  <c r="S82" i="4" s="1"/>
  <c r="E84" i="4"/>
  <c r="M84" i="4"/>
  <c r="O84" i="4" s="1"/>
  <c r="S84" i="4" s="1"/>
  <c r="S173" i="4"/>
  <c r="B72" i="6"/>
  <c r="C27" i="4"/>
  <c r="AH247" i="3"/>
  <c r="AH228" i="3"/>
  <c r="AI228" i="3" s="1"/>
  <c r="E88" i="4"/>
  <c r="M88" i="4"/>
  <c r="O88" i="4" s="1"/>
  <c r="S88" i="4" s="1"/>
  <c r="O271" i="4"/>
  <c r="M277" i="4"/>
  <c r="E215" i="4"/>
  <c r="E45" i="4"/>
  <c r="M45" i="4"/>
  <c r="C52" i="4"/>
  <c r="M51" i="4"/>
  <c r="O51" i="4" s="1"/>
  <c r="S51" i="4" s="1"/>
  <c r="E51" i="4"/>
  <c r="O31" i="4"/>
  <c r="M34" i="4"/>
  <c r="S257" i="4"/>
  <c r="E150" i="4"/>
  <c r="M10" i="4"/>
  <c r="O10" i="4" s="1"/>
  <c r="P10" i="4" s="1"/>
  <c r="S10" i="4"/>
  <c r="X10" i="4" s="1"/>
  <c r="D295" i="4"/>
  <c r="H24" i="5"/>
  <c r="I16" i="5"/>
  <c r="I13" i="5"/>
  <c r="I15" i="5"/>
  <c r="C31" i="5"/>
  <c r="T164" i="4" s="1"/>
  <c r="D164" i="31" s="1"/>
  <c r="G31" i="5"/>
  <c r="I7" i="5"/>
  <c r="I14" i="5"/>
  <c r="I17" i="5"/>
  <c r="I8" i="5"/>
  <c r="X110" i="4"/>
  <c r="M261" i="4"/>
  <c r="O260" i="4"/>
  <c r="O172" i="4"/>
  <c r="E162" i="4"/>
  <c r="M162" i="4"/>
  <c r="O162" i="4" s="1"/>
  <c r="S162" i="4" s="1"/>
  <c r="S221" i="4"/>
  <c r="AH293" i="2"/>
  <c r="AI293" i="2" s="1"/>
  <c r="N317" i="2"/>
  <c r="N331" i="2" s="1"/>
  <c r="N337" i="2" s="1"/>
  <c r="N343" i="2" s="1"/>
  <c r="N349" i="2" s="1"/>
  <c r="N298" i="2"/>
  <c r="I10" i="5"/>
  <c r="AD298" i="2"/>
  <c r="AD317" i="2"/>
  <c r="AD331" i="2" s="1"/>
  <c r="AD337" i="2" s="1"/>
  <c r="AD343" i="2" s="1"/>
  <c r="AD349" i="2" s="1"/>
  <c r="Z298" i="2"/>
  <c r="Z317" i="2"/>
  <c r="Z331" i="2" s="1"/>
  <c r="Z337" i="2" s="1"/>
  <c r="Z343" i="2" s="1"/>
  <c r="Z349" i="2" s="1"/>
  <c r="F29" i="5"/>
  <c r="E23" i="5"/>
  <c r="E29" i="5"/>
  <c r="F23" i="5"/>
  <c r="G29" i="5"/>
  <c r="G23" i="5"/>
  <c r="D23" i="5"/>
  <c r="D29" i="5"/>
  <c r="O109" i="4"/>
  <c r="M124" i="4"/>
  <c r="AH217" i="2"/>
  <c r="AI217" i="2" s="1"/>
  <c r="AI113" i="2"/>
  <c r="E36" i="4"/>
  <c r="C43" i="4"/>
  <c r="M36" i="4"/>
  <c r="M40" i="4"/>
  <c r="O40" i="4" s="1"/>
  <c r="S40" i="4" s="1"/>
  <c r="E40" i="4"/>
  <c r="M42" i="4"/>
  <c r="O42" i="4" s="1"/>
  <c r="S42" i="4" s="1"/>
  <c r="E42" i="4"/>
  <c r="O70" i="4"/>
  <c r="M72" i="4"/>
  <c r="M132" i="4"/>
  <c r="C137" i="4"/>
  <c r="E132" i="4"/>
  <c r="E134" i="4"/>
  <c r="M134" i="4"/>
  <c r="O134" i="4" s="1"/>
  <c r="S134" i="4" s="1"/>
  <c r="U376" i="12"/>
  <c r="U379" i="12" s="1"/>
  <c r="M13" i="4"/>
  <c r="O13" i="4" s="1"/>
  <c r="P13" i="4" s="1"/>
  <c r="S13" i="4"/>
  <c r="X13" i="4" s="1"/>
  <c r="U287" i="12"/>
  <c r="U289" i="12" s="1"/>
  <c r="M100" i="4"/>
  <c r="O99" i="4"/>
  <c r="O200" i="4"/>
  <c r="M206" i="4"/>
  <c r="O189" i="4"/>
  <c r="M191" i="4"/>
  <c r="O66" i="4"/>
  <c r="M68" i="4"/>
  <c r="J19" i="5"/>
  <c r="AI67" i="2"/>
  <c r="AH93" i="2"/>
  <c r="E140" i="4"/>
  <c r="O263" i="4"/>
  <c r="M265" i="4"/>
  <c r="U305" i="12"/>
  <c r="U307" i="12" s="1"/>
  <c r="O55" i="4"/>
  <c r="M60" i="4"/>
  <c r="M144" i="4"/>
  <c r="O142" i="4"/>
  <c r="M161" i="4"/>
  <c r="O161" i="4" s="1"/>
  <c r="S161" i="4" s="1"/>
  <c r="E161" i="4"/>
  <c r="M224" i="4"/>
  <c r="O224" i="4" s="1"/>
  <c r="S224" i="4" s="1"/>
  <c r="T129" i="4"/>
  <c r="X127" i="4"/>
  <c r="O208" i="4"/>
  <c r="M215" i="4"/>
  <c r="U395" i="12"/>
  <c r="U398" i="12" s="1"/>
  <c r="E284" i="4"/>
  <c r="N169" i="4"/>
  <c r="E37" i="4"/>
  <c r="M37" i="4"/>
  <c r="O37" i="4" s="1"/>
  <c r="S37" i="4" s="1"/>
  <c r="E79" i="4"/>
  <c r="M107" i="4"/>
  <c r="O102" i="4"/>
  <c r="S143" i="4"/>
  <c r="X298" i="2"/>
  <c r="X317" i="2"/>
  <c r="X331" i="2" s="1"/>
  <c r="X337" i="2" s="1"/>
  <c r="X343" i="2" s="1"/>
  <c r="X349" i="2" s="1"/>
  <c r="C28" i="5"/>
  <c r="M12" i="4"/>
  <c r="O12" i="4" s="1"/>
  <c r="P12" i="4" s="1"/>
  <c r="S12" i="4"/>
  <c r="X12" i="4" s="1"/>
  <c r="AB298" i="2"/>
  <c r="AB317" i="2"/>
  <c r="AB331" i="2" s="1"/>
  <c r="AB337" i="2" s="1"/>
  <c r="AB343" i="2" s="1"/>
  <c r="AB349" i="2" s="1"/>
  <c r="S15" i="4" l="1"/>
  <c r="X15" i="4" s="1"/>
  <c r="U49" i="4"/>
  <c r="V49" i="4"/>
  <c r="T49" i="4"/>
  <c r="D49" i="31" s="1"/>
  <c r="K49" i="31" s="1"/>
  <c r="E49" i="31" s="1"/>
  <c r="T58" i="4"/>
  <c r="D58" i="31" s="1"/>
  <c r="E58" i="31" s="1"/>
  <c r="V58" i="4"/>
  <c r="U58" i="4"/>
  <c r="H33" i="5"/>
  <c r="T211" i="4"/>
  <c r="U211" i="4"/>
  <c r="H32" i="5"/>
  <c r="G218" i="4"/>
  <c r="M217" i="4"/>
  <c r="M184" i="4"/>
  <c r="S6" i="5"/>
  <c r="H23" i="5"/>
  <c r="H26" i="5"/>
  <c r="H29" i="5"/>
  <c r="H31" i="5"/>
  <c r="V164" i="4"/>
  <c r="C291" i="4"/>
  <c r="C295" i="4" s="1"/>
  <c r="O286" i="4"/>
  <c r="S286" i="4" s="1"/>
  <c r="E9" i="31"/>
  <c r="E14" i="31"/>
  <c r="J14" i="31" s="1"/>
  <c r="D176" i="31"/>
  <c r="E164" i="31"/>
  <c r="G164" i="31"/>
  <c r="F164" i="31"/>
  <c r="F281" i="31"/>
  <c r="E281" i="31"/>
  <c r="G281" i="31"/>
  <c r="T46" i="4"/>
  <c r="D46" i="31" s="1"/>
  <c r="K46" i="31" s="1"/>
  <c r="V46" i="4"/>
  <c r="U46" i="4"/>
  <c r="V47" i="4"/>
  <c r="T47" i="4"/>
  <c r="D47" i="31" s="1"/>
  <c r="U47" i="4"/>
  <c r="V48" i="4"/>
  <c r="U48" i="4"/>
  <c r="T48" i="4"/>
  <c r="D48" i="31" s="1"/>
  <c r="V161" i="4"/>
  <c r="T161" i="4"/>
  <c r="D161" i="31" s="1"/>
  <c r="V165" i="4"/>
  <c r="T165" i="4"/>
  <c r="D165" i="31" s="1"/>
  <c r="T166" i="4"/>
  <c r="D166" i="31" s="1"/>
  <c r="V166" i="4"/>
  <c r="V159" i="4"/>
  <c r="T159" i="4"/>
  <c r="D159" i="31" s="1"/>
  <c r="T162" i="4"/>
  <c r="D162" i="31" s="1"/>
  <c r="V162" i="4"/>
  <c r="V51" i="4"/>
  <c r="T51" i="4"/>
  <c r="D51" i="31" s="1"/>
  <c r="U51" i="4"/>
  <c r="T163" i="4"/>
  <c r="D163" i="31" s="1"/>
  <c r="V163" i="4"/>
  <c r="T50" i="4"/>
  <c r="D50" i="31" s="1"/>
  <c r="V50" i="4"/>
  <c r="U50" i="4"/>
  <c r="G242" i="4"/>
  <c r="E52" i="4"/>
  <c r="C293" i="4"/>
  <c r="O187" i="4"/>
  <c r="S186" i="4"/>
  <c r="S74" i="4"/>
  <c r="O79" i="4"/>
  <c r="F21" i="5"/>
  <c r="G21" i="5"/>
  <c r="E21" i="5"/>
  <c r="U221" i="4" s="1"/>
  <c r="D21" i="5"/>
  <c r="M242" i="4"/>
  <c r="S102" i="4"/>
  <c r="O107" i="4"/>
  <c r="O191" i="4"/>
  <c r="S189" i="4"/>
  <c r="S172" i="4"/>
  <c r="O184" i="4"/>
  <c r="O34" i="4"/>
  <c r="S31" i="4"/>
  <c r="O45" i="4"/>
  <c r="M52" i="4"/>
  <c r="O277" i="4"/>
  <c r="S271" i="4"/>
  <c r="AH261" i="3"/>
  <c r="AI247" i="3"/>
  <c r="X128" i="4"/>
  <c r="E167" i="4"/>
  <c r="S193" i="4"/>
  <c r="O198" i="4"/>
  <c r="X176" i="4"/>
  <c r="S146" i="4"/>
  <c r="O150" i="4"/>
  <c r="E85" i="4"/>
  <c r="O242" i="4"/>
  <c r="S220" i="4"/>
  <c r="O269" i="4"/>
  <c r="S267" i="4"/>
  <c r="S142" i="4"/>
  <c r="O144" i="4"/>
  <c r="U403" i="12"/>
  <c r="U404" i="12" s="1"/>
  <c r="V129" i="4"/>
  <c r="AI93" i="2"/>
  <c r="AH95" i="2"/>
  <c r="O68" i="4"/>
  <c r="S66" i="4"/>
  <c r="S200" i="4"/>
  <c r="O206" i="4"/>
  <c r="E137" i="4"/>
  <c r="E43" i="4"/>
  <c r="X112" i="4"/>
  <c r="X282" i="4"/>
  <c r="S14" i="4"/>
  <c r="X14" i="4" s="1"/>
  <c r="M14" i="4"/>
  <c r="O14" i="4" s="1"/>
  <c r="P14" i="4" s="1"/>
  <c r="S62" i="4"/>
  <c r="O64" i="4"/>
  <c r="O140" i="4"/>
  <c r="S139" i="4"/>
  <c r="O156" i="4"/>
  <c r="S152" i="4"/>
  <c r="O158" i="4"/>
  <c r="M167" i="4"/>
  <c r="T143" i="4"/>
  <c r="I19" i="5"/>
  <c r="O265" i="4"/>
  <c r="S263" i="4"/>
  <c r="O100" i="4"/>
  <c r="S99" i="4"/>
  <c r="S70" i="4"/>
  <c r="O72" i="4"/>
  <c r="S109" i="4"/>
  <c r="O124" i="4"/>
  <c r="D72" i="6"/>
  <c r="B74" i="6"/>
  <c r="O87" i="4"/>
  <c r="M97" i="4"/>
  <c r="S256" i="4"/>
  <c r="O258" i="4"/>
  <c r="J20" i="6"/>
  <c r="K20" i="6" s="1"/>
  <c r="R12" i="6"/>
  <c r="G9" i="4"/>
  <c r="O129" i="4"/>
  <c r="S126" i="4"/>
  <c r="H28" i="5"/>
  <c r="N170" i="4"/>
  <c r="N291" i="4" s="1"/>
  <c r="N295" i="4" s="1"/>
  <c r="Q169" i="4"/>
  <c r="Q170" i="4" s="1"/>
  <c r="Q291" i="4" s="1"/>
  <c r="X281" i="4"/>
  <c r="O215" i="4"/>
  <c r="S208" i="4"/>
  <c r="S55" i="4"/>
  <c r="O60" i="4"/>
  <c r="M137" i="4"/>
  <c r="O132" i="4"/>
  <c r="O36" i="4"/>
  <c r="M43" i="4"/>
  <c r="S260" i="4"/>
  <c r="O261" i="4"/>
  <c r="E97" i="4"/>
  <c r="S280" i="4"/>
  <c r="O284" i="4"/>
  <c r="S17" i="4"/>
  <c r="X17" i="4" s="1"/>
  <c r="M17" i="4"/>
  <c r="O17" i="4" s="1"/>
  <c r="P17" i="4" s="1"/>
  <c r="M85" i="4"/>
  <c r="O81" i="4"/>
  <c r="O287" i="4"/>
  <c r="H21" i="5" l="1"/>
  <c r="V227" i="4"/>
  <c r="V239" i="4"/>
  <c r="V233" i="4"/>
  <c r="V232" i="4"/>
  <c r="V237" i="4"/>
  <c r="V229" i="4"/>
  <c r="V228" i="4"/>
  <c r="V222" i="4"/>
  <c r="V235" i="4"/>
  <c r="V234" i="4"/>
  <c r="V240" i="4"/>
  <c r="V226" i="4"/>
  <c r="V231" i="4"/>
  <c r="V230" i="4"/>
  <c r="V236" i="4"/>
  <c r="V223" i="4"/>
  <c r="V238" i="4"/>
  <c r="V221" i="4"/>
  <c r="T225" i="4"/>
  <c r="U224" i="4"/>
  <c r="T229" i="4"/>
  <c r="T226" i="4"/>
  <c r="T223" i="4"/>
  <c r="T232" i="4"/>
  <c r="T221" i="4"/>
  <c r="U225" i="4"/>
  <c r="T228" i="4"/>
  <c r="X51" i="4"/>
  <c r="T235" i="4"/>
  <c r="T231" i="4"/>
  <c r="T238" i="4"/>
  <c r="T227" i="4"/>
  <c r="V224" i="4"/>
  <c r="T222" i="4"/>
  <c r="T234" i="4"/>
  <c r="T230" i="4"/>
  <c r="T239" i="4"/>
  <c r="U235" i="4"/>
  <c r="U234" i="4"/>
  <c r="U240" i="4"/>
  <c r="U226" i="4"/>
  <c r="U231" i="4"/>
  <c r="U230" i="4"/>
  <c r="U236" i="4"/>
  <c r="U223" i="4"/>
  <c r="U238" i="4"/>
  <c r="U227" i="4"/>
  <c r="U239" i="4"/>
  <c r="U233" i="4"/>
  <c r="U232" i="4"/>
  <c r="U222" i="4"/>
  <c r="U237" i="4"/>
  <c r="U229" i="4"/>
  <c r="U228" i="4"/>
  <c r="V225" i="4"/>
  <c r="T224" i="4"/>
  <c r="X48" i="4"/>
  <c r="T240" i="4"/>
  <c r="T236" i="4"/>
  <c r="T233" i="4"/>
  <c r="T237" i="4"/>
  <c r="G49" i="31"/>
  <c r="F49" i="31"/>
  <c r="K51" i="31"/>
  <c r="E51" i="31" s="1"/>
  <c r="E46" i="31"/>
  <c r="K48" i="31"/>
  <c r="E48" i="31" s="1"/>
  <c r="K50" i="31"/>
  <c r="E50" i="31" s="1"/>
  <c r="K47" i="31"/>
  <c r="E47" i="31" s="1"/>
  <c r="O217" i="4"/>
  <c r="M218" i="4"/>
  <c r="V280" i="4"/>
  <c r="U280" i="4"/>
  <c r="U220" i="4"/>
  <c r="T220" i="4"/>
  <c r="V220" i="4"/>
  <c r="T280" i="4"/>
  <c r="T179" i="4"/>
  <c r="T276" i="4"/>
  <c r="D276" i="31" s="1"/>
  <c r="T205" i="4"/>
  <c r="D205" i="31" s="1"/>
  <c r="U175" i="4"/>
  <c r="U181" i="4"/>
  <c r="U113" i="4"/>
  <c r="U205" i="4"/>
  <c r="U177" i="4"/>
  <c r="U179" i="4"/>
  <c r="U182" i="4"/>
  <c r="U174" i="4"/>
  <c r="U180" i="4"/>
  <c r="U276" i="4"/>
  <c r="U135" i="4"/>
  <c r="U214" i="4"/>
  <c r="U178" i="4"/>
  <c r="U133" i="4"/>
  <c r="U136" i="4"/>
  <c r="U134" i="4"/>
  <c r="T182" i="4"/>
  <c r="D182" i="31" s="1"/>
  <c r="T135" i="4"/>
  <c r="D135" i="31" s="1"/>
  <c r="T178" i="4"/>
  <c r="D178" i="31" s="1"/>
  <c r="V205" i="4"/>
  <c r="V177" i="4"/>
  <c r="V179" i="4"/>
  <c r="V182" i="4"/>
  <c r="V174" i="4"/>
  <c r="V180" i="4"/>
  <c r="V276" i="4"/>
  <c r="V135" i="4"/>
  <c r="V214" i="4"/>
  <c r="V178" i="4"/>
  <c r="V133" i="4"/>
  <c r="V136" i="4"/>
  <c r="V113" i="4"/>
  <c r="V175" i="4"/>
  <c r="V181" i="4"/>
  <c r="V134" i="4"/>
  <c r="T174" i="4"/>
  <c r="D174" i="31" s="1"/>
  <c r="T133" i="4"/>
  <c r="T175" i="4"/>
  <c r="D175" i="31" s="1"/>
  <c r="T177" i="4"/>
  <c r="D177" i="31" s="1"/>
  <c r="T134" i="4"/>
  <c r="D134" i="31" s="1"/>
  <c r="T113" i="4"/>
  <c r="D113" i="31" s="1"/>
  <c r="T180" i="4"/>
  <c r="D180" i="31" s="1"/>
  <c r="T214" i="4"/>
  <c r="D214" i="31" s="1"/>
  <c r="T136" i="4"/>
  <c r="D136" i="31" s="1"/>
  <c r="T181" i="4"/>
  <c r="D181" i="31" s="1"/>
  <c r="E28" i="31"/>
  <c r="J9" i="31"/>
  <c r="J58" i="31"/>
  <c r="F166" i="31"/>
  <c r="E166" i="31"/>
  <c r="G166" i="31"/>
  <c r="E161" i="31"/>
  <c r="F161" i="31"/>
  <c r="G161" i="31"/>
  <c r="V143" i="4"/>
  <c r="X143" i="4" s="1"/>
  <c r="D143" i="31"/>
  <c r="E165" i="31"/>
  <c r="F165" i="31"/>
  <c r="G165" i="31"/>
  <c r="J164" i="31"/>
  <c r="F162" i="31"/>
  <c r="E162" i="31"/>
  <c r="G162" i="31"/>
  <c r="E176" i="31"/>
  <c r="G176" i="31"/>
  <c r="F176" i="31"/>
  <c r="G163" i="31"/>
  <c r="F163" i="31"/>
  <c r="E163" i="31"/>
  <c r="G159" i="31"/>
  <c r="F159" i="31"/>
  <c r="E159" i="31"/>
  <c r="J281" i="31"/>
  <c r="T267" i="4"/>
  <c r="D267" i="31" s="1"/>
  <c r="V267" i="4"/>
  <c r="U267" i="4"/>
  <c r="T186" i="4"/>
  <c r="D186" i="31" s="1"/>
  <c r="V186" i="4"/>
  <c r="U186" i="4"/>
  <c r="E291" i="4"/>
  <c r="E293" i="4" s="1"/>
  <c r="S261" i="4"/>
  <c r="O43" i="4"/>
  <c r="S36" i="4"/>
  <c r="S215" i="4"/>
  <c r="R21" i="6"/>
  <c r="X12" i="6"/>
  <c r="X21" i="6" s="1"/>
  <c r="V109" i="4"/>
  <c r="S124" i="4"/>
  <c r="U99" i="4"/>
  <c r="S100" i="4"/>
  <c r="S68" i="4"/>
  <c r="X50" i="4"/>
  <c r="S242" i="4"/>
  <c r="S34" i="4"/>
  <c r="S79" i="4"/>
  <c r="S81" i="4"/>
  <c r="O85" i="4"/>
  <c r="X164" i="4"/>
  <c r="X166" i="4"/>
  <c r="S132" i="4"/>
  <c r="O137" i="4"/>
  <c r="Q293" i="4"/>
  <c r="Q295" i="4"/>
  <c r="X126" i="4"/>
  <c r="S129" i="4"/>
  <c r="S87" i="4"/>
  <c r="O97" i="4"/>
  <c r="S265" i="4"/>
  <c r="O167" i="4"/>
  <c r="S158" i="4"/>
  <c r="X47" i="4"/>
  <c r="S269" i="4"/>
  <c r="V286" i="4"/>
  <c r="S287" i="4"/>
  <c r="D280" i="31"/>
  <c r="S284" i="4"/>
  <c r="B78" i="6"/>
  <c r="D74" i="6"/>
  <c r="X46" i="4"/>
  <c r="S156" i="4"/>
  <c r="S140" i="4"/>
  <c r="S64" i="4"/>
  <c r="AI95" i="2"/>
  <c r="AH219" i="2"/>
  <c r="S150" i="4"/>
  <c r="S198" i="4"/>
  <c r="AH267" i="3"/>
  <c r="AI261" i="3"/>
  <c r="O52" i="4"/>
  <c r="S45" i="4"/>
  <c r="X162" i="4"/>
  <c r="S191" i="4"/>
  <c r="S107" i="4"/>
  <c r="X163" i="4"/>
  <c r="S187" i="4"/>
  <c r="E295" i="4"/>
  <c r="S60" i="4"/>
  <c r="X161" i="4"/>
  <c r="G26" i="4"/>
  <c r="S9" i="4"/>
  <c r="M9" i="4"/>
  <c r="V256" i="4"/>
  <c r="S258" i="4"/>
  <c r="X165" i="4"/>
  <c r="S72" i="4"/>
  <c r="S206" i="4"/>
  <c r="T142" i="4"/>
  <c r="S144" i="4"/>
  <c r="X159" i="4"/>
  <c r="S277" i="4"/>
  <c r="S184" i="4"/>
  <c r="B83" i="6" l="1"/>
  <c r="X9" i="4"/>
  <c r="X134" i="4"/>
  <c r="J49" i="31"/>
  <c r="G50" i="31"/>
  <c r="F51" i="31"/>
  <c r="F46" i="31"/>
  <c r="G48" i="31"/>
  <c r="F136" i="31"/>
  <c r="E136" i="31"/>
  <c r="E134" i="31"/>
  <c r="F134" i="31"/>
  <c r="F135" i="31"/>
  <c r="E135" i="31"/>
  <c r="F47" i="31"/>
  <c r="F50" i="31"/>
  <c r="G186" i="31"/>
  <c r="G187" i="31" s="1"/>
  <c r="F186" i="31"/>
  <c r="F187" i="31" s="1"/>
  <c r="E186" i="31"/>
  <c r="G47" i="31"/>
  <c r="F48" i="31"/>
  <c r="G46" i="31"/>
  <c r="G51" i="31"/>
  <c r="S217" i="4"/>
  <c r="O218" i="4"/>
  <c r="T158" i="4"/>
  <c r="D158" i="31" s="1"/>
  <c r="D167" i="31" s="1"/>
  <c r="U158" i="4"/>
  <c r="V158" i="4"/>
  <c r="E280" i="31"/>
  <c r="G280" i="31"/>
  <c r="F280" i="31"/>
  <c r="E175" i="31"/>
  <c r="G175" i="31"/>
  <c r="F175" i="31"/>
  <c r="F174" i="31"/>
  <c r="E174" i="31"/>
  <c r="G174" i="31"/>
  <c r="F182" i="31"/>
  <c r="E182" i="31"/>
  <c r="G182" i="31"/>
  <c r="E214" i="31"/>
  <c r="G214" i="31"/>
  <c r="F214" i="31"/>
  <c r="F276" i="31"/>
  <c r="E276" i="31"/>
  <c r="G276" i="31"/>
  <c r="E180" i="31"/>
  <c r="G180" i="31"/>
  <c r="F180" i="31"/>
  <c r="D133" i="31"/>
  <c r="E178" i="31"/>
  <c r="F178" i="31"/>
  <c r="G178" i="31"/>
  <c r="F205" i="31"/>
  <c r="E205" i="31"/>
  <c r="G205" i="31"/>
  <c r="D179" i="31"/>
  <c r="E181" i="31"/>
  <c r="G181" i="31"/>
  <c r="F181" i="31"/>
  <c r="G113" i="31"/>
  <c r="F113" i="31"/>
  <c r="E113" i="31"/>
  <c r="F177" i="31"/>
  <c r="E177" i="31"/>
  <c r="G177" i="31"/>
  <c r="J163" i="31"/>
  <c r="J162" i="31"/>
  <c r="J161" i="31"/>
  <c r="J165" i="31"/>
  <c r="F143" i="31"/>
  <c r="G143" i="31"/>
  <c r="E143" i="31"/>
  <c r="J176" i="31"/>
  <c r="J166" i="31"/>
  <c r="V142" i="4"/>
  <c r="V144" i="4" s="1"/>
  <c r="D142" i="31"/>
  <c r="D187" i="31"/>
  <c r="G267" i="31"/>
  <c r="G269" i="31" s="1"/>
  <c r="F267" i="31"/>
  <c r="F269" i="31" s="1"/>
  <c r="E267" i="31"/>
  <c r="D269" i="31"/>
  <c r="J159" i="31"/>
  <c r="U45" i="4"/>
  <c r="T45" i="4"/>
  <c r="D45" i="31" s="1"/>
  <c r="K45" i="31" s="1"/>
  <c r="V45" i="4"/>
  <c r="V132" i="4"/>
  <c r="U132" i="4"/>
  <c r="T132" i="4"/>
  <c r="D132" i="31" s="1"/>
  <c r="V187" i="4"/>
  <c r="AH273" i="3"/>
  <c r="AI267" i="3"/>
  <c r="U269" i="4"/>
  <c r="X129" i="4"/>
  <c r="S137" i="4"/>
  <c r="X174" i="4"/>
  <c r="X178" i="4"/>
  <c r="X276" i="4"/>
  <c r="X205" i="4"/>
  <c r="S43" i="4"/>
  <c r="X214" i="4"/>
  <c r="T144" i="4"/>
  <c r="X186" i="4"/>
  <c r="T187" i="4"/>
  <c r="S52" i="4"/>
  <c r="X280" i="4"/>
  <c r="X286" i="4"/>
  <c r="V287" i="4"/>
  <c r="T269" i="4"/>
  <c r="X267" i="4"/>
  <c r="X109" i="4"/>
  <c r="X182" i="4"/>
  <c r="O9" i="4"/>
  <c r="M26" i="4"/>
  <c r="U187" i="4"/>
  <c r="X179" i="4"/>
  <c r="X133" i="4"/>
  <c r="X181" i="4"/>
  <c r="X113" i="4"/>
  <c r="V269" i="4"/>
  <c r="S167" i="4"/>
  <c r="X135" i="4"/>
  <c r="S85" i="4"/>
  <c r="U100" i="4"/>
  <c r="X99" i="4"/>
  <c r="X58" i="4"/>
  <c r="X49" i="4"/>
  <c r="X180" i="4"/>
  <c r="X177" i="4"/>
  <c r="X256" i="4"/>
  <c r="S26" i="4"/>
  <c r="X175" i="4"/>
  <c r="X136" i="4"/>
  <c r="AH296" i="2"/>
  <c r="AI219" i="2"/>
  <c r="T34" i="6"/>
  <c r="D78" i="6"/>
  <c r="S97" i="4"/>
  <c r="X142" i="4" l="1"/>
  <c r="J50" i="31"/>
  <c r="J47" i="31"/>
  <c r="J48" i="31"/>
  <c r="J46" i="31"/>
  <c r="J51" i="31"/>
  <c r="E132" i="31"/>
  <c r="F132" i="31"/>
  <c r="F133" i="31"/>
  <c r="E133" i="31"/>
  <c r="T217" i="4"/>
  <c r="S218" i="4"/>
  <c r="J134" i="31"/>
  <c r="E158" i="31"/>
  <c r="E167" i="31" s="1"/>
  <c r="F158" i="31"/>
  <c r="F167" i="31" s="1"/>
  <c r="G158" i="31"/>
  <c r="G167" i="31" s="1"/>
  <c r="U167" i="4"/>
  <c r="J177" i="31"/>
  <c r="J276" i="31"/>
  <c r="J214" i="31"/>
  <c r="J180" i="31"/>
  <c r="J135" i="31"/>
  <c r="J181" i="31"/>
  <c r="J174" i="31"/>
  <c r="J175" i="31"/>
  <c r="E179" i="31"/>
  <c r="G179" i="31"/>
  <c r="F179" i="31"/>
  <c r="J182" i="31"/>
  <c r="J113" i="31"/>
  <c r="J205" i="31"/>
  <c r="J178" i="31"/>
  <c r="J136" i="31"/>
  <c r="J143" i="31"/>
  <c r="E269" i="31"/>
  <c r="J269" i="31" s="1"/>
  <c r="J267" i="31"/>
  <c r="E187" i="31"/>
  <c r="J187" i="31" s="1"/>
  <c r="J186" i="31"/>
  <c r="D137" i="31"/>
  <c r="D52" i="31"/>
  <c r="E142" i="31"/>
  <c r="G142" i="31"/>
  <c r="G144" i="31" s="1"/>
  <c r="F142" i="31"/>
  <c r="F144" i="31" s="1"/>
  <c r="D144" i="31"/>
  <c r="T167" i="4"/>
  <c r="X158" i="4"/>
  <c r="U137" i="4"/>
  <c r="AH279" i="3"/>
  <c r="AI273" i="3"/>
  <c r="V167" i="4"/>
  <c r="O26" i="4"/>
  <c r="P9" i="4"/>
  <c r="P26" i="4" s="1"/>
  <c r="P295" i="4" s="1"/>
  <c r="X269" i="4"/>
  <c r="U52" i="4"/>
  <c r="X187" i="4"/>
  <c r="X132" i="4"/>
  <c r="T137" i="4"/>
  <c r="T52" i="4"/>
  <c r="X45" i="4"/>
  <c r="X144" i="4"/>
  <c r="V137" i="4"/>
  <c r="X34" i="6"/>
  <c r="T59" i="6"/>
  <c r="AH298" i="2"/>
  <c r="AI298" i="2" s="1"/>
  <c r="AI296" i="2"/>
  <c r="AH317" i="2"/>
  <c r="B85" i="6"/>
  <c r="X100" i="4"/>
  <c r="X287" i="4"/>
  <c r="V52" i="4"/>
  <c r="K52" i="31" l="1"/>
  <c r="E45" i="31"/>
  <c r="E52" i="31" s="1"/>
  <c r="F45" i="31"/>
  <c r="F52" i="31" s="1"/>
  <c r="G45" i="31"/>
  <c r="G52" i="31" s="1"/>
  <c r="T218" i="4"/>
  <c r="V217" i="4"/>
  <c r="D217" i="31"/>
  <c r="F137" i="31"/>
  <c r="J158" i="31"/>
  <c r="J167" i="31"/>
  <c r="C14" i="36"/>
  <c r="J46" i="36" s="1"/>
  <c r="J47" i="36" s="1"/>
  <c r="C14" i="37"/>
  <c r="J46" i="37" s="1"/>
  <c r="J133" i="31"/>
  <c r="J179" i="31"/>
  <c r="G137" i="31"/>
  <c r="E144" i="31"/>
  <c r="J144" i="31" s="1"/>
  <c r="J142" i="31"/>
  <c r="E137" i="31"/>
  <c r="J132" i="31"/>
  <c r="AH331" i="2"/>
  <c r="AI317" i="2"/>
  <c r="X52" i="4"/>
  <c r="C14" i="22"/>
  <c r="J46" i="22" s="1"/>
  <c r="J47" i="22" s="1"/>
  <c r="C14" i="20"/>
  <c r="J46" i="20" s="1"/>
  <c r="X137" i="4"/>
  <c r="X167" i="4"/>
  <c r="G169" i="4"/>
  <c r="X59" i="6"/>
  <c r="AI279" i="3"/>
  <c r="AH288" i="3"/>
  <c r="AH289" i="3" s="1"/>
  <c r="AH286" i="3"/>
  <c r="D297" i="4"/>
  <c r="J52" i="31" l="1"/>
  <c r="J45" i="31"/>
  <c r="F217" i="31"/>
  <c r="F218" i="31" s="1"/>
  <c r="D218" i="31"/>
  <c r="E217" i="31"/>
  <c r="G217" i="31"/>
  <c r="G218" i="31" s="1"/>
  <c r="V218" i="4"/>
  <c r="X218" i="4" s="1"/>
  <c r="X217" i="4"/>
  <c r="J47" i="37"/>
  <c r="J137" i="31"/>
  <c r="J47" i="20"/>
  <c r="G170" i="4"/>
  <c r="M169" i="4"/>
  <c r="AI331" i="2"/>
  <c r="AH337" i="2"/>
  <c r="J217" i="31" l="1"/>
  <c r="E218" i="31"/>
  <c r="J218" i="31" s="1"/>
  <c r="AH343" i="2"/>
  <c r="AI337" i="2"/>
  <c r="O169" i="4"/>
  <c r="M170" i="4"/>
  <c r="O170" i="4" l="1"/>
  <c r="S169" i="4"/>
  <c r="AH349" i="2"/>
  <c r="AI343" i="2"/>
  <c r="S170" i="4" l="1"/>
  <c r="AI349" i="2"/>
  <c r="AH356" i="2"/>
  <c r="C297" i="4"/>
  <c r="G48" i="5" l="1"/>
  <c r="E48" i="5"/>
  <c r="D48" i="5"/>
  <c r="C48" i="5"/>
  <c r="G51" i="5" l="1"/>
  <c r="E51" i="5"/>
  <c r="C51" i="5"/>
  <c r="H48" i="5"/>
  <c r="H51" i="5" s="1"/>
  <c r="D51" i="5"/>
  <c r="D56" i="5" l="1"/>
  <c r="C56" i="5"/>
  <c r="F53" i="5"/>
  <c r="G56" i="5"/>
  <c r="E53" i="5"/>
  <c r="K51" i="5"/>
  <c r="D53" i="5"/>
  <c r="D55" i="5"/>
  <c r="C53" i="5"/>
  <c r="C55" i="5"/>
  <c r="G53" i="5"/>
  <c r="G55" i="5"/>
  <c r="M51" i="5"/>
  <c r="V283" i="4" l="1"/>
  <c r="V284" i="4" s="1"/>
  <c r="L76" i="35"/>
  <c r="P76" i="35"/>
  <c r="V253" i="4"/>
  <c r="T92" i="4"/>
  <c r="D92" i="31" s="1"/>
  <c r="T83" i="4"/>
  <c r="T84" i="4"/>
  <c r="T82" i="4"/>
  <c r="T81" i="4"/>
  <c r="J76" i="35"/>
  <c r="N76" i="35"/>
  <c r="T253" i="4"/>
  <c r="V92" i="4"/>
  <c r="V82" i="4"/>
  <c r="V84" i="4"/>
  <c r="V83" i="4"/>
  <c r="V81" i="4"/>
  <c r="K76" i="35"/>
  <c r="O76" i="35"/>
  <c r="U253" i="4"/>
  <c r="T116" i="4"/>
  <c r="D116" i="31" s="1"/>
  <c r="T201" i="4"/>
  <c r="D201" i="31" s="1"/>
  <c r="T147" i="4"/>
  <c r="D147" i="31" s="1"/>
  <c r="T122" i="4"/>
  <c r="D122" i="31" s="1"/>
  <c r="D230" i="31"/>
  <c r="T155" i="4"/>
  <c r="D155" i="31" s="1"/>
  <c r="D236" i="31"/>
  <c r="T272" i="4"/>
  <c r="D272" i="31" s="1"/>
  <c r="T121" i="4"/>
  <c r="D121" i="31" s="1"/>
  <c r="D226" i="31"/>
  <c r="T183" i="4"/>
  <c r="D183" i="31" s="1"/>
  <c r="T202" i="4"/>
  <c r="D202" i="31" s="1"/>
  <c r="D235" i="31"/>
  <c r="T274" i="4"/>
  <c r="D274" i="31" s="1"/>
  <c r="T283" i="4"/>
  <c r="T115" i="4"/>
  <c r="D115" i="31" s="1"/>
  <c r="T264" i="4"/>
  <c r="D264" i="31" s="1"/>
  <c r="D234" i="31"/>
  <c r="T190" i="4"/>
  <c r="D190" i="31" s="1"/>
  <c r="D240" i="31"/>
  <c r="T114" i="4"/>
  <c r="D114" i="31" s="1"/>
  <c r="T148" i="4"/>
  <c r="D148" i="31" s="1"/>
  <c r="T197" i="4"/>
  <c r="D197" i="31" s="1"/>
  <c r="T196" i="4"/>
  <c r="D196" i="31" s="1"/>
  <c r="D237" i="31"/>
  <c r="T153" i="4"/>
  <c r="D153" i="31" s="1"/>
  <c r="T273" i="4"/>
  <c r="D273" i="31" s="1"/>
  <c r="D222" i="31"/>
  <c r="T210" i="4"/>
  <c r="D210" i="31" s="1"/>
  <c r="D211" i="31"/>
  <c r="D229" i="31"/>
  <c r="T154" i="4"/>
  <c r="D154" i="31" s="1"/>
  <c r="T209" i="4"/>
  <c r="D209" i="31" s="1"/>
  <c r="T213" i="4"/>
  <c r="D213" i="31" s="1"/>
  <c r="D232" i="31"/>
  <c r="T204" i="4"/>
  <c r="D204" i="31" s="1"/>
  <c r="D227" i="31"/>
  <c r="T203" i="4"/>
  <c r="D203" i="31" s="1"/>
  <c r="D239" i="31"/>
  <c r="T117" i="4"/>
  <c r="D117" i="31" s="1"/>
  <c r="T194" i="4"/>
  <c r="D194" i="31" s="1"/>
  <c r="T275" i="4"/>
  <c r="D275" i="31" s="1"/>
  <c r="T212" i="4"/>
  <c r="D212" i="31" s="1"/>
  <c r="D233" i="31"/>
  <c r="T119" i="4"/>
  <c r="D119" i="31" s="1"/>
  <c r="D223" i="31"/>
  <c r="D238" i="31"/>
  <c r="T120" i="4"/>
  <c r="D120" i="31" s="1"/>
  <c r="D231" i="31"/>
  <c r="T118" i="4"/>
  <c r="D118" i="31" s="1"/>
  <c r="T173" i="4"/>
  <c r="D173" i="31" s="1"/>
  <c r="T257" i="4"/>
  <c r="D257" i="31" s="1"/>
  <c r="T195" i="4"/>
  <c r="D195" i="31" s="1"/>
  <c r="D221" i="31"/>
  <c r="T263" i="4"/>
  <c r="D263" i="31" s="1"/>
  <c r="T193" i="4"/>
  <c r="D193" i="31" s="1"/>
  <c r="T208" i="4"/>
  <c r="D208" i="31" s="1"/>
  <c r="T172" i="4"/>
  <c r="D172" i="31" s="1"/>
  <c r="T152" i="4"/>
  <c r="D152" i="31" s="1"/>
  <c r="D220" i="31"/>
  <c r="T271" i="4"/>
  <c r="D271" i="31" s="1"/>
  <c r="T200" i="4"/>
  <c r="D200" i="31" s="1"/>
  <c r="T146" i="4"/>
  <c r="D146" i="31" s="1"/>
  <c r="T189" i="4"/>
  <c r="D189" i="31" s="1"/>
  <c r="U283" i="4"/>
  <c r="F92" i="31"/>
  <c r="E92" i="31"/>
  <c r="G92" i="31"/>
  <c r="T96" i="4"/>
  <c r="D96" i="31" s="1"/>
  <c r="T88" i="4"/>
  <c r="D88" i="31" s="1"/>
  <c r="T95" i="4"/>
  <c r="D95" i="31" s="1"/>
  <c r="T94" i="4"/>
  <c r="D94" i="31" s="1"/>
  <c r="T93" i="4"/>
  <c r="D93" i="31" s="1"/>
  <c r="T105" i="4"/>
  <c r="D105" i="31" s="1"/>
  <c r="T104" i="4"/>
  <c r="D104" i="31" s="1"/>
  <c r="T103" i="4"/>
  <c r="D103" i="31" s="1"/>
  <c r="T102" i="4"/>
  <c r="D102" i="31" s="1"/>
  <c r="V93" i="4"/>
  <c r="V96" i="4"/>
  <c r="V88" i="4"/>
  <c r="V95" i="4"/>
  <c r="V94" i="4"/>
  <c r="V87" i="4"/>
  <c r="H55" i="5"/>
  <c r="X92" i="4"/>
  <c r="J51" i="5"/>
  <c r="H56" i="5"/>
  <c r="T87" i="4"/>
  <c r="D87" i="31" s="1"/>
  <c r="U78" i="4"/>
  <c r="U24" i="4"/>
  <c r="U116" i="4"/>
  <c r="U103" i="4"/>
  <c r="U105" i="4"/>
  <c r="U202" i="4"/>
  <c r="U75" i="4"/>
  <c r="U154" i="4"/>
  <c r="U57" i="4"/>
  <c r="U119" i="4"/>
  <c r="U190" i="4"/>
  <c r="U273" i="4"/>
  <c r="U147" i="4"/>
  <c r="U274" i="4"/>
  <c r="U32" i="4"/>
  <c r="U120" i="4"/>
  <c r="U77" i="4"/>
  <c r="U121" i="4"/>
  <c r="U148" i="4"/>
  <c r="U275" i="4"/>
  <c r="U153" i="4"/>
  <c r="U197" i="4"/>
  <c r="U203" i="4"/>
  <c r="U196" i="4"/>
  <c r="U114" i="4"/>
  <c r="U209" i="4"/>
  <c r="U194" i="4"/>
  <c r="U213" i="4"/>
  <c r="U204" i="4"/>
  <c r="U201" i="4"/>
  <c r="U76" i="4"/>
  <c r="U115" i="4"/>
  <c r="U63" i="4"/>
  <c r="U272" i="4"/>
  <c r="U117" i="4"/>
  <c r="U212" i="4"/>
  <c r="U155" i="4"/>
  <c r="U264" i="4"/>
  <c r="U118" i="4"/>
  <c r="U210" i="4"/>
  <c r="U67" i="4"/>
  <c r="U104" i="4"/>
  <c r="U122" i="4"/>
  <c r="U56" i="4"/>
  <c r="U183" i="4"/>
  <c r="U37" i="4"/>
  <c r="U38" i="4"/>
  <c r="U40" i="4"/>
  <c r="U41" i="4"/>
  <c r="U195" i="4"/>
  <c r="U39" i="4"/>
  <c r="U42" i="4"/>
  <c r="U257" i="4"/>
  <c r="U173" i="4"/>
  <c r="U66" i="4"/>
  <c r="U31" i="4"/>
  <c r="U55" i="4"/>
  <c r="U271" i="4"/>
  <c r="U263" i="4"/>
  <c r="U193" i="4"/>
  <c r="U189" i="4"/>
  <c r="U208" i="4"/>
  <c r="U102" i="4"/>
  <c r="U74" i="4"/>
  <c r="U152" i="4"/>
  <c r="U62" i="4"/>
  <c r="U146" i="4"/>
  <c r="U70" i="4"/>
  <c r="U200" i="4"/>
  <c r="U172" i="4"/>
  <c r="U36" i="4"/>
  <c r="V78" i="4"/>
  <c r="V116" i="4"/>
  <c r="V24" i="4"/>
  <c r="V212" i="4"/>
  <c r="V155" i="4"/>
  <c r="V264" i="4"/>
  <c r="V183" i="4"/>
  <c r="V202" i="4"/>
  <c r="V118" i="4"/>
  <c r="V57" i="4"/>
  <c r="V210" i="4"/>
  <c r="V201" i="4"/>
  <c r="V115" i="4"/>
  <c r="V272" i="4"/>
  <c r="V75" i="4"/>
  <c r="V203" i="4"/>
  <c r="V67" i="4"/>
  <c r="V273" i="4"/>
  <c r="V147" i="4"/>
  <c r="V104" i="4"/>
  <c r="V122" i="4"/>
  <c r="V204" i="4"/>
  <c r="V190" i="4"/>
  <c r="V117" i="4"/>
  <c r="V274" i="4"/>
  <c r="V63" i="4"/>
  <c r="V197" i="4"/>
  <c r="V103" i="4"/>
  <c r="V105" i="4"/>
  <c r="V154" i="4"/>
  <c r="V77" i="4"/>
  <c r="V119" i="4"/>
  <c r="V148" i="4"/>
  <c r="V32" i="4"/>
  <c r="V120" i="4"/>
  <c r="V121" i="4"/>
  <c r="V275" i="4"/>
  <c r="V76" i="4"/>
  <c r="V153" i="4"/>
  <c r="V196" i="4"/>
  <c r="V114" i="4"/>
  <c r="V209" i="4"/>
  <c r="V194" i="4"/>
  <c r="V56" i="4"/>
  <c r="V213" i="4"/>
  <c r="V195" i="4"/>
  <c r="V39" i="4"/>
  <c r="V42" i="4"/>
  <c r="V257" i="4"/>
  <c r="V173" i="4"/>
  <c r="V37" i="4"/>
  <c r="V38" i="4"/>
  <c r="V40" i="4"/>
  <c r="V41" i="4"/>
  <c r="V208" i="4"/>
  <c r="V102" i="4"/>
  <c r="V200" i="4"/>
  <c r="V70" i="4"/>
  <c r="V152" i="4"/>
  <c r="V66" i="4"/>
  <c r="V55" i="4"/>
  <c r="V271" i="4"/>
  <c r="V172" i="4"/>
  <c r="V74" i="4"/>
  <c r="V263" i="4"/>
  <c r="V62" i="4"/>
  <c r="V146" i="4"/>
  <c r="V193" i="4"/>
  <c r="V189" i="4"/>
  <c r="V36" i="4"/>
  <c r="I51" i="5"/>
  <c r="H53" i="5"/>
  <c r="T78" i="4"/>
  <c r="T24" i="4"/>
  <c r="D24" i="31" s="1"/>
  <c r="T32" i="4"/>
  <c r="D32" i="31" s="1"/>
  <c r="T76" i="4"/>
  <c r="D76" i="31" s="1"/>
  <c r="T63" i="4"/>
  <c r="D63" i="31" s="1"/>
  <c r="E63" i="31" s="1"/>
  <c r="T67" i="4"/>
  <c r="D67" i="31" s="1"/>
  <c r="T77" i="4"/>
  <c r="D77" i="31" s="1"/>
  <c r="D225" i="31"/>
  <c r="T56" i="4"/>
  <c r="D56" i="31" s="1"/>
  <c r="D228" i="31"/>
  <c r="T75" i="4"/>
  <c r="D75" i="31" s="1"/>
  <c r="T57" i="4"/>
  <c r="D57" i="31" s="1"/>
  <c r="E57" i="31" s="1"/>
  <c r="T41" i="4"/>
  <c r="D41" i="31" s="1"/>
  <c r="T39" i="4"/>
  <c r="D39" i="31" s="1"/>
  <c r="T42" i="4"/>
  <c r="D42" i="31" s="1"/>
  <c r="D224" i="31"/>
  <c r="D84" i="31"/>
  <c r="T37" i="4"/>
  <c r="D37" i="31" s="1"/>
  <c r="D82" i="31"/>
  <c r="T38" i="4"/>
  <c r="D38" i="31" s="1"/>
  <c r="T40" i="4"/>
  <c r="D40" i="31" s="1"/>
  <c r="D83" i="31"/>
  <c r="T74" i="4"/>
  <c r="D74" i="31" s="1"/>
  <c r="T62" i="4"/>
  <c r="D62" i="31" s="1"/>
  <c r="T66" i="4"/>
  <c r="D66" i="31" s="1"/>
  <c r="T31" i="4"/>
  <c r="D31" i="31" s="1"/>
  <c r="T55" i="4"/>
  <c r="D55" i="31" s="1"/>
  <c r="T70" i="4"/>
  <c r="D70" i="31" s="1"/>
  <c r="T36" i="4"/>
  <c r="D36" i="31" s="1"/>
  <c r="D81" i="31"/>
  <c r="X24" i="4" l="1"/>
  <c r="D253" i="31"/>
  <c r="X253" i="4"/>
  <c r="Q76" i="35"/>
  <c r="AA76" i="35"/>
  <c r="AB76" i="35"/>
  <c r="Z76" i="35"/>
  <c r="V76" i="35"/>
  <c r="X76" i="35"/>
  <c r="W76" i="35"/>
  <c r="M76" i="35"/>
  <c r="F183" i="31"/>
  <c r="G183" i="31"/>
  <c r="E183" i="31"/>
  <c r="G220" i="31"/>
  <c r="F220" i="31"/>
  <c r="E220" i="31"/>
  <c r="E233" i="31"/>
  <c r="G233" i="31"/>
  <c r="F233" i="31"/>
  <c r="F222" i="31"/>
  <c r="E222" i="31"/>
  <c r="G222" i="31"/>
  <c r="G240" i="31"/>
  <c r="F240" i="31"/>
  <c r="E240" i="31"/>
  <c r="G228" i="31"/>
  <c r="F228" i="31"/>
  <c r="E228" i="31"/>
  <c r="F238" i="31"/>
  <c r="E238" i="31"/>
  <c r="G238" i="31"/>
  <c r="G239" i="31"/>
  <c r="F239" i="31"/>
  <c r="E239" i="31"/>
  <c r="G232" i="31"/>
  <c r="F232" i="31"/>
  <c r="E232" i="31"/>
  <c r="E229" i="31"/>
  <c r="G229" i="31"/>
  <c r="F229" i="31"/>
  <c r="G236" i="31"/>
  <c r="F236" i="31"/>
  <c r="E236" i="31"/>
  <c r="E221" i="31"/>
  <c r="G221" i="31"/>
  <c r="F221" i="31"/>
  <c r="G223" i="31"/>
  <c r="F223" i="31"/>
  <c r="E223" i="31"/>
  <c r="F234" i="31"/>
  <c r="E234" i="31"/>
  <c r="G234" i="31"/>
  <c r="F226" i="31"/>
  <c r="E226" i="31"/>
  <c r="G226" i="31"/>
  <c r="G224" i="31"/>
  <c r="F224" i="31"/>
  <c r="E224" i="31"/>
  <c r="E225" i="31"/>
  <c r="G225" i="31"/>
  <c r="F225" i="31"/>
  <c r="G231" i="31"/>
  <c r="F231" i="31"/>
  <c r="E231" i="31"/>
  <c r="G227" i="31"/>
  <c r="F227" i="31"/>
  <c r="E227" i="31"/>
  <c r="E237" i="31"/>
  <c r="G237" i="31"/>
  <c r="F237" i="31"/>
  <c r="G235" i="31"/>
  <c r="F235" i="31"/>
  <c r="E235" i="31"/>
  <c r="F230" i="31"/>
  <c r="E230" i="31"/>
  <c r="G230" i="31"/>
  <c r="D191" i="31"/>
  <c r="G189" i="31"/>
  <c r="F189" i="31"/>
  <c r="E189" i="31"/>
  <c r="D198" i="31"/>
  <c r="G193" i="31"/>
  <c r="F193" i="31"/>
  <c r="E193" i="31"/>
  <c r="G257" i="31"/>
  <c r="F257" i="31"/>
  <c r="D258" i="31"/>
  <c r="E257" i="31"/>
  <c r="E120" i="31"/>
  <c r="G120" i="31"/>
  <c r="F120" i="31"/>
  <c r="G117" i="31"/>
  <c r="E117" i="31"/>
  <c r="F117" i="31"/>
  <c r="G204" i="31"/>
  <c r="F204" i="31"/>
  <c r="E204" i="31"/>
  <c r="F154" i="31"/>
  <c r="E154" i="31"/>
  <c r="G154" i="31"/>
  <c r="F196" i="31"/>
  <c r="E196" i="31"/>
  <c r="G196" i="31"/>
  <c r="F115" i="31"/>
  <c r="G115" i="31"/>
  <c r="E115" i="31"/>
  <c r="F202" i="31"/>
  <c r="G202" i="31"/>
  <c r="E202" i="31"/>
  <c r="E272" i="31"/>
  <c r="G272" i="31"/>
  <c r="F272" i="31"/>
  <c r="E122" i="31"/>
  <c r="G122" i="31"/>
  <c r="F122" i="31"/>
  <c r="D150" i="31"/>
  <c r="G146" i="31"/>
  <c r="E146" i="31"/>
  <c r="F146" i="31"/>
  <c r="G152" i="31"/>
  <c r="D156" i="31"/>
  <c r="F152" i="31"/>
  <c r="E152" i="31"/>
  <c r="E263" i="31"/>
  <c r="D265" i="31"/>
  <c r="G263" i="31"/>
  <c r="F263" i="31"/>
  <c r="E173" i="31"/>
  <c r="F173" i="31"/>
  <c r="G173" i="31"/>
  <c r="F212" i="31"/>
  <c r="E212" i="31"/>
  <c r="G212" i="31"/>
  <c r="F273" i="31"/>
  <c r="E273" i="31"/>
  <c r="G273" i="31"/>
  <c r="G197" i="31"/>
  <c r="F197" i="31"/>
  <c r="E197" i="31"/>
  <c r="G190" i="31"/>
  <c r="F190" i="31"/>
  <c r="E190" i="31"/>
  <c r="D283" i="31"/>
  <c r="X283" i="4"/>
  <c r="T284" i="4"/>
  <c r="G147" i="31"/>
  <c r="E147" i="31"/>
  <c r="F147" i="31"/>
  <c r="G200" i="31"/>
  <c r="F200" i="31"/>
  <c r="D206" i="31"/>
  <c r="E200" i="31"/>
  <c r="G172" i="31"/>
  <c r="F172" i="31"/>
  <c r="E172" i="31"/>
  <c r="D184" i="31"/>
  <c r="F118" i="31"/>
  <c r="G118" i="31"/>
  <c r="E118" i="31"/>
  <c r="G275" i="31"/>
  <c r="F275" i="31"/>
  <c r="E275" i="31"/>
  <c r="G203" i="31"/>
  <c r="F203" i="31"/>
  <c r="E203" i="31"/>
  <c r="F213" i="31"/>
  <c r="E213" i="31"/>
  <c r="G213" i="31"/>
  <c r="F211" i="31"/>
  <c r="E211" i="31"/>
  <c r="G211" i="31"/>
  <c r="E153" i="31"/>
  <c r="G153" i="31"/>
  <c r="F153" i="31"/>
  <c r="E148" i="31"/>
  <c r="F148" i="31"/>
  <c r="G148" i="31"/>
  <c r="F274" i="31"/>
  <c r="E274" i="31"/>
  <c r="G274" i="31"/>
  <c r="F155" i="31"/>
  <c r="E155" i="31"/>
  <c r="G155" i="31"/>
  <c r="F201" i="31"/>
  <c r="E201" i="31"/>
  <c r="G201" i="31"/>
  <c r="U284" i="4"/>
  <c r="G271" i="31"/>
  <c r="D277" i="31"/>
  <c r="F271" i="31"/>
  <c r="E271" i="31"/>
  <c r="D215" i="31"/>
  <c r="G208" i="31"/>
  <c r="E208" i="31"/>
  <c r="F208" i="31"/>
  <c r="G195" i="31"/>
  <c r="F195" i="31"/>
  <c r="E195" i="31"/>
  <c r="F119" i="31"/>
  <c r="G119" i="31"/>
  <c r="E119" i="31"/>
  <c r="E194" i="31"/>
  <c r="G194" i="31"/>
  <c r="F194" i="31"/>
  <c r="G209" i="31"/>
  <c r="F209" i="31"/>
  <c r="E209" i="31"/>
  <c r="E210" i="31"/>
  <c r="G210" i="31"/>
  <c r="F210" i="31"/>
  <c r="G114" i="31"/>
  <c r="F114" i="31"/>
  <c r="E114" i="31"/>
  <c r="D124" i="31"/>
  <c r="G264" i="31"/>
  <c r="F264" i="31"/>
  <c r="E264" i="31"/>
  <c r="G121" i="31"/>
  <c r="F121" i="31"/>
  <c r="E121" i="31"/>
  <c r="F116" i="31"/>
  <c r="E116" i="31"/>
  <c r="G116" i="31"/>
  <c r="J92" i="31"/>
  <c r="G81" i="31"/>
  <c r="F81" i="31"/>
  <c r="E81" i="31"/>
  <c r="D85" i="31"/>
  <c r="F36" i="31"/>
  <c r="E36" i="31"/>
  <c r="G36" i="31"/>
  <c r="D43" i="31"/>
  <c r="G70" i="31"/>
  <c r="G72" i="31" s="1"/>
  <c r="E70" i="31"/>
  <c r="F70" i="31"/>
  <c r="F72" i="31" s="1"/>
  <c r="D72" i="31"/>
  <c r="E55" i="31"/>
  <c r="G55" i="31"/>
  <c r="F55" i="31"/>
  <c r="D60" i="31"/>
  <c r="G31" i="31"/>
  <c r="E31" i="31"/>
  <c r="F31" i="31"/>
  <c r="D34" i="31"/>
  <c r="F66" i="31"/>
  <c r="E66" i="31"/>
  <c r="G66" i="31"/>
  <c r="D68" i="31"/>
  <c r="G62" i="31"/>
  <c r="F62" i="31"/>
  <c r="E62" i="31"/>
  <c r="D64" i="31"/>
  <c r="E74" i="31"/>
  <c r="G74" i="31"/>
  <c r="F74" i="31"/>
  <c r="D79" i="31"/>
  <c r="F83" i="31"/>
  <c r="E83" i="31"/>
  <c r="G83" i="31"/>
  <c r="F40" i="31"/>
  <c r="G40" i="31"/>
  <c r="E40" i="31"/>
  <c r="G38" i="31"/>
  <c r="F38" i="31"/>
  <c r="E38" i="31"/>
  <c r="E82" i="31"/>
  <c r="G82" i="31"/>
  <c r="F82" i="31"/>
  <c r="G37" i="31"/>
  <c r="E37" i="31"/>
  <c r="F37" i="31"/>
  <c r="F84" i="31"/>
  <c r="G84" i="31"/>
  <c r="E84" i="31"/>
  <c r="D242" i="31"/>
  <c r="G42" i="31"/>
  <c r="F42" i="31"/>
  <c r="E42" i="31"/>
  <c r="E39" i="31"/>
  <c r="F39" i="31"/>
  <c r="G39" i="31"/>
  <c r="G41" i="31"/>
  <c r="E41" i="31"/>
  <c r="F41" i="31"/>
  <c r="E75" i="31"/>
  <c r="F75" i="31"/>
  <c r="G75" i="31"/>
  <c r="F56" i="31"/>
  <c r="G56" i="31"/>
  <c r="E56" i="31"/>
  <c r="G77" i="31"/>
  <c r="E77" i="31"/>
  <c r="F77" i="31"/>
  <c r="G67" i="31"/>
  <c r="E67" i="31"/>
  <c r="F67" i="31"/>
  <c r="F76" i="31"/>
  <c r="G76" i="31"/>
  <c r="E76" i="31"/>
  <c r="E32" i="31"/>
  <c r="G32" i="31"/>
  <c r="F32" i="31"/>
  <c r="G24" i="31"/>
  <c r="E24" i="31"/>
  <c r="F24" i="31"/>
  <c r="E87" i="31"/>
  <c r="G87" i="31"/>
  <c r="F87" i="31"/>
  <c r="D97" i="31"/>
  <c r="G102" i="31"/>
  <c r="F102" i="31"/>
  <c r="E102" i="31"/>
  <c r="D107" i="31"/>
  <c r="E103" i="31"/>
  <c r="F103" i="31"/>
  <c r="G103" i="31"/>
  <c r="E104" i="31"/>
  <c r="F104" i="31"/>
  <c r="G104" i="31"/>
  <c r="E105" i="31"/>
  <c r="F105" i="31"/>
  <c r="G105" i="31"/>
  <c r="G93" i="31"/>
  <c r="F93" i="31"/>
  <c r="E93" i="31"/>
  <c r="G94" i="31"/>
  <c r="F94" i="31"/>
  <c r="E94" i="31"/>
  <c r="E95" i="31"/>
  <c r="G95" i="31"/>
  <c r="F95" i="31"/>
  <c r="E88" i="31"/>
  <c r="G88" i="31"/>
  <c r="F88" i="31"/>
  <c r="E96" i="31"/>
  <c r="G96" i="31"/>
  <c r="F96" i="31"/>
  <c r="T43" i="4"/>
  <c r="X36" i="4"/>
  <c r="X55" i="4"/>
  <c r="T60" i="4"/>
  <c r="X102" i="4"/>
  <c r="T107" i="4"/>
  <c r="T191" i="4"/>
  <c r="X189" i="4"/>
  <c r="X152" i="4"/>
  <c r="T156" i="4"/>
  <c r="X38" i="4"/>
  <c r="X173" i="4"/>
  <c r="X42" i="4"/>
  <c r="X105" i="4"/>
  <c r="X232" i="4"/>
  <c r="X119" i="4"/>
  <c r="X203" i="4"/>
  <c r="X239" i="4"/>
  <c r="X122" i="4"/>
  <c r="X274" i="4"/>
  <c r="X222" i="4"/>
  <c r="X56" i="4"/>
  <c r="X77" i="4"/>
  <c r="X115" i="4"/>
  <c r="X67" i="4"/>
  <c r="X63" i="4"/>
  <c r="X275" i="4"/>
  <c r="X32" i="4"/>
  <c r="X209" i="4"/>
  <c r="X116" i="4"/>
  <c r="V198" i="4"/>
  <c r="V79" i="4"/>
  <c r="V206" i="4"/>
  <c r="V26" i="4"/>
  <c r="U206" i="4"/>
  <c r="U156" i="4"/>
  <c r="U191" i="4"/>
  <c r="U60" i="4"/>
  <c r="X94" i="4"/>
  <c r="X93" i="4"/>
  <c r="T184" i="4"/>
  <c r="X172" i="4"/>
  <c r="T242" i="4"/>
  <c r="X220" i="4"/>
  <c r="X66" i="4"/>
  <c r="T68" i="4"/>
  <c r="X193" i="4"/>
  <c r="T198" i="4"/>
  <c r="X74" i="4"/>
  <c r="T79" i="4"/>
  <c r="X82" i="4"/>
  <c r="X257" i="4"/>
  <c r="T258" i="4"/>
  <c r="X39" i="4"/>
  <c r="X231" i="4"/>
  <c r="X153" i="4"/>
  <c r="X236" i="4"/>
  <c r="X234" i="4"/>
  <c r="X227" i="4"/>
  <c r="X230" i="4"/>
  <c r="X212" i="4"/>
  <c r="X197" i="4"/>
  <c r="X233" i="4"/>
  <c r="X118" i="4"/>
  <c r="X117" i="4"/>
  <c r="X121" i="4"/>
  <c r="X213" i="4"/>
  <c r="X114" i="4"/>
  <c r="V85" i="4"/>
  <c r="V150" i="4"/>
  <c r="V184" i="4"/>
  <c r="V68" i="4"/>
  <c r="V107" i="4"/>
  <c r="U85" i="4"/>
  <c r="U72" i="4"/>
  <c r="U79" i="4"/>
  <c r="U198" i="4"/>
  <c r="U34" i="4"/>
  <c r="X95" i="4"/>
  <c r="T277" i="4"/>
  <c r="X271" i="4"/>
  <c r="X263" i="4"/>
  <c r="T265" i="4"/>
  <c r="T215" i="4"/>
  <c r="X208" i="4"/>
  <c r="X146" i="4"/>
  <c r="T150" i="4"/>
  <c r="X83" i="4"/>
  <c r="X37" i="4"/>
  <c r="X221" i="4"/>
  <c r="X195" i="4"/>
  <c r="X103" i="4"/>
  <c r="X190" i="4"/>
  <c r="X57" i="4"/>
  <c r="X75" i="4"/>
  <c r="X226" i="4"/>
  <c r="X104" i="4"/>
  <c r="X147" i="4"/>
  <c r="X183" i="4"/>
  <c r="X225" i="4"/>
  <c r="X201" i="4"/>
  <c r="X202" i="4"/>
  <c r="X229" i="4"/>
  <c r="X120" i="4"/>
  <c r="X264" i="4"/>
  <c r="X196" i="4"/>
  <c r="V43" i="4"/>
  <c r="V64" i="4"/>
  <c r="V277" i="4"/>
  <c r="V156" i="4"/>
  <c r="V215" i="4"/>
  <c r="U43" i="4"/>
  <c r="U150" i="4"/>
  <c r="U107" i="4"/>
  <c r="U265" i="4"/>
  <c r="U242" i="4"/>
  <c r="X88" i="4"/>
  <c r="V97" i="4"/>
  <c r="X81" i="4"/>
  <c r="T85" i="4"/>
  <c r="X70" i="4"/>
  <c r="T72" i="4"/>
  <c r="T34" i="4"/>
  <c r="V31" i="4"/>
  <c r="X31" i="4" s="1"/>
  <c r="X200" i="4"/>
  <c r="T206" i="4"/>
  <c r="X62" i="4"/>
  <c r="T64" i="4"/>
  <c r="X40" i="4"/>
  <c r="X84" i="4"/>
  <c r="X224" i="4"/>
  <c r="X41" i="4"/>
  <c r="X211" i="4"/>
  <c r="X148" i="4"/>
  <c r="X154" i="4"/>
  <c r="X111" i="4"/>
  <c r="T124" i="4"/>
  <c r="X204" i="4"/>
  <c r="X273" i="4"/>
  <c r="X223" i="4"/>
  <c r="X238" i="4"/>
  <c r="X235" i="4"/>
  <c r="X210" i="4"/>
  <c r="X272" i="4"/>
  <c r="X76" i="4"/>
  <c r="X240" i="4"/>
  <c r="X194" i="4"/>
  <c r="X155" i="4"/>
  <c r="X78" i="4"/>
  <c r="V191" i="4"/>
  <c r="V265" i="4"/>
  <c r="V60" i="4"/>
  <c r="V72" i="4"/>
  <c r="V258" i="4"/>
  <c r="V124" i="4"/>
  <c r="U184" i="4"/>
  <c r="U64" i="4"/>
  <c r="U215" i="4"/>
  <c r="U277" i="4"/>
  <c r="U68" i="4"/>
  <c r="U258" i="4"/>
  <c r="U124" i="4"/>
  <c r="U26" i="4"/>
  <c r="X87" i="4"/>
  <c r="T97" i="4"/>
  <c r="X96" i="4"/>
  <c r="AC76" i="35" l="1"/>
  <c r="Y76" i="35"/>
  <c r="F253" i="31"/>
  <c r="G253" i="31"/>
  <c r="E253" i="31"/>
  <c r="J194" i="31"/>
  <c r="G184" i="31"/>
  <c r="J208" i="31"/>
  <c r="J116" i="31"/>
  <c r="J264" i="31"/>
  <c r="J121" i="31"/>
  <c r="J193" i="31"/>
  <c r="J230" i="31"/>
  <c r="J226" i="31"/>
  <c r="J235" i="31"/>
  <c r="J152" i="31"/>
  <c r="J202" i="31"/>
  <c r="J233" i="31"/>
  <c r="J201" i="31"/>
  <c r="J234" i="31"/>
  <c r="J148" i="31"/>
  <c r="J213" i="31"/>
  <c r="J236" i="31"/>
  <c r="J209" i="31"/>
  <c r="J231" i="31"/>
  <c r="J210" i="31"/>
  <c r="J119" i="31"/>
  <c r="J153" i="31"/>
  <c r="J173" i="31"/>
  <c r="J122" i="31"/>
  <c r="J154" i="31"/>
  <c r="J197" i="31"/>
  <c r="J227" i="31"/>
  <c r="J195" i="31"/>
  <c r="F277" i="31"/>
  <c r="G124" i="31"/>
  <c r="G277" i="31"/>
  <c r="J155" i="31"/>
  <c r="J203" i="31"/>
  <c r="J221" i="31"/>
  <c r="F184" i="31"/>
  <c r="J183" i="31"/>
  <c r="J273" i="31"/>
  <c r="J229" i="31"/>
  <c r="J212" i="31"/>
  <c r="J120" i="31"/>
  <c r="J220" i="31"/>
  <c r="J274" i="31"/>
  <c r="J211" i="31"/>
  <c r="J118" i="31"/>
  <c r="J147" i="31"/>
  <c r="J190" i="31"/>
  <c r="J232" i="31"/>
  <c r="J240" i="31"/>
  <c r="J196" i="31"/>
  <c r="J222" i="31"/>
  <c r="J204" i="31"/>
  <c r="J117" i="31"/>
  <c r="J275" i="31"/>
  <c r="J223" i="31"/>
  <c r="E184" i="31"/>
  <c r="J239" i="31"/>
  <c r="J238" i="31"/>
  <c r="J272" i="31"/>
  <c r="J115" i="31"/>
  <c r="F124" i="31"/>
  <c r="G215" i="31"/>
  <c r="E206" i="31"/>
  <c r="F265" i="31"/>
  <c r="G156" i="31"/>
  <c r="G150" i="31"/>
  <c r="G191" i="31"/>
  <c r="G265" i="31"/>
  <c r="E156" i="31"/>
  <c r="J146" i="31"/>
  <c r="E198" i="31"/>
  <c r="J189" i="31"/>
  <c r="J114" i="31"/>
  <c r="F215" i="31"/>
  <c r="J271" i="31"/>
  <c r="F206" i="31"/>
  <c r="F283" i="31"/>
  <c r="F284" i="31" s="1"/>
  <c r="E283" i="31"/>
  <c r="E284" i="31" s="1"/>
  <c r="G283" i="31"/>
  <c r="G284" i="31" s="1"/>
  <c r="D284" i="31"/>
  <c r="F156" i="31"/>
  <c r="F150" i="31"/>
  <c r="F198" i="31"/>
  <c r="E191" i="31"/>
  <c r="E124" i="31"/>
  <c r="E215" i="31"/>
  <c r="E277" i="31"/>
  <c r="J172" i="31"/>
  <c r="J200" i="31"/>
  <c r="G206" i="31"/>
  <c r="X284" i="4"/>
  <c r="J263" i="31"/>
  <c r="E265" i="31"/>
  <c r="E150" i="31"/>
  <c r="J257" i="31"/>
  <c r="G198" i="31"/>
  <c r="F191" i="31"/>
  <c r="J41" i="31"/>
  <c r="J77" i="31"/>
  <c r="J95" i="31"/>
  <c r="J93" i="31"/>
  <c r="J104" i="31"/>
  <c r="J76" i="31"/>
  <c r="J57" i="31"/>
  <c r="J39" i="31"/>
  <c r="J37" i="31"/>
  <c r="J88" i="31"/>
  <c r="J94" i="31"/>
  <c r="J24" i="31"/>
  <c r="J96" i="31"/>
  <c r="F107" i="31"/>
  <c r="G97" i="31"/>
  <c r="J228" i="31"/>
  <c r="G242" i="31"/>
  <c r="J103" i="31"/>
  <c r="G107" i="31"/>
  <c r="J32" i="31"/>
  <c r="J67" i="31"/>
  <c r="J56" i="31"/>
  <c r="J75" i="31"/>
  <c r="F79" i="31"/>
  <c r="G68" i="31"/>
  <c r="F34" i="31"/>
  <c r="F60" i="31"/>
  <c r="G43" i="31"/>
  <c r="J84" i="31"/>
  <c r="J82" i="31"/>
  <c r="J40" i="31"/>
  <c r="J83" i="31"/>
  <c r="G79" i="31"/>
  <c r="F64" i="31"/>
  <c r="G60" i="31"/>
  <c r="F85" i="31"/>
  <c r="J105" i="31"/>
  <c r="F97" i="31"/>
  <c r="J63" i="31"/>
  <c r="J225" i="31"/>
  <c r="J42" i="31"/>
  <c r="F242" i="31"/>
  <c r="J38" i="31"/>
  <c r="G64" i="31"/>
  <c r="F68" i="31"/>
  <c r="G34" i="31"/>
  <c r="F43" i="31"/>
  <c r="G85" i="31"/>
  <c r="E107" i="31"/>
  <c r="J102" i="31"/>
  <c r="J87" i="31"/>
  <c r="E97" i="31"/>
  <c r="J224" i="31"/>
  <c r="E242" i="31"/>
  <c r="J74" i="31"/>
  <c r="E79" i="31"/>
  <c r="E64" i="31"/>
  <c r="J62" i="31"/>
  <c r="E68" i="31"/>
  <c r="J66" i="31"/>
  <c r="J31" i="31"/>
  <c r="E34" i="31"/>
  <c r="J55" i="31"/>
  <c r="E60" i="31"/>
  <c r="J70" i="31"/>
  <c r="E72" i="31"/>
  <c r="J72" i="31" s="1"/>
  <c r="E43" i="31"/>
  <c r="J36" i="31"/>
  <c r="J81" i="31"/>
  <c r="E85" i="31"/>
  <c r="X228" i="4"/>
  <c r="U27" i="4"/>
  <c r="X64" i="4"/>
  <c r="X215" i="4"/>
  <c r="X258" i="4"/>
  <c r="X198" i="4"/>
  <c r="X97" i="4"/>
  <c r="X85" i="4"/>
  <c r="X265" i="4"/>
  <c r="X79" i="4"/>
  <c r="V27" i="4"/>
  <c r="V242" i="4"/>
  <c r="X156" i="4"/>
  <c r="V34" i="4"/>
  <c r="X34" i="4" s="1"/>
  <c r="X72" i="4"/>
  <c r="X277" i="4"/>
  <c r="X191" i="4"/>
  <c r="X60" i="4"/>
  <c r="X124" i="4"/>
  <c r="X206" i="4"/>
  <c r="X150" i="4"/>
  <c r="X68" i="4"/>
  <c r="X184" i="4"/>
  <c r="X107" i="4"/>
  <c r="X43" i="4"/>
  <c r="J253" i="31" l="1"/>
  <c r="G258" i="31"/>
  <c r="J215" i="31"/>
  <c r="J277" i="31"/>
  <c r="J156" i="31"/>
  <c r="J184" i="31"/>
  <c r="J124" i="31"/>
  <c r="J198" i="31"/>
  <c r="J265" i="31"/>
  <c r="J206" i="31"/>
  <c r="J284" i="31"/>
  <c r="J191" i="31"/>
  <c r="J283" i="31"/>
  <c r="J150" i="31"/>
  <c r="J60" i="31"/>
  <c r="J79" i="31"/>
  <c r="J43" i="31"/>
  <c r="J68" i="31"/>
  <c r="J85" i="31"/>
  <c r="J242" i="31"/>
  <c r="J64" i="31"/>
  <c r="J34" i="31"/>
  <c r="J107" i="31"/>
  <c r="J97" i="31"/>
  <c r="X242" i="4"/>
  <c r="J256" i="31" l="1"/>
  <c r="E258" i="31"/>
  <c r="T23" i="4" l="1"/>
  <c r="T26" i="4" l="1"/>
  <c r="X26" i="4" s="1"/>
  <c r="X23" i="4"/>
  <c r="D23" i="31"/>
  <c r="F23" i="31" s="1"/>
  <c r="F26" i="31" s="1"/>
  <c r="T260" i="4"/>
  <c r="V260" i="4"/>
  <c r="V261" i="4" s="1"/>
  <c r="V169" i="4"/>
  <c r="V170" i="4" s="1"/>
  <c r="T169" i="4"/>
  <c r="T170" i="4" s="1"/>
  <c r="U139" i="4"/>
  <c r="C5" i="20"/>
  <c r="U260" i="4"/>
  <c r="U169" i="4"/>
  <c r="T139" i="4"/>
  <c r="T140" i="4" s="1"/>
  <c r="T2" i="4"/>
  <c r="T27" i="4"/>
  <c r="G23" i="31" l="1"/>
  <c r="G26" i="31" s="1"/>
  <c r="C5" i="37" s="1"/>
  <c r="I7" i="37" s="1"/>
  <c r="D26" i="31"/>
  <c r="F27" i="31" s="1"/>
  <c r="E23" i="31"/>
  <c r="E26" i="31" s="1"/>
  <c r="C5" i="36"/>
  <c r="I7" i="20"/>
  <c r="U261" i="4"/>
  <c r="T261" i="4"/>
  <c r="D260" i="31"/>
  <c r="D261" i="31" s="1"/>
  <c r="D169" i="31"/>
  <c r="D170" i="31" s="1"/>
  <c r="U140" i="4"/>
  <c r="X140" i="4" s="1"/>
  <c r="X169" i="4"/>
  <c r="X139" i="4"/>
  <c r="D139" i="31"/>
  <c r="D140" i="31" s="1"/>
  <c r="X260" i="4"/>
  <c r="U170" i="4"/>
  <c r="J19" i="20" l="1"/>
  <c r="J17" i="20" s="1"/>
  <c r="D27" i="31"/>
  <c r="G27" i="31"/>
  <c r="J23" i="31"/>
  <c r="J19" i="37"/>
  <c r="J26" i="31"/>
  <c r="C5" i="22"/>
  <c r="I7" i="36"/>
  <c r="X170" i="4"/>
  <c r="X261" i="4"/>
  <c r="E27" i="31"/>
  <c r="E260" i="31"/>
  <c r="E139" i="31"/>
  <c r="G260" i="31"/>
  <c r="G261" i="31" s="1"/>
  <c r="E169" i="31"/>
  <c r="F139" i="31"/>
  <c r="F140" i="31" s="1"/>
  <c r="G139" i="31"/>
  <c r="G140" i="31" s="1"/>
  <c r="G169" i="31"/>
  <c r="G170" i="31" s="1"/>
  <c r="F260" i="31"/>
  <c r="F261" i="31" s="1"/>
  <c r="F169" i="31"/>
  <c r="F170" i="31" s="1"/>
  <c r="I7" i="22" l="1"/>
  <c r="E5" i="20"/>
  <c r="J19" i="36"/>
  <c r="J260" i="31"/>
  <c r="E261" i="31"/>
  <c r="J261" i="31" s="1"/>
  <c r="E140" i="31"/>
  <c r="J139" i="31"/>
  <c r="J169" i="31"/>
  <c r="E170" i="31"/>
  <c r="J170" i="31" s="1"/>
  <c r="J19" i="22" l="1"/>
  <c r="J140" i="31"/>
  <c r="B12" i="35" l="1"/>
  <c r="A30" i="35" l="1"/>
  <c r="A28" i="35"/>
  <c r="A26" i="35"/>
  <c r="A24" i="35"/>
  <c r="A22" i="35"/>
  <c r="A20" i="35"/>
  <c r="A18" i="35"/>
  <c r="A16" i="35"/>
  <c r="A14" i="35"/>
  <c r="A12" i="35"/>
  <c r="A10" i="35"/>
  <c r="A8" i="35"/>
  <c r="B28" i="35" l="1"/>
  <c r="B22" i="35"/>
  <c r="B26" i="35"/>
  <c r="B20" i="35" l="1"/>
  <c r="D28" i="35"/>
  <c r="C28" i="35" s="1"/>
  <c r="D22" i="35"/>
  <c r="C22" i="35" s="1"/>
  <c r="B10" i="35"/>
  <c r="B18" i="35"/>
  <c r="E28" i="35"/>
  <c r="D12" i="35"/>
  <c r="C12" i="35" s="1"/>
  <c r="F28" i="35"/>
  <c r="L28" i="35" l="1"/>
  <c r="J28" i="35"/>
  <c r="K28" i="35"/>
  <c r="B24" i="35"/>
  <c r="D24" i="35"/>
  <c r="E51" i="35"/>
  <c r="E37" i="35"/>
  <c r="E43" i="35"/>
  <c r="E47" i="35"/>
  <c r="E53" i="35"/>
  <c r="L53" i="35" s="1"/>
  <c r="M53" i="35" s="1"/>
  <c r="E49" i="35"/>
  <c r="E41" i="35"/>
  <c r="E26" i="35"/>
  <c r="K26" i="35" s="1"/>
  <c r="M26" i="35" s="1"/>
  <c r="G28" i="35"/>
  <c r="E39" i="35"/>
  <c r="K39" i="35" s="1"/>
  <c r="H28" i="35"/>
  <c r="B32" i="35"/>
  <c r="E20" i="35" l="1"/>
  <c r="C24" i="35"/>
  <c r="M28" i="35"/>
  <c r="L47" i="35"/>
  <c r="J47" i="35"/>
  <c r="K47" i="35"/>
  <c r="L51" i="35"/>
  <c r="M51" i="35" s="1"/>
  <c r="D20" i="35"/>
  <c r="C20" i="35" s="1"/>
  <c r="L20" i="35"/>
  <c r="K20" i="35"/>
  <c r="J20" i="35"/>
  <c r="X20" i="35" s="1"/>
  <c r="P28" i="35"/>
  <c r="O28" i="35"/>
  <c r="N28" i="35"/>
  <c r="L43" i="35"/>
  <c r="K43" i="35"/>
  <c r="J43" i="35"/>
  <c r="L37" i="35"/>
  <c r="J37" i="35"/>
  <c r="M39" i="35"/>
  <c r="J49" i="35"/>
  <c r="L49" i="35"/>
  <c r="K49" i="35"/>
  <c r="D26" i="35"/>
  <c r="C26" i="35" s="1"/>
  <c r="D10" i="35"/>
  <c r="C10" i="35" s="1"/>
  <c r="L41" i="35"/>
  <c r="J41" i="35"/>
  <c r="K41" i="35"/>
  <c r="D18" i="35"/>
  <c r="C18" i="35" s="1"/>
  <c r="X28" i="35"/>
  <c r="W28" i="35"/>
  <c r="V28" i="35"/>
  <c r="B14" i="35"/>
  <c r="F39" i="35"/>
  <c r="F49" i="35"/>
  <c r="F43" i="35"/>
  <c r="F37" i="35"/>
  <c r="F47" i="35"/>
  <c r="E12" i="35"/>
  <c r="F12" i="35"/>
  <c r="H39" i="35"/>
  <c r="H53" i="35"/>
  <c r="Q53" i="35" s="1"/>
  <c r="H37" i="35"/>
  <c r="G37" i="35"/>
  <c r="H49" i="35"/>
  <c r="G49" i="35"/>
  <c r="H43" i="35"/>
  <c r="G43" i="35"/>
  <c r="G53" i="35"/>
  <c r="F51" i="35"/>
  <c r="F41" i="35"/>
  <c r="F53" i="35"/>
  <c r="H41" i="35"/>
  <c r="G41" i="35"/>
  <c r="F26" i="35"/>
  <c r="F20" i="35"/>
  <c r="G51" i="35"/>
  <c r="G47" i="35"/>
  <c r="H51" i="35"/>
  <c r="P51" i="35" s="1"/>
  <c r="Q51" i="35" s="1"/>
  <c r="H47" i="35"/>
  <c r="B16" i="35"/>
  <c r="B8" i="35"/>
  <c r="Q28" i="35" l="1"/>
  <c r="K55" i="35"/>
  <c r="U245" i="4" s="1"/>
  <c r="Y28" i="35"/>
  <c r="M43" i="35"/>
  <c r="M49" i="35"/>
  <c r="M37" i="35"/>
  <c r="P43" i="35"/>
  <c r="O43" i="35"/>
  <c r="N43" i="35"/>
  <c r="E70" i="35"/>
  <c r="M41" i="35"/>
  <c r="M20" i="35"/>
  <c r="W47" i="35"/>
  <c r="W55" i="35" s="1"/>
  <c r="F245" i="31" s="1"/>
  <c r="P37" i="35"/>
  <c r="N37" i="35"/>
  <c r="V37" i="35"/>
  <c r="V43" i="35"/>
  <c r="Y43" i="35" s="1"/>
  <c r="AA28" i="35"/>
  <c r="Z28" i="35"/>
  <c r="AB28" i="35"/>
  <c r="Y20" i="35"/>
  <c r="N41" i="35"/>
  <c r="Z41" i="35" s="1"/>
  <c r="AC41" i="35" s="1"/>
  <c r="O41" i="35"/>
  <c r="P41" i="35"/>
  <c r="N49" i="35"/>
  <c r="P49" i="35"/>
  <c r="O49" i="35"/>
  <c r="O39" i="35"/>
  <c r="Q39" i="35" s="1"/>
  <c r="E64" i="35"/>
  <c r="J55" i="35"/>
  <c r="V41" i="35"/>
  <c r="Y41" i="35" s="1"/>
  <c r="M47" i="35"/>
  <c r="J12" i="35"/>
  <c r="V12" i="35" s="1"/>
  <c r="Y12" i="35" s="1"/>
  <c r="P47" i="35"/>
  <c r="N47" i="35"/>
  <c r="O47" i="35"/>
  <c r="X49" i="35"/>
  <c r="X55" i="35" s="1"/>
  <c r="G245" i="31" s="1"/>
  <c r="E22" i="35"/>
  <c r="L22" i="35" s="1"/>
  <c r="M22" i="35" s="1"/>
  <c r="E24" i="35"/>
  <c r="K24" i="35" s="1"/>
  <c r="M24" i="35" s="1"/>
  <c r="G39" i="35"/>
  <c r="H26" i="35"/>
  <c r="O26" i="35" s="1"/>
  <c r="Q26" i="35" s="1"/>
  <c r="G26" i="35"/>
  <c r="E16" i="35"/>
  <c r="F32" i="35"/>
  <c r="E32" i="35"/>
  <c r="G20" i="35"/>
  <c r="E8" i="35"/>
  <c r="Q49" i="35" l="1"/>
  <c r="Y47" i="35"/>
  <c r="Q43" i="35"/>
  <c r="Q41" i="35"/>
  <c r="L64" i="35"/>
  <c r="V249" i="4" s="1"/>
  <c r="K64" i="35"/>
  <c r="U249" i="4" s="1"/>
  <c r="J64" i="35"/>
  <c r="G249" i="4"/>
  <c r="M249" i="4" s="1"/>
  <c r="O249" i="4" s="1"/>
  <c r="S249" i="4" s="1"/>
  <c r="L16" i="35"/>
  <c r="J16" i="35"/>
  <c r="K16" i="35"/>
  <c r="H72" i="35"/>
  <c r="F70" i="35"/>
  <c r="G64" i="35"/>
  <c r="G72" i="35"/>
  <c r="E72" i="35"/>
  <c r="E79" i="35" s="1"/>
  <c r="Y49" i="35"/>
  <c r="AA47" i="35"/>
  <c r="AA55" i="35" s="1"/>
  <c r="Z43" i="35"/>
  <c r="AC43" i="35" s="1"/>
  <c r="D8" i="35"/>
  <c r="D32" i="35"/>
  <c r="C32" i="35" s="1"/>
  <c r="L8" i="35"/>
  <c r="J8" i="35"/>
  <c r="L32" i="35"/>
  <c r="K32" i="35"/>
  <c r="J32" i="35"/>
  <c r="H64" i="35"/>
  <c r="G70" i="35"/>
  <c r="F74" i="35"/>
  <c r="AC28" i="35"/>
  <c r="V55" i="35"/>
  <c r="E245" i="31" s="1"/>
  <c r="Q37" i="35"/>
  <c r="J70" i="35"/>
  <c r="L70" i="35"/>
  <c r="G250" i="4"/>
  <c r="M250" i="4" s="1"/>
  <c r="O250" i="4" s="1"/>
  <c r="S250" i="4" s="1"/>
  <c r="K70" i="35"/>
  <c r="E60" i="35"/>
  <c r="F64" i="35"/>
  <c r="F72" i="35"/>
  <c r="H70" i="35"/>
  <c r="B30" i="35"/>
  <c r="Q47" i="35"/>
  <c r="M12" i="35"/>
  <c r="T245" i="4"/>
  <c r="O55" i="35"/>
  <c r="AB49" i="35"/>
  <c r="AB55" i="35" s="1"/>
  <c r="Y37" i="35"/>
  <c r="Z37" i="35"/>
  <c r="AC37" i="35" s="1"/>
  <c r="N55" i="35"/>
  <c r="E10" i="35"/>
  <c r="G22" i="35"/>
  <c r="E30" i="35"/>
  <c r="D30" i="35"/>
  <c r="E18" i="35"/>
  <c r="J18" i="35" s="1"/>
  <c r="F24" i="35"/>
  <c r="G16" i="35"/>
  <c r="H12" i="35"/>
  <c r="N12" i="35" s="1"/>
  <c r="G12" i="35"/>
  <c r="G32" i="35"/>
  <c r="H20" i="35"/>
  <c r="F16" i="35"/>
  <c r="M8" i="35" l="1"/>
  <c r="M32" i="35"/>
  <c r="AC47" i="35"/>
  <c r="F79" i="35"/>
  <c r="G74" i="35"/>
  <c r="G79" i="35" s="1"/>
  <c r="D16" i="35"/>
  <c r="C16" i="35" s="1"/>
  <c r="H74" i="35"/>
  <c r="L30" i="35"/>
  <c r="K30" i="35"/>
  <c r="J30" i="35"/>
  <c r="V30" i="35" s="1"/>
  <c r="Y30" i="35" s="1"/>
  <c r="K10" i="35"/>
  <c r="J10" i="35"/>
  <c r="V10" i="35" s="1"/>
  <c r="Y10" i="35" s="1"/>
  <c r="Z55" i="35"/>
  <c r="V250" i="4"/>
  <c r="V32" i="35"/>
  <c r="W32" i="35"/>
  <c r="X32" i="35"/>
  <c r="X34" i="35" s="1"/>
  <c r="G244" i="31" s="1"/>
  <c r="T8" i="35"/>
  <c r="V8" i="35"/>
  <c r="L72" i="35"/>
  <c r="V251" i="4" s="1"/>
  <c r="K72" i="35"/>
  <c r="U251" i="4" s="1"/>
  <c r="J72" i="35"/>
  <c r="J79" i="35" s="1"/>
  <c r="G251" i="4"/>
  <c r="M251" i="4" s="1"/>
  <c r="O251" i="4" s="1"/>
  <c r="S251" i="4" s="1"/>
  <c r="M16" i="35"/>
  <c r="W16" i="35"/>
  <c r="M64" i="35"/>
  <c r="M18" i="35"/>
  <c r="W18" i="35"/>
  <c r="Y18" i="35" s="1"/>
  <c r="N20" i="35"/>
  <c r="AB20" i="35" s="1"/>
  <c r="P20" i="35"/>
  <c r="O20" i="35"/>
  <c r="D14" i="35"/>
  <c r="C14" i="35" s="1"/>
  <c r="D245" i="31"/>
  <c r="J245" i="31" s="1"/>
  <c r="C30" i="35"/>
  <c r="B34" i="35"/>
  <c r="F8" i="35"/>
  <c r="M70" i="35"/>
  <c r="X70" i="35"/>
  <c r="W70" i="35"/>
  <c r="F250" i="31" s="1"/>
  <c r="V70" i="35"/>
  <c r="T250" i="4"/>
  <c r="P64" i="35"/>
  <c r="O64" i="35"/>
  <c r="N64" i="35"/>
  <c r="C8" i="35"/>
  <c r="O72" i="35"/>
  <c r="N72" i="35"/>
  <c r="P72" i="35"/>
  <c r="W64" i="35"/>
  <c r="F249" i="31" s="1"/>
  <c r="V64" i="35"/>
  <c r="X64" i="35"/>
  <c r="G249" i="31" s="1"/>
  <c r="T249" i="4"/>
  <c r="G10" i="35"/>
  <c r="P70" i="35"/>
  <c r="O70" i="35"/>
  <c r="N70" i="35"/>
  <c r="Q70" i="35" s="1"/>
  <c r="H79" i="35"/>
  <c r="H8" i="35"/>
  <c r="Q12" i="35"/>
  <c r="Z12" i="35"/>
  <c r="AC12" i="35" s="1"/>
  <c r="AC55" i="35"/>
  <c r="AC49" i="35"/>
  <c r="Y55" i="35"/>
  <c r="K60" i="35"/>
  <c r="J60" i="35"/>
  <c r="L60" i="35"/>
  <c r="G247" i="4"/>
  <c r="M247" i="4" s="1"/>
  <c r="O247" i="4" s="1"/>
  <c r="S247" i="4" s="1"/>
  <c r="U250" i="4"/>
  <c r="G8" i="35"/>
  <c r="F10" i="35"/>
  <c r="F22" i="35"/>
  <c r="F30" i="35"/>
  <c r="G30" i="35"/>
  <c r="F18" i="35"/>
  <c r="H24" i="35"/>
  <c r="G24" i="35"/>
  <c r="H16" i="35"/>
  <c r="F62" i="35"/>
  <c r="E62" i="35"/>
  <c r="E66" i="35" s="1"/>
  <c r="C34" i="35" l="1"/>
  <c r="C81" i="35" s="1"/>
  <c r="Q64" i="35"/>
  <c r="Q20" i="35"/>
  <c r="Y70" i="35"/>
  <c r="K79" i="35"/>
  <c r="Y32" i="35"/>
  <c r="Y8" i="35"/>
  <c r="M10" i="35"/>
  <c r="Z64" i="35"/>
  <c r="AA64" i="35"/>
  <c r="AB64" i="35"/>
  <c r="X250" i="4"/>
  <c r="D250" i="31"/>
  <c r="G250" i="31"/>
  <c r="B81" i="35"/>
  <c r="M72" i="35"/>
  <c r="W72" i="35"/>
  <c r="X72" i="35"/>
  <c r="G251" i="31" s="1"/>
  <c r="V72" i="35"/>
  <c r="E251" i="31" s="1"/>
  <c r="T251" i="4"/>
  <c r="U247" i="4"/>
  <c r="F45" i="35"/>
  <c r="F55" i="35" s="1"/>
  <c r="AB70" i="35"/>
  <c r="AA70" i="35"/>
  <c r="Z70" i="35"/>
  <c r="P8" i="35"/>
  <c r="N8" i="35"/>
  <c r="L62" i="35"/>
  <c r="V246" i="4" s="1"/>
  <c r="K62" i="35"/>
  <c r="U246" i="4" s="1"/>
  <c r="G246" i="4"/>
  <c r="M246" i="4" s="1"/>
  <c r="O246" i="4" s="1"/>
  <c r="S246" i="4" s="1"/>
  <c r="J62" i="35"/>
  <c r="J66" i="35" s="1"/>
  <c r="G60" i="35"/>
  <c r="X60" i="35"/>
  <c r="V60" i="35"/>
  <c r="W60" i="35"/>
  <c r="T247" i="4"/>
  <c r="D249" i="31"/>
  <c r="X249" i="4"/>
  <c r="D34" i="35"/>
  <c r="E250" i="31"/>
  <c r="AC20" i="35"/>
  <c r="W34" i="35"/>
  <c r="F244" i="31" s="1"/>
  <c r="Y16" i="35"/>
  <c r="F60" i="35"/>
  <c r="F66" i="35" s="1"/>
  <c r="Y64" i="35"/>
  <c r="E249" i="31"/>
  <c r="O16" i="35"/>
  <c r="N16" i="35"/>
  <c r="AA16" i="35" s="1"/>
  <c r="P16" i="35"/>
  <c r="V247" i="4"/>
  <c r="H60" i="35"/>
  <c r="O24" i="35"/>
  <c r="Q24" i="35" s="1"/>
  <c r="E45" i="35"/>
  <c r="M60" i="35"/>
  <c r="Q72" i="35"/>
  <c r="Z72" i="35"/>
  <c r="AA72" i="35"/>
  <c r="AB72" i="35"/>
  <c r="L79" i="35"/>
  <c r="M30" i="35"/>
  <c r="N74" i="35"/>
  <c r="P74" i="35"/>
  <c r="P79" i="35" s="1"/>
  <c r="O74" i="35"/>
  <c r="O79" i="35" s="1"/>
  <c r="H10" i="35"/>
  <c r="H22" i="35"/>
  <c r="P22" i="35" s="1"/>
  <c r="Q22" i="35" s="1"/>
  <c r="H30" i="35"/>
  <c r="H18" i="35"/>
  <c r="N18" i="35" s="1"/>
  <c r="G18" i="35"/>
  <c r="H32" i="35"/>
  <c r="H62" i="35"/>
  <c r="E80" i="35"/>
  <c r="L66" i="35" l="1"/>
  <c r="Q16" i="35"/>
  <c r="V79" i="35"/>
  <c r="J249" i="31"/>
  <c r="Q18" i="35"/>
  <c r="AA18" i="35"/>
  <c r="AC18" i="35" s="1"/>
  <c r="AB74" i="35"/>
  <c r="AA74" i="35"/>
  <c r="AA79" i="35" s="1"/>
  <c r="Z74" i="35"/>
  <c r="Z79" i="35" s="1"/>
  <c r="N60" i="35"/>
  <c r="O60" i="35"/>
  <c r="P60" i="35"/>
  <c r="H66" i="35"/>
  <c r="G247" i="31"/>
  <c r="AC70" i="35"/>
  <c r="K66" i="35"/>
  <c r="J250" i="31"/>
  <c r="O32" i="35"/>
  <c r="N32" i="35"/>
  <c r="P32" i="35"/>
  <c r="G45" i="35"/>
  <c r="G55" i="35" s="1"/>
  <c r="Q74" i="35"/>
  <c r="D81" i="35"/>
  <c r="D247" i="31"/>
  <c r="X247" i="4"/>
  <c r="Y60" i="35"/>
  <c r="M62" i="35"/>
  <c r="AB79" i="35"/>
  <c r="O10" i="35"/>
  <c r="N10" i="35"/>
  <c r="Z10" i="35" s="1"/>
  <c r="AC10" i="35" s="1"/>
  <c r="P62" i="35"/>
  <c r="O62" i="35"/>
  <c r="N62" i="35"/>
  <c r="AC72" i="35"/>
  <c r="AC16" i="35"/>
  <c r="F80" i="35"/>
  <c r="F247" i="31"/>
  <c r="X62" i="35"/>
  <c r="G246" i="31" s="1"/>
  <c r="V62" i="35"/>
  <c r="E246" i="31" s="1"/>
  <c r="W62" i="35"/>
  <c r="F246" i="31" s="1"/>
  <c r="T246" i="4"/>
  <c r="Q8" i="35"/>
  <c r="N79" i="35"/>
  <c r="D251" i="31"/>
  <c r="X251" i="4"/>
  <c r="W79" i="35"/>
  <c r="F251" i="31"/>
  <c r="X79" i="35"/>
  <c r="AC64" i="35"/>
  <c r="O30" i="35"/>
  <c r="P30" i="35"/>
  <c r="N30" i="35"/>
  <c r="Z30" i="35" s="1"/>
  <c r="AC30" i="35" s="1"/>
  <c r="L45" i="35"/>
  <c r="L55" i="35" s="1"/>
  <c r="V245" i="4" s="1"/>
  <c r="E55" i="35"/>
  <c r="E247" i="31"/>
  <c r="Z8" i="35"/>
  <c r="Y72" i="35"/>
  <c r="W66" i="35" l="1"/>
  <c r="W81" i="35"/>
  <c r="Q32" i="35"/>
  <c r="Y79" i="35"/>
  <c r="Y62" i="35"/>
  <c r="J251" i="31"/>
  <c r="F255" i="31"/>
  <c r="AB62" i="35"/>
  <c r="AA62" i="35"/>
  <c r="Z62" i="35"/>
  <c r="I79" i="35"/>
  <c r="H80" i="35"/>
  <c r="H45" i="35"/>
  <c r="E14" i="35"/>
  <c r="Q30" i="35"/>
  <c r="D246" i="31"/>
  <c r="J246" i="31" s="1"/>
  <c r="X246" i="4"/>
  <c r="G254" i="31"/>
  <c r="G291" i="31" s="1"/>
  <c r="F254" i="31"/>
  <c r="P66" i="35"/>
  <c r="F14" i="35"/>
  <c r="F34" i="35" s="1"/>
  <c r="J247" i="31"/>
  <c r="O66" i="35"/>
  <c r="AC74" i="35"/>
  <c r="AC8" i="35"/>
  <c r="G245" i="4"/>
  <c r="M245" i="4" s="1"/>
  <c r="O245" i="4" s="1"/>
  <c r="S245" i="4" s="1"/>
  <c r="X245" i="4" s="1"/>
  <c r="G62" i="35"/>
  <c r="G66" i="35" s="1"/>
  <c r="V66" i="35"/>
  <c r="M45" i="35"/>
  <c r="AC79" i="35"/>
  <c r="Q62" i="35"/>
  <c r="Q10" i="35"/>
  <c r="AA32" i="35"/>
  <c r="AA34" i="35" s="1"/>
  <c r="Z32" i="35"/>
  <c r="AB32" i="35"/>
  <c r="AB34" i="35" s="1"/>
  <c r="X66" i="35"/>
  <c r="X81" i="35" s="1"/>
  <c r="G255" i="31" s="1"/>
  <c r="Q60" i="35"/>
  <c r="N66" i="35"/>
  <c r="AA60" i="35"/>
  <c r="Z60" i="35"/>
  <c r="AB60" i="35"/>
  <c r="AA66" i="35" l="1"/>
  <c r="AC62" i="35"/>
  <c r="AB66" i="35"/>
  <c r="AB81" i="35" s="1"/>
  <c r="C7" i="37" s="1"/>
  <c r="J28" i="37" s="1"/>
  <c r="J27" i="37" s="1"/>
  <c r="M27" i="37" s="1"/>
  <c r="K11" i="37" s="1"/>
  <c r="Z66" i="35"/>
  <c r="AA81" i="35"/>
  <c r="C7" i="36" s="1"/>
  <c r="J28" i="36" s="1"/>
  <c r="J26" i="36" s="1"/>
  <c r="AC32" i="35"/>
  <c r="G80" i="35"/>
  <c r="F81" i="35"/>
  <c r="C6" i="37"/>
  <c r="I8" i="37" s="1"/>
  <c r="G295" i="31"/>
  <c r="G293" i="31"/>
  <c r="P45" i="35"/>
  <c r="P55" i="35" s="1"/>
  <c r="H55" i="35"/>
  <c r="AC60" i="35"/>
  <c r="J14" i="35"/>
  <c r="L14" i="35"/>
  <c r="L34" i="35" s="1"/>
  <c r="K14" i="35"/>
  <c r="K34" i="35" s="1"/>
  <c r="E34" i="35"/>
  <c r="H14" i="35"/>
  <c r="S9" i="36" l="1"/>
  <c r="T9" i="36" s="1"/>
  <c r="U9" i="36" s="1"/>
  <c r="W9" i="36" s="1"/>
  <c r="X9" i="36" s="1"/>
  <c r="Z9" i="36" s="1"/>
  <c r="AA9" i="36" s="1"/>
  <c r="AB9" i="36" s="1"/>
  <c r="AD9" i="36" s="1"/>
  <c r="AE9" i="36" s="1"/>
  <c r="AF9" i="36" s="1"/>
  <c r="S8" i="36"/>
  <c r="T8" i="36" s="1"/>
  <c r="U8" i="36" s="1"/>
  <c r="W8" i="36" s="1"/>
  <c r="X8" i="36" s="1"/>
  <c r="Z8" i="36" s="1"/>
  <c r="AA8" i="36" s="1"/>
  <c r="AB8" i="36" s="1"/>
  <c r="AD8" i="36" s="1"/>
  <c r="AE8" i="36" s="1"/>
  <c r="AF8" i="36" s="1"/>
  <c r="J27" i="36"/>
  <c r="M27" i="36" s="1"/>
  <c r="K11" i="36" s="1"/>
  <c r="I11" i="36" s="1"/>
  <c r="S7" i="36"/>
  <c r="T7" i="36" s="1"/>
  <c r="U7" i="36" s="1"/>
  <c r="W7" i="36" s="1"/>
  <c r="X7" i="36" s="1"/>
  <c r="Z7" i="36" s="1"/>
  <c r="AA7" i="36" s="1"/>
  <c r="AB7" i="36" s="1"/>
  <c r="AD7" i="36" s="1"/>
  <c r="AE7" i="36" s="1"/>
  <c r="AF7" i="36" s="1"/>
  <c r="S7" i="37"/>
  <c r="T7" i="37" s="1"/>
  <c r="U7" i="37" s="1"/>
  <c r="W7" i="37" s="1"/>
  <c r="X7" i="37" s="1"/>
  <c r="Z7" i="37" s="1"/>
  <c r="AA7" i="37" s="1"/>
  <c r="AB7" i="37" s="1"/>
  <c r="AD7" i="37" s="1"/>
  <c r="AE7" i="37" s="1"/>
  <c r="AF7" i="37" s="1"/>
  <c r="AG7" i="37" s="1"/>
  <c r="AH7" i="37" s="1"/>
  <c r="S6" i="37"/>
  <c r="T6" i="37" s="1"/>
  <c r="U6" i="37" s="1"/>
  <c r="W6" i="37" s="1"/>
  <c r="X6" i="37" s="1"/>
  <c r="Z6" i="37" s="1"/>
  <c r="AA6" i="37" s="1"/>
  <c r="AB6" i="37" s="1"/>
  <c r="AD6" i="37" s="1"/>
  <c r="AE6" i="37" s="1"/>
  <c r="AF6" i="37" s="1"/>
  <c r="AG6" i="37" s="1"/>
  <c r="AH6" i="37" s="1"/>
  <c r="S8" i="37"/>
  <c r="T8" i="37" s="1"/>
  <c r="U8" i="37" s="1"/>
  <c r="W8" i="37" s="1"/>
  <c r="X8" i="37" s="1"/>
  <c r="Z8" i="37" s="1"/>
  <c r="AA8" i="37" s="1"/>
  <c r="AB8" i="37" s="1"/>
  <c r="AD8" i="37" s="1"/>
  <c r="AE8" i="37" s="1"/>
  <c r="AF8" i="37" s="1"/>
  <c r="AG8" i="37" s="1"/>
  <c r="AH8" i="37" s="1"/>
  <c r="S9" i="37"/>
  <c r="T9" i="37" s="1"/>
  <c r="U9" i="37" s="1"/>
  <c r="W9" i="37" s="1"/>
  <c r="X9" i="37" s="1"/>
  <c r="Z9" i="37" s="1"/>
  <c r="AA9" i="37" s="1"/>
  <c r="AB9" i="37" s="1"/>
  <c r="AD9" i="37" s="1"/>
  <c r="AE9" i="37" s="1"/>
  <c r="AF9" i="37" s="1"/>
  <c r="AG9" i="37" s="1"/>
  <c r="AH9" i="37" s="1"/>
  <c r="J26" i="37"/>
  <c r="S6" i="36"/>
  <c r="T6" i="36" s="1"/>
  <c r="U6" i="36" s="1"/>
  <c r="W6" i="36" s="1"/>
  <c r="X6" i="36" s="1"/>
  <c r="Z6" i="36" s="1"/>
  <c r="AA6" i="36" s="1"/>
  <c r="AB6" i="36" s="1"/>
  <c r="AD6" i="36" s="1"/>
  <c r="AE6" i="36" s="1"/>
  <c r="AF6" i="36" s="1"/>
  <c r="Q45" i="35"/>
  <c r="M11" i="36"/>
  <c r="G244" i="4"/>
  <c r="E81" i="35"/>
  <c r="G14" i="35"/>
  <c r="G34" i="35" s="1"/>
  <c r="O14" i="35"/>
  <c r="O34" i="35" s="1"/>
  <c r="O81" i="35" s="1"/>
  <c r="N14" i="35"/>
  <c r="P14" i="35"/>
  <c r="P34" i="35" s="1"/>
  <c r="P81" i="35" s="1"/>
  <c r="H34" i="35"/>
  <c r="H81" i="35" s="1"/>
  <c r="U244" i="4"/>
  <c r="K81" i="35"/>
  <c r="K8" i="37"/>
  <c r="I9" i="37"/>
  <c r="I16" i="37"/>
  <c r="M11" i="37"/>
  <c r="I11" i="37"/>
  <c r="V14" i="35"/>
  <c r="J34" i="35"/>
  <c r="M34" i="35" s="1"/>
  <c r="M14" i="35"/>
  <c r="V244" i="4"/>
  <c r="V254" i="4" s="1"/>
  <c r="V291" i="4" s="1"/>
  <c r="L81" i="35"/>
  <c r="V293" i="4" l="1"/>
  <c r="V295" i="4"/>
  <c r="Q14" i="35"/>
  <c r="G81" i="35"/>
  <c r="M244" i="4"/>
  <c r="G254" i="4"/>
  <c r="T244" i="4"/>
  <c r="J81" i="35"/>
  <c r="M81" i="35" s="1"/>
  <c r="Y14" i="35"/>
  <c r="V34" i="35"/>
  <c r="U255" i="4"/>
  <c r="U254" i="4"/>
  <c r="U291" i="4" s="1"/>
  <c r="Z14" i="35"/>
  <c r="N34" i="35"/>
  <c r="E244" i="31" l="1"/>
  <c r="V81" i="35"/>
  <c r="G255" i="4"/>
  <c r="G291" i="4"/>
  <c r="G295" i="4" s="1"/>
  <c r="N81" i="35"/>
  <c r="D244" i="31"/>
  <c r="D254" i="31" s="1"/>
  <c r="T254" i="4"/>
  <c r="T291" i="4" s="1"/>
  <c r="T255" i="4"/>
  <c r="X255" i="4" s="1"/>
  <c r="AC14" i="35"/>
  <c r="Z34" i="35"/>
  <c r="Z81" i="35" s="1"/>
  <c r="C7" i="22" s="1"/>
  <c r="J28" i="22" s="1"/>
  <c r="Q34" i="35"/>
  <c r="O244" i="4"/>
  <c r="M254" i="4"/>
  <c r="M291" i="4" s="1"/>
  <c r="M295" i="4" s="1"/>
  <c r="U293" i="4"/>
  <c r="U295" i="4"/>
  <c r="Y81" i="35"/>
  <c r="Y34" i="35"/>
  <c r="S244" i="4" l="1"/>
  <c r="O254" i="4"/>
  <c r="O291" i="4" s="1"/>
  <c r="O295" i="4" s="1"/>
  <c r="AC81" i="35"/>
  <c r="C7" i="20"/>
  <c r="Q81" i="35"/>
  <c r="AC34" i="35"/>
  <c r="J27" i="22"/>
  <c r="M27" i="22" s="1"/>
  <c r="K11" i="22" s="1"/>
  <c r="J26" i="22"/>
  <c r="S7" i="22"/>
  <c r="T7" i="22" s="1"/>
  <c r="U7" i="22" s="1"/>
  <c r="W7" i="22" s="1"/>
  <c r="X7" i="22" s="1"/>
  <c r="Z7" i="22" s="1"/>
  <c r="AA7" i="22" s="1"/>
  <c r="AB7" i="22" s="1"/>
  <c r="AD7" i="22" s="1"/>
  <c r="AE7" i="22" s="1"/>
  <c r="AF7" i="22" s="1"/>
  <c r="S8" i="22"/>
  <c r="T8" i="22" s="1"/>
  <c r="U8" i="22" s="1"/>
  <c r="W8" i="22" s="1"/>
  <c r="X8" i="22" s="1"/>
  <c r="Z8" i="22" s="1"/>
  <c r="AA8" i="22" s="1"/>
  <c r="AB8" i="22" s="1"/>
  <c r="AD8" i="22" s="1"/>
  <c r="AE8" i="22" s="1"/>
  <c r="AF8" i="22" s="1"/>
  <c r="S6" i="22"/>
  <c r="T6" i="22" s="1"/>
  <c r="U6" i="22" s="1"/>
  <c r="W6" i="22" s="1"/>
  <c r="X6" i="22" s="1"/>
  <c r="Z6" i="22" s="1"/>
  <c r="AA6" i="22" s="1"/>
  <c r="AB6" i="22" s="1"/>
  <c r="AD6" i="22" s="1"/>
  <c r="AE6" i="22" s="1"/>
  <c r="AF6" i="22" s="1"/>
  <c r="S9" i="22"/>
  <c r="T9" i="22" s="1"/>
  <c r="U9" i="22" s="1"/>
  <c r="W9" i="22" s="1"/>
  <c r="X9" i="22" s="1"/>
  <c r="Z9" i="22" s="1"/>
  <c r="AA9" i="22" s="1"/>
  <c r="AB9" i="22" s="1"/>
  <c r="AD9" i="22" s="1"/>
  <c r="AE9" i="22" s="1"/>
  <c r="AF9" i="22" s="1"/>
  <c r="T295" i="4"/>
  <c r="T293" i="4"/>
  <c r="C6" i="20"/>
  <c r="F258" i="31"/>
  <c r="D291" i="31"/>
  <c r="E255" i="31"/>
  <c r="J255" i="31" s="1"/>
  <c r="E254" i="31"/>
  <c r="E291" i="31" s="1"/>
  <c r="J244" i="31"/>
  <c r="J28" i="20" l="1"/>
  <c r="E292" i="31"/>
  <c r="E295" i="31"/>
  <c r="E293" i="31"/>
  <c r="C6" i="22"/>
  <c r="I8" i="22" s="1"/>
  <c r="I8" i="20"/>
  <c r="D293" i="31"/>
  <c r="D295" i="31"/>
  <c r="G292" i="31"/>
  <c r="M11" i="22"/>
  <c r="I11" i="22"/>
  <c r="J258" i="31"/>
  <c r="F291" i="31"/>
  <c r="J291" i="31" s="1"/>
  <c r="S254" i="4"/>
  <c r="S291" i="4" s="1"/>
  <c r="X244" i="4"/>
  <c r="AG9" i="22" l="1"/>
  <c r="AH9" i="22" s="1"/>
  <c r="AG8" i="22"/>
  <c r="AH8" i="22" s="1"/>
  <c r="AG6" i="22"/>
  <c r="AH6" i="22" s="1"/>
  <c r="I9" i="22"/>
  <c r="K8" i="22"/>
  <c r="I16" i="22"/>
  <c r="AG7" i="22"/>
  <c r="AH7" i="22" s="1"/>
  <c r="S295" i="4"/>
  <c r="X295" i="4" s="1"/>
  <c r="S293" i="4"/>
  <c r="V292" i="4"/>
  <c r="U292" i="4"/>
  <c r="T292" i="4"/>
  <c r="X291" i="4"/>
  <c r="J26" i="20"/>
  <c r="J27" i="20"/>
  <c r="M27" i="20" s="1"/>
  <c r="K11" i="20" s="1"/>
  <c r="T9" i="20"/>
  <c r="U9" i="20" s="1"/>
  <c r="V9" i="20" s="1"/>
  <c r="X9" i="20" s="1"/>
  <c r="Y9" i="20" s="1"/>
  <c r="AA9" i="20" s="1"/>
  <c r="AB9" i="20" s="1"/>
  <c r="AC9" i="20" s="1"/>
  <c r="AE9" i="20" s="1"/>
  <c r="AF9" i="20" s="1"/>
  <c r="AG9" i="20" s="1"/>
  <c r="AH9" i="20" s="1"/>
  <c r="AI9" i="20" s="1"/>
  <c r="T7" i="20"/>
  <c r="U7" i="20" s="1"/>
  <c r="V7" i="20" s="1"/>
  <c r="X7" i="20" s="1"/>
  <c r="Y7" i="20" s="1"/>
  <c r="AA7" i="20" s="1"/>
  <c r="AB7" i="20" s="1"/>
  <c r="AC7" i="20" s="1"/>
  <c r="AE7" i="20" s="1"/>
  <c r="AF7" i="20" s="1"/>
  <c r="AG7" i="20" s="1"/>
  <c r="AH7" i="20" s="1"/>
  <c r="AI7" i="20" s="1"/>
  <c r="T6" i="20"/>
  <c r="U6" i="20" s="1"/>
  <c r="V6" i="20" s="1"/>
  <c r="X6" i="20" s="1"/>
  <c r="Y6" i="20" s="1"/>
  <c r="AA6" i="20" s="1"/>
  <c r="AB6" i="20" s="1"/>
  <c r="AC6" i="20" s="1"/>
  <c r="AE6" i="20" s="1"/>
  <c r="AF6" i="20" s="1"/>
  <c r="AG6" i="20" s="1"/>
  <c r="AH6" i="20" s="1"/>
  <c r="AI6" i="20" s="1"/>
  <c r="T8" i="20"/>
  <c r="U8" i="20" s="1"/>
  <c r="V8" i="20" s="1"/>
  <c r="X8" i="20" s="1"/>
  <c r="Y8" i="20" s="1"/>
  <c r="AA8" i="20" s="1"/>
  <c r="AB8" i="20" s="1"/>
  <c r="AC8" i="20" s="1"/>
  <c r="AE8" i="20" s="1"/>
  <c r="AF8" i="20" s="1"/>
  <c r="AG8" i="20" s="1"/>
  <c r="AH8" i="20" s="1"/>
  <c r="AI8" i="20" s="1"/>
  <c r="F295" i="31"/>
  <c r="J295" i="31" s="1"/>
  <c r="F292" i="31"/>
  <c r="C6" i="36"/>
  <c r="I8" i="36" s="1"/>
  <c r="F293" i="31"/>
  <c r="I16" i="20"/>
  <c r="K8" i="20"/>
  <c r="I9" i="20"/>
  <c r="T5" i="4"/>
  <c r="E6" i="20" l="1"/>
  <c r="M11" i="20"/>
  <c r="I11" i="20"/>
  <c r="AG7" i="36"/>
  <c r="AH7" i="36" s="1"/>
  <c r="I9" i="36"/>
  <c r="AG9" i="36"/>
  <c r="AH9" i="36" s="1"/>
  <c r="K8" i="36"/>
  <c r="AG6" i="36"/>
  <c r="AH6" i="36" s="1"/>
  <c r="I16" i="36"/>
  <c r="AG8" i="36"/>
  <c r="AH8" i="36" s="1"/>
  <c r="E219" i="43" l="1"/>
  <c r="E220" i="43"/>
  <c r="AY45" i="8"/>
  <c r="AY46" i="8"/>
  <c r="T4" i="4"/>
  <c r="AL2" i="10"/>
  <c r="AP2" i="10"/>
  <c r="AL3" i="10"/>
  <c r="AP3" i="10"/>
  <c r="AL4" i="10"/>
  <c r="AP4" i="10"/>
  <c r="AL11" i="10"/>
  <c r="AN11" i="10"/>
  <c r="AP11" i="10"/>
  <c r="AR11" i="10"/>
  <c r="AR13" i="10"/>
  <c r="AR16" i="10"/>
  <c r="AL22" i="10"/>
  <c r="AN22" i="10"/>
  <c r="AP22" i="10"/>
  <c r="AR22" i="10"/>
  <c r="AL23" i="10"/>
  <c r="AN23" i="10"/>
  <c r="AP23" i="10"/>
  <c r="AR23" i="10"/>
  <c r="AL24" i="10"/>
  <c r="AN24" i="10"/>
  <c r="AP24" i="10"/>
  <c r="AR24" i="10"/>
  <c r="AL25" i="10"/>
  <c r="AN25" i="10"/>
  <c r="AP25" i="10"/>
  <c r="AR25" i="10"/>
  <c r="AL26" i="10"/>
  <c r="AN26" i="10"/>
  <c r="AP26" i="10"/>
  <c r="AR26" i="10"/>
  <c r="AL27" i="10"/>
  <c r="AN27" i="10"/>
  <c r="AP27" i="10"/>
  <c r="AR27" i="10"/>
  <c r="AL28" i="10"/>
  <c r="AN28" i="10"/>
  <c r="AP28" i="10"/>
  <c r="AR28" i="10"/>
  <c r="AL29" i="10"/>
  <c r="AN29" i="10"/>
  <c r="AP29" i="10"/>
  <c r="AR29" i="10"/>
  <c r="AL30" i="10"/>
  <c r="AN30" i="10"/>
  <c r="AP30" i="10"/>
  <c r="AR30" i="10"/>
  <c r="AL31" i="10"/>
  <c r="AN31" i="10"/>
  <c r="AP31" i="10"/>
  <c r="AR31" i="10"/>
  <c r="AL32" i="10"/>
  <c r="AN32" i="10"/>
  <c r="AP32" i="10"/>
  <c r="AR32" i="10"/>
  <c r="AL33" i="10"/>
  <c r="AN33" i="10"/>
  <c r="AP33" i="10"/>
  <c r="AR33" i="10"/>
  <c r="AL34" i="10"/>
  <c r="AN34" i="10"/>
  <c r="AP34" i="10"/>
  <c r="AR34" i="10"/>
  <c r="AL35" i="10"/>
  <c r="AN35" i="10"/>
  <c r="AP35" i="10"/>
  <c r="AR35" i="10"/>
  <c r="AL36" i="10"/>
  <c r="AN36" i="10"/>
  <c r="AP36" i="10"/>
  <c r="AR36" i="10"/>
  <c r="AL37" i="10"/>
  <c r="AN37" i="10"/>
  <c r="AP37" i="10"/>
  <c r="AR37" i="10"/>
  <c r="AL38" i="10"/>
  <c r="AN38" i="10"/>
  <c r="AP38" i="10"/>
  <c r="AR38" i="10"/>
  <c r="AL39" i="10"/>
  <c r="AN39" i="10"/>
  <c r="AP39" i="10"/>
  <c r="AR39" i="10"/>
  <c r="AL40" i="10"/>
  <c r="AN40" i="10"/>
  <c r="AP40" i="10"/>
  <c r="AR40" i="10"/>
  <c r="AL41" i="10"/>
  <c r="AN41" i="10"/>
  <c r="AP41" i="10"/>
  <c r="AR41" i="10"/>
  <c r="AL42" i="10"/>
  <c r="AN42" i="10"/>
  <c r="AP42" i="10"/>
  <c r="AR42" i="10"/>
  <c r="AL43" i="10"/>
  <c r="AN43" i="10"/>
  <c r="AP43" i="10"/>
  <c r="AR43" i="10"/>
  <c r="AL44" i="10"/>
  <c r="AN44" i="10"/>
  <c r="AP44" i="10"/>
  <c r="AR44" i="10"/>
  <c r="AL45" i="10"/>
  <c r="AN45" i="10"/>
  <c r="AP45" i="10"/>
  <c r="AR45" i="10"/>
  <c r="AL46" i="10"/>
  <c r="AN46" i="10"/>
  <c r="AP46" i="10"/>
  <c r="AR46" i="10"/>
  <c r="AL47" i="10"/>
  <c r="AN47" i="10"/>
  <c r="AP47" i="10"/>
  <c r="AR47" i="10"/>
  <c r="AL48" i="10"/>
  <c r="AN48" i="10"/>
  <c r="AP48" i="10"/>
  <c r="AR48" i="10"/>
  <c r="AL49" i="10"/>
  <c r="AN49" i="10"/>
  <c r="AP49" i="10"/>
  <c r="AR49" i="10"/>
  <c r="AL50" i="10"/>
  <c r="AN50" i="10"/>
  <c r="AP50" i="10"/>
  <c r="AR50" i="10"/>
  <c r="AL51" i="10"/>
  <c r="AN51" i="10"/>
  <c r="AP51" i="10"/>
  <c r="AR51" i="10"/>
  <c r="AL52" i="10"/>
  <c r="AN52" i="10"/>
  <c r="AP52" i="10"/>
  <c r="AR52" i="10"/>
  <c r="AL53" i="10"/>
  <c r="AN53" i="10"/>
  <c r="AP53" i="10"/>
  <c r="AR53" i="10"/>
  <c r="AL54" i="10"/>
  <c r="AN54" i="10"/>
  <c r="AP54" i="10"/>
  <c r="AR54" i="10"/>
  <c r="AL55" i="10"/>
  <c r="AN55" i="10"/>
  <c r="AP55" i="10"/>
  <c r="AR55" i="10"/>
  <c r="AN57" i="10"/>
  <c r="AR57" i="10"/>
  <c r="AR61" i="10"/>
  <c r="AL66" i="10"/>
  <c r="AN66" i="10"/>
  <c r="AP66" i="10"/>
  <c r="AR66" i="10"/>
  <c r="AL67" i="10"/>
  <c r="AN67" i="10"/>
  <c r="AP67" i="10"/>
  <c r="AR67" i="10"/>
  <c r="AL68" i="10"/>
  <c r="AN68" i="10"/>
  <c r="AP68" i="10"/>
  <c r="AR68" i="10"/>
  <c r="AL69" i="10"/>
  <c r="AN69" i="10"/>
  <c r="AP69" i="10"/>
  <c r="AR69" i="10"/>
  <c r="AL70" i="10"/>
  <c r="AN70" i="10"/>
  <c r="AP70" i="10"/>
  <c r="AR70" i="10"/>
  <c r="AL71" i="10"/>
  <c r="AN71" i="10"/>
  <c r="AP71" i="10"/>
  <c r="AR71" i="10"/>
  <c r="AL72" i="10"/>
  <c r="AN72" i="10"/>
  <c r="AP72" i="10"/>
  <c r="AR72" i="10"/>
  <c r="AL73" i="10"/>
  <c r="AN73" i="10"/>
  <c r="AP73" i="10"/>
  <c r="AR73" i="10"/>
  <c r="AL74" i="10"/>
  <c r="AN74" i="10"/>
  <c r="AP74" i="10"/>
  <c r="AR74" i="10"/>
  <c r="AL75" i="10"/>
  <c r="AN75" i="10"/>
  <c r="AP75" i="10"/>
  <c r="AR75" i="10"/>
  <c r="AL76" i="10"/>
  <c r="AN76" i="10"/>
  <c r="AP76" i="10"/>
  <c r="AR76" i="10"/>
  <c r="AL77" i="10"/>
  <c r="AN77" i="10"/>
  <c r="AP77" i="10"/>
  <c r="AR77" i="10"/>
  <c r="AL78" i="10"/>
  <c r="AN78" i="10"/>
  <c r="AP78" i="10"/>
  <c r="AR78" i="10"/>
  <c r="AL79" i="10"/>
  <c r="AN79" i="10"/>
  <c r="AP79" i="10"/>
  <c r="AR79" i="10"/>
  <c r="AL80" i="10"/>
  <c r="AN80" i="10"/>
  <c r="AP80" i="10"/>
  <c r="AR80" i="10"/>
  <c r="AL81" i="10"/>
  <c r="AN81" i="10"/>
  <c r="AP81" i="10"/>
  <c r="AR81" i="10"/>
  <c r="AL82" i="10"/>
  <c r="AN82" i="10"/>
  <c r="AP82" i="10"/>
  <c r="AR82" i="10"/>
  <c r="AL83" i="10"/>
  <c r="AN83" i="10"/>
  <c r="AP83" i="10"/>
  <c r="AR83" i="10"/>
  <c r="AL84" i="10"/>
  <c r="AN84" i="10"/>
  <c r="AP84" i="10"/>
  <c r="AR84" i="10"/>
  <c r="AL85" i="10"/>
  <c r="AN85" i="10"/>
  <c r="AP85" i="10"/>
  <c r="AR85" i="10"/>
  <c r="AL86" i="10"/>
  <c r="AN86" i="10"/>
  <c r="AP86" i="10"/>
  <c r="AR86" i="10"/>
  <c r="AL87" i="10"/>
  <c r="AN87" i="10"/>
  <c r="AP87" i="10"/>
  <c r="AR87" i="10"/>
  <c r="AL88" i="10"/>
  <c r="AN88" i="10"/>
  <c r="AP88" i="10"/>
  <c r="AR88" i="10"/>
  <c r="AL89" i="10"/>
  <c r="AN89" i="10"/>
  <c r="AP89" i="10"/>
  <c r="AR89" i="10"/>
  <c r="AL90" i="10"/>
  <c r="AN90" i="10"/>
  <c r="AP90" i="10"/>
  <c r="AR90" i="10"/>
  <c r="AL91" i="10"/>
  <c r="AN91" i="10"/>
  <c r="AP91" i="10"/>
  <c r="AR91" i="10"/>
  <c r="AL92" i="10"/>
  <c r="AN92" i="10"/>
  <c r="AP92" i="10"/>
  <c r="AR92" i="10"/>
  <c r="AN94" i="10"/>
  <c r="AR94" i="10"/>
  <c r="AL97" i="10"/>
  <c r="AN97" i="10"/>
  <c r="AP97" i="10"/>
  <c r="AR97" i="10"/>
  <c r="AR100" i="10"/>
  <c r="AN104" i="10"/>
  <c r="AR104" i="10"/>
  <c r="AN107" i="10"/>
  <c r="AR107" i="10"/>
  <c r="AO2" i="9"/>
  <c r="AS2" i="9"/>
  <c r="AO3" i="9"/>
  <c r="AS3" i="9"/>
  <c r="AO4" i="9"/>
  <c r="AS4" i="9"/>
  <c r="AM11" i="9"/>
  <c r="AO11" i="9"/>
  <c r="AQ11" i="9"/>
  <c r="AS11" i="9"/>
  <c r="AM12" i="9"/>
  <c r="AO12" i="9"/>
  <c r="AQ12" i="9"/>
  <c r="AS12" i="9"/>
  <c r="AM13" i="9"/>
  <c r="AO13" i="9"/>
  <c r="AQ13" i="9"/>
  <c r="AS13" i="9"/>
  <c r="AM14" i="9"/>
  <c r="AO14" i="9"/>
  <c r="AQ14" i="9"/>
  <c r="AS14" i="9"/>
  <c r="AM15" i="9"/>
  <c r="AO15" i="9"/>
  <c r="AQ15" i="9"/>
  <c r="AS15" i="9"/>
  <c r="AM16" i="9"/>
  <c r="AO16" i="9"/>
  <c r="AQ16" i="9"/>
  <c r="AS16" i="9"/>
  <c r="AM17" i="9"/>
  <c r="AO17" i="9"/>
  <c r="AQ17" i="9"/>
  <c r="AS17" i="9"/>
  <c r="AM18" i="9"/>
  <c r="AO18" i="9"/>
  <c r="AQ18" i="9"/>
  <c r="AS18" i="9"/>
  <c r="AM19" i="9"/>
  <c r="AO19" i="9"/>
  <c r="AQ19" i="9"/>
  <c r="AS19" i="9"/>
  <c r="AM20" i="9"/>
  <c r="AO20" i="9"/>
  <c r="AQ20" i="9"/>
  <c r="AS20" i="9"/>
  <c r="AO22" i="9"/>
  <c r="AS22" i="9"/>
  <c r="AM25" i="9"/>
  <c r="AO25" i="9"/>
  <c r="AQ25" i="9"/>
  <c r="AS25" i="9"/>
  <c r="AM26" i="9"/>
  <c r="AO26" i="9"/>
  <c r="AQ26" i="9"/>
  <c r="AS26" i="9"/>
  <c r="AM27" i="9"/>
  <c r="AO27" i="9"/>
  <c r="AQ27" i="9"/>
  <c r="AS27" i="9"/>
  <c r="AO29" i="9"/>
  <c r="AS29" i="9"/>
  <c r="AM34" i="9"/>
  <c r="AO34" i="9"/>
  <c r="AQ34" i="9"/>
  <c r="AS34" i="9"/>
  <c r="AO35" i="9"/>
  <c r="AS35" i="9"/>
  <c r="AO39" i="9"/>
  <c r="AS39" i="9"/>
  <c r="AM47" i="9"/>
  <c r="AO47" i="9"/>
  <c r="AQ47" i="9"/>
  <c r="AS47" i="9"/>
  <c r="AM48" i="9"/>
  <c r="AO48" i="9"/>
  <c r="AQ48" i="9"/>
  <c r="AS48" i="9"/>
  <c r="AO50" i="9"/>
  <c r="AS50" i="9"/>
  <c r="AO60" i="9"/>
  <c r="AS60" i="9"/>
  <c r="AM67" i="9"/>
  <c r="AO67" i="9"/>
  <c r="AQ67" i="9"/>
  <c r="AS67" i="9"/>
  <c r="AM68" i="9"/>
  <c r="AO68" i="9"/>
  <c r="AQ68" i="9"/>
  <c r="AS68" i="9"/>
  <c r="AM69" i="9"/>
  <c r="AO69" i="9"/>
  <c r="AQ69" i="9"/>
  <c r="AS69" i="9"/>
  <c r="AM70" i="9"/>
  <c r="AO70" i="9"/>
  <c r="AQ70" i="9"/>
  <c r="AS70" i="9"/>
  <c r="AM71" i="9"/>
  <c r="AO71" i="9"/>
  <c r="AQ71" i="9"/>
  <c r="AS71" i="9"/>
  <c r="AM72" i="9"/>
  <c r="AO72" i="9"/>
  <c r="AQ72" i="9"/>
  <c r="AS72" i="9"/>
  <c r="AM73" i="9"/>
  <c r="AO73" i="9"/>
  <c r="AQ73" i="9"/>
  <c r="AS73" i="9"/>
  <c r="AM74" i="9"/>
  <c r="AO74" i="9"/>
  <c r="AQ74" i="9"/>
  <c r="AS74" i="9"/>
  <c r="AM75" i="9"/>
  <c r="AO75" i="9"/>
  <c r="AQ75" i="9"/>
  <c r="AS75" i="9"/>
  <c r="AO77" i="9"/>
  <c r="AS77" i="9"/>
  <c r="AO85" i="9"/>
  <c r="AS85" i="9"/>
  <c r="AO98" i="9"/>
  <c r="AS98" i="9"/>
  <c r="AI6" i="22"/>
  <c r="AJ6" i="22"/>
  <c r="AK6" i="22"/>
  <c r="J7" i="22"/>
  <c r="K7" i="22"/>
  <c r="L7" i="22"/>
  <c r="M7" i="22"/>
  <c r="AI7" i="22"/>
  <c r="AJ7" i="22"/>
  <c r="AK7" i="22"/>
  <c r="L8" i="22"/>
  <c r="M8" i="22"/>
  <c r="AI8" i="22"/>
  <c r="AJ8" i="22"/>
  <c r="AK8" i="22"/>
  <c r="K9" i="22"/>
  <c r="M9" i="22"/>
  <c r="AI9" i="22"/>
  <c r="AJ9" i="22"/>
  <c r="AK9" i="22"/>
  <c r="S11" i="22"/>
  <c r="T11" i="22"/>
  <c r="U11" i="22"/>
  <c r="W11" i="22"/>
  <c r="X11" i="22"/>
  <c r="Z11" i="22"/>
  <c r="AA11" i="22"/>
  <c r="AB11" i="22"/>
  <c r="AD11" i="22"/>
  <c r="AE11" i="22"/>
  <c r="AF11" i="22"/>
  <c r="AG11" i="22"/>
  <c r="AH11" i="22"/>
  <c r="AI11" i="22"/>
  <c r="AJ11" i="22"/>
  <c r="AK11" i="22"/>
  <c r="I12" i="22"/>
  <c r="J12" i="22"/>
  <c r="K12" i="22"/>
  <c r="M12" i="22"/>
  <c r="S12" i="22"/>
  <c r="T12" i="22"/>
  <c r="U12" i="22"/>
  <c r="W12" i="22"/>
  <c r="X12" i="22"/>
  <c r="Z12" i="22"/>
  <c r="AA12" i="22"/>
  <c r="AB12" i="22"/>
  <c r="AD12" i="22"/>
  <c r="AE12" i="22"/>
  <c r="AF12" i="22"/>
  <c r="AG12" i="22"/>
  <c r="AH12" i="22"/>
  <c r="AI12" i="22"/>
  <c r="AJ12" i="22"/>
  <c r="AK12" i="22"/>
  <c r="S13" i="22"/>
  <c r="T13" i="22"/>
  <c r="U13" i="22"/>
  <c r="W13" i="22"/>
  <c r="X13" i="22"/>
  <c r="Z13" i="22"/>
  <c r="AA13" i="22"/>
  <c r="AB13" i="22"/>
  <c r="AD13" i="22"/>
  <c r="AE13" i="22"/>
  <c r="AF13" i="22"/>
  <c r="AG13" i="22"/>
  <c r="AH13" i="22"/>
  <c r="AI13" i="22"/>
  <c r="AJ13" i="22"/>
  <c r="AK13" i="22"/>
  <c r="I14" i="22"/>
  <c r="K14" i="22"/>
  <c r="M14" i="22"/>
  <c r="S14" i="22"/>
  <c r="T14" i="22"/>
  <c r="U14" i="22"/>
  <c r="W14" i="22"/>
  <c r="X14" i="22"/>
  <c r="Z14" i="22"/>
  <c r="AA14" i="22"/>
  <c r="AB14" i="22"/>
  <c r="AD14" i="22"/>
  <c r="AE14" i="22"/>
  <c r="AF14" i="22"/>
  <c r="AG14" i="22"/>
  <c r="AH14" i="22"/>
  <c r="AI14" i="22"/>
  <c r="AJ14" i="22"/>
  <c r="AK14" i="22"/>
  <c r="K16" i="22"/>
  <c r="M16" i="22"/>
  <c r="S16" i="22"/>
  <c r="T16" i="22"/>
  <c r="U16" i="22"/>
  <c r="W16" i="22"/>
  <c r="X16" i="22"/>
  <c r="Z16" i="22"/>
  <c r="AA16" i="22"/>
  <c r="AB16" i="22"/>
  <c r="AD16" i="22"/>
  <c r="AE16" i="22"/>
  <c r="AF16" i="22"/>
  <c r="AG16" i="22"/>
  <c r="AH16" i="22"/>
  <c r="AI16" i="22"/>
  <c r="AJ16" i="22"/>
  <c r="AK16" i="22"/>
  <c r="S17" i="22"/>
  <c r="T17" i="22"/>
  <c r="U17" i="22"/>
  <c r="W17" i="22"/>
  <c r="X17" i="22"/>
  <c r="Z17" i="22"/>
  <c r="AA17" i="22"/>
  <c r="AB17" i="22"/>
  <c r="AD17" i="22"/>
  <c r="AE17" i="22"/>
  <c r="AF17" i="22"/>
  <c r="AG17" i="22"/>
  <c r="AH17" i="22"/>
  <c r="AI17" i="22"/>
  <c r="AJ17" i="22"/>
  <c r="AK17" i="22"/>
  <c r="S18" i="22"/>
  <c r="T18" i="22"/>
  <c r="U18" i="22"/>
  <c r="W18" i="22"/>
  <c r="X18" i="22"/>
  <c r="Z18" i="22"/>
  <c r="AA18" i="22"/>
  <c r="AB18" i="22"/>
  <c r="AD18" i="22"/>
  <c r="AE18" i="22"/>
  <c r="AF18" i="22"/>
  <c r="AG18" i="22"/>
  <c r="AH18" i="22"/>
  <c r="AI18" i="22"/>
  <c r="AJ18" i="22"/>
  <c r="AK18" i="22"/>
  <c r="M19" i="22"/>
  <c r="S19" i="22"/>
  <c r="T19" i="22"/>
  <c r="U19" i="22"/>
  <c r="W19" i="22"/>
  <c r="X19" i="22"/>
  <c r="Z19" i="22"/>
  <c r="AA19" i="22"/>
  <c r="AB19" i="22"/>
  <c r="AD19" i="22"/>
  <c r="AE19" i="22"/>
  <c r="AF19" i="22"/>
  <c r="AG19" i="22"/>
  <c r="AH19" i="22"/>
  <c r="AI19" i="22"/>
  <c r="AJ19" i="22"/>
  <c r="AK19" i="22"/>
  <c r="J20" i="22"/>
  <c r="M20" i="22"/>
  <c r="J21" i="22"/>
  <c r="M21" i="22"/>
  <c r="S21" i="22"/>
  <c r="T21" i="22"/>
  <c r="U21" i="22"/>
  <c r="W21" i="22"/>
  <c r="X21" i="22"/>
  <c r="Z21" i="22"/>
  <c r="AA21" i="22"/>
  <c r="AB21" i="22"/>
  <c r="AD21" i="22"/>
  <c r="AE21" i="22"/>
  <c r="AF21" i="22"/>
  <c r="AG21" i="22"/>
  <c r="AH21" i="22"/>
  <c r="AI21" i="22"/>
  <c r="AJ21" i="22"/>
  <c r="AK21" i="22"/>
  <c r="K22" i="22"/>
  <c r="S22" i="22"/>
  <c r="T22" i="22"/>
  <c r="U22" i="22"/>
  <c r="W22" i="22"/>
  <c r="X22" i="22"/>
  <c r="Z22" i="22"/>
  <c r="AA22" i="22"/>
  <c r="AB22" i="22"/>
  <c r="AD22" i="22"/>
  <c r="AE22" i="22"/>
  <c r="AF22" i="22"/>
  <c r="AG22" i="22"/>
  <c r="AH22" i="22"/>
  <c r="AI22" i="22"/>
  <c r="AJ22" i="22"/>
  <c r="AK22" i="22"/>
  <c r="S23" i="22"/>
  <c r="T23" i="22"/>
  <c r="U23" i="22"/>
  <c r="W23" i="22"/>
  <c r="X23" i="22"/>
  <c r="Z23" i="22"/>
  <c r="AA23" i="22"/>
  <c r="AB23" i="22"/>
  <c r="AD23" i="22"/>
  <c r="AE23" i="22"/>
  <c r="AF23" i="22"/>
  <c r="AG23" i="22"/>
  <c r="AH23" i="22"/>
  <c r="AI23" i="22"/>
  <c r="AJ23" i="22"/>
  <c r="AK23" i="22"/>
  <c r="S24" i="22"/>
  <c r="T24" i="22"/>
  <c r="U24" i="22"/>
  <c r="W24" i="22"/>
  <c r="X24" i="22"/>
  <c r="Z24" i="22"/>
  <c r="AA24" i="22"/>
  <c r="AB24" i="22"/>
  <c r="AD24" i="22"/>
  <c r="AE24" i="22"/>
  <c r="AF24" i="22"/>
  <c r="AG24" i="22"/>
  <c r="AH24" i="22"/>
  <c r="AI24" i="22"/>
  <c r="AJ24" i="22"/>
  <c r="AK24" i="22"/>
  <c r="K26" i="22"/>
  <c r="L26" i="22"/>
  <c r="M26" i="22"/>
  <c r="S26" i="22"/>
  <c r="T26" i="22"/>
  <c r="U26" i="22"/>
  <c r="W26" i="22"/>
  <c r="X26" i="22"/>
  <c r="Z26" i="22"/>
  <c r="AA26" i="22"/>
  <c r="AB26" i="22"/>
  <c r="AD26" i="22"/>
  <c r="AE26" i="22"/>
  <c r="AF26" i="22"/>
  <c r="AG26" i="22"/>
  <c r="AH26" i="22"/>
  <c r="AI26" i="22"/>
  <c r="AJ26" i="22"/>
  <c r="AK26" i="22"/>
  <c r="S27" i="22"/>
  <c r="T27" i="22"/>
  <c r="U27" i="22"/>
  <c r="W27" i="22"/>
  <c r="X27" i="22"/>
  <c r="Z27" i="22"/>
  <c r="AA27" i="22"/>
  <c r="AB27" i="22"/>
  <c r="AD27" i="22"/>
  <c r="AE27" i="22"/>
  <c r="AF27" i="22"/>
  <c r="AG27" i="22"/>
  <c r="AH27" i="22"/>
  <c r="AI27" i="22"/>
  <c r="AJ27" i="22"/>
  <c r="AK27" i="22"/>
  <c r="L28" i="22"/>
  <c r="M28" i="22"/>
  <c r="S28" i="22"/>
  <c r="T28" i="22"/>
  <c r="U28" i="22"/>
  <c r="W28" i="22"/>
  <c r="X28" i="22"/>
  <c r="Z28" i="22"/>
  <c r="AA28" i="22"/>
  <c r="AB28" i="22"/>
  <c r="AD28" i="22"/>
  <c r="AE28" i="22"/>
  <c r="AF28" i="22"/>
  <c r="AG28" i="22"/>
  <c r="AH28" i="22"/>
  <c r="AI28" i="22"/>
  <c r="AJ28" i="22"/>
  <c r="AK28" i="22"/>
  <c r="S29" i="22"/>
  <c r="T29" i="22"/>
  <c r="U29" i="22"/>
  <c r="W29" i="22"/>
  <c r="X29" i="22"/>
  <c r="Z29" i="22"/>
  <c r="AA29" i="22"/>
  <c r="AB29" i="22"/>
  <c r="AD29" i="22"/>
  <c r="AE29" i="22"/>
  <c r="AF29" i="22"/>
  <c r="AG29" i="22"/>
  <c r="AH29" i="22"/>
  <c r="AI29" i="22"/>
  <c r="AJ29" i="22"/>
  <c r="AK29" i="22"/>
  <c r="S31" i="22"/>
  <c r="T31" i="22"/>
  <c r="U31" i="22"/>
  <c r="W31" i="22"/>
  <c r="X31" i="22"/>
  <c r="Z31" i="22"/>
  <c r="AA31" i="22"/>
  <c r="AB31" i="22"/>
  <c r="AD31" i="22"/>
  <c r="AE31" i="22"/>
  <c r="AF31" i="22"/>
  <c r="AG31" i="22"/>
  <c r="AH31" i="22"/>
  <c r="AI31" i="22"/>
  <c r="AJ31" i="22"/>
  <c r="AK31" i="22"/>
  <c r="S32" i="22"/>
  <c r="T32" i="22"/>
  <c r="U32" i="22"/>
  <c r="W32" i="22"/>
  <c r="X32" i="22"/>
  <c r="Z32" i="22"/>
  <c r="AA32" i="22"/>
  <c r="AB32" i="22"/>
  <c r="AD32" i="22"/>
  <c r="AE32" i="22"/>
  <c r="AF32" i="22"/>
  <c r="AG32" i="22"/>
  <c r="AH32" i="22"/>
  <c r="AI32" i="22"/>
  <c r="AJ32" i="22"/>
  <c r="AK32" i="22"/>
  <c r="J33" i="22"/>
  <c r="K33" i="22"/>
  <c r="S33" i="22"/>
  <c r="T33" i="22"/>
  <c r="U33" i="22"/>
  <c r="W33" i="22"/>
  <c r="X33" i="22"/>
  <c r="Z33" i="22"/>
  <c r="AA33" i="22"/>
  <c r="AB33" i="22"/>
  <c r="AD33" i="22"/>
  <c r="AE33" i="22"/>
  <c r="AF33" i="22"/>
  <c r="AG33" i="22"/>
  <c r="AH33" i="22"/>
  <c r="AI33" i="22"/>
  <c r="AJ33" i="22"/>
  <c r="AK33" i="22"/>
  <c r="J34" i="22"/>
  <c r="K34" i="22"/>
  <c r="S34" i="22"/>
  <c r="T34" i="22"/>
  <c r="U34" i="22"/>
  <c r="W34" i="22"/>
  <c r="X34" i="22"/>
  <c r="Z34" i="22"/>
  <c r="AA34" i="22"/>
  <c r="AB34" i="22"/>
  <c r="AD34" i="22"/>
  <c r="AE34" i="22"/>
  <c r="AF34" i="22"/>
  <c r="AG34" i="22"/>
  <c r="AH34" i="22"/>
  <c r="AI34" i="22"/>
  <c r="AJ34" i="22"/>
  <c r="AK34" i="22"/>
  <c r="J35" i="22"/>
  <c r="K35" i="22"/>
  <c r="J36" i="22"/>
  <c r="K36" i="22"/>
  <c r="S36" i="22"/>
  <c r="T36" i="22"/>
  <c r="U36" i="22"/>
  <c r="W36" i="22"/>
  <c r="X36" i="22"/>
  <c r="Z36" i="22"/>
  <c r="AA36" i="22"/>
  <c r="AB36" i="22"/>
  <c r="AD36" i="22"/>
  <c r="AE36" i="22"/>
  <c r="AF36" i="22"/>
  <c r="AG36" i="22"/>
  <c r="AH36" i="22"/>
  <c r="AI36" i="22"/>
  <c r="AJ36" i="22"/>
  <c r="AK36" i="22"/>
  <c r="J37" i="22"/>
  <c r="K37" i="22"/>
  <c r="S37" i="22"/>
  <c r="T37" i="22"/>
  <c r="U37" i="22"/>
  <c r="W37" i="22"/>
  <c r="X37" i="22"/>
  <c r="Z37" i="22"/>
  <c r="AA37" i="22"/>
  <c r="AB37" i="22"/>
  <c r="AD37" i="22"/>
  <c r="AE37" i="22"/>
  <c r="AF37" i="22"/>
  <c r="AG37" i="22"/>
  <c r="AH37" i="22"/>
  <c r="AI37" i="22"/>
  <c r="AJ37" i="22"/>
  <c r="AK37" i="22"/>
  <c r="S38" i="22"/>
  <c r="T38" i="22"/>
  <c r="U38" i="22"/>
  <c r="W38" i="22"/>
  <c r="X38" i="22"/>
  <c r="Z38" i="22"/>
  <c r="AA38" i="22"/>
  <c r="AB38" i="22"/>
  <c r="AD38" i="22"/>
  <c r="AE38" i="22"/>
  <c r="AF38" i="22"/>
  <c r="AG38" i="22"/>
  <c r="AH38" i="22"/>
  <c r="AI38" i="22"/>
  <c r="AJ38" i="22"/>
  <c r="AK38" i="22"/>
  <c r="S39" i="22"/>
  <c r="T39" i="22"/>
  <c r="U39" i="22"/>
  <c r="W39" i="22"/>
  <c r="X39" i="22"/>
  <c r="Z39" i="22"/>
  <c r="AA39" i="22"/>
  <c r="AB39" i="22"/>
  <c r="AD39" i="22"/>
  <c r="AE39" i="22"/>
  <c r="AF39" i="22"/>
  <c r="AG39" i="22"/>
  <c r="AH39" i="22"/>
  <c r="AI39" i="22"/>
  <c r="AJ39" i="22"/>
  <c r="AK39" i="22"/>
  <c r="K43" i="22"/>
  <c r="V43" i="22"/>
  <c r="K44" i="22"/>
  <c r="V44" i="22"/>
  <c r="K45" i="22"/>
  <c r="V45" i="22"/>
  <c r="K46" i="22"/>
  <c r="K47" i="22"/>
  <c r="R47" i="22"/>
  <c r="R48" i="22"/>
  <c r="J49" i="22"/>
  <c r="R50" i="22"/>
  <c r="Y62" i="22"/>
  <c r="Z62" i="22"/>
  <c r="Y63" i="22"/>
  <c r="Z63" i="22"/>
  <c r="Y64" i="22"/>
  <c r="Z64" i="22"/>
  <c r="Y65" i="22"/>
  <c r="Z65" i="22"/>
  <c r="Y66" i="22"/>
  <c r="Z66" i="22"/>
  <c r="AI6" i="36"/>
  <c r="AJ6" i="36"/>
  <c r="AK6" i="36"/>
  <c r="J7" i="36"/>
  <c r="K7" i="36"/>
  <c r="L7" i="36"/>
  <c r="M7" i="36"/>
  <c r="AI7" i="36"/>
  <c r="AJ7" i="36"/>
  <c r="AK7" i="36"/>
  <c r="L8" i="36"/>
  <c r="M8" i="36"/>
  <c r="AI8" i="36"/>
  <c r="AJ8" i="36"/>
  <c r="AK8" i="36"/>
  <c r="K9" i="36"/>
  <c r="M9" i="36"/>
  <c r="AI9" i="36"/>
  <c r="AJ9" i="36"/>
  <c r="AK9" i="36"/>
  <c r="S11" i="36"/>
  <c r="T11" i="36"/>
  <c r="U11" i="36"/>
  <c r="W11" i="36"/>
  <c r="X11" i="36"/>
  <c r="Z11" i="36"/>
  <c r="AA11" i="36"/>
  <c r="AB11" i="36"/>
  <c r="AD11" i="36"/>
  <c r="AE11" i="36"/>
  <c r="AF11" i="36"/>
  <c r="AG11" i="36"/>
  <c r="AH11" i="36"/>
  <c r="AI11" i="36"/>
  <c r="AJ11" i="36"/>
  <c r="AK11" i="36"/>
  <c r="I12" i="36"/>
  <c r="J12" i="36"/>
  <c r="K12" i="36"/>
  <c r="M12" i="36"/>
  <c r="S12" i="36"/>
  <c r="T12" i="36"/>
  <c r="U12" i="36"/>
  <c r="W12" i="36"/>
  <c r="X12" i="36"/>
  <c r="Z12" i="36"/>
  <c r="AA12" i="36"/>
  <c r="AB12" i="36"/>
  <c r="AD12" i="36"/>
  <c r="AE12" i="36"/>
  <c r="AF12" i="36"/>
  <c r="AG12" i="36"/>
  <c r="AH12" i="36"/>
  <c r="AI12" i="36"/>
  <c r="AJ12" i="36"/>
  <c r="AK12" i="36"/>
  <c r="S13" i="36"/>
  <c r="T13" i="36"/>
  <c r="U13" i="36"/>
  <c r="W13" i="36"/>
  <c r="X13" i="36"/>
  <c r="Z13" i="36"/>
  <c r="AA13" i="36"/>
  <c r="AB13" i="36"/>
  <c r="AD13" i="36"/>
  <c r="AE13" i="36"/>
  <c r="AF13" i="36"/>
  <c r="AG13" i="36"/>
  <c r="AH13" i="36"/>
  <c r="AI13" i="36"/>
  <c r="AJ13" i="36"/>
  <c r="AK13" i="36"/>
  <c r="I14" i="36"/>
  <c r="K14" i="36"/>
  <c r="M14" i="36"/>
  <c r="S14" i="36"/>
  <c r="T14" i="36"/>
  <c r="U14" i="36"/>
  <c r="W14" i="36"/>
  <c r="X14" i="36"/>
  <c r="Z14" i="36"/>
  <c r="AA14" i="36"/>
  <c r="AB14" i="36"/>
  <c r="AD14" i="36"/>
  <c r="AE14" i="36"/>
  <c r="AF14" i="36"/>
  <c r="AG14" i="36"/>
  <c r="AH14" i="36"/>
  <c r="AI14" i="36"/>
  <c r="AJ14" i="36"/>
  <c r="AK14" i="36"/>
  <c r="K16" i="36"/>
  <c r="M16" i="36"/>
  <c r="S16" i="36"/>
  <c r="T16" i="36"/>
  <c r="U16" i="36"/>
  <c r="W16" i="36"/>
  <c r="X16" i="36"/>
  <c r="Z16" i="36"/>
  <c r="AA16" i="36"/>
  <c r="AB16" i="36"/>
  <c r="AD16" i="36"/>
  <c r="AE16" i="36"/>
  <c r="AF16" i="36"/>
  <c r="AG16" i="36"/>
  <c r="AH16" i="36"/>
  <c r="AI16" i="36"/>
  <c r="AJ16" i="36"/>
  <c r="AK16" i="36"/>
  <c r="S17" i="36"/>
  <c r="T17" i="36"/>
  <c r="U17" i="36"/>
  <c r="W17" i="36"/>
  <c r="X17" i="36"/>
  <c r="Z17" i="36"/>
  <c r="AA17" i="36"/>
  <c r="AB17" i="36"/>
  <c r="AD17" i="36"/>
  <c r="AE17" i="36"/>
  <c r="AF17" i="36"/>
  <c r="AG17" i="36"/>
  <c r="AH17" i="36"/>
  <c r="AI17" i="36"/>
  <c r="AJ17" i="36"/>
  <c r="AK17" i="36"/>
  <c r="S18" i="36"/>
  <c r="T18" i="36"/>
  <c r="U18" i="36"/>
  <c r="W18" i="36"/>
  <c r="X18" i="36"/>
  <c r="Z18" i="36"/>
  <c r="AA18" i="36"/>
  <c r="AB18" i="36"/>
  <c r="AD18" i="36"/>
  <c r="AE18" i="36"/>
  <c r="AF18" i="36"/>
  <c r="AG18" i="36"/>
  <c r="AH18" i="36"/>
  <c r="AI18" i="36"/>
  <c r="AJ18" i="36"/>
  <c r="AK18" i="36"/>
  <c r="M19" i="36"/>
  <c r="S19" i="36"/>
  <c r="T19" i="36"/>
  <c r="U19" i="36"/>
  <c r="W19" i="36"/>
  <c r="X19" i="36"/>
  <c r="Z19" i="36"/>
  <c r="AA19" i="36"/>
  <c r="AB19" i="36"/>
  <c r="AD19" i="36"/>
  <c r="AE19" i="36"/>
  <c r="AF19" i="36"/>
  <c r="AG19" i="36"/>
  <c r="AH19" i="36"/>
  <c r="AI19" i="36"/>
  <c r="AJ19" i="36"/>
  <c r="AK19" i="36"/>
  <c r="J20" i="36"/>
  <c r="M20" i="36"/>
  <c r="J21" i="36"/>
  <c r="M21" i="36"/>
  <c r="S21" i="36"/>
  <c r="T21" i="36"/>
  <c r="U21" i="36"/>
  <c r="W21" i="36"/>
  <c r="X21" i="36"/>
  <c r="Z21" i="36"/>
  <c r="AA21" i="36"/>
  <c r="AB21" i="36"/>
  <c r="AD21" i="36"/>
  <c r="AE21" i="36"/>
  <c r="AF21" i="36"/>
  <c r="AG21" i="36"/>
  <c r="AH21" i="36"/>
  <c r="AI21" i="36"/>
  <c r="AJ21" i="36"/>
  <c r="AK21" i="36"/>
  <c r="K22" i="36"/>
  <c r="S22" i="36"/>
  <c r="T22" i="36"/>
  <c r="U22" i="36"/>
  <c r="W22" i="36"/>
  <c r="X22" i="36"/>
  <c r="Z22" i="36"/>
  <c r="AA22" i="36"/>
  <c r="AB22" i="36"/>
  <c r="AD22" i="36"/>
  <c r="AE22" i="36"/>
  <c r="AF22" i="36"/>
  <c r="AG22" i="36"/>
  <c r="AH22" i="36"/>
  <c r="AI22" i="36"/>
  <c r="AJ22" i="36"/>
  <c r="AK22" i="36"/>
  <c r="S23" i="36"/>
  <c r="T23" i="36"/>
  <c r="U23" i="36"/>
  <c r="W23" i="36"/>
  <c r="X23" i="36"/>
  <c r="Z23" i="36"/>
  <c r="AA23" i="36"/>
  <c r="AB23" i="36"/>
  <c r="AD23" i="36"/>
  <c r="AE23" i="36"/>
  <c r="AF23" i="36"/>
  <c r="AG23" i="36"/>
  <c r="AH23" i="36"/>
  <c r="AI23" i="36"/>
  <c r="AJ23" i="36"/>
  <c r="AK23" i="36"/>
  <c r="S24" i="36"/>
  <c r="T24" i="36"/>
  <c r="U24" i="36"/>
  <c r="W24" i="36"/>
  <c r="X24" i="36"/>
  <c r="Z24" i="36"/>
  <c r="AA24" i="36"/>
  <c r="AB24" i="36"/>
  <c r="AD24" i="36"/>
  <c r="AE24" i="36"/>
  <c r="AF24" i="36"/>
  <c r="AG24" i="36"/>
  <c r="AH24" i="36"/>
  <c r="AI24" i="36"/>
  <c r="AJ24" i="36"/>
  <c r="AK24" i="36"/>
  <c r="K26" i="36"/>
  <c r="L26" i="36"/>
  <c r="M26" i="36"/>
  <c r="S26" i="36"/>
  <c r="T26" i="36"/>
  <c r="U26" i="36"/>
  <c r="W26" i="36"/>
  <c r="X26" i="36"/>
  <c r="Z26" i="36"/>
  <c r="AA26" i="36"/>
  <c r="AB26" i="36"/>
  <c r="AD26" i="36"/>
  <c r="AE26" i="36"/>
  <c r="AF26" i="36"/>
  <c r="AG26" i="36"/>
  <c r="AH26" i="36"/>
  <c r="AI26" i="36"/>
  <c r="AJ26" i="36"/>
  <c r="AK26" i="36"/>
  <c r="S27" i="36"/>
  <c r="T27" i="36"/>
  <c r="U27" i="36"/>
  <c r="W27" i="36"/>
  <c r="X27" i="36"/>
  <c r="Z27" i="36"/>
  <c r="AA27" i="36"/>
  <c r="AB27" i="36"/>
  <c r="AD27" i="36"/>
  <c r="AE27" i="36"/>
  <c r="AF27" i="36"/>
  <c r="AG27" i="36"/>
  <c r="AH27" i="36"/>
  <c r="AI27" i="36"/>
  <c r="AJ27" i="36"/>
  <c r="AK27" i="36"/>
  <c r="L28" i="36"/>
  <c r="M28" i="36"/>
  <c r="S28" i="36"/>
  <c r="T28" i="36"/>
  <c r="U28" i="36"/>
  <c r="W28" i="36"/>
  <c r="X28" i="36"/>
  <c r="Z28" i="36"/>
  <c r="AA28" i="36"/>
  <c r="AB28" i="36"/>
  <c r="AD28" i="36"/>
  <c r="AE28" i="36"/>
  <c r="AF28" i="36"/>
  <c r="AG28" i="36"/>
  <c r="AH28" i="36"/>
  <c r="AI28" i="36"/>
  <c r="AJ28" i="36"/>
  <c r="AK28" i="36"/>
  <c r="S29" i="36"/>
  <c r="T29" i="36"/>
  <c r="U29" i="36"/>
  <c r="W29" i="36"/>
  <c r="X29" i="36"/>
  <c r="Z29" i="36"/>
  <c r="AA29" i="36"/>
  <c r="AB29" i="36"/>
  <c r="AD29" i="36"/>
  <c r="AE29" i="36"/>
  <c r="AF29" i="36"/>
  <c r="AG29" i="36"/>
  <c r="AH29" i="36"/>
  <c r="AI29" i="36"/>
  <c r="AJ29" i="36"/>
  <c r="AK29" i="36"/>
  <c r="S31" i="36"/>
  <c r="T31" i="36"/>
  <c r="U31" i="36"/>
  <c r="W31" i="36"/>
  <c r="X31" i="36"/>
  <c r="Z31" i="36"/>
  <c r="AA31" i="36"/>
  <c r="AB31" i="36"/>
  <c r="AD31" i="36"/>
  <c r="AE31" i="36"/>
  <c r="AF31" i="36"/>
  <c r="AG31" i="36"/>
  <c r="AH31" i="36"/>
  <c r="AI31" i="36"/>
  <c r="AJ31" i="36"/>
  <c r="AK31" i="36"/>
  <c r="S32" i="36"/>
  <c r="T32" i="36"/>
  <c r="U32" i="36"/>
  <c r="W32" i="36"/>
  <c r="X32" i="36"/>
  <c r="Z32" i="36"/>
  <c r="AA32" i="36"/>
  <c r="AB32" i="36"/>
  <c r="AD32" i="36"/>
  <c r="AE32" i="36"/>
  <c r="AF32" i="36"/>
  <c r="AG32" i="36"/>
  <c r="AH32" i="36"/>
  <c r="AI32" i="36"/>
  <c r="AJ32" i="36"/>
  <c r="AK32" i="36"/>
  <c r="J33" i="36"/>
  <c r="K33" i="36"/>
  <c r="S33" i="36"/>
  <c r="T33" i="36"/>
  <c r="U33" i="36"/>
  <c r="W33" i="36"/>
  <c r="X33" i="36"/>
  <c r="Z33" i="36"/>
  <c r="AA33" i="36"/>
  <c r="AB33" i="36"/>
  <c r="AD33" i="36"/>
  <c r="AE33" i="36"/>
  <c r="AF33" i="36"/>
  <c r="AG33" i="36"/>
  <c r="AH33" i="36"/>
  <c r="AI33" i="36"/>
  <c r="AJ33" i="36"/>
  <c r="AK33" i="36"/>
  <c r="J34" i="36"/>
  <c r="K34" i="36"/>
  <c r="S34" i="36"/>
  <c r="T34" i="36"/>
  <c r="U34" i="36"/>
  <c r="W34" i="36"/>
  <c r="X34" i="36"/>
  <c r="Z34" i="36"/>
  <c r="AA34" i="36"/>
  <c r="AB34" i="36"/>
  <c r="AD34" i="36"/>
  <c r="AE34" i="36"/>
  <c r="AF34" i="36"/>
  <c r="AG34" i="36"/>
  <c r="AH34" i="36"/>
  <c r="AI34" i="36"/>
  <c r="AJ34" i="36"/>
  <c r="AK34" i="36"/>
  <c r="J35" i="36"/>
  <c r="K35" i="36"/>
  <c r="J36" i="36"/>
  <c r="K36" i="36"/>
  <c r="S36" i="36"/>
  <c r="T36" i="36"/>
  <c r="U36" i="36"/>
  <c r="W36" i="36"/>
  <c r="X36" i="36"/>
  <c r="Z36" i="36"/>
  <c r="AA36" i="36"/>
  <c r="AB36" i="36"/>
  <c r="AD36" i="36"/>
  <c r="AE36" i="36"/>
  <c r="AF36" i="36"/>
  <c r="AG36" i="36"/>
  <c r="AH36" i="36"/>
  <c r="AI36" i="36"/>
  <c r="AJ36" i="36"/>
  <c r="AK36" i="36"/>
  <c r="J37" i="36"/>
  <c r="K37" i="36"/>
  <c r="S37" i="36"/>
  <c r="T37" i="36"/>
  <c r="U37" i="36"/>
  <c r="W37" i="36"/>
  <c r="X37" i="36"/>
  <c r="Z37" i="36"/>
  <c r="AA37" i="36"/>
  <c r="AB37" i="36"/>
  <c r="AD37" i="36"/>
  <c r="AE37" i="36"/>
  <c r="AF37" i="36"/>
  <c r="AG37" i="36"/>
  <c r="AH37" i="36"/>
  <c r="AI37" i="36"/>
  <c r="AJ37" i="36"/>
  <c r="AK37" i="36"/>
  <c r="S38" i="36"/>
  <c r="T38" i="36"/>
  <c r="U38" i="36"/>
  <c r="W38" i="36"/>
  <c r="X38" i="36"/>
  <c r="Z38" i="36"/>
  <c r="AA38" i="36"/>
  <c r="AB38" i="36"/>
  <c r="AD38" i="36"/>
  <c r="AE38" i="36"/>
  <c r="AF38" i="36"/>
  <c r="AG38" i="36"/>
  <c r="AH38" i="36"/>
  <c r="AI38" i="36"/>
  <c r="AJ38" i="36"/>
  <c r="AK38" i="36"/>
  <c r="S39" i="36"/>
  <c r="T39" i="36"/>
  <c r="U39" i="36"/>
  <c r="W39" i="36"/>
  <c r="X39" i="36"/>
  <c r="Z39" i="36"/>
  <c r="AA39" i="36"/>
  <c r="AB39" i="36"/>
  <c r="AD39" i="36"/>
  <c r="AE39" i="36"/>
  <c r="AF39" i="36"/>
  <c r="AG39" i="36"/>
  <c r="AH39" i="36"/>
  <c r="AI39" i="36"/>
  <c r="AJ39" i="36"/>
  <c r="AK39" i="36"/>
  <c r="K43" i="36"/>
  <c r="V43" i="36"/>
  <c r="K44" i="36"/>
  <c r="V44" i="36"/>
  <c r="K45" i="36"/>
  <c r="V45" i="36"/>
  <c r="K46" i="36"/>
  <c r="K47" i="36"/>
  <c r="R47" i="36"/>
  <c r="R48" i="36"/>
  <c r="J49" i="36"/>
  <c r="R50" i="36"/>
  <c r="Y62" i="36"/>
  <c r="Z62" i="36"/>
  <c r="Y63" i="36"/>
  <c r="Z63" i="36"/>
  <c r="Y64" i="36"/>
  <c r="Z64" i="36"/>
  <c r="Y65" i="36"/>
  <c r="Z65" i="36"/>
  <c r="Y66" i="36"/>
  <c r="Z66" i="36"/>
  <c r="AJ6" i="20"/>
  <c r="AK6" i="20"/>
  <c r="AL6" i="20"/>
  <c r="J7" i="20"/>
  <c r="K7" i="20"/>
  <c r="L7" i="20"/>
  <c r="M7" i="20"/>
  <c r="AJ7" i="20"/>
  <c r="AK7" i="20"/>
  <c r="AL7" i="20"/>
  <c r="L8" i="20"/>
  <c r="M8" i="20"/>
  <c r="AJ8" i="20"/>
  <c r="AK8" i="20"/>
  <c r="AL8" i="20"/>
  <c r="K9" i="20"/>
  <c r="M9" i="20"/>
  <c r="AJ9" i="20"/>
  <c r="AK9" i="20"/>
  <c r="AL9" i="20"/>
  <c r="T11" i="20"/>
  <c r="U11" i="20"/>
  <c r="V11" i="20"/>
  <c r="X11" i="20"/>
  <c r="Y11" i="20"/>
  <c r="AA11" i="20"/>
  <c r="AB11" i="20"/>
  <c r="AC11" i="20"/>
  <c r="AE11" i="20"/>
  <c r="AF11" i="20"/>
  <c r="AG11" i="20"/>
  <c r="AH11" i="20"/>
  <c r="AI11" i="20"/>
  <c r="AJ11" i="20"/>
  <c r="AK11" i="20"/>
  <c r="AL11" i="20"/>
  <c r="I12" i="20"/>
  <c r="J12" i="20"/>
  <c r="K12" i="20"/>
  <c r="M12" i="20"/>
  <c r="T12" i="20"/>
  <c r="U12" i="20"/>
  <c r="V12" i="20"/>
  <c r="X12" i="20"/>
  <c r="Y12" i="20"/>
  <c r="AA12" i="20"/>
  <c r="AB12" i="20"/>
  <c r="AC12" i="20"/>
  <c r="AE12" i="20"/>
  <c r="AF12" i="20"/>
  <c r="AG12" i="20"/>
  <c r="AH12" i="20"/>
  <c r="AI12" i="20"/>
  <c r="AJ12" i="20"/>
  <c r="AK12" i="20"/>
  <c r="AL12" i="20"/>
  <c r="T13" i="20"/>
  <c r="U13" i="20"/>
  <c r="V13" i="20"/>
  <c r="X13" i="20"/>
  <c r="Y13" i="20"/>
  <c r="AA13" i="20"/>
  <c r="AB13" i="20"/>
  <c r="AC13" i="20"/>
  <c r="AE13" i="20"/>
  <c r="AF13" i="20"/>
  <c r="AG13" i="20"/>
  <c r="AH13" i="20"/>
  <c r="AI13" i="20"/>
  <c r="AJ13" i="20"/>
  <c r="AK13" i="20"/>
  <c r="AL13" i="20"/>
  <c r="I14" i="20"/>
  <c r="K14" i="20"/>
  <c r="M14" i="20"/>
  <c r="T14" i="20"/>
  <c r="U14" i="20"/>
  <c r="V14" i="20"/>
  <c r="X14" i="20"/>
  <c r="Y14" i="20"/>
  <c r="AA14" i="20"/>
  <c r="AB14" i="20"/>
  <c r="AC14" i="20"/>
  <c r="AE14" i="20"/>
  <c r="AF14" i="20"/>
  <c r="AG14" i="20"/>
  <c r="AH14" i="20"/>
  <c r="AI14" i="20"/>
  <c r="AJ14" i="20"/>
  <c r="AK14" i="20"/>
  <c r="AL14" i="20"/>
  <c r="K16" i="20"/>
  <c r="M16" i="20"/>
  <c r="T16" i="20"/>
  <c r="U16" i="20"/>
  <c r="V16" i="20"/>
  <c r="X16" i="20"/>
  <c r="Y16" i="20"/>
  <c r="AA16" i="20"/>
  <c r="AB16" i="20"/>
  <c r="AC16" i="20"/>
  <c r="AE16" i="20"/>
  <c r="AF16" i="20"/>
  <c r="AG16" i="20"/>
  <c r="AH16" i="20"/>
  <c r="AI16" i="20"/>
  <c r="AJ16" i="20"/>
  <c r="AK16" i="20"/>
  <c r="AL16" i="20"/>
  <c r="T17" i="20"/>
  <c r="U17" i="20"/>
  <c r="V17" i="20"/>
  <c r="X17" i="20"/>
  <c r="Y17" i="20"/>
  <c r="AA17" i="20"/>
  <c r="AB17" i="20"/>
  <c r="AC17" i="20"/>
  <c r="AE17" i="20"/>
  <c r="AF17" i="20"/>
  <c r="AG17" i="20"/>
  <c r="AH17" i="20"/>
  <c r="AI17" i="20"/>
  <c r="AJ17" i="20"/>
  <c r="AK17" i="20"/>
  <c r="AL17" i="20"/>
  <c r="P18" i="20"/>
  <c r="Q18" i="20"/>
  <c r="T18" i="20"/>
  <c r="U18" i="20"/>
  <c r="V18" i="20"/>
  <c r="X18" i="20"/>
  <c r="Y18" i="20"/>
  <c r="AA18" i="20"/>
  <c r="AB18" i="20"/>
  <c r="AC18" i="20"/>
  <c r="AE18" i="20"/>
  <c r="AF18" i="20"/>
  <c r="AG18" i="20"/>
  <c r="AH18" i="20"/>
  <c r="AI18" i="20"/>
  <c r="AJ18" i="20"/>
  <c r="AK18" i="20"/>
  <c r="AL18" i="20"/>
  <c r="M19" i="20"/>
  <c r="P19" i="20"/>
  <c r="Q19" i="20"/>
  <c r="T19" i="20"/>
  <c r="U19" i="20"/>
  <c r="V19" i="20"/>
  <c r="X19" i="20"/>
  <c r="Y19" i="20"/>
  <c r="AA19" i="20"/>
  <c r="AB19" i="20"/>
  <c r="AC19" i="20"/>
  <c r="AE19" i="20"/>
  <c r="AF19" i="20"/>
  <c r="AG19" i="20"/>
  <c r="AH19" i="20"/>
  <c r="AI19" i="20"/>
  <c r="AJ19" i="20"/>
  <c r="AK19" i="20"/>
  <c r="AL19" i="20"/>
  <c r="J20" i="20"/>
  <c r="M20" i="20"/>
  <c r="P20" i="20"/>
  <c r="Q20" i="20"/>
  <c r="J21" i="20"/>
  <c r="M21" i="20"/>
  <c r="P21" i="20"/>
  <c r="T21" i="20"/>
  <c r="U21" i="20"/>
  <c r="V21" i="20"/>
  <c r="X21" i="20"/>
  <c r="Y21" i="20"/>
  <c r="AA21" i="20"/>
  <c r="AB21" i="20"/>
  <c r="AC21" i="20"/>
  <c r="AE21" i="20"/>
  <c r="AF21" i="20"/>
  <c r="AG21" i="20"/>
  <c r="AH21" i="20"/>
  <c r="AI21" i="20"/>
  <c r="AJ21" i="20"/>
  <c r="AK21" i="20"/>
  <c r="AL21" i="20"/>
  <c r="K22" i="20"/>
  <c r="P22" i="20"/>
  <c r="T22" i="20"/>
  <c r="U22" i="20"/>
  <c r="V22" i="20"/>
  <c r="X22" i="20"/>
  <c r="Y22" i="20"/>
  <c r="AA22" i="20"/>
  <c r="AB22" i="20"/>
  <c r="AC22" i="20"/>
  <c r="AE22" i="20"/>
  <c r="AF22" i="20"/>
  <c r="AG22" i="20"/>
  <c r="AH22" i="20"/>
  <c r="AI22" i="20"/>
  <c r="AJ22" i="20"/>
  <c r="AK22" i="20"/>
  <c r="AL22" i="20"/>
  <c r="T23" i="20"/>
  <c r="U23" i="20"/>
  <c r="V23" i="20"/>
  <c r="X23" i="20"/>
  <c r="Y23" i="20"/>
  <c r="AA23" i="20"/>
  <c r="AB23" i="20"/>
  <c r="AC23" i="20"/>
  <c r="AE23" i="20"/>
  <c r="AF23" i="20"/>
  <c r="AG23" i="20"/>
  <c r="AH23" i="20"/>
  <c r="AI23" i="20"/>
  <c r="AJ23" i="20"/>
  <c r="AK23" i="20"/>
  <c r="AL23" i="20"/>
  <c r="T24" i="20"/>
  <c r="U24" i="20"/>
  <c r="V24" i="20"/>
  <c r="X24" i="20"/>
  <c r="Y24" i="20"/>
  <c r="AA24" i="20"/>
  <c r="AB24" i="20"/>
  <c r="AC24" i="20"/>
  <c r="AE24" i="20"/>
  <c r="AF24" i="20"/>
  <c r="AG24" i="20"/>
  <c r="AH24" i="20"/>
  <c r="AI24" i="20"/>
  <c r="AJ24" i="20"/>
  <c r="AK24" i="20"/>
  <c r="AL24" i="20"/>
  <c r="K26" i="20"/>
  <c r="L26" i="20"/>
  <c r="M26" i="20"/>
  <c r="T26" i="20"/>
  <c r="U26" i="20"/>
  <c r="V26" i="20"/>
  <c r="X26" i="20"/>
  <c r="Y26" i="20"/>
  <c r="AA26" i="20"/>
  <c r="AB26" i="20"/>
  <c r="AC26" i="20"/>
  <c r="AE26" i="20"/>
  <c r="AF26" i="20"/>
  <c r="AG26" i="20"/>
  <c r="AH26" i="20"/>
  <c r="AI26" i="20"/>
  <c r="AJ26" i="20"/>
  <c r="AK26" i="20"/>
  <c r="AL26" i="20"/>
  <c r="T27" i="20"/>
  <c r="U27" i="20"/>
  <c r="V27" i="20"/>
  <c r="X27" i="20"/>
  <c r="Y27" i="20"/>
  <c r="AA27" i="20"/>
  <c r="AB27" i="20"/>
  <c r="AC27" i="20"/>
  <c r="AE27" i="20"/>
  <c r="AF27" i="20"/>
  <c r="AG27" i="20"/>
  <c r="AH27" i="20"/>
  <c r="AI27" i="20"/>
  <c r="AJ27" i="20"/>
  <c r="AK27" i="20"/>
  <c r="AL27" i="20"/>
  <c r="L28" i="20"/>
  <c r="M28" i="20"/>
  <c r="T28" i="20"/>
  <c r="U28" i="20"/>
  <c r="V28" i="20"/>
  <c r="X28" i="20"/>
  <c r="Y28" i="20"/>
  <c r="AA28" i="20"/>
  <c r="AB28" i="20"/>
  <c r="AC28" i="20"/>
  <c r="AE28" i="20"/>
  <c r="AF28" i="20"/>
  <c r="AG28" i="20"/>
  <c r="AH28" i="20"/>
  <c r="AI28" i="20"/>
  <c r="AJ28" i="20"/>
  <c r="AK28" i="20"/>
  <c r="AL28" i="20"/>
  <c r="T29" i="20"/>
  <c r="U29" i="20"/>
  <c r="V29" i="20"/>
  <c r="X29" i="20"/>
  <c r="Y29" i="20"/>
  <c r="AA29" i="20"/>
  <c r="AB29" i="20"/>
  <c r="AC29" i="20"/>
  <c r="AE29" i="20"/>
  <c r="AF29" i="20"/>
  <c r="AG29" i="20"/>
  <c r="AH29" i="20"/>
  <c r="AI29" i="20"/>
  <c r="AJ29" i="20"/>
  <c r="AK29" i="20"/>
  <c r="AL29" i="20"/>
  <c r="T31" i="20"/>
  <c r="U31" i="20"/>
  <c r="V31" i="20"/>
  <c r="X31" i="20"/>
  <c r="Y31" i="20"/>
  <c r="AA31" i="20"/>
  <c r="AB31" i="20"/>
  <c r="AC31" i="20"/>
  <c r="AE31" i="20"/>
  <c r="AF31" i="20"/>
  <c r="AG31" i="20"/>
  <c r="AH31" i="20"/>
  <c r="AI31" i="20"/>
  <c r="AJ31" i="20"/>
  <c r="AK31" i="20"/>
  <c r="AL31" i="20"/>
  <c r="T32" i="20"/>
  <c r="U32" i="20"/>
  <c r="V32" i="20"/>
  <c r="X32" i="20"/>
  <c r="Y32" i="20"/>
  <c r="AA32" i="20"/>
  <c r="AB32" i="20"/>
  <c r="AC32" i="20"/>
  <c r="AE32" i="20"/>
  <c r="AF32" i="20"/>
  <c r="AG32" i="20"/>
  <c r="AH32" i="20"/>
  <c r="AI32" i="20"/>
  <c r="AJ32" i="20"/>
  <c r="AK32" i="20"/>
  <c r="AL32" i="20"/>
  <c r="J33" i="20"/>
  <c r="K33" i="20"/>
  <c r="T33" i="20"/>
  <c r="U33" i="20"/>
  <c r="V33" i="20"/>
  <c r="X33" i="20"/>
  <c r="Y33" i="20"/>
  <c r="AA33" i="20"/>
  <c r="AB33" i="20"/>
  <c r="AC33" i="20"/>
  <c r="AE33" i="20"/>
  <c r="AF33" i="20"/>
  <c r="AG33" i="20"/>
  <c r="AH33" i="20"/>
  <c r="AI33" i="20"/>
  <c r="AJ33" i="20"/>
  <c r="AK33" i="20"/>
  <c r="AL33" i="20"/>
  <c r="J34" i="20"/>
  <c r="K34" i="20"/>
  <c r="T34" i="20"/>
  <c r="U34" i="20"/>
  <c r="V34" i="20"/>
  <c r="X34" i="20"/>
  <c r="Y34" i="20"/>
  <c r="AA34" i="20"/>
  <c r="AB34" i="20"/>
  <c r="AC34" i="20"/>
  <c r="AE34" i="20"/>
  <c r="AF34" i="20"/>
  <c r="AG34" i="20"/>
  <c r="AH34" i="20"/>
  <c r="AI34" i="20"/>
  <c r="AJ34" i="20"/>
  <c r="AK34" i="20"/>
  <c r="AL34" i="20"/>
  <c r="J35" i="20"/>
  <c r="K35" i="20"/>
  <c r="J36" i="20"/>
  <c r="K36" i="20"/>
  <c r="T36" i="20"/>
  <c r="U36" i="20"/>
  <c r="V36" i="20"/>
  <c r="X36" i="20"/>
  <c r="Y36" i="20"/>
  <c r="AA36" i="20"/>
  <c r="AB36" i="20"/>
  <c r="AC36" i="20"/>
  <c r="AE36" i="20"/>
  <c r="AF36" i="20"/>
  <c r="AG36" i="20"/>
  <c r="AH36" i="20"/>
  <c r="AI36" i="20"/>
  <c r="AJ36" i="20"/>
  <c r="AK36" i="20"/>
  <c r="AL36" i="20"/>
  <c r="J37" i="20"/>
  <c r="K37" i="20"/>
  <c r="T37" i="20"/>
  <c r="U37" i="20"/>
  <c r="V37" i="20"/>
  <c r="X37" i="20"/>
  <c r="Y37" i="20"/>
  <c r="AA37" i="20"/>
  <c r="AB37" i="20"/>
  <c r="AC37" i="20"/>
  <c r="AE37" i="20"/>
  <c r="AF37" i="20"/>
  <c r="AG37" i="20"/>
  <c r="AH37" i="20"/>
  <c r="AI37" i="20"/>
  <c r="AJ37" i="20"/>
  <c r="AK37" i="20"/>
  <c r="AL37" i="20"/>
  <c r="T38" i="20"/>
  <c r="U38" i="20"/>
  <c r="V38" i="20"/>
  <c r="X38" i="20"/>
  <c r="Y38" i="20"/>
  <c r="AA38" i="20"/>
  <c r="AB38" i="20"/>
  <c r="AC38" i="20"/>
  <c r="AE38" i="20"/>
  <c r="AF38" i="20"/>
  <c r="AG38" i="20"/>
  <c r="AH38" i="20"/>
  <c r="AI38" i="20"/>
  <c r="AJ38" i="20"/>
  <c r="AK38" i="20"/>
  <c r="AL38" i="20"/>
  <c r="T39" i="20"/>
  <c r="U39" i="20"/>
  <c r="V39" i="20"/>
  <c r="X39" i="20"/>
  <c r="Y39" i="20"/>
  <c r="AA39" i="20"/>
  <c r="AB39" i="20"/>
  <c r="AC39" i="20"/>
  <c r="AE39" i="20"/>
  <c r="AF39" i="20"/>
  <c r="AG39" i="20"/>
  <c r="AH39" i="20"/>
  <c r="AI39" i="20"/>
  <c r="AJ39" i="20"/>
  <c r="AK39" i="20"/>
  <c r="AL39" i="20"/>
  <c r="K43" i="20"/>
  <c r="W43" i="20"/>
  <c r="K44" i="20"/>
  <c r="W44" i="20"/>
  <c r="K45" i="20"/>
  <c r="W45" i="20"/>
  <c r="K46" i="20"/>
  <c r="K47" i="20"/>
  <c r="S47" i="20"/>
  <c r="S48" i="20"/>
  <c r="J49" i="20"/>
  <c r="S50" i="20"/>
  <c r="Z62" i="20"/>
  <c r="AA62" i="20"/>
  <c r="Z63" i="20"/>
  <c r="AA63" i="20"/>
  <c r="Z64" i="20"/>
  <c r="AA64" i="20"/>
  <c r="Z65" i="20"/>
  <c r="AA65" i="20"/>
  <c r="Z66" i="20"/>
  <c r="AA66" i="20"/>
  <c r="AI6" i="37"/>
  <c r="AJ6" i="37"/>
  <c r="AK6" i="37"/>
  <c r="J7" i="37"/>
  <c r="K7" i="37"/>
  <c r="L7" i="37"/>
  <c r="M7" i="37"/>
  <c r="AI7" i="37"/>
  <c r="AJ7" i="37"/>
  <c r="AK7" i="37"/>
  <c r="L8" i="37"/>
  <c r="M8" i="37"/>
  <c r="AI8" i="37"/>
  <c r="AJ8" i="37"/>
  <c r="AK8" i="37"/>
  <c r="K9" i="37"/>
  <c r="M9" i="37"/>
  <c r="AI9" i="37"/>
  <c r="AJ9" i="37"/>
  <c r="AK9" i="37"/>
  <c r="S11" i="37"/>
  <c r="T11" i="37"/>
  <c r="U11" i="37"/>
  <c r="W11" i="37"/>
  <c r="X11" i="37"/>
  <c r="Z11" i="37"/>
  <c r="AA11" i="37"/>
  <c r="AB11" i="37"/>
  <c r="AD11" i="37"/>
  <c r="AE11" i="37"/>
  <c r="AF11" i="37"/>
  <c r="AG11" i="37"/>
  <c r="AH11" i="37"/>
  <c r="AI11" i="37"/>
  <c r="AJ11" i="37"/>
  <c r="AK11" i="37"/>
  <c r="I12" i="37"/>
  <c r="J12" i="37"/>
  <c r="K12" i="37"/>
  <c r="M12" i="37"/>
  <c r="S12" i="37"/>
  <c r="T12" i="37"/>
  <c r="U12" i="37"/>
  <c r="W12" i="37"/>
  <c r="X12" i="37"/>
  <c r="Z12" i="37"/>
  <c r="AA12" i="37"/>
  <c r="AB12" i="37"/>
  <c r="AD12" i="37"/>
  <c r="AE12" i="37"/>
  <c r="AF12" i="37"/>
  <c r="AG12" i="37"/>
  <c r="AH12" i="37"/>
  <c r="AI12" i="37"/>
  <c r="AJ12" i="37"/>
  <c r="AK12" i="37"/>
  <c r="S13" i="37"/>
  <c r="T13" i="37"/>
  <c r="U13" i="37"/>
  <c r="W13" i="37"/>
  <c r="X13" i="37"/>
  <c r="Z13" i="37"/>
  <c r="AA13" i="37"/>
  <c r="AB13" i="37"/>
  <c r="AD13" i="37"/>
  <c r="AE13" i="37"/>
  <c r="AF13" i="37"/>
  <c r="AG13" i="37"/>
  <c r="AH13" i="37"/>
  <c r="AI13" i="37"/>
  <c r="AJ13" i="37"/>
  <c r="AK13" i="37"/>
  <c r="I14" i="37"/>
  <c r="K14" i="37"/>
  <c r="M14" i="37"/>
  <c r="S14" i="37"/>
  <c r="T14" i="37"/>
  <c r="U14" i="37"/>
  <c r="W14" i="37"/>
  <c r="X14" i="37"/>
  <c r="Z14" i="37"/>
  <c r="AA14" i="37"/>
  <c r="AB14" i="37"/>
  <c r="AD14" i="37"/>
  <c r="AE14" i="37"/>
  <c r="AF14" i="37"/>
  <c r="AG14" i="37"/>
  <c r="AH14" i="37"/>
  <c r="AI14" i="37"/>
  <c r="AJ14" i="37"/>
  <c r="AK14" i="37"/>
  <c r="K16" i="37"/>
  <c r="M16" i="37"/>
  <c r="S16" i="37"/>
  <c r="T16" i="37"/>
  <c r="U16" i="37"/>
  <c r="W16" i="37"/>
  <c r="X16" i="37"/>
  <c r="Z16" i="37"/>
  <c r="AA16" i="37"/>
  <c r="AB16" i="37"/>
  <c r="AD16" i="37"/>
  <c r="AE16" i="37"/>
  <c r="AF16" i="37"/>
  <c r="AG16" i="37"/>
  <c r="AH16" i="37"/>
  <c r="AI16" i="37"/>
  <c r="AJ16" i="37"/>
  <c r="AK16" i="37"/>
  <c r="S17" i="37"/>
  <c r="T17" i="37"/>
  <c r="U17" i="37"/>
  <c r="W17" i="37"/>
  <c r="X17" i="37"/>
  <c r="Z17" i="37"/>
  <c r="AA17" i="37"/>
  <c r="AB17" i="37"/>
  <c r="AD17" i="37"/>
  <c r="AE17" i="37"/>
  <c r="AF17" i="37"/>
  <c r="AG17" i="37"/>
  <c r="AH17" i="37"/>
  <c r="AI17" i="37"/>
  <c r="AJ17" i="37"/>
  <c r="AK17" i="37"/>
  <c r="S18" i="37"/>
  <c r="T18" i="37"/>
  <c r="U18" i="37"/>
  <c r="W18" i="37"/>
  <c r="X18" i="37"/>
  <c r="Z18" i="37"/>
  <c r="AA18" i="37"/>
  <c r="AB18" i="37"/>
  <c r="AD18" i="37"/>
  <c r="AE18" i="37"/>
  <c r="AF18" i="37"/>
  <c r="AG18" i="37"/>
  <c r="AH18" i="37"/>
  <c r="AI18" i="37"/>
  <c r="AJ18" i="37"/>
  <c r="AK18" i="37"/>
  <c r="M19" i="37"/>
  <c r="S19" i="37"/>
  <c r="T19" i="37"/>
  <c r="U19" i="37"/>
  <c r="W19" i="37"/>
  <c r="X19" i="37"/>
  <c r="Z19" i="37"/>
  <c r="AA19" i="37"/>
  <c r="AB19" i="37"/>
  <c r="AD19" i="37"/>
  <c r="AE19" i="37"/>
  <c r="AF19" i="37"/>
  <c r="AG19" i="37"/>
  <c r="AH19" i="37"/>
  <c r="AI19" i="37"/>
  <c r="AJ19" i="37"/>
  <c r="AK19" i="37"/>
  <c r="J20" i="37"/>
  <c r="M20" i="37"/>
  <c r="J21" i="37"/>
  <c r="M21" i="37"/>
  <c r="S21" i="37"/>
  <c r="T21" i="37"/>
  <c r="U21" i="37"/>
  <c r="W21" i="37"/>
  <c r="X21" i="37"/>
  <c r="Z21" i="37"/>
  <c r="AA21" i="37"/>
  <c r="AB21" i="37"/>
  <c r="AD21" i="37"/>
  <c r="AE21" i="37"/>
  <c r="AF21" i="37"/>
  <c r="AG21" i="37"/>
  <c r="AH21" i="37"/>
  <c r="AI21" i="37"/>
  <c r="AJ21" i="37"/>
  <c r="AK21" i="37"/>
  <c r="K22" i="37"/>
  <c r="S22" i="37"/>
  <c r="T22" i="37"/>
  <c r="U22" i="37"/>
  <c r="W22" i="37"/>
  <c r="X22" i="37"/>
  <c r="Z22" i="37"/>
  <c r="AA22" i="37"/>
  <c r="AB22" i="37"/>
  <c r="AD22" i="37"/>
  <c r="AE22" i="37"/>
  <c r="AF22" i="37"/>
  <c r="AG22" i="37"/>
  <c r="AH22" i="37"/>
  <c r="AI22" i="37"/>
  <c r="AJ22" i="37"/>
  <c r="AK22" i="37"/>
  <c r="S23" i="37"/>
  <c r="T23" i="37"/>
  <c r="U23" i="37"/>
  <c r="W23" i="37"/>
  <c r="X23" i="37"/>
  <c r="Z23" i="37"/>
  <c r="AA23" i="37"/>
  <c r="AB23" i="37"/>
  <c r="AD23" i="37"/>
  <c r="AE23" i="37"/>
  <c r="AF23" i="37"/>
  <c r="AG23" i="37"/>
  <c r="AH23" i="37"/>
  <c r="AI23" i="37"/>
  <c r="AJ23" i="37"/>
  <c r="AK23" i="37"/>
  <c r="S24" i="37"/>
  <c r="T24" i="37"/>
  <c r="U24" i="37"/>
  <c r="W24" i="37"/>
  <c r="X24" i="37"/>
  <c r="Z24" i="37"/>
  <c r="AA24" i="37"/>
  <c r="AB24" i="37"/>
  <c r="AD24" i="37"/>
  <c r="AE24" i="37"/>
  <c r="AF24" i="37"/>
  <c r="AG24" i="37"/>
  <c r="AH24" i="37"/>
  <c r="AI24" i="37"/>
  <c r="AJ24" i="37"/>
  <c r="AK24" i="37"/>
  <c r="K26" i="37"/>
  <c r="L26" i="37"/>
  <c r="M26" i="37"/>
  <c r="S26" i="37"/>
  <c r="T26" i="37"/>
  <c r="U26" i="37"/>
  <c r="W26" i="37"/>
  <c r="X26" i="37"/>
  <c r="Z26" i="37"/>
  <c r="AA26" i="37"/>
  <c r="AB26" i="37"/>
  <c r="AD26" i="37"/>
  <c r="AE26" i="37"/>
  <c r="AF26" i="37"/>
  <c r="AG26" i="37"/>
  <c r="AH26" i="37"/>
  <c r="AI26" i="37"/>
  <c r="AJ26" i="37"/>
  <c r="AK26" i="37"/>
  <c r="S27" i="37"/>
  <c r="T27" i="37"/>
  <c r="U27" i="37"/>
  <c r="W27" i="37"/>
  <c r="X27" i="37"/>
  <c r="Z27" i="37"/>
  <c r="AA27" i="37"/>
  <c r="AB27" i="37"/>
  <c r="AD27" i="37"/>
  <c r="AE27" i="37"/>
  <c r="AF27" i="37"/>
  <c r="AG27" i="37"/>
  <c r="AH27" i="37"/>
  <c r="AI27" i="37"/>
  <c r="AJ27" i="37"/>
  <c r="AK27" i="37"/>
  <c r="L28" i="37"/>
  <c r="M28" i="37"/>
  <c r="S28" i="37"/>
  <c r="T28" i="37"/>
  <c r="U28" i="37"/>
  <c r="W28" i="37"/>
  <c r="X28" i="37"/>
  <c r="Z28" i="37"/>
  <c r="AA28" i="37"/>
  <c r="AB28" i="37"/>
  <c r="AD28" i="37"/>
  <c r="AE28" i="37"/>
  <c r="AF28" i="37"/>
  <c r="AG28" i="37"/>
  <c r="AH28" i="37"/>
  <c r="AI28" i="37"/>
  <c r="AJ28" i="37"/>
  <c r="AK28" i="37"/>
  <c r="S29" i="37"/>
  <c r="T29" i="37"/>
  <c r="U29" i="37"/>
  <c r="W29" i="37"/>
  <c r="X29" i="37"/>
  <c r="Z29" i="37"/>
  <c r="AA29" i="37"/>
  <c r="AB29" i="37"/>
  <c r="AD29" i="37"/>
  <c r="AE29" i="37"/>
  <c r="AF29" i="37"/>
  <c r="AG29" i="37"/>
  <c r="AH29" i="37"/>
  <c r="AI29" i="37"/>
  <c r="AJ29" i="37"/>
  <c r="AK29" i="37"/>
  <c r="S31" i="37"/>
  <c r="T31" i="37"/>
  <c r="U31" i="37"/>
  <c r="W31" i="37"/>
  <c r="X31" i="37"/>
  <c r="Z31" i="37"/>
  <c r="AA31" i="37"/>
  <c r="AB31" i="37"/>
  <c r="AD31" i="37"/>
  <c r="AE31" i="37"/>
  <c r="AF31" i="37"/>
  <c r="AG31" i="37"/>
  <c r="AH31" i="37"/>
  <c r="AI31" i="37"/>
  <c r="AJ31" i="37"/>
  <c r="AK31" i="37"/>
  <c r="S32" i="37"/>
  <c r="T32" i="37"/>
  <c r="U32" i="37"/>
  <c r="W32" i="37"/>
  <c r="X32" i="37"/>
  <c r="Z32" i="37"/>
  <c r="AA32" i="37"/>
  <c r="AB32" i="37"/>
  <c r="AD32" i="37"/>
  <c r="AE32" i="37"/>
  <c r="AF32" i="37"/>
  <c r="AG32" i="37"/>
  <c r="AH32" i="37"/>
  <c r="AI32" i="37"/>
  <c r="AJ32" i="37"/>
  <c r="AK32" i="37"/>
  <c r="J33" i="37"/>
  <c r="K33" i="37"/>
  <c r="S33" i="37"/>
  <c r="T33" i="37"/>
  <c r="U33" i="37"/>
  <c r="W33" i="37"/>
  <c r="X33" i="37"/>
  <c r="Z33" i="37"/>
  <c r="AA33" i="37"/>
  <c r="AB33" i="37"/>
  <c r="AD33" i="37"/>
  <c r="AE33" i="37"/>
  <c r="AF33" i="37"/>
  <c r="AG33" i="37"/>
  <c r="AH33" i="37"/>
  <c r="AI33" i="37"/>
  <c r="AJ33" i="37"/>
  <c r="AK33" i="37"/>
  <c r="J34" i="37"/>
  <c r="K34" i="37"/>
  <c r="S34" i="37"/>
  <c r="T34" i="37"/>
  <c r="U34" i="37"/>
  <c r="W34" i="37"/>
  <c r="X34" i="37"/>
  <c r="Z34" i="37"/>
  <c r="AA34" i="37"/>
  <c r="AB34" i="37"/>
  <c r="AD34" i="37"/>
  <c r="AE34" i="37"/>
  <c r="AF34" i="37"/>
  <c r="AG34" i="37"/>
  <c r="AH34" i="37"/>
  <c r="AI34" i="37"/>
  <c r="AJ34" i="37"/>
  <c r="AK34" i="37"/>
  <c r="J35" i="37"/>
  <c r="K35" i="37"/>
  <c r="J36" i="37"/>
  <c r="K36" i="37"/>
  <c r="S36" i="37"/>
  <c r="T36" i="37"/>
  <c r="U36" i="37"/>
  <c r="W36" i="37"/>
  <c r="X36" i="37"/>
  <c r="Z36" i="37"/>
  <c r="AA36" i="37"/>
  <c r="AB36" i="37"/>
  <c r="AD36" i="37"/>
  <c r="AE36" i="37"/>
  <c r="AF36" i="37"/>
  <c r="AG36" i="37"/>
  <c r="AH36" i="37"/>
  <c r="AI36" i="37"/>
  <c r="AJ36" i="37"/>
  <c r="AK36" i="37"/>
  <c r="J37" i="37"/>
  <c r="K37" i="37"/>
  <c r="S37" i="37"/>
  <c r="T37" i="37"/>
  <c r="U37" i="37"/>
  <c r="W37" i="37"/>
  <c r="X37" i="37"/>
  <c r="Z37" i="37"/>
  <c r="AA37" i="37"/>
  <c r="AB37" i="37"/>
  <c r="AD37" i="37"/>
  <c r="AE37" i="37"/>
  <c r="AF37" i="37"/>
  <c r="AG37" i="37"/>
  <c r="AH37" i="37"/>
  <c r="AI37" i="37"/>
  <c r="AJ37" i="37"/>
  <c r="AK37" i="37"/>
  <c r="S38" i="37"/>
  <c r="T38" i="37"/>
  <c r="U38" i="37"/>
  <c r="W38" i="37"/>
  <c r="X38" i="37"/>
  <c r="Z38" i="37"/>
  <c r="AA38" i="37"/>
  <c r="AB38" i="37"/>
  <c r="AD38" i="37"/>
  <c r="AE38" i="37"/>
  <c r="AF38" i="37"/>
  <c r="AG38" i="37"/>
  <c r="AH38" i="37"/>
  <c r="AI38" i="37"/>
  <c r="AJ38" i="37"/>
  <c r="AK38" i="37"/>
  <c r="S39" i="37"/>
  <c r="T39" i="37"/>
  <c r="U39" i="37"/>
  <c r="W39" i="37"/>
  <c r="X39" i="37"/>
  <c r="Z39" i="37"/>
  <c r="AA39" i="37"/>
  <c r="AB39" i="37"/>
  <c r="AD39" i="37"/>
  <c r="AE39" i="37"/>
  <c r="AF39" i="37"/>
  <c r="AG39" i="37"/>
  <c r="AH39" i="37"/>
  <c r="AI39" i="37"/>
  <c r="AJ39" i="37"/>
  <c r="AK39" i="37"/>
  <c r="K43" i="37"/>
  <c r="V43" i="37"/>
  <c r="K44" i="37"/>
  <c r="V44" i="37"/>
  <c r="K45" i="37"/>
  <c r="V45" i="37"/>
  <c r="K46" i="37"/>
  <c r="K47" i="37"/>
  <c r="R47" i="37"/>
  <c r="R48" i="37"/>
  <c r="J49" i="37"/>
  <c r="R50" i="37"/>
  <c r="Y62" i="37"/>
  <c r="Z62" i="37"/>
  <c r="Y63" i="37"/>
  <c r="Z63" i="37"/>
  <c r="Y64" i="37"/>
  <c r="Z64" i="37"/>
  <c r="Y65" i="37"/>
  <c r="Z65" i="37"/>
  <c r="Y66" i="37"/>
  <c r="Z66" i="37"/>
  <c r="E2" i="43"/>
  <c r="E3" i="43"/>
  <c r="E4" i="43"/>
  <c r="E5" i="43"/>
  <c r="E6" i="43"/>
  <c r="D11" i="43"/>
  <c r="E11" i="43"/>
  <c r="D14" i="43"/>
  <c r="E14" i="43"/>
  <c r="D18" i="43"/>
  <c r="E18" i="43"/>
  <c r="D19" i="43"/>
  <c r="E19" i="43"/>
  <c r="D20" i="43"/>
  <c r="E20" i="43"/>
  <c r="D21" i="43"/>
  <c r="E21" i="43"/>
  <c r="D26" i="43"/>
  <c r="E26" i="43"/>
  <c r="D30" i="43"/>
  <c r="E30" i="43"/>
  <c r="D31" i="43"/>
  <c r="E31" i="43"/>
  <c r="D35" i="43"/>
  <c r="E35" i="43"/>
  <c r="D36" i="43"/>
  <c r="E36" i="43"/>
  <c r="D37" i="43"/>
  <c r="E37" i="43"/>
  <c r="D38" i="43"/>
  <c r="E38" i="43"/>
  <c r="D39" i="43"/>
  <c r="E39" i="43"/>
  <c r="D44" i="43"/>
  <c r="E44" i="43"/>
  <c r="D45" i="43"/>
  <c r="E45" i="43"/>
  <c r="D48" i="43"/>
  <c r="E48" i="43"/>
  <c r="D49" i="43"/>
  <c r="E49" i="43"/>
  <c r="D53" i="43"/>
  <c r="E53" i="43"/>
  <c r="D54" i="43"/>
  <c r="E54" i="43"/>
  <c r="D57" i="43"/>
  <c r="E57" i="43"/>
  <c r="D58" i="43"/>
  <c r="E58" i="43"/>
  <c r="D60" i="43"/>
  <c r="E60" i="43"/>
  <c r="D65" i="43"/>
  <c r="E65" i="43"/>
  <c r="D66" i="43"/>
  <c r="E66" i="43"/>
  <c r="D67" i="43"/>
  <c r="E67" i="43"/>
  <c r="D68" i="43"/>
  <c r="E68" i="43"/>
  <c r="D71" i="43"/>
  <c r="E71" i="43"/>
  <c r="D72" i="43"/>
  <c r="E72" i="43"/>
  <c r="D73" i="43"/>
  <c r="E73" i="43"/>
  <c r="D74" i="43"/>
  <c r="E74" i="43"/>
  <c r="D78" i="43"/>
  <c r="E78" i="43"/>
  <c r="D79" i="43"/>
  <c r="E79" i="43"/>
  <c r="D80" i="43"/>
  <c r="E80" i="43"/>
  <c r="D83" i="43"/>
  <c r="E83" i="43"/>
  <c r="D84" i="43"/>
  <c r="E84" i="43"/>
  <c r="D85" i="43"/>
  <c r="E85" i="43"/>
  <c r="D88" i="43"/>
  <c r="E88" i="43"/>
  <c r="D89" i="43"/>
  <c r="E89" i="43"/>
  <c r="D90" i="43"/>
  <c r="E90" i="43"/>
  <c r="D93" i="43"/>
  <c r="E93" i="43"/>
  <c r="D94" i="43"/>
  <c r="E94" i="43"/>
  <c r="D95" i="43"/>
  <c r="E95" i="43"/>
  <c r="D98" i="43"/>
  <c r="E98" i="43"/>
  <c r="D99" i="43"/>
  <c r="E99" i="43"/>
  <c r="D100" i="43"/>
  <c r="E100" i="43"/>
  <c r="D103" i="43"/>
  <c r="E103" i="43"/>
  <c r="D104" i="43"/>
  <c r="E104" i="43"/>
  <c r="D105" i="43"/>
  <c r="E105" i="43"/>
  <c r="D108" i="43"/>
  <c r="E108" i="43"/>
  <c r="D109" i="43"/>
  <c r="E109" i="43"/>
  <c r="D112" i="43"/>
  <c r="E112" i="43"/>
  <c r="D113" i="43"/>
  <c r="E113" i="43"/>
  <c r="D118" i="43"/>
  <c r="E118" i="43"/>
  <c r="D121" i="43"/>
  <c r="E121" i="43"/>
  <c r="D122" i="43"/>
  <c r="E122" i="43"/>
  <c r="D123" i="43"/>
  <c r="E123" i="43"/>
  <c r="D124" i="43"/>
  <c r="E124" i="43"/>
  <c r="D125" i="43"/>
  <c r="E125" i="43"/>
  <c r="D128" i="43"/>
  <c r="E128" i="43"/>
  <c r="D131" i="43"/>
  <c r="E131" i="43"/>
  <c r="D135" i="43"/>
  <c r="E135" i="43"/>
  <c r="D136" i="43"/>
  <c r="E136" i="43"/>
  <c r="D141" i="43"/>
  <c r="E141" i="43"/>
  <c r="D142" i="43"/>
  <c r="E142" i="43"/>
  <c r="D145" i="43"/>
  <c r="E145" i="43"/>
  <c r="D148" i="43"/>
  <c r="E148" i="43"/>
  <c r="D152" i="43"/>
  <c r="E152" i="43"/>
  <c r="D153" i="43"/>
  <c r="E153" i="43"/>
  <c r="D154" i="43"/>
  <c r="E154" i="43"/>
  <c r="D159" i="43"/>
  <c r="E159" i="43"/>
  <c r="D160" i="43"/>
  <c r="E160" i="43"/>
  <c r="D161" i="43"/>
  <c r="E161" i="43"/>
  <c r="D162" i="43"/>
  <c r="E162" i="43"/>
  <c r="D163" i="43"/>
  <c r="E163" i="43"/>
  <c r="D164" i="43"/>
  <c r="E164" i="43"/>
  <c r="D165" i="43"/>
  <c r="E165" i="43"/>
  <c r="D168" i="43"/>
  <c r="E168" i="43"/>
  <c r="D169" i="43"/>
  <c r="E169" i="43"/>
  <c r="D170" i="43"/>
  <c r="E170" i="43"/>
  <c r="D171" i="43"/>
  <c r="E171" i="43"/>
  <c r="D172" i="43"/>
  <c r="E172" i="43"/>
  <c r="D173" i="43"/>
  <c r="E173" i="43"/>
  <c r="D174" i="43"/>
  <c r="E174" i="43"/>
  <c r="D177" i="43"/>
  <c r="E177" i="43"/>
  <c r="D178" i="43"/>
  <c r="E178" i="43"/>
  <c r="D179" i="43"/>
  <c r="E179" i="43"/>
  <c r="D180" i="43"/>
  <c r="E180" i="43"/>
  <c r="D181" i="43"/>
  <c r="E181" i="43"/>
  <c r="D182" i="43"/>
  <c r="E182" i="43"/>
  <c r="D183" i="43"/>
  <c r="E183" i="43"/>
  <c r="D187" i="43"/>
  <c r="E187" i="43"/>
  <c r="D188" i="43"/>
  <c r="E188" i="43"/>
  <c r="D189" i="43"/>
  <c r="E189" i="43"/>
  <c r="D190" i="43"/>
  <c r="E190" i="43"/>
  <c r="D191" i="43"/>
  <c r="E191" i="43"/>
  <c r="D192" i="43"/>
  <c r="E192" i="43"/>
  <c r="D193" i="43"/>
  <c r="E193" i="43"/>
  <c r="D196" i="43"/>
  <c r="E196" i="43"/>
  <c r="D197" i="43"/>
  <c r="E197" i="43"/>
  <c r="D198" i="43"/>
  <c r="E198" i="43"/>
  <c r="D199" i="43"/>
  <c r="E199" i="43"/>
  <c r="D200" i="43"/>
  <c r="E200" i="43"/>
  <c r="D201" i="43"/>
  <c r="E201" i="43"/>
  <c r="D202" i="43"/>
  <c r="E202" i="43"/>
  <c r="D205" i="43"/>
  <c r="E205" i="43"/>
  <c r="D206" i="43"/>
  <c r="E206" i="43"/>
  <c r="D207" i="43"/>
  <c r="E207" i="43"/>
  <c r="D208" i="43"/>
  <c r="E208" i="43"/>
  <c r="D209" i="43"/>
  <c r="E209" i="43"/>
  <c r="D210" i="43"/>
  <c r="E210" i="43"/>
  <c r="D211" i="43"/>
  <c r="E211" i="43"/>
  <c r="D214" i="43"/>
  <c r="E214" i="43"/>
  <c r="D225" i="43"/>
  <c r="E225" i="43"/>
  <c r="D226" i="43"/>
  <c r="E226" i="43"/>
  <c r="D227" i="43"/>
  <c r="E227" i="43"/>
  <c r="D228" i="43"/>
  <c r="E228" i="43"/>
  <c r="D231" i="43"/>
  <c r="E231" i="43"/>
  <c r="D232" i="43"/>
  <c r="E232" i="43"/>
  <c r="D233" i="43"/>
  <c r="E233" i="43"/>
  <c r="D234" i="43"/>
  <c r="E234" i="43"/>
  <c r="D240" i="43"/>
  <c r="E240" i="43"/>
  <c r="D241" i="43"/>
  <c r="E241" i="43"/>
  <c r="D242" i="43"/>
  <c r="E242" i="43"/>
  <c r="D243" i="43"/>
  <c r="E243" i="43"/>
  <c r="D246" i="43"/>
  <c r="E246" i="43"/>
  <c r="D247" i="43"/>
  <c r="E247" i="43"/>
  <c r="D248" i="43"/>
  <c r="E248" i="43"/>
  <c r="D252" i="43"/>
  <c r="E252" i="43"/>
  <c r="D253" i="43"/>
  <c r="E253" i="43"/>
  <c r="D254" i="43"/>
  <c r="E254" i="43"/>
  <c r="D255" i="43"/>
  <c r="E255" i="43"/>
  <c r="D258" i="43"/>
  <c r="E258" i="43"/>
  <c r="D259" i="43"/>
  <c r="E259" i="43"/>
  <c r="D260" i="43"/>
  <c r="E260" i="43"/>
  <c r="D264" i="43"/>
  <c r="E264" i="43"/>
  <c r="D265" i="43"/>
  <c r="E265" i="43"/>
  <c r="D266" i="43"/>
  <c r="E266" i="43"/>
  <c r="D269" i="43"/>
  <c r="E269" i="43"/>
  <c r="D270" i="43"/>
  <c r="E270" i="43"/>
  <c r="D271" i="43"/>
  <c r="E271" i="43"/>
  <c r="D275" i="43"/>
  <c r="E275" i="43"/>
  <c r="D276" i="43"/>
  <c r="E276" i="43"/>
  <c r="D280" i="43"/>
  <c r="E280" i="43"/>
  <c r="D284" i="43"/>
  <c r="E284" i="43"/>
  <c r="D285" i="43"/>
  <c r="E285" i="43"/>
  <c r="D296" i="43"/>
  <c r="E296" i="43"/>
  <c r="D297" i="43"/>
  <c r="E297" i="43"/>
  <c r="D298" i="43"/>
  <c r="E298" i="43"/>
  <c r="D299" i="43"/>
  <c r="E299" i="43"/>
  <c r="D300" i="43"/>
  <c r="E300" i="43"/>
  <c r="D301" i="43"/>
  <c r="E301" i="43"/>
  <c r="D304" i="43"/>
  <c r="E304" i="43"/>
  <c r="D305" i="43"/>
  <c r="E305" i="43"/>
  <c r="D306" i="43"/>
  <c r="E306" i="43"/>
  <c r="D307" i="43"/>
  <c r="E307" i="43"/>
  <c r="D308" i="43"/>
  <c r="E308" i="43"/>
  <c r="D309" i="43"/>
  <c r="E309" i="43"/>
  <c r="D312" i="43"/>
  <c r="E312" i="43"/>
  <c r="D313" i="43"/>
  <c r="E313" i="43"/>
  <c r="D314" i="43"/>
  <c r="E314" i="43"/>
  <c r="D315" i="43"/>
  <c r="E315" i="43"/>
  <c r="D316" i="43"/>
  <c r="E316" i="43"/>
  <c r="D317" i="43"/>
  <c r="E317" i="43"/>
  <c r="D321" i="43"/>
  <c r="E321" i="43"/>
  <c r="D322" i="43"/>
  <c r="E322" i="43"/>
  <c r="D323" i="43"/>
  <c r="E323" i="43"/>
  <c r="D324" i="43"/>
  <c r="E324" i="43"/>
  <c r="D325" i="43"/>
  <c r="E325" i="43"/>
  <c r="D326" i="43"/>
  <c r="E326" i="43"/>
  <c r="D329" i="43"/>
  <c r="E329" i="43"/>
  <c r="D330" i="43"/>
  <c r="E330" i="43"/>
  <c r="D331" i="43"/>
  <c r="E331" i="43"/>
  <c r="D332" i="43"/>
  <c r="E332" i="43"/>
  <c r="D333" i="43"/>
  <c r="E333" i="43"/>
  <c r="D334" i="43"/>
  <c r="E334" i="43"/>
  <c r="D337" i="43"/>
  <c r="E337" i="43"/>
  <c r="D338" i="43"/>
  <c r="E338" i="43"/>
  <c r="D339" i="43"/>
  <c r="E339" i="43"/>
  <c r="D340" i="43"/>
  <c r="E340" i="43"/>
  <c r="D341" i="43"/>
  <c r="E341" i="43"/>
  <c r="D342" i="43"/>
  <c r="E342" i="43"/>
  <c r="D345" i="43"/>
  <c r="E345" i="43"/>
  <c r="D346" i="43"/>
  <c r="E346" i="43"/>
  <c r="D347" i="43"/>
  <c r="E347" i="43"/>
  <c r="D348" i="43"/>
  <c r="E348" i="43"/>
  <c r="D349" i="43"/>
  <c r="E349" i="43"/>
  <c r="D350" i="43"/>
  <c r="E350" i="43"/>
  <c r="D355" i="43"/>
  <c r="E355" i="43"/>
  <c r="D356" i="43"/>
  <c r="E356" i="43"/>
  <c r="D359" i="43"/>
  <c r="E359" i="43"/>
  <c r="D360" i="43"/>
  <c r="E360" i="43"/>
  <c r="D361" i="43"/>
  <c r="E361" i="43"/>
  <c r="D364" i="43"/>
  <c r="E364" i="43"/>
  <c r="D365" i="43"/>
  <c r="E365" i="43"/>
  <c r="D366" i="43"/>
  <c r="E366" i="43"/>
  <c r="D369" i="43"/>
  <c r="E369" i="43"/>
  <c r="D370" i="43"/>
  <c r="E370" i="43"/>
  <c r="D373" i="43"/>
  <c r="E373" i="43"/>
  <c r="D378" i="43"/>
  <c r="E378" i="43"/>
  <c r="D379" i="43"/>
  <c r="E379" i="43"/>
  <c r="D380" i="43"/>
  <c r="E380" i="43"/>
  <c r="D381" i="43"/>
  <c r="E381" i="43"/>
  <c r="D384" i="43"/>
  <c r="E384" i="43"/>
  <c r="D385" i="43"/>
  <c r="E385" i="43"/>
  <c r="D390" i="43"/>
  <c r="E390" i="43"/>
  <c r="D391" i="43"/>
  <c r="E391" i="43"/>
  <c r="D392" i="43"/>
  <c r="E392" i="43"/>
  <c r="D393" i="43"/>
  <c r="E393" i="43"/>
  <c r="D396" i="43"/>
  <c r="E396" i="43"/>
  <c r="D397" i="43"/>
  <c r="E397" i="43"/>
  <c r="D398" i="43"/>
  <c r="E398" i="43"/>
  <c r="D399" i="43"/>
  <c r="E399" i="43"/>
  <c r="D402" i="43"/>
  <c r="E402" i="43"/>
  <c r="D403" i="43"/>
  <c r="E403" i="43"/>
  <c r="D404" i="43"/>
  <c r="E404" i="43"/>
  <c r="D405" i="43"/>
  <c r="E405" i="43"/>
  <c r="D409" i="43"/>
  <c r="E409" i="43"/>
  <c r="D410" i="43"/>
  <c r="E410" i="43"/>
  <c r="D411" i="43"/>
  <c r="E411" i="43"/>
  <c r="D412" i="43"/>
  <c r="E412" i="43"/>
  <c r="D415" i="43"/>
  <c r="E415" i="43"/>
  <c r="D416" i="43"/>
  <c r="E416" i="43"/>
  <c r="D417" i="43"/>
  <c r="E417" i="43"/>
  <c r="D418" i="43"/>
  <c r="E418" i="43"/>
  <c r="D421" i="43"/>
  <c r="E421" i="43"/>
  <c r="D422" i="43"/>
  <c r="E422" i="43"/>
  <c r="D423" i="43"/>
  <c r="E423" i="43"/>
  <c r="D424" i="43"/>
  <c r="E424" i="43"/>
  <c r="D427" i="43"/>
  <c r="E427" i="43"/>
  <c r="D430" i="43"/>
  <c r="E430" i="43"/>
  <c r="D431" i="43"/>
  <c r="E431" i="43"/>
  <c r="D436" i="43"/>
  <c r="E436" i="43"/>
  <c r="D437" i="43"/>
  <c r="E437" i="43"/>
  <c r="D438" i="43"/>
  <c r="E438" i="43"/>
  <c r="D439" i="43"/>
  <c r="E439" i="43"/>
  <c r="D440" i="43"/>
  <c r="E440" i="43"/>
  <c r="D441" i="43"/>
  <c r="E441" i="43"/>
  <c r="D442" i="43"/>
  <c r="E442" i="43"/>
  <c r="D445" i="43"/>
  <c r="E445" i="43"/>
  <c r="D446" i="43"/>
  <c r="E446" i="43"/>
  <c r="D447" i="43"/>
  <c r="E447" i="43"/>
  <c r="D448" i="43"/>
  <c r="E448" i="43"/>
  <c r="D449" i="43"/>
  <c r="E449" i="43"/>
  <c r="D450" i="43"/>
  <c r="E450" i="43"/>
  <c r="D451" i="43"/>
  <c r="E451" i="43"/>
  <c r="D454" i="43"/>
  <c r="E454" i="43"/>
  <c r="D457" i="43"/>
  <c r="E457" i="43"/>
  <c r="D458" i="43"/>
  <c r="E458" i="43"/>
  <c r="AN2" i="8"/>
  <c r="AR2" i="8"/>
  <c r="AN3" i="8"/>
  <c r="AR3" i="8"/>
  <c r="AN4" i="8"/>
  <c r="AR4" i="8"/>
  <c r="AN11" i="8"/>
  <c r="AP11" i="8"/>
  <c r="AR11" i="8"/>
  <c r="AT11" i="8"/>
  <c r="AN12" i="8"/>
  <c r="AP12" i="8"/>
  <c r="AR12" i="8"/>
  <c r="AT12" i="8"/>
  <c r="AN13" i="8"/>
  <c r="AP13" i="8"/>
  <c r="AR13" i="8"/>
  <c r="AT13" i="8"/>
  <c r="AN14" i="8"/>
  <c r="AP14" i="8"/>
  <c r="AR14" i="8"/>
  <c r="AT14" i="8"/>
  <c r="AN15" i="8"/>
  <c r="AP15" i="8"/>
  <c r="AR15" i="8"/>
  <c r="AT15" i="8"/>
  <c r="AN16" i="8"/>
  <c r="AP16" i="8"/>
  <c r="AR16" i="8"/>
  <c r="AT16" i="8"/>
  <c r="AN17" i="8"/>
  <c r="AP17" i="8"/>
  <c r="AR17" i="8"/>
  <c r="AT17" i="8"/>
  <c r="AN18" i="8"/>
  <c r="AP18" i="8"/>
  <c r="AR18" i="8"/>
  <c r="AT18" i="8"/>
  <c r="AN19" i="8"/>
  <c r="AP19" i="8"/>
  <c r="AR19" i="8"/>
  <c r="AT19" i="8"/>
  <c r="AN20" i="8"/>
  <c r="AP20" i="8"/>
  <c r="AR20" i="8"/>
  <c r="AT20" i="8"/>
  <c r="AN21" i="8"/>
  <c r="AP21" i="8"/>
  <c r="AR21" i="8"/>
  <c r="AT21" i="8"/>
  <c r="AN22" i="8"/>
  <c r="AP22" i="8"/>
  <c r="AR22" i="8"/>
  <c r="AT22" i="8"/>
  <c r="AN23" i="8"/>
  <c r="AP23" i="8"/>
  <c r="AR23" i="8"/>
  <c r="AT23" i="8"/>
  <c r="AN24" i="8"/>
  <c r="AP24" i="8"/>
  <c r="AR24" i="8"/>
  <c r="AT24" i="8"/>
  <c r="AN25" i="8"/>
  <c r="AP25" i="8"/>
  <c r="AR25" i="8"/>
  <c r="AT25" i="8"/>
  <c r="AN26" i="8"/>
  <c r="AP26" i="8"/>
  <c r="AR26" i="8"/>
  <c r="AT26" i="8"/>
  <c r="AN27" i="8"/>
  <c r="AP27" i="8"/>
  <c r="AR27" i="8"/>
  <c r="AT27" i="8"/>
  <c r="AN28" i="8"/>
  <c r="AP28" i="8"/>
  <c r="AR28" i="8"/>
  <c r="AT28" i="8"/>
  <c r="AN29" i="8"/>
  <c r="AP29" i="8"/>
  <c r="AR29" i="8"/>
  <c r="AT29" i="8"/>
  <c r="AN30" i="8"/>
  <c r="AP30" i="8"/>
  <c r="AR30" i="8"/>
  <c r="AT30" i="8"/>
  <c r="AX30" i="8"/>
  <c r="AY30" i="8"/>
  <c r="AN31" i="8"/>
  <c r="AP31" i="8"/>
  <c r="AR31" i="8"/>
  <c r="AT31" i="8"/>
  <c r="AX31" i="8"/>
  <c r="AY31" i="8"/>
  <c r="AN32" i="8"/>
  <c r="AP32" i="8"/>
  <c r="AR32" i="8"/>
  <c r="AT32" i="8"/>
  <c r="AX32" i="8"/>
  <c r="AY32" i="8"/>
  <c r="AN33" i="8"/>
  <c r="AP33" i="8"/>
  <c r="AR33" i="8"/>
  <c r="AT33" i="8"/>
  <c r="AX33" i="8"/>
  <c r="AN34" i="8"/>
  <c r="AP34" i="8"/>
  <c r="AR34" i="8"/>
  <c r="AT34" i="8"/>
  <c r="AN35" i="8"/>
  <c r="AP35" i="8"/>
  <c r="AR35" i="8"/>
  <c r="AT35" i="8"/>
  <c r="AN36" i="8"/>
  <c r="AP36" i="8"/>
  <c r="AR36" i="8"/>
  <c r="AT36" i="8"/>
  <c r="AN37" i="8"/>
  <c r="AP37" i="8"/>
  <c r="AR37" i="8"/>
  <c r="AT37" i="8"/>
  <c r="AX37" i="8"/>
  <c r="AY37" i="8"/>
  <c r="AN38" i="8"/>
  <c r="AP38" i="8"/>
  <c r="AR38" i="8"/>
  <c r="AT38" i="8"/>
  <c r="AX38" i="8"/>
  <c r="AY38" i="8"/>
  <c r="AN39" i="8"/>
  <c r="AP39" i="8"/>
  <c r="AR39" i="8"/>
  <c r="AT39" i="8"/>
  <c r="AX39" i="8"/>
  <c r="AY39" i="8"/>
  <c r="AN40" i="8"/>
  <c r="AP40" i="8"/>
  <c r="AR40" i="8"/>
  <c r="AT40" i="8"/>
  <c r="AX40" i="8"/>
  <c r="AN41" i="8"/>
  <c r="AP41" i="8"/>
  <c r="AR41" i="8"/>
  <c r="AT41" i="8"/>
  <c r="AN42" i="8"/>
  <c r="AP42" i="8"/>
  <c r="AR42" i="8"/>
  <c r="AT42" i="8"/>
  <c r="AN43" i="8"/>
  <c r="AP43" i="8"/>
  <c r="AR43" i="8"/>
  <c r="AT43" i="8"/>
  <c r="AN44" i="8"/>
  <c r="AP44" i="8"/>
  <c r="AR44" i="8"/>
  <c r="AT44" i="8"/>
  <c r="AX44" i="8"/>
  <c r="AY44" i="8"/>
  <c r="AN45" i="8"/>
  <c r="AP45" i="8"/>
  <c r="AR45" i="8"/>
  <c r="AT45" i="8"/>
  <c r="AN46" i="8"/>
  <c r="AP46" i="8"/>
  <c r="AR46" i="8"/>
  <c r="AT46" i="8"/>
  <c r="AN47" i="8"/>
  <c r="AP47" i="8"/>
  <c r="AR47" i="8"/>
  <c r="AT47" i="8"/>
  <c r="AX47" i="8"/>
  <c r="AN48" i="8"/>
  <c r="AP48" i="8"/>
  <c r="AR48" i="8"/>
  <c r="AT48" i="8"/>
  <c r="AN49" i="8"/>
  <c r="AP49" i="8"/>
  <c r="AR49" i="8"/>
  <c r="AT49" i="8"/>
  <c r="AN50" i="8"/>
  <c r="AP50" i="8"/>
  <c r="AR50" i="8"/>
  <c r="AT50" i="8"/>
  <c r="AN51" i="8"/>
  <c r="AP51" i="8"/>
  <c r="AR51" i="8"/>
  <c r="AT51" i="8"/>
  <c r="AX51" i="8"/>
  <c r="AY51" i="8"/>
  <c r="AZ51" i="8"/>
  <c r="BA51" i="8"/>
  <c r="AN52" i="8"/>
  <c r="AP52" i="8"/>
  <c r="AR52" i="8"/>
  <c r="AT52" i="8"/>
  <c r="AX52" i="8"/>
  <c r="AY52" i="8"/>
  <c r="AZ52" i="8"/>
  <c r="BA52" i="8"/>
  <c r="AN53" i="8"/>
  <c r="AP53" i="8"/>
  <c r="AR53" i="8"/>
  <c r="AT53" i="8"/>
  <c r="AX53" i="8"/>
  <c r="AY53" i="8"/>
  <c r="AZ53" i="8"/>
  <c r="BA53" i="8"/>
  <c r="AN54" i="8"/>
  <c r="AP54" i="8"/>
  <c r="AR54" i="8"/>
  <c r="AT54" i="8"/>
  <c r="AX54" i="8"/>
  <c r="AZ54" i="8"/>
  <c r="BA54" i="8"/>
  <c r="AN55" i="8"/>
  <c r="AP55" i="8"/>
  <c r="AR55" i="8"/>
  <c r="AT55" i="8"/>
  <c r="AN56" i="8"/>
  <c r="AP56" i="8"/>
  <c r="AR56" i="8"/>
  <c r="AT56" i="8"/>
  <c r="AN57" i="8"/>
  <c r="AP57" i="8"/>
  <c r="AR57" i="8"/>
  <c r="AT57" i="8"/>
  <c r="AN58" i="8"/>
  <c r="AP58" i="8"/>
  <c r="AR58" i="8"/>
  <c r="AT58" i="8"/>
  <c r="AN59" i="8"/>
  <c r="AP59" i="8"/>
  <c r="AR59" i="8"/>
  <c r="AT59" i="8"/>
  <c r="AN60" i="8"/>
  <c r="AP60" i="8"/>
  <c r="AR60" i="8"/>
  <c r="AT60" i="8"/>
  <c r="AN61" i="8"/>
  <c r="AP61" i="8"/>
  <c r="AR61" i="8"/>
  <c r="AT61" i="8"/>
  <c r="AP63" i="8"/>
  <c r="AT63" i="8"/>
  <c r="AN67" i="8"/>
  <c r="AP67" i="8"/>
  <c r="AR67" i="8"/>
  <c r="AT67" i="8"/>
  <c r="AN68" i="8"/>
  <c r="AP68" i="8"/>
  <c r="AR68" i="8"/>
  <c r="AT68" i="8"/>
  <c r="AN69" i="8"/>
  <c r="AP69" i="8"/>
  <c r="AR69" i="8"/>
  <c r="AT69" i="8"/>
  <c r="AP71" i="8"/>
  <c r="AT71" i="8"/>
  <c r="AN76" i="8"/>
  <c r="AP76" i="8"/>
  <c r="AR76" i="8"/>
  <c r="AT76" i="8"/>
  <c r="AN77" i="8"/>
  <c r="AP77" i="8"/>
  <c r="AR77" i="8"/>
  <c r="AT77" i="8"/>
  <c r="AN78" i="8"/>
  <c r="AP78" i="8"/>
  <c r="AR78" i="8"/>
  <c r="AT78" i="8"/>
  <c r="AN79" i="8"/>
  <c r="AP79" i="8"/>
  <c r="AR79" i="8"/>
  <c r="AT79" i="8"/>
  <c r="AP80" i="8"/>
  <c r="AT80" i="8"/>
  <c r="AP82" i="8"/>
  <c r="AT82" i="8"/>
  <c r="AN88" i="8"/>
  <c r="AP88" i="8"/>
  <c r="AR88" i="8"/>
  <c r="AT88" i="8"/>
  <c r="AN89" i="8"/>
  <c r="AP89" i="8"/>
  <c r="AR89" i="8"/>
  <c r="AT89" i="8"/>
  <c r="AN90" i="8"/>
  <c r="AP90" i="8"/>
  <c r="AR90" i="8"/>
  <c r="AT90" i="8"/>
  <c r="AN91" i="8"/>
  <c r="AP91" i="8"/>
  <c r="AR91" i="8"/>
  <c r="AT91" i="8"/>
  <c r="AN92" i="8"/>
  <c r="AP92" i="8"/>
  <c r="AR92" i="8"/>
  <c r="AT92" i="8"/>
  <c r="AN93" i="8"/>
  <c r="AP93" i="8"/>
  <c r="AR93" i="8"/>
  <c r="AT93" i="8"/>
  <c r="AN94" i="8"/>
  <c r="AP94" i="8"/>
  <c r="AR94" i="8"/>
  <c r="AT94" i="8"/>
  <c r="AN95" i="8"/>
  <c r="AP95" i="8"/>
  <c r="AR95" i="8"/>
  <c r="AT95" i="8"/>
  <c r="AN96" i="8"/>
  <c r="AP96" i="8"/>
  <c r="AR96" i="8"/>
  <c r="AT96" i="8"/>
  <c r="AN97" i="8"/>
  <c r="AP97" i="8"/>
  <c r="AR97" i="8"/>
  <c r="AT97" i="8"/>
  <c r="AN98" i="8"/>
  <c r="AP98" i="8"/>
  <c r="AR98" i="8"/>
  <c r="AT98" i="8"/>
  <c r="AN99" i="8"/>
  <c r="AP99" i="8"/>
  <c r="AR99" i="8"/>
  <c r="AT99" i="8"/>
  <c r="AN100" i="8"/>
  <c r="AP100" i="8"/>
  <c r="AR100" i="8"/>
  <c r="AT100" i="8"/>
  <c r="AN101" i="8"/>
  <c r="AP101" i="8"/>
  <c r="AR101" i="8"/>
  <c r="AT101" i="8"/>
  <c r="AN102" i="8"/>
  <c r="AP102" i="8"/>
  <c r="AR102" i="8"/>
  <c r="AT102" i="8"/>
  <c r="AN103" i="8"/>
  <c r="AP103" i="8"/>
  <c r="AR103" i="8"/>
  <c r="AT103" i="8"/>
  <c r="AN104" i="8"/>
  <c r="AP104" i="8"/>
  <c r="AR104" i="8"/>
  <c r="AT104" i="8"/>
  <c r="AN105" i="8"/>
  <c r="AP105" i="8"/>
  <c r="AR105" i="8"/>
  <c r="AT105" i="8"/>
  <c r="AN106" i="8"/>
  <c r="AP106" i="8"/>
  <c r="AR106" i="8"/>
  <c r="AT106" i="8"/>
  <c r="AN107" i="8"/>
  <c r="AP107" i="8"/>
  <c r="AR107" i="8"/>
  <c r="AT107" i="8"/>
  <c r="AN108" i="8"/>
  <c r="AP108" i="8"/>
  <c r="AR108" i="8"/>
  <c r="AT108" i="8"/>
  <c r="AN109" i="8"/>
  <c r="AP109" i="8"/>
  <c r="AR109" i="8"/>
  <c r="AT109" i="8"/>
  <c r="AN110" i="8"/>
  <c r="AP110" i="8"/>
  <c r="AR110" i="8"/>
  <c r="AT110" i="8"/>
  <c r="AN111" i="8"/>
  <c r="AP111" i="8"/>
  <c r="AR111" i="8"/>
  <c r="AT111" i="8"/>
  <c r="AN112" i="8"/>
  <c r="AP112" i="8"/>
  <c r="AR112" i="8"/>
  <c r="AT112" i="8"/>
  <c r="AN113" i="8"/>
  <c r="AP113" i="8"/>
  <c r="AR113" i="8"/>
  <c r="AT113" i="8"/>
  <c r="AN114" i="8"/>
  <c r="AP114" i="8"/>
  <c r="AR114" i="8"/>
  <c r="AT114" i="8"/>
  <c r="AN115" i="8"/>
  <c r="AP115" i="8"/>
  <c r="AR115" i="8"/>
  <c r="AT115" i="8"/>
  <c r="AN116" i="8"/>
  <c r="AP116" i="8"/>
  <c r="AR116" i="8"/>
  <c r="AT116" i="8"/>
  <c r="AN117" i="8"/>
  <c r="AP117" i="8"/>
  <c r="AR117" i="8"/>
  <c r="AT117" i="8"/>
  <c r="AN118" i="8"/>
  <c r="AP118" i="8"/>
  <c r="AR118" i="8"/>
  <c r="AT118" i="8"/>
  <c r="AN119" i="8"/>
  <c r="AP119" i="8"/>
  <c r="AR119" i="8"/>
  <c r="AT119" i="8"/>
  <c r="AN120" i="8"/>
  <c r="AP120" i="8"/>
  <c r="AR120" i="8"/>
  <c r="AT120" i="8"/>
  <c r="AN121" i="8"/>
  <c r="AP121" i="8"/>
  <c r="AR121" i="8"/>
  <c r="AT121" i="8"/>
  <c r="AN122" i="8"/>
  <c r="AP122" i="8"/>
  <c r="AR122" i="8"/>
  <c r="AT122" i="8"/>
  <c r="AN123" i="8"/>
  <c r="AP123" i="8"/>
  <c r="AR123" i="8"/>
  <c r="AT123" i="8"/>
  <c r="AN124" i="8"/>
  <c r="AP124" i="8"/>
  <c r="AR124" i="8"/>
  <c r="AT124" i="8"/>
  <c r="AN125" i="8"/>
  <c r="AP125" i="8"/>
  <c r="AR125" i="8"/>
  <c r="AT125" i="8"/>
  <c r="AN126" i="8"/>
  <c r="AP126" i="8"/>
  <c r="AR126" i="8"/>
  <c r="AT126" i="8"/>
  <c r="AN127" i="8"/>
  <c r="AP127" i="8"/>
  <c r="AR127" i="8"/>
  <c r="AT127" i="8"/>
  <c r="AN128" i="8"/>
  <c r="AP128" i="8"/>
  <c r="AR128" i="8"/>
  <c r="AT128" i="8"/>
  <c r="AN129" i="8"/>
  <c r="AP129" i="8"/>
  <c r="AR129" i="8"/>
  <c r="AT129" i="8"/>
  <c r="AN130" i="8"/>
  <c r="AP130" i="8"/>
  <c r="AR130" i="8"/>
  <c r="AT130" i="8"/>
  <c r="AN131" i="8"/>
  <c r="AP131" i="8"/>
  <c r="AR131" i="8"/>
  <c r="AT131" i="8"/>
  <c r="AN132" i="8"/>
  <c r="AP132" i="8"/>
  <c r="AR132" i="8"/>
  <c r="AT132" i="8"/>
  <c r="AN133" i="8"/>
  <c r="AP133" i="8"/>
  <c r="AR133" i="8"/>
  <c r="AT133" i="8"/>
  <c r="AN134" i="8"/>
  <c r="AP134" i="8"/>
  <c r="AR134" i="8"/>
  <c r="AT134" i="8"/>
  <c r="AN135" i="8"/>
  <c r="AP135" i="8"/>
  <c r="AR135" i="8"/>
  <c r="AT135" i="8"/>
  <c r="AN136" i="8"/>
  <c r="AP136" i="8"/>
  <c r="AR136" i="8"/>
  <c r="AT136" i="8"/>
  <c r="AN137" i="8"/>
  <c r="AP137" i="8"/>
  <c r="AR137" i="8"/>
  <c r="AT137" i="8"/>
  <c r="AN138" i="8"/>
  <c r="AP138" i="8"/>
  <c r="AR138" i="8"/>
  <c r="AT138" i="8"/>
  <c r="AN139" i="8"/>
  <c r="AP139" i="8"/>
  <c r="AR139" i="8"/>
  <c r="AT139" i="8"/>
  <c r="AN140" i="8"/>
  <c r="AP140" i="8"/>
  <c r="AR140" i="8"/>
  <c r="AT140" i="8"/>
  <c r="AN141" i="8"/>
  <c r="AP141" i="8"/>
  <c r="AR141" i="8"/>
  <c r="AT141" i="8"/>
  <c r="AN142" i="8"/>
  <c r="AP142" i="8"/>
  <c r="AR142" i="8"/>
  <c r="AT142" i="8"/>
  <c r="AN143" i="8"/>
  <c r="AP143" i="8"/>
  <c r="AR143" i="8"/>
  <c r="AT143" i="8"/>
  <c r="AN144" i="8"/>
  <c r="AP144" i="8"/>
  <c r="AR144" i="8"/>
  <c r="AT144" i="8"/>
  <c r="AN145" i="8"/>
  <c r="AP145" i="8"/>
  <c r="AR145" i="8"/>
  <c r="AT145" i="8"/>
  <c r="AN146" i="8"/>
  <c r="AP146" i="8"/>
  <c r="AR146" i="8"/>
  <c r="AT146" i="8"/>
  <c r="AN147" i="8"/>
  <c r="AP147" i="8"/>
  <c r="AR147" i="8"/>
  <c r="AT147" i="8"/>
  <c r="AN148" i="8"/>
  <c r="AP148" i="8"/>
  <c r="AR148" i="8"/>
  <c r="AT148" i="8"/>
  <c r="AN149" i="8"/>
  <c r="AP149" i="8"/>
  <c r="AR149" i="8"/>
  <c r="AT149" i="8"/>
  <c r="AN150" i="8"/>
  <c r="AP150" i="8"/>
  <c r="AR150" i="8"/>
  <c r="AT150" i="8"/>
  <c r="AN151" i="8"/>
  <c r="AP151" i="8"/>
  <c r="AR151" i="8"/>
  <c r="AT151" i="8"/>
  <c r="AN152" i="8"/>
  <c r="AP152" i="8"/>
  <c r="AR152" i="8"/>
  <c r="AT152" i="8"/>
  <c r="AN153" i="8"/>
  <c r="AP153" i="8"/>
  <c r="AR153" i="8"/>
  <c r="AT153" i="8"/>
  <c r="AN154" i="8"/>
  <c r="AP154" i="8"/>
  <c r="AR154" i="8"/>
  <c r="AT154" i="8"/>
  <c r="AN155" i="8"/>
  <c r="AP155" i="8"/>
  <c r="AR155" i="8"/>
  <c r="AT155" i="8"/>
  <c r="AN156" i="8"/>
  <c r="AP156" i="8"/>
  <c r="AR156" i="8"/>
  <c r="AT156" i="8"/>
  <c r="AN157" i="8"/>
  <c r="AP157" i="8"/>
  <c r="AR157" i="8"/>
  <c r="AT157" i="8"/>
  <c r="AN158" i="8"/>
  <c r="AP158" i="8"/>
  <c r="AR158" i="8"/>
  <c r="AT158" i="8"/>
  <c r="AN159" i="8"/>
  <c r="AP159" i="8"/>
  <c r="AR159" i="8"/>
  <c r="AT159" i="8"/>
  <c r="AN160" i="8"/>
  <c r="AP160" i="8"/>
  <c r="AR160" i="8"/>
  <c r="AT160" i="8"/>
  <c r="AN161" i="8"/>
  <c r="AP161" i="8"/>
  <c r="AR161" i="8"/>
  <c r="AT161" i="8"/>
  <c r="AN162" i="8"/>
  <c r="AP162" i="8"/>
  <c r="AR162" i="8"/>
  <c r="AT162" i="8"/>
  <c r="AN163" i="8"/>
  <c r="AP163" i="8"/>
  <c r="AR163" i="8"/>
  <c r="AT163" i="8"/>
  <c r="AN164" i="8"/>
  <c r="AP164" i="8"/>
  <c r="AR164" i="8"/>
  <c r="AT164" i="8"/>
  <c r="AN165" i="8"/>
  <c r="AP165" i="8"/>
  <c r="AR165" i="8"/>
  <c r="AT165" i="8"/>
  <c r="AN166" i="8"/>
  <c r="AP166" i="8"/>
  <c r="AR166" i="8"/>
  <c r="AT166" i="8"/>
  <c r="AN167" i="8"/>
  <c r="AP167" i="8"/>
  <c r="AR167" i="8"/>
  <c r="AT167" i="8"/>
  <c r="AN168" i="8"/>
  <c r="AP168" i="8"/>
  <c r="AR168" i="8"/>
  <c r="AT168" i="8"/>
  <c r="AN169" i="8"/>
  <c r="AP169" i="8"/>
  <c r="AR169" i="8"/>
  <c r="AT169" i="8"/>
  <c r="AN170" i="8"/>
  <c r="AP170" i="8"/>
  <c r="AR170" i="8"/>
  <c r="AT170" i="8"/>
  <c r="AN171" i="8"/>
  <c r="AP171" i="8"/>
  <c r="AR171" i="8"/>
  <c r="AT171" i="8"/>
  <c r="AN172" i="8"/>
  <c r="AP172" i="8"/>
  <c r="AR172" i="8"/>
  <c r="AT172" i="8"/>
  <c r="AN173" i="8"/>
  <c r="AP173" i="8"/>
  <c r="AR173" i="8"/>
  <c r="AT173" i="8"/>
  <c r="AN174" i="8"/>
  <c r="AP174" i="8"/>
  <c r="AR174" i="8"/>
  <c r="AT174" i="8"/>
  <c r="AN175" i="8"/>
  <c r="AP175" i="8"/>
  <c r="AR175" i="8"/>
  <c r="AT175" i="8"/>
  <c r="AN176" i="8"/>
  <c r="AP176" i="8"/>
  <c r="AR176" i="8"/>
  <c r="AT176" i="8"/>
  <c r="AN177" i="8"/>
  <c r="AP177" i="8"/>
  <c r="AR177" i="8"/>
  <c r="AT177" i="8"/>
  <c r="AN178" i="8"/>
  <c r="AP178" i="8"/>
  <c r="AR178" i="8"/>
  <c r="AT178" i="8"/>
  <c r="AN179" i="8"/>
  <c r="AP179" i="8"/>
  <c r="AR179" i="8"/>
  <c r="AT179" i="8"/>
  <c r="AN180" i="8"/>
  <c r="AP180" i="8"/>
  <c r="AR180" i="8"/>
  <c r="AT180" i="8"/>
  <c r="AN181" i="8"/>
  <c r="AP181" i="8"/>
  <c r="AR181" i="8"/>
  <c r="AT181" i="8"/>
  <c r="AN182" i="8"/>
  <c r="AP182" i="8"/>
  <c r="AR182" i="8"/>
  <c r="AT182" i="8"/>
  <c r="AN183" i="8"/>
  <c r="AP183" i="8"/>
  <c r="AR183" i="8"/>
  <c r="AT183" i="8"/>
  <c r="AN184" i="8"/>
  <c r="AP184" i="8"/>
  <c r="AR184" i="8"/>
  <c r="AT184" i="8"/>
  <c r="AN185" i="8"/>
  <c r="AP185" i="8"/>
  <c r="AR185" i="8"/>
  <c r="AT185" i="8"/>
  <c r="AN186" i="8"/>
  <c r="AP186" i="8"/>
  <c r="AR186" i="8"/>
  <c r="AT186" i="8"/>
  <c r="AN187" i="8"/>
  <c r="AP187" i="8"/>
  <c r="AR187" i="8"/>
  <c r="AT187" i="8"/>
  <c r="AN188" i="8"/>
  <c r="AP188" i="8"/>
  <c r="AR188" i="8"/>
  <c r="AT188" i="8"/>
  <c r="AN189" i="8"/>
  <c r="AP189" i="8"/>
  <c r="AR189" i="8"/>
  <c r="AT189" i="8"/>
  <c r="AN190" i="8"/>
  <c r="AP190" i="8"/>
  <c r="AR190" i="8"/>
  <c r="AT190" i="8"/>
  <c r="AN191" i="8"/>
  <c r="AP191" i="8"/>
  <c r="AR191" i="8"/>
  <c r="AT191" i="8"/>
  <c r="AN192" i="8"/>
  <c r="AP192" i="8"/>
  <c r="AR192" i="8"/>
  <c r="AT192" i="8"/>
  <c r="AN193" i="8"/>
  <c r="AP193" i="8"/>
  <c r="AR193" i="8"/>
  <c r="AT193" i="8"/>
  <c r="AN194" i="8"/>
  <c r="AP194" i="8"/>
  <c r="AR194" i="8"/>
  <c r="AT194" i="8"/>
  <c r="AN195" i="8"/>
  <c r="AP195" i="8"/>
  <c r="AR195" i="8"/>
  <c r="AT195" i="8"/>
  <c r="AN196" i="8"/>
  <c r="AP196" i="8"/>
  <c r="AR196" i="8"/>
  <c r="AT196" i="8"/>
  <c r="AP198" i="8"/>
  <c r="AT198" i="8"/>
  <c r="AN201" i="8"/>
  <c r="AP201" i="8"/>
  <c r="AR201" i="8"/>
  <c r="AT201" i="8"/>
  <c r="AN202" i="8"/>
  <c r="AP202" i="8"/>
  <c r="AR202" i="8"/>
  <c r="AT202" i="8"/>
  <c r="AP204" i="8"/>
  <c r="AT204" i="8"/>
  <c r="AP209" i="8"/>
  <c r="AT209" i="8"/>
  <c r="AN215" i="8"/>
  <c r="AP215" i="8"/>
  <c r="AR215" i="8"/>
  <c r="AT215" i="8"/>
  <c r="AN216" i="8"/>
  <c r="AP216" i="8"/>
  <c r="AR216" i="8"/>
  <c r="AT216" i="8"/>
  <c r="AN217" i="8"/>
  <c r="AP217" i="8"/>
  <c r="AR217" i="8"/>
  <c r="AT217" i="8"/>
  <c r="AN218" i="8"/>
  <c r="AP218" i="8"/>
  <c r="AR218" i="8"/>
  <c r="AT218" i="8"/>
  <c r="AN219" i="8"/>
  <c r="AP219" i="8"/>
  <c r="AR219" i="8"/>
  <c r="AT219" i="8"/>
  <c r="AN220" i="8"/>
  <c r="AP220" i="8"/>
  <c r="AR220" i="8"/>
  <c r="AT220" i="8"/>
  <c r="AN221" i="8"/>
  <c r="AP221" i="8"/>
  <c r="AR221" i="8"/>
  <c r="AT221" i="8"/>
  <c r="AN222" i="8"/>
  <c r="AP222" i="8"/>
  <c r="AR222" i="8"/>
  <c r="AT222" i="8"/>
  <c r="AN223" i="8"/>
  <c r="AP223" i="8"/>
  <c r="AR223" i="8"/>
  <c r="AT223" i="8"/>
  <c r="AN224" i="8"/>
  <c r="AP224" i="8"/>
  <c r="AR224" i="8"/>
  <c r="AT224" i="8"/>
  <c r="AN225" i="8"/>
  <c r="AP225" i="8"/>
  <c r="AR225" i="8"/>
  <c r="AT225" i="8"/>
  <c r="AN226" i="8"/>
  <c r="AP226" i="8"/>
  <c r="AR226" i="8"/>
  <c r="AT226" i="8"/>
  <c r="AN227" i="8"/>
  <c r="AP227" i="8"/>
  <c r="AR227" i="8"/>
  <c r="AT227" i="8"/>
  <c r="AN228" i="8"/>
  <c r="AP228" i="8"/>
  <c r="AR228" i="8"/>
  <c r="AT228" i="8"/>
  <c r="AN229" i="8"/>
  <c r="AP229" i="8"/>
  <c r="AR229" i="8"/>
  <c r="AT229" i="8"/>
  <c r="AN230" i="8"/>
  <c r="AP230" i="8"/>
  <c r="AR230" i="8"/>
  <c r="AT230" i="8"/>
  <c r="AN231" i="8"/>
  <c r="AP231" i="8"/>
  <c r="AR231" i="8"/>
  <c r="AT231" i="8"/>
  <c r="AN232" i="8"/>
  <c r="AP232" i="8"/>
  <c r="AR232" i="8"/>
  <c r="AT232" i="8"/>
  <c r="AN233" i="8"/>
  <c r="AP233" i="8"/>
  <c r="AR233" i="8"/>
  <c r="AT233" i="8"/>
  <c r="AN234" i="8"/>
  <c r="AP234" i="8"/>
  <c r="AR234" i="8"/>
  <c r="AT234" i="8"/>
  <c r="AN235" i="8"/>
  <c r="AP235" i="8"/>
  <c r="AR235" i="8"/>
  <c r="AT235" i="8"/>
  <c r="AN236" i="8"/>
  <c r="AP236" i="8"/>
  <c r="AR236" i="8"/>
  <c r="AT236" i="8"/>
  <c r="AN237" i="8"/>
  <c r="AP237" i="8"/>
  <c r="AR237" i="8"/>
  <c r="AT237" i="8"/>
  <c r="AN238" i="8"/>
  <c r="AP238" i="8"/>
  <c r="AR238" i="8"/>
  <c r="AT238" i="8"/>
  <c r="AN239" i="8"/>
  <c r="AP239" i="8"/>
  <c r="AR239" i="8"/>
  <c r="AT239" i="8"/>
  <c r="AN240" i="8"/>
  <c r="AP240" i="8"/>
  <c r="AR240" i="8"/>
  <c r="AT240" i="8"/>
  <c r="AN241" i="8"/>
  <c r="AP241" i="8"/>
  <c r="AR241" i="8"/>
  <c r="AT241" i="8"/>
  <c r="AN242" i="8"/>
  <c r="AP242" i="8"/>
  <c r="AR242" i="8"/>
  <c r="AT242" i="8"/>
  <c r="AN243" i="8"/>
  <c r="AP243" i="8"/>
  <c r="AR243" i="8"/>
  <c r="AT243" i="8"/>
  <c r="AN244" i="8"/>
  <c r="AP244" i="8"/>
  <c r="AR244" i="8"/>
  <c r="AT244" i="8"/>
  <c r="AN245" i="8"/>
  <c r="AP245" i="8"/>
  <c r="AR245" i="8"/>
  <c r="AT245" i="8"/>
  <c r="AN246" i="8"/>
  <c r="AP246" i="8"/>
  <c r="AR246" i="8"/>
  <c r="AT246" i="8"/>
  <c r="AN247" i="8"/>
  <c r="AP247" i="8"/>
  <c r="AR247" i="8"/>
  <c r="AT247" i="8"/>
  <c r="AN248" i="8"/>
  <c r="AP248" i="8"/>
  <c r="AR248" i="8"/>
  <c r="AT248" i="8"/>
  <c r="AN249" i="8"/>
  <c r="AP249" i="8"/>
  <c r="AR249" i="8"/>
  <c r="AT249" i="8"/>
  <c r="AN250" i="8"/>
  <c r="AP250" i="8"/>
  <c r="AR250" i="8"/>
  <c r="AT250" i="8"/>
  <c r="AN251" i="8"/>
  <c r="AP251" i="8"/>
  <c r="AR251" i="8"/>
  <c r="AT251" i="8"/>
  <c r="AN252" i="8"/>
  <c r="AP252" i="8"/>
  <c r="AR252" i="8"/>
  <c r="AT252" i="8"/>
  <c r="AN253" i="8"/>
  <c r="AP253" i="8"/>
  <c r="AR253" i="8"/>
  <c r="AT253" i="8"/>
  <c r="AN254" i="8"/>
  <c r="AP254" i="8"/>
  <c r="AR254" i="8"/>
  <c r="AT254" i="8"/>
  <c r="AP256" i="8"/>
  <c r="AT256" i="8"/>
  <c r="AP265" i="8"/>
  <c r="AT265" i="8"/>
  <c r="AP277" i="8"/>
  <c r="AT277" i="8"/>
  <c r="E4" i="31"/>
  <c r="F4" i="31"/>
  <c r="G4" i="31"/>
  <c r="I4" i="31"/>
  <c r="E5" i="31"/>
  <c r="F5" i="31"/>
  <c r="G5" i="31"/>
</calcChain>
</file>

<file path=xl/comments1.xml><?xml version="1.0" encoding="utf-8"?>
<comments xmlns="http://schemas.openxmlformats.org/spreadsheetml/2006/main">
  <authors>
    <author>Heather Garland</author>
    <author>Lindsay Waldram</author>
    <author>Brittany Mani</author>
  </authors>
  <commentList>
    <comment ref="T7" authorId="0">
      <text>
        <r>
          <rPr>
            <b/>
            <sz val="9"/>
            <color indexed="81"/>
            <rFont val="Tahoma"/>
            <family val="2"/>
          </rPr>
          <t>Heather Garland:</t>
        </r>
        <r>
          <rPr>
            <sz val="9"/>
            <color indexed="81"/>
            <rFont val="Tahoma"/>
            <family val="2"/>
          </rPr>
          <t xml:space="preserve">
Includes regular UTC, JBLM Housing and JBLM Non-Fed Contract (Ft. Lewis bill area).</t>
        </r>
      </text>
    </comment>
    <comment ref="J9" authorId="0">
      <text>
        <r>
          <rPr>
            <b/>
            <sz val="9"/>
            <color indexed="81"/>
            <rFont val="Tahoma"/>
            <family val="2"/>
          </rPr>
          <t>Heather Garland:</t>
        </r>
        <r>
          <rPr>
            <sz val="9"/>
            <color indexed="81"/>
            <rFont val="Tahoma"/>
            <family val="2"/>
          </rPr>
          <t xml:space="preserve">
3/1/2020 Disposal Increase</t>
        </r>
      </text>
    </comment>
    <comment ref="J15" authorId="0">
      <text>
        <r>
          <rPr>
            <b/>
            <sz val="9"/>
            <color indexed="81"/>
            <rFont val="Tahoma"/>
            <family val="2"/>
          </rPr>
          <t>Heather Garland:</t>
        </r>
        <r>
          <rPr>
            <sz val="9"/>
            <color indexed="81"/>
            <rFont val="Tahoma"/>
            <family val="2"/>
          </rPr>
          <t xml:space="preserve">
3/1/2020 Disposal Fee Increase</t>
        </r>
      </text>
    </comment>
    <comment ref="U18" authorId="1">
      <text>
        <r>
          <rPr>
            <b/>
            <sz val="9"/>
            <color indexed="81"/>
            <rFont val="Tahoma"/>
            <family val="2"/>
          </rPr>
          <t>Lindsay Waldram:</t>
        </r>
        <r>
          <rPr>
            <sz val="9"/>
            <color indexed="81"/>
            <rFont val="Tahoma"/>
            <family val="2"/>
          </rPr>
          <t xml:space="preserve">
Related to JBLM Contract per Brittany</t>
        </r>
      </text>
    </comment>
    <comment ref="B22" authorId="0">
      <text>
        <r>
          <rPr>
            <b/>
            <sz val="9"/>
            <color indexed="81"/>
            <rFont val="Tahoma"/>
            <family val="2"/>
          </rPr>
          <t>Heather Garland:</t>
        </r>
        <r>
          <rPr>
            <sz val="9"/>
            <color indexed="81"/>
            <rFont val="Tahoma"/>
            <family val="2"/>
          </rPr>
          <t xml:space="preserve">
JBLM payout.</t>
        </r>
      </text>
    </comment>
    <comment ref="U31" authorId="2">
      <text>
        <r>
          <rPr>
            <b/>
            <sz val="9"/>
            <color indexed="81"/>
            <rFont val="Tahoma"/>
            <family val="2"/>
          </rPr>
          <t>Brittany Mani:</t>
        </r>
        <r>
          <rPr>
            <sz val="9"/>
            <color indexed="81"/>
            <rFont val="Tahoma"/>
            <family val="2"/>
          </rPr>
          <t xml:space="preserve">
Add in biobags</t>
        </r>
      </text>
    </comment>
    <comment ref="A45" authorId="0">
      <text>
        <r>
          <rPr>
            <b/>
            <sz val="9"/>
            <color indexed="81"/>
            <rFont val="Tahoma"/>
            <family val="2"/>
          </rPr>
          <t>Heather Garland:</t>
        </r>
        <r>
          <rPr>
            <sz val="9"/>
            <color indexed="81"/>
            <rFont val="Tahoma"/>
            <family val="2"/>
          </rPr>
          <t xml:space="preserve">
container delivery, container wash, container fab.</t>
        </r>
      </text>
    </comment>
    <comment ref="H87" authorId="0">
      <text>
        <r>
          <rPr>
            <b/>
            <sz val="9"/>
            <color indexed="81"/>
            <rFont val="Tahoma"/>
            <family val="2"/>
          </rPr>
          <t>Heather Garland:</t>
        </r>
        <r>
          <rPr>
            <sz val="9"/>
            <color indexed="81"/>
            <rFont val="Tahoma"/>
            <family val="2"/>
          </rPr>
          <t xml:space="preserve">
Reclass dispatcher wages to 2180.</t>
        </r>
      </text>
    </comment>
    <comment ref="B89" authorId="1">
      <text>
        <r>
          <rPr>
            <b/>
            <sz val="9"/>
            <color indexed="81"/>
            <rFont val="Tahoma"/>
            <family val="2"/>
          </rPr>
          <t>Lindsay Waldram:</t>
        </r>
        <r>
          <rPr>
            <sz val="9"/>
            <color indexed="81"/>
            <rFont val="Tahoma"/>
            <family val="2"/>
          </rPr>
          <t xml:space="preserve">
Spread on garbage only tonnage at LTS</t>
        </r>
      </text>
    </comment>
    <comment ref="B90" authorId="1">
      <text>
        <r>
          <rPr>
            <b/>
            <sz val="9"/>
            <color indexed="81"/>
            <rFont val="Tahoma"/>
            <family val="2"/>
          </rPr>
          <t>Lindsay Waldram:</t>
        </r>
        <r>
          <rPr>
            <sz val="9"/>
            <color indexed="81"/>
            <rFont val="Tahoma"/>
            <family val="2"/>
          </rPr>
          <t xml:space="preserve">
Spread based on LTS recycle, garbage &amp; YW tonnage</t>
        </r>
      </text>
    </comment>
    <comment ref="U99" authorId="0">
      <text>
        <r>
          <rPr>
            <b/>
            <sz val="9"/>
            <color indexed="81"/>
            <rFont val="Tahoma"/>
            <family val="2"/>
          </rPr>
          <t>Heather Garland:</t>
        </r>
        <r>
          <rPr>
            <sz val="9"/>
            <color indexed="81"/>
            <rFont val="Tahoma"/>
            <family val="2"/>
          </rPr>
          <t xml:space="preserve">
Recycling depot attendants.</t>
        </r>
      </text>
    </comment>
    <comment ref="G126" authorId="2">
      <text>
        <r>
          <rPr>
            <b/>
            <sz val="9"/>
            <color indexed="81"/>
            <rFont val="Tahoma"/>
            <family val="2"/>
          </rPr>
          <t>Brittany Mani:</t>
        </r>
        <r>
          <rPr>
            <sz val="9"/>
            <color indexed="81"/>
            <rFont val="Tahoma"/>
            <family val="2"/>
          </rPr>
          <t xml:space="preserve">
This is not a one for one with the revenue because of the different pricing in the cities</t>
        </r>
      </text>
    </comment>
    <comment ref="X126" authorId="1">
      <text>
        <r>
          <rPr>
            <b/>
            <sz val="9"/>
            <color indexed="81"/>
            <rFont val="Tahoma"/>
            <family val="2"/>
          </rPr>
          <t>Lindsay Waldram:</t>
        </r>
        <r>
          <rPr>
            <sz val="9"/>
            <color indexed="81"/>
            <rFont val="Tahoma"/>
            <family val="2"/>
          </rPr>
          <t xml:space="preserve">
Per Brittany, none of the YW and Wood Waste should be in here.  That doesn't agree with the JE Query or her disposal schedule.  May talk about when she is back.  Overall immaterial.</t>
        </r>
      </text>
    </comment>
    <comment ref="A128" authorId="0">
      <text>
        <r>
          <rPr>
            <b/>
            <sz val="9"/>
            <color indexed="81"/>
            <rFont val="Tahoma"/>
            <family val="2"/>
          </rPr>
          <t>Heather Garland:</t>
        </r>
        <r>
          <rPr>
            <sz val="9"/>
            <color indexed="81"/>
            <rFont val="Tahoma"/>
            <family val="2"/>
          </rPr>
          <t xml:space="preserve">
Glass, tires.  No curbside glass.</t>
        </r>
      </text>
    </comment>
    <comment ref="U128" authorId="1">
      <text>
        <r>
          <rPr>
            <b/>
            <sz val="9"/>
            <color indexed="81"/>
            <rFont val="Tahoma"/>
            <family val="2"/>
          </rPr>
          <t>Lindsay Waldram:</t>
        </r>
        <r>
          <rPr>
            <sz val="9"/>
            <color indexed="81"/>
            <rFont val="Tahoma"/>
            <family val="2"/>
          </rPr>
          <t xml:space="preserve">
Per Brittany, this is related to the JBLM Contract</t>
        </r>
      </text>
    </comment>
    <comment ref="B132" authorId="0">
      <text>
        <r>
          <rPr>
            <b/>
            <sz val="9"/>
            <color indexed="81"/>
            <rFont val="Tahoma"/>
            <family val="2"/>
          </rPr>
          <t>Heather Garland:</t>
        </r>
        <r>
          <rPr>
            <sz val="9"/>
            <color indexed="81"/>
            <rFont val="Tahoma"/>
            <family val="2"/>
          </rPr>
          <t xml:space="preserve">
Supports multi-family.
</t>
        </r>
      </text>
    </comment>
    <comment ref="G158" authorId="0">
      <text>
        <r>
          <rPr>
            <b/>
            <sz val="9"/>
            <color indexed="81"/>
            <rFont val="Tahoma"/>
            <family val="2"/>
          </rPr>
          <t>Heather Garland:</t>
        </r>
        <r>
          <rPr>
            <sz val="9"/>
            <color indexed="81"/>
            <rFont val="Tahoma"/>
            <family val="2"/>
          </rPr>
          <t xml:space="preserve">
Allocate DVP/DivCon salary to division.</t>
        </r>
      </text>
    </comment>
    <comment ref="H159" authorId="0">
      <text>
        <r>
          <rPr>
            <b/>
            <sz val="9"/>
            <color indexed="81"/>
            <rFont val="Tahoma"/>
            <family val="2"/>
          </rPr>
          <t>Heather Garland:</t>
        </r>
        <r>
          <rPr>
            <sz val="9"/>
            <color indexed="81"/>
            <rFont val="Tahoma"/>
            <family val="2"/>
          </rPr>
          <t xml:space="preserve">
This is an admin employee, but only 1/2 her time is spent on 2182 tasks.  Allocating 50% back to 2180.</t>
        </r>
      </text>
    </comment>
    <comment ref="J176" authorId="1">
      <text>
        <r>
          <rPr>
            <b/>
            <sz val="9"/>
            <color indexed="81"/>
            <rFont val="Tahoma"/>
            <family val="2"/>
          </rPr>
          <t>Lindsay Waldram:</t>
        </r>
        <r>
          <rPr>
            <sz val="9"/>
            <color indexed="81"/>
            <rFont val="Tahoma"/>
            <family val="2"/>
          </rPr>
          <t xml:space="preserve">
Used $0.60/cust based on prior Quick Look</t>
        </r>
      </text>
    </comment>
    <comment ref="G224" authorId="0">
      <text>
        <r>
          <rPr>
            <b/>
            <sz val="9"/>
            <color indexed="81"/>
            <rFont val="Tahoma"/>
            <family val="2"/>
          </rPr>
          <t>Heather Garland:</t>
        </r>
        <r>
          <rPr>
            <sz val="9"/>
            <color indexed="81"/>
            <rFont val="Tahoma"/>
            <family val="2"/>
          </rPr>
          <t xml:space="preserve">
Unallowable
</t>
        </r>
      </text>
    </comment>
    <comment ref="G225" authorId="0">
      <text>
        <r>
          <rPr>
            <b/>
            <sz val="9"/>
            <color indexed="81"/>
            <rFont val="Tahoma"/>
            <family val="2"/>
          </rPr>
          <t>Heather Garland:</t>
        </r>
        <r>
          <rPr>
            <sz val="9"/>
            <color indexed="81"/>
            <rFont val="Tahoma"/>
            <family val="2"/>
          </rPr>
          <t xml:space="preserve">
Unallowable
</t>
        </r>
      </text>
    </comment>
    <comment ref="G230" authorId="0">
      <text>
        <r>
          <rPr>
            <b/>
            <sz val="9"/>
            <color indexed="81"/>
            <rFont val="Tahoma"/>
            <family val="2"/>
          </rPr>
          <t>Heather Garland:</t>
        </r>
        <r>
          <rPr>
            <sz val="9"/>
            <color indexed="81"/>
            <rFont val="Tahoma"/>
            <family val="2"/>
          </rPr>
          <t xml:space="preserve">
Unallowable
</t>
        </r>
      </text>
    </comment>
    <comment ref="W256" authorId="0">
      <text>
        <r>
          <rPr>
            <b/>
            <sz val="9"/>
            <color indexed="81"/>
            <rFont val="Tahoma"/>
            <family val="2"/>
          </rPr>
          <t>Heather Garland:</t>
        </r>
        <r>
          <rPr>
            <sz val="9"/>
            <color indexed="81"/>
            <rFont val="Tahoma"/>
            <family val="2"/>
          </rPr>
          <t xml:space="preserve">
City franchise fees.</t>
        </r>
      </text>
    </comment>
    <comment ref="W257" authorId="0">
      <text>
        <r>
          <rPr>
            <b/>
            <sz val="9"/>
            <color indexed="81"/>
            <rFont val="Tahoma"/>
            <family val="2"/>
          </rPr>
          <t>Heather Garland:</t>
        </r>
        <r>
          <rPr>
            <sz val="9"/>
            <color indexed="81"/>
            <rFont val="Tahoma"/>
            <family val="2"/>
          </rPr>
          <t xml:space="preserve">
Toll Fees</t>
        </r>
      </text>
    </comment>
  </commentList>
</comments>
</file>

<file path=xl/comments10.xml><?xml version="1.0" encoding="utf-8"?>
<comments xmlns="http://schemas.openxmlformats.org/spreadsheetml/2006/main">
  <authors>
    <author>Heather Garland</author>
  </authors>
  <commentList>
    <comment ref="B6" authorId="0">
      <text>
        <r>
          <rPr>
            <b/>
            <sz val="9"/>
            <color indexed="81"/>
            <rFont val="Tahoma"/>
            <family val="2"/>
          </rPr>
          <t>Heather Garland:</t>
        </r>
        <r>
          <rPr>
            <sz val="9"/>
            <color indexed="81"/>
            <rFont val="Tahoma"/>
            <family val="2"/>
          </rPr>
          <t xml:space="preserve">
From PCR Recycle Reporting
</t>
        </r>
      </text>
    </comment>
    <comment ref="C6" authorId="0">
      <text>
        <r>
          <rPr>
            <b/>
            <sz val="9"/>
            <color indexed="81"/>
            <rFont val="Tahoma"/>
            <family val="2"/>
          </rPr>
          <t>Heather Garland:</t>
        </r>
        <r>
          <rPr>
            <sz val="9"/>
            <color indexed="81"/>
            <rFont val="Tahoma"/>
            <family val="2"/>
          </rPr>
          <t xml:space="preserve">
Pioneer Pricing Matrix</t>
        </r>
      </text>
    </comment>
  </commentList>
</comments>
</file>

<file path=xl/comments11.xml><?xml version="1.0" encoding="utf-8"?>
<comments xmlns="http://schemas.openxmlformats.org/spreadsheetml/2006/main">
  <authors>
    <author>Jennifer Bergheim</author>
  </authors>
  <commentList>
    <comment ref="AH11" authorId="0">
      <text>
        <r>
          <rPr>
            <b/>
            <sz val="9"/>
            <color indexed="81"/>
            <rFont val="Tahoma"/>
            <family val="2"/>
          </rPr>
          <t>Jennifer Bergheim:</t>
        </r>
        <r>
          <rPr>
            <sz val="9"/>
            <color indexed="81"/>
            <rFont val="Tahoma"/>
            <family val="2"/>
          </rPr>
          <t xml:space="preserve">
both term pays were held at district 2000 (not allocated out)</t>
        </r>
      </text>
    </comment>
  </commentList>
</comments>
</file>

<file path=xl/comments12.xml><?xml version="1.0" encoding="utf-8"?>
<comments xmlns="http://schemas.openxmlformats.org/spreadsheetml/2006/main">
  <authors>
    <author>Lindsay Waldram</author>
  </authors>
  <commentList>
    <comment ref="D52" authorId="0">
      <text>
        <r>
          <rPr>
            <b/>
            <sz val="9"/>
            <color indexed="81"/>
            <rFont val="Tahoma"/>
            <family val="2"/>
          </rPr>
          <t>Lindsay Waldram:</t>
        </r>
        <r>
          <rPr>
            <sz val="9"/>
            <color indexed="81"/>
            <rFont val="Tahoma"/>
            <family val="2"/>
          </rPr>
          <t xml:space="preserve">
16% is the disallowed portion of the WRRA fees.  Based on prior audit this same percentage is disallowed for corporate dues and subscriptions.</t>
        </r>
      </text>
    </comment>
  </commentList>
</comments>
</file>

<file path=xl/comments13.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14.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15.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16.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2.xml><?xml version="1.0" encoding="utf-8"?>
<comments xmlns="http://schemas.openxmlformats.org/spreadsheetml/2006/main">
  <authors>
    <author>Heather Garland</author>
    <author>Lindsay Waldram</author>
  </authors>
  <commentList>
    <comment ref="B22" authorId="0">
      <text>
        <r>
          <rPr>
            <b/>
            <sz val="9"/>
            <color indexed="81"/>
            <rFont val="Tahoma"/>
            <family val="2"/>
          </rPr>
          <t>Heather Garland:</t>
        </r>
        <r>
          <rPr>
            <sz val="9"/>
            <color indexed="81"/>
            <rFont val="Tahoma"/>
            <family val="2"/>
          </rPr>
          <t xml:space="preserve">
JBLM payout.</t>
        </r>
      </text>
    </comment>
    <comment ref="K44" authorId="0">
      <text>
        <r>
          <rPr>
            <b/>
            <sz val="9"/>
            <color indexed="81"/>
            <rFont val="Tahoma"/>
            <family val="2"/>
          </rPr>
          <t>Heather Garland:</t>
        </r>
        <r>
          <rPr>
            <sz val="9"/>
            <color indexed="81"/>
            <rFont val="Tahoma"/>
            <family val="2"/>
          </rPr>
          <t xml:space="preserve">
Container Repair is 100% garbage.</t>
        </r>
      </text>
    </comment>
    <comment ref="A45" authorId="0">
      <text>
        <r>
          <rPr>
            <b/>
            <sz val="9"/>
            <color indexed="81"/>
            <rFont val="Tahoma"/>
            <family val="2"/>
          </rPr>
          <t>Heather Garland:</t>
        </r>
        <r>
          <rPr>
            <sz val="9"/>
            <color indexed="81"/>
            <rFont val="Tahoma"/>
            <family val="2"/>
          </rPr>
          <t xml:space="preserve">
container delivery, container wash, container fab.</t>
        </r>
      </text>
    </comment>
    <comment ref="B89" authorId="1">
      <text>
        <r>
          <rPr>
            <b/>
            <sz val="9"/>
            <color indexed="81"/>
            <rFont val="Tahoma"/>
            <family val="2"/>
          </rPr>
          <t>Lindsay Waldram:</t>
        </r>
        <r>
          <rPr>
            <sz val="9"/>
            <color indexed="81"/>
            <rFont val="Tahoma"/>
            <family val="2"/>
          </rPr>
          <t xml:space="preserve">
Spread on garbage only tonnage at LTS</t>
        </r>
      </text>
    </comment>
    <comment ref="B90" authorId="1">
      <text>
        <r>
          <rPr>
            <b/>
            <sz val="9"/>
            <color indexed="81"/>
            <rFont val="Tahoma"/>
            <family val="2"/>
          </rPr>
          <t>Lindsay Waldram:</t>
        </r>
        <r>
          <rPr>
            <sz val="9"/>
            <color indexed="81"/>
            <rFont val="Tahoma"/>
            <family val="2"/>
          </rPr>
          <t xml:space="preserve">
Spread based on LTS recycle, garbage &amp; YW tonnage</t>
        </r>
      </text>
    </comment>
    <comment ref="A128" authorId="0">
      <text>
        <r>
          <rPr>
            <b/>
            <sz val="9"/>
            <color indexed="81"/>
            <rFont val="Tahoma"/>
            <family val="2"/>
          </rPr>
          <t>Heather Garland:</t>
        </r>
        <r>
          <rPr>
            <sz val="9"/>
            <color indexed="81"/>
            <rFont val="Tahoma"/>
            <family val="2"/>
          </rPr>
          <t xml:space="preserve">
Glass, tires.  No curbside glass.</t>
        </r>
      </text>
    </comment>
    <comment ref="B132" authorId="0">
      <text>
        <r>
          <rPr>
            <b/>
            <sz val="9"/>
            <color indexed="81"/>
            <rFont val="Tahoma"/>
            <family val="2"/>
          </rPr>
          <t>Heather Garland:</t>
        </r>
        <r>
          <rPr>
            <sz val="9"/>
            <color indexed="81"/>
            <rFont val="Tahoma"/>
            <family val="2"/>
          </rPr>
          <t xml:space="preserve">
Supports multi-family.
</t>
        </r>
      </text>
    </comment>
    <comment ref="I256" authorId="0">
      <text>
        <r>
          <rPr>
            <b/>
            <sz val="9"/>
            <color indexed="81"/>
            <rFont val="Tahoma"/>
            <family val="2"/>
          </rPr>
          <t>Heather Garland:</t>
        </r>
        <r>
          <rPr>
            <sz val="9"/>
            <color indexed="81"/>
            <rFont val="Tahoma"/>
            <family val="2"/>
          </rPr>
          <t xml:space="preserve">
City franchise fees.</t>
        </r>
      </text>
    </comment>
    <comment ref="I257" authorId="0">
      <text>
        <r>
          <rPr>
            <b/>
            <sz val="9"/>
            <color indexed="81"/>
            <rFont val="Tahoma"/>
            <family val="2"/>
          </rPr>
          <t>Heather Garland:</t>
        </r>
        <r>
          <rPr>
            <sz val="9"/>
            <color indexed="81"/>
            <rFont val="Tahoma"/>
            <family val="2"/>
          </rPr>
          <t xml:space="preserve">
Toll Fees</t>
        </r>
      </text>
    </comment>
  </commentList>
</comments>
</file>

<file path=xl/comments3.xml><?xml version="1.0" encoding="utf-8"?>
<comments xmlns="http://schemas.openxmlformats.org/spreadsheetml/2006/main">
  <authors>
    <author>Brittany Mani</author>
    <author>Heather Garland</author>
  </authors>
  <commentList>
    <comment ref="C13" authorId="0">
      <text>
        <r>
          <rPr>
            <b/>
            <sz val="9"/>
            <color indexed="81"/>
            <rFont val="Tahoma"/>
            <family val="2"/>
          </rPr>
          <t>Brittany Mani:</t>
        </r>
        <r>
          <rPr>
            <sz val="9"/>
            <color indexed="81"/>
            <rFont val="Tahoma"/>
            <family val="2"/>
          </rPr>
          <t xml:space="preserve">
Unit counts</t>
        </r>
      </text>
    </comment>
    <comment ref="D13" authorId="1">
      <text>
        <r>
          <rPr>
            <b/>
            <sz val="9"/>
            <color indexed="81"/>
            <rFont val="Tahoma"/>
            <family val="2"/>
          </rPr>
          <t>Heather Garland:</t>
        </r>
        <r>
          <rPr>
            <sz val="9"/>
            <color indexed="81"/>
            <rFont val="Tahoma"/>
            <family val="2"/>
          </rPr>
          <t xml:space="preserve">
Unit Counts</t>
        </r>
      </text>
    </comment>
  </commentList>
</comments>
</file>

<file path=xl/comments4.xml><?xml version="1.0" encoding="utf-8"?>
<comments xmlns="http://schemas.openxmlformats.org/spreadsheetml/2006/main">
  <authors>
    <author>Heather Garland</author>
  </authors>
  <commentList>
    <comment ref="B22" authorId="0">
      <text>
        <r>
          <rPr>
            <b/>
            <sz val="9"/>
            <color indexed="81"/>
            <rFont val="Tahoma"/>
            <family val="2"/>
          </rPr>
          <t>Heather Garland:</t>
        </r>
        <r>
          <rPr>
            <sz val="9"/>
            <color indexed="81"/>
            <rFont val="Tahoma"/>
            <family val="2"/>
          </rPr>
          <t xml:space="preserve">
Includes normalizing adjustments for open/filled positions.</t>
        </r>
      </text>
    </comment>
  </commentList>
</comments>
</file>

<file path=xl/comments5.xml><?xml version="1.0" encoding="utf-8"?>
<comments xmlns="http://schemas.openxmlformats.org/spreadsheetml/2006/main">
  <authors>
    <author>Heather Garland</author>
    <author>Brittany Mani</author>
  </authors>
  <commentList>
    <comment ref="C248" authorId="0">
      <text>
        <r>
          <rPr>
            <b/>
            <sz val="9"/>
            <color indexed="81"/>
            <rFont val="Tahoma"/>
            <family val="2"/>
          </rPr>
          <t>Heather Garland:</t>
        </r>
        <r>
          <rPr>
            <sz val="9"/>
            <color indexed="81"/>
            <rFont val="Tahoma"/>
            <family val="2"/>
          </rPr>
          <t xml:space="preserve">
Related to LRI hauls from Anderson Island - need to exclude from Regulated.</t>
        </r>
      </text>
    </comment>
    <comment ref="G248" authorId="1">
      <text>
        <r>
          <rPr>
            <b/>
            <sz val="9"/>
            <color indexed="81"/>
            <rFont val="Tahoma"/>
            <family val="2"/>
          </rPr>
          <t>Brittany Mani:</t>
        </r>
        <r>
          <rPr>
            <sz val="9"/>
            <color indexed="81"/>
            <rFont val="Tahoma"/>
            <family val="2"/>
          </rPr>
          <t xml:space="preserve">
Price changes in the summer vs winter - we bill what the ferry ticket costs</t>
        </r>
      </text>
    </comment>
  </commentList>
</comments>
</file>

<file path=xl/comments6.xml><?xml version="1.0" encoding="utf-8"?>
<comments xmlns="http://schemas.openxmlformats.org/spreadsheetml/2006/main">
  <authors>
    <author>Lindsay Waldram</author>
  </authors>
  <commentList>
    <comment ref="C9" authorId="0">
      <text>
        <r>
          <rPr>
            <b/>
            <sz val="9"/>
            <color indexed="81"/>
            <rFont val="Tahoma"/>
            <family val="2"/>
          </rPr>
          <t>Lindsay Waldram:</t>
        </r>
        <r>
          <rPr>
            <sz val="9"/>
            <color indexed="81"/>
            <rFont val="Tahoma"/>
            <family val="2"/>
          </rPr>
          <t xml:space="preserve">
Per Pacific</t>
        </r>
      </text>
    </comment>
  </commentList>
</comments>
</file>

<file path=xl/comments7.xml><?xml version="1.0" encoding="utf-8"?>
<comments xmlns="http://schemas.openxmlformats.org/spreadsheetml/2006/main">
  <authors>
    <author>Heather Garland</author>
  </authors>
  <commentList>
    <comment ref="J5" authorId="0">
      <text>
        <r>
          <rPr>
            <b/>
            <sz val="9"/>
            <color indexed="81"/>
            <rFont val="Tahoma"/>
            <family val="2"/>
          </rPr>
          <t>Heather Garland:</t>
        </r>
        <r>
          <rPr>
            <sz val="9"/>
            <color indexed="81"/>
            <rFont val="Tahoma"/>
            <family val="2"/>
          </rPr>
          <t xml:space="preserve">
Includes regular UTC, JBLM Housing and JBLM Non-Fed Contract (Ft. Lewis bill area).</t>
        </r>
      </text>
    </comment>
    <comment ref="N5" authorId="0">
      <text>
        <r>
          <rPr>
            <b/>
            <sz val="9"/>
            <color indexed="81"/>
            <rFont val="Tahoma"/>
            <family val="2"/>
          </rPr>
          <t>Heather Garland:</t>
        </r>
        <r>
          <rPr>
            <sz val="9"/>
            <color indexed="81"/>
            <rFont val="Tahoma"/>
            <family val="2"/>
          </rPr>
          <t xml:space="preserve">
Includes regular UTC, JBLM Housing and JBLM Non-Fed Contract (Ft. Lewis bill area).</t>
        </r>
      </text>
    </comment>
  </commentList>
</comments>
</file>

<file path=xl/comments8.xml><?xml version="1.0" encoding="utf-8"?>
<comments xmlns="http://schemas.openxmlformats.org/spreadsheetml/2006/main">
  <authors>
    <author>Heather Garland</author>
    <author>Brittany Mani</author>
    <author>Jennifer Bergheim</author>
  </authors>
  <commentList>
    <comment ref="N13" authorId="0">
      <text>
        <r>
          <rPr>
            <b/>
            <sz val="9"/>
            <color indexed="81"/>
            <rFont val="Tahoma"/>
            <family val="2"/>
          </rPr>
          <t>Heather Garland:</t>
        </r>
        <r>
          <rPr>
            <sz val="9"/>
            <color indexed="81"/>
            <rFont val="Tahoma"/>
            <family val="2"/>
          </rPr>
          <t xml:space="preserve">
Union emloyees will receive a 3.3% increase per the  new Union agreement.  Other employees will receive the budgeted and management approved wage increase.  Union, Shop and G&amp;A employees receive raises on 1/1, Non-Union on 4/1.</t>
        </r>
      </text>
    </comment>
    <comment ref="N33" authorId="1">
      <text>
        <r>
          <rPr>
            <b/>
            <sz val="9"/>
            <color indexed="81"/>
            <rFont val="Tahoma"/>
            <family val="2"/>
          </rPr>
          <t>Brittany Mani:</t>
        </r>
        <r>
          <rPr>
            <sz val="9"/>
            <color indexed="81"/>
            <rFont val="Tahoma"/>
            <family val="2"/>
          </rPr>
          <t xml:space="preserve">
currently working his way of the union scale - will be at 27.85 after hitting seniority.</t>
        </r>
      </text>
    </comment>
    <comment ref="M92" authorId="1">
      <text>
        <r>
          <rPr>
            <b/>
            <sz val="9"/>
            <color indexed="81"/>
            <rFont val="Tahoma"/>
            <family val="2"/>
          </rPr>
          <t>Brittany Mani:</t>
        </r>
        <r>
          <rPr>
            <sz val="9"/>
            <color indexed="81"/>
            <rFont val="Tahoma"/>
            <family val="2"/>
          </rPr>
          <t xml:space="preserve">
David Santanta moved into the union in December of 2019. His new wage is 20.21 and will be at 27.45 after 2085 hours worked. His backfill in Recy will make similar to what he made before</t>
        </r>
      </text>
    </comment>
    <comment ref="X149" authorId="0">
      <text>
        <r>
          <rPr>
            <b/>
            <sz val="9"/>
            <color indexed="81"/>
            <rFont val="Tahoma"/>
            <family val="2"/>
          </rPr>
          <t>Heather Garland:</t>
        </r>
        <r>
          <rPr>
            <sz val="9"/>
            <color indexed="81"/>
            <rFont val="Tahoma"/>
            <family val="2"/>
          </rPr>
          <t xml:space="preserve">
Promoted to lead driver.</t>
        </r>
      </text>
    </comment>
    <comment ref="C157" authorId="1">
      <text>
        <r>
          <rPr>
            <b/>
            <sz val="9"/>
            <color indexed="81"/>
            <rFont val="Tahoma"/>
            <family val="2"/>
          </rPr>
          <t>Brittany Mani:</t>
        </r>
        <r>
          <rPr>
            <sz val="9"/>
            <color indexed="81"/>
            <rFont val="Tahoma"/>
            <family val="2"/>
          </rPr>
          <t xml:space="preserve">
We have two other dispatchers that post to 2182 but all three share responsibilities for both districts</t>
        </r>
      </text>
    </comment>
    <comment ref="X197" authorId="0">
      <text>
        <r>
          <rPr>
            <b/>
            <sz val="9"/>
            <color indexed="81"/>
            <rFont val="Tahoma"/>
            <family val="2"/>
          </rPr>
          <t>Heather Garland:</t>
        </r>
        <r>
          <rPr>
            <sz val="9"/>
            <color indexed="81"/>
            <rFont val="Tahoma"/>
            <family val="2"/>
          </rPr>
          <t xml:space="preserve">
Promoted
</t>
        </r>
      </text>
    </comment>
    <comment ref="C199" authorId="1">
      <text>
        <r>
          <rPr>
            <b/>
            <sz val="9"/>
            <color indexed="81"/>
            <rFont val="Tahoma"/>
            <family val="2"/>
          </rPr>
          <t xml:space="preserve">Brittany Mani: </t>
        </r>
        <r>
          <rPr>
            <sz val="9"/>
            <color indexed="81"/>
            <rFont val="Tahoma"/>
            <family val="2"/>
          </rPr>
          <t>Cruz and Arvin were both container deliver half the year and route half the year. Put one in each category</t>
        </r>
      </text>
    </comment>
    <comment ref="X199" authorId="0">
      <text>
        <r>
          <rPr>
            <b/>
            <sz val="9"/>
            <color indexed="81"/>
            <rFont val="Tahoma"/>
            <family val="2"/>
          </rPr>
          <t>Heather Garland:</t>
        </r>
        <r>
          <rPr>
            <sz val="9"/>
            <color indexed="81"/>
            <rFont val="Tahoma"/>
            <family val="2"/>
          </rPr>
          <t xml:space="preserve">
Promoted.
</t>
        </r>
      </text>
    </comment>
    <comment ref="D218" authorId="1">
      <text>
        <r>
          <rPr>
            <b/>
            <sz val="9"/>
            <color indexed="81"/>
            <rFont val="Tahoma"/>
            <family val="2"/>
          </rPr>
          <t>Brittany Mani:</t>
        </r>
        <r>
          <rPr>
            <sz val="9"/>
            <color indexed="81"/>
            <rFont val="Tahoma"/>
            <family val="2"/>
          </rPr>
          <t xml:space="preserve">
Was here through end of March - will have new AC starting in 2020</t>
        </r>
      </text>
    </comment>
    <comment ref="Y218" authorId="0">
      <text>
        <r>
          <rPr>
            <b/>
            <sz val="9"/>
            <color indexed="81"/>
            <rFont val="Tahoma"/>
            <family val="2"/>
          </rPr>
          <t>Heather Garland:</t>
        </r>
        <r>
          <rPr>
            <sz val="9"/>
            <color indexed="81"/>
            <rFont val="Tahoma"/>
            <family val="2"/>
          </rPr>
          <t xml:space="preserve">
Asst. Controller position open part of the test period.  Currently sourcing.</t>
        </r>
      </text>
    </comment>
    <comment ref="Y221" authorId="0">
      <text>
        <r>
          <rPr>
            <b/>
            <sz val="9"/>
            <color indexed="81"/>
            <rFont val="Tahoma"/>
            <family val="2"/>
          </rPr>
          <t>Heather Garland:</t>
        </r>
        <r>
          <rPr>
            <sz val="9"/>
            <color indexed="81"/>
            <rFont val="Tahoma"/>
            <family val="2"/>
          </rPr>
          <t xml:space="preserve">
Position open much of test period, now filled.</t>
        </r>
      </text>
    </comment>
    <comment ref="U279" authorId="2">
      <text>
        <r>
          <rPr>
            <b/>
            <sz val="9"/>
            <color indexed="81"/>
            <rFont val="Tahoma"/>
            <family val="2"/>
          </rPr>
          <t>Jennifer Bergheim:</t>
        </r>
        <r>
          <rPr>
            <sz val="9"/>
            <color indexed="81"/>
            <rFont val="Tahoma"/>
            <family val="2"/>
          </rPr>
          <t xml:space="preserve">
GL amounts to be linked to income  statement in pro forma</t>
        </r>
      </text>
    </comment>
  </commentList>
</comments>
</file>

<file path=xl/comments9.xml><?xml version="1.0" encoding="utf-8"?>
<comments xmlns="http://schemas.openxmlformats.org/spreadsheetml/2006/main">
  <authors>
    <author>LauraKa</author>
    <author>Brittany Mani</author>
    <author>Heather Garland</author>
    <author>Laurag</author>
  </authors>
  <commentList>
    <comment ref="A13" authorId="0">
      <text>
        <r>
          <rPr>
            <b/>
            <sz val="8"/>
            <color indexed="81"/>
            <rFont val="Tahoma"/>
            <family val="2"/>
          </rPr>
          <t>LauraKa:</t>
        </r>
        <r>
          <rPr>
            <sz val="8"/>
            <color indexed="81"/>
            <rFont val="Tahoma"/>
            <family val="2"/>
          </rPr>
          <t xml:space="preserve">
Reg = 999999</t>
        </r>
      </text>
    </comment>
    <comment ref="C69" authorId="1">
      <text>
        <r>
          <rPr>
            <b/>
            <sz val="9"/>
            <color indexed="81"/>
            <rFont val="Tahoma"/>
            <family val="2"/>
          </rPr>
          <t>Brittany Mani:</t>
        </r>
        <r>
          <rPr>
            <sz val="9"/>
            <color indexed="81"/>
            <rFont val="Tahoma"/>
            <family val="2"/>
          </rPr>
          <t xml:space="preserve">
Note: $18 Min at SR - per ton rate is $58.70</t>
        </r>
      </text>
    </comment>
    <comment ref="A73" authorId="2">
      <text>
        <r>
          <rPr>
            <b/>
            <sz val="9"/>
            <color indexed="81"/>
            <rFont val="Tahoma"/>
            <family val="2"/>
          </rPr>
          <t>Heather Garland:</t>
        </r>
        <r>
          <rPr>
            <sz val="9"/>
            <color indexed="81"/>
            <rFont val="Tahoma"/>
            <family val="2"/>
          </rPr>
          <t xml:space="preserve">
40109 "01"</t>
        </r>
      </text>
    </comment>
    <comment ref="A78" authorId="2">
      <text>
        <r>
          <rPr>
            <b/>
            <sz val="9"/>
            <color indexed="81"/>
            <rFont val="Tahoma"/>
            <family val="2"/>
          </rPr>
          <t>Heather Garland:</t>
        </r>
        <r>
          <rPr>
            <sz val="9"/>
            <color indexed="81"/>
            <rFont val="Tahoma"/>
            <family val="2"/>
          </rPr>
          <t xml:space="preserve">
40109 "02"</t>
        </r>
      </text>
    </comment>
    <comment ref="A82" authorId="1">
      <text>
        <r>
          <rPr>
            <b/>
            <sz val="9"/>
            <color indexed="81"/>
            <rFont val="Tahoma"/>
            <family val="2"/>
          </rPr>
          <t>Brittany Mani:</t>
        </r>
        <r>
          <rPr>
            <sz val="9"/>
            <color indexed="81"/>
            <rFont val="Tahoma"/>
            <family val="2"/>
          </rPr>
          <t xml:space="preserve">
40109-000-04 - White Wood and YW at Sales Road</t>
        </r>
      </text>
    </comment>
    <comment ref="A86" authorId="3">
      <text>
        <r>
          <rPr>
            <b/>
            <sz val="8"/>
            <color indexed="81"/>
            <rFont val="Tahoma"/>
            <family val="2"/>
          </rPr>
          <t>LauraKa:</t>
        </r>
        <r>
          <rPr>
            <sz val="8"/>
            <color indexed="81"/>
            <rFont val="Tahoma"/>
            <family val="2"/>
          </rPr>
          <t xml:space="preserve">
31005</t>
        </r>
      </text>
    </comment>
    <comment ref="A102" authorId="0">
      <text>
        <r>
          <rPr>
            <b/>
            <sz val="8"/>
            <color indexed="81"/>
            <rFont val="Tahoma"/>
            <family val="2"/>
          </rPr>
          <t>LauraKa:</t>
        </r>
        <r>
          <rPr>
            <sz val="8"/>
            <color indexed="81"/>
            <rFont val="Tahoma"/>
            <family val="2"/>
          </rPr>
          <t xml:space="preserve">
To Recovery 1 from JBLM contract boxes</t>
        </r>
      </text>
    </comment>
    <comment ref="A108" authorId="0">
      <text>
        <r>
          <rPr>
            <b/>
            <sz val="8"/>
            <color indexed="81"/>
            <rFont val="Tahoma"/>
            <family val="2"/>
          </rPr>
          <t>LauraKa:</t>
        </r>
        <r>
          <rPr>
            <sz val="8"/>
            <color indexed="81"/>
            <rFont val="Tahoma"/>
            <family val="2"/>
          </rPr>
          <t xml:space="preserve">
To L&amp;S from JBLM contract boxes</t>
        </r>
      </text>
    </comment>
    <comment ref="A113" authorId="0">
      <text>
        <r>
          <rPr>
            <b/>
            <sz val="8"/>
            <color indexed="81"/>
            <rFont val="Tahoma"/>
            <family val="2"/>
          </rPr>
          <t>LauraKa:</t>
        </r>
        <r>
          <rPr>
            <sz val="8"/>
            <color indexed="81"/>
            <rFont val="Tahoma"/>
            <family val="2"/>
          </rPr>
          <t xml:space="preserve">
Mt Rainier boxes to Cedar Grove</t>
        </r>
      </text>
    </comment>
  </commentList>
</comments>
</file>

<file path=xl/sharedStrings.xml><?xml version="1.0" encoding="utf-8"?>
<sst xmlns="http://schemas.openxmlformats.org/spreadsheetml/2006/main" count="12580" uniqueCount="2988">
  <si>
    <t>LeMay Enterprises</t>
  </si>
  <si>
    <t>Consolidated Income Statement</t>
  </si>
  <si>
    <t>Revenue:</t>
  </si>
  <si>
    <t>Residential</t>
  </si>
  <si>
    <t>Recycling</t>
  </si>
  <si>
    <t>Yard Waste</t>
  </si>
  <si>
    <t>Drop Box</t>
  </si>
  <si>
    <t>Pass Thru</t>
  </si>
  <si>
    <t>TF Station</t>
  </si>
  <si>
    <t>Comm Recycling</t>
  </si>
  <si>
    <t>Commodity Credit</t>
  </si>
  <si>
    <t>Service Charge</t>
  </si>
  <si>
    <t>P-Card Revenue</t>
  </si>
  <si>
    <t>Total</t>
  </si>
  <si>
    <t>Expenses:</t>
  </si>
  <si>
    <t>Building Supplies</t>
  </si>
  <si>
    <t>Repair-Shop, Bldg</t>
  </si>
  <si>
    <t>Salaries</t>
  </si>
  <si>
    <t>Wages-Regular</t>
  </si>
  <si>
    <t>Wages-OT</t>
  </si>
  <si>
    <t>Safety Bonus</t>
  </si>
  <si>
    <t>Other Bonus</t>
  </si>
  <si>
    <t>Vacation Pay</t>
  </si>
  <si>
    <t>Sick Pay</t>
  </si>
  <si>
    <t>Wages Mechanics</t>
  </si>
  <si>
    <t>Wages Regular</t>
  </si>
  <si>
    <t>Wages O.T.</t>
  </si>
  <si>
    <t>Safety Bonuses</t>
  </si>
  <si>
    <t>Other Bonuses</t>
  </si>
  <si>
    <t>Contract Labor</t>
  </si>
  <si>
    <t>Wages Container Mechanics</t>
  </si>
  <si>
    <t>Parts &amp; Materials</t>
  </si>
  <si>
    <t>Operating Suppies</t>
  </si>
  <si>
    <t>Total Parts &amp; Materials</t>
  </si>
  <si>
    <t>Outside Repair</t>
  </si>
  <si>
    <t>Damage Paid by District</t>
  </si>
  <si>
    <t>Ins Claims Repairs</t>
  </si>
  <si>
    <t>Accident Repair</t>
  </si>
  <si>
    <t>Tires &amp; Tubes</t>
  </si>
  <si>
    <t>Safety &amp; Training</t>
  </si>
  <si>
    <t>Drug Screening</t>
  </si>
  <si>
    <t>Uniforms</t>
  </si>
  <si>
    <t>Allocated Exp In - District</t>
  </si>
  <si>
    <t>Towing</t>
  </si>
  <si>
    <t>Drive Cam Fees</t>
  </si>
  <si>
    <t>Miscellaneous</t>
  </si>
  <si>
    <t>Utilities</t>
  </si>
  <si>
    <t xml:space="preserve">Other Maint </t>
  </si>
  <si>
    <t>Salaries-Supervisor</t>
  </si>
  <si>
    <t>Wages-Supervisor</t>
  </si>
  <si>
    <t>Wages OT</t>
  </si>
  <si>
    <t>Total Driver Wages</t>
  </si>
  <si>
    <t>Fuel Expense</t>
  </si>
  <si>
    <t>Urea Additive Expense</t>
  </si>
  <si>
    <t>Oil and Grease</t>
  </si>
  <si>
    <t>Total Fuel and Oil</t>
  </si>
  <si>
    <t>Brokerage Cost</t>
  </si>
  <si>
    <t>Brokerage Cost IC</t>
  </si>
  <si>
    <t>Cost of Materials - OCC</t>
  </si>
  <si>
    <t>Cost of Materials - Other</t>
  </si>
  <si>
    <t>Travel</t>
  </si>
  <si>
    <t>Safety and Training</t>
  </si>
  <si>
    <t>Employee Comm Activity</t>
  </si>
  <si>
    <t>Operating Supplies</t>
  </si>
  <si>
    <t>Meals &amp; Entertainment</t>
  </si>
  <si>
    <t>Other Prof Fees</t>
  </si>
  <si>
    <t>Other Collection Exp</t>
  </si>
  <si>
    <t>Disposal Landfill Intercompany</t>
  </si>
  <si>
    <t>Other Disposal</t>
  </si>
  <si>
    <t>Dump Fee and Charges</t>
  </si>
  <si>
    <t>Group Insurance</t>
  </si>
  <si>
    <t>Postage</t>
  </si>
  <si>
    <t>Entertainment</t>
  </si>
  <si>
    <t>Sales</t>
  </si>
  <si>
    <t>UTC Fee</t>
  </si>
  <si>
    <t>WUTC Fee</t>
  </si>
  <si>
    <t>Dues and Subscriptions</t>
  </si>
  <si>
    <t>Advertising &amp; Promotion</t>
  </si>
  <si>
    <t>Advertising</t>
  </si>
  <si>
    <t>Advertising Exp</t>
  </si>
  <si>
    <t>Self Insurance Premium</t>
  </si>
  <si>
    <t>Current Year Claims</t>
  </si>
  <si>
    <t>Prior Year Claims</t>
  </si>
  <si>
    <t>Public Liability</t>
  </si>
  <si>
    <t>WC Current Year Claims</t>
  </si>
  <si>
    <t>WC Prior Year Claims</t>
  </si>
  <si>
    <t>WC Premium</t>
  </si>
  <si>
    <t>Bond Exp-WC</t>
  </si>
  <si>
    <t>Workmen's Comp</t>
  </si>
  <si>
    <t>Corp Allocated Bonus</t>
  </si>
  <si>
    <t>Bonuses</t>
  </si>
  <si>
    <t>Vacation</t>
  </si>
  <si>
    <t>Sick Leave</t>
  </si>
  <si>
    <t>Salaries-Office</t>
  </si>
  <si>
    <t>Corp OH Allocation</t>
  </si>
  <si>
    <t>Management Fee</t>
  </si>
  <si>
    <t>Office Suppies</t>
  </si>
  <si>
    <t>Security Services</t>
  </si>
  <si>
    <t>Customer Notification</t>
  </si>
  <si>
    <t>Credit Card Fees</t>
  </si>
  <si>
    <t>Bank Charges</t>
  </si>
  <si>
    <t>Invoice Printing Costs</t>
  </si>
  <si>
    <t>Data Processing</t>
  </si>
  <si>
    <t>Computer Software</t>
  </si>
  <si>
    <t>Computer Suppies</t>
  </si>
  <si>
    <t>Credit and Collection</t>
  </si>
  <si>
    <t>Office &amp; Other Exp</t>
  </si>
  <si>
    <t>Legal</t>
  </si>
  <si>
    <t>Legal &amp; Accounting</t>
  </si>
  <si>
    <t>Communication</t>
  </si>
  <si>
    <t>Office Telephone</t>
  </si>
  <si>
    <t>Cell Phone</t>
  </si>
  <si>
    <t>Union Benefit Expense</t>
  </si>
  <si>
    <t>Employee Welfare</t>
  </si>
  <si>
    <t>Pension</t>
  </si>
  <si>
    <t>Union Pension</t>
  </si>
  <si>
    <t>Pension and Profit Sharing</t>
  </si>
  <si>
    <t>Bad Debt Provision</t>
  </si>
  <si>
    <t>Bad Debts</t>
  </si>
  <si>
    <t>Termination Pay</t>
  </si>
  <si>
    <t>Safety &amp; Taining</t>
  </si>
  <si>
    <t>WCN Training</t>
  </si>
  <si>
    <t>Employee Relocation</t>
  </si>
  <si>
    <t>Contributions</t>
  </si>
  <si>
    <t>Political Contribution</t>
  </si>
  <si>
    <t>Alloc Exp In Distr</t>
  </si>
  <si>
    <t>Registration Fee</t>
  </si>
  <si>
    <t>Dues &amp; Subscriptions</t>
  </si>
  <si>
    <t>Club Dues</t>
  </si>
  <si>
    <t>Excursion Meetings</t>
  </si>
  <si>
    <t>Lodging</t>
  </si>
  <si>
    <t>Travel Auto</t>
  </si>
  <si>
    <t xml:space="preserve"> Meals</t>
  </si>
  <si>
    <t>Meals with Customers</t>
  </si>
  <si>
    <t>External Recruiter Fees</t>
  </si>
  <si>
    <t>Recruitment Advertising &amp; Expenses</t>
  </si>
  <si>
    <t>Recruitment Travel Expenses</t>
  </si>
  <si>
    <t>Other Professional Fees</t>
  </si>
  <si>
    <t>Penalties and Violations</t>
  </si>
  <si>
    <t>Coffee Bar</t>
  </si>
  <si>
    <t>Permits</t>
  </si>
  <si>
    <t>Interest Expense</t>
  </si>
  <si>
    <t>Other General Expenses</t>
  </si>
  <si>
    <t>Depreciation Trks</t>
  </si>
  <si>
    <t>Depreciation Cont, DB</t>
  </si>
  <si>
    <t>Depreciation Service</t>
  </si>
  <si>
    <t>Depreciation Shop</t>
  </si>
  <si>
    <t>Depreciation Office</t>
  </si>
  <si>
    <t>Amortization</t>
  </si>
  <si>
    <t>Sale of Asset</t>
  </si>
  <si>
    <t>Rebate &amp; Rev Sharing</t>
  </si>
  <si>
    <t>Other Taxes</t>
  </si>
  <si>
    <t>Operating Tax &amp; Lic</t>
  </si>
  <si>
    <t>Taxes &amp; Pass Thru Fees</t>
  </si>
  <si>
    <t>State Excise Tax</t>
  </si>
  <si>
    <t>Licenses</t>
  </si>
  <si>
    <t>Vehicle Licenses</t>
  </si>
  <si>
    <t>Property Tax</t>
  </si>
  <si>
    <t>Payroll Taxes</t>
  </si>
  <si>
    <t>Real Estate Rental</t>
  </si>
  <si>
    <t>Rent-Land, Structures</t>
  </si>
  <si>
    <t>Long Term Contr Amort</t>
  </si>
  <si>
    <t>Total Amort</t>
  </si>
  <si>
    <t>Unusual Gain/(Loss)</t>
  </si>
  <si>
    <t>Operating Ratio</t>
  </si>
  <si>
    <t>Net Income (Loss)</t>
  </si>
  <si>
    <t>Revenue</t>
  </si>
  <si>
    <t>2180</t>
  </si>
  <si>
    <t>2182</t>
  </si>
  <si>
    <t>Acct</t>
  </si>
  <si>
    <t>AcctName</t>
  </si>
  <si>
    <t>Act(-11)</t>
  </si>
  <si>
    <t>Act(-10)</t>
  </si>
  <si>
    <t>Act(-9)</t>
  </si>
  <si>
    <t>Act(-8)</t>
  </si>
  <si>
    <t>Act(-7)</t>
  </si>
  <si>
    <t>Act(-6)</t>
  </si>
  <si>
    <t>Act(-5)</t>
  </si>
  <si>
    <t>Act(-4)</t>
  </si>
  <si>
    <t>Act(-3)</t>
  </si>
  <si>
    <t>Act(-2)</t>
  </si>
  <si>
    <t>Act(-1)</t>
  </si>
  <si>
    <t>Act</t>
  </si>
  <si>
    <t>Waste Connections, Inc.</t>
  </si>
  <si>
    <t>Districts/Grouping:</t>
  </si>
  <si>
    <t>Exclude IC:</t>
  </si>
  <si>
    <t>IS 210 - PL Review</t>
  </si>
  <si>
    <t/>
  </si>
  <si>
    <t>System:</t>
  </si>
  <si>
    <t>Hauling Revenue - Roll Off Permanent</t>
  </si>
  <si>
    <t>Hauling Revenue - Roll Off Temporary</t>
  </si>
  <si>
    <t>Hauling Revenue - Roll Off Rental</t>
  </si>
  <si>
    <t>Hauling Revenue - Roll Off Intercompany</t>
  </si>
  <si>
    <t>Hauling Revenue - Residential MSW</t>
  </si>
  <si>
    <t>Hauling Revenue - Residential MSW Extras</t>
  </si>
  <si>
    <t>Hauling Revenue - Residential Recycling</t>
  </si>
  <si>
    <t>Hauling Revenue - Residential Composting</t>
  </si>
  <si>
    <t>Hauling Revenue - Commercial FEL</t>
  </si>
  <si>
    <t>Hauling Revenue - Commercial FEL Extras</t>
  </si>
  <si>
    <t>Hauling Revenue - Commercial Recycling F</t>
  </si>
  <si>
    <t>Hauling Revenue</t>
  </si>
  <si>
    <t>Transfer Station - Intercompany</t>
  </si>
  <si>
    <t>Transfer and MRF</t>
  </si>
  <si>
    <t>Proceeds - OCC</t>
  </si>
  <si>
    <t>Proceeds - Metal</t>
  </si>
  <si>
    <t>Proceeds - Other Recyclables</t>
  </si>
  <si>
    <t>Proceeds - Commingled</t>
  </si>
  <si>
    <t>Support - Other Recyclables</t>
  </si>
  <si>
    <t>Recycling Proceeds</t>
  </si>
  <si>
    <t>Landfill Revenue</t>
  </si>
  <si>
    <t>Intermodal</t>
  </si>
  <si>
    <t>Other Revenue</t>
  </si>
  <si>
    <t>Disposal Other</t>
  </si>
  <si>
    <t>Disposal</t>
  </si>
  <si>
    <t>MRF Processing</t>
  </si>
  <si>
    <t>Brokerage Cost Intercompany</t>
  </si>
  <si>
    <t>Rebates and Revenue Sharing</t>
  </si>
  <si>
    <t>Taxes and Pass Thru Fees</t>
  </si>
  <si>
    <t>WUTC Taxes</t>
  </si>
  <si>
    <t>Brok. and Taxes</t>
  </si>
  <si>
    <t>Cost of Materials - Other Recyclables</t>
  </si>
  <si>
    <t>Cost of Materials</t>
  </si>
  <si>
    <t>Other Expense</t>
  </si>
  <si>
    <t>Rev Reductions</t>
  </si>
  <si>
    <t>Net Revenue</t>
  </si>
  <si>
    <t>Labor</t>
  </si>
  <si>
    <t>Truck Fixed</t>
  </si>
  <si>
    <t>Parts and Materials</t>
  </si>
  <si>
    <t>Tires</t>
  </si>
  <si>
    <t>Outside Repairs</t>
  </si>
  <si>
    <t>Communications</t>
  </si>
  <si>
    <t>Towing Expense</t>
  </si>
  <si>
    <t>Office Supply and Equip</t>
  </si>
  <si>
    <t>Truck Variable</t>
  </si>
  <si>
    <t>Container Exp</t>
  </si>
  <si>
    <t>Empl &amp; Commun Activ</t>
  </si>
  <si>
    <t>Superv. Ex</t>
  </si>
  <si>
    <t>Bldg &amp; Property</t>
  </si>
  <si>
    <t>Property Taxes</t>
  </si>
  <si>
    <t>Bonds Expense</t>
  </si>
  <si>
    <t>Other Operating</t>
  </si>
  <si>
    <t>Closure Exp</t>
  </si>
  <si>
    <t>A&amp;L - Current Year Claims</t>
  </si>
  <si>
    <t>A&amp;L - Prior Year Claims</t>
  </si>
  <si>
    <t>WC - Current Year Claims</t>
  </si>
  <si>
    <t>WC - Prior Year Claims</t>
  </si>
  <si>
    <t>Damages paid by District</t>
  </si>
  <si>
    <t>Workers Comp Prem</t>
  </si>
  <si>
    <t>Insurance Exp</t>
  </si>
  <si>
    <t>IS OpDisposal</t>
  </si>
  <si>
    <t>Gain/Loss on Sale of Asset</t>
  </si>
  <si>
    <t>G/L on Ops</t>
  </si>
  <si>
    <t>Cost of Ops</t>
  </si>
  <si>
    <t>Gross Profit</t>
  </si>
  <si>
    <t>Travel - Auto</t>
  </si>
  <si>
    <t>Advertising and Promotions</t>
  </si>
  <si>
    <t>Sales Exp</t>
  </si>
  <si>
    <t>Other Bonus/Commission - Non-Safety</t>
  </si>
  <si>
    <t>Political Contributions</t>
  </si>
  <si>
    <t>Cellular Telephone</t>
  </si>
  <si>
    <t>Excursions Meetings</t>
  </si>
  <si>
    <t>Meals</t>
  </si>
  <si>
    <t>Office Supplies and Equip</t>
  </si>
  <si>
    <t>Computer Supplies</t>
  </si>
  <si>
    <t>G&amp;A</t>
  </si>
  <si>
    <t>Corporate Overhead Allocation In</t>
  </si>
  <si>
    <t>Corp Overhead</t>
  </si>
  <si>
    <t>Total SG&amp;A</t>
  </si>
  <si>
    <t>EBITDA</t>
  </si>
  <si>
    <t>Watch list EBITDA</t>
  </si>
  <si>
    <t>Depreciation</t>
  </si>
  <si>
    <t>Airspace Amort</t>
  </si>
  <si>
    <t>Long Term Contract Amort</t>
  </si>
  <si>
    <t>Intangible Amort</t>
  </si>
  <si>
    <t>Total DDA</t>
  </si>
  <si>
    <t>EBIT From Ops</t>
  </si>
  <si>
    <t>IS Interest</t>
  </si>
  <si>
    <t>Interest Exp</t>
  </si>
  <si>
    <t>IS Interest Income</t>
  </si>
  <si>
    <t>Interest Income</t>
  </si>
  <si>
    <t>IS OtherIncExp</t>
  </si>
  <si>
    <t>Other Inc/Exp</t>
  </si>
  <si>
    <t>NI b/ Taxes &amp; Extra</t>
  </si>
  <si>
    <t>Extra. Items</t>
  </si>
  <si>
    <t>NI b/ Taxes</t>
  </si>
  <si>
    <t>IS Taxes</t>
  </si>
  <si>
    <t>Taxes</t>
  </si>
  <si>
    <t>Net Income</t>
  </si>
  <si>
    <t>IS NoncontrollingExp</t>
  </si>
  <si>
    <t>Non Controlling Int</t>
  </si>
  <si>
    <t>Net Income Attrib</t>
  </si>
  <si>
    <t>Data Not Included</t>
  </si>
  <si>
    <t>Check</t>
  </si>
  <si>
    <t>Transfer Station - Third Party</t>
  </si>
  <si>
    <t>Pierce County Refuse-LeMay Transportation</t>
  </si>
  <si>
    <t>Regulated</t>
  </si>
  <si>
    <t>JBLM</t>
  </si>
  <si>
    <t>Non-Reg</t>
  </si>
  <si>
    <t>PCR</t>
  </si>
  <si>
    <t>YW</t>
  </si>
  <si>
    <t>Commercial</t>
  </si>
  <si>
    <t>Commercial Recycling</t>
  </si>
  <si>
    <t>Pass-Through</t>
  </si>
  <si>
    <t>Grand Total</t>
  </si>
  <si>
    <t xml:space="preserve">Restating </t>
  </si>
  <si>
    <t>Pro forma</t>
  </si>
  <si>
    <t>Per Book</t>
  </si>
  <si>
    <t>Adj</t>
  </si>
  <si>
    <t>Restated</t>
  </si>
  <si>
    <t>Subsystem:</t>
  </si>
  <si>
    <t>Actual</t>
  </si>
  <si>
    <t>Registration Fees</t>
  </si>
  <si>
    <t>Pierce County Refuse</t>
  </si>
  <si>
    <t xml:space="preserve"> </t>
  </si>
  <si>
    <t>Restating Adjustments</t>
  </si>
  <si>
    <t>Service Charges</t>
  </si>
  <si>
    <t>Difference</t>
  </si>
  <si>
    <t>Non-Regulated</t>
  </si>
  <si>
    <t>IS</t>
  </si>
  <si>
    <t>Roll-off</t>
  </si>
  <si>
    <t>(a)</t>
  </si>
  <si>
    <t>(b)</t>
  </si>
  <si>
    <t>(c)</t>
  </si>
  <si>
    <t>(d)</t>
  </si>
  <si>
    <t>Packer Routes</t>
  </si>
  <si>
    <t>Adjustment     50020</t>
  </si>
  <si>
    <t>Mechanics    52020</t>
  </si>
  <si>
    <t>Container shop   55020</t>
  </si>
  <si>
    <t>Supervisors   56020</t>
  </si>
  <si>
    <t>Wage Increases Adjust</t>
  </si>
  <si>
    <t>Reclass PR Tax:</t>
  </si>
  <si>
    <t>Drivers 50050</t>
  </si>
  <si>
    <t>Adjust PR Tax</t>
  </si>
  <si>
    <t>Tax Rate</t>
  </si>
  <si>
    <t>Beginning test period</t>
  </si>
  <si>
    <t>Ending test period</t>
  </si>
  <si>
    <t>Write-off</t>
  </si>
  <si>
    <t>Recovery</t>
  </si>
  <si>
    <t>Net recovery</t>
  </si>
  <si>
    <t>Actual write off expense</t>
  </si>
  <si>
    <t>Income Statement</t>
  </si>
  <si>
    <t>Adjustment Acct 46700</t>
  </si>
  <si>
    <t>Rate</t>
  </si>
  <si>
    <t>Adjustment Acct 46100</t>
  </si>
  <si>
    <t>Buildings (Structures) Shop</t>
  </si>
  <si>
    <t>Buildings (Structures) Office</t>
  </si>
  <si>
    <t>Bad Debt Percent</t>
  </si>
  <si>
    <t>Customer Notification:</t>
  </si>
  <si>
    <t>Amortize over 24-months</t>
  </si>
  <si>
    <t>(C)</t>
  </si>
  <si>
    <t>Total Customers</t>
  </si>
  <si>
    <t>Tons</t>
  </si>
  <si>
    <t>Glass</t>
  </si>
  <si>
    <t>Cost</t>
  </si>
  <si>
    <t>Depreciation TF Equip</t>
  </si>
  <si>
    <t>Corporate OH</t>
  </si>
  <si>
    <t>Must be linked</t>
  </si>
  <si>
    <t>Roll-Off</t>
  </si>
  <si>
    <t>Res-Recycling</t>
  </si>
  <si>
    <t>Recycl Cust</t>
  </si>
  <si>
    <t>Yard Waste Cust</t>
  </si>
  <si>
    <t>Route Hours:</t>
  </si>
  <si>
    <t>Roll-off Routes</t>
  </si>
  <si>
    <t>Resi-Recycl Rts</t>
  </si>
  <si>
    <t>MF Recycl Rts</t>
  </si>
  <si>
    <t>Comm Recycl Rts</t>
  </si>
  <si>
    <t>Recycling Center</t>
  </si>
  <si>
    <t>YW Routes</t>
  </si>
  <si>
    <t>TFS-Lakewood</t>
  </si>
  <si>
    <t>Total Rt Hrs</t>
  </si>
  <si>
    <t>Rt Hrs</t>
  </si>
  <si>
    <t>Cust Cnt</t>
  </si>
  <si>
    <t>Ratios</t>
  </si>
  <si>
    <t>Customer Count</t>
  </si>
  <si>
    <t>Rt Hrs Percent</t>
  </si>
  <si>
    <t>PC-Reg Only</t>
  </si>
  <si>
    <t>Route Garbage</t>
  </si>
  <si>
    <t>Category</t>
  </si>
  <si>
    <t>[Fixed][Acct]='98501'</t>
  </si>
  <si>
    <t>IS Hauling</t>
  </si>
  <si>
    <t>[!DetailRow]</t>
  </si>
  <si>
    <t>IS Transfer</t>
  </si>
  <si>
    <t>IS MRF</t>
  </si>
  <si>
    <t>IS Landfill</t>
  </si>
  <si>
    <t>IS Intermodal</t>
  </si>
  <si>
    <t>IS Other Revenue</t>
  </si>
  <si>
    <t>IS Disposal</t>
  </si>
  <si>
    <t>IS MRF Processing</t>
  </si>
  <si>
    <t>IS BRT</t>
  </si>
  <si>
    <t>IS Recycling Mat</t>
  </si>
  <si>
    <t>Cost of Materials - Intercompany</t>
  </si>
  <si>
    <t>IS Other Expense</t>
  </si>
  <si>
    <t>IS Labor</t>
  </si>
  <si>
    <t>IS Fixed Equipment</t>
  </si>
  <si>
    <t>IS Truck Variable</t>
  </si>
  <si>
    <t>IS Container</t>
  </si>
  <si>
    <t>IS Supervisor</t>
  </si>
  <si>
    <t>IS OtherOpExp</t>
  </si>
  <si>
    <t>IS Insurance</t>
  </si>
  <si>
    <t>IS Sales</t>
  </si>
  <si>
    <t>IS G&amp;A</t>
  </si>
  <si>
    <t>IS Overhead</t>
  </si>
  <si>
    <t>IS Depreciation</t>
  </si>
  <si>
    <t>IS Depletion</t>
  </si>
  <si>
    <t>IS Amort</t>
  </si>
  <si>
    <t>IS Extraordinary</t>
  </si>
  <si>
    <t>[Leftovers]</t>
  </si>
  <si>
    <t>Less</t>
  </si>
  <si>
    <t>Contract</t>
  </si>
  <si>
    <t>Resi MSW</t>
  </si>
  <si>
    <t>Resi Recycle</t>
  </si>
  <si>
    <t>Comm MSW</t>
  </si>
  <si>
    <t>Roll Off MSW</t>
  </si>
  <si>
    <t>USD</t>
  </si>
  <si>
    <t>FullAcct</t>
  </si>
  <si>
    <t>date_applied</t>
  </si>
  <si>
    <t>balance_usd</t>
  </si>
  <si>
    <t>balance_cad</t>
  </si>
  <si>
    <t>currencycode</t>
  </si>
  <si>
    <t>Journal</t>
  </si>
  <si>
    <t>pstd</t>
  </si>
  <si>
    <t>journal_description</t>
  </si>
  <si>
    <t>User</t>
  </si>
  <si>
    <t>TypeCode</t>
  </si>
  <si>
    <t>vendor_code</t>
  </si>
  <si>
    <t>OneTime</t>
  </si>
  <si>
    <t>Description</t>
  </si>
  <si>
    <t>date_doc</t>
  </si>
  <si>
    <t>doc_desc</t>
  </si>
  <si>
    <t>doc_ctrl_num</t>
  </si>
  <si>
    <t>po_ctrl_num</t>
  </si>
  <si>
    <t>vend_order_num</t>
  </si>
  <si>
    <t>ticket_num</t>
  </si>
  <si>
    <t>document_2</t>
  </si>
  <si>
    <t>document_1</t>
  </si>
  <si>
    <t>class_code</t>
  </si>
  <si>
    <t>date_entered</t>
  </si>
  <si>
    <t>date_posted</t>
  </si>
  <si>
    <t>amt_net</t>
  </si>
  <si>
    <t>date_due</t>
  </si>
  <si>
    <t>DBase</t>
  </si>
  <si>
    <t>reversing_flag</t>
  </si>
  <si>
    <t>hold_flag</t>
  </si>
  <si>
    <t>recurring_flag</t>
  </si>
  <si>
    <t>repeating_flag</t>
  </si>
  <si>
    <t>type_flag</t>
  </si>
  <si>
    <t>posted_flag</t>
  </si>
  <si>
    <t>seg1_code</t>
  </si>
  <si>
    <t>seg2_code</t>
  </si>
  <si>
    <t>seg3_code</t>
  </si>
  <si>
    <t>seg4_code</t>
  </si>
  <si>
    <t>staged_refCode</t>
  </si>
  <si>
    <t>Staged_DocRef</t>
  </si>
  <si>
    <t>Staged_YearMonth</t>
  </si>
  <si>
    <t>Staged_District</t>
  </si>
  <si>
    <t>Formulas</t>
  </si>
  <si>
    <t>Entries Shown Limit Setup:</t>
  </si>
  <si>
    <t>Other</t>
  </si>
  <si>
    <t>FromMonth:</t>
  </si>
  <si>
    <t>ToMonth:</t>
  </si>
  <si>
    <t>Current Month:</t>
  </si>
  <si>
    <t>Journal Entry Query Tool</t>
  </si>
  <si>
    <t>NOTE: Ctrl+Shift+J to pull data</t>
  </si>
  <si>
    <t>v.4.6</t>
  </si>
  <si>
    <t>Date Range:</t>
  </si>
  <si>
    <t>Other Criteria</t>
  </si>
  <si>
    <t>From:</t>
  </si>
  <si>
    <t>Districts:</t>
  </si>
  <si>
    <t>Vendor Code:</t>
  </si>
  <si>
    <t>To:</t>
  </si>
  <si>
    <t>Accts:</t>
  </si>
  <si>
    <t>Amount From:</t>
  </si>
  <si>
    <t>Amount To:</t>
  </si>
  <si>
    <t>Posting:</t>
  </si>
  <si>
    <t>All</t>
  </si>
  <si>
    <t>Total of Entries:</t>
  </si>
  <si>
    <t>*pstd: P = Posted, U = Unposted, S = Staged, C:0 = I/C Unposted, -1 = Hanging out there.</t>
  </si>
  <si>
    <t>Num of Entries Shown:</t>
  </si>
  <si>
    <t>*records limit:</t>
  </si>
  <si>
    <t>Not included in print range</t>
  </si>
  <si>
    <t>Full Account</t>
  </si>
  <si>
    <t>Date</t>
  </si>
  <si>
    <t>Amount USD</t>
  </si>
  <si>
    <t>Amount CAD</t>
  </si>
  <si>
    <t>Nat Currency</t>
  </si>
  <si>
    <t>Journal Control Num</t>
  </si>
  <si>
    <t>Psted*</t>
  </si>
  <si>
    <t>Journal Description</t>
  </si>
  <si>
    <t>R/Type</t>
  </si>
  <si>
    <t>Vendor Code</t>
  </si>
  <si>
    <t>One Time Vendor</t>
  </si>
  <si>
    <t>Further Description</t>
  </si>
  <si>
    <t>Date Doc</t>
  </si>
  <si>
    <t>Doc Desc</t>
  </si>
  <si>
    <t>Doc Ctrl Num</t>
  </si>
  <si>
    <t>Po Ctrl Num</t>
  </si>
  <si>
    <t>Vendor Order Num</t>
  </si>
  <si>
    <t>Ticket Num</t>
  </si>
  <si>
    <t>Document 2</t>
  </si>
  <si>
    <t>Document 1</t>
  </si>
  <si>
    <t>Class Code</t>
  </si>
  <si>
    <t>Date Entered</t>
  </si>
  <si>
    <t>Date Posted</t>
  </si>
  <si>
    <t>Amt Net</t>
  </si>
  <si>
    <t>Date Due</t>
  </si>
  <si>
    <t>Database</t>
  </si>
  <si>
    <t>Reversing Flag</t>
  </si>
  <si>
    <t>Hold Flag</t>
  </si>
  <si>
    <t>Recurring Flag</t>
  </si>
  <si>
    <t>Repeating Flag</t>
  </si>
  <si>
    <t>Type Flag</t>
  </si>
  <si>
    <t>Posted Flag</t>
  </si>
  <si>
    <t>Seg1</t>
  </si>
  <si>
    <t>Seg2</t>
  </si>
  <si>
    <t>Seg3</t>
  </si>
  <si>
    <t>Seg4</t>
  </si>
  <si>
    <t>Staged_RefCode</t>
  </si>
  <si>
    <t>Staged Year Month</t>
  </si>
  <si>
    <t>Staged District</t>
  </si>
  <si>
    <t>VO Number</t>
  </si>
  <si>
    <t>P</t>
  </si>
  <si>
    <t>HeatherWe</t>
  </si>
  <si>
    <t>0/JE IC</t>
  </si>
  <si>
    <t>wci_wa</t>
  </si>
  <si>
    <t>41129-2180-000-03</t>
  </si>
  <si>
    <t>2182 Yardwaste Hauls from Xfer Station</t>
  </si>
  <si>
    <t>2182 Commingle Hauls from Xfer Station</t>
  </si>
  <si>
    <t>LTS-PCR Move, Reg activity</t>
  </si>
  <si>
    <t>LTS-PCR Move, Unreg LH</t>
  </si>
  <si>
    <t>End of List</t>
  </si>
  <si>
    <t>Row Labels</t>
  </si>
  <si>
    <t>Sum of Amount USD</t>
  </si>
  <si>
    <t>Recycl Cust 2</t>
  </si>
  <si>
    <t>Drive Cam &amp; Routing SW Fees</t>
  </si>
  <si>
    <t>Costs Awaiting Capitalization</t>
  </si>
  <si>
    <t>P-Card Rebate Revenue</t>
  </si>
  <si>
    <t>AlexandraP</t>
  </si>
  <si>
    <t>Cost of Materials - IC Shredding</t>
  </si>
  <si>
    <t>Equipment/Truck Rodeo</t>
  </si>
  <si>
    <t>Hauling Revenue - Roll Off Recycling</t>
  </si>
  <si>
    <t>Hauling Revenue - Commercial FEL Adjustm</t>
  </si>
  <si>
    <t>Days - Weekdays</t>
  </si>
  <si>
    <t>Hauling Revenue - Roll Off Special Waste</t>
  </si>
  <si>
    <t>HelenaK</t>
  </si>
  <si>
    <t>RevJE6-Intercompany revenue</t>
  </si>
  <si>
    <t>41121,41129</t>
  </si>
  <si>
    <t>Public Companies</t>
  </si>
  <si>
    <t>Public Co</t>
  </si>
  <si>
    <t>CALCULATION TABLES</t>
  </si>
  <si>
    <t>(d) + (e)</t>
  </si>
  <si>
    <t>Regession</t>
  </si>
  <si>
    <t>Adjusted</t>
  </si>
  <si>
    <t>Hauler</t>
  </si>
  <si>
    <t>Revenue Req</t>
  </si>
  <si>
    <t>INPUTS - Test Year</t>
  </si>
  <si>
    <t>(e)</t>
  </si>
  <si>
    <t>(f)</t>
  </si>
  <si>
    <t>Before Tax</t>
  </si>
  <si>
    <t>After Tax</t>
  </si>
  <si>
    <t>Flotation Costs</t>
  </si>
  <si>
    <t>Weighted Cost</t>
  </si>
  <si>
    <t>Before RevS</t>
  </si>
  <si>
    <t xml:space="preserve">RevS </t>
  </si>
  <si>
    <t>Operating Revenue</t>
  </si>
  <si>
    <t>Line</t>
  </si>
  <si>
    <t>Historical</t>
  </si>
  <si>
    <t xml:space="preserve">Add: Revenue </t>
  </si>
  <si>
    <t>Profit Ratio</t>
  </si>
  <si>
    <t>BTROI</t>
  </si>
  <si>
    <t>WCDebt</t>
  </si>
  <si>
    <t>BTROE</t>
  </si>
  <si>
    <t>ROE</t>
  </si>
  <si>
    <t>Basis Points</t>
  </si>
  <si>
    <t>Equity</t>
  </si>
  <si>
    <t>Equity BFT</t>
  </si>
  <si>
    <t>Debt</t>
  </si>
  <si>
    <t>BTROR</t>
  </si>
  <si>
    <t>Operating Expenses</t>
  </si>
  <si>
    <t>No.</t>
  </si>
  <si>
    <t>Change</t>
  </si>
  <si>
    <t>Sensitive Taxes</t>
  </si>
  <si>
    <t>Requirement</t>
  </si>
  <si>
    <t>Investment</t>
  </si>
  <si>
    <t>Capital Structure-Debt %</t>
  </si>
  <si>
    <t>Capital Structure-Debt Rate</t>
  </si>
  <si>
    <t>Operating Income</t>
  </si>
  <si>
    <t>2nd Iteration</t>
  </si>
  <si>
    <t>B&amp;O Tax Rate</t>
  </si>
  <si>
    <t>Income Tax Expense</t>
  </si>
  <si>
    <t>City Tax</t>
  </si>
  <si>
    <t>3rd Iteration</t>
  </si>
  <si>
    <t xml:space="preserve">Operating Ratio </t>
  </si>
  <si>
    <t>Revenue Requirement</t>
  </si>
  <si>
    <t>Basis Points - Flotation</t>
  </si>
  <si>
    <t>Historical Revenue</t>
  </si>
  <si>
    <t>Rate Increase</t>
  </si>
  <si>
    <t>4th Iteration</t>
  </si>
  <si>
    <t>● Allows Income Tax Rate Changes,</t>
  </si>
  <si>
    <t>Captial Structure Financing Investment</t>
  </si>
  <si>
    <t>Financing Cost</t>
  </si>
  <si>
    <t>● Minimizes impact of changes in test-year revenue from</t>
  </si>
  <si>
    <t>Type</t>
  </si>
  <si>
    <t>Percent</t>
  </si>
  <si>
    <t>Amount</t>
  </si>
  <si>
    <t>Cost of Capital</t>
  </si>
  <si>
    <t>Weighted</t>
  </si>
  <si>
    <t>5th Iteration</t>
  </si>
  <si>
    <t>● Corrects interest rate transposition in LG.</t>
  </si>
  <si>
    <t>Before</t>
  </si>
  <si>
    <t>After</t>
  </si>
  <si>
    <t>6th Iteration</t>
  </si>
  <si>
    <t>Operating Statistics</t>
  </si>
  <si>
    <t>Income Tax</t>
  </si>
  <si>
    <t>Return on Investment</t>
  </si>
  <si>
    <t>Return on Equity</t>
  </si>
  <si>
    <t>7th Iteration</t>
  </si>
  <si>
    <t>Profit Margin</t>
  </si>
  <si>
    <t>Final turnover</t>
  </si>
  <si>
    <t>Revenue Sensitive Taxes Charges</t>
  </si>
  <si>
    <t>Curve</t>
  </si>
  <si>
    <t>Lookup Table</t>
  </si>
  <si>
    <t>RevS Taxes</t>
  </si>
  <si>
    <t xml:space="preserve"> B &amp; O Tax</t>
  </si>
  <si>
    <t xml:space="preserve"> WUTC Fee</t>
  </si>
  <si>
    <t xml:space="preserve"> City Tax</t>
  </si>
  <si>
    <t>Percent Chg</t>
  </si>
  <si>
    <t xml:space="preserve"> Bad Debts</t>
  </si>
  <si>
    <t>Revenue Sensitive</t>
  </si>
  <si>
    <t>Curve turnover</t>
  </si>
  <si>
    <t>@EXP(5.72260-(.68367*@LN(T)))</t>
  </si>
  <si>
    <t>Curve No. Used</t>
  </si>
  <si>
    <t>@EXP(5.70827-(.68367*@LN(T)))</t>
  </si>
  <si>
    <t>Conversion Factor</t>
  </si>
  <si>
    <t>@EXP(5.69850-(.68367*@LN(T)))</t>
  </si>
  <si>
    <t>@EXP(5.69220-(.68367*@LN(T)))</t>
  </si>
  <si>
    <t>Base Utility from LG Sample Study</t>
  </si>
  <si>
    <t>Regression Results</t>
  </si>
  <si>
    <t>Y intercept (1)</t>
  </si>
  <si>
    <t>Y intercept (3)</t>
  </si>
  <si>
    <t>Y intercept (2)</t>
  </si>
  <si>
    <t>Y intercept (4)</t>
  </si>
  <si>
    <t>Pfd.</t>
  </si>
  <si>
    <t>Slope</t>
  </si>
  <si>
    <t>Pre-tax</t>
  </si>
  <si>
    <t>Container Delivery</t>
  </si>
  <si>
    <t>imm</t>
  </si>
  <si>
    <t>Regulated Revenue</t>
  </si>
  <si>
    <t>Qualifying Operating Lease Expense</t>
  </si>
  <si>
    <t>Visual Lease Clearing Account</t>
  </si>
  <si>
    <t>Allocated In - District</t>
  </si>
  <si>
    <t>Meals and Entertainment</t>
  </si>
  <si>
    <t>Proceeds - Sorted Resi Papers and News</t>
  </si>
  <si>
    <t>Proceeds - Dirty Aluminum</t>
  </si>
  <si>
    <t>Proceeds - Mixed Rigid Plastics</t>
  </si>
  <si>
    <t>Hauling Revenue - Roll Off Disposal Chg</t>
  </si>
  <si>
    <t>Hauling Revenue - Roll Off Extras</t>
  </si>
  <si>
    <t>Allocated In - Out District</t>
  </si>
  <si>
    <t>JRNLWA00384911</t>
  </si>
  <si>
    <t>JRNL00918044</t>
  </si>
  <si>
    <t>JRNLWA00386585</t>
  </si>
  <si>
    <t>JRNL00922222</t>
  </si>
  <si>
    <t>JRNLWA00387965</t>
  </si>
  <si>
    <t>JRNL00925801</t>
  </si>
  <si>
    <t>JRNLWA00389483</t>
  </si>
  <si>
    <t>JRNL00928939</t>
  </si>
  <si>
    <t>JRNLWA00390869</t>
  </si>
  <si>
    <t>JRNL00931865</t>
  </si>
  <si>
    <t>JRNLWA00392477</t>
  </si>
  <si>
    <t>JRNL00935483</t>
  </si>
  <si>
    <t>JRNLWA00393806</t>
  </si>
  <si>
    <t>HeatherH</t>
  </si>
  <si>
    <t>JRNL00938616</t>
  </si>
  <si>
    <t>JRNLWA00395222</t>
  </si>
  <si>
    <t>JRNL00941865</t>
  </si>
  <si>
    <t>41121-2180-000-00</t>
  </si>
  <si>
    <t>JRNLWA00395823</t>
  </si>
  <si>
    <t>2019-07     LRI PO Log Accrual</t>
  </si>
  <si>
    <t>WEEK 7/22/19-7/26/19</t>
  </si>
  <si>
    <t>JRNL00943143</t>
  </si>
  <si>
    <t>JRNLWA00396073</t>
  </si>
  <si>
    <t>From Voucher Posting.</t>
  </si>
  <si>
    <t>JudyA</t>
  </si>
  <si>
    <t>VUS000012993</t>
  </si>
  <si>
    <t>HERMANN BROTHERS</t>
  </si>
  <si>
    <t>201907261E</t>
  </si>
  <si>
    <t>PO-2190-19-02861</t>
  </si>
  <si>
    <t>VO05115714</t>
  </si>
  <si>
    <t>JRNL00943715</t>
  </si>
  <si>
    <t>JRNLWA00395879</t>
  </si>
  <si>
    <t>LaurenTi</t>
  </si>
  <si>
    <t>JRNL00943271</t>
  </si>
  <si>
    <t>JRNLWA00396533</t>
  </si>
  <si>
    <t>JRNL00944846</t>
  </si>
  <si>
    <t xml:space="preserve">City Contract/Non-Reg </t>
  </si>
  <si>
    <t>Total Revenue per Billing</t>
  </si>
  <si>
    <t>Per IS</t>
  </si>
  <si>
    <t>Total Reg</t>
  </si>
  <si>
    <t>Multi-Family Recycling</t>
  </si>
  <si>
    <t>JBLM Housing</t>
  </si>
  <si>
    <t>Multi Family Recycling</t>
  </si>
  <si>
    <t>Adjust Out</t>
  </si>
  <si>
    <t>Adjusted Region</t>
  </si>
  <si>
    <t>Allocation</t>
  </si>
  <si>
    <t>Unallowable</t>
  </si>
  <si>
    <t>OH Allocation</t>
  </si>
  <si>
    <t>Region OH</t>
  </si>
  <si>
    <t>Per GL</t>
  </si>
  <si>
    <t>County/ Ft Lewis</t>
  </si>
  <si>
    <t>JBLM Contract</t>
  </si>
  <si>
    <t>Reg/ Ft Lewis</t>
  </si>
  <si>
    <t>Act_Unposted</t>
  </si>
  <si>
    <t>Staged</t>
  </si>
  <si>
    <t>Posted</t>
  </si>
  <si>
    <t>Unposted</t>
  </si>
  <si>
    <t>BS Close Report</t>
  </si>
  <si>
    <t>SubSystem:</t>
  </si>
  <si>
    <t>(drill)</t>
  </si>
  <si>
    <t>From Epicor - Current Mth Actual BS</t>
  </si>
  <si>
    <t>Three Month BS Trend (from Epicor)</t>
  </si>
  <si>
    <t>Current Mth</t>
  </si>
  <si>
    <t>Change from</t>
  </si>
  <si>
    <t>Prior Period</t>
  </si>
  <si>
    <t>BS Cash</t>
  </si>
  <si>
    <t>Local Petty Cash Account</t>
  </si>
  <si>
    <t>Local Depository</t>
  </si>
  <si>
    <t>Proceeds from Sale of Assets</t>
  </si>
  <si>
    <t>Contra Proceeds from Sale of Assets</t>
  </si>
  <si>
    <t>Pay Lockbox Clearing</t>
  </si>
  <si>
    <t>Pay</t>
  </si>
  <si>
    <t>Pay IC - KUBRA Payments</t>
  </si>
  <si>
    <t>Pay ICT Inter District Receipts</t>
  </si>
  <si>
    <t>EFT Pymt Clearing</t>
  </si>
  <si>
    <t>Credit Card Pymt Clearing</t>
  </si>
  <si>
    <t>Check &amp; Cash Pymt Clearing</t>
  </si>
  <si>
    <t>Cash</t>
  </si>
  <si>
    <t>BS AR</t>
  </si>
  <si>
    <t>Trade A/R Desert Micro</t>
  </si>
  <si>
    <t>Trade A/R Desert Micro Receipts</t>
  </si>
  <si>
    <t>Unbilled Trade A/R</t>
  </si>
  <si>
    <t>Other Trade A/R</t>
  </si>
  <si>
    <t>A/R Refund Clearing Acct</t>
  </si>
  <si>
    <t>Employee A/R</t>
  </si>
  <si>
    <t>Other A/R</t>
  </si>
  <si>
    <t>Provision for Bad Debts</t>
  </si>
  <si>
    <t>Bad Debt Write Offs</t>
  </si>
  <si>
    <t>Bad Debt Collected</t>
  </si>
  <si>
    <t>A/R</t>
  </si>
  <si>
    <t>BS Inventory</t>
  </si>
  <si>
    <t>Inventory Parts</t>
  </si>
  <si>
    <t>Inventory Diesel</t>
  </si>
  <si>
    <t>Inventory Oil and Lube</t>
  </si>
  <si>
    <t>Inventory Container</t>
  </si>
  <si>
    <t>Inventory Tires</t>
  </si>
  <si>
    <t>Inventory</t>
  </si>
  <si>
    <t>BS Prepaid</t>
  </si>
  <si>
    <t>Prepaid Licenses and Permits</t>
  </si>
  <si>
    <t>Prepaid Vehicle Use Tax</t>
  </si>
  <si>
    <t>Prepaid Property Tax</t>
  </si>
  <si>
    <t>Prepaid Other</t>
  </si>
  <si>
    <t>Prepaids</t>
  </si>
  <si>
    <t>BS Current Def Asset</t>
  </si>
  <si>
    <t>Curr Deferred</t>
  </si>
  <si>
    <t>Current Assets</t>
  </si>
  <si>
    <t>BS Fixed Asset</t>
  </si>
  <si>
    <t>Acquisition Land</t>
  </si>
  <si>
    <t>Acquisition Land Improvement</t>
  </si>
  <si>
    <t>Depre Expense Land Improv</t>
  </si>
  <si>
    <t>Cap Ex Heavy Equipment</t>
  </si>
  <si>
    <t>Acquisition Heavy Equipment</t>
  </si>
  <si>
    <t>Transfer/Reclass Heavy Equipment</t>
  </si>
  <si>
    <t>Sale/Disposition Heavy Equipment</t>
  </si>
  <si>
    <t>Depre Exp Heavy Equipment</t>
  </si>
  <si>
    <t>Cap Ex Trucks</t>
  </si>
  <si>
    <t>Acquisitions Trucks</t>
  </si>
  <si>
    <t>Transfer/Reclass Trucks</t>
  </si>
  <si>
    <t>Sale/Disposition Trucks</t>
  </si>
  <si>
    <t>Depre Exp Trucks</t>
  </si>
  <si>
    <t>Cap Ex Container</t>
  </si>
  <si>
    <t>Acquisition Container</t>
  </si>
  <si>
    <t>Transfer/Reclass Container</t>
  </si>
  <si>
    <t>Sale/Disposition Container</t>
  </si>
  <si>
    <t>Depre Exp Container</t>
  </si>
  <si>
    <t>Transfer/Reclass AD Container</t>
  </si>
  <si>
    <t>Sale/Disposition AD Container</t>
  </si>
  <si>
    <t>Cap Ex Shop Equipment</t>
  </si>
  <si>
    <t>Acquisition Shop Equipment</t>
  </si>
  <si>
    <t>Transfer/Reclass Shop Equipment</t>
  </si>
  <si>
    <t>Depre Exp Shop Equipment</t>
  </si>
  <si>
    <t>Transfer/Reclass AD Shop Equipment</t>
  </si>
  <si>
    <t>Cap Ex Building</t>
  </si>
  <si>
    <t>Acquisition Building</t>
  </si>
  <si>
    <t>Transfer/Reclass Building</t>
  </si>
  <si>
    <t>Depre Exp Building</t>
  </si>
  <si>
    <t>Transfer/Reclass Leasehold Improvement</t>
  </si>
  <si>
    <t>Depre Exp Leasehold Improvement</t>
  </si>
  <si>
    <t>Transfer/Reclass AD Leasehold Improv</t>
  </si>
  <si>
    <t>Cap Ex Office Equipment</t>
  </si>
  <si>
    <t>Depre Exp Office Equipment</t>
  </si>
  <si>
    <t>Cap Ex Computer Equipment</t>
  </si>
  <si>
    <t>Transfer/Reclass Computer Equipment</t>
  </si>
  <si>
    <t>Depre Exp Computer Equipment</t>
  </si>
  <si>
    <t>Transfer/Reclass AD Computer Equipment</t>
  </si>
  <si>
    <t>Cap Ex Accruals</t>
  </si>
  <si>
    <t>Cap Ex Construction in Process</t>
  </si>
  <si>
    <t>Fixed Assets</t>
  </si>
  <si>
    <t>BS Notes</t>
  </si>
  <si>
    <t>Notes Rec.</t>
  </si>
  <si>
    <t>BS Lease Assets</t>
  </si>
  <si>
    <t>Operating Lease ROU</t>
  </si>
  <si>
    <t>Operating Lease Depreciation</t>
  </si>
  <si>
    <t>Lease Assets</t>
  </si>
  <si>
    <t>BS Goodwill</t>
  </si>
  <si>
    <t>Acquisition Goodwill</t>
  </si>
  <si>
    <t>Transfer/Reclass Goodwill</t>
  </si>
  <si>
    <t>Goodwill</t>
  </si>
  <si>
    <t>BS Intangible</t>
  </si>
  <si>
    <t>Acquisition Long Term Contracts</t>
  </si>
  <si>
    <t>Transfer/Reclass Long Term Contracts</t>
  </si>
  <si>
    <t>Amort Expense Long Term Contracts</t>
  </si>
  <si>
    <t>Transfer/Reclass Amort Long Term Contrac</t>
  </si>
  <si>
    <t>Acquisition Indefinite Lived Intangibles</t>
  </si>
  <si>
    <t>Intangibles</t>
  </si>
  <si>
    <t>BS Deposits</t>
  </si>
  <si>
    <t>Deposits</t>
  </si>
  <si>
    <t>BS Restricted Cash</t>
  </si>
  <si>
    <t>Restricted Cash</t>
  </si>
  <si>
    <t>BS Restricted Investments</t>
  </si>
  <si>
    <t>Restricted Investments</t>
  </si>
  <si>
    <t>BS Other Assets</t>
  </si>
  <si>
    <t>Other Assets</t>
  </si>
  <si>
    <t>BS LOC Loan Fees</t>
  </si>
  <si>
    <t>LOC Loan Fees</t>
  </si>
  <si>
    <t>BS Intercompany</t>
  </si>
  <si>
    <t>Intercompany Corporate</t>
  </si>
  <si>
    <t>Investment Corporate</t>
  </si>
  <si>
    <t>Intercompany</t>
  </si>
  <si>
    <t>Total Assets</t>
  </si>
  <si>
    <t>BS ST Contengent Considerations</t>
  </si>
  <si>
    <t>ST Contingent</t>
  </si>
  <si>
    <t>BS Current LTD</t>
  </si>
  <si>
    <t>Curr Portion LTD</t>
  </si>
  <si>
    <t>BS AP</t>
  </si>
  <si>
    <t>AP - Accrued</t>
  </si>
  <si>
    <t>AP - Accrued CAPEX</t>
  </si>
  <si>
    <t>AP - Accrued Procurement Card</t>
  </si>
  <si>
    <t>AP - Sales Tax</t>
  </si>
  <si>
    <t>AP - Other</t>
  </si>
  <si>
    <t>Pass Thru Taxes</t>
  </si>
  <si>
    <t>AP - Franchise Tax Payable</t>
  </si>
  <si>
    <t>WUTC Tax Payable</t>
  </si>
  <si>
    <t>AP - Other Taxes</t>
  </si>
  <si>
    <t>Customer Deposits</t>
  </si>
  <si>
    <t>A/P</t>
  </si>
  <si>
    <t>BS Unearned Revenue</t>
  </si>
  <si>
    <t>Unearned Revenue</t>
  </si>
  <si>
    <t>Unearned Rev</t>
  </si>
  <si>
    <t>BS Accrued Liabilities</t>
  </si>
  <si>
    <t>Accrued Liabilities Wages Commissions</t>
  </si>
  <si>
    <t>Vacation Accrual</t>
  </si>
  <si>
    <t>Accrued Liabilities Other</t>
  </si>
  <si>
    <t>Accrued Liabilities Safety Bonus</t>
  </si>
  <si>
    <t>Accrued Liabilities Ins. - Workers Comp</t>
  </si>
  <si>
    <t>Accrued Liabilities - Property Tax</t>
  </si>
  <si>
    <t>Accrued Liabilities - UP Tracker</t>
  </si>
  <si>
    <t>ST Operating Lease Liability</t>
  </si>
  <si>
    <t>ST Operating Lease Payment</t>
  </si>
  <si>
    <t>Accretion on ST Operating Lease</t>
  </si>
  <si>
    <t>Operating Lease ST LT Reclass</t>
  </si>
  <si>
    <t>Accrued Liab</t>
  </si>
  <si>
    <t>Current Liab</t>
  </si>
  <si>
    <t>BS LTD</t>
  </si>
  <si>
    <t>LTD</t>
  </si>
  <si>
    <t>BS Overdraft</t>
  </si>
  <si>
    <t>Overdraft</t>
  </si>
  <si>
    <t>BS Other LTD</t>
  </si>
  <si>
    <t>LT Operating Lease Liability</t>
  </si>
  <si>
    <t>Accretion on LT Operating Lease</t>
  </si>
  <si>
    <t>LT Operating Lease ST LT Reclass</t>
  </si>
  <si>
    <t>Other LTD</t>
  </si>
  <si>
    <t>BS LT Contengent Considerations</t>
  </si>
  <si>
    <t>LT Contingent</t>
  </si>
  <si>
    <t>BS Deferred Taxes</t>
  </si>
  <si>
    <t>Deferred Taxes</t>
  </si>
  <si>
    <t>BS NonControlling</t>
  </si>
  <si>
    <t>Minority Int</t>
  </si>
  <si>
    <t>BS Loan Fees</t>
  </si>
  <si>
    <t>Loan Fees</t>
  </si>
  <si>
    <t>Total Liabilities</t>
  </si>
  <si>
    <t>BS Common Stock</t>
  </si>
  <si>
    <t>Common Stock</t>
  </si>
  <si>
    <t>BS Other Equity</t>
  </si>
  <si>
    <t>Other Equity</t>
  </si>
  <si>
    <t>BS Deferred Comp</t>
  </si>
  <si>
    <t>Deferred Comp</t>
  </si>
  <si>
    <t>BS Unrealized Swap Value</t>
  </si>
  <si>
    <t>Unrealized Swap Val</t>
  </si>
  <si>
    <t>BS APIC</t>
  </si>
  <si>
    <t>APIC</t>
  </si>
  <si>
    <t>BS Treasury</t>
  </si>
  <si>
    <t>Treasury</t>
  </si>
  <si>
    <t>BS CTA</t>
  </si>
  <si>
    <t>Cumulative translation adjustment</t>
  </si>
  <si>
    <t>BS RE</t>
  </si>
  <si>
    <t>Retained Earnings</t>
  </si>
  <si>
    <t>Total Liab &amp; Equity</t>
  </si>
  <si>
    <t>BS Balance</t>
  </si>
  <si>
    <t>Local Depository Account</t>
  </si>
  <si>
    <t>AP - Union Dues</t>
  </si>
  <si>
    <r>
      <t xml:space="preserve">LURITO - GALLAGHER FORMULA  MODEL 2018  </t>
    </r>
    <r>
      <rPr>
        <sz val="8"/>
        <color indexed="9"/>
        <rFont val="Calibri"/>
        <family val="2"/>
      </rPr>
      <t>V5.2c</t>
    </r>
  </si>
  <si>
    <t>Revenue Senstive Taxes (RevS)</t>
  </si>
  <si>
    <t>(b) + (c)</t>
  </si>
  <si>
    <t xml:space="preserve">Revenue </t>
  </si>
  <si>
    <t xml:space="preserve"> Increase Before</t>
  </si>
  <si>
    <t>Increase After</t>
  </si>
  <si>
    <t xml:space="preserve">Total </t>
  </si>
  <si>
    <t>Proforma</t>
  </si>
  <si>
    <t>Federal Income Tax Rate</t>
  </si>
  <si>
    <t>Yes</t>
  </si>
  <si>
    <t>Check when input is complete</t>
  </si>
  <si>
    <t>No</t>
  </si>
  <si>
    <t>For Intial input: Uncheck Checkbox Until Completed</t>
  </si>
  <si>
    <t>Revenue Increase before taxes</t>
  </si>
  <si>
    <t>Rev Sensitive Taxes</t>
  </si>
  <si>
    <t>Percent Increase</t>
  </si>
  <si>
    <t>2018 Version Update Changes</t>
  </si>
  <si>
    <t xml:space="preserve">   resulting revenue requirment,</t>
  </si>
  <si>
    <t>Containers</t>
  </si>
  <si>
    <t>Trucks</t>
  </si>
  <si>
    <t>Cust Count</t>
  </si>
  <si>
    <t>Total Cust Count</t>
  </si>
  <si>
    <t>RO MSW</t>
  </si>
  <si>
    <t>MSW Carts</t>
  </si>
  <si>
    <t>Resi/MF Recycling</t>
  </si>
  <si>
    <t>Variance is Yard &amp; Wood Waste</t>
  </si>
  <si>
    <t>County</t>
  </si>
  <si>
    <t>Rt Hrs (Excluding JBLM Contract)</t>
  </si>
  <si>
    <t>Cust Cnt (Excluding JBLM)</t>
  </si>
  <si>
    <t>Total LTS Tonange</t>
  </si>
  <si>
    <t>LTS Garbage Drivers</t>
  </si>
  <si>
    <t>LTS Transfer Workers</t>
  </si>
  <si>
    <t>December 1, 2018 -November30, 2019</t>
  </si>
  <si>
    <t>2019-11</t>
  </si>
  <si>
    <t>Insurance claim repairs</t>
  </si>
  <si>
    <t>December 2018 - November 2019</t>
  </si>
  <si>
    <t>2018-12</t>
  </si>
  <si>
    <t>JRNLWA00398175</t>
  </si>
  <si>
    <t>JRNL00948489</t>
  </si>
  <si>
    <t>JRNLWA00399590</t>
  </si>
  <si>
    <t>Misc01-Reclass JH Rev-Exp</t>
  </si>
  <si>
    <t>Sept JH brokerage</t>
  </si>
  <si>
    <t>JRNL00951700</t>
  </si>
  <si>
    <t>JRNLWA00399591</t>
  </si>
  <si>
    <t>JRNL00951701</t>
  </si>
  <si>
    <t>JRNLWA00401059</t>
  </si>
  <si>
    <t>JRNL00954869</t>
  </si>
  <si>
    <t>Cities/Non-Reg</t>
  </si>
  <si>
    <t>57125</t>
  </si>
  <si>
    <t>57125-2180-000-00</t>
  </si>
  <si>
    <t>JRNLWA00383970</t>
  </si>
  <si>
    <t>EXP18 - 2018-11 Pcard Accrual</t>
  </si>
  <si>
    <t>FASTSIGNS~TRAVIS ROBERTSON</t>
  </si>
  <si>
    <t>JRNL00915238</t>
  </si>
  <si>
    <t>JRNL00915345</t>
  </si>
  <si>
    <t>JRNLWA00384600</t>
  </si>
  <si>
    <t>Western PCard Activity - Dec</t>
  </si>
  <si>
    <t>JRNL00917331</t>
  </si>
  <si>
    <t>STANDARD PARTS #338~TRAVIS ROBERTSON</t>
  </si>
  <si>
    <t>ARODAL SUPPLIES~RYAN GUILD</t>
  </si>
  <si>
    <t>ULINE   SHIP SUPPLIES~TRAVIS ROBERTSON</t>
  </si>
  <si>
    <t>GRAINGER~TRAVIS ROBERTSON</t>
  </si>
  <si>
    <t>JRNLWA00385987</t>
  </si>
  <si>
    <t>VUS000011127</t>
  </si>
  <si>
    <t>NORTH STAR FORMS</t>
  </si>
  <si>
    <t>WHEEL RETORQUE NOTIFICATIONS</t>
  </si>
  <si>
    <t>PO-2180-19-00123</t>
  </si>
  <si>
    <t>VO04903396</t>
  </si>
  <si>
    <t>JRNL00920730</t>
  </si>
  <si>
    <t>JRNLWA00386147</t>
  </si>
  <si>
    <t>VCR/TRAILER PRE/POST TRIP</t>
  </si>
  <si>
    <t>PO-2180-19-00163</t>
  </si>
  <si>
    <t>VO04910415</t>
  </si>
  <si>
    <t>JRNL00921332</t>
  </si>
  <si>
    <t>JRNLWA00386265</t>
  </si>
  <si>
    <t>Western PCard Activity - Jan</t>
  </si>
  <si>
    <t>JRNL00921575</t>
  </si>
  <si>
    <t>DOYLE PRINTING CO~RYAN GUILD</t>
  </si>
  <si>
    <t>TAYLOR SECURITY  LOCK~TRAVIS ROBERTSON</t>
  </si>
  <si>
    <t>JRNLWA00387734</t>
  </si>
  <si>
    <t>Western PCard Activity - Feb</t>
  </si>
  <si>
    <t>JRNL00925269</t>
  </si>
  <si>
    <t>LAKEWOOD HARDWARE AND PAI~TRAVIS ROBERTS</t>
  </si>
  <si>
    <t>IN  BIOBAG USA~RYAN GUILD</t>
  </si>
  <si>
    <t>JRNLWA00388420</t>
  </si>
  <si>
    <t>2019-02 NLeMay PO Log Accrual</t>
  </si>
  <si>
    <t>PCARD: PO 00028: ARODOL: PCard: PCR OFFI</t>
  </si>
  <si>
    <t>JRNL00926674</t>
  </si>
  <si>
    <t>JRNLWA00388554</t>
  </si>
  <si>
    <t>JRNL00926876</t>
  </si>
  <si>
    <t>JRNLWA00389218</t>
  </si>
  <si>
    <t>Western Pcard Activity - March</t>
  </si>
  <si>
    <t>TACOMA SCREW PRODUCTS  TA~TRAVIS ROBERTS</t>
  </si>
  <si>
    <t>JRNL00928385</t>
  </si>
  <si>
    <t>JRNLWA00390650</t>
  </si>
  <si>
    <t>Western Pcard Activity - April</t>
  </si>
  <si>
    <t>TAYLOR SECURITY &amp; LOCK~TRAVIS ROBERTSON</t>
  </si>
  <si>
    <t>JRNL00931518</t>
  </si>
  <si>
    <t>JRNLWA00391453</t>
  </si>
  <si>
    <t>2019-04 NLeMay PO Log Accrual</t>
  </si>
  <si>
    <t>VUS000011127: PO 01314: NORTH STAR FORMS</t>
  </si>
  <si>
    <t>JRNL00933101</t>
  </si>
  <si>
    <t>JRNLWA00391705</t>
  </si>
  <si>
    <t>MariaJ</t>
  </si>
  <si>
    <t>PO-2180-19-01314</t>
  </si>
  <si>
    <t>VO05009530</t>
  </si>
  <si>
    <t>JRNL00933731</t>
  </si>
  <si>
    <t>JRNLWA00391521</t>
  </si>
  <si>
    <t>JRNL00933187</t>
  </si>
  <si>
    <t>JRNLWA00392148</t>
  </si>
  <si>
    <t>Western Pcard Activity - May</t>
  </si>
  <si>
    <t>FASTSIGNS~RYAN GUILD</t>
  </si>
  <si>
    <t>JRNL00934931</t>
  </si>
  <si>
    <t>SQ  MILO'S LOCKSMIT~TRAVIS ROBERTSON</t>
  </si>
  <si>
    <t>JRNLWA00392546</t>
  </si>
  <si>
    <t>WD Exp Report 5/2019</t>
  </si>
  <si>
    <t>May 19 WD Expense Report-Jeremiah Day (1</t>
  </si>
  <si>
    <t>JRNL00935665</t>
  </si>
  <si>
    <t>JRNLWA00393011</t>
  </si>
  <si>
    <t>2019-05 Exp Report Accrual</t>
  </si>
  <si>
    <t>Jeremiah Day (114427)</t>
  </si>
  <si>
    <t>JRNL00936733</t>
  </si>
  <si>
    <t>JRNLWA00393080</t>
  </si>
  <si>
    <t>JRNL00936809</t>
  </si>
  <si>
    <t>JRNLWA00393940</t>
  </si>
  <si>
    <t>WD Exp Report 6/2019</t>
  </si>
  <si>
    <t>June 19 WD Expense Report-Jeremiah Day (</t>
  </si>
  <si>
    <t>JRNL00938824</t>
  </si>
  <si>
    <t>JRNLWA00394842</t>
  </si>
  <si>
    <t>JeffS</t>
  </si>
  <si>
    <t>VCR BOOKS</t>
  </si>
  <si>
    <t>PO-2180-19-02111</t>
  </si>
  <si>
    <t>VO05100204</t>
  </si>
  <si>
    <t>JRNL00941079</t>
  </si>
  <si>
    <t>JRNLWA00395022</t>
  </si>
  <si>
    <t>Western Pcard Activity - July</t>
  </si>
  <si>
    <t>JRNL00941410</t>
  </si>
  <si>
    <t>JRNLWA00397851</t>
  </si>
  <si>
    <t>Western Pcard Activity - Septe</t>
  </si>
  <si>
    <t>JRNL00947878</t>
  </si>
  <si>
    <t>JRNLWA00398578</t>
  </si>
  <si>
    <t>2019-09 NLeMay PO Log Accrual</t>
  </si>
  <si>
    <t>PCARD: PO 02937: FASTSIGNS: PCard: ENGRA</t>
  </si>
  <si>
    <t>JRNL00949306</t>
  </si>
  <si>
    <t>JRNLWA00399021</t>
  </si>
  <si>
    <t>PO-2180-19-03074</t>
  </si>
  <si>
    <t>VO05183503</t>
  </si>
  <si>
    <t>JRNL00950366</t>
  </si>
  <si>
    <t>JRNLWA00398661</t>
  </si>
  <si>
    <t>JRNL00949448</t>
  </si>
  <si>
    <t>JRNLWA00399466</t>
  </si>
  <si>
    <t>Western Pcard Activity - Octob</t>
  </si>
  <si>
    <t>FASTSIGNS~TERA GLENN</t>
  </si>
  <si>
    <t>JRNL00951484</t>
  </si>
  <si>
    <t>ATLANTIC POLY, INC~TRAVIS ROBERTSON</t>
  </si>
  <si>
    <t>JRNLWA00400005</t>
  </si>
  <si>
    <t>N Lemay Pcard Accrual</t>
  </si>
  <si>
    <t>BROOKDALE LUMBER INC~TRAVIS ROBERTSON</t>
  </si>
  <si>
    <t>JRNL00952550</t>
  </si>
  <si>
    <t>JRNLWA00400051</t>
  </si>
  <si>
    <t>JRNL00952707</t>
  </si>
  <si>
    <t>JRNLWA00400846</t>
  </si>
  <si>
    <t>Western Pcard Activity - Novem</t>
  </si>
  <si>
    <t>TUIT ENTERPRISES CO~TRAVIS ROBERTSON</t>
  </si>
  <si>
    <t>JRNL00954577</t>
  </si>
  <si>
    <t>JRNLWA00401492</t>
  </si>
  <si>
    <t>GRAINGER~CHRISTOPHER TWIGGS</t>
  </si>
  <si>
    <t>JRNL00955765</t>
  </si>
  <si>
    <t>Foodwaste liners for JBLM contract</t>
  </si>
  <si>
    <t>2018-11</t>
  </si>
  <si>
    <t>Can be pulled out</t>
  </si>
  <si>
    <t>City Specific</t>
  </si>
  <si>
    <t>70195</t>
  </si>
  <si>
    <t>70195-2180-000-00</t>
  </si>
  <si>
    <t>JRNLWA00387839</t>
  </si>
  <si>
    <t>VUS000014809</t>
  </si>
  <si>
    <t>ASSOCIATION OF WASHINGTON BUSINESS</t>
  </si>
  <si>
    <t>192113 - AWB Association of WA Business</t>
  </si>
  <si>
    <t>PO-2111-19-00858</t>
  </si>
  <si>
    <t>VO04941245</t>
  </si>
  <si>
    <t>JRNL00925493</t>
  </si>
  <si>
    <t>JRNLWA00384266</t>
  </si>
  <si>
    <t>VUS000014841</t>
  </si>
  <si>
    <t>CITY OF TACOMA FINANCE DEPARTMENT</t>
  </si>
  <si>
    <t>2019 BUSINESS LICENSE #500004057</t>
  </si>
  <si>
    <t>PO-2180-18-04319</t>
  </si>
  <si>
    <t>VO04866778</t>
  </si>
  <si>
    <t>JRNL00916370</t>
  </si>
  <si>
    <t>JRNLWA00394026</t>
  </si>
  <si>
    <t>COSTCO WHSE #0660~RYAN GUILD</t>
  </si>
  <si>
    <t>JRNL00939115</t>
  </si>
  <si>
    <t>JRNLWA00394040</t>
  </si>
  <si>
    <t>JRNL00939138</t>
  </si>
  <si>
    <t>LAKEWOOD CHAMBER OF COMM~TERA GLENN</t>
  </si>
  <si>
    <t>MAILCHIMP    MONTHLY~RYAN GUILD</t>
  </si>
  <si>
    <t>JRNLWA00389684</t>
  </si>
  <si>
    <t>WD Exp Report 3/2019</t>
  </si>
  <si>
    <t>Mar.19 WD Expense Report-Brittany Mani (</t>
  </si>
  <si>
    <t>JRNL00929292</t>
  </si>
  <si>
    <t>JRNLWA00396439</t>
  </si>
  <si>
    <t>Western Pcard Activity - Aug</t>
  </si>
  <si>
    <t>NEWS TRIBUNE DIGITAL SUB~LYNSIE BRESSLER</t>
  </si>
  <si>
    <t>JRNL00944755</t>
  </si>
  <si>
    <t>JRNLWA00388148</t>
  </si>
  <si>
    <t>EXP18 - 2019-02 Pcard Accrual</t>
  </si>
  <si>
    <t>PARKLAND CLEANERS~RYAN GUILD</t>
  </si>
  <si>
    <t>JRNL00926094</t>
  </si>
  <si>
    <t>JRNLWA00388415</t>
  </si>
  <si>
    <t>REVERSE EXP18 - 2019-02 Pcard</t>
  </si>
  <si>
    <t>JRNL00926669</t>
  </si>
  <si>
    <t>JRNLWA00388416</t>
  </si>
  <si>
    <t>Corrected N Lemay Pcard Accrua</t>
  </si>
  <si>
    <t>JRNL00926670</t>
  </si>
  <si>
    <t>JRNLWA00388159</t>
  </si>
  <si>
    <t>JRNL00926126</t>
  </si>
  <si>
    <t>JRNLWA00388552</t>
  </si>
  <si>
    <t>JRNL00926874</t>
  </si>
  <si>
    <t>JRNLWA00388553</t>
  </si>
  <si>
    <t>JRNL00926875</t>
  </si>
  <si>
    <t>JRNLWA00387005</t>
  </si>
  <si>
    <t>2019-01 TacH PO Log Accr</t>
  </si>
  <si>
    <t>PO 00137: TACOMA COUNTRY &amp; GOLF CLUB: CH</t>
  </si>
  <si>
    <t>JRNL00923153</t>
  </si>
  <si>
    <t>JRNLWA00387098</t>
  </si>
  <si>
    <t>JRNL00923282</t>
  </si>
  <si>
    <t>JRNLWA00388437</t>
  </si>
  <si>
    <t>2019-02 TacH PO Log Accr</t>
  </si>
  <si>
    <t>PO 00858: ASSOCIATION OF WASHINGTON BUSI</t>
  </si>
  <si>
    <t>JRNL00926693</t>
  </si>
  <si>
    <t>JRNLWA00388559</t>
  </si>
  <si>
    <t>JRNL00926882</t>
  </si>
  <si>
    <t>JRNLWA00383972</t>
  </si>
  <si>
    <t>2018-11 TacH PO Log Accr</t>
  </si>
  <si>
    <t>PO 02988: TACOMA COUNTRY &amp; GOLF CLUB: CH</t>
  </si>
  <si>
    <t>JRNL00915250</t>
  </si>
  <si>
    <t>JRNL00915347</t>
  </si>
  <si>
    <t>JRNLWA00385356</t>
  </si>
  <si>
    <t>2018-12 TacH PO Log Accr</t>
  </si>
  <si>
    <t>JRNL00918973</t>
  </si>
  <si>
    <t>JRNLWA00385412</t>
  </si>
  <si>
    <t>JRNL00919044</t>
  </si>
  <si>
    <t>JRNLWA00398438</t>
  </si>
  <si>
    <t>Exp15-Prepaid Amortization</t>
  </si>
  <si>
    <t>Recollect App 7/19-6/20</t>
  </si>
  <si>
    <t>JRNL00949116</t>
  </si>
  <si>
    <t>JRNLWA00400010</t>
  </si>
  <si>
    <t>JRNL00952555</t>
  </si>
  <si>
    <t>JRNLWA00401500</t>
  </si>
  <si>
    <t>JRNL00955773</t>
  </si>
  <si>
    <t>VUS000015228</t>
  </si>
  <si>
    <t>ROY CITY OF</t>
  </si>
  <si>
    <t>ANNUAL BUSINESS LICENSE</t>
  </si>
  <si>
    <t>2019 BUSINESS LICENSE</t>
  </si>
  <si>
    <t>PO-2180-18-04318</t>
  </si>
  <si>
    <t>VO04866779</t>
  </si>
  <si>
    <t>SPS Golf Harbottle Tourney</t>
  </si>
  <si>
    <t>SQ  GRAHAM BUSINESS~RYAN GUILD</t>
  </si>
  <si>
    <t>JRNLWA00384271</t>
  </si>
  <si>
    <t>VUS000014975</t>
  </si>
  <si>
    <t>TACOMA COUNTRY &amp; GOLF CLUB</t>
  </si>
  <si>
    <t>2680 - MONTHLY MEMBERSHIP DUES FOR MATT</t>
  </si>
  <si>
    <t>2680 11-18</t>
  </si>
  <si>
    <t>PO-2111-18-02988</t>
  </si>
  <si>
    <t>VO04866561</t>
  </si>
  <si>
    <t>JRNL00916379</t>
  </si>
  <si>
    <t>JRNLWA00385804</t>
  </si>
  <si>
    <t>2680 12-18</t>
  </si>
  <si>
    <t>VO04888904</t>
  </si>
  <si>
    <t>JRNL00919939</t>
  </si>
  <si>
    <t>TACOMA PIERCE COUNTY CHAM~RYAN GUILD</t>
  </si>
  <si>
    <t>TRACKBILL, LLC~LYNSIE BRESSLER</t>
  </si>
  <si>
    <t>JRNLWA00393495</t>
  </si>
  <si>
    <t>Western Pcard Activity - Jun</t>
  </si>
  <si>
    <t>JRNL00938011</t>
  </si>
  <si>
    <t>JRNLWA00384203</t>
  </si>
  <si>
    <t>VUS000014985</t>
  </si>
  <si>
    <t>WASHINGTON REFUSE &amp; RECYCLING ASSOC</t>
  </si>
  <si>
    <t>WRRA Regular Dues</t>
  </si>
  <si>
    <t>PO-2000-18-04681</t>
  </si>
  <si>
    <t>VO04859541</t>
  </si>
  <si>
    <t>JRNL00916091</t>
  </si>
  <si>
    <t>JRNLWA00385855</t>
  </si>
  <si>
    <t>PO-2000-19-00087</t>
  </si>
  <si>
    <t>VO04894005</t>
  </si>
  <si>
    <t>JRNL00920124</t>
  </si>
  <si>
    <t>JRNLWA00387401</t>
  </si>
  <si>
    <t>PO-2000-19-00532</t>
  </si>
  <si>
    <t>VO04925537</t>
  </si>
  <si>
    <t>JRNL00924314</t>
  </si>
  <si>
    <t>JRNLWA00388964</t>
  </si>
  <si>
    <t>PO-2000-19-00979</t>
  </si>
  <si>
    <t>VO04964688</t>
  </si>
  <si>
    <t>JRNL00927825</t>
  </si>
  <si>
    <t>JRNLWA00390306</t>
  </si>
  <si>
    <t>PO-2000-19-01352</t>
  </si>
  <si>
    <t>VO04979309</t>
  </si>
  <si>
    <t>JRNL00930569</t>
  </si>
  <si>
    <t>JRNLWA00391849</t>
  </si>
  <si>
    <t>PO-2000-19-01950</t>
  </si>
  <si>
    <t>VO05021862</t>
  </si>
  <si>
    <t>JRNL00934134</t>
  </si>
  <si>
    <t>JRNLWA00393136</t>
  </si>
  <si>
    <t>PO-2000-19-02315</t>
  </si>
  <si>
    <t>VO05046847</t>
  </si>
  <si>
    <t>JRNL00936963</t>
  </si>
  <si>
    <t>JRNLWA00394712</t>
  </si>
  <si>
    <t>PO-2000-19-02813</t>
  </si>
  <si>
    <t>VO05087975</t>
  </si>
  <si>
    <t>JRNL00940715</t>
  </si>
  <si>
    <t>JRNLWA00396036</t>
  </si>
  <si>
    <t>Regular Dues August 2019</t>
  </si>
  <si>
    <t>PO-2000-19-03123</t>
  </si>
  <si>
    <t>VO05112080</t>
  </si>
  <si>
    <t>JRNL00943597</t>
  </si>
  <si>
    <t>JRNLWA00397515</t>
  </si>
  <si>
    <t>1/2 PAGE DIRECTORY AD</t>
  </si>
  <si>
    <t>PO-2180-19-02889</t>
  </si>
  <si>
    <t>VO05151981</t>
  </si>
  <si>
    <t>JRNL00946992</t>
  </si>
  <si>
    <t>JRNLWA00397600</t>
  </si>
  <si>
    <t>PO-2000-19-03649</t>
  </si>
  <si>
    <t>VO05160614</t>
  </si>
  <si>
    <t>JRNL00947331</t>
  </si>
  <si>
    <t>JRNLWA00399043</t>
  </si>
  <si>
    <t>Regular Dues October 2019</t>
  </si>
  <si>
    <t>PO-2000-19-03977</t>
  </si>
  <si>
    <t>VO05186307</t>
  </si>
  <si>
    <t>JRNL00950433</t>
  </si>
  <si>
    <t>JRNLWA00400371</t>
  </si>
  <si>
    <t>asnell</t>
  </si>
  <si>
    <t>WRRA Regular Dues November 2019</t>
  </si>
  <si>
    <t>PO-2000-19-04435</t>
  </si>
  <si>
    <t>VO05208101</t>
  </si>
  <si>
    <t>JRNL00953236</t>
  </si>
  <si>
    <t>Dispatch</t>
  </si>
  <si>
    <t>Pierce County Refuse 2180</t>
  </si>
  <si>
    <t>Payroll Schedule</t>
  </si>
  <si>
    <t>December 1, 2018 - November 30, 2019</t>
  </si>
  <si>
    <t>Average FTE ran through dispatch</t>
  </si>
  <si>
    <t>Note:  Data below is from payroll registers.  Links have been broken to the source file to maintain data integrity.   Source documents are available upon request.</t>
  </si>
  <si>
    <t>District #</t>
  </si>
  <si>
    <t>EE #</t>
  </si>
  <si>
    <t>Name</t>
  </si>
  <si>
    <t>Job</t>
  </si>
  <si>
    <t>Test Period Hours (Includes Vacation, PTO &amp; Holiday)</t>
  </si>
  <si>
    <t>Regular Pay During Test Period</t>
  </si>
  <si>
    <t>Overtime Hours</t>
  </si>
  <si>
    <t>Regular Overtime Pay</t>
  </si>
  <si>
    <t>Total Hourly/Salary Pay</t>
  </si>
  <si>
    <t>Safety and Customer Service Bonus, Commissions</t>
  </si>
  <si>
    <t>Personal Time &amp; Payouts</t>
  </si>
  <si>
    <t>Total Test Period Pay</t>
  </si>
  <si>
    <t>Current Hourly Rate</t>
  </si>
  <si>
    <t>2020 Pay Raises</t>
  </si>
  <si>
    <t>2020 Rate</t>
  </si>
  <si>
    <t>2020 Proforma Regular Pay</t>
  </si>
  <si>
    <t>2020 Proforma OT</t>
  </si>
  <si>
    <t>2020 Proforma Personal Time Payout</t>
  </si>
  <si>
    <t>Total Rate Period Pay (adjusted)</t>
  </si>
  <si>
    <t>Signing Bonus</t>
  </si>
  <si>
    <t>Total Proforma Pay</t>
  </si>
  <si>
    <t>Union/Non-Union</t>
  </si>
  <si>
    <t>GL Coding</t>
  </si>
  <si>
    <t>Pro-Forma Raise Adjust</t>
  </si>
  <si>
    <t>Normalizing Wage Ajdustments</t>
  </si>
  <si>
    <t>Drivers (50020)</t>
  </si>
  <si>
    <t>Residential Garbage Drivers</t>
  </si>
  <si>
    <t>114003</t>
  </si>
  <si>
    <t>Anthony Angeline</t>
  </si>
  <si>
    <t>114274</t>
  </si>
  <si>
    <t>Billy Carter</t>
  </si>
  <si>
    <t>115919</t>
  </si>
  <si>
    <t>Brian Zahler</t>
  </si>
  <si>
    <t>114046</t>
  </si>
  <si>
    <t>Daniel Woodley</t>
  </si>
  <si>
    <t>155994</t>
  </si>
  <si>
    <t>Dawn Rowell</t>
  </si>
  <si>
    <t>301431</t>
  </si>
  <si>
    <t>James O'Neall</t>
  </si>
  <si>
    <t>113933</t>
  </si>
  <si>
    <t>Jamie Reed</t>
  </si>
  <si>
    <t>114261</t>
  </si>
  <si>
    <t>Jamie Simatic</t>
  </si>
  <si>
    <t>158686</t>
  </si>
  <si>
    <t>Jarad Wise</t>
  </si>
  <si>
    <t>114309</t>
  </si>
  <si>
    <t>Jeffrey Marsh</t>
  </si>
  <si>
    <t>154368</t>
  </si>
  <si>
    <t>Jeremy Andrews</t>
  </si>
  <si>
    <t>114254</t>
  </si>
  <si>
    <t>Jessica Soto</t>
  </si>
  <si>
    <t>153114</t>
  </si>
  <si>
    <t>Joe Foo</t>
  </si>
  <si>
    <t>113921</t>
  </si>
  <si>
    <t>John Eldridge</t>
  </si>
  <si>
    <t>114098</t>
  </si>
  <si>
    <t>Kenneth Bender</t>
  </si>
  <si>
    <t>113952</t>
  </si>
  <si>
    <t>Lance Kinchen</t>
  </si>
  <si>
    <t>301672</t>
  </si>
  <si>
    <t>Richard Bailey</t>
  </si>
  <si>
    <t>158046</t>
  </si>
  <si>
    <t>Richard Garibay</t>
  </si>
  <si>
    <t>150788</t>
  </si>
  <si>
    <t>Ricky Cole</t>
  </si>
  <si>
    <t>156569</t>
  </si>
  <si>
    <t>Tanya Slack</t>
  </si>
  <si>
    <t>157682</t>
  </si>
  <si>
    <t>Tyrone Giesen</t>
  </si>
  <si>
    <t>154907</t>
  </si>
  <si>
    <t>Vernon Shockey</t>
  </si>
  <si>
    <t>153568</t>
  </si>
  <si>
    <t>William Esselman</t>
  </si>
  <si>
    <t>152611</t>
  </si>
  <si>
    <t>Cammae Moreland</t>
  </si>
  <si>
    <t>115563</t>
  </si>
  <si>
    <t>Edward Worden</t>
  </si>
  <si>
    <t>TOTAL Residential Garbage Drivers</t>
  </si>
  <si>
    <t>Roll Off Driver</t>
  </si>
  <si>
    <t>114225</t>
  </si>
  <si>
    <t>Darryl Smith</t>
  </si>
  <si>
    <t>114306</t>
  </si>
  <si>
    <t>David Maldonado</t>
  </si>
  <si>
    <t>113947</t>
  </si>
  <si>
    <t>Kendall Carver</t>
  </si>
  <si>
    <t>114337</t>
  </si>
  <si>
    <t>Noel Cockett</t>
  </si>
  <si>
    <t>114196</t>
  </si>
  <si>
    <t>Robert Roll</t>
  </si>
  <si>
    <t>158765</t>
  </si>
  <si>
    <t>Ryan Mcginnis</t>
  </si>
  <si>
    <t>150275</t>
  </si>
  <si>
    <t>Tami Bellows</t>
  </si>
  <si>
    <t>114265</t>
  </si>
  <si>
    <t>Thomas Hughes</t>
  </si>
  <si>
    <t>113941</t>
  </si>
  <si>
    <t>Todd Blake</t>
  </si>
  <si>
    <t>114330</t>
  </si>
  <si>
    <t>Tracey Guevara</t>
  </si>
  <si>
    <t>Residential Recycling/YW Drivers</t>
  </si>
  <si>
    <t>302607</t>
  </si>
  <si>
    <t>Alisa Bible</t>
  </si>
  <si>
    <t>304293</t>
  </si>
  <si>
    <t>Charlene Rickett (304293)</t>
  </si>
  <si>
    <t>156473</t>
  </si>
  <si>
    <t>Charles Mccune</t>
  </si>
  <si>
    <t>309607</t>
  </si>
  <si>
    <t>Daniel Guillen</t>
  </si>
  <si>
    <t>315056</t>
  </si>
  <si>
    <t>Dewayne Long</t>
  </si>
  <si>
    <t>314324</t>
  </si>
  <si>
    <t>Edwin Smith</t>
  </si>
  <si>
    <t>304711</t>
  </si>
  <si>
    <t>Francisco Sandoval</t>
  </si>
  <si>
    <t>157941</t>
  </si>
  <si>
    <t>Freddie Hood</t>
  </si>
  <si>
    <t>305861</t>
  </si>
  <si>
    <t>Gary Del Castillo</t>
  </si>
  <si>
    <t>300527</t>
  </si>
  <si>
    <t>Gary Savage</t>
  </si>
  <si>
    <t>301110</t>
  </si>
  <si>
    <t>Henry Jones</t>
  </si>
  <si>
    <t>114050</t>
  </si>
  <si>
    <t>Jassen Smith</t>
  </si>
  <si>
    <t>301578</t>
  </si>
  <si>
    <t>Lucas Miller</t>
  </si>
  <si>
    <t>300074</t>
  </si>
  <si>
    <t>Luis Amescua</t>
  </si>
  <si>
    <t>158903</t>
  </si>
  <si>
    <t>Major Whitten</t>
  </si>
  <si>
    <t>300600</t>
  </si>
  <si>
    <t>Nathan Molinek</t>
  </si>
  <si>
    <t>315057</t>
  </si>
  <si>
    <t>Raymond Mendoza</t>
  </si>
  <si>
    <t>309855</t>
  </si>
  <si>
    <t>Rob Feeder</t>
  </si>
  <si>
    <t>308560</t>
  </si>
  <si>
    <t>Robie leach</t>
  </si>
  <si>
    <t>315055</t>
  </si>
  <si>
    <t>Ron Baker</t>
  </si>
  <si>
    <t>301128</t>
  </si>
  <si>
    <t>Ryan Moses</t>
  </si>
  <si>
    <t>157861</t>
  </si>
  <si>
    <t>Ryan Sheppard</t>
  </si>
  <si>
    <t>311455</t>
  </si>
  <si>
    <t>Troy Graves</t>
  </si>
  <si>
    <t>103464</t>
  </si>
  <si>
    <t>Benjamin Smith</t>
  </si>
  <si>
    <t>158780</t>
  </si>
  <si>
    <t>John Brandalick</t>
  </si>
  <si>
    <t>153486</t>
  </si>
  <si>
    <t>Joshua Arvin</t>
  </si>
  <si>
    <t>307208</t>
  </si>
  <si>
    <t>Barry DeGarmo</t>
  </si>
  <si>
    <t>302903</t>
  </si>
  <si>
    <t>Boutsaba Sonthixay</t>
  </si>
  <si>
    <t>303118</t>
  </si>
  <si>
    <t>David Santana</t>
  </si>
  <si>
    <t>150126</t>
  </si>
  <si>
    <t>Jason Stave</t>
  </si>
  <si>
    <t>309964</t>
  </si>
  <si>
    <t>Joshua Kissner</t>
  </si>
  <si>
    <t>301048</t>
  </si>
  <si>
    <t>Justin Morrow</t>
  </si>
  <si>
    <t>Commercial Garbage</t>
  </si>
  <si>
    <t>158173</t>
  </si>
  <si>
    <t>Brian Hutt</t>
  </si>
  <si>
    <t>114353</t>
  </si>
  <si>
    <t>Brian Sims</t>
  </si>
  <si>
    <t>152690</t>
  </si>
  <si>
    <t>Bryan Nye</t>
  </si>
  <si>
    <t>153189</t>
  </si>
  <si>
    <t>Harvey Trautmann</t>
  </si>
  <si>
    <t>117513</t>
  </si>
  <si>
    <t>Ian Marsh</t>
  </si>
  <si>
    <t>150158</t>
  </si>
  <si>
    <t>James Brannon</t>
  </si>
  <si>
    <t>114013</t>
  </si>
  <si>
    <t>John Holder</t>
  </si>
  <si>
    <t>158995</t>
  </si>
  <si>
    <t>Justin Paiva</t>
  </si>
  <si>
    <t>114002</t>
  </si>
  <si>
    <t>Mark Young</t>
  </si>
  <si>
    <t>155192</t>
  </si>
  <si>
    <t>Nathan Sanders</t>
  </si>
  <si>
    <t>114102</t>
  </si>
  <si>
    <t>Paul Herde</t>
  </si>
  <si>
    <t>114228</t>
  </si>
  <si>
    <t>Richard Amundsen</t>
  </si>
  <si>
    <t>114128</t>
  </si>
  <si>
    <t>Steven Palmer</t>
  </si>
  <si>
    <t>114176</t>
  </si>
  <si>
    <t>William Spivey</t>
  </si>
  <si>
    <t>114312</t>
  </si>
  <si>
    <t>Zacharia Phillips</t>
  </si>
  <si>
    <t>Transfer Tractor Drivers</t>
  </si>
  <si>
    <t>150276</t>
  </si>
  <si>
    <t>Aaron Guisasola</t>
  </si>
  <si>
    <t>114208</t>
  </si>
  <si>
    <t>Si Seng</t>
  </si>
  <si>
    <t>114112</t>
  </si>
  <si>
    <t>Tamara Sandahl</t>
  </si>
  <si>
    <t>Transfer Station Workers</t>
  </si>
  <si>
    <t>312844</t>
  </si>
  <si>
    <t>Gunnar Grenier (312844)</t>
  </si>
  <si>
    <t>314370</t>
  </si>
  <si>
    <t>Meshac Tuilaepa (314370)</t>
  </si>
  <si>
    <t>114336</t>
  </si>
  <si>
    <t>Richard Miller (114336)</t>
  </si>
  <si>
    <t>301642</t>
  </si>
  <si>
    <t>Kenneth Huerta (301642)</t>
  </si>
  <si>
    <t>301045</t>
  </si>
  <si>
    <t>Joshua Stephens (301045)</t>
  </si>
  <si>
    <t>307663</t>
  </si>
  <si>
    <t>Clarence Devela</t>
  </si>
  <si>
    <t>157938</t>
  </si>
  <si>
    <t>Ethan Carpenter</t>
  </si>
  <si>
    <t>114356</t>
  </si>
  <si>
    <t>Fred Matney</t>
  </si>
  <si>
    <t>114008</t>
  </si>
  <si>
    <t>Jamie Arnold</t>
  </si>
  <si>
    <t>118011</t>
  </si>
  <si>
    <t>John Nusbaum</t>
  </si>
  <si>
    <t>308555</t>
  </si>
  <si>
    <t>Malissa Sapp</t>
  </si>
  <si>
    <t>150224</t>
  </si>
  <si>
    <t>Rob Lindsay</t>
  </si>
  <si>
    <t>114374</t>
  </si>
  <si>
    <t>Steven Zipsnis</t>
  </si>
  <si>
    <t>Lead Drivers</t>
  </si>
  <si>
    <t>114170</t>
  </si>
  <si>
    <t>James Treece</t>
  </si>
  <si>
    <t>154948</t>
  </si>
  <si>
    <t>Scott Hovies</t>
  </si>
  <si>
    <t>151826</t>
  </si>
  <si>
    <t>Andrew Bossert</t>
  </si>
  <si>
    <t>TOTAL DRIVERS</t>
  </si>
  <si>
    <t>Mechanics Hourly/Salary (52010/52020)</t>
  </si>
  <si>
    <t>116940</t>
  </si>
  <si>
    <t>Travis Robertson</t>
  </si>
  <si>
    <t>Non Union</t>
  </si>
  <si>
    <t>114086</t>
  </si>
  <si>
    <t>Aaron Russell (114086)</t>
  </si>
  <si>
    <t>114082</t>
  </si>
  <si>
    <t>Andrew Tran</t>
  </si>
  <si>
    <t>306836</t>
  </si>
  <si>
    <t>Antonio Berdecia</t>
  </si>
  <si>
    <t>311279</t>
  </si>
  <si>
    <t>Augie Serrano</t>
  </si>
  <si>
    <t>300019</t>
  </si>
  <si>
    <t>Calvin Pacheco</t>
  </si>
  <si>
    <t>156357</t>
  </si>
  <si>
    <t>Charles Gorman</t>
  </si>
  <si>
    <t>114233</t>
  </si>
  <si>
    <t>Chester Goldsmith</t>
  </si>
  <si>
    <t>116292</t>
  </si>
  <si>
    <t>Colin Piper</t>
  </si>
  <si>
    <t>315152</t>
  </si>
  <si>
    <t>Collin Northern</t>
  </si>
  <si>
    <t>303995</t>
  </si>
  <si>
    <t>Darren Laube</t>
  </si>
  <si>
    <t>300874</t>
  </si>
  <si>
    <t>Donald Cisney</t>
  </si>
  <si>
    <t>114277</t>
  </si>
  <si>
    <t>Duane Hackney</t>
  </si>
  <si>
    <t>114052</t>
  </si>
  <si>
    <t>Evan Williamson</t>
  </si>
  <si>
    <t>303996</t>
  </si>
  <si>
    <t>Jacob Hyneman</t>
  </si>
  <si>
    <t>158845</t>
  </si>
  <si>
    <t>Jason Knudtson</t>
  </si>
  <si>
    <t>309778</t>
  </si>
  <si>
    <t>Joseph Juban</t>
  </si>
  <si>
    <t>154133</t>
  </si>
  <si>
    <t>Nick Fredrickson</t>
  </si>
  <si>
    <t>158069</t>
  </si>
  <si>
    <t>Richard Slagle</t>
  </si>
  <si>
    <t>158844</t>
  </si>
  <si>
    <t>Robert Harter</t>
  </si>
  <si>
    <t>301463</t>
  </si>
  <si>
    <t>Shane Moore</t>
  </si>
  <si>
    <t>154540</t>
  </si>
  <si>
    <t>Travis Harvey</t>
  </si>
  <si>
    <t>150268</t>
  </si>
  <si>
    <t>Tyler Clepper</t>
  </si>
  <si>
    <t>304842</t>
  </si>
  <si>
    <t>Zac DeWalt</t>
  </si>
  <si>
    <t>TOTAL MECHANICS</t>
  </si>
  <si>
    <t>Sales (Salary 60010)</t>
  </si>
  <si>
    <t>114375</t>
  </si>
  <si>
    <t>Harold Thompson</t>
  </si>
  <si>
    <t>150541</t>
  </si>
  <si>
    <t>Frederick Vahl</t>
  </si>
  <si>
    <t>TOTAL SALES</t>
  </si>
  <si>
    <t>Container (Hourly 55020)</t>
  </si>
  <si>
    <t>315294</t>
  </si>
  <si>
    <t>Alex Nodtvedt</t>
  </si>
  <si>
    <t>114298</t>
  </si>
  <si>
    <t>Anthony Peterson</t>
  </si>
  <si>
    <t>114125</t>
  </si>
  <si>
    <t>Craig Woelke</t>
  </si>
  <si>
    <t>158867</t>
  </si>
  <si>
    <t>Cristobal Cruz</t>
  </si>
  <si>
    <t>156628</t>
  </si>
  <si>
    <t>Dylan Perry</t>
  </si>
  <si>
    <t>303943</t>
  </si>
  <si>
    <t>Felicia Cort</t>
  </si>
  <si>
    <t>157875</t>
  </si>
  <si>
    <t>James Buie</t>
  </si>
  <si>
    <t>153491</t>
  </si>
  <si>
    <t>James Joyes</t>
  </si>
  <si>
    <t>156273</t>
  </si>
  <si>
    <t>John Atoigue-Ratliff</t>
  </si>
  <si>
    <t>314612</t>
  </si>
  <si>
    <t>Jonathan Hofner</t>
  </si>
  <si>
    <t>114301</t>
  </si>
  <si>
    <t>Kevin Adams</t>
  </si>
  <si>
    <t>159061</t>
  </si>
  <si>
    <t>Marco Lugo</t>
  </si>
  <si>
    <t>304543</t>
  </si>
  <si>
    <t>Michael Savoury</t>
  </si>
  <si>
    <t>158074</t>
  </si>
  <si>
    <t>Travis Wiese</t>
  </si>
  <si>
    <t>114078</t>
  </si>
  <si>
    <t>William Fry</t>
  </si>
  <si>
    <t>311389</t>
  </si>
  <si>
    <t>Zachari ORourke</t>
  </si>
  <si>
    <t>nonunion</t>
  </si>
  <si>
    <t>TOTAL CONTAINER</t>
  </si>
  <si>
    <t>G&amp;A (Salary 70010 - Hourly 70020 )</t>
  </si>
  <si>
    <t>155760</t>
  </si>
  <si>
    <t>Brittany Mani</t>
  </si>
  <si>
    <t>307567</t>
  </si>
  <si>
    <t>Amanda Fujiura</t>
  </si>
  <si>
    <t>Assistant Controller</t>
  </si>
  <si>
    <t>102330</t>
  </si>
  <si>
    <t>Chris Giraldes</t>
  </si>
  <si>
    <t>152931</t>
  </si>
  <si>
    <t>Destini Wilson</t>
  </si>
  <si>
    <t>313283</t>
  </si>
  <si>
    <t>Johnny Crowell</t>
  </si>
  <si>
    <t>102777</t>
  </si>
  <si>
    <t>Matthew O'Connell</t>
  </si>
  <si>
    <t>312263</t>
  </si>
  <si>
    <t>Adriana Case</t>
  </si>
  <si>
    <t>305714</t>
  </si>
  <si>
    <t>Alaina Amundsen</t>
  </si>
  <si>
    <t>306830</t>
  </si>
  <si>
    <t>Amanda Allen</t>
  </si>
  <si>
    <t>157690</t>
  </si>
  <si>
    <t>Ashlee Calley</t>
  </si>
  <si>
    <t>301663</t>
  </si>
  <si>
    <t>Carla Arreygue</t>
  </si>
  <si>
    <t>114200</t>
  </si>
  <si>
    <t>Carla Phillips</t>
  </si>
  <si>
    <t>152163</t>
  </si>
  <si>
    <t>Chalia Clark</t>
  </si>
  <si>
    <t>309849</t>
  </si>
  <si>
    <t>Dawn Myers</t>
  </si>
  <si>
    <t>158763</t>
  </si>
  <si>
    <t>Deana Gakpe</t>
  </si>
  <si>
    <t>114407</t>
  </si>
  <si>
    <t>Debbie Nowak</t>
  </si>
  <si>
    <t>306829</t>
  </si>
  <si>
    <t>Deb Muller (306829)</t>
  </si>
  <si>
    <t>302976</t>
  </si>
  <si>
    <t>Dianna Chhom</t>
  </si>
  <si>
    <t>313960</t>
  </si>
  <si>
    <t>Erica Schmitz</t>
  </si>
  <si>
    <t>311423</t>
  </si>
  <si>
    <t>Hannah Ljunggren</t>
  </si>
  <si>
    <t>116805</t>
  </si>
  <si>
    <t>Jana Maki</t>
  </si>
  <si>
    <t>309526</t>
  </si>
  <si>
    <t>Jennifer Dacy</t>
  </si>
  <si>
    <t>114252</t>
  </si>
  <si>
    <t>Jennifer Dane</t>
  </si>
  <si>
    <t>304865</t>
  </si>
  <si>
    <t>Jennifer Wheat</t>
  </si>
  <si>
    <t>151053</t>
  </si>
  <si>
    <t>Jesseka Bethke</t>
  </si>
  <si>
    <t>309681</t>
  </si>
  <si>
    <t>Jessica Brewer</t>
  </si>
  <si>
    <t>304887</t>
  </si>
  <si>
    <t>Lourdes David-Thetadig</t>
  </si>
  <si>
    <t>156471</t>
  </si>
  <si>
    <t>Mandy Coleman</t>
  </si>
  <si>
    <t>116312</t>
  </si>
  <si>
    <t>Marie Most</t>
  </si>
  <si>
    <t>156922</t>
  </si>
  <si>
    <t>Martina Fisher Sanehi</t>
  </si>
  <si>
    <t>114255</t>
  </si>
  <si>
    <t>Michelle Jester</t>
  </si>
  <si>
    <t>115438</t>
  </si>
  <si>
    <t>Michelle Lloyd</t>
  </si>
  <si>
    <t>313924</t>
  </si>
  <si>
    <t>Rhea Ann Nangauta</t>
  </si>
  <si>
    <t>300442</t>
  </si>
  <si>
    <t>Sandra Hurd</t>
  </si>
  <si>
    <t>304432</t>
  </si>
  <si>
    <t>Taylor Oakes</t>
  </si>
  <si>
    <t>100110</t>
  </si>
  <si>
    <t>Tera Glenn</t>
  </si>
  <si>
    <t>117935</t>
  </si>
  <si>
    <t>Christina Moulden</t>
  </si>
  <si>
    <t>TOTAL G&amp;A</t>
  </si>
  <si>
    <t>Supervisor -  Salaried/Hourly 56010/56020</t>
  </si>
  <si>
    <t>151257</t>
  </si>
  <si>
    <t>Cory Devela</t>
  </si>
  <si>
    <t>114427</t>
  </si>
  <si>
    <t>Jeremiah Day</t>
  </si>
  <si>
    <t>114019</t>
  </si>
  <si>
    <t>Melissa Vanderziel</t>
  </si>
  <si>
    <t>301932</t>
  </si>
  <si>
    <t>Peter Williams</t>
  </si>
  <si>
    <t>103056</t>
  </si>
  <si>
    <t>Ryan Guild</t>
  </si>
  <si>
    <t>308237</t>
  </si>
  <si>
    <t>Sam Upperman</t>
  </si>
  <si>
    <t>TOTAL SUPERVISOR</t>
  </si>
  <si>
    <t>GRAND TOTALS</t>
  </si>
  <si>
    <t>Reconciliation of Payroll Register to General Ledger</t>
  </si>
  <si>
    <t>DRIVER WAGES PER PR REGISTER</t>
  </si>
  <si>
    <t>Accruals, Manual Adjustments/Reclasses</t>
  </si>
  <si>
    <t>GL</t>
  </si>
  <si>
    <t>MECHANICS -  HOURLY &amp; SALARY PER PR REGISTER</t>
  </si>
  <si>
    <t xml:space="preserve">   (See Detailed Schedule)</t>
  </si>
  <si>
    <t>SALES - SALARY WAGES PER PR REGISTER</t>
  </si>
  <si>
    <t>CONTAINER</t>
  </si>
  <si>
    <t>55020 Prior Accrual</t>
  </si>
  <si>
    <t>55020 Current Accrual</t>
  </si>
  <si>
    <t>55025 Prior Accrual</t>
  </si>
  <si>
    <t>55025 Current Accrual</t>
  </si>
  <si>
    <t>55035 Accrual Adjustment</t>
  </si>
  <si>
    <t>55065 Prior Accrual</t>
  </si>
  <si>
    <t>55065 Current Accrual</t>
  </si>
  <si>
    <t>52070 Prior Accrual</t>
  </si>
  <si>
    <t>Unreconciled Difference</t>
  </si>
  <si>
    <t xml:space="preserve"> Qtr Total</t>
  </si>
  <si>
    <t>SUPERVISOR - SALARY &amp; HOURLY WAGES PER PR REGISTER</t>
  </si>
  <si>
    <t xml:space="preserve">   (See Supervisor GL Detail tab for Details)</t>
  </si>
  <si>
    <t>G&amp;A - SALARY &amp; HOURLY WAGES PER PR REGISTER</t>
  </si>
  <si>
    <t>Accruals, Division Payroll Alloc., Region OH Alloc., Other Comp Adjust In</t>
  </si>
  <si>
    <t xml:space="preserve">   (See G&amp;A GL Detail tab for Details)</t>
  </si>
  <si>
    <t>Tooty Bonuses</t>
  </si>
  <si>
    <t>CONTAINER HOURLY WAGES PER PR REGISTER</t>
  </si>
  <si>
    <t>immaterial</t>
  </si>
  <si>
    <t>JBLM - Contract</t>
  </si>
  <si>
    <t>Sales 60010</t>
  </si>
  <si>
    <t>Office Salaried/Hourly   70010/70020</t>
  </si>
  <si>
    <t>Restating Adjustment Summary</t>
  </si>
  <si>
    <t>RS-1</t>
  </si>
  <si>
    <t>RS-2</t>
  </si>
  <si>
    <t>RS-3</t>
  </si>
  <si>
    <t>RS-4</t>
  </si>
  <si>
    <t>RS-5</t>
  </si>
  <si>
    <t>Revenue Adjustments</t>
  </si>
  <si>
    <t>Adjust Bad Debt</t>
  </si>
  <si>
    <t xml:space="preserve">Commercial </t>
  </si>
  <si>
    <t>MF Recycling</t>
  </si>
  <si>
    <t>Processing Fees</t>
  </si>
  <si>
    <t>Advertising Expense</t>
  </si>
  <si>
    <t>Bad Debt</t>
  </si>
  <si>
    <t>Leasehold Improvement</t>
  </si>
  <si>
    <t>Buildings</t>
  </si>
  <si>
    <t>Operating Tax &amp; Licensing</t>
  </si>
  <si>
    <t>Franchise Fees</t>
  </si>
  <si>
    <t>Pro forma Adjustments</t>
  </si>
  <si>
    <t>TRANSFER STATION TONS</t>
  </si>
  <si>
    <t>Equity/JBLM Housing</t>
  </si>
  <si>
    <t>Commingle</t>
  </si>
  <si>
    <t>Lease</t>
  </si>
  <si>
    <t>Garbage</t>
  </si>
  <si>
    <t>Garbage/Recycling/YW</t>
  </si>
  <si>
    <t>YW/Recycle</t>
  </si>
  <si>
    <t>TStn Tons</t>
  </si>
  <si>
    <t>Re-Allocate Dispatch</t>
  </si>
  <si>
    <t>Dispatch Wages, As Booked</t>
  </si>
  <si>
    <t>% Based on Driver Headcount</t>
  </si>
  <si>
    <t>Adjusted Dispatch Wages</t>
  </si>
  <si>
    <t>Adjustment Needed:</t>
  </si>
  <si>
    <t>Note:  There are a total of 3 dispatch positions between 2180 and 2182.  One is coded to 2180, and two to 2182.  Our head count analysis showed that there is not enough dispatch labor coded to 2180.  This adjustment moves dispatch wages out of 2182 into 2180 to adequately cover all dispatch duties at 2180.</t>
  </si>
  <si>
    <t>Re-Allocate Dispatch Wages</t>
  </si>
  <si>
    <t>Rt Hrs (Excluding JBLM Contract &amp; Transfer Drivers)</t>
  </si>
  <si>
    <t>Actual-Rt Hrs, no JBLM/Transfer</t>
  </si>
  <si>
    <t>Actual-Rt Hrs, no JBLM</t>
  </si>
  <si>
    <t>Office Salaried 70010</t>
  </si>
  <si>
    <t>Office Hourly 70020</t>
  </si>
  <si>
    <t>JBLM 70020</t>
  </si>
  <si>
    <t>JBLM Coordinator</t>
  </si>
  <si>
    <t>Cust Cnt - Ex JBLM</t>
  </si>
  <si>
    <t>101*</t>
  </si>
  <si>
    <t>*</t>
  </si>
  <si>
    <t>Corp</t>
  </si>
  <si>
    <t>Corporate P&amp;L Detail</t>
  </si>
  <si>
    <t>Corp Payroll Tax %</t>
  </si>
  <si>
    <t>Rolling 12</t>
  </si>
  <si>
    <t>2019</t>
  </si>
  <si>
    <t>Adjustments</t>
  </si>
  <si>
    <t>Adjusted Total</t>
  </si>
  <si>
    <t>Remove airplane Depreciation - Per Corp FAR</t>
  </si>
  <si>
    <t>Property and Liability Insurance</t>
  </si>
  <si>
    <t>RM Fixed Costs</t>
  </si>
  <si>
    <t>Deferred Comp Earnings</t>
  </si>
  <si>
    <t>Corporate Office Relocation</t>
  </si>
  <si>
    <t>Plane Parts &amp; Materials</t>
  </si>
  <si>
    <t>Aircraft Lubricants &amp; Consumables</t>
  </si>
  <si>
    <t>Bldg &amp; Property Maint</t>
  </si>
  <si>
    <t>Real Estate Rentals</t>
  </si>
  <si>
    <t>Equip/Vehicle Rental</t>
  </si>
  <si>
    <t>Outside Storages</t>
  </si>
  <si>
    <t>Accounting Professional Fees</t>
  </si>
  <si>
    <t>Payroll Processing Fees</t>
  </si>
  <si>
    <t>Acquisition Cost Write Off</t>
  </si>
  <si>
    <t>Directors and Officers Insurance</t>
  </si>
  <si>
    <t>Board of Directors Fees</t>
  </si>
  <si>
    <t>Board of Directors Expense Report</t>
  </si>
  <si>
    <t>Trade Shows</t>
  </si>
  <si>
    <t xml:space="preserve">     Total expenses</t>
  </si>
  <si>
    <t>3*,!3*9</t>
  </si>
  <si>
    <t xml:space="preserve">     Total eliminated revenues</t>
  </si>
  <si>
    <t>Inter-co elimiation rev</t>
  </si>
  <si>
    <t>3*</t>
  </si>
  <si>
    <t>Gross Revenue before eliminations</t>
  </si>
  <si>
    <t xml:space="preserve">     Total eligible allocation rate</t>
  </si>
  <si>
    <t>Corp PR Tax</t>
  </si>
  <si>
    <t>Reconcile Revenue to Detailed Billing Records and Determine Regulated vs. Non-Regulated Breakout</t>
  </si>
  <si>
    <t>Restate Revenue &amp; Disposal Expense for 3/1/2019 Dump Fee Increase</t>
  </si>
  <si>
    <t>District 2180: LeMay Pierce County Refuse</t>
  </si>
  <si>
    <t>December 2018 - December 2019</t>
  </si>
  <si>
    <t>Disposal Schedule</t>
  </si>
  <si>
    <t>Regulated:</t>
  </si>
  <si>
    <t>TEST PERIOD</t>
  </si>
  <si>
    <t>TOTALS</t>
  </si>
  <si>
    <t>Tons for DF Filing</t>
  </si>
  <si>
    <t>Regulated Packer Tons</t>
  </si>
  <si>
    <t>Expense</t>
  </si>
  <si>
    <t>Regulated PT Tons</t>
  </si>
  <si>
    <t>JBLM Housing Packer Tons</t>
  </si>
  <si>
    <t>Resi Route Garbage</t>
  </si>
  <si>
    <t>Fed PT Tons</t>
  </si>
  <si>
    <t>Comm Route Garbage</t>
  </si>
  <si>
    <t>Total Dump Fee</t>
  </si>
  <si>
    <t>Federal:</t>
  </si>
  <si>
    <t>Mt Rainier</t>
  </si>
  <si>
    <t>Unregulated other:</t>
  </si>
  <si>
    <t>Wood Waste @SR</t>
  </si>
  <si>
    <t>Yard Waste @SR</t>
  </si>
  <si>
    <t>Non Fed Tons</t>
  </si>
  <si>
    <t>General Ledger</t>
  </si>
  <si>
    <t>Federal</t>
  </si>
  <si>
    <t>Other Interco</t>
  </si>
  <si>
    <t xml:space="preserve"> Pass Thru</t>
  </si>
  <si>
    <t>Net Difference</t>
  </si>
  <si>
    <t>Construction Debris</t>
  </si>
  <si>
    <t>C&amp;D</t>
  </si>
  <si>
    <t>Compost</t>
  </si>
  <si>
    <t>Interject_LastPulledValues_BalanceRange</t>
  </si>
  <si>
    <t>KeyValue</t>
  </si>
  <si>
    <t>FullAccount</t>
  </si>
  <si>
    <t>Period</t>
  </si>
  <si>
    <t>Year</t>
  </si>
  <si>
    <t>Source</t>
  </si>
  <si>
    <t>Company</t>
  </si>
  <si>
    <t>Currency</t>
  </si>
  <si>
    <t>Version</t>
  </si>
  <si>
    <t>Balance</t>
  </si>
  <si>
    <t>Interject_LastPulledValues_DescriptionRange</t>
  </si>
  <si>
    <t>SegmentValue</t>
  </si>
  <si>
    <t>SegmentNumber</t>
  </si>
  <si>
    <t>Interject_LastPulledValues_LastChangeGUID</t>
  </si>
  <si>
    <t>Interject_LastPulledValues_PreviousLastChangeGUID</t>
  </si>
  <si>
    <t>9B8E93D9-41FF-41E1-AB82-E0424E9DA0F3</t>
  </si>
  <si>
    <t>31005|2180|*|**|||9|2019|Actual|||</t>
  </si>
  <si>
    <t>31005|2180|*|**||</t>
  </si>
  <si>
    <t>31005|2180|*|**|||5|2019|Actual|||</t>
  </si>
  <si>
    <t>31005|2180|*|**|||1|2019|Actual|||</t>
  </si>
  <si>
    <t>40109|2180|*|04|||10|2019|Actual|||</t>
  </si>
  <si>
    <t>40109|2180|*|04||</t>
  </si>
  <si>
    <t>40109|2180|*|04|||6|2019|Actual|||</t>
  </si>
  <si>
    <t>40109|2180|*|04|||2|2019|Actual|||</t>
  </si>
  <si>
    <t>40109|2180|*|02|||8|2019|Actual|||</t>
  </si>
  <si>
    <t>40109|2180|*|02||</t>
  </si>
  <si>
    <t>40109|2180|*|02|||4|2019|Actual|||</t>
  </si>
  <si>
    <t>40109|2180|*|02|||12|2018|Actual|||</t>
  </si>
  <si>
    <t>40109|2180|*|01|||11|2019|Actual|||</t>
  </si>
  <si>
    <t>40109|2180|*|01||</t>
  </si>
  <si>
    <t>40109|2180|*|01|||7|2019|Actual|||</t>
  </si>
  <si>
    <t>40109|2180|*|01|||3|2019|Actual|||</t>
  </si>
  <si>
    <t>31005|2180|*|**|||8|2019|Actual|||</t>
  </si>
  <si>
    <t>31005|2180|*|**|||4|2019|Actual|||</t>
  </si>
  <si>
    <t>31005|2180|*|**|||12|2018|Actual|||</t>
  </si>
  <si>
    <t>40109|2180|*|04|||9|2019|Actual|||</t>
  </si>
  <si>
    <t>40109|2180|*|04|||5|2019|Actual|||</t>
  </si>
  <si>
    <t>40109|2180|*|04|||1|2019|Actual|||</t>
  </si>
  <si>
    <t>40109|2180|*|02|||11|2019|Actual|||</t>
  </si>
  <si>
    <t>40109|2180|*|02|||7|2019|Actual|||</t>
  </si>
  <si>
    <t>40109|2180|*|02|||3|2019|Actual|||</t>
  </si>
  <si>
    <t>40109|2180|*|01|||10|2019|Actual|||</t>
  </si>
  <si>
    <t>40109|2180|*|01|||6|2019|Actual|||</t>
  </si>
  <si>
    <t>40109|2180|*|01|||2|2019|Actual|||</t>
  </si>
  <si>
    <t>31005|2180|*|**|||11|2019|Actual|||</t>
  </si>
  <si>
    <t>31005|2180|*|**|||7|2019|Actual|||</t>
  </si>
  <si>
    <t>31005|2180|*|**|||3|2019|Actual|||</t>
  </si>
  <si>
    <t>40109|2180|*|04|||8|2019|Actual|||</t>
  </si>
  <si>
    <t>40109|2180|*|04|||4|2019|Actual|||</t>
  </si>
  <si>
    <t>40109|2180|*|04|||12|2018|Actual|||</t>
  </si>
  <si>
    <t>40109|2180|*|02|||10|2019|Actual|||</t>
  </si>
  <si>
    <t>40109|2180|*|02|||6|2019|Actual|||</t>
  </si>
  <si>
    <t>40109|2180|*|02|||2|2019|Actual|||</t>
  </si>
  <si>
    <t>40109|2180|*|01|||9|2019|Actual|||</t>
  </si>
  <si>
    <t>40109|2180|*|01|||5|2019|Actual|||</t>
  </si>
  <si>
    <t>40109|2180|*|01|||1|2019|Actual|||</t>
  </si>
  <si>
    <t>31005|2180|*|**|||10|2019|Actual|||</t>
  </si>
  <si>
    <t>31005|2180|*|**|||6|2019|Actual|||</t>
  </si>
  <si>
    <t>31005|2180|*|**|||2|2019|Actual|||</t>
  </si>
  <si>
    <t>40109|2180|*|04|||11|2019|Actual|||</t>
  </si>
  <si>
    <t>40109|2180|*|04|||7|2019|Actual|||</t>
  </si>
  <si>
    <t>40109|2180|*|04|||3|2019|Actual|||</t>
  </si>
  <si>
    <t>40109|2180|*|02|||9|2019|Actual|||</t>
  </si>
  <si>
    <t>40109|2180|*|02|||5|2019|Actual|||</t>
  </si>
  <si>
    <t>40109|2180|*|02|||1|2019|Actual|||</t>
  </si>
  <si>
    <t>40109|2180|*|01|||8|2019|Actual|||</t>
  </si>
  <si>
    <t>40109|2180|*|01|||4|2019|Actual|||</t>
  </si>
  <si>
    <t>40109|2180|*|01|||12|2018|Actual|||</t>
  </si>
  <si>
    <t>Base Housing</t>
  </si>
  <si>
    <t>Packer Tons  - December 2018 - February 2019</t>
  </si>
  <si>
    <t>Increase/Ton</t>
  </si>
  <si>
    <t>Per TG-190040</t>
  </si>
  <si>
    <t>Packer Increase</t>
  </si>
  <si>
    <t>Pass Thru  - December 2018 - February 2019</t>
  </si>
  <si>
    <t>Pass Thru Increase</t>
  </si>
  <si>
    <t>Restate Disposal Expense</t>
  </si>
  <si>
    <t>JBLM UTC</t>
  </si>
  <si>
    <t>Pierce County Regulated</t>
  </si>
  <si>
    <t>Revenue Price Out by Service Level and Line of Business</t>
  </si>
  <si>
    <t>PIERCE UTC</t>
  </si>
  <si>
    <t>Service Code</t>
  </si>
  <si>
    <t>Service Code Description</t>
  </si>
  <si>
    <t>LOB</t>
  </si>
  <si>
    <t>GL Account</t>
  </si>
  <si>
    <t>Tariff Rate Effective 3/1/2018</t>
  </si>
  <si>
    <t>Tariff Rate Effective 3/1/2019</t>
  </si>
  <si>
    <t>Revenue Dec 2018 - Nov 2019</t>
  </si>
  <si>
    <t>Avg. Cust Dec 2018 - Nov 2019</t>
  </si>
  <si>
    <t>RESIDENTIAL SERVICES (billed per month unless noted)</t>
  </si>
  <si>
    <t>Concatenate (Area &amp;LOB &amp; Service Code)</t>
  </si>
  <si>
    <t>RESIDENTIAL GARBAGE</t>
  </si>
  <si>
    <t>RL020.0G1W001</t>
  </si>
  <si>
    <t>20 GL 1X WK 1</t>
  </si>
  <si>
    <t>RL032.0G1M001NOREC</t>
  </si>
  <si>
    <t>32 GL 1X MO NO RECY 1</t>
  </si>
  <si>
    <t>RL032.0G1M001WREC</t>
  </si>
  <si>
    <t>32 GL 1X MO W/RECY 1</t>
  </si>
  <si>
    <t>RL032.0G1W001NOREC</t>
  </si>
  <si>
    <t>32 GL 1X WK NO RECY 1</t>
  </si>
  <si>
    <t>RL032.0G1W001WREC</t>
  </si>
  <si>
    <t>32 GL 1X WK W/RECY 1</t>
  </si>
  <si>
    <t>RL032.0G1W002NOREC</t>
  </si>
  <si>
    <t>32 GL 1X WK NO RECY 2</t>
  </si>
  <si>
    <t>RL032.0G1W002WREC</t>
  </si>
  <si>
    <t>32 GL 1X WK W/RECY 2</t>
  </si>
  <si>
    <t>RL032.0G1W003WREC</t>
  </si>
  <si>
    <t>32 GL 1X WK W/RECY 3</t>
  </si>
  <si>
    <t>RL032.0G1W004NOREC</t>
  </si>
  <si>
    <t>32 GL 1X WK NO RECY 4</t>
  </si>
  <si>
    <t>RL032.0G1W004WREC</t>
  </si>
  <si>
    <t>32 GL 1X WK W/RECY 4</t>
  </si>
  <si>
    <t>SL035.0G1M001WREC</t>
  </si>
  <si>
    <t>35 GL 1X MO W/ RECY 1</t>
  </si>
  <si>
    <t>SL035.0GEO001WREC</t>
  </si>
  <si>
    <t>35 GL EOW W/RECY 1</t>
  </si>
  <si>
    <t>SL035.0G1W001WREC</t>
  </si>
  <si>
    <t>35 GL 1X WK W/ RECY 1</t>
  </si>
  <si>
    <t>SL035.0G1W002WREC</t>
  </si>
  <si>
    <t>35 GL 1X WK W/RECY 2</t>
  </si>
  <si>
    <t>SL065.0G1M001NOREC</t>
  </si>
  <si>
    <t>65 GL 1X MO NO RECY 1</t>
  </si>
  <si>
    <t>SL065.0G1M001WREC</t>
  </si>
  <si>
    <t>65 GL 1X MO W/RECY 1</t>
  </si>
  <si>
    <t>SL065.0G1W001NOREC</t>
  </si>
  <si>
    <t>65 GL 1X WK NO RECY 1</t>
  </si>
  <si>
    <t>SL065.0G1W001WREC</t>
  </si>
  <si>
    <t>65 GL 1X WK W/RECY 1</t>
  </si>
  <si>
    <t>SL065.0GEO001NOREC</t>
  </si>
  <si>
    <t>65 GL EOW NO RECY 1</t>
  </si>
  <si>
    <t>SL065.0GEO001WREC</t>
  </si>
  <si>
    <t>65 GL EOW W/RECY 1</t>
  </si>
  <si>
    <t>SL095.0G1M001NOREC</t>
  </si>
  <si>
    <t>95 GL 1X MO NO RECY 1</t>
  </si>
  <si>
    <t>SL095.0G1M001WREC</t>
  </si>
  <si>
    <t>95 GL 1X MO W/RECY 1</t>
  </si>
  <si>
    <t>SL095.0G1W001NOREC</t>
  </si>
  <si>
    <t>95 GL 1X WK NO RECY 1</t>
  </si>
  <si>
    <t>SL095.0G1W001WREC</t>
  </si>
  <si>
    <t>95 GL 1X WK W/RECY 1</t>
  </si>
  <si>
    <t>SL095.0GEO001NOREC</t>
  </si>
  <si>
    <t>95 GL EOW NO RECY 1</t>
  </si>
  <si>
    <t>SL095.0GEO001WREC</t>
  </si>
  <si>
    <t>95 GL EOW W/RECY 1</t>
  </si>
  <si>
    <t>BULKY-RES</t>
  </si>
  <si>
    <t>BULKY ITEM PICK UP - RES</t>
  </si>
  <si>
    <t>Resi MSW Extra</t>
  </si>
  <si>
    <t>EXTRA-RES</t>
  </si>
  <si>
    <t>EXTRA CAN, BAG, BOX - RES</t>
  </si>
  <si>
    <t>EXTRA65-RES</t>
  </si>
  <si>
    <t>EXTRA95-RES</t>
  </si>
  <si>
    <t>EXTRAGRAD1-RES</t>
  </si>
  <si>
    <t>EXTRAS GRADUATED 1-2 - RES</t>
  </si>
  <si>
    <t>OS-RES</t>
  </si>
  <si>
    <t>OVERSIZE CAN - RES</t>
  </si>
  <si>
    <t>OW-RES</t>
  </si>
  <si>
    <t>OVERFILL / OVERWEIGHT CAN</t>
  </si>
  <si>
    <t>SPGRAD1-RES</t>
  </si>
  <si>
    <t>WI1-RES</t>
  </si>
  <si>
    <t>WALK IN 6-25' - RES</t>
  </si>
  <si>
    <t>WI2-RES</t>
  </si>
  <si>
    <t>WALK IN 26-50' - RES</t>
  </si>
  <si>
    <t>DRIVEIN1-RES</t>
  </si>
  <si>
    <t>DRIVE IN 1 - RES</t>
  </si>
  <si>
    <t>DRIVEIN2-RES</t>
  </si>
  <si>
    <t>DRIVE IN 2 - RES</t>
  </si>
  <si>
    <t>DRIVEIN4-RES</t>
  </si>
  <si>
    <t>DRIVE IN 3 - RES</t>
  </si>
  <si>
    <t>DRIVEIN-RES</t>
  </si>
  <si>
    <t>DRIVE IN SERVICE - RES</t>
  </si>
  <si>
    <t>DRIVEINMUL-RES</t>
  </si>
  <si>
    <t>ACCESS-RES</t>
  </si>
  <si>
    <t>ACCESS FEE - RES</t>
  </si>
  <si>
    <t>OC-RES</t>
  </si>
  <si>
    <t>ON CALL SERVICE - RES</t>
  </si>
  <si>
    <t>REDEL-RES</t>
  </si>
  <si>
    <t>REDELIVER FEE - RES</t>
  </si>
  <si>
    <t>REINSTATE-RES</t>
  </si>
  <si>
    <t>REINSTATE FEE - RES</t>
  </si>
  <si>
    <t>RTRNCART32-RES</t>
  </si>
  <si>
    <t>RETURN TRIP 32 GL - RES</t>
  </si>
  <si>
    <t>RTRNCART65-RES</t>
  </si>
  <si>
    <t>RETURN TRIP 65 GL - RES</t>
  </si>
  <si>
    <t>RTRNCART95-RES</t>
  </si>
  <si>
    <t>RETURN TRIP 95 GL - RES</t>
  </si>
  <si>
    <t>TIME-RES</t>
  </si>
  <si>
    <t>TIME FEE 1 - RES</t>
  </si>
  <si>
    <t>UNRETURN-RES</t>
  </si>
  <si>
    <t>CONTAINER UNRETURNED FEE</t>
  </si>
  <si>
    <t>ADJ-RES</t>
  </si>
  <si>
    <t>TOTAL RESIDENTIAL GARBAGE</t>
  </si>
  <si>
    <t>Garbage customers</t>
  </si>
  <si>
    <t>Customers w/o recycling</t>
  </si>
  <si>
    <t>Resi Recycle Count</t>
  </si>
  <si>
    <t>RESIDENTIAL RECYCLING</t>
  </si>
  <si>
    <t>RECBINONLYR</t>
  </si>
  <si>
    <t>RECYCLE SERVICE ONLY</t>
  </si>
  <si>
    <t>RECPROGADJ-RES</t>
  </si>
  <si>
    <t>RECYCLING PROGRAM ADJUSTM</t>
  </si>
  <si>
    <t>RTRNCART96REC-RES</t>
  </si>
  <si>
    <t>TOTAL RESIDENTIAL RECYCLING</t>
  </si>
  <si>
    <t>RECVALRES</t>
  </si>
  <si>
    <t>RECYCLABLES VALUE - RES</t>
  </si>
  <si>
    <t>RESIDENTIAL YARD WASTE</t>
  </si>
  <si>
    <t>GWRES</t>
  </si>
  <si>
    <t>GREENWASTE SERVICE - RES</t>
  </si>
  <si>
    <t>Resi YW</t>
  </si>
  <si>
    <t>GWCOMM</t>
  </si>
  <si>
    <t>GREENWASTE SERVICE - COMM</t>
  </si>
  <si>
    <t>EXTRAGWC-RES</t>
  </si>
  <si>
    <t>EXTRA GREENWASTE FEE - RE</t>
  </si>
  <si>
    <t>EP96GWC-RES</t>
  </si>
  <si>
    <t>EXTRA PICK UP 96 GW - RES</t>
  </si>
  <si>
    <t>TOTAL RESIDENTIAL YARD WASTE</t>
  </si>
  <si>
    <t>Subtotal Residential</t>
  </si>
  <si>
    <t>COMMERCIAL SERVICES (Billed per pickup unless noted)</t>
  </si>
  <si>
    <t>COMMERCIAL GARBAGE</t>
  </si>
  <si>
    <t>FL001.0YEO001</t>
  </si>
  <si>
    <t>FL001.0Y1W001</t>
  </si>
  <si>
    <t>1 YD 1X WK 1</t>
  </si>
  <si>
    <t>FL001.0Y2W001</t>
  </si>
  <si>
    <t>1 YD 2X WK 1</t>
  </si>
  <si>
    <t>FL001.0Y3W001</t>
  </si>
  <si>
    <t>1 YD 3X WK 1</t>
  </si>
  <si>
    <t>FL001.5Y1W001</t>
  </si>
  <si>
    <t>1.5 YD 1X WK 1</t>
  </si>
  <si>
    <t>FL001.5Y2W001</t>
  </si>
  <si>
    <t>1.5 YD 2X WK 1</t>
  </si>
  <si>
    <t>FL001.5Y3W001</t>
  </si>
  <si>
    <t>1.5 YD 3X WK 1</t>
  </si>
  <si>
    <t>FL002.0Y1W001</t>
  </si>
  <si>
    <t>2 YD 1X WK 1</t>
  </si>
  <si>
    <t>FL002.0Y2W001</t>
  </si>
  <si>
    <t>2 YD 2X WK 1</t>
  </si>
  <si>
    <t>FL002.0Y3W001</t>
  </si>
  <si>
    <t>2 YD 3X WK 1</t>
  </si>
  <si>
    <t>FL003.0Y1W001</t>
  </si>
  <si>
    <t>3 YD 1X WK 1</t>
  </si>
  <si>
    <t>FL003.0Y2W001</t>
  </si>
  <si>
    <t>3 YD 2X WK 1</t>
  </si>
  <si>
    <t>FL003.0Y3W001</t>
  </si>
  <si>
    <t>3 YD 3X WK 1</t>
  </si>
  <si>
    <t>FL003.0Y4W001</t>
  </si>
  <si>
    <t>FL004.0Y1W001</t>
  </si>
  <si>
    <t>4 YD 1X WK 1</t>
  </si>
  <si>
    <t>FL004.0Y2W001</t>
  </si>
  <si>
    <t>4 YD 2X WK 1</t>
  </si>
  <si>
    <t>FL004.0Y3W001</t>
  </si>
  <si>
    <t>4 YD 3X WK 1</t>
  </si>
  <si>
    <t>FL004.0Y4W001</t>
  </si>
  <si>
    <t>4 YD 4X WK 1</t>
  </si>
  <si>
    <t>FL004.0Y5W001</t>
  </si>
  <si>
    <t>4 YD 5X WK 1</t>
  </si>
  <si>
    <t>FL006.0Y1W001</t>
  </si>
  <si>
    <t>6 YD 1X WK 1</t>
  </si>
  <si>
    <t>FL006.0Y2W001</t>
  </si>
  <si>
    <t>6 YD 2X WK 1</t>
  </si>
  <si>
    <t>FL006.0Y3W001</t>
  </si>
  <si>
    <t>6 YD 3X WK 1</t>
  </si>
  <si>
    <t>FL006.0Y4W001</t>
  </si>
  <si>
    <t>6 YD 4X WK 1</t>
  </si>
  <si>
    <t>FL002.0Y1W001CMP</t>
  </si>
  <si>
    <t>2 YD 1X WK COMP 1</t>
  </si>
  <si>
    <t>FL003.0Y2W001CMP</t>
  </si>
  <si>
    <t>3 YD 2X WK COMP 1</t>
  </si>
  <si>
    <t>FL004.0Y1W001CMP</t>
  </si>
  <si>
    <t>4 YD 1X WK COMP 1</t>
  </si>
  <si>
    <t>FL004.0Y2W001CMP</t>
  </si>
  <si>
    <t>4 YD 2X WK COMP 1</t>
  </si>
  <si>
    <t>FL006.0Y2W001CMP</t>
  </si>
  <si>
    <t>RL032.0G1W001NORECC</t>
  </si>
  <si>
    <t>32 GL 1X WK NO RECY COMM</t>
  </si>
  <si>
    <t>RL032.0G1W001WRECC</t>
  </si>
  <si>
    <t>32 GL 1X WK W/RECY COMM 1</t>
  </si>
  <si>
    <t>RL032.0G1W002NORECC</t>
  </si>
  <si>
    <t>RL032.0G1W002WRECC</t>
  </si>
  <si>
    <t>32 GL 1X WK W/RECY COMM 2</t>
  </si>
  <si>
    <t>RL032.0G1W003WRECC</t>
  </si>
  <si>
    <t>32 GL 1X WK W/RECY COMM 3</t>
  </si>
  <si>
    <t>RL032.0G1W004WRECC</t>
  </si>
  <si>
    <t>32 GL 1X WK W/RECY COMM 4</t>
  </si>
  <si>
    <t>RL035.0G1W001WRECC</t>
  </si>
  <si>
    <t>RL035.0G1W001NORECC</t>
  </si>
  <si>
    <t>SL065.0G1W001NORECC</t>
  </si>
  <si>
    <t>65 GL 1X WK NO RECY COMM</t>
  </si>
  <si>
    <t>SL065.0G1W001WRECC</t>
  </si>
  <si>
    <t>65 GL 1X WK W/RECY COMM 1</t>
  </si>
  <si>
    <t>SL065.0GEO001NORECC</t>
  </si>
  <si>
    <t>65 GL EOW NO RECY COMM 1</t>
  </si>
  <si>
    <t>SL065.0GEO001WRECC</t>
  </si>
  <si>
    <t>65 GL EOW W/RECY COMM 1</t>
  </si>
  <si>
    <t>SL095.0G1W001NORECC</t>
  </si>
  <si>
    <t>95 GL 1X WK NO RECY COMM</t>
  </si>
  <si>
    <t>SL095.0G1W001WRECC</t>
  </si>
  <si>
    <t>95 GL 1X WK W/RECY COMM 1</t>
  </si>
  <si>
    <t>SL095.0GEO001NORECC</t>
  </si>
  <si>
    <t>95 GL EOW NO RECY COMM 1</t>
  </si>
  <si>
    <t>SL095.0GEO001WRECC</t>
  </si>
  <si>
    <t>95 GL EOW W/RECY COMM 1</t>
  </si>
  <si>
    <t>CANCOUNT65-COMM</t>
  </si>
  <si>
    <t>CAN COUNT 65 GL - COMM</t>
  </si>
  <si>
    <t>CANCOUNT95-COMM</t>
  </si>
  <si>
    <t>CAN COUNT 95 GL - COMM</t>
  </si>
  <si>
    <t>CANCOUNT-COMM</t>
  </si>
  <si>
    <t>CAN COUNT - COMM</t>
  </si>
  <si>
    <t>DIST4CAN-COMM</t>
  </si>
  <si>
    <t>DISTRIBUTED 4 CANS - COMM</t>
  </si>
  <si>
    <t>FL001.0YXX001TEMPC</t>
  </si>
  <si>
    <t>1 YD TEMP</t>
  </si>
  <si>
    <t>FL001.5YXX001TEMPC</t>
  </si>
  <si>
    <t>1.5 YD TEMP</t>
  </si>
  <si>
    <t>FL002.0YXX001TEMPC</t>
  </si>
  <si>
    <t>2 YD TEMP</t>
  </si>
  <si>
    <t>FL003.0YXX001TEMPC</t>
  </si>
  <si>
    <t>3 YD TEMP</t>
  </si>
  <si>
    <t>FL004.0YXX001TEMPC</t>
  </si>
  <si>
    <t>4 YD TEMP 1</t>
  </si>
  <si>
    <t>FL006.0YXX001TEMPC</t>
  </si>
  <si>
    <t>6 YD TEMP 1</t>
  </si>
  <si>
    <t>RENT1.5TEMP-COMM</t>
  </si>
  <si>
    <t>RENT 1.5 YD TEMP - COMM</t>
  </si>
  <si>
    <t>RENT1TEMP-COMM</t>
  </si>
  <si>
    <t>RENT 1 YD TEMP - COMM</t>
  </si>
  <si>
    <t>RENT2TEMP-COMM</t>
  </si>
  <si>
    <t>RENT 2 YD TEMP - COMM</t>
  </si>
  <si>
    <t>RENT3TEMP-COMM</t>
  </si>
  <si>
    <t>RENT 3 YD TEMP - COMM</t>
  </si>
  <si>
    <t>RENT4TEMP-COMM</t>
  </si>
  <si>
    <t>RENT 4 YD TEMP - COMM</t>
  </si>
  <si>
    <t>RENT6TEMP-COMM</t>
  </si>
  <si>
    <t>RENT 6 YD TEMP - COMM</t>
  </si>
  <si>
    <t>BULKY-COMM</t>
  </si>
  <si>
    <t>BULKY ITEM PICK UP - COMM</t>
  </si>
  <si>
    <t>Comm MSW Extra</t>
  </si>
  <si>
    <t>EXTRA-COMM</t>
  </si>
  <si>
    <t>EXTRA CAN, BAG, BOX - COM</t>
  </si>
  <si>
    <t>EXTRAGWC-COMM</t>
  </si>
  <si>
    <t>EXTRA GREENWASTE FEE - CO</t>
  </si>
  <si>
    <t>EXTRAYDG-COM</t>
  </si>
  <si>
    <t>EXTRA YARDAGE - COMM</t>
  </si>
  <si>
    <t>ACCESS-COMM</t>
  </si>
  <si>
    <t>ACCESS FEE - COMM</t>
  </si>
  <si>
    <t>DISP-COMM</t>
  </si>
  <si>
    <t>DISPOSAL FEE - COMM</t>
  </si>
  <si>
    <t>DRIVEIN1-COMM</t>
  </si>
  <si>
    <t>DRIVE IN 125-250' - COMM</t>
  </si>
  <si>
    <t>DRIVEIN2-COMM</t>
  </si>
  <si>
    <t>DRIVE IN 251-778' - COMM</t>
  </si>
  <si>
    <t>ROLL-COMM</t>
  </si>
  <si>
    <t>ROLL OUT CHARGE - COMM</t>
  </si>
  <si>
    <t>WI1-COMM</t>
  </si>
  <si>
    <t>WALK IN 6-25' - COMM</t>
  </si>
  <si>
    <t>WI2-COMM</t>
  </si>
  <si>
    <t>WALK IN 26-50' - COMM</t>
  </si>
  <si>
    <t>WI4-COMM</t>
  </si>
  <si>
    <t>WALK IN 76-100' - COMM</t>
  </si>
  <si>
    <t>CLEAN1.5-COMM</t>
  </si>
  <si>
    <t>CLEANING FEE 1.5 YD - COM</t>
  </si>
  <si>
    <t>CLEAN1-COMM</t>
  </si>
  <si>
    <t>CLEANING FEE 1 YD - COMM</t>
  </si>
  <si>
    <t>CLEAN2-COMM</t>
  </si>
  <si>
    <t>CLEANING FEE 2 YD - COMM</t>
  </si>
  <si>
    <t>CLEAN3-COMM</t>
  </si>
  <si>
    <t>CLEANING FEE 3 YD - COMM</t>
  </si>
  <si>
    <t>CLEAN4-COMM</t>
  </si>
  <si>
    <t>CLEANING FEE 4 YD - COMM</t>
  </si>
  <si>
    <t>CLEAN6-COMM</t>
  </si>
  <si>
    <t>CLEANING FEE 6 YD - COMM</t>
  </si>
  <si>
    <t>CLEAN-COMM</t>
  </si>
  <si>
    <t>CONTAINER CLEANING FEE -</t>
  </si>
  <si>
    <t>DEL1.5TEMP-COMM</t>
  </si>
  <si>
    <t>DELIVERY FEE 1.5 YD TEMP</t>
  </si>
  <si>
    <t>DEL1TEMP-COMM</t>
  </si>
  <si>
    <t>DELIVERY FEE 1 YD TEMP -</t>
  </si>
  <si>
    <t>DEL2TEMP-COMM</t>
  </si>
  <si>
    <t>DELIVERY FEE 2 YD TEMP -</t>
  </si>
  <si>
    <t>DEL3TEMP-COMM</t>
  </si>
  <si>
    <t>DELIVERY FEE 3 YD TEMP - COMM</t>
  </si>
  <si>
    <t>DEL4TEMP-COMM</t>
  </si>
  <si>
    <t>DELIVERY FEE 4 YD TEMP - COMM</t>
  </si>
  <si>
    <t>DEL6TEMP-COMM</t>
  </si>
  <si>
    <t>DELIVERY FEE 6 YD TEMP -</t>
  </si>
  <si>
    <t>REINSTATE-COMM</t>
  </si>
  <si>
    <t>REINSTATE FEE - COMM</t>
  </si>
  <si>
    <t>RTRNCAN-COMM</t>
  </si>
  <si>
    <t>RETURN TRIP FEE CAN - COM</t>
  </si>
  <si>
    <t>RTRNCART65-COMM</t>
  </si>
  <si>
    <t>RETURN TRIP 65 GL - COMM</t>
  </si>
  <si>
    <t>RTRNCART95-COMM</t>
  </si>
  <si>
    <t>RETURN TRIP 95 GL - COMM</t>
  </si>
  <si>
    <t>RTRNTRIP-COMM</t>
  </si>
  <si>
    <t>RETURN TRIP FEE - COMM</t>
  </si>
  <si>
    <t>SP1.5-COMM</t>
  </si>
  <si>
    <t>SPECIAL PICK UP 1.5 YD -</t>
  </si>
  <si>
    <t>SP1-COMM</t>
  </si>
  <si>
    <t>SPECIAL PICK UP 1 YD - CO</t>
  </si>
  <si>
    <t>SP2-COMM</t>
  </si>
  <si>
    <t>SPECIAL PICK UP 2 YD - CO</t>
  </si>
  <si>
    <t>SP3-COMM</t>
  </si>
  <si>
    <t>SPECIAL PICK UP 3 YD - CO</t>
  </si>
  <si>
    <t>SP4-COMM</t>
  </si>
  <si>
    <t>SPECIAL PICK UP 4 YD - CO</t>
  </si>
  <si>
    <t>SP6-COMM</t>
  </si>
  <si>
    <t>SPECIAL PICK UP 6 YD - CO</t>
  </si>
  <si>
    <t>SP4CMP-COMM</t>
  </si>
  <si>
    <t>SP6CMP-COMM</t>
  </si>
  <si>
    <t>SPGRAD1S-COMM</t>
  </si>
  <si>
    <t>SPGRAD2S-COMM</t>
  </si>
  <si>
    <t>SPGRAD1-COMM</t>
  </si>
  <si>
    <t>SPGRAD2-COMM</t>
  </si>
  <si>
    <t>TIME-COMM</t>
  </si>
  <si>
    <t>TIME FEE 1 - COMM</t>
  </si>
  <si>
    <t>LCKC</t>
  </si>
  <si>
    <t>LOCK CHARGE - COMM</t>
  </si>
  <si>
    <t>REDEL-COMM</t>
  </si>
  <si>
    <t>REDELIVER FEE LVL 1 - COM</t>
  </si>
  <si>
    <t>SP2CMP-COMM</t>
  </si>
  <si>
    <t>RTRNCART32-COMM</t>
  </si>
  <si>
    <t>RTRNCART35-COMM</t>
  </si>
  <si>
    <t>SURCHGC</t>
  </si>
  <si>
    <t>TOTAL COMMERCIAL GARBAGE</t>
  </si>
  <si>
    <t>MULTI-FAMILY RECYCLING</t>
  </si>
  <si>
    <t>MFNBINS</t>
  </si>
  <si>
    <t>MULTI-FAMILY NO BINS</t>
  </si>
  <si>
    <t>MFWBINS</t>
  </si>
  <si>
    <t>MULTI-FAMILY RECYCLE WITH BINS</t>
  </si>
  <si>
    <t>TOTAL MULTI-FAMILY RECYCLING</t>
  </si>
  <si>
    <t>Subtotal Commercial</t>
  </si>
  <si>
    <t>DROP BOX SERVICES</t>
  </si>
  <si>
    <t>DROP BOX HAULS/RENTAL</t>
  </si>
  <si>
    <t>HAUL20-RO</t>
  </si>
  <si>
    <t>HAUL 20 YD - RO</t>
  </si>
  <si>
    <t>RO Perm</t>
  </si>
  <si>
    <t>HAUL30-RO</t>
  </si>
  <si>
    <t>HAUL 30 YD - RO</t>
  </si>
  <si>
    <t>HAUL40-RO</t>
  </si>
  <si>
    <t>HAUL 40 YD - RO</t>
  </si>
  <si>
    <t>HAUL20CUST-RO</t>
  </si>
  <si>
    <t>FINAL20-RO</t>
  </si>
  <si>
    <t>FINAL PULL 20 YD - RO</t>
  </si>
  <si>
    <t>FINAL30-RO</t>
  </si>
  <si>
    <t>FINAL PULL 30 YD - RO</t>
  </si>
  <si>
    <t>FINAL40-RO</t>
  </si>
  <si>
    <t>FINAL PULL 40 YD - RO</t>
  </si>
  <si>
    <t>HAUL10-CP</t>
  </si>
  <si>
    <t>COMPACTOR HAUL 10 YD</t>
  </si>
  <si>
    <t>HAUL20-CP</t>
  </si>
  <si>
    <t>COMPACTOR HAUL 20 YD - RO</t>
  </si>
  <si>
    <t>HAUL25-CP</t>
  </si>
  <si>
    <t>COMPACTOR HAUL 25 YD - RO</t>
  </si>
  <si>
    <t>HAUL30-CP</t>
  </si>
  <si>
    <t>COMPACTOR HAUL 30 YD</t>
  </si>
  <si>
    <t>HAUL40-CP</t>
  </si>
  <si>
    <t>COMPACTOR HAUL 40 YD</t>
  </si>
  <si>
    <t>DEL20TEMP-RO</t>
  </si>
  <si>
    <t>DELIVERY FEE 20 YD TEMP -</t>
  </si>
  <si>
    <t>RO Temp</t>
  </si>
  <si>
    <t>DEL30TEMP-RO</t>
  </si>
  <si>
    <t>DELIVERY FEE 30 YD TEMP -</t>
  </si>
  <si>
    <t>DEL40TEMP-RO</t>
  </si>
  <si>
    <t>DELIVERY FEE 40 YD TEMP -</t>
  </si>
  <si>
    <t>FINAL20TEMP-RO</t>
  </si>
  <si>
    <t>FINAL PULL 20 YD TEMP - R</t>
  </si>
  <si>
    <t>FINAL30TEMP-RO</t>
  </si>
  <si>
    <t>FINAL PULL 30 YD TEMP - R</t>
  </si>
  <si>
    <t>FINAL40TEMP-RO</t>
  </si>
  <si>
    <t>FINAL PULL 40 YD TEMP - R</t>
  </si>
  <si>
    <t>HAUL20TEMP-RO</t>
  </si>
  <si>
    <t>HAUL 20 YD TEMP - RO</t>
  </si>
  <si>
    <t>HAUL30TEMP-RO</t>
  </si>
  <si>
    <t>HAUL 30 YD TEMP - RO</t>
  </si>
  <si>
    <t>HAUL40TEMP-RO</t>
  </si>
  <si>
    <t>HAUL 40 YD TEMP - RO</t>
  </si>
  <si>
    <t>RENT20MO-RO</t>
  </si>
  <si>
    <t>RENTAL FEE 20 YD MONTHLY</t>
  </si>
  <si>
    <t>RO Rent</t>
  </si>
  <si>
    <t>RENT30MO-RO</t>
  </si>
  <si>
    <t>RENTAL FEE 30 YD MONTHLY</t>
  </si>
  <si>
    <t>RENT40MO-RO</t>
  </si>
  <si>
    <t>RENTAL FEE 40 YD MONTHLY</t>
  </si>
  <si>
    <t>RENT20TEMP-RO</t>
  </si>
  <si>
    <t>RENTAL FEE 20 YD TEMP - R</t>
  </si>
  <si>
    <t>RENT30TEMP-RO</t>
  </si>
  <si>
    <t>RENTAL FEE 30 YD TEMP - R</t>
  </si>
  <si>
    <t>RENT40TEMP-RO</t>
  </si>
  <si>
    <t>RENTAL FEE 40 YD TEMP - R</t>
  </si>
  <si>
    <t>DISCO-CP</t>
  </si>
  <si>
    <t>CLEAN20-RO</t>
  </si>
  <si>
    <t>CLEANING FEE 20 YD - RO</t>
  </si>
  <si>
    <t>CLEAN25-RO</t>
  </si>
  <si>
    <t>CLEANING FEE 25 YD - RO</t>
  </si>
  <si>
    <t>CLEAN30-RO</t>
  </si>
  <si>
    <t>CLEANING FEE 30 YD - RO</t>
  </si>
  <si>
    <t>CLEAN40-RO</t>
  </si>
  <si>
    <t>EXWGHT-RO</t>
  </si>
  <si>
    <t>EXCESS WEIGHT - RO</t>
  </si>
  <si>
    <t>FERRY-RO</t>
  </si>
  <si>
    <t>FERRY FEE - RO</t>
  </si>
  <si>
    <t>GATE-RO</t>
  </si>
  <si>
    <t>LID CHARGE - RO</t>
  </si>
  <si>
    <t>LIDRO</t>
  </si>
  <si>
    <t>LOCK-RO</t>
  </si>
  <si>
    <t>LOCK CHARGE - RO</t>
  </si>
  <si>
    <t>MILE-RO</t>
  </si>
  <si>
    <t>MILEAGE FEE - RO</t>
  </si>
  <si>
    <t>RTRNTRIP-RO</t>
  </si>
  <si>
    <t>RETURN TRIP FEE - RO</t>
  </si>
  <si>
    <t>TIME-RO</t>
  </si>
  <si>
    <t>TIME FEE - RO</t>
  </si>
  <si>
    <t>TOTAL DROP BOX HAULS/RENTAL</t>
  </si>
  <si>
    <t>PASSTHROUGH DISPOSAL</t>
  </si>
  <si>
    <t>DISP-RO</t>
  </si>
  <si>
    <t>DISPOSAL CHARGE - RO</t>
  </si>
  <si>
    <t>RO Disposal</t>
  </si>
  <si>
    <t>DISPFEDMSW-RO</t>
  </si>
  <si>
    <t>TOTAL PASSTHROUGH DISPOSAL</t>
  </si>
  <si>
    <t>Subtotal Drop Box</t>
  </si>
  <si>
    <t>ADJ-FIN</t>
  </si>
  <si>
    <t>ADJUSTMENT FINANCE CHARGE</t>
  </si>
  <si>
    <t>RETCKC</t>
  </si>
  <si>
    <t>RETURN CHECK CHARGE</t>
  </si>
  <si>
    <t>Subtotal Service Charges</t>
  </si>
  <si>
    <t>Grand Total District Operations</t>
  </si>
  <si>
    <t>JBLM HOUSING</t>
  </si>
  <si>
    <t>FL006.0Y1W001MF</t>
  </si>
  <si>
    <t>6 YD 1X WK MULTI-FAMILY 1</t>
  </si>
  <si>
    <t>FL006.0Y2W001MF</t>
  </si>
  <si>
    <t>6 YD 2X WK MULTI-FAMILY 1</t>
  </si>
  <si>
    <t>DISPFEDMSW-RES</t>
  </si>
  <si>
    <t>DISPOSAL FEE FEDERAL</t>
  </si>
  <si>
    <t>PDBAG-RES</t>
  </si>
  <si>
    <t>PREPAID BAG - RES</t>
  </si>
  <si>
    <t>COMMERCIAL RECYCLING</t>
  </si>
  <si>
    <t>TOTAL COMMERCIAL RECYCLING</t>
  </si>
  <si>
    <t>Pierce County - Fort Lewis</t>
  </si>
  <si>
    <t>FORT LEWIS</t>
  </si>
  <si>
    <t>FL001.5Y4W001</t>
  </si>
  <si>
    <t>1.5 YD 4X WK 1</t>
  </si>
  <si>
    <t>FL001.5Y5W001</t>
  </si>
  <si>
    <t>1.5 YD 5X WK 1</t>
  </si>
  <si>
    <t>FL002.0Y5W001</t>
  </si>
  <si>
    <t>2 YD 5X WK 1</t>
  </si>
  <si>
    <t>COMMODITY SURCHARGE</t>
  </si>
  <si>
    <t>COMPACTOR DISCONNECT FEE</t>
  </si>
  <si>
    <t>Residential Recycling</t>
  </si>
  <si>
    <t>REV</t>
  </si>
  <si>
    <t>Wage Increases:</t>
  </si>
  <si>
    <t>Restate Revenue &amp; Disposal Expense for 3/1/2020 Dump Fee Increase</t>
  </si>
  <si>
    <t>3 Months of Disposal</t>
  </si>
  <si>
    <t>Remove non-regulated operating assets and R360 assets - same as in TG-190516.</t>
  </si>
  <si>
    <t>Same adjustment as TG-190516</t>
  </si>
  <si>
    <t>Corporate OH Adjustment:</t>
  </si>
  <si>
    <t>Adjusted OH %</t>
  </si>
  <si>
    <t>Adjusted OH Expense</t>
  </si>
  <si>
    <t>Adjust Corp/Region OH</t>
  </si>
  <si>
    <t>Residential Garbage</t>
  </si>
  <si>
    <t>Comm Cans Garbage</t>
  </si>
  <si>
    <t>Comm Cont Garbage</t>
  </si>
  <si>
    <t>Cans</t>
  </si>
  <si>
    <t>MF - Recycling Carts</t>
  </si>
  <si>
    <t>MF - Recycling Containers</t>
  </si>
  <si>
    <t>JBLM Contract- Garb</t>
  </si>
  <si>
    <t>JBLM Contract-Recycl</t>
  </si>
  <si>
    <t>Comm Recy Cans</t>
  </si>
  <si>
    <t>Comm Recy Containers</t>
  </si>
  <si>
    <t>By Line of Business:</t>
  </si>
  <si>
    <t>Division Vice President Allocation IN/Division Controller Allocation IN</t>
  </si>
  <si>
    <r>
      <rPr>
        <b/>
        <sz val="11"/>
        <rFont val="Calibri"/>
        <family val="2"/>
        <scheme val="minor"/>
      </rPr>
      <t>Note:</t>
    </r>
    <r>
      <rPr>
        <sz val="11"/>
        <rFont val="Calibri"/>
        <family val="2"/>
        <scheme val="minor"/>
      </rPr>
      <t xml:space="preserve"> The Division Vice President's home district for payroll purposes is 2180.  During the year his regular compensation is coded to district 2180 and then allocated out to each of his districts based on the revenue below via Journal Entry.  His other compensation is not allocated into each of his districts during the year therefore that must be done manually for this rate filing.</t>
    </r>
  </si>
  <si>
    <r>
      <rPr>
        <b/>
        <sz val="11"/>
        <rFont val="Calibri"/>
        <family val="2"/>
        <scheme val="minor"/>
      </rPr>
      <t>Note:</t>
    </r>
    <r>
      <rPr>
        <sz val="11"/>
        <rFont val="Calibri"/>
        <family val="2"/>
        <scheme val="minor"/>
      </rPr>
      <t xml:space="preserve"> The Division Controller's home district for payroll purposes is 2111.  During the year his regular compensation is coded to district 2111 and then allocated out to each of his districts based on the revenue below via Journal Entry.  His other compensation is not allocated out to each of his districts during the year therefore that must be done manually for this rate filing.</t>
    </r>
  </si>
  <si>
    <t xml:space="preserve">DVP Other Compensation = </t>
  </si>
  <si>
    <t xml:space="preserve">DivCon Other Compensation = </t>
  </si>
  <si>
    <t>Dist</t>
  </si>
  <si>
    <t xml:space="preserve">Other Comp Allocation </t>
  </si>
  <si>
    <t>Other Comp Allocation</t>
  </si>
  <si>
    <t>Tax Allocation</t>
  </si>
  <si>
    <t>Allocate INTO Rate Filing</t>
  </si>
  <si>
    <t>JBLM Housing/Ft. Lewis Bill Area</t>
  </si>
  <si>
    <t>Resi Reg Recycl</t>
  </si>
  <si>
    <t>Delivery/Container Shop Allocation</t>
  </si>
  <si>
    <t>Delivery/Container Count</t>
  </si>
  <si>
    <t>Line of Business Allocation</t>
  </si>
  <si>
    <t>MSW</t>
  </si>
  <si>
    <t>Allocate OUT OF Rate Filing</t>
  </si>
  <si>
    <t>Bad Debt Expense</t>
  </si>
  <si>
    <t>For LG Input</t>
  </si>
  <si>
    <t>Debt to Equity Ratio</t>
  </si>
  <si>
    <t>Allowable In LG</t>
  </si>
  <si>
    <t>Total Debt &amp; Equity</t>
  </si>
  <si>
    <t>Interest as a % of Debt</t>
  </si>
  <si>
    <t>Bad Debt Calculation</t>
  </si>
  <si>
    <t>December 1, 2018 -November 30, 2019</t>
  </si>
  <si>
    <t>Depreciation &amp; Average Investment Summary</t>
  </si>
  <si>
    <t>Beginning</t>
  </si>
  <si>
    <t>Ending</t>
  </si>
  <si>
    <t>Average</t>
  </si>
  <si>
    <t>Equipment</t>
  </si>
  <si>
    <t>Salvage</t>
  </si>
  <si>
    <t>Depr</t>
  </si>
  <si>
    <t>Test Year</t>
  </si>
  <si>
    <t>Accum Depr</t>
  </si>
  <si>
    <t>Total Trucks</t>
  </si>
  <si>
    <t>Containers, Carts, Drop Boxes</t>
  </si>
  <si>
    <t>Total Containers, Carts, Drop Boxes</t>
  </si>
  <si>
    <t>Shop Equipment</t>
  </si>
  <si>
    <t>Service Equipment</t>
  </si>
  <si>
    <t>Office Equipment</t>
  </si>
  <si>
    <t>Total Equipment</t>
  </si>
  <si>
    <t>Land &amp; LH</t>
  </si>
  <si>
    <t>Buildings - Shop</t>
  </si>
  <si>
    <t>Buildings - Office</t>
  </si>
  <si>
    <t>Transfer Station Equipment</t>
  </si>
  <si>
    <t>Land</t>
  </si>
  <si>
    <t>Total Land &amp; LH</t>
  </si>
  <si>
    <t>Depreciation Expense Allocation</t>
  </si>
  <si>
    <t>By Line of Business fo Fixed Assest:</t>
  </si>
  <si>
    <t>Regulated County</t>
  </si>
  <si>
    <t>MSW Container - No JBLM</t>
  </si>
  <si>
    <t>Packer Route Hours</t>
  </si>
  <si>
    <t>JBLM Contract/Housing Packer Hours</t>
  </si>
  <si>
    <t>RO Route Hours</t>
  </si>
  <si>
    <t>Resi Recycle Route Hours</t>
  </si>
  <si>
    <t>YW Route Hours</t>
  </si>
  <si>
    <t>All TStn Tons</t>
  </si>
  <si>
    <t>TStn Garbage tons</t>
  </si>
  <si>
    <t>Container Delivery Cust Counts</t>
  </si>
  <si>
    <t>Drop Box Cust Count</t>
  </si>
  <si>
    <t>Container Cust Count</t>
  </si>
  <si>
    <t>MSW Cart Cust Count</t>
  </si>
  <si>
    <t>Recycle Cart Count</t>
  </si>
  <si>
    <t>YW Cart Count</t>
  </si>
  <si>
    <t>Route Hours</t>
  </si>
  <si>
    <t>50/50 Cust Counts &amp; Route Hours</t>
  </si>
  <si>
    <t>Depreciation Schedule</t>
  </si>
  <si>
    <t>LOB Depreciation Expense Allocation</t>
  </si>
  <si>
    <t>Average Investment</t>
  </si>
  <si>
    <t>LOB Average Investment</t>
  </si>
  <si>
    <t>Recycle</t>
  </si>
  <si>
    <t>X</t>
  </si>
  <si>
    <t>(1)</t>
  </si>
  <si>
    <t>WRRA</t>
  </si>
  <si>
    <t>Unallowable due to Lobbying (per WRRA)</t>
  </si>
  <si>
    <r>
      <rPr>
        <b/>
        <sz val="10"/>
        <color rgb="FFFF0000"/>
        <rFont val="Arial"/>
        <family val="2"/>
      </rPr>
      <t>(1)</t>
    </r>
    <r>
      <rPr>
        <sz val="10"/>
        <rFont val="Arial"/>
        <family val="2"/>
      </rPr>
      <t xml:space="preserve"> WRRA</t>
    </r>
  </si>
  <si>
    <t>70095</t>
  </si>
  <si>
    <t>70095-2180-000-00</t>
  </si>
  <si>
    <t>JRNLWA00383973</t>
  </si>
  <si>
    <t>2018-11 Pcard Accrual</t>
  </si>
  <si>
    <t>EBI EBAGS.COM~LYNSIE BRESSLER</t>
  </si>
  <si>
    <t>JRNL00915252</t>
  </si>
  <si>
    <t>JRNL00915348</t>
  </si>
  <si>
    <t>COSTCO WHSE #0660~LYNSIE BRESSLER</t>
  </si>
  <si>
    <t>BESTBUYCOM805590017216~LYNSIE BRESSLER</t>
  </si>
  <si>
    <t>BESTBUYCOM805590024101~LYNSIE BRESSLER</t>
  </si>
  <si>
    <t>JRNLWA00384039</t>
  </si>
  <si>
    <t>2190/2191 P-Card Accrual</t>
  </si>
  <si>
    <t>RAM RESTAURANT  PUYALLUP~RUSSELL COLE</t>
  </si>
  <si>
    <t>JRNL00915483</t>
  </si>
  <si>
    <t>JRNL00915587</t>
  </si>
  <si>
    <t>NW CUSTOM APPAREL~LYNSIE BRESSLER</t>
  </si>
  <si>
    <t>WWW COSTCO COM~RYAN GUILD</t>
  </si>
  <si>
    <t>SQ  ORTING FLORAL A~RYAN GUILD</t>
  </si>
  <si>
    <t>1-800-FLOWERS.COM,INC.~RYAN GUILD</t>
  </si>
  <si>
    <t>FAIRMONT OLYMPIC HOTEL~CHRIS GIRALDES</t>
  </si>
  <si>
    <t>BEST BUY      00003723~CHRIS GIRALDES</t>
  </si>
  <si>
    <t>WASHINGTON STATE RECYCLIN~RYAN GUILD</t>
  </si>
  <si>
    <t>CRANES CREATIONS INC~RYAN GUILD</t>
  </si>
  <si>
    <t>PAULAS HALLMARK 20~LYNSIE BRESSLER</t>
  </si>
  <si>
    <t>JRNLWA00384986</t>
  </si>
  <si>
    <t>WD Exp Report 12/2018</t>
  </si>
  <si>
    <t>Dec. 18- WD Expense Report-Destini Wilso</t>
  </si>
  <si>
    <t>JRNL00918177</t>
  </si>
  <si>
    <t>Dec. 18- WD Expense Report-Chris Giralde</t>
  </si>
  <si>
    <t>JRNLWA00385328</t>
  </si>
  <si>
    <t>Misc11 Bike Build Overages</t>
  </si>
  <si>
    <t>BikeBuild Overages 2180</t>
  </si>
  <si>
    <t>JRNL00918938</t>
  </si>
  <si>
    <t>JRNLWA00385362</t>
  </si>
  <si>
    <t>2018-12 EE Apprec. Party</t>
  </si>
  <si>
    <t>EE Apprec. Party</t>
  </si>
  <si>
    <t>JRNL00918979</t>
  </si>
  <si>
    <t>JRNLWA00385447</t>
  </si>
  <si>
    <t>2018-12 NLeMay PO Log Accrual</t>
  </si>
  <si>
    <t>PCARD: PO 04227: FAIRMONT: PCard: WRRA A</t>
  </si>
  <si>
    <t>JRNL00919242</t>
  </si>
  <si>
    <t>JRNLWA00385489</t>
  </si>
  <si>
    <t>JRNL00919304</t>
  </si>
  <si>
    <t>HARD LUCK BAR &amp; GRILL~CHRIS GIRALDES</t>
  </si>
  <si>
    <t>SAFEWAY #0547~RYAN GUILD</t>
  </si>
  <si>
    <t>RAM RESTAURANT  SUNRISE~CHRIS GIRALDES</t>
  </si>
  <si>
    <t>SMART FOODSERVICE 579~TRAVIS ROBERTSON</t>
  </si>
  <si>
    <t>JRNLWA00386690</t>
  </si>
  <si>
    <t>WD Exp Report 1/2019</t>
  </si>
  <si>
    <t>JRNL00922597</t>
  </si>
  <si>
    <t>JRNLWA00386949</t>
  </si>
  <si>
    <t>Misc03-Coding corrections</t>
  </si>
  <si>
    <t>TOTAL WINE AND MORE 1410~LYNSIE BRESSLER</t>
  </si>
  <si>
    <t>JRNL00923081</t>
  </si>
  <si>
    <t>FRED-MEYER #0265~LYNSIE BRESSLER</t>
  </si>
  <si>
    <t>EPROMOS PROMOTIONAL PRODU~RYAN GUILD</t>
  </si>
  <si>
    <t>BUSCH SYSTEMS INTL INC.~RYAN GUILD</t>
  </si>
  <si>
    <t>CROSS BORDER TRANS FEE~RYAN GUILD</t>
  </si>
  <si>
    <t>PAPA JOHN'S #4405~RYAN GUILD</t>
  </si>
  <si>
    <t>SQ  THE CAMP BAR~CHRIS GIRALDES</t>
  </si>
  <si>
    <t>HOTEL MURANO~CHRIS GIRALDES</t>
  </si>
  <si>
    <t>SAFEWAY #3228~TRAVIS ROBERTSON</t>
  </si>
  <si>
    <t>SAFEWAY #0547~TRAVIS ROBERTSON</t>
  </si>
  <si>
    <t>JRNLWA00388160</t>
  </si>
  <si>
    <t>WD Exp Report 2/2019</t>
  </si>
  <si>
    <t>Feb.19 WD Expense Report-Expense Report:</t>
  </si>
  <si>
    <t>JRNL00926146</t>
  </si>
  <si>
    <t>JRNLWA00388175</t>
  </si>
  <si>
    <t>WD Exp Report 2/2019-February</t>
  </si>
  <si>
    <t>Feb 19 WD Expense Report-Chris Giraldes</t>
  </si>
  <si>
    <t>JRNL00926256</t>
  </si>
  <si>
    <t>Feb 19 WD Expense Report-Destini Wilson</t>
  </si>
  <si>
    <t>JRNLWA00388461</t>
  </si>
  <si>
    <t>2019-02 Exp Report Accrual</t>
  </si>
  <si>
    <t>Chris Giraldes (102330)</t>
  </si>
  <si>
    <t>JRNL00926717</t>
  </si>
  <si>
    <t>JRNLWA00388667</t>
  </si>
  <si>
    <t>2019-02 Reclass Meeting Expens</t>
  </si>
  <si>
    <t>2019-02 Annual Event</t>
  </si>
  <si>
    <t>JRNL00927062</t>
  </si>
  <si>
    <t>JRNLWA00388719</t>
  </si>
  <si>
    <t>JRNL00927148</t>
  </si>
  <si>
    <t>JRNLWA00388569</t>
  </si>
  <si>
    <t>JRNL00926892</t>
  </si>
  <si>
    <t>BELLARMINE PREPARATORY SC~LYNSIE BRESSLE</t>
  </si>
  <si>
    <t>THE SALISH LODGE &amp; SPA~LYNSIE BRESSLER</t>
  </si>
  <si>
    <t>OFFICE DEPOT #1078~RYAN GUILD</t>
  </si>
  <si>
    <t>DOMINO'S 7091~CHRIS GIRALDES</t>
  </si>
  <si>
    <t>STEEL CREEK TACOMA~CHRIS GIRALDES</t>
  </si>
  <si>
    <t>THE HUB TACOMA~CHRIS GIRALDES</t>
  </si>
  <si>
    <t>SAFEWAY #0547~CHRIS GIRALDES</t>
  </si>
  <si>
    <t>UBF - TACOMA, WA~CHRIS GIRALDES</t>
  </si>
  <si>
    <t>Mar.19 WD Expense Report-Chris Giraldes</t>
  </si>
  <si>
    <t>JRNLWA00389947</t>
  </si>
  <si>
    <t>2019-03 Exp Report Accrual</t>
  </si>
  <si>
    <t>Deana Gakpe (158763)</t>
  </si>
  <si>
    <t>JRNL00929821</t>
  </si>
  <si>
    <t>JRNLWA00389955</t>
  </si>
  <si>
    <t>WALMART.COM 8009666546~RYAN GUILD</t>
  </si>
  <si>
    <t>JRNL00929829</t>
  </si>
  <si>
    <t>JRNLWA00389982</t>
  </si>
  <si>
    <t>2019-03 NLeMay PO Log Accrual</t>
  </si>
  <si>
    <t>PCARD: PO 01000: WALMART: PCard: CANDY -</t>
  </si>
  <si>
    <t>JRNL00929857</t>
  </si>
  <si>
    <t>JRNLWA00390061</t>
  </si>
  <si>
    <t>2019-03 Reclass Meeting Expens</t>
  </si>
  <si>
    <t>JRNL00930145</t>
  </si>
  <si>
    <t>JRNLWA00390389</t>
  </si>
  <si>
    <t>VUS000015003</t>
  </si>
  <si>
    <t>WESTERN WASHINGTON</t>
  </si>
  <si>
    <t>14035 - 2019 WASHINGTON STATE AND SPRING</t>
  </si>
  <si>
    <t>PO-2140-19-00651</t>
  </si>
  <si>
    <t>VO04988563</t>
  </si>
  <si>
    <t>JRNL00930854</t>
  </si>
  <si>
    <t>JRNLWA00390025</t>
  </si>
  <si>
    <t>JRNL00929938</t>
  </si>
  <si>
    <t>JRNLWA00390028</t>
  </si>
  <si>
    <t>JRNL00929941</t>
  </si>
  <si>
    <t>JRNLWA00390033</t>
  </si>
  <si>
    <t>JRNL00929946</t>
  </si>
  <si>
    <t>TST  FARRELLI S PIZZA - D~RYAN GUILD</t>
  </si>
  <si>
    <t>WINNING SEASONS~RYAN GUILD</t>
  </si>
  <si>
    <t>JRNLWA00390915</t>
  </si>
  <si>
    <t>WD Exp Report 4/2019</t>
  </si>
  <si>
    <t>Apr. 19 WD Expense Report-Deana Gakpe (1</t>
  </si>
  <si>
    <t>JRNL00932066</t>
  </si>
  <si>
    <t>JRNLWA00391413</t>
  </si>
  <si>
    <t>7122 DOMINOS PIZZA~CHRIS GIRALDES</t>
  </si>
  <si>
    <t>JRNL00933030</t>
  </si>
  <si>
    <t>SIGNUP  HUNGERWALK5KRUN~RYAN GUILD</t>
  </si>
  <si>
    <t>JRNLWA00391417</t>
  </si>
  <si>
    <t>2019 Tacoma Rainers Tickets</t>
  </si>
  <si>
    <t>JRNL00933034</t>
  </si>
  <si>
    <t>PCARD: PO 01056: WINNING SEASON: PCard:</t>
  </si>
  <si>
    <t>PCARD: PO 01365: HUNGER WALK: PCard: 4 M</t>
  </si>
  <si>
    <t>PCARD: PO 01399: HUNGER WALK: PCard: 1 T</t>
  </si>
  <si>
    <t>JRNLWA00391556</t>
  </si>
  <si>
    <t>Prepaids and Amortizations</t>
  </si>
  <si>
    <t>Sporting Tickets - Rainier</t>
  </si>
  <si>
    <t>JRNL00933395</t>
  </si>
  <si>
    <t>JRNLWA00391574</t>
  </si>
  <si>
    <t>Description required</t>
  </si>
  <si>
    <t>BrittanyJ</t>
  </si>
  <si>
    <t>0/JE STD</t>
  </si>
  <si>
    <t>Defer State Fair Expense</t>
  </si>
  <si>
    <t>JRNLWA00391509</t>
  </si>
  <si>
    <t>JRNL00933157</t>
  </si>
  <si>
    <t>JERSEY MIKES 18026~RYAN GUILD</t>
  </si>
  <si>
    <t>FRANKS DONUTS &amp; MUFFINS~RYAN GUILD</t>
  </si>
  <si>
    <t>FRED-MEYER #0265~CHRIS GIRALDES</t>
  </si>
  <si>
    <t>May 19 WD Expense Report-Peter Williams</t>
  </si>
  <si>
    <t>JRNLWA00392817</t>
  </si>
  <si>
    <t>JRNL00936288</t>
  </si>
  <si>
    <t>JRNLWA00392822</t>
  </si>
  <si>
    <t>JRNL00936293</t>
  </si>
  <si>
    <t>JRNLWA00392929</t>
  </si>
  <si>
    <t>2019-05 Pcard Accrual</t>
  </si>
  <si>
    <t>TARGET.COM~LYNSIE BRESSLER</t>
  </si>
  <si>
    <t>JRNL00936568</t>
  </si>
  <si>
    <t>VISTAPR VISTAPRINT.COM~LYNSIE BRESSLER</t>
  </si>
  <si>
    <t>JRNLWA00392979</t>
  </si>
  <si>
    <t>JRNL00936604</t>
  </si>
  <si>
    <t>JRNLWA00392887</t>
  </si>
  <si>
    <t>JRNL00936389</t>
  </si>
  <si>
    <t>JRNLWA00393018</t>
  </si>
  <si>
    <t>JRNL00936593</t>
  </si>
  <si>
    <t>COSTCO BUS CENTER 767~RYAN GUILD</t>
  </si>
  <si>
    <t>WAL-MART #3525~CHRIS GIRALDES</t>
  </si>
  <si>
    <t>June 19 WD Expense Report-Chris Giraldes</t>
  </si>
  <si>
    <t>SAFEWAY #2640~RYAN GUILD</t>
  </si>
  <si>
    <t>FRED-MEYER #0265~RYAN GUILD</t>
  </si>
  <si>
    <t>QDOBA 2561~CHRIS GIRALDES</t>
  </si>
  <si>
    <t>SAFEWAY #3228~CHRIS GIRALDES</t>
  </si>
  <si>
    <t>SUBWAY        00443960~CHRIS GIRALDES</t>
  </si>
  <si>
    <t>JRNLWA00394216</t>
  </si>
  <si>
    <t>2019-06 NLeMay PO Log Accrual</t>
  </si>
  <si>
    <t>PCARD: PO 01943: LEMAY MARYMOUNT EVENT C</t>
  </si>
  <si>
    <t>JRNL00939464</t>
  </si>
  <si>
    <t>JRNLWA00394219</t>
  </si>
  <si>
    <t>JRNL00939467</t>
  </si>
  <si>
    <t>JRNLWA00394360</t>
  </si>
  <si>
    <t>JRNL00939878</t>
  </si>
  <si>
    <t>JRNLWA00394253</t>
  </si>
  <si>
    <t>JRNL00939501</t>
  </si>
  <si>
    <t>LEMAY COLLECTION FOUNDATI~RYAN GUILD</t>
  </si>
  <si>
    <t>AMZN MKTP US MH5MH36F0~LYNSIE BRESSLER</t>
  </si>
  <si>
    <t>AMAZON.COM MH04L4R22 AMZN~LYNSIE BRESSLE</t>
  </si>
  <si>
    <t>FRED-MEYER #0424~RYAN GUILD</t>
  </si>
  <si>
    <t>SAFEWAY #3228~RYAN GUILD</t>
  </si>
  <si>
    <t>SAFEWAY #1645~CHRIS GIRALDES</t>
  </si>
  <si>
    <t>WILLIAMS FLOWER &amp; GIFT RI~RYAN GUILD</t>
  </si>
  <si>
    <t>JRNLWA00395181</t>
  </si>
  <si>
    <t>WD Exp Report 7/2019</t>
  </si>
  <si>
    <t>July 19 WD Expense Report- Jeremiah Day</t>
  </si>
  <si>
    <t>JRNL00941827</t>
  </si>
  <si>
    <t>July 19 WD Expense Report- Amanda Fujiur</t>
  </si>
  <si>
    <t>July 19 WD Expense Report- Destini Wilso</t>
  </si>
  <si>
    <t>July 19 WD Expense Report- Brittany Mani</t>
  </si>
  <si>
    <t>70095-2180-700-00</t>
  </si>
  <si>
    <t>July 19 WD Expense Report- Tera Glenn (1</t>
  </si>
  <si>
    <t>JRNLWA00395586</t>
  </si>
  <si>
    <t>SMART FOODSERVICE 579~RYAN GUILD</t>
  </si>
  <si>
    <t>JRNL00942689</t>
  </si>
  <si>
    <t>JRNLWA00395592</t>
  </si>
  <si>
    <t>JRNL00942695</t>
  </si>
  <si>
    <t>Poker Ride Prizes</t>
  </si>
  <si>
    <t>JRNLWA00395737</t>
  </si>
  <si>
    <t>JRNL00942896</t>
  </si>
  <si>
    <t>JRNLWA00395611</t>
  </si>
  <si>
    <t>JRNL00942727</t>
  </si>
  <si>
    <t>WALMART.COM 8009666546~LYNSIE BRESSLER</t>
  </si>
  <si>
    <t>COSTCO BUS CENTER 767~MARLENE EADES</t>
  </si>
  <si>
    <t>PAYPAL  STEWARTMARK~LYNSIE BRESSLER</t>
  </si>
  <si>
    <t>PUYALLUP - TRACKSIDE P~LYNSIE BRESSLER</t>
  </si>
  <si>
    <t>SPORTCO &amp; OUTDOOR EMPORI~LYNSIE BRESSLER</t>
  </si>
  <si>
    <t>SPORTCO.COM~LYNSIE BRESSLER</t>
  </si>
  <si>
    <t>MAN CRATES STORE~LYNSIE BRESSLER</t>
  </si>
  <si>
    <t>COSTCO WHSE #0767~CHARLOTTE HARTVIGSON</t>
  </si>
  <si>
    <t>COSTCO WHSE #0660~CHARLOTTE HARTVIGSON</t>
  </si>
  <si>
    <t>FRED-MEYER #0265~CHARLOTTE HARTVIGSON</t>
  </si>
  <si>
    <t>TOTAL WINE AND MORE 1410~CHARLOTTE HARTV</t>
  </si>
  <si>
    <t>NW CUSTOM APPAREL~CHARLOTTE HARTVIGSON</t>
  </si>
  <si>
    <t>SEATTLE MARINERS CONC 006~CHARLOTTE HART</t>
  </si>
  <si>
    <t>LUXURY LIMO OF SEATTLE~CHARLOTTE HARTVIG</t>
  </si>
  <si>
    <t>SEATTLE MARINERS CATER  0~CHARLOTTE HART</t>
  </si>
  <si>
    <t>BUMPYS~CHRIS GIRALDES</t>
  </si>
  <si>
    <t>SEATTLE MARINERS CONC 006~CHRIS GIRALDES</t>
  </si>
  <si>
    <t>HONEY BUCKET~RYAN GUILD</t>
  </si>
  <si>
    <t>CI SHENANIGANS  TACOMA~RYAN GUILD</t>
  </si>
  <si>
    <t>THE CLASSIC GOLF CLUB~CHRIS GIRALDES</t>
  </si>
  <si>
    <t>THE HOME COURSE~RYAN GUILD</t>
  </si>
  <si>
    <t>PLAZA JALISCO MORTON~ARIN ROBERTSON</t>
  </si>
  <si>
    <t>JRNLWA00396701</t>
  </si>
  <si>
    <t>WD Exp Report 8/2019</t>
  </si>
  <si>
    <t>August19 WD Expense Report- Jana Maki (1</t>
  </si>
  <si>
    <t>JRNL00945234</t>
  </si>
  <si>
    <t>JRNLWA00396999</t>
  </si>
  <si>
    <t>JRNL00945643</t>
  </si>
  <si>
    <t>JRNLWA00397002</t>
  </si>
  <si>
    <t>JRNL00945646</t>
  </si>
  <si>
    <t>Pierce Co United Team Event</t>
  </si>
  <si>
    <t>JRNLWA00397230</t>
  </si>
  <si>
    <t>2019-08 Pcard Accrual</t>
  </si>
  <si>
    <t>BRANKS BBQ &amp; CATERING~CHARLOTTE HARTVIGS</t>
  </si>
  <si>
    <t>JRNL00946238</t>
  </si>
  <si>
    <t>JRNLWA00397236</t>
  </si>
  <si>
    <t>JRNL00946244</t>
  </si>
  <si>
    <t>JRNLWA00397041</t>
  </si>
  <si>
    <t>JRNL00945674</t>
  </si>
  <si>
    <t>JRNLWA00397279</t>
  </si>
  <si>
    <t>JRNL00946418</t>
  </si>
  <si>
    <t>AIRBNB  HMAETR3FKT~LYNSIE BRESSLER</t>
  </si>
  <si>
    <t>STUBHUB, INC.~LYNSIE BRESSLER</t>
  </si>
  <si>
    <t>FTD.COM~LYNSIE BRESSLER</t>
  </si>
  <si>
    <t>TLF BUDS AND BLOOMS AT SO~RYAN GUILD</t>
  </si>
  <si>
    <t>TLF YELM FLORAL~RYAN GUILD</t>
  </si>
  <si>
    <t>TST  HOPS N DROPS - FREDE~CHRIS GIRALDES</t>
  </si>
  <si>
    <t>SUBWAY        00443960~TERA GLENN</t>
  </si>
  <si>
    <t>JRNLWA00398249</t>
  </si>
  <si>
    <t>WD Exp Report 9/2019</t>
  </si>
  <si>
    <t>Sept 19 WD Expense Report- Destini Wilso</t>
  </si>
  <si>
    <t>JRNL00948595</t>
  </si>
  <si>
    <t>Sept 19 WD Expense Report- Chris Giralde</t>
  </si>
  <si>
    <t>2019 State Fair</t>
  </si>
  <si>
    <t>2019 Family Day PDZ</t>
  </si>
  <si>
    <t>JRNLWA00398644</t>
  </si>
  <si>
    <t>JRNL00949532</t>
  </si>
  <si>
    <t>Sporting Tickets - Huskies</t>
  </si>
  <si>
    <t>REGAL CINEMAS MOBILE APP~LYNSIE BRESSLER</t>
  </si>
  <si>
    <t>COSTCO BUS CENTER 767~TERA GLENN</t>
  </si>
  <si>
    <t>LITTLE CAESARS 2086-0001~RYAN GUILD</t>
  </si>
  <si>
    <t>ALBERTSONS #0493~RYAN GUILD</t>
  </si>
  <si>
    <t>SAFEWAY #1798~TERA GLENN</t>
  </si>
  <si>
    <t>LEGENDARY DOUGHNUTS~RYAN GUILD</t>
  </si>
  <si>
    <t>PARTY CITY 464~TERA GLENN</t>
  </si>
  <si>
    <t>OTC BRANDS  INC~TERA GLENN</t>
  </si>
  <si>
    <t>WALMART.COM 8009666546~TERA GLENN</t>
  </si>
  <si>
    <t>WINNING SEASONS~TERA GLENN</t>
  </si>
  <si>
    <t>JRNLWA00399700</t>
  </si>
  <si>
    <t>WD Exp Report 10/2019</t>
  </si>
  <si>
    <t>Oct 19- WD Expense Report-Matthew O'Conn</t>
  </si>
  <si>
    <t>JRNL00951897</t>
  </si>
  <si>
    <t>CRANES CREATIONS INC~TERA GLENN</t>
  </si>
  <si>
    <t>JRNLWA00400148</t>
  </si>
  <si>
    <t>2019-10 Pcard Accrual</t>
  </si>
  <si>
    <t>4IMPRINT~LYNSIE BRESSLER</t>
  </si>
  <si>
    <t>JRNL00952882</t>
  </si>
  <si>
    <t>JRNLWA00400155</t>
  </si>
  <si>
    <t>JRNL00952889</t>
  </si>
  <si>
    <t>JRNLWA00400255</t>
  </si>
  <si>
    <t>JRNL00953051</t>
  </si>
  <si>
    <t>NORTHWEST EMBROIDERY~LYNSIE BRESSLER</t>
  </si>
  <si>
    <t>TOTAL WINE COM 1410~LYNSIE BRESSLER</t>
  </si>
  <si>
    <t>DJ TROPHIES AND IMPRINTS~LYNSIE BRESSLER</t>
  </si>
  <si>
    <t>DOLLARTREE~LYNSIE BRESSLER</t>
  </si>
  <si>
    <t>7-ELEVEN 16686~RYAN GUILD</t>
  </si>
  <si>
    <t>DOYLE PRINTING CO~TERA GLENN</t>
  </si>
  <si>
    <t>FRED-MEYER #0424~TERA GLENN</t>
  </si>
  <si>
    <t>1-800-FLOWERS.COM,INC.~LYNSIE BRESSLER</t>
  </si>
  <si>
    <t>PUGETSOUND FARMTABLES~MARIA FINLEY</t>
  </si>
  <si>
    <t>JRNLWA00401117</t>
  </si>
  <si>
    <t>WD Exp Report 11/2019</t>
  </si>
  <si>
    <t>Nov 19- WD Expense Report- Frederick Vah</t>
  </si>
  <si>
    <t>JRNL00955024</t>
  </si>
  <si>
    <t>Nov 19- WD Expense Report- Matthew O'Con</t>
  </si>
  <si>
    <t>WM SUPERCENTER #3218~TERA GLENN</t>
  </si>
  <si>
    <t>THE HOME DEPOT 4747~TERA GLENN</t>
  </si>
  <si>
    <t>JRNLWA00401532</t>
  </si>
  <si>
    <t>JRNL00955825</t>
  </si>
  <si>
    <t>CSR Tooty Award</t>
  </si>
  <si>
    <t>Recruiting Materials</t>
  </si>
  <si>
    <t>Office Snacks/Coffee</t>
  </si>
  <si>
    <t>Award Plaques</t>
  </si>
  <si>
    <t>Region OH Calculation</t>
  </si>
  <si>
    <t>2017 %</t>
  </si>
  <si>
    <t>2017</t>
  </si>
  <si>
    <t>2018</t>
  </si>
  <si>
    <t xml:space="preserve"> Dec. 1, 2018 - Nov. 30, 2019 </t>
  </si>
  <si>
    <t>Jan-Sep</t>
  </si>
  <si>
    <t>2018 %</t>
  </si>
  <si>
    <t>District</t>
  </si>
  <si>
    <t>Allocation Percentage</t>
  </si>
  <si>
    <t>Oct-Dec</t>
  </si>
  <si>
    <t>REGION G&amp;A STATEMENT</t>
  </si>
  <si>
    <t>Variable Qualifying Lease Expense</t>
  </si>
  <si>
    <t>(A)</t>
  </si>
  <si>
    <t>(A)  Immaterial variance</t>
  </si>
  <si>
    <t>Multi-Family Cost of Proceeds Calculation</t>
  </si>
  <si>
    <t>Month</t>
  </si>
  <si>
    <t>Cost/Ton</t>
  </si>
  <si>
    <t>44168 Expense</t>
  </si>
  <si>
    <t>Container Repair Allocation</t>
  </si>
  <si>
    <t>Container Delivery Wages</t>
  </si>
  <si>
    <t>Container (Steel) Repair Wages</t>
  </si>
  <si>
    <t>Direct Allocation to Garbage</t>
  </si>
  <si>
    <t>Cust Cnt Exclude YW</t>
  </si>
  <si>
    <t>Cust Count Exclude YW</t>
  </si>
  <si>
    <t>Tariff Increase</t>
  </si>
  <si>
    <t>Annual Increase</t>
  </si>
  <si>
    <t>New Tariff Rate</t>
  </si>
  <si>
    <t>Proposed Annual Revenue</t>
  </si>
  <si>
    <t>Increase per LG</t>
  </si>
  <si>
    <t>Calculation of Federal Tons Disposal Differential</t>
  </si>
  <si>
    <t>Federal Tons</t>
  </si>
  <si>
    <t>Regular Tip Fee</t>
  </si>
  <si>
    <t>Fed Tip Fee</t>
  </si>
  <si>
    <t>Reduction to JBLM Housing Rate to be moved to Regular UTC Customers</t>
  </si>
  <si>
    <t>Total Federal Garbage Revenue</t>
  </si>
  <si>
    <t>Additional % Decrease</t>
  </si>
  <si>
    <t>Regular UTC Revenue</t>
  </si>
  <si>
    <t>% Needed to Spread Disposal to Regular UTC Cust</t>
  </si>
  <si>
    <t>Fed Tons Adjust</t>
  </si>
  <si>
    <t>Plug to Balance</t>
  </si>
  <si>
    <t>Total % Change</t>
  </si>
  <si>
    <t>Beginning Revenue</t>
  </si>
  <si>
    <t>Ending Revenue</t>
  </si>
  <si>
    <t>Increase/(Decrease)</t>
  </si>
  <si>
    <t>Per LG</t>
  </si>
  <si>
    <t>Diff</t>
  </si>
  <si>
    <t>Reg Price Out</t>
  </si>
  <si>
    <t>Pierce County Refuse G-98</t>
  </si>
  <si>
    <t>Increase %'s</t>
  </si>
  <si>
    <t>Res Recycling</t>
  </si>
  <si>
    <t>Current Tariff Rates</t>
  </si>
  <si>
    <t>Item 50, Pg. 14</t>
  </si>
  <si>
    <t>Returned check</t>
  </si>
  <si>
    <t>Item 51, Pg. 15</t>
  </si>
  <si>
    <t>Restart fee</t>
  </si>
  <si>
    <t>Item 52, Pg. 15</t>
  </si>
  <si>
    <t>Redelivery Fees</t>
  </si>
  <si>
    <t>Garbage Carts (see item 70)</t>
  </si>
  <si>
    <t>Item 55, Pg. 16</t>
  </si>
  <si>
    <t>Over size can or unit</t>
  </si>
  <si>
    <t>Item 60, Pg. 16</t>
  </si>
  <si>
    <t>Overtime</t>
  </si>
  <si>
    <t>Charge per hour</t>
  </si>
  <si>
    <t>Minimum</t>
  </si>
  <si>
    <t>Item 70, Pg. 17</t>
  </si>
  <si>
    <t>Return Trips</t>
  </si>
  <si>
    <t>Can, unit, mini-can, micro mini-can</t>
  </si>
  <si>
    <t>Container</t>
  </si>
  <si>
    <t>Toter, 65 gallon</t>
  </si>
  <si>
    <t>Toter, 95 gallon</t>
  </si>
  <si>
    <t>Item 80, Pg. 19</t>
  </si>
  <si>
    <t>Carry-Out</t>
  </si>
  <si>
    <t>5-25 feet</t>
  </si>
  <si>
    <t>25+ feet, add</t>
  </si>
  <si>
    <t>Drive-In</t>
  </si>
  <si>
    <t>Residential 125+ feet</t>
  </si>
  <si>
    <t>for ea. 1/10 mile over 1/10 mile</t>
  </si>
  <si>
    <t>Commercial 125+ feet</t>
  </si>
  <si>
    <t>Primitive private road</t>
  </si>
  <si>
    <t>Item 90, Pg. 20</t>
  </si>
  <si>
    <t>Special Services</t>
  </si>
  <si>
    <t>Stairs (each step up or down)</t>
  </si>
  <si>
    <t>Overheard obstruction</t>
  </si>
  <si>
    <t>Sunken/elevated</t>
  </si>
  <si>
    <t xml:space="preserve">Gate Charge </t>
  </si>
  <si>
    <t>Item 100, Pg. 21</t>
  </si>
  <si>
    <t>Weekly Service With Recycling</t>
  </si>
  <si>
    <t xml:space="preserve">35 gallon cart </t>
  </si>
  <si>
    <t xml:space="preserve">65 gallon cart </t>
  </si>
  <si>
    <t xml:space="preserve">95 gallon cart </t>
  </si>
  <si>
    <t>Weekly Service Without Recycling</t>
  </si>
  <si>
    <t>EOW Service With Recycling</t>
  </si>
  <si>
    <t>EOW Service Without Recycling</t>
  </si>
  <si>
    <t>Monthly Service With Recycling</t>
  </si>
  <si>
    <t>Monthly Service Without Recycling</t>
  </si>
  <si>
    <t>With garbage</t>
  </si>
  <si>
    <t>Recycling only</t>
  </si>
  <si>
    <t>Bi-weekly Yard Waste</t>
  </si>
  <si>
    <t>Yard Waste (per unit)</t>
  </si>
  <si>
    <t>Special pickup (per unit)</t>
  </si>
  <si>
    <t>Item 100, Pg. 22</t>
  </si>
  <si>
    <t>Roll-out charge</t>
  </si>
  <si>
    <t>Cart, toter, per pickup</t>
  </si>
  <si>
    <t>Extras</t>
  </si>
  <si>
    <t>32 gallon can or unit</t>
  </si>
  <si>
    <t>65 gallon cart</t>
  </si>
  <si>
    <t>95 gallon cart</t>
  </si>
  <si>
    <t>Yard waste (up to 40 lb/bag)</t>
  </si>
  <si>
    <t>Prepaid Bag</t>
  </si>
  <si>
    <t>On Call</t>
  </si>
  <si>
    <t>Can/unit (ea.)</t>
  </si>
  <si>
    <t>Damaged or not returned</t>
  </si>
  <si>
    <t>Cart (per unit)</t>
  </si>
  <si>
    <t>Item 105, Pg. 24</t>
  </si>
  <si>
    <t>Multi- family Recycling</t>
  </si>
  <si>
    <t>Participants (per unit)</t>
  </si>
  <si>
    <t>Non-participants (per unit)</t>
  </si>
  <si>
    <t>Item 105, Pg. 24-A</t>
  </si>
  <si>
    <t>Joint Base Lewis-McChord</t>
  </si>
  <si>
    <t xml:space="preserve">Weekly Service </t>
  </si>
  <si>
    <t xml:space="preserve">EOW Recycle Service </t>
  </si>
  <si>
    <t xml:space="preserve">EOW Yard Waste Service </t>
  </si>
  <si>
    <t>Item 105, Pg. 24-B</t>
  </si>
  <si>
    <t>32 gallon unit (bag)</t>
  </si>
  <si>
    <t>Item 105, Pg. 24-C</t>
  </si>
  <si>
    <t>First Pickup</t>
  </si>
  <si>
    <t>1 yard</t>
  </si>
  <si>
    <t>1.5 yard</t>
  </si>
  <si>
    <t>2 yard</t>
  </si>
  <si>
    <t>3 yard</t>
  </si>
  <si>
    <t>4 yard</t>
  </si>
  <si>
    <t>6 yard</t>
  </si>
  <si>
    <t>8 yard</t>
  </si>
  <si>
    <t>Each Additional Pickup</t>
  </si>
  <si>
    <t>Special Pickups</t>
  </si>
  <si>
    <t>Temporary Service</t>
  </si>
  <si>
    <t>Initial Delivery</t>
  </si>
  <si>
    <t>Pickup Rate</t>
  </si>
  <si>
    <t>Rent Per Calendar Day</t>
  </si>
  <si>
    <t xml:space="preserve">Recycling </t>
  </si>
  <si>
    <t>Monthly rate (per dwelling unit)</t>
  </si>
  <si>
    <t>Item 107, Pg. 25</t>
  </si>
  <si>
    <t>Monthly Cost Fee</t>
  </si>
  <si>
    <t xml:space="preserve">Fixed Cost Fee </t>
  </si>
  <si>
    <t>Variable Cost Fee</t>
  </si>
  <si>
    <t>Item 150, Pg. 26</t>
  </si>
  <si>
    <t>Loose and Bulky Material</t>
  </si>
  <si>
    <t>Bulky</t>
  </si>
  <si>
    <t>Rate per yard (1-4 cubic yards)</t>
  </si>
  <si>
    <t>Additional cubic yards</t>
  </si>
  <si>
    <t>Minimum charge/pickup</t>
  </si>
  <si>
    <t>Carry charge (per ea. 5 feet over 8 feet)</t>
  </si>
  <si>
    <t>Loose (company loads)</t>
  </si>
  <si>
    <t>Currents rates are the same as Bulking, DF proposed a +.22 increase, assuming this represents commerical loads</t>
  </si>
  <si>
    <t>Item 160, Pg. 27</t>
  </si>
  <si>
    <t>Time Rates</t>
  </si>
  <si>
    <t>Single rear drive axle</t>
  </si>
  <si>
    <t>Truck and Driver</t>
  </si>
  <si>
    <t>Non-packer truck</t>
  </si>
  <si>
    <t>Packer truck</t>
  </si>
  <si>
    <t>Drop-box truck</t>
  </si>
  <si>
    <t>Ea. Extra Person</t>
  </si>
  <si>
    <t>Tandem Rear Drive Axle</t>
  </si>
  <si>
    <t>Extra person</t>
  </si>
  <si>
    <t>Transfer Trucks</t>
  </si>
  <si>
    <t>Dump truck with pup trailer</t>
  </si>
  <si>
    <t>4-Axle tractor with end dump trailer</t>
  </si>
  <si>
    <t>4-Axle tractor with cargo chassis</t>
  </si>
  <si>
    <t>Item 205, Pg. 29</t>
  </si>
  <si>
    <t>Roll-Out (Container, Automated Carts/Toters)</t>
  </si>
  <si>
    <t>25+ feet per 5 feet increment, add</t>
  </si>
  <si>
    <t>Item 207, Pg. 30</t>
  </si>
  <si>
    <t>Overweight</t>
  </si>
  <si>
    <t>All Containers (per lb)</t>
  </si>
  <si>
    <t>Item 210, Pg. 31</t>
  </si>
  <si>
    <t>Washing/Sanitizing Containers, Drop Boxes</t>
  </si>
  <si>
    <t>Per yard (all sizes)</t>
  </si>
  <si>
    <t>Item 230, Pg. 32</t>
  </si>
  <si>
    <t>Disposal Fees</t>
  </si>
  <si>
    <t>MSW (per ton)</t>
  </si>
  <si>
    <t>Appliance with Freon (per unit)</t>
  </si>
  <si>
    <t>Joint Base Lewis-McCord ( per ton)</t>
  </si>
  <si>
    <t>Item 240, Pg. 33</t>
  </si>
  <si>
    <t>Permanent Service</t>
  </si>
  <si>
    <t>Lost Containers</t>
  </si>
  <si>
    <t>Item 245, Pg. 34</t>
  </si>
  <si>
    <t>Container Services</t>
  </si>
  <si>
    <t>Permanent Services</t>
  </si>
  <si>
    <t>32 gallon - 1-5 units grouped</t>
  </si>
  <si>
    <t>32 gallon - Over 5 units grouped</t>
  </si>
  <si>
    <t>Single cans not grouped</t>
  </si>
  <si>
    <t>32 gallon can</t>
  </si>
  <si>
    <t>Special Pickup</t>
  </si>
  <si>
    <t>32 gallon can, one unit</t>
  </si>
  <si>
    <t>32 gallon can/unit (additional units)</t>
  </si>
  <si>
    <t>Damage</t>
  </si>
  <si>
    <t>Per occurrence</t>
  </si>
  <si>
    <t>Item 255, Pg. 35</t>
  </si>
  <si>
    <t>Permanent Service - Compacted Material</t>
  </si>
  <si>
    <t>Each Pickup</t>
  </si>
  <si>
    <t xml:space="preserve">Accessorial charges </t>
  </si>
  <si>
    <t>Unlocking/Unlatching</t>
  </si>
  <si>
    <t>Compactor Disconnect/Reconnect</t>
  </si>
  <si>
    <t>Item 260, Pg. 36</t>
  </si>
  <si>
    <t>Permanent Service - Non-Compacted Material</t>
  </si>
  <si>
    <t>Monthly Rent</t>
  </si>
  <si>
    <t>20 yard</t>
  </si>
  <si>
    <t>25 yard</t>
  </si>
  <si>
    <t>30 yard</t>
  </si>
  <si>
    <t>40 yard</t>
  </si>
  <si>
    <t>Mileage</t>
  </si>
  <si>
    <t xml:space="preserve">Excess miles per (per mile &gt;5 miles) </t>
  </si>
  <si>
    <t>Lids, tarping</t>
  </si>
  <si>
    <t>Item 275, Pg. 38</t>
  </si>
  <si>
    <t>Pickups</t>
  </si>
  <si>
    <t>10 yard</t>
  </si>
  <si>
    <t>15 yard</t>
  </si>
  <si>
    <t>35 yard</t>
  </si>
  <si>
    <t>Rate Sheet</t>
  </si>
  <si>
    <t>Disposal Increase 3/1/2020</t>
  </si>
  <si>
    <t>Proposed New Rates 3/1/2020</t>
  </si>
  <si>
    <t>Fed Garbage</t>
  </si>
  <si>
    <t xml:space="preserve">JBLM Housing Garbage Service </t>
  </si>
  <si>
    <t>JBLM Housing Garbage Extras</t>
  </si>
  <si>
    <t>JBLM Federal Contract</t>
  </si>
  <si>
    <t>Fort Lewis (Not Contract)</t>
  </si>
  <si>
    <t>TOTAL</t>
  </si>
  <si>
    <t>November 30, 2019</t>
  </si>
  <si>
    <t>CONFIDENTIAL PER WAC 480-07-160</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</si>
</sst>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
    <numFmt numFmtId="167" formatCode="General_)"/>
    <numFmt numFmtId="168" formatCode="0%;\(0%\);&quot;&quot;"/>
    <numFmt numFmtId="169" formatCode="m/d/yy\ h:mm\ AM/PM"/>
    <numFmt numFmtId="170" formatCode="_(* #,##0,_);_(* \(#,##0,\);_(* &quot;-&quot;??_);_(@_)"/>
    <numFmt numFmtId="171" formatCode="_(&quot;$&quot;* #,##0_);_(&quot;$&quot;* \(#,##0\);_(&quot;$&quot;* &quot;-&quot;??_);_(@_)"/>
    <numFmt numFmtId="172" formatCode="&quot;$&quot;#,##0\ ;\(&quot;$&quot;#,##0\)"/>
    <numFmt numFmtId="173" formatCode="&quot;$&quot;#,##0"/>
    <numFmt numFmtId="174" formatCode="0.00000"/>
    <numFmt numFmtId="175" formatCode="m/d/yy;@"/>
    <numFmt numFmtId="176" formatCode="#,##0.0000_);\(#,##0.0000\)"/>
    <numFmt numFmtId="177" formatCode="0.000%"/>
    <numFmt numFmtId="178" formatCode="_-* #,##0.00_-;\-* #,##0.00_-;_-* &quot;-&quot;??_-;_-@_-"/>
    <numFmt numFmtId="179" formatCode="#,##0.000_);\(#,##0.000\)"/>
    <numFmt numFmtId="180" formatCode="#,##0.00000_);\(#,##0.00000\)"/>
    <numFmt numFmtId="181" formatCode="mm\-yy;\-0;;@"/>
    <numFmt numFmtId="182" formatCode=".00#####;\-.00####;;@"/>
    <numFmt numFmtId="183" formatCode="_([$€-2]* #,##0.00_);_([$€-2]* \(#,##0.00\);_([$€-2]* &quot;-&quot;??_)"/>
    <numFmt numFmtId="184" formatCode="_(* #,##0.0000_);_(* \(#,##0.0000\);_(* &quot;-&quot;??_);_(@_)"/>
    <numFmt numFmtId="185" formatCode="_(&quot;$&quot;* #,##0.0000_);_(&quot;$&quot;* \(#,##0.0000\);_(&quot;$&quot;* &quot;-&quot;??_);_(@_)"/>
    <numFmt numFmtId="186" formatCode="0.000"/>
    <numFmt numFmtId="187" formatCode="_(&quot;$&quot;* #,##0.000_);_(&quot;$&quot;* \(#,##0.000\);_(&quot;$&quot;* &quot;-&quot;??_);_(@_)"/>
    <numFmt numFmtId="188" formatCode="_(* #,##0.00000_);_(* \(#,##0.00000\);_(* &quot;-&quot;??_);_(@_)"/>
  </numFmts>
  <fonts count="21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b/>
      <sz val="8"/>
      <name val="Arial"/>
      <family val="2"/>
    </font>
    <font>
      <sz val="8"/>
      <name val="Arial"/>
      <family val="2"/>
    </font>
    <font>
      <sz val="10"/>
      <name val="Arial"/>
      <family val="2"/>
    </font>
    <font>
      <sz val="12"/>
      <name val="Helv"/>
    </font>
    <font>
      <b/>
      <sz val="8"/>
      <color indexed="10"/>
      <name val="Arial"/>
      <family val="2"/>
    </font>
    <font>
      <sz val="11"/>
      <color indexed="17"/>
      <name val="Calibri"/>
      <family val="2"/>
    </font>
    <font>
      <u/>
      <sz val="9.35"/>
      <color theme="10"/>
      <name val="Calibri"/>
      <family val="2"/>
    </font>
    <font>
      <sz val="10"/>
      <name val="MS Sans Serif"/>
      <family val="2"/>
    </font>
    <font>
      <sz val="12"/>
      <name val="Arial"/>
      <family val="2"/>
    </font>
    <font>
      <sz val="10"/>
      <color indexed="8"/>
      <name val="Arial"/>
      <family val="2"/>
    </font>
    <font>
      <sz val="7"/>
      <name val="Arial"/>
      <family val="2"/>
    </font>
    <font>
      <sz val="12"/>
      <color indexed="8"/>
      <name val="Arial"/>
      <family val="2"/>
    </font>
    <font>
      <b/>
      <sz val="12"/>
      <color indexed="8"/>
      <name val="Arial"/>
      <family val="2"/>
    </font>
    <font>
      <sz val="12"/>
      <color indexed="12"/>
      <name val="Arial"/>
      <family val="2"/>
    </font>
    <font>
      <sz val="12"/>
      <color indexed="16"/>
      <name val="Arial"/>
      <family val="2"/>
    </font>
    <font>
      <b/>
      <sz val="12"/>
      <color indexed="12"/>
      <name val="Arial"/>
      <family val="2"/>
    </font>
    <font>
      <b/>
      <sz val="10"/>
      <color indexed="16"/>
      <name val="Arial"/>
      <family val="2"/>
    </font>
    <font>
      <b/>
      <sz val="10"/>
      <name val="Arial"/>
      <family val="2"/>
    </font>
    <font>
      <b/>
      <sz val="10"/>
      <color indexed="8"/>
      <name val="Arial"/>
      <family val="2"/>
    </font>
    <font>
      <sz val="7"/>
      <color indexed="8"/>
      <name val="Arial"/>
      <family val="2"/>
    </font>
    <font>
      <b/>
      <i/>
      <sz val="10"/>
      <color rgb="FFFF0000"/>
      <name val="Arial"/>
      <family val="2"/>
    </font>
    <font>
      <b/>
      <sz val="12"/>
      <color rgb="FFFF0000"/>
      <name val="Arial"/>
      <family val="2"/>
    </font>
    <font>
      <b/>
      <sz val="10"/>
      <color rgb="FFFF0000"/>
      <name val="Arial"/>
      <family val="2"/>
    </font>
    <font>
      <sz val="11"/>
      <name val="Calibri"/>
      <family val="2"/>
      <scheme val="minor"/>
    </font>
    <font>
      <sz val="11"/>
      <color rgb="FF006100"/>
      <name val="Calibri"/>
      <family val="2"/>
      <scheme val="minor"/>
    </font>
    <font>
      <sz val="11"/>
      <color indexed="8"/>
      <name val="Calibri"/>
      <family val="2"/>
    </font>
    <font>
      <b/>
      <sz val="9"/>
      <color indexed="81"/>
      <name val="Tahoma"/>
      <family val="2"/>
    </font>
    <font>
      <sz val="9"/>
      <color indexed="81"/>
      <name val="Tahoma"/>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1"/>
      <color indexed="8"/>
      <name val="Arial"/>
      <family val="2"/>
    </font>
    <font>
      <sz val="12"/>
      <name val="CG Omega"/>
      <family val="2"/>
    </font>
    <font>
      <sz val="12"/>
      <name val="Courier"/>
      <family val="3"/>
    </font>
    <font>
      <sz val="9"/>
      <color indexed="8"/>
      <name val="Arial"/>
      <family val="2"/>
    </font>
    <font>
      <b/>
      <sz val="10"/>
      <color indexed="12"/>
      <name val="Arial"/>
      <family val="2"/>
    </font>
    <font>
      <i/>
      <sz val="11"/>
      <color indexed="23"/>
      <name val="Calibri"/>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b/>
      <sz val="11"/>
      <color indexed="61"/>
      <name val="Calibri"/>
      <family val="2"/>
    </font>
    <font>
      <u/>
      <sz val="11"/>
      <color indexed="12"/>
      <name val="Calibri"/>
      <family val="2"/>
    </font>
    <font>
      <u/>
      <sz val="11"/>
      <color theme="10"/>
      <name val="Calibri"/>
      <family val="2"/>
    </font>
    <font>
      <sz val="11"/>
      <color indexed="61"/>
      <name val="Calibri"/>
      <family val="2"/>
    </font>
    <font>
      <sz val="11"/>
      <color indexed="62"/>
      <name val="Calibri"/>
      <family val="2"/>
    </font>
    <font>
      <sz val="10"/>
      <color indexed="12"/>
      <name val="Arial"/>
      <family val="2"/>
    </font>
    <font>
      <sz val="11"/>
      <color indexed="52"/>
      <name val="Calibri"/>
      <family val="2"/>
    </font>
    <font>
      <sz val="11"/>
      <color indexed="60"/>
      <name val="Calibri"/>
      <family val="2"/>
    </font>
    <font>
      <sz val="11"/>
      <color theme="1"/>
      <name val="Arial"/>
      <family val="2"/>
    </font>
    <font>
      <i/>
      <sz val="10"/>
      <color indexed="10"/>
      <name val="Arial"/>
      <family val="2"/>
    </font>
    <font>
      <b/>
      <sz val="11"/>
      <color indexed="63"/>
      <name val="Calibri"/>
      <family val="2"/>
    </font>
    <font>
      <sz val="8"/>
      <color indexed="56"/>
      <name val="Arial"/>
      <family val="2"/>
    </font>
    <font>
      <b/>
      <sz val="10"/>
      <name val="MS Sans Serif"/>
      <family val="2"/>
    </font>
    <font>
      <sz val="12"/>
      <name val="Arial MT"/>
    </font>
    <font>
      <b/>
      <u/>
      <sz val="11"/>
      <name val="Arial"/>
      <family val="2"/>
    </font>
    <font>
      <b/>
      <sz val="18"/>
      <color indexed="61"/>
      <name val="Cambria"/>
      <family val="2"/>
    </font>
    <font>
      <b/>
      <sz val="18"/>
      <color indexed="56"/>
      <name val="Cambria"/>
      <family val="2"/>
    </font>
    <font>
      <b/>
      <sz val="11"/>
      <color indexed="8"/>
      <name val="Calibri"/>
      <family val="2"/>
    </font>
    <font>
      <sz val="11"/>
      <color indexed="10"/>
      <name val="Calibri"/>
      <family val="2"/>
    </font>
    <font>
      <sz val="9"/>
      <name val="Arial"/>
      <family val="2"/>
    </font>
    <font>
      <b/>
      <sz val="9"/>
      <color indexed="8"/>
      <name val="ARIAL"/>
      <family val="2"/>
    </font>
    <font>
      <b/>
      <sz val="9"/>
      <name val="Arial"/>
      <family val="2"/>
    </font>
    <font>
      <b/>
      <sz val="8"/>
      <color indexed="81"/>
      <name val="Tahoma"/>
      <family val="2"/>
    </font>
    <font>
      <b/>
      <sz val="14"/>
      <name val="Arial"/>
      <family val="2"/>
    </font>
    <font>
      <b/>
      <sz val="11"/>
      <color indexed="60"/>
      <name val="Arial"/>
      <family val="2"/>
    </font>
    <font>
      <i/>
      <sz val="10"/>
      <name val="Arial"/>
      <family val="2"/>
    </font>
    <font>
      <b/>
      <i/>
      <sz val="11"/>
      <color indexed="60"/>
      <name val="Arial"/>
      <family val="2"/>
    </font>
    <font>
      <sz val="10"/>
      <color indexed="30"/>
      <name val="Arial"/>
      <family val="2"/>
    </font>
    <font>
      <sz val="10"/>
      <color indexed="61"/>
      <name val="Arial"/>
      <family val="2"/>
    </font>
    <font>
      <u/>
      <sz val="10"/>
      <name val="Arial"/>
      <family val="2"/>
    </font>
    <font>
      <sz val="11"/>
      <color rgb="FFFF0000"/>
      <name val="Calibri"/>
      <family val="2"/>
      <scheme val="minor"/>
    </font>
    <font>
      <sz val="11"/>
      <color theme="0"/>
      <name val="Calibri"/>
      <family val="2"/>
      <scheme val="minor"/>
    </font>
    <font>
      <b/>
      <sz val="8"/>
      <name val="Calibri"/>
      <family val="2"/>
      <scheme val="minor"/>
    </font>
    <font>
      <sz val="8"/>
      <name val="Calibri"/>
      <family val="2"/>
      <scheme val="minor"/>
    </font>
    <font>
      <b/>
      <sz val="9"/>
      <name val="Calibri"/>
      <family val="2"/>
      <scheme val="minor"/>
    </font>
    <font>
      <sz val="9"/>
      <name val="Calibri"/>
      <family val="2"/>
      <scheme val="minor"/>
    </font>
    <font>
      <b/>
      <u/>
      <sz val="9"/>
      <name val="Calibri"/>
      <family val="2"/>
      <scheme val="minor"/>
    </font>
    <font>
      <sz val="9"/>
      <color indexed="8"/>
      <name val="Calibri"/>
      <family val="2"/>
      <scheme val="minor"/>
    </font>
    <font>
      <i/>
      <sz val="8"/>
      <name val="Calibri"/>
      <family val="2"/>
      <scheme val="minor"/>
    </font>
    <font>
      <sz val="8"/>
      <color rgb="FFFF0000"/>
      <name val="Arial"/>
      <family val="2"/>
    </font>
    <font>
      <b/>
      <sz val="11"/>
      <color rgb="FF00B0F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2"/>
      <name val="SWISS"/>
    </font>
    <font>
      <sz val="12"/>
      <color indexed="12"/>
      <name val="SWISS"/>
    </font>
    <font>
      <b/>
      <sz val="12"/>
      <name val="SWISS"/>
    </font>
    <font>
      <sz val="8"/>
      <color indexed="9"/>
      <name val="Calibri"/>
      <family val="2"/>
    </font>
    <font>
      <sz val="14"/>
      <color indexed="9"/>
      <name val="Calibri"/>
      <family val="2"/>
    </font>
    <font>
      <sz val="9"/>
      <color indexed="9"/>
      <name val="Calibri"/>
      <family val="2"/>
    </font>
    <font>
      <b/>
      <sz val="14"/>
      <name val="SWISS"/>
    </font>
    <font>
      <sz val="12"/>
      <name val="Times New Roman"/>
      <family val="1"/>
    </font>
    <font>
      <b/>
      <sz val="12"/>
      <color indexed="12"/>
      <name val="Times New Roman"/>
      <family val="1"/>
    </font>
    <font>
      <i/>
      <sz val="8"/>
      <color indexed="12"/>
      <name val="Times New Roman"/>
      <family val="1"/>
    </font>
    <font>
      <sz val="12"/>
      <color indexed="39"/>
      <name val="SWISS"/>
    </font>
    <font>
      <sz val="12"/>
      <color indexed="39"/>
      <name val="Times New Roman"/>
      <family val="1"/>
    </font>
    <font>
      <b/>
      <sz val="12"/>
      <color indexed="39"/>
      <name val="Times New Roman"/>
      <family val="1"/>
    </font>
    <font>
      <sz val="10"/>
      <name val="Times New Roman"/>
      <family val="1"/>
    </font>
    <font>
      <sz val="12"/>
      <color indexed="10"/>
      <name val="SWISS"/>
    </font>
    <font>
      <sz val="12"/>
      <color indexed="8"/>
      <name val="SWISS"/>
    </font>
    <font>
      <sz val="9"/>
      <color indexed="39"/>
      <name val="Times New Roman"/>
      <family val="1"/>
    </font>
    <font>
      <b/>
      <sz val="12"/>
      <name val="Times New Roman"/>
      <family val="1"/>
    </font>
    <font>
      <u/>
      <sz val="12"/>
      <color indexed="12"/>
      <name val="Times New Roman"/>
      <family val="1"/>
    </font>
    <font>
      <b/>
      <u/>
      <sz val="12"/>
      <color indexed="39"/>
      <name val="Times New Roman"/>
      <family val="1"/>
    </font>
    <font>
      <sz val="12"/>
      <color indexed="18"/>
      <name val="Times New Roman"/>
      <family val="1"/>
    </font>
    <font>
      <u/>
      <sz val="12"/>
      <color indexed="8"/>
      <name val="Times New Roman"/>
      <family val="1"/>
    </font>
    <font>
      <sz val="12"/>
      <color indexed="8"/>
      <name val="Times New Roman"/>
      <family val="1"/>
    </font>
    <font>
      <sz val="12"/>
      <color indexed="32"/>
      <name val="SWISS"/>
    </font>
    <font>
      <sz val="12"/>
      <color indexed="18"/>
      <name val="SWISS"/>
    </font>
    <font>
      <sz val="10"/>
      <name val="SWISS"/>
    </font>
    <font>
      <sz val="12"/>
      <color indexed="56"/>
      <name val="SWISS"/>
    </font>
    <font>
      <i/>
      <sz val="12"/>
      <name val="SWISS"/>
    </font>
    <font>
      <sz val="11"/>
      <name val="Times New Roman"/>
      <family val="1"/>
    </font>
    <font>
      <u/>
      <sz val="12"/>
      <name val="SWISS"/>
    </font>
    <font>
      <sz val="10"/>
      <color indexed="39"/>
      <name val="Times New Roman"/>
      <family val="1"/>
    </font>
    <font>
      <b/>
      <sz val="10"/>
      <color indexed="10"/>
      <name val="Arial"/>
      <family val="2"/>
    </font>
    <font>
      <b/>
      <sz val="11"/>
      <color indexed="51"/>
      <name val="Calibri"/>
      <family val="2"/>
    </font>
    <font>
      <b/>
      <sz val="11"/>
      <color indexed="10"/>
      <name val="Calibri"/>
      <family val="2"/>
    </font>
    <font>
      <b/>
      <sz val="11"/>
      <color indexed="18"/>
      <name val="Britannic Bold"/>
      <family val="2"/>
    </font>
    <font>
      <sz val="11"/>
      <name val="Bookman Old Style"/>
      <family val="1"/>
    </font>
    <font>
      <b/>
      <sz val="15"/>
      <color indexed="61"/>
      <name val="Calibri"/>
      <family val="2"/>
    </font>
    <font>
      <b/>
      <sz val="13"/>
      <color indexed="61"/>
      <name val="Calibri"/>
      <family val="2"/>
    </font>
    <font>
      <u/>
      <sz val="10"/>
      <color indexed="12"/>
      <name val="Arial"/>
      <family val="2"/>
    </font>
    <font>
      <u/>
      <sz val="8.8000000000000007"/>
      <color theme="10"/>
      <name val="Calibri"/>
      <family val="2"/>
    </font>
    <font>
      <u/>
      <sz val="7.5"/>
      <color indexed="12"/>
      <name val="Arial"/>
      <family val="2"/>
    </font>
    <font>
      <sz val="11"/>
      <color indexed="51"/>
      <name val="Calibri"/>
      <family val="2"/>
    </font>
    <font>
      <sz val="11"/>
      <color indexed="59"/>
      <name val="Calibri"/>
      <family val="2"/>
    </font>
    <font>
      <sz val="11"/>
      <color indexed="19"/>
      <name val="Calibri"/>
      <family val="2"/>
    </font>
    <font>
      <b/>
      <sz val="10"/>
      <name val="Times New Roman"/>
      <family val="1"/>
    </font>
    <font>
      <b/>
      <sz val="18"/>
      <color indexed="62"/>
      <name val="Cambria"/>
      <family val="2"/>
    </font>
    <font>
      <sz val="10"/>
      <color indexed="10"/>
      <name val="Arial"/>
      <family val="2"/>
    </font>
    <font>
      <b/>
      <sz val="12"/>
      <color theme="1"/>
      <name val="Calibri"/>
      <family val="2"/>
      <scheme val="minor"/>
    </font>
    <font>
      <u/>
      <sz val="11"/>
      <color indexed="12"/>
      <name val="Arial"/>
      <family val="2"/>
    </font>
    <font>
      <u/>
      <sz val="11"/>
      <color theme="10"/>
      <name val="Century Gothic"/>
      <family val="2"/>
    </font>
    <font>
      <b/>
      <sz val="14"/>
      <name val="Helv"/>
    </font>
    <font>
      <sz val="11"/>
      <color rgb="FF000000"/>
      <name val="Calibri"/>
      <family val="2"/>
      <scheme val="minor"/>
    </font>
    <font>
      <sz val="11"/>
      <color theme="1"/>
      <name val="Century Gothic"/>
      <family val="2"/>
    </font>
    <font>
      <sz val="18"/>
      <color indexed="13"/>
      <name val="Helv"/>
    </font>
    <font>
      <sz val="12"/>
      <color indexed="13"/>
      <name val="Helv"/>
    </font>
    <font>
      <sz val="9"/>
      <color rgb="FFFF0000"/>
      <name val="Calibri"/>
      <family val="2"/>
      <scheme val="minor"/>
    </font>
    <font>
      <i/>
      <sz val="9"/>
      <color rgb="FFFF0000"/>
      <name val="Calibri"/>
      <family val="2"/>
      <scheme val="minor"/>
    </font>
    <font>
      <sz val="10"/>
      <name val="Arial"/>
      <family val="2"/>
    </font>
    <font>
      <b/>
      <u/>
      <sz val="8"/>
      <name val="Arial"/>
      <family val="2"/>
    </font>
    <font>
      <b/>
      <sz val="8"/>
      <color rgb="FFFF0000"/>
      <name val="Arial"/>
      <family val="2"/>
    </font>
    <font>
      <i/>
      <sz val="8"/>
      <color rgb="FFFF0000"/>
      <name val="Arial"/>
      <family val="2"/>
    </font>
    <font>
      <b/>
      <sz val="10"/>
      <color rgb="FF3333FF"/>
      <name val="Arial"/>
      <family val="2"/>
    </font>
    <font>
      <sz val="12"/>
      <color rgb="FFFF0000"/>
      <name val="Arial"/>
      <family val="2"/>
    </font>
    <font>
      <i/>
      <sz val="9"/>
      <color indexed="8"/>
      <name val="Arial"/>
      <family val="2"/>
    </font>
    <font>
      <sz val="8"/>
      <color indexed="8"/>
      <name val="Arial"/>
      <family val="2"/>
    </font>
    <font>
      <b/>
      <sz val="8"/>
      <color rgb="FFFF0000"/>
      <name val="Calibri"/>
      <family val="2"/>
      <scheme val="minor"/>
    </font>
    <font>
      <b/>
      <sz val="9"/>
      <color rgb="FFFF0000"/>
      <name val="Calibri"/>
      <family val="2"/>
      <scheme val="minor"/>
    </font>
    <font>
      <b/>
      <u/>
      <sz val="11"/>
      <color theme="1"/>
      <name val="Calibri"/>
      <family val="2"/>
      <scheme val="minor"/>
    </font>
    <font>
      <b/>
      <sz val="11"/>
      <name val="Calibri"/>
      <family val="2"/>
      <scheme val="minor"/>
    </font>
    <font>
      <b/>
      <sz val="11"/>
      <color rgb="FFFF0000"/>
      <name val="Calibri"/>
      <family val="2"/>
      <scheme val="minor"/>
    </font>
    <font>
      <b/>
      <i/>
      <sz val="8"/>
      <color rgb="FF0000FF"/>
      <name val="Arial"/>
      <family val="2"/>
    </font>
    <font>
      <i/>
      <sz val="8"/>
      <name val="Arial"/>
      <family val="2"/>
    </font>
    <font>
      <sz val="12"/>
      <color indexed="8"/>
      <name val="Calibri"/>
      <family val="2"/>
    </font>
    <font>
      <sz val="10"/>
      <color rgb="FF000000"/>
      <name val="Arial"/>
      <family val="2"/>
    </font>
    <font>
      <sz val="10"/>
      <name val="Tahoma"/>
      <family val="2"/>
    </font>
    <font>
      <b/>
      <sz val="11"/>
      <color theme="1" tint="0.14996795556505021"/>
      <name val="Calibri"/>
      <family val="2"/>
      <scheme val="minor"/>
    </font>
    <font>
      <b/>
      <sz val="11"/>
      <name val="Century Gothic"/>
      <family val="2"/>
    </font>
    <font>
      <b/>
      <sz val="11"/>
      <color rgb="FF0000FF"/>
      <name val="Calibri"/>
      <family val="2"/>
      <scheme val="minor"/>
    </font>
    <font>
      <b/>
      <sz val="14"/>
      <color theme="1"/>
      <name val="Calibri"/>
      <family val="2"/>
      <scheme val="minor"/>
    </font>
    <font>
      <b/>
      <sz val="11"/>
      <color indexed="9"/>
      <name val="Calibri"/>
      <family val="2"/>
      <scheme val="minor"/>
    </font>
    <font>
      <b/>
      <u/>
      <sz val="11"/>
      <name val="Calibri"/>
      <family val="2"/>
      <scheme val="minor"/>
    </font>
    <font>
      <i/>
      <sz val="11"/>
      <color rgb="FFFF0000"/>
      <name val="Calibri"/>
      <family val="2"/>
      <scheme val="minor"/>
    </font>
    <font>
      <b/>
      <sz val="12"/>
      <name val="Calibri"/>
      <family val="2"/>
      <scheme val="minor"/>
    </font>
    <font>
      <sz val="11"/>
      <name val="Calibri"/>
      <family val="2"/>
    </font>
    <font>
      <sz val="14"/>
      <name val="Arial"/>
      <family val="2"/>
    </font>
    <font>
      <b/>
      <sz val="10"/>
      <color rgb="FF0000FF"/>
      <name val="Arial"/>
      <family val="2"/>
    </font>
    <font>
      <sz val="8"/>
      <color indexed="81"/>
      <name val="Tahoma"/>
      <family val="2"/>
    </font>
    <font>
      <b/>
      <sz val="11"/>
      <color rgb="FF2605EB"/>
      <name val="Calibri"/>
      <family val="2"/>
      <scheme val="minor"/>
    </font>
    <font>
      <b/>
      <sz val="10"/>
      <color indexed="8"/>
      <name val="Calibri"/>
      <family val="2"/>
    </font>
    <font>
      <sz val="10"/>
      <color indexed="8"/>
      <name val="Calibri"/>
      <family val="2"/>
    </font>
    <font>
      <b/>
      <u/>
      <sz val="10"/>
      <color indexed="8"/>
      <name val="Calibri"/>
      <family val="2"/>
    </font>
    <font>
      <b/>
      <sz val="10"/>
      <color indexed="50"/>
      <name val="Calibri"/>
      <family val="2"/>
    </font>
    <font>
      <b/>
      <sz val="9"/>
      <color indexed="8"/>
      <name val="Calibri"/>
      <family val="2"/>
    </font>
    <font>
      <sz val="10"/>
      <name val="Calibri"/>
      <family val="2"/>
    </font>
    <font>
      <b/>
      <sz val="11"/>
      <color indexed="10"/>
      <name val="Calibri"/>
      <family val="2"/>
      <scheme val="minor"/>
    </font>
    <font>
      <sz val="11"/>
      <color rgb="FF00B0F0"/>
      <name val="Calibri"/>
      <family val="2"/>
      <scheme val="minor"/>
    </font>
    <font>
      <sz val="9"/>
      <color theme="1"/>
      <name val="Calibri"/>
      <family val="2"/>
      <scheme val="minor"/>
    </font>
    <font>
      <b/>
      <sz val="9"/>
      <color theme="1"/>
      <name val="Calibri"/>
      <family val="2"/>
      <scheme val="minor"/>
    </font>
    <font>
      <u/>
      <sz val="11"/>
      <color theme="10"/>
      <name val="Calibri"/>
      <family val="2"/>
      <scheme val="minor"/>
    </font>
    <font>
      <b/>
      <u/>
      <sz val="10"/>
      <color rgb="FF2605EB"/>
      <name val="Calibri"/>
      <family val="2"/>
    </font>
    <font>
      <b/>
      <sz val="10"/>
      <color rgb="FF2605EB"/>
      <name val="Calibri"/>
      <family val="2"/>
    </font>
    <font>
      <sz val="10"/>
      <color theme="0"/>
      <name val="Calibri"/>
      <family val="2"/>
    </font>
    <font>
      <b/>
      <i/>
      <u/>
      <sz val="11"/>
      <name val="Calibri"/>
      <family val="2"/>
      <scheme val="minor"/>
    </font>
    <font>
      <sz val="10"/>
      <name val="Calibri"/>
      <family val="2"/>
      <scheme val="minor"/>
    </font>
    <font>
      <i/>
      <sz val="9"/>
      <name val="Calibri"/>
      <family val="2"/>
      <scheme val="minor"/>
    </font>
    <font>
      <b/>
      <sz val="11"/>
      <name val="Arial"/>
      <family val="2"/>
    </font>
    <font>
      <b/>
      <i/>
      <sz val="11"/>
      <name val="Arial"/>
      <family val="2"/>
    </font>
    <font>
      <b/>
      <sz val="10"/>
      <name val="Calibri"/>
      <family val="2"/>
      <scheme val="minor"/>
    </font>
    <font>
      <b/>
      <sz val="12"/>
      <name val="Arial"/>
      <family val="2"/>
    </font>
  </fonts>
  <fills count="99">
    <fill>
      <patternFill patternType="none"/>
    </fill>
    <fill>
      <patternFill patternType="gray125"/>
    </fill>
    <fill>
      <patternFill patternType="solid">
        <fgColor indexed="47"/>
        <bgColor indexed="64"/>
      </patternFill>
    </fill>
    <fill>
      <patternFill patternType="solid">
        <fgColor indexed="27"/>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C6EFCE"/>
      </patternFill>
    </fill>
    <fill>
      <patternFill patternType="solid">
        <fgColor indexed="22"/>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47"/>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8"/>
      </patternFill>
    </fill>
    <fill>
      <patternFill patternType="solid">
        <fgColor indexed="9"/>
      </patternFill>
    </fill>
    <fill>
      <patternFill patternType="solid">
        <fgColor indexed="63"/>
      </patternFill>
    </fill>
    <fill>
      <patternFill patternType="solid">
        <fgColor indexed="55"/>
      </patternFill>
    </fill>
    <fill>
      <patternFill patternType="solid">
        <fgColor indexed="45"/>
        <bgColor indexed="64"/>
      </patternFill>
    </fill>
    <fill>
      <patternFill patternType="solid">
        <fgColor indexed="65"/>
        <bgColor indexed="10"/>
      </patternFill>
    </fill>
    <fill>
      <patternFill patternType="gray125">
        <fgColor indexed="10"/>
      </patternFill>
    </fill>
    <fill>
      <patternFill patternType="solid">
        <fgColor indexed="22"/>
        <bgColor indexed="64"/>
      </patternFill>
    </fill>
    <fill>
      <patternFill patternType="mediumGray">
        <fgColor indexed="22"/>
      </patternFill>
    </fill>
    <fill>
      <patternFill patternType="solid">
        <fgColor theme="6"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CC99"/>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5"/>
        <bgColor indexed="64"/>
      </patternFill>
    </fill>
    <fill>
      <patternFill patternType="solid">
        <fgColor indexed="9"/>
        <bgColor indexed="8"/>
      </patternFill>
    </fill>
    <fill>
      <patternFill patternType="solid">
        <fgColor indexed="56"/>
      </patternFill>
    </fill>
    <fill>
      <patternFill patternType="solid">
        <fgColor indexed="54"/>
      </patternFill>
    </fill>
    <fill>
      <patternFill patternType="solid">
        <fgColor indexed="42"/>
        <bgColor indexed="29"/>
      </patternFill>
    </fill>
    <fill>
      <patternFill patternType="solid">
        <fgColor indexed="13"/>
      </patternFill>
    </fill>
    <fill>
      <patternFill patternType="solid">
        <fgColor indexed="12"/>
      </patternFill>
    </fill>
    <fill>
      <patternFill patternType="solid">
        <fgColor rgb="FFFFFFCC"/>
        <bgColor indexed="64"/>
      </patternFill>
    </fill>
    <fill>
      <patternFill patternType="solid">
        <fgColor theme="9" tint="0.79998168889431442"/>
        <bgColor indexed="64"/>
      </patternFill>
    </fill>
    <fill>
      <patternFill patternType="solid">
        <fgColor indexed="40"/>
        <bgColor indexed="64"/>
      </patternFill>
    </fill>
    <fill>
      <patternFill patternType="solid">
        <fgColor theme="6" tint="0.39997558519241921"/>
        <bgColor indexed="64"/>
      </patternFill>
    </fill>
    <fill>
      <patternFill patternType="solid">
        <fgColor rgb="FF92D050"/>
        <bgColor indexed="64"/>
      </patternFill>
    </fill>
    <fill>
      <patternFill patternType="solid">
        <fgColor indexed="41"/>
        <bgColor indexed="64"/>
      </patternFill>
    </fill>
    <fill>
      <patternFill patternType="solid">
        <fgColor rgb="FFFFC000"/>
        <bgColor indexed="64"/>
      </patternFill>
    </fill>
    <fill>
      <patternFill patternType="solid">
        <fgColor theme="6" tint="0.39994506668294322"/>
        <bgColor indexed="64"/>
      </patternFill>
    </fill>
    <fill>
      <patternFill patternType="solid">
        <fgColor theme="4" tint="0.39994506668294322"/>
        <bgColor indexed="64"/>
      </patternFill>
    </fill>
    <fill>
      <patternFill patternType="solid">
        <fgColor rgb="FF00B0F0"/>
        <bgColor indexed="64"/>
      </patternFill>
    </fill>
    <fill>
      <patternFill patternType="solid">
        <fgColor theme="1"/>
        <bgColor indexed="64"/>
      </patternFill>
    </fill>
    <fill>
      <patternFill patternType="solid">
        <fgColor indexed="52"/>
        <bgColor indexed="64"/>
      </patternFill>
    </fill>
    <fill>
      <patternFill patternType="solid">
        <fgColor theme="4" tint="0.79998168889431442"/>
        <bgColor theme="4" tint="0.79998168889431442"/>
      </patternFill>
    </fill>
    <fill>
      <patternFill patternType="solid">
        <fgColor theme="1"/>
        <bgColor theme="4" tint="0.79998168889431442"/>
      </patternFill>
    </fill>
  </fills>
  <borders count="134">
    <border>
      <left/>
      <right/>
      <top/>
      <bottom/>
      <diagonal/>
    </border>
    <border>
      <left/>
      <right/>
      <top/>
      <bottom style="thin">
        <color indexed="64"/>
      </bottom>
      <diagonal/>
    </border>
    <border>
      <left/>
      <right/>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double">
        <color auto="1"/>
      </bottom>
      <diagonal/>
    </border>
    <border>
      <left/>
      <right style="thin">
        <color auto="1"/>
      </right>
      <top/>
      <bottom style="thin">
        <color auto="1"/>
      </bottom>
      <diagonal/>
    </border>
    <border>
      <left/>
      <right/>
      <top style="thin">
        <color theme="4" tint="-0.24994659260841701"/>
      </top>
      <bottom style="double">
        <color theme="4" tint="-0.24994659260841701"/>
      </bottom>
      <diagonal/>
    </border>
    <border>
      <left/>
      <right/>
      <top style="thin">
        <color auto="1"/>
      </top>
      <bottom style="thin">
        <color auto="1"/>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thick">
        <color indexed="48"/>
      </bottom>
      <diagonal/>
    </border>
    <border>
      <left/>
      <right/>
      <top/>
      <bottom style="thick">
        <color indexed="56"/>
      </bottom>
      <diagonal/>
    </border>
    <border>
      <left/>
      <right/>
      <top/>
      <bottom style="thick">
        <color indexed="27"/>
      </bottom>
      <diagonal/>
    </border>
    <border>
      <left/>
      <right/>
      <top/>
      <bottom style="medium">
        <color indexed="48"/>
      </bottom>
      <diagonal/>
    </border>
    <border>
      <left/>
      <right/>
      <top/>
      <bottom style="medium">
        <color indexed="27"/>
      </bottom>
      <diagonal/>
    </border>
    <border>
      <left/>
      <right/>
      <top/>
      <bottom style="double">
        <color indexed="51"/>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56"/>
      </top>
      <bottom style="double">
        <color indexed="56"/>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right/>
      <top style="thin">
        <color indexed="62"/>
      </top>
      <bottom style="double">
        <color indexed="6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double">
        <color indexed="64"/>
      </top>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56"/>
      </top>
      <bottom style="double">
        <color indexed="56"/>
      </bottom>
      <diagonal/>
    </border>
    <border>
      <left/>
      <right/>
      <top style="thin">
        <color indexed="62"/>
      </top>
      <bottom style="double">
        <color indexed="62"/>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bottom style="thin">
        <color theme="4" tint="0.39997558519241921"/>
      </bottom>
      <diagonal/>
    </border>
    <border>
      <left/>
      <right/>
      <top style="thin">
        <color theme="4" tint="0.39997558519241921"/>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diagonal/>
    </border>
  </borders>
  <cellStyleXfs count="25043">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3" fontId="7" fillId="0" borderId="0" applyFont="0" applyFill="0" applyBorder="0" applyAlignment="0" applyProtection="0"/>
    <xf numFmtId="167" fontId="8" fillId="0" borderId="0"/>
    <xf numFmtId="0" fontId="7" fillId="0" borderId="0"/>
    <xf numFmtId="0" fontId="7" fillId="0" borderId="0"/>
    <xf numFmtId="9" fontId="7" fillId="0" borderId="0" applyFont="0" applyFill="0" applyBorder="0" applyAlignment="0" applyProtection="0"/>
    <xf numFmtId="41" fontId="7" fillId="0" borderId="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10" fillId="3" borderId="0" applyNumberFormat="0" applyBorder="0" applyAlignment="0" applyProtection="0"/>
    <xf numFmtId="0" fontId="11"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alignment wrapText="1"/>
    </xf>
    <xf numFmtId="0" fontId="7" fillId="0" borderId="0"/>
    <xf numFmtId="0" fontId="7" fillId="0" borderId="0"/>
    <xf numFmtId="0" fontId="7" fillId="0" borderId="0"/>
    <xf numFmtId="0" fontId="12"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3" fillId="0" borderId="0"/>
    <xf numFmtId="0" fontId="7" fillId="0" borderId="0"/>
    <xf numFmtId="0" fontId="12"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7" fontId="13" fillId="4" borderId="0" applyFill="0"/>
    <xf numFmtId="9" fontId="7" fillId="0" borderId="0" applyFont="0" applyFill="0" applyBorder="0" applyAlignment="0" applyProtection="0"/>
    <xf numFmtId="0" fontId="29" fillId="10" borderId="0" applyNumberFormat="0" applyBorder="0" applyAlignment="0" applyProtection="0"/>
    <xf numFmtId="9" fontId="30" fillId="0" borderId="0" applyFont="0" applyFill="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15" borderId="0" applyNumberFormat="0" applyBorder="0" applyAlignment="0" applyProtection="0"/>
    <xf numFmtId="0" fontId="30" fillId="18" borderId="0" applyNumberFormat="0" applyBorder="0" applyAlignment="0" applyProtection="0"/>
    <xf numFmtId="0" fontId="30" fillId="11"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11"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3" borderId="0" applyNumberFormat="0" applyBorder="0" applyAlignment="0" applyProtection="0"/>
    <xf numFmtId="0" fontId="33" fillId="26"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33" fillId="25" borderId="0" applyNumberFormat="0" applyBorder="0" applyAlignment="0" applyProtection="0"/>
    <xf numFmtId="0" fontId="33" fillId="31" borderId="0" applyNumberFormat="0" applyBorder="0" applyAlignment="0" applyProtection="0"/>
    <xf numFmtId="0" fontId="33" fillId="23"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41" fontId="7" fillId="0" borderId="0"/>
    <xf numFmtId="41" fontId="7" fillId="0" borderId="0"/>
    <xf numFmtId="41" fontId="7" fillId="0" borderId="0"/>
    <xf numFmtId="0" fontId="34" fillId="14" borderId="0" applyNumberFormat="0" applyBorder="0" applyAlignment="0" applyProtection="0"/>
    <xf numFmtId="0" fontId="34" fillId="14" borderId="0" applyNumberFormat="0" applyBorder="0" applyAlignment="0" applyProtection="0"/>
    <xf numFmtId="3" fontId="7" fillId="0" borderId="0"/>
    <xf numFmtId="3" fontId="7" fillId="0" borderId="0"/>
    <xf numFmtId="3" fontId="7" fillId="0" borderId="0"/>
    <xf numFmtId="3" fontId="7" fillId="0" borderId="0"/>
    <xf numFmtId="0" fontId="35" fillId="32" borderId="11" applyNumberFormat="0" applyAlignment="0" applyProtection="0"/>
    <xf numFmtId="0" fontId="35" fillId="32" borderId="11" applyNumberFormat="0" applyAlignment="0" applyProtection="0"/>
    <xf numFmtId="0" fontId="35" fillId="11" borderId="11" applyNumberFormat="0" applyAlignment="0" applyProtection="0"/>
    <xf numFmtId="0" fontId="35" fillId="11" borderId="11" applyNumberFormat="0" applyAlignment="0" applyProtection="0"/>
    <xf numFmtId="0" fontId="36" fillId="33" borderId="12" applyNumberFormat="0" applyAlignment="0" applyProtection="0"/>
    <xf numFmtId="0" fontId="36" fillId="34" borderId="13" applyNumberFormat="0" applyAlignment="0" applyProtection="0"/>
    <xf numFmtId="0" fontId="7" fillId="35" borderId="0">
      <alignment horizontal="center"/>
    </xf>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8" fillId="0" borderId="0" applyFont="0" applyFill="0" applyBorder="0" applyAlignment="0" applyProtection="0"/>
    <xf numFmtId="43" fontId="30" fillId="0" borderId="0" applyFont="0" applyFill="0" applyBorder="0" applyAlignment="0" applyProtection="0"/>
    <xf numFmtId="43" fontId="37"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alignment vertical="top"/>
    </xf>
    <xf numFmtId="43" fontId="30"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 fontId="14" fillId="0" borderId="0"/>
    <xf numFmtId="3" fontId="12" fillId="0" borderId="0" applyFont="0" applyFill="0" applyBorder="0" applyAlignment="0" applyProtection="0"/>
    <xf numFmtId="0" fontId="39" fillId="0" borderId="0"/>
    <xf numFmtId="0" fontId="39" fillId="0" borderId="0"/>
    <xf numFmtId="0" fontId="40" fillId="36" borderId="1" applyAlignment="0">
      <alignment horizontal="right"/>
      <protection locked="0"/>
    </xf>
    <xf numFmtId="44" fontId="3"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7"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2" fontId="12" fillId="0" borderId="0" applyFont="0" applyFill="0" applyBorder="0" applyAlignment="0" applyProtection="0"/>
    <xf numFmtId="0" fontId="41" fillId="37" borderId="0">
      <alignment horizontal="right"/>
      <protection locked="0"/>
    </xf>
    <xf numFmtId="14" fontId="7" fillId="0" borderId="0"/>
    <xf numFmtId="0" fontId="42" fillId="0" borderId="0" applyNumberFormat="0" applyFill="0" applyBorder="0" applyAlignment="0" applyProtection="0"/>
    <xf numFmtId="0" fontId="42" fillId="0" borderId="0" applyNumberFormat="0" applyFill="0" applyBorder="0" applyAlignment="0" applyProtection="0"/>
    <xf numFmtId="2" fontId="41" fillId="37" borderId="0">
      <alignment horizontal="right"/>
      <protection locked="0"/>
    </xf>
    <xf numFmtId="1" fontId="7" fillId="0" borderId="0">
      <alignment horizontal="center"/>
    </xf>
    <xf numFmtId="0" fontId="10" fillId="16" borderId="0" applyNumberFormat="0" applyBorder="0" applyAlignment="0" applyProtection="0"/>
    <xf numFmtId="0" fontId="43" fillId="0" borderId="14" applyNumberFormat="0" applyFill="0" applyAlignment="0" applyProtection="0"/>
    <xf numFmtId="0" fontId="43" fillId="0" borderId="14"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6" fillId="0" borderId="16" applyNumberFormat="0" applyFill="0" applyAlignment="0" applyProtection="0"/>
    <xf numFmtId="0" fontId="46" fillId="0" borderId="16"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8" fillId="0" borderId="18" applyNumberFormat="0" applyFill="0" applyAlignment="0" applyProtection="0"/>
    <xf numFmtId="0" fontId="48" fillId="0" borderId="18" applyNumberFormat="0" applyFill="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2" fillId="20" borderId="11" applyNumberFormat="0" applyAlignment="0" applyProtection="0"/>
    <xf numFmtId="0" fontId="53" fillId="18" borderId="11" applyNumberFormat="0" applyAlignment="0" applyProtection="0"/>
    <xf numFmtId="3" fontId="54" fillId="38" borderId="0">
      <protection locked="0"/>
    </xf>
    <xf numFmtId="4" fontId="54" fillId="38" borderId="0">
      <protection locked="0"/>
    </xf>
    <xf numFmtId="0" fontId="55" fillId="0" borderId="19" applyNumberFormat="0" applyFill="0" applyAlignment="0" applyProtection="0"/>
    <xf numFmtId="0" fontId="55" fillId="0" borderId="19" applyNumberFormat="0" applyFill="0" applyAlignment="0" applyProtection="0"/>
    <xf numFmtId="0" fontId="55" fillId="0" borderId="19" applyNumberFormat="0" applyFill="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43" fontId="7" fillId="0" borderId="0"/>
    <xf numFmtId="0" fontId="3"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14" fillId="0" borderId="0">
      <alignment vertical="top"/>
    </xf>
    <xf numFmtId="0" fontId="7" fillId="0" borderId="0"/>
    <xf numFmtId="0" fontId="7" fillId="0" borderId="0"/>
    <xf numFmtId="0" fontId="7" fillId="0" borderId="0"/>
    <xf numFmtId="0" fontId="7" fillId="0" borderId="0"/>
    <xf numFmtId="0" fontId="3" fillId="0" borderId="0"/>
    <xf numFmtId="0" fontId="30" fillId="0" borderId="0"/>
    <xf numFmtId="167"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14" fillId="0" borderId="0">
      <alignment vertical="top"/>
    </xf>
    <xf numFmtId="0" fontId="14" fillId="0" borderId="0">
      <alignment vertical="top"/>
    </xf>
    <xf numFmtId="0" fontId="14" fillId="0" borderId="0">
      <alignment vertical="top"/>
    </xf>
    <xf numFmtId="0" fontId="30"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15" borderId="20" applyNumberFormat="0" applyFont="0" applyAlignment="0" applyProtection="0"/>
    <xf numFmtId="0" fontId="30" fillId="15" borderId="20" applyNumberFormat="0" applyFont="0" applyAlignment="0" applyProtection="0"/>
    <xf numFmtId="0" fontId="6" fillId="15" borderId="20" applyNumberFormat="0" applyFont="0" applyAlignment="0" applyProtection="0"/>
    <xf numFmtId="0" fontId="6" fillId="15" borderId="20" applyNumberFormat="0" applyFont="0" applyAlignment="0" applyProtection="0"/>
    <xf numFmtId="166" fontId="58" fillId="0" borderId="0" applyNumberFormat="0"/>
    <xf numFmtId="0" fontId="47" fillId="32" borderId="21" applyNumberFormat="0" applyAlignment="0" applyProtection="0"/>
    <xf numFmtId="0" fontId="59" fillId="11" borderId="22"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30" fillId="0" borderId="0" applyFont="0" applyFill="0" applyBorder="0" applyAlignment="0" applyProtection="0"/>
    <xf numFmtId="9" fontId="37" fillId="0" borderId="0" applyFont="0" applyFill="0" applyBorder="0" applyAlignment="0" applyProtection="0"/>
    <xf numFmtId="9" fontId="30" fillId="0" borderId="0" applyFont="0" applyFill="0" applyBorder="0" applyAlignment="0" applyProtection="0"/>
    <xf numFmtId="9" fontId="7" fillId="0" borderId="0" applyFont="0" applyFill="0" applyBorder="0" applyAlignment="0" applyProtection="0"/>
    <xf numFmtId="9" fontId="30"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10" fontId="7" fillId="0" borderId="0" applyFont="0" applyFill="0" applyBorder="0" applyAlignment="0" applyProtection="0"/>
    <xf numFmtId="0" fontId="7" fillId="0" borderId="0"/>
    <xf numFmtId="0" fontId="7" fillId="0" borderId="0"/>
    <xf numFmtId="0" fontId="7" fillId="0" borderId="0"/>
    <xf numFmtId="0" fontId="7" fillId="0" borderId="0"/>
    <xf numFmtId="38" fontId="60" fillId="0" borderId="0" applyNumberFormat="0" applyFont="0" applyFill="0" applyBorder="0">
      <alignment horizontal="left" indent="4"/>
      <protection locked="0"/>
    </xf>
    <xf numFmtId="0" fontId="12" fillId="0" borderId="0" applyNumberFormat="0" applyFont="0" applyFill="0" applyBorder="0" applyAlignment="0" applyProtection="0">
      <alignment horizontal="left"/>
    </xf>
    <xf numFmtId="15" fontId="12" fillId="0" borderId="0" applyFont="0" applyFill="0" applyBorder="0" applyAlignment="0" applyProtection="0"/>
    <xf numFmtId="4" fontId="12" fillId="0" borderId="0" applyFont="0" applyFill="0" applyBorder="0" applyAlignment="0" applyProtection="0"/>
    <xf numFmtId="0" fontId="61" fillId="0" borderId="2">
      <alignment horizontal="center"/>
    </xf>
    <xf numFmtId="3" fontId="12" fillId="0" borderId="0" applyFont="0" applyFill="0" applyBorder="0" applyAlignment="0" applyProtection="0"/>
    <xf numFmtId="0" fontId="12" fillId="39" borderId="0" applyNumberFormat="0" applyFont="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4" fillId="0" borderId="0">
      <alignment vertical="top"/>
    </xf>
    <xf numFmtId="0" fontId="14" fillId="0" borderId="0">
      <alignment vertical="top"/>
    </xf>
    <xf numFmtId="0" fontId="14" fillId="0" borderId="0" applyNumberFormat="0" applyBorder="0" applyAlignment="0"/>
    <xf numFmtId="37" fontId="63" fillId="0" borderId="0"/>
    <xf numFmtId="0" fontId="64" fillId="0" borderId="0" applyNumberFormat="0" applyFill="0" applyBorder="0" applyAlignment="0" applyProtection="0"/>
    <xf numFmtId="0" fontId="65" fillId="0" borderId="0" applyNumberFormat="0" applyFill="0" applyBorder="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4" applyNumberFormat="0" applyFill="0" applyAlignment="0" applyProtection="0"/>
    <xf numFmtId="0" fontId="66" fillId="0" borderId="24"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164" fontId="13" fillId="6" borderId="0" applyFont="0" applyFill="0" applyBorder="0" applyAlignment="0" applyProtection="0">
      <alignment wrapText="1"/>
    </xf>
    <xf numFmtId="0" fontId="2" fillId="0" borderId="0"/>
    <xf numFmtId="0" fontId="7" fillId="0" borderId="0"/>
    <xf numFmtId="44" fontId="3"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0" fontId="78" fillId="0" borderId="0" applyNumberFormat="0" applyFill="0" applyBorder="0" applyAlignment="0" applyProtection="0">
      <alignment vertical="top"/>
      <protection locked="0"/>
    </xf>
    <xf numFmtId="0" fontId="30" fillId="11" borderId="0" applyNumberFormat="0" applyBorder="0" applyAlignment="0" applyProtection="0"/>
    <xf numFmtId="0" fontId="30" fillId="11"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1" fillId="0" borderId="0"/>
    <xf numFmtId="0" fontId="102" fillId="32" borderId="0"/>
    <xf numFmtId="167" fontId="8" fillId="0" borderId="0"/>
    <xf numFmtId="0" fontId="80" fillId="70" borderId="0" applyNumberFormat="0" applyBorder="0" applyAlignment="0" applyProtection="0"/>
    <xf numFmtId="0" fontId="3" fillId="0" borderId="0"/>
    <xf numFmtId="10" fontId="115" fillId="4" borderId="0"/>
    <xf numFmtId="0" fontId="3" fillId="0" borderId="0"/>
    <xf numFmtId="9" fontId="8" fillId="0" borderId="0" applyFont="0" applyFill="0" applyBorder="0" applyAlignment="0" applyProtection="0"/>
    <xf numFmtId="0" fontId="3" fillId="0" borderId="0"/>
    <xf numFmtId="41" fontId="115" fillId="4" borderId="0">
      <alignment horizontal="left"/>
    </xf>
    <xf numFmtId="178" fontId="8" fillId="0" borderId="0" applyFont="0" applyFill="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0" fillId="13"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0" fillId="15"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0" fillId="1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0" fillId="2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3" fillId="31"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80" fillId="57" borderId="0" applyNumberFormat="0" applyBorder="0" applyAlignment="0" applyProtection="0"/>
    <xf numFmtId="0" fontId="33" fillId="13"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80" fillId="61" borderId="0" applyNumberFormat="0" applyBorder="0" applyAlignment="0" applyProtection="0"/>
    <xf numFmtId="0" fontId="33" fillId="20"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80" fillId="65" borderId="0" applyNumberFormat="0" applyBorder="0" applyAlignment="0" applyProtection="0"/>
    <xf numFmtId="0" fontId="33" fillId="11"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80" fillId="69" borderId="0" applyNumberFormat="0" applyBorder="0" applyAlignment="0" applyProtection="0"/>
    <xf numFmtId="0" fontId="33" fillId="31"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80" fillId="73" borderId="0" applyNumberFormat="0" applyBorder="0" applyAlignment="0" applyProtection="0"/>
    <xf numFmtId="0" fontId="33" fillId="13" borderId="0" applyNumberFormat="0" applyBorder="0" applyAlignment="0" applyProtection="0"/>
    <xf numFmtId="0" fontId="80" fillId="77" borderId="0" applyNumberFormat="0" applyBorder="0" applyAlignment="0" applyProtection="0"/>
    <xf numFmtId="0" fontId="33" fillId="31" borderId="0" applyNumberFormat="0" applyBorder="0" applyAlignment="0" applyProtection="0"/>
    <xf numFmtId="0" fontId="33" fillId="80" borderId="0" applyNumberFormat="0" applyBorder="0" applyAlignment="0" applyProtection="0"/>
    <xf numFmtId="0" fontId="33" fillId="80" borderId="0" applyNumberFormat="0" applyBorder="0" applyAlignment="0" applyProtection="0"/>
    <xf numFmtId="0" fontId="33" fillId="80" borderId="0" applyNumberFormat="0" applyBorder="0" applyAlignment="0" applyProtection="0"/>
    <xf numFmtId="0" fontId="80" fillId="54" borderId="0" applyNumberFormat="0" applyBorder="0" applyAlignment="0" applyProtection="0"/>
    <xf numFmtId="0" fontId="33" fillId="28"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80" fillId="58" borderId="0" applyNumberFormat="0" applyBorder="0" applyAlignment="0" applyProtection="0"/>
    <xf numFmtId="0" fontId="33" fillId="80"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80" fillId="62" borderId="0" applyNumberFormat="0" applyBorder="0" applyAlignment="0" applyProtection="0"/>
    <xf numFmtId="0" fontId="33" fillId="30" borderId="0" applyNumberFormat="0" applyBorder="0" applyAlignment="0" applyProtection="0"/>
    <xf numFmtId="0" fontId="33" fillId="81" borderId="0" applyNumberFormat="0" applyBorder="0" applyAlignment="0" applyProtection="0"/>
    <xf numFmtId="0" fontId="33" fillId="81" borderId="0" applyNumberFormat="0" applyBorder="0" applyAlignment="0" applyProtection="0"/>
    <xf numFmtId="0" fontId="33" fillId="81" borderId="0" applyNumberFormat="0" applyBorder="0" applyAlignment="0" applyProtection="0"/>
    <xf numFmtId="0" fontId="80" fillId="66" borderId="0" applyNumberFormat="0" applyBorder="0" applyAlignment="0" applyProtection="0"/>
    <xf numFmtId="0" fontId="33" fillId="23" borderId="0" applyNumberFormat="0" applyBorder="0" applyAlignment="0" applyProtection="0"/>
    <xf numFmtId="0" fontId="33" fillId="31" borderId="0" applyNumberFormat="0" applyBorder="0" applyAlignment="0" applyProtection="0"/>
    <xf numFmtId="0" fontId="80" fillId="70" borderId="0" applyNumberFormat="0" applyBorder="0" applyAlignment="0" applyProtection="0"/>
    <xf numFmtId="0" fontId="33" fillId="26"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80" fillId="74" borderId="0" applyNumberFormat="0" applyBorder="0" applyAlignment="0" applyProtection="0"/>
    <xf numFmtId="49" fontId="133" fillId="0" borderId="0" applyFill="0" applyBorder="0" applyAlignment="0" applyProtection="0"/>
    <xf numFmtId="0" fontId="110" fillId="0" borderId="67" applyBorder="0">
      <alignment horizontal="center" vertical="center" wrapText="1"/>
    </xf>
    <xf numFmtId="0" fontId="34" fillId="14"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94" fillId="48" borderId="0" applyNumberFormat="0" applyBorder="0" applyAlignment="0" applyProtection="0"/>
    <xf numFmtId="0" fontId="134" fillId="32" borderId="68" applyNumberFormat="0" applyAlignment="0" applyProtection="0"/>
    <xf numFmtId="0" fontId="135" fillId="32" borderId="68" applyNumberFormat="0" applyAlignment="0" applyProtection="0"/>
    <xf numFmtId="0" fontId="135" fillId="32" borderId="68" applyNumberFormat="0" applyAlignment="0" applyProtection="0"/>
    <xf numFmtId="0" fontId="135" fillId="32" borderId="68" applyNumberFormat="0" applyAlignment="0" applyProtection="0"/>
    <xf numFmtId="0" fontId="98" fillId="51" borderId="46" applyNumberFormat="0" applyAlignment="0" applyProtection="0"/>
    <xf numFmtId="0" fontId="36" fillId="33" borderId="12" applyNumberFormat="0" applyAlignment="0" applyProtection="0"/>
    <xf numFmtId="0" fontId="36" fillId="34" borderId="13" applyNumberFormat="0" applyAlignment="0" applyProtection="0"/>
    <xf numFmtId="0" fontId="100" fillId="52" borderId="49" applyNumberFormat="0" applyAlignment="0" applyProtection="0"/>
    <xf numFmtId="0" fontId="136" fillId="82" borderId="0" applyNumberFormat="0" applyBorder="0" applyAlignment="0" applyProtection="0">
      <alignment horizontal="center"/>
      <protection hidden="1"/>
    </xf>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alignment vertical="top"/>
    </xf>
    <xf numFmtId="43" fontId="13"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6"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37" fillId="0" borderId="0" applyFont="0" applyFill="0" applyBorder="0" applyAlignment="0" applyProtection="0"/>
    <xf numFmtId="44" fontId="3"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0" fillId="0" borderId="0" applyFont="0" applyFill="0" applyBorder="0" applyAlignment="0" applyProtection="0"/>
    <xf numFmtId="44" fontId="3" fillId="0" borderId="0" applyFont="0" applyFill="0" applyBorder="0" applyAlignment="0" applyProtection="0"/>
    <xf numFmtId="44" fontId="3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alignment wrapText="1"/>
    </xf>
    <xf numFmtId="44"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0" fontId="101" fillId="0" borderId="0" applyNumberFormat="0" applyFill="0" applyBorder="0" applyAlignment="0" applyProtection="0"/>
    <xf numFmtId="0" fontId="10" fillId="3" borderId="0" applyNumberFormat="0" applyBorder="0" applyAlignment="0" applyProtection="0"/>
    <xf numFmtId="0" fontId="10" fillId="16"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138" fillId="0" borderId="69" applyNumberFormat="0" applyFill="0" applyAlignment="0" applyProtection="0"/>
    <xf numFmtId="0" fontId="43" fillId="0" borderId="70" applyNumberFormat="0" applyFill="0" applyAlignment="0" applyProtection="0"/>
    <xf numFmtId="0" fontId="43" fillId="0" borderId="70" applyNumberFormat="0" applyFill="0" applyAlignment="0" applyProtection="0"/>
    <xf numFmtId="0" fontId="43" fillId="0" borderId="70" applyNumberFormat="0" applyFill="0" applyAlignment="0" applyProtection="0"/>
    <xf numFmtId="0" fontId="91" fillId="0" borderId="43" applyNumberFormat="0" applyFill="0" applyAlignment="0" applyProtection="0"/>
    <xf numFmtId="0" fontId="139" fillId="0" borderId="16" applyNumberFormat="0" applyFill="0" applyAlignment="0" applyProtection="0"/>
    <xf numFmtId="0" fontId="45" fillId="0" borderId="71" applyNumberFormat="0" applyFill="0" applyAlignment="0" applyProtection="0"/>
    <xf numFmtId="0" fontId="45" fillId="0" borderId="71" applyNumberFormat="0" applyFill="0" applyAlignment="0" applyProtection="0"/>
    <xf numFmtId="0" fontId="45" fillId="0" borderId="71" applyNumberFormat="0" applyFill="0" applyAlignment="0" applyProtection="0"/>
    <xf numFmtId="0" fontId="92" fillId="0" borderId="44" applyNumberFormat="0" applyFill="0" applyAlignment="0" applyProtection="0"/>
    <xf numFmtId="0" fontId="49" fillId="0" borderId="72"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93" fillId="0" borderId="45" applyNumberFormat="0" applyFill="0" applyAlignment="0" applyProtection="0"/>
    <xf numFmtId="0" fontId="4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52" fillId="20" borderId="68" applyNumberFormat="0" applyAlignment="0" applyProtection="0"/>
    <xf numFmtId="0" fontId="53" fillId="20" borderId="68" applyNumberFormat="0" applyAlignment="0" applyProtection="0"/>
    <xf numFmtId="0" fontId="53" fillId="20" borderId="68" applyNumberFormat="0" applyAlignment="0" applyProtection="0"/>
    <xf numFmtId="0" fontId="53" fillId="20" borderId="68" applyNumberFormat="0" applyAlignment="0" applyProtection="0"/>
    <xf numFmtId="0" fontId="96" fillId="50" borderId="46" applyNumberFormat="0" applyAlignment="0" applyProtection="0"/>
    <xf numFmtId="0" fontId="110" fillId="0" borderId="67" applyBorder="0">
      <alignment horizontal="center" vertical="center" wrapText="1"/>
    </xf>
    <xf numFmtId="0" fontId="143" fillId="0" borderId="74" applyNumberFormat="0" applyFill="0" applyAlignment="0" applyProtection="0"/>
    <xf numFmtId="0" fontId="67" fillId="0" borderId="75" applyNumberFormat="0" applyFill="0" applyAlignment="0" applyProtection="0"/>
    <xf numFmtId="0" fontId="67" fillId="0" borderId="75" applyNumberFormat="0" applyFill="0" applyAlignment="0" applyProtection="0"/>
    <xf numFmtId="0" fontId="99" fillId="0" borderId="48" applyNumberFormat="0" applyFill="0" applyAlignment="0" applyProtection="0"/>
    <xf numFmtId="0" fontId="144" fillId="20" borderId="0" applyNumberFormat="0" applyBorder="0" applyAlignment="0" applyProtection="0"/>
    <xf numFmtId="0" fontId="145" fillId="20" borderId="0" applyNumberFormat="0" applyBorder="0" applyAlignment="0" applyProtection="0"/>
    <xf numFmtId="0" fontId="145" fillId="20" borderId="0" applyNumberFormat="0" applyBorder="0" applyAlignment="0" applyProtection="0"/>
    <xf numFmtId="0" fontId="95" fillId="49" borderId="0" applyNumberFormat="0" applyBorder="0" applyAlignment="0" applyProtection="0"/>
    <xf numFmtId="0" fontId="3" fillId="0" borderId="0"/>
    <xf numFmtId="0" fontId="3" fillId="0" borderId="0"/>
    <xf numFmtId="0" fontId="3" fillId="0" borderId="0"/>
    <xf numFmtId="0" fontId="3" fillId="0" borderId="0"/>
    <xf numFmtId="0" fontId="30"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0" fillId="0" borderId="0"/>
    <xf numFmtId="0" fontId="7" fillId="0" borderId="0"/>
    <xf numFmtId="0" fontId="3" fillId="0" borderId="0"/>
    <xf numFmtId="0" fontId="30" fillId="0" borderId="0"/>
    <xf numFmtId="0" fontId="7" fillId="0" borderId="0"/>
    <xf numFmtId="0" fontId="7"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57" fillId="0" borderId="0"/>
    <xf numFmtId="0" fontId="3" fillId="0" borderId="0"/>
    <xf numFmtId="0" fontId="30"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8" fillId="0" borderId="0"/>
    <xf numFmtId="0" fontId="3" fillId="0" borderId="0"/>
    <xf numFmtId="0" fontId="3" fillId="0" borderId="0"/>
    <xf numFmtId="0" fontId="3" fillId="0" borderId="0"/>
    <xf numFmtId="0" fontId="38" fillId="0" borderId="0"/>
    <xf numFmtId="0" fontId="3" fillId="0" borderId="0"/>
    <xf numFmtId="0" fontId="3" fillId="0" borderId="0"/>
    <xf numFmtId="0" fontId="3" fillId="0" borderId="0"/>
    <xf numFmtId="0" fontId="7" fillId="0" borderId="0"/>
    <xf numFmtId="0" fontId="3" fillId="0" borderId="0"/>
    <xf numFmtId="0" fontId="3" fillId="0" borderId="0"/>
    <xf numFmtId="0" fontId="8" fillId="0" borderId="0"/>
    <xf numFmtId="0" fontId="7" fillId="0" borderId="0"/>
    <xf numFmtId="0" fontId="3" fillId="0" borderId="0"/>
    <xf numFmtId="0" fontId="8" fillId="0" borderId="0"/>
    <xf numFmtId="0" fontId="3" fillId="0" borderId="0"/>
    <xf numFmtId="0" fontId="3" fillId="0" borderId="0"/>
    <xf numFmtId="0" fontId="3" fillId="0" borderId="0"/>
    <xf numFmtId="0" fontId="7" fillId="0" borderId="0"/>
    <xf numFmtId="0" fontId="8" fillId="0" borderId="0"/>
    <xf numFmtId="0" fontId="3" fillId="0" borderId="0"/>
    <xf numFmtId="0" fontId="8" fillId="0" borderId="0"/>
    <xf numFmtId="0" fontId="7" fillId="0" borderId="0"/>
    <xf numFmtId="0" fontId="7" fillId="0" borderId="0"/>
    <xf numFmtId="0" fontId="57" fillId="0" borderId="0"/>
    <xf numFmtId="0" fontId="3" fillId="0" borderId="0"/>
    <xf numFmtId="0" fontId="8" fillId="0" borderId="0"/>
    <xf numFmtId="0" fontId="7" fillId="0" borderId="0"/>
    <xf numFmtId="0" fontId="8" fillId="0" borderId="0"/>
    <xf numFmtId="0" fontId="7"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7" fillId="0" borderId="0"/>
    <xf numFmtId="0" fontId="8" fillId="0" borderId="0"/>
    <xf numFmtId="0" fontId="7" fillId="0" borderId="0"/>
    <xf numFmtId="0" fontId="3" fillId="0" borderId="0"/>
    <xf numFmtId="0" fontId="8" fillId="0" borderId="0"/>
    <xf numFmtId="0" fontId="3" fillId="0" borderId="0"/>
    <xf numFmtId="0" fontId="8" fillId="0" borderId="0"/>
    <xf numFmtId="0" fontId="3" fillId="0" borderId="0"/>
    <xf numFmtId="0" fontId="7" fillId="0" borderId="0"/>
    <xf numFmtId="0" fontId="3" fillId="0" borderId="0"/>
    <xf numFmtId="0" fontId="3" fillId="0" borderId="0"/>
    <xf numFmtId="0" fontId="3" fillId="0" borderId="0"/>
    <xf numFmtId="0" fontId="7" fillId="0" borderId="0"/>
    <xf numFmtId="0" fontId="8" fillId="0" borderId="0"/>
    <xf numFmtId="0" fontId="3" fillId="0" borderId="0"/>
    <xf numFmtId="0" fontId="3" fillId="0" borderId="0"/>
    <xf numFmtId="0" fontId="3" fillId="0" borderId="0"/>
    <xf numFmtId="0" fontId="3" fillId="0" borderId="0"/>
    <xf numFmtId="0" fontId="8" fillId="0" borderId="0"/>
    <xf numFmtId="0" fontId="7"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3" fillId="0" borderId="0"/>
    <xf numFmtId="40" fontId="137" fillId="0" borderId="0"/>
    <xf numFmtId="0" fontId="7" fillId="0" borderId="0"/>
    <xf numFmtId="40" fontId="137" fillId="0" borderId="0"/>
    <xf numFmtId="0" fontId="3" fillId="0" borderId="0"/>
    <xf numFmtId="167" fontId="8" fillId="0" borderId="0"/>
    <xf numFmtId="0" fontId="7" fillId="0" borderId="0"/>
    <xf numFmtId="0" fontId="7" fillId="0" borderId="0"/>
    <xf numFmtId="0" fontId="3" fillId="0" borderId="0"/>
    <xf numFmtId="0" fontId="7" fillId="0" borderId="0"/>
    <xf numFmtId="0" fontId="3" fillId="0" borderId="0"/>
    <xf numFmtId="167" fontId="8" fillId="0" borderId="0"/>
    <xf numFmtId="0" fontId="8" fillId="0" borderId="0"/>
    <xf numFmtId="0" fontId="3" fillId="0" borderId="0"/>
    <xf numFmtId="0" fontId="7" fillId="0" borderId="0">
      <alignment vertical="top"/>
    </xf>
    <xf numFmtId="0" fontId="30" fillId="0" borderId="0"/>
    <xf numFmtId="0" fontId="3" fillId="0" borderId="0"/>
    <xf numFmtId="0" fontId="7" fillId="0" borderId="0">
      <alignment wrapText="1"/>
    </xf>
    <xf numFmtId="0" fontId="7" fillId="0" borderId="0"/>
    <xf numFmtId="0" fontId="7" fillId="0" borderId="0">
      <alignment wrapText="1"/>
    </xf>
    <xf numFmtId="0" fontId="8" fillId="0" borderId="0"/>
    <xf numFmtId="0" fontId="14" fillId="0" borderId="0">
      <alignment vertical="top"/>
    </xf>
    <xf numFmtId="0" fontId="8" fillId="0" borderId="0"/>
    <xf numFmtId="0" fontId="3" fillId="0" borderId="0"/>
    <xf numFmtId="0" fontId="7" fillId="0" borderId="0"/>
    <xf numFmtId="0" fontId="8" fillId="0" borderId="0"/>
    <xf numFmtId="0" fontId="8" fillId="0" borderId="0"/>
    <xf numFmtId="0" fontId="30" fillId="0" borderId="0"/>
    <xf numFmtId="0" fontId="3" fillId="0" borderId="0"/>
    <xf numFmtId="0" fontId="7" fillId="0" borderId="0"/>
    <xf numFmtId="0" fontId="8" fillId="0" borderId="0"/>
    <xf numFmtId="0" fontId="8" fillId="0" borderId="0"/>
    <xf numFmtId="0" fontId="7" fillId="0" borderId="0"/>
    <xf numFmtId="0" fontId="3" fillId="0" borderId="0"/>
    <xf numFmtId="0" fontId="7" fillId="0" borderId="0">
      <alignment wrapText="1"/>
    </xf>
    <xf numFmtId="0" fontId="7" fillId="0" borderId="0">
      <alignment wrapText="1"/>
    </xf>
    <xf numFmtId="0" fontId="7" fillId="0" borderId="0"/>
    <xf numFmtId="0" fontId="8" fillId="0" borderId="0"/>
    <xf numFmtId="0" fontId="8" fillId="0" borderId="0"/>
    <xf numFmtId="0" fontId="7" fillId="0" borderId="0"/>
    <xf numFmtId="0" fontId="3" fillId="0" borderId="0"/>
    <xf numFmtId="0" fontId="14" fillId="0" borderId="0">
      <alignment vertical="top"/>
    </xf>
    <xf numFmtId="0" fontId="7" fillId="0" borderId="0"/>
    <xf numFmtId="0" fontId="8" fillId="0" borderId="0"/>
    <xf numFmtId="0" fontId="8" fillId="0" borderId="0"/>
    <xf numFmtId="0" fontId="3" fillId="0" borderId="0"/>
    <xf numFmtId="0" fontId="8" fillId="0" borderId="0"/>
    <xf numFmtId="0" fontId="7" fillId="0" borderId="0"/>
    <xf numFmtId="0" fontId="8" fillId="0" borderId="0"/>
    <xf numFmtId="0" fontId="7" fillId="0" borderId="0"/>
    <xf numFmtId="0" fontId="7" fillId="0" borderId="0"/>
    <xf numFmtId="0" fontId="7" fillId="0" borderId="0"/>
    <xf numFmtId="0" fontId="3" fillId="0" borderId="0"/>
    <xf numFmtId="0" fontId="7" fillId="0" borderId="0"/>
    <xf numFmtId="0" fontId="12" fillId="0" borderId="0"/>
    <xf numFmtId="0" fontId="3" fillId="0" borderId="0"/>
    <xf numFmtId="0" fontId="12" fillId="0" borderId="0"/>
    <xf numFmtId="0" fontId="7" fillId="0" borderId="0"/>
    <xf numFmtId="0" fontId="8" fillId="0" borderId="0"/>
    <xf numFmtId="0" fontId="14" fillId="0" borderId="0">
      <alignment vertical="top"/>
    </xf>
    <xf numFmtId="0" fontId="7" fillId="0" borderId="0"/>
    <xf numFmtId="0" fontId="3" fillId="0" borderId="0"/>
    <xf numFmtId="0" fontId="7" fillId="0" borderId="0"/>
    <xf numFmtId="0" fontId="8" fillId="0" borderId="0"/>
    <xf numFmtId="0" fontId="3" fillId="0" borderId="0"/>
    <xf numFmtId="0" fontId="7" fillId="0" borderId="0"/>
    <xf numFmtId="0" fontId="8" fillId="0" borderId="0"/>
    <xf numFmtId="0" fontId="3" fillId="0" borderId="0"/>
    <xf numFmtId="0" fontId="7" fillId="0" borderId="0"/>
    <xf numFmtId="0" fontId="30" fillId="0" borderId="0"/>
    <xf numFmtId="0" fontId="8" fillId="0" borderId="0"/>
    <xf numFmtId="0" fontId="30" fillId="0" borderId="0"/>
    <xf numFmtId="0" fontId="3" fillId="0" borderId="0"/>
    <xf numFmtId="0" fontId="8" fillId="0" borderId="0"/>
    <xf numFmtId="0" fontId="3" fillId="0" borderId="0"/>
    <xf numFmtId="0" fontId="3" fillId="0" borderId="0"/>
    <xf numFmtId="0" fontId="30" fillId="0" borderId="0"/>
    <xf numFmtId="0" fontId="3" fillId="0" borderId="0"/>
    <xf numFmtId="0" fontId="3" fillId="0" borderId="0"/>
    <xf numFmtId="0" fontId="7" fillId="0" borderId="0"/>
    <xf numFmtId="0" fontId="8" fillId="0" borderId="0"/>
    <xf numFmtId="0" fontId="7" fillId="0" borderId="0"/>
    <xf numFmtId="0" fontId="12" fillId="0" borderId="0"/>
    <xf numFmtId="0" fontId="3" fillId="0" borderId="0"/>
    <xf numFmtId="0" fontId="3" fillId="0" borderId="0"/>
    <xf numFmtId="0" fontId="12" fillId="0" borderId="0"/>
    <xf numFmtId="0" fontId="7"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8" fillId="0" borderId="0"/>
    <xf numFmtId="0" fontId="7" fillId="0" borderId="0"/>
    <xf numFmtId="0" fontId="8" fillId="0" borderId="0"/>
    <xf numFmtId="0" fontId="7" fillId="0" borderId="0"/>
    <xf numFmtId="0" fontId="8" fillId="0" borderId="0"/>
    <xf numFmtId="0" fontId="3" fillId="0" borderId="0"/>
    <xf numFmtId="0" fontId="7" fillId="0" borderId="0"/>
    <xf numFmtId="0" fontId="3" fillId="0" borderId="0"/>
    <xf numFmtId="0" fontId="8" fillId="0" borderId="0"/>
    <xf numFmtId="0" fontId="3" fillId="0" borderId="0"/>
    <xf numFmtId="0" fontId="7" fillId="0" borderId="0"/>
    <xf numFmtId="0" fontId="8" fillId="0" borderId="0"/>
    <xf numFmtId="0" fontId="3" fillId="0" borderId="0"/>
    <xf numFmtId="0" fontId="7" fillId="0" borderId="0"/>
    <xf numFmtId="0" fontId="8" fillId="0" borderId="0"/>
    <xf numFmtId="0" fontId="3" fillId="0" borderId="0"/>
    <xf numFmtId="0" fontId="7" fillId="0" borderId="0"/>
    <xf numFmtId="0" fontId="8" fillId="0" borderId="0"/>
    <xf numFmtId="0" fontId="3" fillId="0" borderId="0"/>
    <xf numFmtId="0" fontId="7" fillId="0" borderId="0"/>
    <xf numFmtId="0" fontId="8" fillId="0" borderId="0"/>
    <xf numFmtId="0" fontId="30" fillId="0" borderId="0"/>
    <xf numFmtId="0" fontId="3" fillId="0" borderId="0"/>
    <xf numFmtId="0" fontId="7" fillId="0" borderId="0"/>
    <xf numFmtId="0" fontId="3" fillId="0" borderId="0"/>
    <xf numFmtId="0" fontId="3" fillId="0" borderId="0"/>
    <xf numFmtId="0" fontId="7" fillId="0" borderId="0"/>
    <xf numFmtId="0" fontId="7" fillId="0" borderId="0"/>
    <xf numFmtId="0" fontId="7" fillId="0" borderId="0"/>
    <xf numFmtId="0" fontId="3" fillId="0" borderId="0"/>
    <xf numFmtId="0" fontId="7" fillId="0" borderId="0"/>
    <xf numFmtId="0" fontId="3" fillId="0" borderId="0"/>
    <xf numFmtId="0" fontId="7" fillId="0" borderId="0"/>
    <xf numFmtId="0" fontId="8" fillId="0" borderId="0"/>
    <xf numFmtId="0" fontId="3" fillId="0" borderId="0"/>
    <xf numFmtId="0" fontId="7" fillId="0" borderId="0"/>
    <xf numFmtId="0" fontId="8" fillId="0" borderId="0"/>
    <xf numFmtId="0" fontId="7" fillId="0" borderId="0"/>
    <xf numFmtId="0" fontId="8" fillId="0" borderId="0"/>
    <xf numFmtId="0" fontId="7" fillId="0" borderId="0"/>
    <xf numFmtId="0" fontId="8" fillId="0" borderId="0"/>
    <xf numFmtId="0" fontId="3" fillId="0" borderId="0"/>
    <xf numFmtId="0" fontId="7"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30"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7" fillId="0" borderId="0"/>
    <xf numFmtId="0" fontId="30" fillId="0" borderId="0"/>
    <xf numFmtId="0" fontId="7" fillId="0" borderId="0"/>
    <xf numFmtId="0" fontId="8" fillId="0" borderId="0"/>
    <xf numFmtId="0" fontId="30"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115"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8" fillId="0" borderId="0"/>
    <xf numFmtId="0" fontId="30" fillId="0" borderId="0"/>
    <xf numFmtId="0" fontId="7"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57" fillId="0" borderId="0"/>
    <xf numFmtId="0" fontId="3" fillId="0" borderId="0"/>
    <xf numFmtId="0" fontId="3" fillId="0" borderId="0"/>
    <xf numFmtId="0" fontId="30" fillId="0" borderId="0"/>
    <xf numFmtId="0" fontId="7" fillId="0" borderId="0"/>
    <xf numFmtId="0" fontId="7" fillId="0" borderId="0"/>
    <xf numFmtId="0" fontId="3" fillId="0" borderId="0"/>
    <xf numFmtId="0" fontId="7" fillId="0" borderId="0">
      <alignment wrapText="1"/>
    </xf>
    <xf numFmtId="0" fontId="7" fillId="0" borderId="0">
      <alignment wrapText="1"/>
    </xf>
    <xf numFmtId="0" fontId="7" fillId="0" borderId="0">
      <alignment wrapText="1"/>
    </xf>
    <xf numFmtId="0" fontId="30" fillId="0" borderId="0"/>
    <xf numFmtId="0" fontId="7" fillId="0" borderId="0"/>
    <xf numFmtId="0" fontId="3" fillId="0" borderId="0"/>
    <xf numFmtId="0" fontId="3" fillId="0" borderId="0"/>
    <xf numFmtId="0" fontId="7" fillId="0" borderId="0"/>
    <xf numFmtId="0" fontId="3" fillId="0" borderId="0"/>
    <xf numFmtId="0" fontId="3" fillId="0" borderId="0"/>
    <xf numFmtId="0" fontId="5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15" borderId="76" applyNumberFormat="0" applyFont="0" applyAlignment="0" applyProtection="0"/>
    <xf numFmtId="0" fontId="8" fillId="15" borderId="76" applyNumberFormat="0" applyFont="0" applyAlignment="0" applyProtection="0"/>
    <xf numFmtId="0" fontId="8" fillId="15" borderId="76" applyNumberFormat="0" applyFont="0" applyAlignment="0" applyProtection="0"/>
    <xf numFmtId="0" fontId="30" fillId="15" borderId="76" applyNumberFormat="0" applyFont="0" applyAlignment="0" applyProtection="0"/>
    <xf numFmtId="0" fontId="8" fillId="15" borderId="76" applyNumberFormat="0" applyFont="0" applyAlignment="0" applyProtection="0"/>
    <xf numFmtId="0" fontId="3" fillId="53" borderId="50" applyNumberFormat="0" applyFont="0" applyAlignment="0" applyProtection="0"/>
    <xf numFmtId="0" fontId="3" fillId="53" borderId="50" applyNumberFormat="0" applyFont="0" applyAlignment="0" applyProtection="0"/>
    <xf numFmtId="0" fontId="47" fillId="32" borderId="77" applyNumberFormat="0" applyAlignment="0" applyProtection="0"/>
    <xf numFmtId="0" fontId="59" fillId="32" borderId="78" applyNumberFormat="0" applyAlignment="0" applyProtection="0"/>
    <xf numFmtId="0" fontId="59" fillId="32" borderId="78" applyNumberFormat="0" applyAlignment="0" applyProtection="0"/>
    <xf numFmtId="0" fontId="59" fillId="32" borderId="78" applyNumberFormat="0" applyAlignment="0" applyProtection="0"/>
    <xf numFmtId="0" fontId="97" fillId="51" borderId="47" applyNumberFormat="0" applyAlignment="0" applyProtection="0"/>
    <xf numFmtId="9" fontId="7" fillId="0" borderId="0" applyFont="0" applyFill="0" applyBorder="0" applyAlignment="0" applyProtection="0"/>
    <xf numFmtId="9" fontId="7" fillId="0" borderId="0" applyFont="0" applyFill="0" applyBorder="0" applyAlignment="0" applyProtection="0">
      <alignment wrapText="1"/>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8" fillId="0" borderId="0" applyFont="0" applyFill="0" applyBorder="0" applyAlignment="0" applyProtection="0"/>
    <xf numFmtId="9" fontId="37" fillId="0" borderId="0" applyFont="0" applyFill="0" applyBorder="0" applyAlignment="0" applyProtection="0"/>
    <xf numFmtId="9" fontId="30"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alignment wrapText="1"/>
    </xf>
    <xf numFmtId="181" fontId="115" fillId="0" borderId="0">
      <alignment horizontal="center"/>
    </xf>
    <xf numFmtId="0" fontId="61" fillId="0" borderId="52">
      <alignment horizontal="center"/>
    </xf>
    <xf numFmtId="0" fontId="14" fillId="0" borderId="0" applyNumberFormat="0" applyBorder="0" applyAlignment="0"/>
    <xf numFmtId="182" fontId="146" fillId="4" borderId="0" applyFill="0" applyBorder="0" applyProtection="0">
      <alignment horizontal="center"/>
      <protection hidden="1"/>
    </xf>
    <xf numFmtId="0" fontId="64"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0" fillId="0" borderId="0" applyNumberFormat="0" applyFill="0" applyBorder="0" applyAlignment="0" applyProtection="0"/>
    <xf numFmtId="0" fontId="66" fillId="0" borderId="79" applyNumberFormat="0" applyFill="0" applyAlignment="0" applyProtection="0"/>
    <xf numFmtId="0" fontId="66" fillId="0" borderId="80" applyNumberFormat="0" applyFill="0" applyAlignment="0" applyProtection="0"/>
    <xf numFmtId="0" fontId="66" fillId="0" borderId="80" applyNumberFormat="0" applyFill="0" applyAlignment="0" applyProtection="0"/>
    <xf numFmtId="0" fontId="66" fillId="0" borderId="80" applyNumberFormat="0" applyFill="0" applyAlignment="0" applyProtection="0"/>
    <xf numFmtId="0" fontId="4" fillId="0" borderId="51" applyNumberFormat="0" applyFill="0" applyAlignment="0" applyProtection="0"/>
    <xf numFmtId="0" fontId="148" fillId="0" borderId="0">
      <alignment horizontal="center"/>
    </xf>
    <xf numFmtId="0" fontId="79" fillId="0" borderId="0" applyNumberFormat="0" applyFill="0" applyBorder="0" applyAlignment="0" applyProtection="0"/>
    <xf numFmtId="44" fontId="3" fillId="0" borderId="0" applyFont="0" applyFill="0" applyBorder="0" applyAlignment="0" applyProtection="0"/>
    <xf numFmtId="0" fontId="30" fillId="11" borderId="0" applyNumberFormat="0" applyBorder="0" applyAlignment="0" applyProtection="0"/>
    <xf numFmtId="0" fontId="30" fillId="18"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 fillId="18" borderId="0" applyNumberFormat="0" applyBorder="0" applyAlignment="0" applyProtection="0"/>
    <xf numFmtId="0" fontId="30" fillId="14" borderId="0" applyNumberFormat="0" applyBorder="0" applyAlignment="0" applyProtection="0"/>
    <xf numFmtId="0" fontId="3" fillId="15" borderId="0" applyNumberFormat="0" applyBorder="0" applyAlignment="0" applyProtection="0"/>
    <xf numFmtId="0" fontId="30" fillId="16" borderId="0" applyNumberFormat="0" applyBorder="0" applyAlignment="0" applyProtection="0"/>
    <xf numFmtId="0" fontId="3" fillId="15"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0" fillId="3" borderId="0" applyNumberFormat="0" applyBorder="0" applyAlignment="0" applyProtection="0"/>
    <xf numFmtId="0" fontId="3" fillId="71" borderId="0" applyNumberFormat="0" applyBorder="0" applyAlignment="0" applyProtection="0"/>
    <xf numFmtId="0" fontId="30" fillId="18" borderId="0" applyNumberFormat="0" applyBorder="0" applyAlignment="0" applyProtection="0"/>
    <xf numFmtId="0" fontId="30" fillId="15" borderId="0" applyNumberFormat="0" applyBorder="0" applyAlignment="0" applyProtection="0"/>
    <xf numFmtId="0" fontId="30" fillId="18" borderId="0" applyNumberFormat="0" applyBorder="0" applyAlignment="0" applyProtection="0"/>
    <xf numFmtId="0" fontId="3" fillId="75"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0" fillId="13" borderId="0" applyNumberFormat="0" applyBorder="0" applyAlignment="0" applyProtection="0"/>
    <xf numFmtId="0" fontId="3" fillId="60" borderId="0" applyNumberFormat="0" applyBorder="0" applyAlignment="0" applyProtection="0"/>
    <xf numFmtId="0" fontId="30" fillId="15"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 fillId="15" borderId="0" applyNumberFormat="0" applyBorder="0" applyAlignment="0" applyProtection="0"/>
    <xf numFmtId="0" fontId="30" fillId="21"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9" borderId="0" applyNumberFormat="0" applyBorder="0" applyAlignment="0" applyProtection="0"/>
    <xf numFmtId="0" fontId="3" fillId="72" borderId="0" applyNumberFormat="0" applyBorder="0" applyAlignment="0" applyProtection="0"/>
    <xf numFmtId="0" fontId="30" fillId="20"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8" borderId="0" applyNumberFormat="0" applyBorder="0" applyAlignment="0" applyProtection="0"/>
    <xf numFmtId="0" fontId="33" fillId="13" borderId="0" applyNumberFormat="0" applyBorder="0" applyAlignment="0" applyProtection="0"/>
    <xf numFmtId="0" fontId="33" fillId="23" borderId="0" applyNumberFormat="0" applyBorder="0" applyAlignment="0" applyProtection="0"/>
    <xf numFmtId="41" fontId="7" fillId="0" borderId="0"/>
    <xf numFmtId="41" fontId="7" fillId="0" borderId="0"/>
    <xf numFmtId="41" fontId="7" fillId="0" borderId="0"/>
    <xf numFmtId="0" fontId="35" fillId="32" borderId="68" applyNumberFormat="0" applyAlignment="0" applyProtection="0"/>
    <xf numFmtId="0" fontId="36" fillId="33" borderId="12" applyNumberFormat="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115"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14" fillId="0" borderId="0" applyFont="0" applyFill="0" applyBorder="0" applyAlignment="0" applyProtection="0">
      <alignment vertical="top"/>
    </xf>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7"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7"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7"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7"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7"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7" fillId="0" borderId="0" applyFont="0" applyFill="0" applyBorder="0" applyAlignment="0" applyProtection="0"/>
    <xf numFmtId="44" fontId="115" fillId="0" borderId="0" applyFont="0" applyFill="0" applyBorder="0" applyAlignment="0" applyProtection="0"/>
    <xf numFmtId="44" fontId="3"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7" fillId="0" borderId="0" applyFont="0" applyFill="0" applyBorder="0" applyAlignment="0" applyProtection="0"/>
    <xf numFmtId="44" fontId="37"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8" fillId="0" borderId="0"/>
    <xf numFmtId="0" fontId="8" fillId="0" borderId="0"/>
    <xf numFmtId="0" fontId="8" fillId="0" borderId="84"/>
    <xf numFmtId="183" fontId="7" fillId="0" borderId="0" applyFont="0" applyFill="0" applyBorder="0" applyAlignment="0" applyProtection="0"/>
    <xf numFmtId="183" fontId="7" fillId="0" borderId="0" applyFont="0" applyFill="0" applyBorder="0" applyAlignment="0" applyProtection="0"/>
    <xf numFmtId="0" fontId="10" fillId="3" borderId="0" applyNumberFormat="0" applyBorder="0" applyAlignment="0" applyProtection="0"/>
    <xf numFmtId="0" fontId="29" fillId="10" borderId="0" applyNumberFormat="0" applyBorder="0" applyAlignment="0" applyProtection="0"/>
    <xf numFmtId="0" fontId="43" fillId="0" borderId="14" applyNumberFormat="0" applyFill="0" applyAlignment="0" applyProtection="0"/>
    <xf numFmtId="0" fontId="47" fillId="0" borderId="17" applyNumberFormat="0" applyFill="0" applyAlignment="0" applyProtection="0"/>
    <xf numFmtId="0" fontId="11"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2" fillId="83" borderId="84"/>
    <xf numFmtId="0" fontId="56" fillId="20" borderId="0" applyNumberFormat="0" applyBorder="0" applyAlignment="0" applyProtection="0"/>
    <xf numFmtId="0" fontId="8" fillId="0" borderId="0"/>
    <xf numFmtId="0" fontId="8" fillId="0" borderId="0"/>
    <xf numFmtId="0" fontId="8" fillId="0" borderId="0"/>
    <xf numFmtId="0" fontId="3" fillId="0" borderId="0"/>
    <xf numFmtId="0" fontId="30" fillId="0" borderId="0"/>
    <xf numFmtId="0" fontId="7" fillId="0" borderId="0"/>
    <xf numFmtId="0" fontId="3" fillId="0" borderId="0"/>
    <xf numFmtId="0" fontId="3" fillId="0" borderId="0"/>
    <xf numFmtId="0" fontId="7" fillId="0" borderId="0">
      <alignment wrapText="1"/>
    </xf>
    <xf numFmtId="0" fontId="3" fillId="0" borderId="0"/>
    <xf numFmtId="0" fontId="3" fillId="0" borderId="0"/>
    <xf numFmtId="0" fontId="3" fillId="0" borderId="0"/>
    <xf numFmtId="0" fontId="3" fillId="0" borderId="0"/>
    <xf numFmtId="0" fontId="3" fillId="0" borderId="0"/>
    <xf numFmtId="0" fontId="7" fillId="0" borderId="0"/>
    <xf numFmtId="0" fontId="14" fillId="0" borderId="0">
      <alignment vertical="top"/>
    </xf>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0" fillId="0" borderId="0"/>
    <xf numFmtId="0" fontId="7" fillId="0" borderId="0"/>
    <xf numFmtId="0" fontId="14" fillId="0" borderId="0">
      <alignment vertical="top"/>
    </xf>
    <xf numFmtId="0" fontId="3" fillId="0" borderId="0"/>
    <xf numFmtId="0" fontId="7"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7" fillId="0" borderId="0"/>
    <xf numFmtId="0" fontId="30" fillId="0" borderId="0"/>
    <xf numFmtId="0" fontId="3" fillId="0" borderId="0"/>
    <xf numFmtId="0" fontId="7" fillId="0" borderId="0"/>
    <xf numFmtId="0" fontId="30" fillId="0" borderId="0"/>
    <xf numFmtId="0" fontId="7" fillId="0" borderId="0"/>
    <xf numFmtId="0" fontId="30" fillId="0" borderId="0"/>
    <xf numFmtId="0" fontId="30" fillId="0" borderId="0"/>
    <xf numFmtId="0" fontId="30" fillId="0" borderId="0"/>
    <xf numFmtId="0" fontId="1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alignment vertical="top"/>
    </xf>
    <xf numFmtId="0" fontId="5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153" fillId="0" borderId="0"/>
    <xf numFmtId="0" fontId="3" fillId="0" borderId="0"/>
    <xf numFmtId="0" fontId="7" fillId="0" borderId="0"/>
    <xf numFmtId="0" fontId="115" fillId="0" borderId="0"/>
    <xf numFmtId="0" fontId="7" fillId="0" borderId="0"/>
    <xf numFmtId="0" fontId="3" fillId="0" borderId="0"/>
    <xf numFmtId="0" fontId="3" fillId="0" borderId="0"/>
    <xf numFmtId="0" fontId="154" fillId="0" borderId="0"/>
    <xf numFmtId="0" fontId="154"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0"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0" fillId="15" borderId="76" applyNumberFormat="0" applyFont="0" applyAlignment="0" applyProtection="0"/>
    <xf numFmtId="0" fontId="6" fillId="15" borderId="76" applyNumberFormat="0" applyFont="0" applyAlignment="0" applyProtection="0"/>
    <xf numFmtId="0" fontId="30" fillId="53" borderId="85" applyNumberFormat="0" applyFont="0" applyAlignment="0" applyProtection="0"/>
    <xf numFmtId="9" fontId="30" fillId="0" borderId="0" applyFont="0" applyFill="0" applyBorder="0" applyAlignment="0" applyProtection="0"/>
    <xf numFmtId="9" fontId="14" fillId="0" borderId="0" applyFont="0" applyFill="0" applyBorder="0" applyAlignment="0" applyProtection="0">
      <alignment vertical="top"/>
    </xf>
    <xf numFmtId="9" fontId="3"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30"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0" fillId="0" borderId="0" applyFont="0" applyFill="0" applyBorder="0" applyAlignment="0" applyProtection="0"/>
    <xf numFmtId="9" fontId="3" fillId="0" borderId="0" applyFont="0" applyFill="0" applyBorder="0" applyAlignment="0" applyProtection="0"/>
    <xf numFmtId="0" fontId="8" fillId="0" borderId="0"/>
    <xf numFmtId="0" fontId="8" fillId="0" borderId="0"/>
    <xf numFmtId="0" fontId="14" fillId="0" borderId="0">
      <alignment vertical="top"/>
    </xf>
    <xf numFmtId="0" fontId="8" fillId="0" borderId="0"/>
    <xf numFmtId="0" fontId="14" fillId="0" borderId="0">
      <alignment vertical="top"/>
    </xf>
    <xf numFmtId="0" fontId="8" fillId="0" borderId="84"/>
    <xf numFmtId="0" fontId="8" fillId="0" borderId="84"/>
    <xf numFmtId="0" fontId="155" fillId="84" borderId="0"/>
    <xf numFmtId="0" fontId="156" fillId="84" borderId="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66" fillId="0" borderId="86" applyNumberFormat="0" applyFill="0" applyAlignment="0" applyProtection="0"/>
    <xf numFmtId="0" fontId="152" fillId="0" borderId="87"/>
    <xf numFmtId="0" fontId="152" fillId="0" borderId="87"/>
    <xf numFmtId="0" fontId="152" fillId="0" borderId="84"/>
    <xf numFmtId="0" fontId="152" fillId="0" borderId="84"/>
    <xf numFmtId="0" fontId="35" fillId="11" borderId="68" applyNumberFormat="0" applyAlignment="0" applyProtection="0"/>
    <xf numFmtId="0" fontId="35" fillId="11" borderId="68" applyNumberFormat="0" applyAlignment="0" applyProtection="0"/>
    <xf numFmtId="0" fontId="53" fillId="18" borderId="68" applyNumberFormat="0" applyAlignment="0" applyProtection="0"/>
    <xf numFmtId="0" fontId="59" fillId="11" borderId="78" applyNumberFormat="0" applyAlignment="0" applyProtection="0"/>
    <xf numFmtId="0" fontId="66" fillId="0" borderId="88" applyNumberFormat="0" applyFill="0" applyAlignment="0" applyProtection="0"/>
    <xf numFmtId="0" fontId="66" fillId="0" borderId="88" applyNumberFormat="0" applyFill="0" applyAlignment="0" applyProtection="0"/>
    <xf numFmtId="0" fontId="3" fillId="0" borderId="0"/>
    <xf numFmtId="0" fontId="159" fillId="0" borderId="0"/>
    <xf numFmtId="43" fontId="159" fillId="0" borderId="0" applyFont="0" applyFill="0" applyBorder="0" applyAlignment="0" applyProtection="0"/>
    <xf numFmtId="0" fontId="47" fillId="32" borderId="89" applyNumberFormat="0" applyAlignment="0" applyProtection="0"/>
    <xf numFmtId="0" fontId="59" fillId="11" borderId="90" applyNumberFormat="0" applyAlignment="0" applyProtection="0"/>
    <xf numFmtId="0" fontId="66" fillId="0" borderId="66" applyNumberFormat="0" applyFill="0" applyAlignment="0" applyProtection="0"/>
    <xf numFmtId="0" fontId="66" fillId="0" borderId="66" applyNumberFormat="0" applyFill="0" applyAlignment="0" applyProtection="0"/>
    <xf numFmtId="0" fontId="66" fillId="0" borderId="91" applyNumberFormat="0" applyFill="0" applyAlignment="0" applyProtection="0"/>
    <xf numFmtId="0" fontId="66" fillId="0" borderId="91" applyNumberFormat="0" applyFill="0" applyAlignment="0" applyProtection="0"/>
    <xf numFmtId="167" fontId="8" fillId="0" borderId="0"/>
    <xf numFmtId="0" fontId="3" fillId="0" borderId="0"/>
    <xf numFmtId="0" fontId="3" fillId="0" borderId="0"/>
    <xf numFmtId="0" fontId="30" fillId="11"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2" borderId="0" applyNumberFormat="0" applyBorder="0" applyAlignment="0" applyProtection="0"/>
    <xf numFmtId="0" fontId="30" fillId="19"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 fillId="59" borderId="0" applyNumberFormat="0" applyBorder="0" applyAlignment="0" applyProtection="0"/>
    <xf numFmtId="0" fontId="3" fillId="15" borderId="0" applyNumberFormat="0" applyBorder="0" applyAlignment="0" applyProtection="0"/>
    <xf numFmtId="0" fontId="30" fillId="15" borderId="0" applyNumberFormat="0" applyBorder="0" applyAlignment="0" applyProtection="0"/>
    <xf numFmtId="0" fontId="3" fillId="63" borderId="0" applyNumberFormat="0" applyBorder="0" applyAlignment="0" applyProtection="0"/>
    <xf numFmtId="0" fontId="30" fillId="11" borderId="0" applyNumberFormat="0" applyBorder="0" applyAlignment="0" applyProtection="0"/>
    <xf numFmtId="0" fontId="30" fillId="18" borderId="0" applyNumberFormat="0" applyBorder="0" applyAlignment="0" applyProtection="0"/>
    <xf numFmtId="0" fontId="30" fillId="33"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9" borderId="0" applyNumberFormat="0" applyBorder="0" applyAlignment="0" applyProtection="0"/>
    <xf numFmtId="0" fontId="30" fillId="3" borderId="0" applyNumberFormat="0" applyBorder="0" applyAlignment="0" applyProtection="0"/>
    <xf numFmtId="0" fontId="30" fillId="15" borderId="0" applyNumberFormat="0" applyBorder="0" applyAlignment="0" applyProtection="0"/>
    <xf numFmtId="0" fontId="30" fillId="20" borderId="0" applyNumberFormat="0" applyBorder="0" applyAlignment="0" applyProtection="0"/>
    <xf numFmtId="0" fontId="30" fillId="15" borderId="0" applyNumberFormat="0" applyBorder="0" applyAlignment="0" applyProtection="0"/>
    <xf numFmtId="0" fontId="30" fillId="20" borderId="0" applyNumberFormat="0" applyBorder="0" applyAlignment="0" applyProtection="0"/>
    <xf numFmtId="0" fontId="3" fillId="64" borderId="0" applyNumberFormat="0" applyBorder="0" applyAlignment="0" applyProtection="0"/>
    <xf numFmtId="0" fontId="30" fillId="17" borderId="0" applyNumberFormat="0" applyBorder="0" applyAlignment="0" applyProtection="0"/>
    <xf numFmtId="0" fontId="30" fillId="14" borderId="0" applyNumberFormat="0" applyBorder="0" applyAlignment="0" applyProtection="0"/>
    <xf numFmtId="0" fontId="30" fillId="3" borderId="0" applyNumberFormat="0" applyBorder="0" applyAlignment="0" applyProtection="0"/>
    <xf numFmtId="0" fontId="30" fillId="15" borderId="0" applyNumberFormat="0" applyBorder="0" applyAlignment="0" applyProtection="0"/>
    <xf numFmtId="0" fontId="30" fillId="22" borderId="0" applyNumberFormat="0" applyBorder="0" applyAlignment="0" applyProtection="0"/>
    <xf numFmtId="0" fontId="30" fillId="15" borderId="0" applyNumberFormat="0" applyBorder="0" applyAlignment="0" applyProtection="0"/>
    <xf numFmtId="0" fontId="33" fillId="23" borderId="0" applyNumberFormat="0" applyBorder="0" applyAlignment="0" applyProtection="0"/>
    <xf numFmtId="0" fontId="33" fillId="31" borderId="0" applyNumberFormat="0" applyBorder="0" applyAlignment="0" applyProtection="0"/>
    <xf numFmtId="0" fontId="33" fillId="3" borderId="0" applyNumberFormat="0" applyBorder="0" applyAlignment="0" applyProtection="0"/>
    <xf numFmtId="0" fontId="33" fillId="24" borderId="0" applyNumberFormat="0" applyBorder="0" applyAlignment="0" applyProtection="0"/>
    <xf numFmtId="0" fontId="33" fillId="3" borderId="0" applyNumberFormat="0" applyBorder="0" applyAlignment="0" applyProtection="0"/>
    <xf numFmtId="0" fontId="33" fillId="30" borderId="0" applyNumberFormat="0" applyBorder="0" applyAlignment="0" applyProtection="0"/>
    <xf numFmtId="0" fontId="33" fillId="13" borderId="0" applyNumberFormat="0" applyBorder="0" applyAlignment="0" applyProtection="0"/>
    <xf numFmtId="0" fontId="33" fillId="22" borderId="0" applyNumberFormat="0" applyBorder="0" applyAlignment="0" applyProtection="0"/>
    <xf numFmtId="0" fontId="33" fillId="21" borderId="0" applyNumberFormat="0" applyBorder="0" applyAlignment="0" applyProtection="0"/>
    <xf numFmtId="0" fontId="33" fillId="22" borderId="0" applyNumberFormat="0" applyBorder="0" applyAlignment="0" applyProtection="0"/>
    <xf numFmtId="0" fontId="33" fillId="14" borderId="0" applyNumberFormat="0" applyBorder="0" applyAlignment="0" applyProtection="0"/>
    <xf numFmtId="0" fontId="33" fillId="25" borderId="0" applyNumberFormat="0" applyBorder="0" applyAlignment="0" applyProtection="0"/>
    <xf numFmtId="0" fontId="33" fillId="14" borderId="0" applyNumberFormat="0" applyBorder="0" applyAlignment="0" applyProtection="0"/>
    <xf numFmtId="0" fontId="33" fillId="23" borderId="0" applyNumberFormat="0" applyBorder="0" applyAlignment="0" applyProtection="0"/>
    <xf numFmtId="0" fontId="33" fillId="31"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23" borderId="0" applyNumberFormat="0" applyBorder="0" applyAlignment="0" applyProtection="0"/>
    <xf numFmtId="0" fontId="80" fillId="73" borderId="0" applyNumberFormat="0" applyBorder="0" applyAlignment="0" applyProtection="0"/>
    <xf numFmtId="0" fontId="33" fillId="18" borderId="0" applyNumberFormat="0" applyBorder="0" applyAlignment="0" applyProtection="0"/>
    <xf numFmtId="0" fontId="33" fillId="13" borderId="0" applyNumberFormat="0" applyBorder="0" applyAlignment="0" applyProtection="0"/>
    <xf numFmtId="0" fontId="33" fillId="18" borderId="0" applyNumberFormat="0" applyBorder="0" applyAlignment="0" applyProtection="0"/>
    <xf numFmtId="0" fontId="33" fillId="13" borderId="0" applyNumberFormat="0" applyBorder="0" applyAlignment="0" applyProtection="0"/>
    <xf numFmtId="0" fontId="33" fillId="26" borderId="0" applyNumberFormat="0" applyBorder="0" applyAlignment="0" applyProtection="0"/>
    <xf numFmtId="0" fontId="80" fillId="77" borderId="0" applyNumberFormat="0" applyBorder="0" applyAlignment="0" applyProtection="0"/>
    <xf numFmtId="0" fontId="33" fillId="23" borderId="0" applyNumberFormat="0" applyBorder="0" applyAlignment="0" applyProtection="0"/>
    <xf numFmtId="0" fontId="33" fillId="31" borderId="0" applyNumberFormat="0" applyBorder="0" applyAlignment="0" applyProtection="0"/>
    <xf numFmtId="0" fontId="33" fillId="80" borderId="0" applyNumberFormat="0" applyBorder="0" applyAlignment="0" applyProtection="0"/>
    <xf numFmtId="0" fontId="33" fillId="27" borderId="0" applyNumberFormat="0" applyBorder="0" applyAlignment="0" applyProtection="0"/>
    <xf numFmtId="0" fontId="33" fillId="30"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22" borderId="0" applyNumberFormat="0" applyBorder="0" applyAlignment="0" applyProtection="0"/>
    <xf numFmtId="0" fontId="33" fillId="29" borderId="0" applyNumberFormat="0" applyBorder="0" applyAlignment="0" applyProtection="0"/>
    <xf numFmtId="0" fontId="33" fillId="81" borderId="0" applyNumberFormat="0" applyBorder="0" applyAlignment="0" applyProtection="0"/>
    <xf numFmtId="0" fontId="33" fillId="81" borderId="0" applyNumberFormat="0" applyBorder="0" applyAlignment="0" applyProtection="0"/>
    <xf numFmtId="0" fontId="33" fillId="81" borderId="0" applyNumberFormat="0" applyBorder="0" applyAlignment="0" applyProtection="0"/>
    <xf numFmtId="0" fontId="33" fillId="25" borderId="0" applyNumberFormat="0" applyBorder="0" applyAlignment="0" applyProtection="0"/>
    <xf numFmtId="0" fontId="80" fillId="66" borderId="0" applyNumberFormat="0" applyBorder="0" applyAlignment="0" applyProtection="0"/>
    <xf numFmtId="0" fontId="33" fillId="31" borderId="0" applyNumberFormat="0" applyBorder="0" applyAlignment="0" applyProtection="0"/>
    <xf numFmtId="0" fontId="80" fillId="70" borderId="0" applyNumberFormat="0" applyBorder="0" applyAlignment="0" applyProtection="0"/>
    <xf numFmtId="0" fontId="33" fillId="23" borderId="0" applyNumberFormat="0" applyBorder="0" applyAlignment="0" applyProtection="0"/>
    <xf numFmtId="0" fontId="33" fillId="31"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33" fillId="30" borderId="0" applyNumberFormat="0" applyBorder="0" applyAlignment="0" applyProtection="0"/>
    <xf numFmtId="0" fontId="33" fillId="28" borderId="0" applyNumberFormat="0" applyBorder="0" applyAlignment="0" applyProtection="0"/>
    <xf numFmtId="0" fontId="33" fillId="30" borderId="0" applyNumberFormat="0" applyBorder="0" applyAlignment="0" applyProtection="0"/>
    <xf numFmtId="41" fontId="7" fillId="0" borderId="0"/>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110" fillId="0" borderId="100" applyBorder="0">
      <alignment horizontal="center" vertical="center" wrapText="1"/>
    </xf>
    <xf numFmtId="0" fontId="34" fillId="17" borderId="0" applyNumberFormat="0" applyBorder="0" applyAlignment="0" applyProtection="0"/>
    <xf numFmtId="0" fontId="34" fillId="14" borderId="0" applyNumberFormat="0" applyBorder="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4"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32"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35" fillId="11"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135" fillId="32" borderId="109" applyNumberFormat="0" applyAlignment="0" applyProtection="0"/>
    <xf numFmtId="0" fontId="36" fillId="33" borderId="12" applyNumberFormat="0" applyAlignment="0" applyProtection="0"/>
    <xf numFmtId="0" fontId="36" fillId="33" borderId="12" applyNumberFormat="0" applyAlignment="0" applyProtection="0"/>
    <xf numFmtId="0" fontId="100" fillId="52" borderId="49"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1" fontId="115" fillId="4" borderId="0">
      <alignment horizontal="left"/>
    </xf>
    <xf numFmtId="41" fontId="115" fillId="4" borderId="0">
      <alignment horizontal="left"/>
    </xf>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alignment vertical="top"/>
    </xf>
    <xf numFmtId="178" fontId="8" fillId="0" borderId="0" applyFont="0" applyFill="0" applyBorder="0" applyAlignment="0" applyProtection="0"/>
    <xf numFmtId="43" fontId="7" fillId="0" borderId="0" applyFont="0" applyFill="0" applyBorder="0" applyAlignment="0" applyProtection="0"/>
    <xf numFmtId="178" fontId="8"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0"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14"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0" fillId="0" borderId="0" applyFont="0" applyFill="0" applyBorder="0" applyAlignment="0" applyProtection="0"/>
    <xf numFmtId="44" fontId="7" fillId="0" borderId="0" applyFont="0" applyFill="0" applyBorder="0" applyAlignment="0" applyProtection="0"/>
    <xf numFmtId="44" fontId="30" fillId="0" borderId="0" applyFont="0" applyFill="0" applyBorder="0" applyAlignment="0" applyProtection="0"/>
    <xf numFmtId="44" fontId="7" fillId="0" borderId="0" applyFont="0" applyFill="0" applyBorder="0" applyAlignment="0" applyProtection="0"/>
    <xf numFmtId="44" fontId="174"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30" fillId="0" borderId="0" applyFont="0" applyFill="0" applyBorder="0" applyAlignment="0" applyProtection="0"/>
    <xf numFmtId="44" fontId="7" fillId="0" borderId="0" applyFont="0" applyFill="0" applyBorder="0" applyAlignment="0" applyProtection="0"/>
    <xf numFmtId="44" fontId="30"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3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alignmen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2" fontId="7" fillId="0" borderId="0" applyFont="0" applyFill="0" applyBorder="0" applyAlignment="0" applyProtection="0"/>
    <xf numFmtId="0" fontId="10" fillId="3" borderId="0" applyNumberFormat="0" applyBorder="0" applyAlignment="0" applyProtection="0"/>
    <xf numFmtId="0" fontId="29" fillId="10" borderId="0" applyNumberFormat="0" applyBorder="0" applyAlignment="0" applyProtection="0"/>
    <xf numFmtId="0" fontId="43" fillId="0" borderId="14" applyNumberFormat="0" applyFill="0" applyAlignment="0" applyProtection="0"/>
    <xf numFmtId="0" fontId="138" fillId="0" borderId="69" applyNumberFormat="0" applyFill="0" applyAlignment="0" applyProtection="0"/>
    <xf numFmtId="0" fontId="43" fillId="0" borderId="70" applyNumberFormat="0" applyFill="0" applyAlignment="0" applyProtection="0"/>
    <xf numFmtId="0" fontId="44" fillId="0" borderId="15" applyNumberFormat="0" applyFill="0" applyAlignment="0" applyProtection="0"/>
    <xf numFmtId="0" fontId="43" fillId="0" borderId="70" applyNumberFormat="0" applyFill="0" applyAlignment="0" applyProtection="0"/>
    <xf numFmtId="0" fontId="45" fillId="0" borderId="16" applyNumberFormat="0" applyFill="0" applyAlignment="0" applyProtection="0"/>
    <xf numFmtId="0" fontId="46" fillId="0" borderId="16" applyNumberFormat="0" applyFill="0" applyAlignment="0" applyProtection="0"/>
    <xf numFmtId="0" fontId="45" fillId="0" borderId="71" applyNumberFormat="0" applyFill="0" applyAlignment="0" applyProtection="0"/>
    <xf numFmtId="0" fontId="47" fillId="0" borderId="17" applyNumberFormat="0" applyFill="0" applyAlignment="0" applyProtection="0"/>
    <xf numFmtId="0" fontId="49" fillId="0" borderId="72" applyNumberFormat="0" applyFill="0" applyAlignment="0" applyProtection="0"/>
    <xf numFmtId="0" fontId="47" fillId="0" borderId="73" applyNumberFormat="0" applyFill="0" applyAlignment="0" applyProtection="0"/>
    <xf numFmtId="0" fontId="48" fillId="0" borderId="18" applyNumberFormat="0" applyFill="0" applyAlignment="0" applyProtection="0"/>
    <xf numFmtId="0" fontId="47" fillId="0" borderId="73"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2"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20"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53" fillId="18" borderId="109" applyNumberFormat="0" applyAlignment="0" applyProtection="0"/>
    <xf numFmtId="0" fontId="96" fillId="50" borderId="46" applyNumberFormat="0" applyAlignment="0" applyProtection="0"/>
    <xf numFmtId="3" fontId="54" fillId="38" borderId="0">
      <protection locked="0"/>
    </xf>
    <xf numFmtId="3" fontId="54" fillId="38" borderId="0">
      <protection locked="0"/>
    </xf>
    <xf numFmtId="3" fontId="54" fillId="38" borderId="0">
      <protection locked="0"/>
    </xf>
    <xf numFmtId="3" fontId="54" fillId="38" borderId="0">
      <protection locked="0"/>
    </xf>
    <xf numFmtId="0" fontId="3" fillId="55" borderId="46" applyNumberFormat="0" applyProtection="0">
      <alignment horizontal="centerContinuous" vertical="center"/>
      <protection locked="0"/>
    </xf>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52" fillId="83" borderId="110"/>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110" fillId="0" borderId="111" applyBorder="0">
      <alignment horizontal="center" vertical="center" wrapText="1"/>
    </xf>
    <xf numFmtId="0" fontId="55" fillId="0" borderId="19" applyNumberFormat="0" applyFill="0" applyAlignment="0" applyProtection="0"/>
    <xf numFmtId="0" fontId="67" fillId="0" borderId="75" applyNumberFormat="0" applyFill="0" applyAlignment="0" applyProtection="0"/>
    <xf numFmtId="0" fontId="55" fillId="0" borderId="19" applyNumberFormat="0" applyFill="0" applyAlignment="0" applyProtection="0"/>
    <xf numFmtId="0" fontId="56" fillId="20" borderId="0" applyNumberFormat="0" applyBorder="0" applyAlignment="0" applyProtection="0"/>
    <xf numFmtId="0" fontId="144" fillId="20" borderId="0" applyNumberFormat="0" applyBorder="0" applyAlignment="0" applyProtection="0"/>
    <xf numFmtId="0" fontId="145" fillId="20" borderId="0" applyNumberFormat="0" applyBorder="0" applyAlignment="0" applyProtection="0"/>
    <xf numFmtId="0" fontId="145" fillId="20" borderId="0" applyNumberFormat="0" applyBorder="0" applyAlignment="0" applyProtection="0"/>
    <xf numFmtId="0" fontId="56" fillId="20" borderId="0" applyNumberFormat="0" applyBorder="0" applyAlignment="0" applyProtection="0"/>
    <xf numFmtId="0" fontId="95" fillId="4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alignment vertical="top"/>
    </xf>
    <xf numFmtId="0" fontId="7" fillId="0" borderId="0"/>
    <xf numFmtId="0" fontId="7" fillId="0" borderId="0"/>
    <xf numFmtId="0" fontId="3"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7" fillId="0" borderId="0"/>
    <xf numFmtId="0" fontId="3" fillId="0" borderId="0"/>
    <xf numFmtId="0" fontId="3" fillId="0" borderId="0"/>
    <xf numFmtId="0" fontId="3" fillId="0" borderId="0"/>
    <xf numFmtId="0" fontId="3" fillId="0" borderId="0"/>
    <xf numFmtId="0" fontId="3" fillId="0" borderId="0"/>
    <xf numFmtId="0" fontId="7" fillId="0" borderId="0">
      <alignment vertical="top"/>
    </xf>
    <xf numFmtId="0" fontId="7"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38" fillId="0" borderId="0"/>
    <xf numFmtId="0" fontId="3" fillId="0" borderId="0"/>
    <xf numFmtId="0" fontId="3" fillId="0" borderId="0"/>
    <xf numFmtId="0" fontId="3" fillId="0" borderId="0"/>
    <xf numFmtId="0" fontId="7" fillId="0" borderId="0">
      <alignment vertical="top"/>
    </xf>
    <xf numFmtId="0" fontId="3" fillId="0" borderId="0"/>
    <xf numFmtId="0" fontId="7" fillId="0" borderId="0"/>
    <xf numFmtId="0" fontId="8" fillId="0" borderId="0"/>
    <xf numFmtId="0" fontId="3" fillId="0" borderId="0"/>
    <xf numFmtId="0" fontId="8" fillId="0" borderId="0"/>
    <xf numFmtId="0" fontId="3" fillId="0" borderId="0"/>
    <xf numFmtId="0" fontId="8" fillId="0" borderId="0"/>
    <xf numFmtId="0" fontId="3" fillId="0" borderId="0"/>
    <xf numFmtId="0" fontId="8" fillId="0" borderId="0"/>
    <xf numFmtId="0" fontId="3" fillId="0" borderId="0"/>
    <xf numFmtId="0" fontId="8"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alignment vertical="top"/>
    </xf>
    <xf numFmtId="0" fontId="8" fillId="0" borderId="0"/>
    <xf numFmtId="0" fontId="8" fillId="0" borderId="0"/>
    <xf numFmtId="0" fontId="8" fillId="0" borderId="0"/>
    <xf numFmtId="0" fontId="7" fillId="0" borderId="0"/>
    <xf numFmtId="0" fontId="3" fillId="0" borderId="0"/>
    <xf numFmtId="0" fontId="30" fillId="0" borderId="0"/>
    <xf numFmtId="0" fontId="57" fillId="0" borderId="0"/>
    <xf numFmtId="0" fontId="7" fillId="0" borderId="0"/>
    <xf numFmtId="0" fontId="8" fillId="0" borderId="0"/>
    <xf numFmtId="0" fontId="3" fillId="0" borderId="0"/>
    <xf numFmtId="0" fontId="8" fillId="0" borderId="0"/>
    <xf numFmtId="0" fontId="3" fillId="0" borderId="0"/>
    <xf numFmtId="0" fontId="8" fillId="0" borderId="0"/>
    <xf numFmtId="0" fontId="7" fillId="0" borderId="0">
      <alignment vertical="top"/>
    </xf>
    <xf numFmtId="0" fontId="7" fillId="0" borderId="0"/>
    <xf numFmtId="0" fontId="30" fillId="0" borderId="0"/>
    <xf numFmtId="0" fontId="7" fillId="0" borderId="0">
      <alignment vertical="top"/>
    </xf>
    <xf numFmtId="0" fontId="3" fillId="0" borderId="0"/>
    <xf numFmtId="0" fontId="7"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alignment vertical="top"/>
    </xf>
    <xf numFmtId="0" fontId="7" fillId="0" borderId="0"/>
    <xf numFmtId="0" fontId="30" fillId="0" borderId="0"/>
    <xf numFmtId="0" fontId="3" fillId="0" borderId="0"/>
    <xf numFmtId="0" fontId="7" fillId="0" borderId="0"/>
    <xf numFmtId="0" fontId="8" fillId="0" borderId="0"/>
    <xf numFmtId="0" fontId="8" fillId="0" borderId="0"/>
    <xf numFmtId="0" fontId="7" fillId="0" borderId="0">
      <alignment vertical="top"/>
    </xf>
    <xf numFmtId="0" fontId="8" fillId="0" borderId="0"/>
    <xf numFmtId="0" fontId="7" fillId="0" borderId="0"/>
    <xf numFmtId="0" fontId="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alignment vertical="top"/>
    </xf>
    <xf numFmtId="0" fontId="30" fillId="0" borderId="0"/>
    <xf numFmtId="0" fontId="3" fillId="0" borderId="0"/>
    <xf numFmtId="0" fontId="7" fillId="0" borderId="0"/>
    <xf numFmtId="0" fontId="8" fillId="0" borderId="0"/>
    <xf numFmtId="0" fontId="8" fillId="0" borderId="0"/>
    <xf numFmtId="0" fontId="7" fillId="0" borderId="0"/>
    <xf numFmtId="0" fontId="8" fillId="0" borderId="0"/>
    <xf numFmtId="0" fontId="7" fillId="0" borderId="0">
      <alignment vertical="top"/>
    </xf>
    <xf numFmtId="0" fontId="8" fillId="0" borderId="0"/>
    <xf numFmtId="0" fontId="30" fillId="0" borderId="0"/>
    <xf numFmtId="0" fontId="175" fillId="0" borderId="0"/>
    <xf numFmtId="0" fontId="7" fillId="0" borderId="0"/>
    <xf numFmtId="0" fontId="3" fillId="0" borderId="0"/>
    <xf numFmtId="0" fontId="102" fillId="32" borderId="0"/>
    <xf numFmtId="0" fontId="8" fillId="0" borderId="0"/>
    <xf numFmtId="0" fontId="8" fillId="0" borderId="0"/>
    <xf numFmtId="0" fontId="8" fillId="0" borderId="0"/>
    <xf numFmtId="0" fontId="7" fillId="0" borderId="0"/>
    <xf numFmtId="0" fontId="3" fillId="0" borderId="0"/>
    <xf numFmtId="0" fontId="3" fillId="0" borderId="0"/>
    <xf numFmtId="0" fontId="8" fillId="0" borderId="0"/>
    <xf numFmtId="0" fontId="3" fillId="0" borderId="0"/>
    <xf numFmtId="0" fontId="8" fillId="0" borderId="0"/>
    <xf numFmtId="0" fontId="8" fillId="0" borderId="0"/>
    <xf numFmtId="0" fontId="7" fillId="0" borderId="0"/>
    <xf numFmtId="0" fontId="7" fillId="0" borderId="0"/>
    <xf numFmtId="0" fontId="8" fillId="0" borderId="0"/>
    <xf numFmtId="0" fontId="7" fillId="0" borderId="0"/>
    <xf numFmtId="0" fontId="7" fillId="0" borderId="0"/>
    <xf numFmtId="167" fontId="8" fillId="0" borderId="0"/>
    <xf numFmtId="0" fontId="3" fillId="0" borderId="0"/>
    <xf numFmtId="0" fontId="8" fillId="0" borderId="0"/>
    <xf numFmtId="0" fontId="8" fillId="0" borderId="0"/>
    <xf numFmtId="0" fontId="8" fillId="0" borderId="0"/>
    <xf numFmtId="167" fontId="8" fillId="0" borderId="0"/>
    <xf numFmtId="0" fontId="30" fillId="0" borderId="0"/>
    <xf numFmtId="0" fontId="30" fillId="0" borderId="0"/>
    <xf numFmtId="0" fontId="8" fillId="0" borderId="0"/>
    <xf numFmtId="0" fontId="30" fillId="0" borderId="0"/>
    <xf numFmtId="0" fontId="7" fillId="0" borderId="0">
      <alignment vertical="top"/>
    </xf>
    <xf numFmtId="0" fontId="30" fillId="0" borderId="0"/>
    <xf numFmtId="0" fontId="30" fillId="0" borderId="0"/>
    <xf numFmtId="0" fontId="8" fillId="0" borderId="0"/>
    <xf numFmtId="0" fontId="176" fillId="0" borderId="0"/>
    <xf numFmtId="0" fontId="7" fillId="0" borderId="0"/>
    <xf numFmtId="0" fontId="8" fillId="0" borderId="0"/>
    <xf numFmtId="0" fontId="14" fillId="0" borderId="0">
      <alignment vertical="top"/>
    </xf>
    <xf numFmtId="0" fontId="30" fillId="0" borderId="0"/>
    <xf numFmtId="0" fontId="7" fillId="0" borderId="0">
      <alignment vertical="top"/>
    </xf>
    <xf numFmtId="0" fontId="3" fillId="0" borderId="0"/>
    <xf numFmtId="0" fontId="30" fillId="0" borderId="0"/>
    <xf numFmtId="0" fontId="7" fillId="0" borderId="0"/>
    <xf numFmtId="0" fontId="8" fillId="0" borderId="0"/>
    <xf numFmtId="0" fontId="8" fillId="0" borderId="0"/>
    <xf numFmtId="0" fontId="8" fillId="0" borderId="0"/>
    <xf numFmtId="0" fontId="30" fillId="0" borderId="0"/>
    <xf numFmtId="0" fontId="3" fillId="0" borderId="0"/>
    <xf numFmtId="0" fontId="30" fillId="0" borderId="0"/>
    <xf numFmtId="0" fontId="8" fillId="0" borderId="0"/>
    <xf numFmtId="0" fontId="8" fillId="0" borderId="0"/>
    <xf numFmtId="0" fontId="8" fillId="0" borderId="0"/>
    <xf numFmtId="0" fontId="30" fillId="0" borderId="0"/>
    <xf numFmtId="0" fontId="30" fillId="0" borderId="0"/>
    <xf numFmtId="0" fontId="3" fillId="0" borderId="0"/>
    <xf numFmtId="0" fontId="7" fillId="0" borderId="0"/>
    <xf numFmtId="0" fontId="8" fillId="0" borderId="0"/>
    <xf numFmtId="0" fontId="8" fillId="0" borderId="0"/>
    <xf numFmtId="0" fontId="3" fillId="0" borderId="0"/>
    <xf numFmtId="0" fontId="7" fillId="0" borderId="0"/>
    <xf numFmtId="0" fontId="8" fillId="0" borderId="0"/>
    <xf numFmtId="0" fontId="8" fillId="0" borderId="0"/>
    <xf numFmtId="0" fontId="8" fillId="0" borderId="0"/>
    <xf numFmtId="0" fontId="8" fillId="0" borderId="0"/>
    <xf numFmtId="0" fontId="7" fillId="0" borderId="0"/>
    <xf numFmtId="0" fontId="8" fillId="0" borderId="0"/>
    <xf numFmtId="0" fontId="7" fillId="0" borderId="0"/>
    <xf numFmtId="0" fontId="14" fillId="0" borderId="0"/>
    <xf numFmtId="0" fontId="12" fillId="0" borderId="0"/>
    <xf numFmtId="0" fontId="7" fillId="0" borderId="0"/>
    <xf numFmtId="0" fontId="12" fillId="0" borderId="0"/>
    <xf numFmtId="0" fontId="8" fillId="0" borderId="0"/>
    <xf numFmtId="0" fontId="3" fillId="0" borderId="0"/>
    <xf numFmtId="0" fontId="7"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0" fillId="0" borderId="0"/>
    <xf numFmtId="0" fontId="3" fillId="0" borderId="0"/>
    <xf numFmtId="0" fontId="8" fillId="0" borderId="0"/>
    <xf numFmtId="0" fontId="30" fillId="0" borderId="0"/>
    <xf numFmtId="0" fontId="8" fillId="0" borderId="0"/>
    <xf numFmtId="0" fontId="3" fillId="0" borderId="0"/>
    <xf numFmtId="0" fontId="30" fillId="0" borderId="0"/>
    <xf numFmtId="0" fontId="3" fillId="0" borderId="0"/>
    <xf numFmtId="167" fontId="8"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8" fillId="0" borderId="0"/>
    <xf numFmtId="0" fontId="7"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7" fillId="0" borderId="0"/>
    <xf numFmtId="0" fontId="3" fillId="0" borderId="0"/>
    <xf numFmtId="0" fontId="7" fillId="0" borderId="0"/>
    <xf numFmtId="0" fontId="1" fillId="0" borderId="0"/>
    <xf numFmtId="0" fontId="3" fillId="0" borderId="0"/>
    <xf numFmtId="0" fontId="7" fillId="0" borderId="0"/>
    <xf numFmtId="0" fontId="8" fillId="0" borderId="0"/>
    <xf numFmtId="0" fontId="7" fillId="0" borderId="0"/>
    <xf numFmtId="0" fontId="7" fillId="0" borderId="0"/>
    <xf numFmtId="0" fontId="8" fillId="0" borderId="0"/>
    <xf numFmtId="0" fontId="8" fillId="0" borderId="0"/>
    <xf numFmtId="0" fontId="3" fillId="0" borderId="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14"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7" fillId="15" borderId="113"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8" fillId="0" borderId="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6"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8" fillId="0" borderId="0"/>
    <xf numFmtId="0" fontId="8" fillId="15" borderId="112" applyNumberFormat="0" applyFont="0" applyAlignment="0" applyProtection="0"/>
    <xf numFmtId="0" fontId="8" fillId="15" borderId="112" applyNumberFormat="0" applyFont="0" applyAlignment="0" applyProtection="0"/>
    <xf numFmtId="0" fontId="8" fillId="15" borderId="112"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30" fillId="53" borderId="113" applyNumberFormat="0" applyFont="0" applyAlignment="0" applyProtection="0"/>
    <xf numFmtId="0" fontId="8" fillId="0" borderId="0"/>
    <xf numFmtId="0" fontId="8" fillId="0" borderId="0"/>
    <xf numFmtId="0" fontId="177" fillId="92" borderId="114" applyBorder="0">
      <alignment horizontal="centerContinuous"/>
    </xf>
    <xf numFmtId="0" fontId="178" fillId="93" borderId="100" applyBorder="0">
      <alignment horizontal="centerContinuous"/>
    </xf>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47" fillId="32" borderId="116"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32"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59" fillId="11" borderId="115" applyNumberFormat="0" applyAlignment="0" applyProtection="0"/>
    <xf numFmtId="0" fontId="97" fillId="51" borderId="47" applyNumberFormat="0" applyAlignment="0" applyProtection="0"/>
    <xf numFmtId="0" fontId="8" fillId="0" borderId="0"/>
    <xf numFmtId="9" fontId="8" fillId="0" borderId="0" applyFont="0" applyFill="0" applyBorder="0" applyAlignment="0" applyProtection="0"/>
    <xf numFmtId="0" fontId="8" fillId="0" borderId="0"/>
    <xf numFmtId="9" fontId="14" fillId="0" borderId="0" applyFont="0" applyFill="0" applyBorder="0" applyAlignment="0" applyProtection="0"/>
    <xf numFmtId="0" fontId="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0" fillId="0" borderId="0" applyFont="0" applyFill="0" applyBorder="0" applyAlignment="0" applyProtection="0"/>
    <xf numFmtId="0" fontId="8" fillId="0" borderId="0"/>
    <xf numFmtId="9" fontId="8" fillId="0" borderId="0" applyFont="0" applyFill="0" applyBorder="0" applyAlignment="0" applyProtection="0"/>
    <xf numFmtId="9" fontId="30" fillId="0" borderId="0" applyFont="0" applyFill="0" applyBorder="0" applyAlignment="0" applyProtection="0"/>
    <xf numFmtId="0" fontId="8" fillId="0" borderId="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10" fontId="115" fillId="4" borderId="0"/>
    <xf numFmtId="9" fontId="3" fillId="0" borderId="0" applyFont="0" applyFill="0" applyBorder="0" applyAlignment="0" applyProtection="0"/>
    <xf numFmtId="10" fontId="115" fillId="4" borderId="0"/>
    <xf numFmtId="9" fontId="12" fillId="0" borderId="0" applyFont="0" applyFill="0" applyBorder="0" applyAlignment="0" applyProtection="0"/>
    <xf numFmtId="0" fontId="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0" fontId="8" fillId="0" borderId="0"/>
    <xf numFmtId="9" fontId="30" fillId="0" borderId="0" applyFont="0" applyFill="0" applyBorder="0" applyAlignment="0" applyProtection="0"/>
    <xf numFmtId="9" fontId="14" fillId="0" borderId="0" applyFont="0" applyFill="0" applyBorder="0" applyAlignment="0" applyProtection="0">
      <alignment vertical="top"/>
    </xf>
    <xf numFmtId="9" fontId="37" fillId="0" borderId="0" applyFont="0" applyFill="0" applyBorder="0" applyAlignment="0" applyProtection="0"/>
    <xf numFmtId="9" fontId="38" fillId="0" borderId="0" applyFont="0" applyFill="0" applyBorder="0" applyAlignment="0" applyProtection="0"/>
    <xf numFmtId="0" fontId="8" fillId="0" borderId="0"/>
    <xf numFmtId="9" fontId="7"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0" fontId="8" fillId="0" borderId="0"/>
    <xf numFmtId="9" fontId="38"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0"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0" fillId="0" borderId="0" applyFont="0" applyFill="0" applyBorder="0" applyAlignment="0" applyProtection="0"/>
    <xf numFmtId="0" fontId="8" fillId="0" borderId="0"/>
    <xf numFmtId="0" fontId="8" fillId="0" borderId="0"/>
    <xf numFmtId="0" fontId="8" fillId="0" borderId="0"/>
    <xf numFmtId="0" fontId="8" fillId="0" borderId="0"/>
    <xf numFmtId="0" fontId="61" fillId="0" borderId="2">
      <alignment horizontal="center"/>
    </xf>
    <xf numFmtId="0" fontId="61" fillId="0" borderId="2">
      <alignment horizontal="center"/>
    </xf>
    <xf numFmtId="0" fontId="8" fillId="0" borderId="0"/>
    <xf numFmtId="0" fontId="8" fillId="0" borderId="0"/>
    <xf numFmtId="0" fontId="8" fillId="0" borderId="0"/>
    <xf numFmtId="0" fontId="14" fillId="0" borderId="0">
      <alignment vertical="top"/>
    </xf>
    <xf numFmtId="0" fontId="14" fillId="0" borderId="0" applyNumberFormat="0" applyBorder="0" applyAlignment="0"/>
    <xf numFmtId="0" fontId="8" fillId="0" borderId="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11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7" fillId="0" borderId="0" applyNumberFormat="0" applyFill="0" applyBorder="0" applyAlignment="0" applyProtection="0"/>
    <xf numFmtId="0" fontId="147"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47" fillId="0" borderId="0" applyNumberFormat="0" applyFill="0" applyBorder="0" applyAlignment="0" applyProtection="0"/>
    <xf numFmtId="0" fontId="65" fillId="0" borderId="0" applyNumberFormat="0" applyFill="0" applyBorder="0" applyAlignment="0" applyProtection="0"/>
    <xf numFmtId="0" fontId="90" fillId="0" borderId="0" applyNumberFormat="0" applyFill="0" applyBorder="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8"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8" fillId="0" borderId="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20"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66" fillId="0" borderId="119" applyNumberFormat="0" applyFill="0" applyAlignment="0" applyProtection="0"/>
    <xf numFmtId="0" fontId="8" fillId="0" borderId="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152" fillId="0" borderId="110"/>
    <xf numFmtId="0" fontId="8" fillId="0" borderId="0"/>
    <xf numFmtId="0" fontId="7" fillId="0" borderId="0"/>
    <xf numFmtId="0" fontId="37" fillId="0" borderId="0"/>
    <xf numFmtId="37" fontId="13" fillId="4" borderId="0" applyFill="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18" borderId="0" applyNumberFormat="0" applyBorder="0" applyAlignment="0" applyProtection="0"/>
    <xf numFmtId="0" fontId="3" fillId="59" borderId="0" applyNumberFormat="0" applyBorder="0" applyAlignment="0" applyProtection="0"/>
    <xf numFmtId="0" fontId="3" fillId="15" borderId="0" applyNumberFormat="0" applyBorder="0" applyAlignment="0" applyProtection="0"/>
    <xf numFmtId="0" fontId="3" fillId="63"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5" borderId="0" applyNumberFormat="0" applyBorder="0" applyAlignment="0" applyProtection="0"/>
    <xf numFmtId="0" fontId="3" fillId="64"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80" fillId="65" borderId="0" applyNumberFormat="0" applyBorder="0" applyAlignment="0" applyProtection="0"/>
    <xf numFmtId="0" fontId="80" fillId="69" borderId="0" applyNumberFormat="0" applyBorder="0" applyAlignment="0" applyProtection="0"/>
    <xf numFmtId="0" fontId="33" fillId="22" borderId="0" applyNumberFormat="0" applyBorder="0" applyAlignment="0" applyProtection="0"/>
    <xf numFmtId="0" fontId="33" fillId="30" borderId="0" applyNumberFormat="0" applyBorder="0" applyAlignment="0" applyProtection="0"/>
    <xf numFmtId="0" fontId="80" fillId="70" borderId="0" applyNumberFormat="0" applyBorder="0" applyAlignment="0" applyProtection="0"/>
    <xf numFmtId="0" fontId="33" fillId="28" borderId="0" applyNumberFormat="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15" fillId="0" borderId="0" applyFont="0" applyFill="0" applyBorder="0" applyAlignment="0" applyProtection="0"/>
    <xf numFmtId="44" fontId="30" fillId="0" borderId="0" applyFont="0" applyFill="0" applyBorder="0" applyAlignment="0" applyProtection="0"/>
    <xf numFmtId="0" fontId="10" fillId="3" borderId="0" applyNumberFormat="0" applyBorder="0" applyAlignment="0" applyProtection="0"/>
    <xf numFmtId="0" fontId="45" fillId="0" borderId="71" applyNumberFormat="0" applyFill="0" applyAlignment="0" applyProtection="0"/>
    <xf numFmtId="0" fontId="49" fillId="0" borderId="0" applyNumberFormat="0" applyFill="0" applyBorder="0" applyAlignment="0" applyProtection="0"/>
    <xf numFmtId="0" fontId="141" fillId="0" borderId="0" applyNumberFormat="0" applyFill="0" applyBorder="0" applyAlignment="0" applyProtection="0">
      <alignment vertical="top"/>
      <protection locked="0"/>
    </xf>
    <xf numFmtId="0" fontId="200" fillId="0" borderId="0" applyNumberFormat="0" applyFill="0" applyBorder="0" applyAlignment="0" applyProtection="0"/>
    <xf numFmtId="0" fontId="67" fillId="0" borderId="75"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1636">
    <xf numFmtId="0" fontId="0" fillId="0" borderId="0" xfId="0"/>
    <xf numFmtId="37" fontId="7" fillId="0" borderId="0" xfId="60" applyFont="1" applyFill="1"/>
    <xf numFmtId="49" fontId="7" fillId="0" borderId="0" xfId="60" applyNumberFormat="1" applyFont="1" applyFill="1"/>
    <xf numFmtId="14" fontId="7" fillId="0" borderId="0" xfId="60" applyNumberFormat="1" applyFont="1" applyFill="1"/>
    <xf numFmtId="164" fontId="7" fillId="0" borderId="0" xfId="4" applyNumberFormat="1" applyFont="1" applyFill="1"/>
    <xf numFmtId="0" fontId="14" fillId="0" borderId="0" xfId="6" applyFont="1" applyAlignment="1">
      <alignment horizontal="left"/>
    </xf>
    <xf numFmtId="0" fontId="14" fillId="0" borderId="0" xfId="6" quotePrefix="1" applyFont="1" applyAlignment="1">
      <alignment horizontal="left"/>
    </xf>
    <xf numFmtId="0" fontId="14" fillId="0" borderId="0" xfId="6" applyFont="1"/>
    <xf numFmtId="164" fontId="14" fillId="0" borderId="0" xfId="10" applyNumberFormat="1" applyFont="1"/>
    <xf numFmtId="164" fontId="7" fillId="5" borderId="0" xfId="10" applyNumberFormat="1" applyFont="1" applyFill="1" applyBorder="1"/>
    <xf numFmtId="168" fontId="15" fillId="0" borderId="0" xfId="61" applyNumberFormat="1" applyFont="1" applyFill="1" applyBorder="1"/>
    <xf numFmtId="164" fontId="7" fillId="0" borderId="0" xfId="10" applyNumberFormat="1" applyFont="1" applyBorder="1"/>
    <xf numFmtId="0" fontId="7" fillId="0" borderId="0" xfId="36"/>
    <xf numFmtId="0" fontId="17" fillId="0" borderId="0" xfId="6" applyNumberFormat="1" applyFont="1"/>
    <xf numFmtId="0" fontId="16" fillId="0" borderId="0" xfId="6" applyNumberFormat="1" applyFont="1"/>
    <xf numFmtId="0" fontId="17" fillId="0" borderId="0" xfId="6" applyNumberFormat="1" applyFont="1" applyAlignment="1">
      <alignment horizontal="right"/>
    </xf>
    <xf numFmtId="49" fontId="18" fillId="0" borderId="0" xfId="6" applyNumberFormat="1" applyFont="1" applyAlignment="1">
      <alignment horizontal="right"/>
    </xf>
    <xf numFmtId="0" fontId="18" fillId="0" borderId="0" xfId="6" applyNumberFormat="1" applyFont="1" applyAlignment="1">
      <alignment horizontal="left"/>
    </xf>
    <xf numFmtId="0" fontId="19" fillId="0" borderId="0" xfId="6" applyNumberFormat="1" applyFont="1"/>
    <xf numFmtId="49" fontId="18" fillId="0" borderId="0" xfId="6" applyNumberFormat="1" applyFont="1" applyAlignment="1">
      <alignment horizontal="left"/>
    </xf>
    <xf numFmtId="49" fontId="20" fillId="0" borderId="0" xfId="6" applyNumberFormat="1" applyFont="1"/>
    <xf numFmtId="0" fontId="20" fillId="0" borderId="0" xfId="6" applyNumberFormat="1" applyFont="1"/>
    <xf numFmtId="169" fontId="21" fillId="0" borderId="0" xfId="6" quotePrefix="1" applyNumberFormat="1" applyFont="1" applyAlignment="1">
      <alignment horizontal="left"/>
    </xf>
    <xf numFmtId="0" fontId="14" fillId="0" borderId="0" xfId="6" applyNumberFormat="1" applyFont="1"/>
    <xf numFmtId="164" fontId="22" fillId="0" borderId="1" xfId="10" applyNumberFormat="1" applyFont="1" applyFill="1" applyBorder="1" applyAlignment="1">
      <alignment horizontal="centerContinuous"/>
    </xf>
    <xf numFmtId="0" fontId="22" fillId="0" borderId="1" xfId="6" applyFont="1" applyFill="1" applyBorder="1" applyAlignment="1">
      <alignment horizontal="centerContinuous"/>
    </xf>
    <xf numFmtId="164" fontId="22" fillId="0" borderId="1" xfId="10" quotePrefix="1" applyNumberFormat="1" applyFont="1" applyFill="1" applyBorder="1" applyAlignment="1">
      <alignment horizontal="centerContinuous"/>
    </xf>
    <xf numFmtId="17" fontId="22" fillId="0" borderId="2" xfId="10" applyNumberFormat="1" applyFont="1" applyFill="1" applyBorder="1" applyAlignment="1">
      <alignment horizontal="centerContinuous"/>
    </xf>
    <xf numFmtId="0" fontId="22" fillId="0" borderId="0" xfId="6" applyFont="1" applyBorder="1"/>
    <xf numFmtId="0" fontId="22" fillId="0" borderId="0" xfId="6" applyFont="1"/>
    <xf numFmtId="17" fontId="22" fillId="0" borderId="2" xfId="10" applyNumberFormat="1" applyFont="1" applyBorder="1" applyAlignment="1">
      <alignment horizontal="centerContinuous"/>
    </xf>
    <xf numFmtId="17" fontId="5" fillId="0" borderId="2" xfId="10" applyNumberFormat="1" applyFont="1" applyFill="1" applyBorder="1" applyAlignment="1">
      <alignment horizontal="centerContinuous"/>
    </xf>
    <xf numFmtId="0" fontId="24" fillId="0" borderId="0" xfId="6" applyFont="1"/>
    <xf numFmtId="164" fontId="24" fillId="0" borderId="0" xfId="10" applyNumberFormat="1" applyFont="1"/>
    <xf numFmtId="37" fontId="7" fillId="0" borderId="0" xfId="60" applyFont="1" applyFill="1" applyBorder="1"/>
    <xf numFmtId="164" fontId="14" fillId="0" borderId="1" xfId="10" applyNumberFormat="1" applyFont="1" applyBorder="1"/>
    <xf numFmtId="164" fontId="14" fillId="6" borderId="0" xfId="4" applyNumberFormat="1" applyFont="1" applyFill="1" applyBorder="1"/>
    <xf numFmtId="164" fontId="16" fillId="0" borderId="0" xfId="4" applyNumberFormat="1" applyFont="1"/>
    <xf numFmtId="164" fontId="14" fillId="0" borderId="0" xfId="4" applyNumberFormat="1" applyFont="1"/>
    <xf numFmtId="164" fontId="14" fillId="0" borderId="1" xfId="4" applyNumberFormat="1" applyFont="1" applyBorder="1"/>
    <xf numFmtId="0" fontId="14" fillId="0" borderId="0" xfId="6" quotePrefix="1" applyFont="1"/>
    <xf numFmtId="0" fontId="23" fillId="0" borderId="0" xfId="6" applyFont="1" applyAlignment="1">
      <alignment horizontal="left"/>
    </xf>
    <xf numFmtId="164" fontId="14" fillId="6" borderId="3" xfId="4" applyNumberFormat="1" applyFont="1" applyFill="1" applyBorder="1"/>
    <xf numFmtId="0" fontId="23" fillId="0" borderId="0" xfId="6" applyFont="1"/>
    <xf numFmtId="0" fontId="23" fillId="0" borderId="0" xfId="6" quotePrefix="1" applyFont="1" applyAlignment="1">
      <alignment horizontal="left"/>
    </xf>
    <xf numFmtId="0" fontId="7" fillId="0" borderId="0" xfId="7"/>
    <xf numFmtId="164" fontId="7" fillId="0" borderId="0" xfId="4" applyNumberFormat="1" applyFont="1"/>
    <xf numFmtId="164" fontId="3" fillId="0" borderId="0" xfId="4" applyNumberFormat="1" applyFont="1"/>
    <xf numFmtId="0" fontId="7" fillId="0" borderId="0" xfId="7" applyFont="1"/>
    <xf numFmtId="0" fontId="23" fillId="2" borderId="0" xfId="6" quotePrefix="1" applyFont="1" applyFill="1" applyAlignment="1">
      <alignment horizontal="left"/>
    </xf>
    <xf numFmtId="0" fontId="14" fillId="2" borderId="0" xfId="6" applyFont="1" applyFill="1"/>
    <xf numFmtId="164" fontId="14" fillId="2" borderId="3" xfId="4" applyNumberFormat="1" applyFont="1" applyFill="1" applyBorder="1"/>
    <xf numFmtId="164" fontId="16" fillId="0" borderId="0" xfId="4" applyNumberFormat="1" applyFont="1" applyFill="1"/>
    <xf numFmtId="164" fontId="16" fillId="0" borderId="0" xfId="4" applyNumberFormat="1" applyFont="1" applyFill="1" applyBorder="1"/>
    <xf numFmtId="0" fontId="16" fillId="0" borderId="0" xfId="6" applyNumberFormat="1" applyFont="1" applyFill="1"/>
    <xf numFmtId="0" fontId="7" fillId="0" borderId="0" xfId="38" applyFont="1"/>
    <xf numFmtId="170" fontId="7" fillId="0" borderId="0" xfId="38" applyNumberFormat="1" applyFont="1"/>
    <xf numFmtId="164" fontId="24" fillId="0" borderId="0" xfId="4" applyNumberFormat="1" applyFont="1"/>
    <xf numFmtId="0" fontId="23" fillId="7" borderId="0" xfId="6" applyFont="1" applyFill="1" applyAlignment="1">
      <alignment horizontal="left"/>
    </xf>
    <xf numFmtId="0" fontId="14" fillId="7" borderId="0" xfId="6" applyFont="1" applyFill="1"/>
    <xf numFmtId="170" fontId="14" fillId="7" borderId="3" xfId="4" quotePrefix="1" applyNumberFormat="1" applyFont="1" applyFill="1" applyBorder="1"/>
    <xf numFmtId="164" fontId="15" fillId="0" borderId="0" xfId="4" applyNumberFormat="1" applyFont="1" applyFill="1" applyBorder="1"/>
    <xf numFmtId="164" fontId="14" fillId="6" borderId="4" xfId="4" applyNumberFormat="1" applyFont="1" applyFill="1" applyBorder="1"/>
    <xf numFmtId="164" fontId="7" fillId="0" borderId="0" xfId="10" applyNumberFormat="1" applyFont="1" applyFill="1"/>
    <xf numFmtId="164" fontId="14" fillId="8" borderId="0" xfId="4" applyNumberFormat="1" applyFont="1" applyFill="1" applyBorder="1"/>
    <xf numFmtId="164" fontId="14" fillId="8" borderId="0" xfId="4" applyNumberFormat="1" applyFont="1" applyFill="1"/>
    <xf numFmtId="164" fontId="15" fillId="8" borderId="0" xfId="4" applyNumberFormat="1" applyFont="1" applyFill="1" applyBorder="1"/>
    <xf numFmtId="164" fontId="25" fillId="0" borderId="0" xfId="10" applyNumberFormat="1" applyFont="1" applyFill="1" applyAlignment="1">
      <alignment horizontal="right"/>
    </xf>
    <xf numFmtId="0" fontId="26" fillId="0" borderId="0" xfId="6" applyNumberFormat="1" applyFont="1"/>
    <xf numFmtId="164" fontId="27" fillId="0" borderId="0" xfId="10" applyNumberFormat="1" applyFont="1" applyFill="1"/>
    <xf numFmtId="166" fontId="22" fillId="0" borderId="0" xfId="3" applyNumberFormat="1" applyFont="1" applyFill="1"/>
    <xf numFmtId="37" fontId="7" fillId="5" borderId="0" xfId="60" applyFont="1" applyFill="1"/>
    <xf numFmtId="37" fontId="7" fillId="0" borderId="0" xfId="60" quotePrefix="1" applyFont="1" applyFill="1"/>
    <xf numFmtId="14" fontId="16" fillId="0" borderId="0" xfId="6" applyNumberFormat="1" applyFont="1"/>
    <xf numFmtId="0" fontId="23" fillId="0" borderId="1" xfId="6" applyNumberFormat="1" applyFont="1" applyBorder="1"/>
    <xf numFmtId="0" fontId="7" fillId="0" borderId="0" xfId="38"/>
    <xf numFmtId="164" fontId="7" fillId="0" borderId="0" xfId="4" applyNumberFormat="1"/>
    <xf numFmtId="0" fontId="7" fillId="0" borderId="0" xfId="36" applyFont="1"/>
    <xf numFmtId="3" fontId="82" fillId="0" borderId="0" xfId="0" applyNumberFormat="1" applyFont="1" applyFill="1" applyBorder="1"/>
    <xf numFmtId="0" fontId="81" fillId="0" borderId="0" xfId="0" applyFont="1" applyFill="1" applyBorder="1" applyAlignment="1">
      <alignment horizontal="center"/>
    </xf>
    <xf numFmtId="0" fontId="82" fillId="0" borderId="0" xfId="0" applyFont="1" applyFill="1" applyBorder="1"/>
    <xf numFmtId="0" fontId="82" fillId="0" borderId="0" xfId="0" applyFont="1" applyBorder="1"/>
    <xf numFmtId="0" fontId="81" fillId="0" borderId="0" xfId="0" applyFont="1" applyBorder="1" applyAlignment="1">
      <alignment horizontal="center"/>
    </xf>
    <xf numFmtId="0" fontId="81" fillId="0" borderId="0" xfId="0" applyNumberFormat="1" applyFont="1" applyBorder="1" applyAlignment="1">
      <alignment horizontal="center"/>
    </xf>
    <xf numFmtId="1" fontId="82" fillId="0" borderId="0" xfId="0" applyNumberFormat="1" applyFont="1" applyFill="1" applyBorder="1" applyAlignment="1">
      <alignment horizontal="right"/>
    </xf>
    <xf numFmtId="164" fontId="82" fillId="0" borderId="0" xfId="1" applyNumberFormat="1" applyFont="1" applyFill="1" applyBorder="1"/>
    <xf numFmtId="165" fontId="82" fillId="0" borderId="0" xfId="0" applyNumberFormat="1" applyFont="1" applyBorder="1" applyAlignment="1">
      <alignment horizontal="center"/>
    </xf>
    <xf numFmtId="10" fontId="82" fillId="0" borderId="0" xfId="0" applyNumberFormat="1" applyFont="1" applyFill="1" applyBorder="1"/>
    <xf numFmtId="10" fontId="82" fillId="0" borderId="0" xfId="3" applyNumberFormat="1" applyFont="1" applyFill="1" applyBorder="1"/>
    <xf numFmtId="3" fontId="81" fillId="0" borderId="0" xfId="0" applyNumberFormat="1" applyFont="1" applyFill="1" applyBorder="1"/>
    <xf numFmtId="164" fontId="81" fillId="7" borderId="0" xfId="1" applyNumberFormat="1" applyFont="1" applyFill="1" applyBorder="1"/>
    <xf numFmtId="164" fontId="81" fillId="7" borderId="0" xfId="4" applyNumberFormat="1" applyFont="1" applyFill="1" applyBorder="1"/>
    <xf numFmtId="0" fontId="82" fillId="7" borderId="0" xfId="0" applyFont="1" applyFill="1" applyBorder="1"/>
    <xf numFmtId="3" fontId="81" fillId="0" borderId="0" xfId="5" applyNumberFormat="1" applyFont="1" applyFill="1" applyBorder="1"/>
    <xf numFmtId="37" fontId="82" fillId="0" borderId="0" xfId="0" applyNumberFormat="1" applyFont="1" applyFill="1" applyBorder="1"/>
    <xf numFmtId="1" fontId="83" fillId="0" borderId="0" xfId="0" applyNumberFormat="1" applyFont="1" applyBorder="1" applyAlignment="1">
      <alignment horizontal="left"/>
    </xf>
    <xf numFmtId="0" fontId="83" fillId="0" borderId="0" xfId="0" applyFont="1" applyBorder="1"/>
    <xf numFmtId="3" fontId="84" fillId="0" borderId="0" xfId="0" applyNumberFormat="1" applyFont="1" applyFill="1" applyBorder="1"/>
    <xf numFmtId="0" fontId="83" fillId="0" borderId="0" xfId="0" applyFont="1" applyFill="1" applyBorder="1" applyAlignment="1">
      <alignment horizontal="center"/>
    </xf>
    <xf numFmtId="0" fontId="84" fillId="0" borderId="0" xfId="0" applyFont="1" applyFill="1" applyBorder="1"/>
    <xf numFmtId="0" fontId="84" fillId="0" borderId="0" xfId="0" applyFont="1" applyBorder="1"/>
    <xf numFmtId="37" fontId="84" fillId="0" borderId="0" xfId="0" applyNumberFormat="1" applyFont="1" applyBorder="1"/>
    <xf numFmtId="3" fontId="84" fillId="0" borderId="0" xfId="0" applyNumberFormat="1" applyFont="1" applyBorder="1"/>
    <xf numFmtId="3" fontId="83" fillId="0" borderId="0" xfId="0" applyNumberFormat="1" applyFont="1" applyFill="1" applyBorder="1" applyAlignment="1">
      <alignment horizontal="center"/>
    </xf>
    <xf numFmtId="37" fontId="83" fillId="0" borderId="0" xfId="0" applyNumberFormat="1" applyFont="1" applyFill="1" applyBorder="1" applyAlignment="1">
      <alignment horizontal="center"/>
    </xf>
    <xf numFmtId="0" fontId="83" fillId="0" borderId="0" xfId="0" applyFont="1" applyBorder="1" applyAlignment="1">
      <alignment horizontal="center"/>
    </xf>
    <xf numFmtId="0" fontId="83" fillId="0" borderId="0" xfId="0" applyNumberFormat="1" applyFont="1" applyBorder="1" applyAlignment="1">
      <alignment horizontal="center"/>
    </xf>
    <xf numFmtId="1" fontId="84" fillId="0" borderId="0" xfId="0" applyNumberFormat="1" applyFont="1" applyBorder="1" applyAlignment="1">
      <alignment horizontal="right"/>
    </xf>
    <xf numFmtId="0" fontId="83" fillId="0" borderId="0" xfId="0" applyNumberFormat="1" applyFont="1" applyFill="1" applyBorder="1" applyAlignment="1">
      <alignment horizontal="center"/>
    </xf>
    <xf numFmtId="0" fontId="83" fillId="0" borderId="0" xfId="0" applyFont="1" applyBorder="1" applyAlignment="1">
      <alignment horizontal="left"/>
    </xf>
    <xf numFmtId="0" fontId="83" fillId="0" borderId="0" xfId="0" applyFont="1" applyFill="1" applyBorder="1"/>
    <xf numFmtId="1" fontId="84" fillId="0" borderId="0" xfId="0" applyNumberFormat="1" applyFont="1" applyFill="1" applyBorder="1" applyAlignment="1">
      <alignment horizontal="right"/>
    </xf>
    <xf numFmtId="164" fontId="84" fillId="0" borderId="0" xfId="1" applyNumberFormat="1" applyFont="1" applyFill="1" applyBorder="1"/>
    <xf numFmtId="3" fontId="84" fillId="0" borderId="0" xfId="0" applyNumberFormat="1" applyFont="1" applyFill="1" applyBorder="1" applyAlignment="1">
      <alignment horizontal="right"/>
    </xf>
    <xf numFmtId="3" fontId="84" fillId="0" borderId="0" xfId="0" applyNumberFormat="1" applyFont="1" applyBorder="1" applyAlignment="1">
      <alignment horizontal="right"/>
    </xf>
    <xf numFmtId="165" fontId="84" fillId="0" borderId="0" xfId="0" applyNumberFormat="1" applyFont="1" applyBorder="1" applyAlignment="1">
      <alignment horizontal="center"/>
    </xf>
    <xf numFmtId="10" fontId="84" fillId="0" borderId="0" xfId="0" applyNumberFormat="1" applyFont="1" applyBorder="1" applyAlignment="1">
      <alignment horizontal="center"/>
    </xf>
    <xf numFmtId="1" fontId="84" fillId="0" borderId="0" xfId="0" applyNumberFormat="1" applyFont="1" applyFill="1" applyBorder="1" applyAlignment="1">
      <alignment horizontal="left"/>
    </xf>
    <xf numFmtId="1" fontId="84" fillId="0" borderId="0" xfId="0" applyNumberFormat="1" applyFont="1" applyFill="1" applyBorder="1" applyAlignment="1">
      <alignment horizontal="center"/>
    </xf>
    <xf numFmtId="10" fontId="84" fillId="0" borderId="0" xfId="0" applyNumberFormat="1" applyFont="1" applyFill="1" applyBorder="1" applyAlignment="1">
      <alignment horizontal="right"/>
    </xf>
    <xf numFmtId="166" fontId="84" fillId="0" borderId="0" xfId="0" applyNumberFormat="1" applyFont="1" applyBorder="1" applyAlignment="1">
      <alignment horizontal="right"/>
    </xf>
    <xf numFmtId="164" fontId="83" fillId="0" borderId="0" xfId="1" applyNumberFormat="1" applyFont="1" applyFill="1" applyBorder="1"/>
    <xf numFmtId="164" fontId="83" fillId="0" borderId="0" xfId="1" applyNumberFormat="1" applyFont="1" applyFill="1" applyBorder="1" applyAlignment="1">
      <alignment horizontal="center"/>
    </xf>
    <xf numFmtId="10" fontId="84" fillId="0" borderId="0" xfId="0" applyNumberFormat="1" applyFont="1" applyFill="1" applyBorder="1"/>
    <xf numFmtId="1" fontId="84" fillId="0" borderId="0" xfId="5" applyNumberFormat="1" applyFont="1" applyFill="1" applyBorder="1" applyAlignment="1">
      <alignment horizontal="right"/>
    </xf>
    <xf numFmtId="167" fontId="84" fillId="0" borderId="0" xfId="5" applyFont="1" applyFill="1" applyBorder="1"/>
    <xf numFmtId="3" fontId="83" fillId="0" borderId="0" xfId="0" applyNumberFormat="1" applyFont="1" applyFill="1" applyBorder="1"/>
    <xf numFmtId="4" fontId="84" fillId="0" borderId="0" xfId="0" applyNumberFormat="1" applyFont="1" applyFill="1" applyBorder="1" applyAlignment="1">
      <alignment horizontal="center"/>
    </xf>
    <xf numFmtId="4" fontId="84" fillId="0" borderId="0" xfId="0" applyNumberFormat="1" applyFont="1" applyBorder="1" applyAlignment="1">
      <alignment horizontal="center"/>
    </xf>
    <xf numFmtId="10" fontId="84" fillId="0" borderId="0" xfId="0" applyNumberFormat="1" applyFont="1" applyBorder="1"/>
    <xf numFmtId="1" fontId="83" fillId="7" borderId="0" xfId="5" applyNumberFormat="1" applyFont="1" applyFill="1" applyBorder="1" applyAlignment="1">
      <alignment horizontal="right"/>
    </xf>
    <xf numFmtId="0" fontId="83" fillId="7" borderId="0" xfId="0" applyFont="1" applyFill="1" applyBorder="1"/>
    <xf numFmtId="164" fontId="83" fillId="7" borderId="0" xfId="1" applyNumberFormat="1" applyFont="1" applyFill="1" applyBorder="1"/>
    <xf numFmtId="4" fontId="85" fillId="0" borderId="0" xfId="0" applyNumberFormat="1" applyFont="1" applyBorder="1" applyAlignment="1">
      <alignment horizontal="left"/>
    </xf>
    <xf numFmtId="1" fontId="86" fillId="0" borderId="0" xfId="6" quotePrefix="1" applyNumberFormat="1" applyFont="1" applyFill="1" applyBorder="1" applyAlignment="1">
      <alignment horizontal="right"/>
    </xf>
    <xf numFmtId="4" fontId="84" fillId="0" borderId="0" xfId="0" applyNumberFormat="1" applyFont="1" applyFill="1" applyBorder="1" applyAlignment="1">
      <alignment horizontal="left"/>
    </xf>
    <xf numFmtId="4" fontId="84" fillId="0" borderId="0" xfId="0" applyNumberFormat="1" applyFont="1" applyBorder="1" applyAlignment="1">
      <alignment horizontal="right"/>
    </xf>
    <xf numFmtId="10" fontId="84" fillId="0" borderId="0" xfId="0" applyNumberFormat="1" applyFont="1" applyFill="1" applyBorder="1" applyAlignment="1">
      <alignment horizontal="center"/>
    </xf>
    <xf numFmtId="1" fontId="83" fillId="0" borderId="0" xfId="0" applyNumberFormat="1" applyFont="1" applyFill="1" applyBorder="1" applyAlignment="1">
      <alignment horizontal="right"/>
    </xf>
    <xf numFmtId="43" fontId="84" fillId="0" borderId="0" xfId="0" applyNumberFormat="1" applyFont="1" applyFill="1" applyBorder="1"/>
    <xf numFmtId="43" fontId="84" fillId="0" borderId="0" xfId="0" applyNumberFormat="1" applyFont="1" applyBorder="1"/>
    <xf numFmtId="43" fontId="83" fillId="0" borderId="0" xfId="0" applyNumberFormat="1" applyFont="1" applyFill="1" applyBorder="1"/>
    <xf numFmtId="43" fontId="83" fillId="0" borderId="0" xfId="0" applyNumberFormat="1" applyFont="1" applyBorder="1"/>
    <xf numFmtId="3" fontId="83" fillId="0" borderId="0" xfId="0" applyNumberFormat="1" applyFont="1" applyBorder="1"/>
    <xf numFmtId="3" fontId="83" fillId="0" borderId="0" xfId="0" applyNumberFormat="1" applyFont="1" applyFill="1" applyBorder="1" applyAlignment="1">
      <alignment horizontal="right"/>
    </xf>
    <xf numFmtId="3" fontId="83" fillId="0" borderId="0" xfId="0" applyNumberFormat="1" applyFont="1" applyBorder="1" applyAlignment="1">
      <alignment horizontal="center"/>
    </xf>
    <xf numFmtId="1" fontId="83" fillId="0" borderId="0" xfId="5" applyNumberFormat="1" applyFont="1" applyFill="1" applyBorder="1" applyAlignment="1">
      <alignment horizontal="right"/>
    </xf>
    <xf numFmtId="1" fontId="86" fillId="0" borderId="0" xfId="6" applyNumberFormat="1" applyFont="1" applyFill="1" applyBorder="1" applyAlignment="1">
      <alignment horizontal="right"/>
    </xf>
    <xf numFmtId="3" fontId="84" fillId="0" borderId="0" xfId="0" applyNumberFormat="1" applyFont="1" applyFill="1" applyBorder="1" applyAlignment="1">
      <alignment horizontal="left"/>
    </xf>
    <xf numFmtId="37" fontId="84" fillId="0" borderId="0" xfId="0" applyNumberFormat="1" applyFont="1" applyFill="1" applyBorder="1"/>
    <xf numFmtId="164" fontId="83" fillId="0" borderId="0" xfId="0" applyNumberFormat="1" applyFont="1" applyFill="1" applyBorder="1"/>
    <xf numFmtId="164" fontId="84" fillId="0" borderId="0" xfId="0" applyNumberFormat="1" applyFont="1" applyFill="1" applyBorder="1"/>
    <xf numFmtId="164" fontId="83" fillId="0" borderId="0" xfId="0" applyNumberFormat="1" applyFont="1" applyFill="1" applyBorder="1" applyAlignment="1">
      <alignment horizontal="center"/>
    </xf>
    <xf numFmtId="164" fontId="84" fillId="0" borderId="0" xfId="4" applyNumberFormat="1" applyFont="1" applyFill="1" applyBorder="1"/>
    <xf numFmtId="2" fontId="84" fillId="0" borderId="0" xfId="0" applyNumberFormat="1" applyFont="1" applyFill="1" applyBorder="1"/>
    <xf numFmtId="0" fontId="84" fillId="0" borderId="0" xfId="7" applyFont="1" applyFill="1" applyBorder="1"/>
    <xf numFmtId="1" fontId="84" fillId="44" borderId="0" xfId="0" applyNumberFormat="1" applyFont="1" applyFill="1" applyBorder="1" applyAlignment="1">
      <alignment horizontal="right"/>
    </xf>
    <xf numFmtId="0" fontId="83" fillId="44" borderId="0" xfId="0" applyFont="1" applyFill="1" applyBorder="1"/>
    <xf numFmtId="164" fontId="84" fillId="44" borderId="0" xfId="1" applyNumberFormat="1" applyFont="1" applyFill="1" applyBorder="1"/>
    <xf numFmtId="164" fontId="83" fillId="44" borderId="0" xfId="1" applyNumberFormat="1" applyFont="1" applyFill="1" applyBorder="1" applyAlignment="1">
      <alignment horizontal="center"/>
    </xf>
    <xf numFmtId="0" fontId="83" fillId="44" borderId="0" xfId="0" applyNumberFormat="1" applyFont="1" applyFill="1" applyBorder="1" applyAlignment="1">
      <alignment horizontal="center"/>
    </xf>
    <xf numFmtId="0" fontId="84" fillId="44" borderId="0" xfId="0" applyFont="1" applyFill="1" applyBorder="1"/>
    <xf numFmtId="0" fontId="87" fillId="7" borderId="0" xfId="0" applyFont="1" applyFill="1" applyBorder="1" applyAlignment="1">
      <alignment horizontal="center"/>
    </xf>
    <xf numFmtId="37" fontId="83" fillId="7" borderId="31" xfId="0" applyNumberFormat="1" applyFont="1" applyFill="1" applyBorder="1" applyAlignment="1">
      <alignment horizontal="center"/>
    </xf>
    <xf numFmtId="37" fontId="83" fillId="7" borderId="32" xfId="0" applyNumberFormat="1" applyFont="1" applyFill="1" applyBorder="1" applyAlignment="1">
      <alignment horizontal="center"/>
    </xf>
    <xf numFmtId="37" fontId="83" fillId="7" borderId="33" xfId="0" applyNumberFormat="1" applyFont="1" applyFill="1" applyBorder="1" applyAlignment="1">
      <alignment horizontal="center"/>
    </xf>
    <xf numFmtId="37" fontId="83" fillId="7" borderId="34" xfId="0" applyNumberFormat="1" applyFont="1" applyFill="1" applyBorder="1" applyAlignment="1">
      <alignment horizontal="center"/>
    </xf>
    <xf numFmtId="0" fontId="83" fillId="7" borderId="35" xfId="0" quotePrefix="1" applyNumberFormat="1" applyFont="1" applyFill="1" applyBorder="1" applyAlignment="1">
      <alignment horizontal="center"/>
    </xf>
    <xf numFmtId="0" fontId="83" fillId="7" borderId="36" xfId="0" quotePrefix="1" applyNumberFormat="1" applyFont="1" applyFill="1" applyBorder="1" applyAlignment="1">
      <alignment horizontal="center"/>
    </xf>
    <xf numFmtId="3" fontId="83" fillId="7" borderId="31" xfId="0" applyNumberFormat="1" applyFont="1" applyFill="1" applyBorder="1" applyAlignment="1">
      <alignment horizontal="center"/>
    </xf>
    <xf numFmtId="3" fontId="83" fillId="7" borderId="32" xfId="0" applyNumberFormat="1" applyFont="1" applyFill="1" applyBorder="1" applyAlignment="1">
      <alignment horizontal="center"/>
    </xf>
    <xf numFmtId="3" fontId="83" fillId="7" borderId="33" xfId="0" applyNumberFormat="1" applyFont="1" applyFill="1" applyBorder="1" applyAlignment="1">
      <alignment horizontal="center"/>
    </xf>
    <xf numFmtId="3" fontId="83" fillId="7" borderId="34" xfId="0" applyNumberFormat="1" applyFont="1" applyFill="1" applyBorder="1" applyAlignment="1">
      <alignment horizontal="center"/>
    </xf>
    <xf numFmtId="0" fontId="83" fillId="44" borderId="0" xfId="0" quotePrefix="1" applyNumberFormat="1" applyFont="1" applyFill="1" applyBorder="1" applyAlignment="1">
      <alignment horizontal="center"/>
    </xf>
    <xf numFmtId="0" fontId="83" fillId="44" borderId="0" xfId="0" applyFont="1" applyFill="1" applyBorder="1" applyAlignment="1">
      <alignment horizontal="center"/>
    </xf>
    <xf numFmtId="37" fontId="83" fillId="7" borderId="37" xfId="0" applyNumberFormat="1" applyFont="1" applyFill="1" applyBorder="1" applyAlignment="1">
      <alignment horizontal="center"/>
    </xf>
    <xf numFmtId="0" fontId="83" fillId="7" borderId="38" xfId="0" applyFont="1" applyFill="1" applyBorder="1" applyAlignment="1">
      <alignment horizontal="center"/>
    </xf>
    <xf numFmtId="0" fontId="83" fillId="7" borderId="39" xfId="0" applyFont="1" applyFill="1" applyBorder="1" applyAlignment="1">
      <alignment horizontal="center"/>
    </xf>
    <xf numFmtId="1" fontId="84" fillId="7" borderId="0" xfId="0" applyNumberFormat="1" applyFont="1" applyFill="1" applyBorder="1" applyAlignment="1">
      <alignment horizontal="right"/>
    </xf>
    <xf numFmtId="0" fontId="87" fillId="0" borderId="0" xfId="0" applyFont="1" applyFill="1" applyBorder="1" applyAlignment="1">
      <alignment horizontal="right"/>
    </xf>
    <xf numFmtId="0" fontId="14" fillId="0" borderId="0" xfId="6" applyFont="1" applyFill="1" applyAlignment="1">
      <alignment horizontal="left"/>
    </xf>
    <xf numFmtId="0" fontId="14" fillId="0" borderId="0" xfId="6" quotePrefix="1" applyFont="1" applyFill="1" applyAlignment="1">
      <alignment horizontal="left"/>
    </xf>
    <xf numFmtId="9" fontId="83" fillId="7" borderId="0" xfId="3" applyFont="1" applyFill="1" applyBorder="1"/>
    <xf numFmtId="43" fontId="83" fillId="0" borderId="0" xfId="0" applyNumberFormat="1" applyFont="1" applyFill="1" applyBorder="1" applyAlignment="1">
      <alignment horizontal="center"/>
    </xf>
    <xf numFmtId="165" fontId="84" fillId="0" borderId="0" xfId="0" applyNumberFormat="1" applyFont="1" applyFill="1" applyBorder="1" applyAlignment="1">
      <alignment horizontal="center"/>
    </xf>
    <xf numFmtId="164" fontId="84" fillId="0" borderId="0" xfId="1" applyNumberFormat="1" applyFont="1" applyBorder="1"/>
    <xf numFmtId="164" fontId="84" fillId="0" borderId="0" xfId="1" applyNumberFormat="1" applyFont="1" applyBorder="1" applyAlignment="1">
      <alignment horizontal="left"/>
    </xf>
    <xf numFmtId="0" fontId="81" fillId="44" borderId="0" xfId="0" applyNumberFormat="1" applyFont="1" applyFill="1" applyBorder="1" applyAlignment="1">
      <alignment horizontal="center"/>
    </xf>
    <xf numFmtId="9" fontId="81" fillId="7" borderId="0" xfId="3" applyFont="1" applyFill="1" applyBorder="1"/>
    <xf numFmtId="0" fontId="82" fillId="44" borderId="0" xfId="0" applyFont="1" applyFill="1" applyBorder="1"/>
    <xf numFmtId="0" fontId="3" fillId="0" borderId="0" xfId="419" applyFont="1"/>
    <xf numFmtId="43" fontId="3" fillId="0" borderId="0" xfId="1" applyFont="1"/>
    <xf numFmtId="164" fontId="3" fillId="0" borderId="0" xfId="1" applyNumberFormat="1" applyFont="1"/>
    <xf numFmtId="0" fontId="3" fillId="7" borderId="0" xfId="419" applyFont="1" applyFill="1"/>
    <xf numFmtId="43" fontId="3" fillId="7" borderId="0" xfId="1" applyFont="1" applyFill="1"/>
    <xf numFmtId="164" fontId="4" fillId="0" borderId="0" xfId="1" applyNumberFormat="1" applyFont="1"/>
    <xf numFmtId="164" fontId="84" fillId="0" borderId="27" xfId="1" applyNumberFormat="1" applyFont="1" applyFill="1" applyBorder="1"/>
    <xf numFmtId="164" fontId="83" fillId="7" borderId="27" xfId="1" applyNumberFormat="1" applyFont="1" applyFill="1" applyBorder="1"/>
    <xf numFmtId="164" fontId="83" fillId="0" borderId="27" xfId="1" applyNumberFormat="1" applyFont="1" applyFill="1" applyBorder="1" applyAlignment="1">
      <alignment horizontal="center"/>
    </xf>
    <xf numFmtId="164" fontId="83" fillId="44" borderId="27" xfId="1" applyNumberFormat="1" applyFont="1" applyFill="1" applyBorder="1" applyAlignment="1">
      <alignment horizontal="center"/>
    </xf>
    <xf numFmtId="164" fontId="83" fillId="0" borderId="27" xfId="1" applyNumberFormat="1" applyFont="1" applyFill="1" applyBorder="1"/>
    <xf numFmtId="0" fontId="84" fillId="0" borderId="27" xfId="0" applyFont="1" applyFill="1" applyBorder="1"/>
    <xf numFmtId="9" fontId="83" fillId="7" borderId="27" xfId="3" applyFont="1" applyFill="1" applyBorder="1"/>
    <xf numFmtId="164" fontId="84" fillId="0" borderId="28" xfId="1" applyNumberFormat="1" applyFont="1" applyFill="1" applyBorder="1"/>
    <xf numFmtId="164" fontId="83" fillId="7" borderId="28" xfId="1" applyNumberFormat="1" applyFont="1" applyFill="1" applyBorder="1"/>
    <xf numFmtId="164" fontId="83" fillId="0" borderId="28" xfId="1" applyNumberFormat="1" applyFont="1" applyFill="1" applyBorder="1" applyAlignment="1">
      <alignment horizontal="center"/>
    </xf>
    <xf numFmtId="164" fontId="83" fillId="44" borderId="28" xfId="1" applyNumberFormat="1" applyFont="1" applyFill="1" applyBorder="1" applyAlignment="1">
      <alignment horizontal="center"/>
    </xf>
    <xf numFmtId="37" fontId="84" fillId="0" borderId="28" xfId="0" applyNumberFormat="1" applyFont="1" applyFill="1" applyBorder="1"/>
    <xf numFmtId="0" fontId="83" fillId="45" borderId="31" xfId="0" applyNumberFormat="1" applyFont="1" applyFill="1" applyBorder="1" applyAlignment="1">
      <alignment horizontal="center"/>
    </xf>
    <xf numFmtId="0" fontId="83" fillId="45" borderId="35" xfId="0" applyNumberFormat="1" applyFont="1" applyFill="1" applyBorder="1" applyAlignment="1">
      <alignment horizontal="center"/>
    </xf>
    <xf numFmtId="0" fontId="83" fillId="46" borderId="37" xfId="0" applyNumberFormat="1" applyFont="1" applyFill="1" applyBorder="1" applyAlignment="1">
      <alignment horizontal="center"/>
    </xf>
    <xf numFmtId="0" fontId="83" fillId="46" borderId="39" xfId="0" quotePrefix="1" applyNumberFormat="1" applyFont="1" applyFill="1" applyBorder="1" applyAlignment="1">
      <alignment horizontal="center"/>
    </xf>
    <xf numFmtId="0" fontId="83" fillId="45" borderId="41" xfId="0" applyNumberFormat="1" applyFont="1" applyFill="1" applyBorder="1" applyAlignment="1">
      <alignment horizontal="center"/>
    </xf>
    <xf numFmtId="0" fontId="83" fillId="45" borderId="42" xfId="0" applyFont="1" applyFill="1" applyBorder="1" applyAlignment="1">
      <alignment horizontal="center"/>
    </xf>
    <xf numFmtId="0" fontId="84" fillId="45" borderId="37" xfId="0" applyFont="1" applyFill="1" applyBorder="1"/>
    <xf numFmtId="164" fontId="0" fillId="0" borderId="0" xfId="144" applyNumberFormat="1" applyFont="1"/>
    <xf numFmtId="0" fontId="4" fillId="0" borderId="0" xfId="0" applyFont="1"/>
    <xf numFmtId="164" fontId="82" fillId="0" borderId="27" xfId="1" applyNumberFormat="1" applyFont="1" applyFill="1" applyBorder="1"/>
    <xf numFmtId="165" fontId="82" fillId="0" borderId="0" xfId="0" applyNumberFormat="1" applyFont="1" applyFill="1" applyBorder="1" applyAlignment="1">
      <alignment horizontal="center"/>
    </xf>
    <xf numFmtId="43" fontId="0" fillId="0" borderId="0" xfId="1" applyFont="1"/>
    <xf numFmtId="0" fontId="7" fillId="0" borderId="0" xfId="27"/>
    <xf numFmtId="0" fontId="7" fillId="0" borderId="0" xfId="27" applyBorder="1"/>
    <xf numFmtId="0" fontId="22" fillId="0" borderId="0" xfId="27" applyFont="1"/>
    <xf numFmtId="0" fontId="7" fillId="43" borderId="0" xfId="27" applyFill="1"/>
    <xf numFmtId="0" fontId="7" fillId="0" borderId="0" xfId="27" applyFont="1"/>
    <xf numFmtId="0" fontId="7" fillId="0" borderId="0" xfId="27" applyAlignment="1">
      <alignment horizontal="right"/>
    </xf>
    <xf numFmtId="0" fontId="7" fillId="0" borderId="0" xfId="27" applyAlignment="1">
      <alignment horizontal="left"/>
    </xf>
    <xf numFmtId="0" fontId="72" fillId="0" borderId="0" xfId="27" applyFont="1"/>
    <xf numFmtId="0" fontId="73" fillId="0" borderId="0" xfId="27" applyFont="1"/>
    <xf numFmtId="0" fontId="74" fillId="0" borderId="0" xfId="27" applyFont="1" applyAlignment="1">
      <alignment horizontal="right" vertical="top"/>
    </xf>
    <xf numFmtId="0" fontId="75" fillId="0" borderId="0" xfId="27" applyFont="1"/>
    <xf numFmtId="0" fontId="22" fillId="43" borderId="1" xfId="27" applyFont="1" applyFill="1" applyBorder="1" applyAlignment="1">
      <alignment horizontal="centerContinuous"/>
    </xf>
    <xf numFmtId="0" fontId="22" fillId="2" borderId="1" xfId="27" applyFont="1" applyFill="1" applyBorder="1" applyAlignment="1">
      <alignment horizontal="centerContinuous"/>
    </xf>
    <xf numFmtId="0" fontId="7" fillId="2" borderId="1" xfId="27" applyFill="1" applyBorder="1" applyAlignment="1">
      <alignment horizontal="centerContinuous"/>
    </xf>
    <xf numFmtId="0" fontId="22" fillId="0" borderId="0" xfId="27" applyFont="1" applyAlignment="1">
      <alignment horizontal="right"/>
    </xf>
    <xf numFmtId="49" fontId="76" fillId="0" borderId="0" xfId="27" applyNumberFormat="1" applyFont="1" applyAlignment="1">
      <alignment horizontal="left"/>
    </xf>
    <xf numFmtId="0" fontId="7" fillId="0" borderId="0" xfId="27" applyFont="1" applyAlignment="1">
      <alignment horizontal="right"/>
    </xf>
    <xf numFmtId="0" fontId="76" fillId="0" borderId="0" xfId="27" applyFont="1"/>
    <xf numFmtId="39" fontId="76" fillId="0" borderId="0" xfId="144" applyNumberFormat="1" applyFont="1" applyAlignment="1">
      <alignment horizontal="left"/>
    </xf>
    <xf numFmtId="0" fontId="7" fillId="0" borderId="0" xfId="27" applyAlignment="1"/>
    <xf numFmtId="0" fontId="76" fillId="0" borderId="0" xfId="27" applyFont="1" applyAlignment="1">
      <alignment horizontal="left"/>
    </xf>
    <xf numFmtId="0" fontId="22" fillId="6" borderId="0" xfId="27" applyFont="1" applyFill="1"/>
    <xf numFmtId="0" fontId="7" fillId="6" borderId="0" xfId="27" applyFill="1"/>
    <xf numFmtId="40" fontId="22" fillId="6" borderId="0" xfId="144" applyNumberFormat="1" applyFont="1" applyFill="1"/>
    <xf numFmtId="0" fontId="7" fillId="0" borderId="0" xfId="27" applyAlignment="1">
      <alignment horizontal="left" indent="1"/>
    </xf>
    <xf numFmtId="38" fontId="22" fillId="6" borderId="0" xfId="144" applyNumberFormat="1" applyFont="1" applyFill="1"/>
    <xf numFmtId="0" fontId="7" fillId="0" borderId="0" xfId="27" applyNumberFormat="1" applyAlignment="1">
      <alignment horizontal="left"/>
    </xf>
    <xf numFmtId="175" fontId="7" fillId="0" borderId="0" xfId="27" applyNumberFormat="1"/>
    <xf numFmtId="0" fontId="7" fillId="0" borderId="0" xfId="27" applyAlignment="1">
      <alignment vertical="top"/>
    </xf>
    <xf numFmtId="0" fontId="7" fillId="6" borderId="2" xfId="27" applyFill="1" applyBorder="1" applyAlignment="1">
      <alignment vertical="top"/>
    </xf>
    <xf numFmtId="0" fontId="7" fillId="6" borderId="2" xfId="27" applyFill="1" applyBorder="1" applyAlignment="1">
      <alignment horizontal="center" vertical="top"/>
    </xf>
    <xf numFmtId="0" fontId="22" fillId="6" borderId="2" xfId="27" applyFont="1" applyFill="1" applyBorder="1" applyAlignment="1">
      <alignment horizontal="center" vertical="top" wrapText="1"/>
    </xf>
    <xf numFmtId="0" fontId="77" fillId="6" borderId="2" xfId="27" applyFont="1" applyFill="1" applyBorder="1" applyAlignment="1">
      <alignment vertical="top"/>
    </xf>
    <xf numFmtId="175" fontId="7" fillId="6" borderId="2" xfId="27" applyNumberFormat="1" applyFill="1" applyBorder="1" applyAlignment="1">
      <alignment vertical="top"/>
    </xf>
    <xf numFmtId="0" fontId="7" fillId="6" borderId="2" xfId="27" applyFill="1" applyBorder="1" applyAlignment="1">
      <alignment horizontal="left" vertical="top" wrapText="1"/>
    </xf>
    <xf numFmtId="14" fontId="7" fillId="0" borderId="0" xfId="27" applyNumberFormat="1"/>
    <xf numFmtId="40" fontId="22" fillId="0" borderId="0" xfId="27" applyNumberFormat="1" applyFont="1"/>
    <xf numFmtId="40" fontId="22" fillId="0" borderId="0" xfId="27" applyNumberFormat="1" applyFont="1" applyAlignment="1">
      <alignment horizontal="center"/>
    </xf>
    <xf numFmtId="0" fontId="7" fillId="0" borderId="0" xfId="27" applyAlignment="1">
      <alignment horizontal="center"/>
    </xf>
    <xf numFmtId="40" fontId="7" fillId="0" borderId="0" xfId="144" applyNumberFormat="1"/>
    <xf numFmtId="0" fontId="102" fillId="78" borderId="0" xfId="436" applyNumberFormat="1" applyFill="1"/>
    <xf numFmtId="0" fontId="103" fillId="78" borderId="0" xfId="436" applyNumberFormat="1" applyFont="1" applyFill="1"/>
    <xf numFmtId="0" fontId="103" fillId="0" borderId="27" xfId="436" applyNumberFormat="1" applyFont="1" applyFill="1" applyBorder="1"/>
    <xf numFmtId="0" fontId="103" fillId="0" borderId="0" xfId="436" applyNumberFormat="1" applyFont="1" applyFill="1" applyAlignment="1">
      <alignment horizontal="center"/>
    </xf>
    <xf numFmtId="0" fontId="103" fillId="0" borderId="0" xfId="436" applyNumberFormat="1" applyFont="1" applyFill="1"/>
    <xf numFmtId="0" fontId="105" fillId="70" borderId="53" xfId="438" applyNumberFormat="1" applyFont="1" applyBorder="1" applyAlignment="1">
      <alignment horizontal="centerContinuous"/>
    </xf>
    <xf numFmtId="0" fontId="106" fillId="70" borderId="54" xfId="438" applyNumberFormat="1" applyFont="1" applyBorder="1" applyAlignment="1">
      <alignment horizontal="centerContinuous"/>
    </xf>
    <xf numFmtId="0" fontId="106" fillId="70" borderId="54" xfId="438" applyNumberFormat="1" applyFont="1" applyBorder="1" applyAlignment="1">
      <alignment horizontal="left"/>
    </xf>
    <xf numFmtId="0" fontId="107" fillId="70" borderId="55" xfId="438" applyNumberFormat="1" applyFont="1" applyBorder="1" applyAlignment="1">
      <alignment horizontal="centerContinuous"/>
    </xf>
    <xf numFmtId="0" fontId="102" fillId="32" borderId="0" xfId="436" applyNumberFormat="1"/>
    <xf numFmtId="0" fontId="102" fillId="32" borderId="27" xfId="436" applyNumberFormat="1" applyBorder="1"/>
    <xf numFmtId="41" fontId="102" fillId="78" borderId="0" xfId="436" applyNumberFormat="1" applyFill="1"/>
    <xf numFmtId="0" fontId="109" fillId="32" borderId="41" xfId="436" applyNumberFormat="1" applyFont="1" applyBorder="1"/>
    <xf numFmtId="0" fontId="109" fillId="32" borderId="0" xfId="436" applyNumberFormat="1" applyFont="1"/>
    <xf numFmtId="0" fontId="110" fillId="79" borderId="0" xfId="436" applyNumberFormat="1" applyFont="1" applyFill="1" applyAlignment="1">
      <alignment horizontal="center"/>
    </xf>
    <xf numFmtId="0" fontId="111" fillId="79" borderId="0" xfId="436" applyNumberFormat="1" applyFont="1" applyFill="1" applyAlignment="1">
      <alignment horizontal="center"/>
    </xf>
    <xf numFmtId="0" fontId="102" fillId="32" borderId="0" xfId="436" applyNumberFormat="1" applyAlignment="1">
      <alignment horizontal="center"/>
    </xf>
    <xf numFmtId="0" fontId="102" fillId="9" borderId="0" xfId="436" applyNumberFormat="1" applyFill="1" applyBorder="1"/>
    <xf numFmtId="0" fontId="109" fillId="32" borderId="27" xfId="436" applyNumberFormat="1" applyFont="1" applyBorder="1"/>
    <xf numFmtId="0" fontId="112" fillId="78" borderId="0" xfId="436" applyNumberFormat="1" applyFont="1" applyFill="1"/>
    <xf numFmtId="0" fontId="113" fillId="32" borderId="30" xfId="436" applyNumberFormat="1" applyFont="1" applyBorder="1" applyAlignment="1">
      <alignment horizontal="right"/>
    </xf>
    <xf numFmtId="0" fontId="113" fillId="32" borderId="27" xfId="436" applyNumberFormat="1" applyFont="1" applyBorder="1"/>
    <xf numFmtId="0" fontId="113" fillId="32" borderId="0" xfId="436" applyNumberFormat="1" applyFont="1"/>
    <xf numFmtId="0" fontId="114" fillId="79" borderId="0" xfId="436" applyNumberFormat="1" applyFont="1" applyFill="1" applyAlignment="1">
      <alignment horizontal="center"/>
    </xf>
    <xf numFmtId="0" fontId="115" fillId="32" borderId="0" xfId="436" applyNumberFormat="1" applyFont="1"/>
    <xf numFmtId="0" fontId="113" fillId="32" borderId="56" xfId="436" applyNumberFormat="1" applyFont="1" applyBorder="1"/>
    <xf numFmtId="0" fontId="110" fillId="79" borderId="1" xfId="436" applyNumberFormat="1" applyFont="1" applyFill="1" applyBorder="1"/>
    <xf numFmtId="0" fontId="114" fillId="79" borderId="1" xfId="436" applyNumberFormat="1" applyFont="1" applyFill="1" applyBorder="1" applyAlignment="1">
      <alignment horizontal="center"/>
    </xf>
    <xf numFmtId="0" fontId="114" fillId="79" borderId="1" xfId="436" applyNumberFormat="1" applyFont="1" applyFill="1" applyBorder="1"/>
    <xf numFmtId="176" fontId="102" fillId="32" borderId="57" xfId="436" applyNumberFormat="1" applyBorder="1"/>
    <xf numFmtId="10" fontId="116" fillId="32" borderId="57" xfId="436" applyNumberFormat="1" applyFont="1" applyBorder="1"/>
    <xf numFmtId="41" fontId="102" fillId="32" borderId="58" xfId="436" applyNumberFormat="1" applyBorder="1"/>
    <xf numFmtId="41" fontId="102" fillId="32" borderId="57" xfId="436" applyNumberFormat="1" applyBorder="1"/>
    <xf numFmtId="0" fontId="113" fillId="32" borderId="0" xfId="436" applyNumberFormat="1" applyFont="1" applyAlignment="1">
      <alignment horizontal="right"/>
    </xf>
    <xf numFmtId="41" fontId="113" fillId="32" borderId="0" xfId="436" applyNumberFormat="1" applyFont="1"/>
    <xf numFmtId="0" fontId="117" fillId="32" borderId="27" xfId="436" applyNumberFormat="1" applyFont="1" applyBorder="1" applyAlignment="1">
      <alignment horizontal="center"/>
    </xf>
    <xf numFmtId="2" fontId="102" fillId="32" borderId="27" xfId="436" applyNumberFormat="1" applyBorder="1" applyAlignment="1">
      <alignment horizontal="center"/>
    </xf>
    <xf numFmtId="176" fontId="102" fillId="32" borderId="0" xfId="436" applyNumberFormat="1" applyBorder="1"/>
    <xf numFmtId="10" fontId="116" fillId="32" borderId="0" xfId="436" applyNumberFormat="1" applyFont="1" applyBorder="1"/>
    <xf numFmtId="41" fontId="102" fillId="32" borderId="28" xfId="436" applyNumberFormat="1" applyBorder="1"/>
    <xf numFmtId="41" fontId="102" fillId="32" borderId="0" xfId="436" applyNumberFormat="1" applyBorder="1"/>
    <xf numFmtId="0" fontId="113" fillId="32" borderId="30" xfId="436" applyNumberFormat="1" applyFont="1" applyBorder="1" applyAlignment="1">
      <alignment horizontal="center"/>
    </xf>
    <xf numFmtId="0" fontId="102" fillId="32" borderId="27" xfId="436" applyNumberFormat="1" applyBorder="1" applyAlignment="1">
      <alignment horizontal="center"/>
    </xf>
    <xf numFmtId="0" fontId="102" fillId="32" borderId="56" xfId="436" applyNumberFormat="1" applyBorder="1" applyAlignment="1">
      <alignment horizontal="center"/>
    </xf>
    <xf numFmtId="0" fontId="114" fillId="32" borderId="30" xfId="436" applyNumberFormat="1" applyFont="1" applyBorder="1" applyAlignment="1">
      <alignment horizontal="right"/>
    </xf>
    <xf numFmtId="0" fontId="102" fillId="32" borderId="59" xfId="436" applyNumberFormat="1" applyBorder="1" applyAlignment="1">
      <alignment horizontal="center"/>
    </xf>
    <xf numFmtId="2" fontId="102" fillId="32" borderId="59" xfId="436" applyNumberFormat="1" applyBorder="1" applyAlignment="1">
      <alignment horizontal="center"/>
    </xf>
    <xf numFmtId="176" fontId="117" fillId="32" borderId="0" xfId="436" applyNumberFormat="1" applyFont="1" applyBorder="1"/>
    <xf numFmtId="41" fontId="113" fillId="32" borderId="0" xfId="436" applyNumberFormat="1" applyFont="1" applyBorder="1"/>
    <xf numFmtId="176" fontId="102" fillId="32" borderId="1" xfId="436" applyNumberFormat="1" applyBorder="1"/>
    <xf numFmtId="0" fontId="102" fillId="4" borderId="0" xfId="436" applyNumberFormat="1" applyFill="1"/>
    <xf numFmtId="41" fontId="109" fillId="32" borderId="0" xfId="436" applyNumberFormat="1" applyFont="1"/>
    <xf numFmtId="10" fontId="113" fillId="32" borderId="0" xfId="436" applyNumberFormat="1" applyFont="1" applyAlignment="1">
      <alignment horizontal="right"/>
    </xf>
    <xf numFmtId="41" fontId="109" fillId="4" borderId="0" xfId="444" applyFont="1" applyAlignment="1">
      <alignment horizontal="right"/>
    </xf>
    <xf numFmtId="0" fontId="102" fillId="32" borderId="0" xfId="436" applyNumberFormat="1" applyAlignment="1">
      <alignment horizontal="right"/>
    </xf>
    <xf numFmtId="0" fontId="110" fillId="79" borderId="59" xfId="436" applyNumberFormat="1" applyFont="1" applyFill="1" applyBorder="1" applyAlignment="1">
      <alignment horizontal="left"/>
    </xf>
    <xf numFmtId="0" fontId="102" fillId="32" borderId="57" xfId="436" applyNumberFormat="1" applyBorder="1"/>
    <xf numFmtId="0" fontId="102" fillId="32" borderId="58" xfId="436" applyNumberFormat="1" applyBorder="1"/>
    <xf numFmtId="0" fontId="113" fillId="32" borderId="60" xfId="436" applyNumberFormat="1" applyFont="1" applyBorder="1" applyAlignment="1">
      <alignment horizontal="right"/>
    </xf>
    <xf numFmtId="0" fontId="113" fillId="32" borderId="0" xfId="436" applyNumberFormat="1" applyFont="1" applyBorder="1" applyAlignment="1">
      <alignment horizontal="right"/>
    </xf>
    <xf numFmtId="0" fontId="118" fillId="32" borderId="0" xfId="436" applyNumberFormat="1" applyFont="1" applyBorder="1" applyAlignment="1">
      <alignment horizontal="left"/>
    </xf>
    <xf numFmtId="41" fontId="113" fillId="32" borderId="28" xfId="436" applyNumberFormat="1" applyFont="1" applyBorder="1"/>
    <xf numFmtId="0" fontId="109" fillId="78" borderId="0" xfId="436" applyNumberFormat="1" applyFont="1" applyFill="1" applyBorder="1"/>
    <xf numFmtId="0" fontId="114" fillId="32" borderId="0" xfId="436" applyNumberFormat="1" applyFont="1" applyBorder="1" applyAlignment="1">
      <alignment horizontal="right"/>
    </xf>
    <xf numFmtId="0" fontId="102" fillId="32" borderId="0" xfId="436" applyNumberFormat="1" applyBorder="1"/>
    <xf numFmtId="0" fontId="102" fillId="32" borderId="56" xfId="436" applyNumberFormat="1" applyBorder="1"/>
    <xf numFmtId="0" fontId="102" fillId="32" borderId="1" xfId="436" applyNumberFormat="1" applyBorder="1"/>
    <xf numFmtId="0" fontId="102" fillId="32" borderId="63" xfId="436" applyNumberFormat="1" applyBorder="1"/>
    <xf numFmtId="0" fontId="110" fillId="79" borderId="0" xfId="436" applyNumberFormat="1" applyFont="1" applyFill="1" applyBorder="1" applyAlignment="1">
      <alignment horizontal="left"/>
    </xf>
    <xf numFmtId="0" fontId="110" fillId="4" borderId="0" xfId="436" applyNumberFormat="1" applyFont="1" applyFill="1" applyBorder="1" applyAlignment="1">
      <alignment horizontal="centerContinuous"/>
    </xf>
    <xf numFmtId="0" fontId="120" fillId="32" borderId="0" xfId="436" applyNumberFormat="1" applyFont="1" applyAlignment="1">
      <alignment horizontal="right"/>
    </xf>
    <xf numFmtId="41" fontId="120" fillId="32" borderId="0" xfId="436" applyNumberFormat="1" applyFont="1" applyAlignment="1">
      <alignment horizontal="center"/>
    </xf>
    <xf numFmtId="0" fontId="120" fillId="32" borderId="0" xfId="436" applyNumberFormat="1" applyFont="1" applyAlignment="1">
      <alignment horizontal="center"/>
    </xf>
    <xf numFmtId="37" fontId="102" fillId="32" borderId="0" xfId="436" applyNumberFormat="1"/>
    <xf numFmtId="39" fontId="102" fillId="32" borderId="0" xfId="436" applyNumberFormat="1"/>
    <xf numFmtId="176" fontId="102" fillId="32" borderId="0" xfId="436" applyNumberFormat="1"/>
    <xf numFmtId="10" fontId="113" fillId="32" borderId="0" xfId="436" applyNumberFormat="1" applyFont="1" applyAlignment="1">
      <alignment horizontal="center"/>
    </xf>
    <xf numFmtId="41" fontId="113" fillId="32" borderId="0" xfId="436" applyNumberFormat="1" applyFont="1" applyBorder="1" applyProtection="1">
      <protection locked="0"/>
    </xf>
    <xf numFmtId="41" fontId="113" fillId="32" borderId="1" xfId="436" applyNumberFormat="1" applyFont="1" applyBorder="1" applyProtection="1">
      <protection locked="0"/>
    </xf>
    <xf numFmtId="41" fontId="113" fillId="32" borderId="64" xfId="436" applyNumberFormat="1" applyFont="1" applyBorder="1"/>
    <xf numFmtId="0" fontId="109" fillId="32" borderId="0" xfId="436" applyNumberFormat="1" applyFont="1" applyAlignment="1">
      <alignment horizontal="right"/>
    </xf>
    <xf numFmtId="10" fontId="113" fillId="32" borderId="64" xfId="436" applyNumberFormat="1" applyFont="1" applyBorder="1" applyAlignment="1">
      <alignment horizontal="center"/>
    </xf>
    <xf numFmtId="5" fontId="102" fillId="78" borderId="0" xfId="436" applyNumberFormat="1" applyFill="1"/>
    <xf numFmtId="0" fontId="114" fillId="32" borderId="0" xfId="436" applyNumberFormat="1" applyFont="1" applyAlignment="1">
      <alignment horizontal="center"/>
    </xf>
    <xf numFmtId="0" fontId="121" fillId="32" borderId="0" xfId="436" applyNumberFormat="1" applyFont="1"/>
    <xf numFmtId="0" fontId="114" fillId="32" borderId="0" xfId="436" applyNumberFormat="1" applyFont="1"/>
    <xf numFmtId="0" fontId="121" fillId="32" borderId="0" xfId="436" applyNumberFormat="1" applyFont="1" applyAlignment="1">
      <alignment horizontal="right"/>
    </xf>
    <xf numFmtId="5" fontId="102" fillId="78" borderId="0" xfId="436" applyNumberFormat="1" applyFill="1" applyBorder="1"/>
    <xf numFmtId="10" fontId="113" fillId="32" borderId="0" xfId="436" applyNumberFormat="1" applyFont="1"/>
    <xf numFmtId="10" fontId="102" fillId="78" borderId="0" xfId="436" applyNumberFormat="1" applyFill="1"/>
    <xf numFmtId="0" fontId="109" fillId="78" borderId="0" xfId="436" applyNumberFormat="1" applyFont="1" applyFill="1"/>
    <xf numFmtId="0" fontId="113" fillId="32" borderId="0" xfId="436" quotePrefix="1" applyNumberFormat="1" applyFont="1" applyAlignment="1">
      <alignment horizontal="left"/>
    </xf>
    <xf numFmtId="179" fontId="102" fillId="32" borderId="0" xfId="436" applyNumberFormat="1"/>
    <xf numFmtId="0" fontId="122" fillId="32" borderId="0" xfId="436" applyNumberFormat="1" applyFont="1"/>
    <xf numFmtId="39" fontId="113" fillId="32" borderId="0" xfId="436" applyNumberFormat="1" applyFont="1"/>
    <xf numFmtId="0" fontId="102" fillId="32" borderId="30" xfId="436" applyNumberFormat="1" applyBorder="1"/>
    <xf numFmtId="0" fontId="123" fillId="32" borderId="0" xfId="436" applyNumberFormat="1" applyFont="1"/>
    <xf numFmtId="0" fontId="102" fillId="32" borderId="59" xfId="436" applyNumberFormat="1" applyBorder="1" applyAlignment="1">
      <alignment horizontal="centerContinuous"/>
    </xf>
    <xf numFmtId="0" fontId="102" fillId="32" borderId="58" xfId="436" applyNumberFormat="1" applyBorder="1" applyAlignment="1">
      <alignment horizontal="centerContinuous"/>
    </xf>
    <xf numFmtId="10" fontId="115" fillId="4" borderId="0" xfId="440"/>
    <xf numFmtId="0" fontId="114" fillId="32" borderId="1" xfId="436" applyNumberFormat="1" applyFont="1" applyBorder="1" applyAlignment="1">
      <alignment horizontal="right"/>
    </xf>
    <xf numFmtId="0" fontId="114" fillId="32" borderId="1" xfId="436" applyNumberFormat="1" applyFont="1" applyBorder="1" applyAlignment="1">
      <alignment horizontal="center"/>
    </xf>
    <xf numFmtId="0" fontId="102" fillId="32" borderId="27" xfId="436" applyNumberFormat="1" applyBorder="1" applyAlignment="1">
      <alignment horizontal="centerContinuous"/>
    </xf>
    <xf numFmtId="0" fontId="102" fillId="32" borderId="28" xfId="436" applyNumberFormat="1" applyBorder="1" applyAlignment="1">
      <alignment horizontal="centerContinuous"/>
    </xf>
    <xf numFmtId="0" fontId="124" fillId="32" borderId="0" xfId="436" applyNumberFormat="1" applyFont="1"/>
    <xf numFmtId="177" fontId="113" fillId="32" borderId="0" xfId="436" applyNumberFormat="1" applyFont="1"/>
    <xf numFmtId="164" fontId="113" fillId="32" borderId="0" xfId="436" applyNumberFormat="1" applyFont="1" applyBorder="1" applyProtection="1">
      <protection locked="0"/>
    </xf>
    <xf numFmtId="0" fontId="102" fillId="32" borderId="28" xfId="436" applyNumberFormat="1" applyBorder="1" applyAlignment="1">
      <alignment horizontal="center"/>
    </xf>
    <xf numFmtId="0" fontId="102" fillId="32" borderId="0" xfId="436" quotePrefix="1" applyNumberFormat="1" applyBorder="1" applyAlignment="1">
      <alignment horizontal="right"/>
    </xf>
    <xf numFmtId="10" fontId="102" fillId="32" borderId="28" xfId="436" applyNumberFormat="1" applyBorder="1"/>
    <xf numFmtId="10" fontId="102" fillId="32" borderId="0" xfId="436" applyNumberFormat="1" applyAlignment="1">
      <alignment horizontal="center"/>
    </xf>
    <xf numFmtId="10" fontId="102" fillId="32" borderId="28" xfId="442" applyNumberFormat="1" applyFont="1" applyFill="1" applyBorder="1"/>
    <xf numFmtId="41" fontId="102" fillId="32" borderId="0" xfId="436" applyNumberFormat="1"/>
    <xf numFmtId="0" fontId="102" fillId="32" borderId="63" xfId="436" applyNumberFormat="1" applyBorder="1" applyAlignment="1">
      <alignment horizontal="center"/>
    </xf>
    <xf numFmtId="177" fontId="113" fillId="32" borderId="64" xfId="436" applyNumberFormat="1" applyFont="1" applyBorder="1"/>
    <xf numFmtId="0" fontId="102" fillId="32" borderId="57" xfId="436" quotePrefix="1" applyNumberFormat="1" applyBorder="1" applyAlignment="1">
      <alignment horizontal="left"/>
    </xf>
    <xf numFmtId="177" fontId="109" fillId="32" borderId="0" xfId="436" applyNumberFormat="1" applyFont="1"/>
    <xf numFmtId="0" fontId="102" fillId="32" borderId="0" xfId="436" quotePrefix="1" applyNumberFormat="1" applyBorder="1" applyAlignment="1">
      <alignment horizontal="left"/>
    </xf>
    <xf numFmtId="0" fontId="102" fillId="32" borderId="28" xfId="436" applyNumberFormat="1" applyBorder="1"/>
    <xf numFmtId="0" fontId="113" fillId="32" borderId="0" xfId="436" applyNumberFormat="1" applyFont="1" applyBorder="1"/>
    <xf numFmtId="0" fontId="109" fillId="32" borderId="0" xfId="436" applyNumberFormat="1" applyFont="1" applyBorder="1"/>
    <xf numFmtId="10" fontId="113" fillId="32" borderId="0" xfId="436" applyNumberFormat="1" applyFont="1" applyBorder="1"/>
    <xf numFmtId="0" fontId="125" fillId="78" borderId="0" xfId="436" applyNumberFormat="1" applyFont="1" applyFill="1"/>
    <xf numFmtId="2" fontId="125" fillId="78" borderId="0" xfId="436" applyNumberFormat="1" applyFont="1" applyFill="1"/>
    <xf numFmtId="10" fontId="102" fillId="32" borderId="56" xfId="436" applyNumberFormat="1" applyBorder="1" applyAlignment="1">
      <alignment horizontal="center"/>
    </xf>
    <xf numFmtId="0" fontId="102" fillId="32" borderId="1" xfId="436" quotePrefix="1" applyNumberFormat="1" applyBorder="1" applyAlignment="1">
      <alignment horizontal="left"/>
    </xf>
    <xf numFmtId="0" fontId="126" fillId="32" borderId="63" xfId="436" applyNumberFormat="1" applyFont="1" applyBorder="1"/>
    <xf numFmtId="0" fontId="126" fillId="78" borderId="0" xfId="436" applyNumberFormat="1" applyFont="1" applyFill="1"/>
    <xf numFmtId="180" fontId="102" fillId="32" borderId="0" xfId="436" applyNumberFormat="1"/>
    <xf numFmtId="0" fontId="104" fillId="32" borderId="0" xfId="436" applyNumberFormat="1" applyFont="1" applyBorder="1" applyAlignment="1">
      <alignment horizontal="centerContinuous"/>
    </xf>
    <xf numFmtId="0" fontId="102" fillId="32" borderId="0" xfId="436" applyNumberFormat="1" applyAlignment="1">
      <alignment horizontal="centerContinuous"/>
    </xf>
    <xf numFmtId="0" fontId="102" fillId="78" borderId="0" xfId="436" applyNumberFormat="1" applyFill="1" applyAlignment="1">
      <alignment horizontal="right"/>
    </xf>
    <xf numFmtId="0" fontId="102" fillId="32" borderId="59" xfId="436" applyNumberFormat="1" applyBorder="1"/>
    <xf numFmtId="0" fontId="127" fillId="32" borderId="57" xfId="436" applyNumberFormat="1" applyFont="1" applyBorder="1" applyAlignment="1">
      <alignment horizontal="center"/>
    </xf>
    <xf numFmtId="0" fontId="127" fillId="32" borderId="58" xfId="436" applyNumberFormat="1" applyFont="1" applyBorder="1" applyAlignment="1">
      <alignment horizontal="center"/>
    </xf>
    <xf numFmtId="0" fontId="102" fillId="32" borderId="59" xfId="436" applyNumberFormat="1" applyBorder="1" applyAlignment="1">
      <alignment horizontal="left"/>
    </xf>
    <xf numFmtId="174" fontId="128" fillId="32" borderId="57" xfId="436" applyNumberFormat="1" applyFont="1" applyBorder="1" applyAlignment="1">
      <alignment horizontal="center"/>
    </xf>
    <xf numFmtId="0" fontId="102" fillId="32" borderId="57" xfId="436" applyNumberFormat="1" applyBorder="1" applyAlignment="1">
      <alignment horizontal="left"/>
    </xf>
    <xf numFmtId="174" fontId="128" fillId="32" borderId="58" xfId="436" applyNumberFormat="1" applyFont="1" applyBorder="1" applyAlignment="1">
      <alignment horizontal="center"/>
    </xf>
    <xf numFmtId="10" fontId="102" fillId="32" borderId="0" xfId="436" applyNumberFormat="1" applyBorder="1" applyAlignment="1">
      <alignment horizontal="center"/>
    </xf>
    <xf numFmtId="10" fontId="102" fillId="32" borderId="28" xfId="436" applyNumberFormat="1" applyBorder="1" applyAlignment="1">
      <alignment horizontal="center"/>
    </xf>
    <xf numFmtId="0" fontId="102" fillId="32" borderId="27" xfId="436" applyNumberFormat="1" applyBorder="1" applyAlignment="1">
      <alignment horizontal="left"/>
    </xf>
    <xf numFmtId="174" fontId="128" fillId="32" borderId="0" xfId="436" applyNumberFormat="1" applyFont="1" applyBorder="1" applyAlignment="1">
      <alignment horizontal="center"/>
    </xf>
    <xf numFmtId="0" fontId="102" fillId="32" borderId="0" xfId="436" applyNumberFormat="1" applyBorder="1" applyAlignment="1">
      <alignment horizontal="left"/>
    </xf>
    <xf numFmtId="174" fontId="128" fillId="32" borderId="28" xfId="436" applyNumberFormat="1" applyFont="1" applyBorder="1" applyAlignment="1">
      <alignment horizontal="center"/>
    </xf>
    <xf numFmtId="0" fontId="129" fillId="32" borderId="0" xfId="436" applyNumberFormat="1" applyFont="1" applyBorder="1" applyAlignment="1">
      <alignment horizontal="centerContinuous"/>
    </xf>
    <xf numFmtId="174" fontId="102" fillId="32" borderId="28" xfId="436" applyNumberFormat="1" applyBorder="1" applyAlignment="1">
      <alignment horizontal="center"/>
    </xf>
    <xf numFmtId="0" fontId="126" fillId="78" borderId="0" xfId="436" applyNumberFormat="1" applyFont="1" applyFill="1" applyAlignment="1">
      <alignment horizontal="fill"/>
    </xf>
    <xf numFmtId="10" fontId="102" fillId="32" borderId="1" xfId="436" applyNumberFormat="1" applyBorder="1" applyAlignment="1">
      <alignment horizontal="center"/>
    </xf>
    <xf numFmtId="10" fontId="130" fillId="4" borderId="0" xfId="440" applyFont="1" applyBorder="1"/>
    <xf numFmtId="177" fontId="130" fillId="4" borderId="28" xfId="440" applyNumberFormat="1" applyFont="1" applyBorder="1"/>
    <xf numFmtId="0" fontId="102" fillId="32" borderId="1" xfId="436" applyNumberFormat="1" applyBorder="1" applyAlignment="1">
      <alignment horizontal="right"/>
    </xf>
    <xf numFmtId="174" fontId="128" fillId="32" borderId="1" xfId="436" applyNumberFormat="1" applyFont="1" applyBorder="1" applyAlignment="1">
      <alignment horizontal="left"/>
    </xf>
    <xf numFmtId="174" fontId="102" fillId="32" borderId="63" xfId="436" applyNumberFormat="1" applyBorder="1" applyAlignment="1">
      <alignment horizontal="center"/>
    </xf>
    <xf numFmtId="10" fontId="130" fillId="4" borderId="1" xfId="440" applyFont="1" applyBorder="1"/>
    <xf numFmtId="10" fontId="130" fillId="4" borderId="63" xfId="440" applyFont="1" applyBorder="1"/>
    <xf numFmtId="174" fontId="102" fillId="32" borderId="0" xfId="436" applyNumberFormat="1"/>
    <xf numFmtId="0" fontId="131" fillId="32" borderId="0" xfId="436" applyNumberFormat="1" applyFont="1"/>
    <xf numFmtId="0" fontId="102" fillId="32" borderId="57" xfId="436" quotePrefix="1" applyNumberFormat="1" applyBorder="1" applyAlignment="1">
      <alignment horizontal="right"/>
    </xf>
    <xf numFmtId="0" fontId="102" fillId="32" borderId="58" xfId="436" quotePrefix="1" applyNumberFormat="1" applyBorder="1" applyAlignment="1">
      <alignment horizontal="right"/>
    </xf>
    <xf numFmtId="0" fontId="132" fillId="32" borderId="0" xfId="436" applyNumberFormat="1" applyFont="1" applyBorder="1"/>
    <xf numFmtId="0" fontId="132" fillId="32" borderId="28" xfId="436" applyNumberFormat="1" applyFont="1" applyBorder="1"/>
    <xf numFmtId="0" fontId="102" fillId="32" borderId="1" xfId="436" quotePrefix="1" applyNumberFormat="1" applyBorder="1" applyAlignment="1">
      <alignment horizontal="right"/>
    </xf>
    <xf numFmtId="10" fontId="102" fillId="32" borderId="63" xfId="436" applyNumberFormat="1" applyBorder="1"/>
    <xf numFmtId="0" fontId="149" fillId="0" borderId="0" xfId="419" applyFont="1"/>
    <xf numFmtId="164" fontId="3" fillId="0" borderId="0" xfId="1" applyNumberFormat="1" applyFont="1" applyFill="1"/>
    <xf numFmtId="0" fontId="7" fillId="0" borderId="81" xfId="27" applyBorder="1"/>
    <xf numFmtId="43" fontId="7" fillId="0" borderId="0" xfId="27" applyNumberFormat="1"/>
    <xf numFmtId="3" fontId="158" fillId="0" borderId="0" xfId="0" applyNumberFormat="1" applyFont="1" applyFill="1" applyBorder="1"/>
    <xf numFmtId="1" fontId="157" fillId="0" borderId="0" xfId="0" applyNumberFormat="1" applyFont="1" applyFill="1" applyBorder="1" applyAlignment="1">
      <alignment horizontal="left"/>
    </xf>
    <xf numFmtId="4" fontId="157" fillId="0" borderId="0" xfId="0" applyNumberFormat="1" applyFont="1" applyFill="1" applyBorder="1" applyAlignment="1">
      <alignment horizontal="left"/>
    </xf>
    <xf numFmtId="0" fontId="84" fillId="0" borderId="0" xfId="0" applyFont="1" applyBorder="1" applyAlignment="1">
      <alignment horizontal="left"/>
    </xf>
    <xf numFmtId="4" fontId="84" fillId="0" borderId="0" xfId="0" applyNumberFormat="1" applyFont="1" applyBorder="1" applyAlignment="1">
      <alignment horizontal="left"/>
    </xf>
    <xf numFmtId="10" fontId="84" fillId="0" borderId="0" xfId="0" applyNumberFormat="1" applyFont="1" applyFill="1" applyBorder="1" applyAlignment="1">
      <alignment horizontal="left"/>
    </xf>
    <xf numFmtId="1" fontId="82" fillId="0" borderId="0" xfId="0" applyNumberFormat="1" applyFont="1" applyFill="1" applyBorder="1" applyAlignment="1">
      <alignment horizontal="left"/>
    </xf>
    <xf numFmtId="0" fontId="83" fillId="0" borderId="0" xfId="0" applyFont="1" applyFill="1" applyBorder="1" applyAlignment="1">
      <alignment horizontal="left"/>
    </xf>
    <xf numFmtId="43" fontId="84" fillId="0" borderId="0" xfId="0" applyNumberFormat="1" applyFont="1" applyFill="1" applyBorder="1" applyAlignment="1">
      <alignment horizontal="left"/>
    </xf>
    <xf numFmtId="43" fontId="83" fillId="0" borderId="0" xfId="0" applyNumberFormat="1" applyFont="1" applyFill="1" applyBorder="1" applyAlignment="1">
      <alignment horizontal="left"/>
    </xf>
    <xf numFmtId="3" fontId="83" fillId="0" borderId="0" xfId="0" applyNumberFormat="1" applyFont="1" applyFill="1" applyBorder="1" applyAlignment="1">
      <alignment horizontal="left"/>
    </xf>
    <xf numFmtId="164" fontId="84" fillId="0" borderId="0" xfId="0" applyNumberFormat="1" applyFont="1" applyFill="1" applyBorder="1" applyAlignment="1">
      <alignment horizontal="left"/>
    </xf>
    <xf numFmtId="0" fontId="84" fillId="0" borderId="0" xfId="0" applyFont="1" applyFill="1" applyBorder="1" applyAlignment="1">
      <alignment horizontal="left"/>
    </xf>
    <xf numFmtId="164" fontId="84" fillId="0" borderId="0" xfId="1" applyNumberFormat="1" applyFont="1" applyFill="1" applyBorder="1" applyAlignment="1">
      <alignment horizontal="left"/>
    </xf>
    <xf numFmtId="10" fontId="84" fillId="0" borderId="0" xfId="3" applyNumberFormat="1" applyFont="1" applyFill="1" applyBorder="1"/>
    <xf numFmtId="0" fontId="83" fillId="85" borderId="37" xfId="0" applyFont="1" applyFill="1" applyBorder="1" applyAlignment="1">
      <alignment horizontal="center"/>
    </xf>
    <xf numFmtId="0" fontId="83" fillId="85" borderId="39" xfId="0" quotePrefix="1" applyNumberFormat="1" applyFont="1" applyFill="1" applyBorder="1" applyAlignment="1">
      <alignment horizontal="center"/>
    </xf>
    <xf numFmtId="0" fontId="7" fillId="2" borderId="67" xfId="27" applyFont="1" applyFill="1" applyBorder="1" applyAlignment="1">
      <alignment horizontal="centerContinuous"/>
    </xf>
    <xf numFmtId="0" fontId="7" fillId="2" borderId="92" xfId="27" applyFont="1" applyFill="1" applyBorder="1" applyAlignment="1">
      <alignment horizontal="centerContinuous"/>
    </xf>
    <xf numFmtId="0" fontId="7" fillId="2" borderId="93" xfId="27" applyFont="1" applyFill="1" applyBorder="1" applyAlignment="1">
      <alignment horizontal="centerContinuous"/>
    </xf>
    <xf numFmtId="0" fontId="7" fillId="6" borderId="94" xfId="27" applyFont="1" applyFill="1" applyBorder="1" applyAlignment="1">
      <alignment horizontal="center" vertical="top"/>
    </xf>
    <xf numFmtId="40" fontId="7" fillId="0" borderId="81" xfId="144" applyNumberFormat="1" applyBorder="1"/>
    <xf numFmtId="0" fontId="7" fillId="0" borderId="81" xfId="27" applyBorder="1" applyAlignment="1">
      <alignment horizontal="right"/>
    </xf>
    <xf numFmtId="0" fontId="4" fillId="0" borderId="0" xfId="0" applyFont="1" applyAlignment="1">
      <alignment horizontal="center"/>
    </xf>
    <xf numFmtId="0" fontId="4" fillId="0" borderId="1" xfId="0" applyFont="1" applyBorder="1" applyAlignment="1">
      <alignment horizontal="center"/>
    </xf>
    <xf numFmtId="44" fontId="0" fillId="0" borderId="0" xfId="2" applyFont="1"/>
    <xf numFmtId="44" fontId="0" fillId="0" borderId="1" xfId="2" applyFont="1" applyBorder="1"/>
    <xf numFmtId="17" fontId="7" fillId="0" borderId="0" xfId="60" applyNumberFormat="1" applyFont="1" applyFill="1"/>
    <xf numFmtId="0" fontId="40" fillId="0" borderId="0" xfId="6" applyFont="1"/>
    <xf numFmtId="37" fontId="68" fillId="5" borderId="0" xfId="60" applyFont="1" applyFill="1"/>
    <xf numFmtId="37" fontId="68" fillId="0" borderId="0" xfId="60" applyFont="1" applyFill="1"/>
    <xf numFmtId="0" fontId="40" fillId="0" borderId="0" xfId="6" applyFont="1" applyAlignment="1">
      <alignment horizontal="left"/>
    </xf>
    <xf numFmtId="0" fontId="40" fillId="0" borderId="0" xfId="6" quotePrefix="1" applyFont="1" applyAlignment="1">
      <alignment horizontal="left"/>
    </xf>
    <xf numFmtId="164" fontId="40" fillId="5" borderId="0" xfId="4" applyNumberFormat="1" applyFont="1" applyFill="1"/>
    <xf numFmtId="164" fontId="40" fillId="0" borderId="0" xfId="4" applyNumberFormat="1" applyFont="1" applyFill="1"/>
    <xf numFmtId="14" fontId="163" fillId="0" borderId="0" xfId="60" applyNumberFormat="1" applyFont="1" applyFill="1"/>
    <xf numFmtId="0" fontId="164" fillId="0" borderId="0" xfId="6" applyNumberFormat="1" applyFont="1"/>
    <xf numFmtId="37" fontId="13" fillId="0" borderId="0" xfId="60" applyFont="1" applyFill="1"/>
    <xf numFmtId="0" fontId="16" fillId="0" borderId="0" xfId="6" applyNumberFormat="1" applyFont="1" applyAlignment="1">
      <alignment horizontal="centerContinuous"/>
    </xf>
    <xf numFmtId="49" fontId="16" fillId="0" borderId="0" xfId="6" applyNumberFormat="1" applyFont="1"/>
    <xf numFmtId="0" fontId="40" fillId="0" borderId="0" xfId="6" applyNumberFormat="1" applyFont="1" applyAlignment="1">
      <alignment horizontal="center"/>
    </xf>
    <xf numFmtId="0" fontId="16" fillId="0" borderId="0" xfId="6" applyNumberFormat="1" applyFont="1" applyAlignment="1">
      <alignment horizontal="center"/>
    </xf>
    <xf numFmtId="0" fontId="40" fillId="0" borderId="0" xfId="6" applyNumberFormat="1" applyFont="1"/>
    <xf numFmtId="0" fontId="69" fillId="5" borderId="1" xfId="6" applyNumberFormat="1" applyFont="1" applyFill="1" applyBorder="1" applyAlignment="1">
      <alignment horizontal="centerContinuous"/>
    </xf>
    <xf numFmtId="164" fontId="68" fillId="2" borderId="0" xfId="4" applyNumberFormat="1" applyFont="1" applyFill="1" applyBorder="1" applyAlignment="1">
      <alignment horizontal="centerContinuous"/>
    </xf>
    <xf numFmtId="164" fontId="70" fillId="0" borderId="1" xfId="4" applyNumberFormat="1" applyFont="1" applyBorder="1" applyAlignment="1">
      <alignment horizontal="centerContinuous"/>
    </xf>
    <xf numFmtId="0" fontId="40" fillId="0" borderId="1" xfId="6" applyNumberFormat="1" applyFont="1" applyBorder="1" applyAlignment="1">
      <alignment horizontal="centerContinuous"/>
    </xf>
    <xf numFmtId="164" fontId="70" fillId="2" borderId="0" xfId="4" applyNumberFormat="1" applyFont="1" applyFill="1" applyBorder="1" applyAlignment="1">
      <alignment horizontal="centerContinuous"/>
    </xf>
    <xf numFmtId="164" fontId="68" fillId="0" borderId="0" xfId="6" applyNumberFormat="1" applyFont="1" applyAlignment="1">
      <alignment horizontal="center"/>
    </xf>
    <xf numFmtId="164" fontId="70" fillId="2" borderId="0" xfId="6" applyNumberFormat="1" applyFont="1" applyFill="1" applyAlignment="1">
      <alignment horizontal="center"/>
    </xf>
    <xf numFmtId="0" fontId="69" fillId="0" borderId="0" xfId="6" applyNumberFormat="1" applyFont="1" applyAlignment="1">
      <alignment horizontal="center"/>
    </xf>
    <xf numFmtId="164" fontId="70" fillId="2" borderId="52" xfId="4" applyNumberFormat="1" applyFont="1" applyFill="1" applyBorder="1" applyAlignment="1">
      <alignment horizontal="centerContinuous"/>
    </xf>
    <xf numFmtId="164" fontId="70" fillId="0" borderId="52" xfId="4" applyNumberFormat="1" applyFont="1" applyBorder="1" applyAlignment="1">
      <alignment horizontal="centerContinuous"/>
    </xf>
    <xf numFmtId="17" fontId="69" fillId="0" borderId="52" xfId="6" applyNumberFormat="1" applyFont="1" applyBorder="1" applyAlignment="1">
      <alignment horizontal="center"/>
    </xf>
    <xf numFmtId="0" fontId="165" fillId="0" borderId="0" xfId="6" applyNumberFormat="1" applyFont="1"/>
    <xf numFmtId="37" fontId="68" fillId="0" borderId="0" xfId="60" applyFont="1" applyFill="1" applyBorder="1"/>
    <xf numFmtId="0" fontId="40" fillId="0" borderId="1" xfId="6" applyFont="1" applyBorder="1"/>
    <xf numFmtId="164" fontId="40" fillId="6" borderId="0" xfId="4" applyNumberFormat="1" applyFont="1" applyFill="1" applyBorder="1"/>
    <xf numFmtId="164" fontId="40" fillId="0" borderId="0" xfId="4" applyNumberFormat="1" applyFont="1" applyFill="1" applyBorder="1"/>
    <xf numFmtId="164" fontId="40" fillId="0" borderId="1" xfId="4" applyNumberFormat="1" applyFont="1" applyBorder="1"/>
    <xf numFmtId="164" fontId="40" fillId="0" borderId="1" xfId="4" applyNumberFormat="1" applyFont="1" applyFill="1" applyBorder="1"/>
    <xf numFmtId="0" fontId="40" fillId="0" borderId="0" xfId="6" applyFont="1" applyBorder="1"/>
    <xf numFmtId="164" fontId="40" fillId="0" borderId="0" xfId="4" applyNumberFormat="1" applyFont="1"/>
    <xf numFmtId="0" fontId="69" fillId="0" borderId="0" xfId="6" applyFont="1" applyAlignment="1">
      <alignment horizontal="left"/>
    </xf>
    <xf numFmtId="164" fontId="40" fillId="6" borderId="92" xfId="4" applyNumberFormat="1" applyFont="1" applyFill="1" applyBorder="1"/>
    <xf numFmtId="164" fontId="40" fillId="0" borderId="92" xfId="4" applyNumberFormat="1" applyFont="1" applyFill="1" applyBorder="1"/>
    <xf numFmtId="0" fontId="40" fillId="0" borderId="0" xfId="6" quotePrefix="1" applyFont="1"/>
    <xf numFmtId="0" fontId="40" fillId="0" borderId="0" xfId="6" applyFont="1" applyFill="1"/>
    <xf numFmtId="0" fontId="69" fillId="0" borderId="0" xfId="6" applyFont="1"/>
    <xf numFmtId="164" fontId="40" fillId="6" borderId="62" xfId="4" applyNumberFormat="1" applyFont="1" applyFill="1" applyBorder="1"/>
    <xf numFmtId="164" fontId="40" fillId="0" borderId="62" xfId="4" applyNumberFormat="1" applyFont="1" applyFill="1" applyBorder="1"/>
    <xf numFmtId="0" fontId="68" fillId="0" borderId="0" xfId="7" applyFont="1" applyFill="1"/>
    <xf numFmtId="0" fontId="166" fillId="0" borderId="0" xfId="6" applyFont="1"/>
    <xf numFmtId="164" fontId="68" fillId="0" borderId="0" xfId="11" applyNumberFormat="1" applyFont="1" applyFill="1"/>
    <xf numFmtId="164" fontId="7" fillId="0" borderId="0" xfId="11" applyNumberFormat="1" applyFont="1" applyFill="1"/>
    <xf numFmtId="164" fontId="68" fillId="0" borderId="0" xfId="4" applyNumberFormat="1" applyFont="1" applyFill="1"/>
    <xf numFmtId="164" fontId="40" fillId="8" borderId="0" xfId="4" applyNumberFormat="1" applyFont="1" applyFill="1" applyBorder="1"/>
    <xf numFmtId="0" fontId="40" fillId="8" borderId="0" xfId="6" applyFont="1" applyFill="1"/>
    <xf numFmtId="0" fontId="7" fillId="0" borderId="0" xfId="7" applyFont="1" applyFill="1"/>
    <xf numFmtId="37" fontId="68" fillId="8" borderId="0" xfId="60" applyFont="1" applyFill="1" applyBorder="1"/>
    <xf numFmtId="37" fontId="68" fillId="8" borderId="0" xfId="60" applyFont="1" applyFill="1"/>
    <xf numFmtId="0" fontId="167" fillId="0" borderId="0" xfId="0" applyFont="1" applyFill="1" applyBorder="1"/>
    <xf numFmtId="3" fontId="168" fillId="0" borderId="0" xfId="0" applyNumberFormat="1" applyFont="1" applyFill="1" applyBorder="1" applyAlignment="1">
      <alignment horizontal="left"/>
    </xf>
    <xf numFmtId="164" fontId="3" fillId="40" borderId="0" xfId="1" applyNumberFormat="1" applyFont="1" applyFill="1"/>
    <xf numFmtId="0" fontId="168" fillId="0" borderId="0" xfId="0" applyFont="1" applyFill="1" applyBorder="1" applyAlignment="1">
      <alignment horizontal="left"/>
    </xf>
    <xf numFmtId="0" fontId="108" fillId="32" borderId="67" xfId="436" applyNumberFormat="1" applyFont="1" applyBorder="1" applyAlignment="1">
      <alignment horizontal="centerContinuous"/>
    </xf>
    <xf numFmtId="0" fontId="108" fillId="32" borderId="93" xfId="436" applyNumberFormat="1" applyFont="1" applyBorder="1" applyAlignment="1">
      <alignment horizontal="centerContinuous"/>
    </xf>
    <xf numFmtId="0" fontId="102" fillId="32" borderId="93" xfId="436" applyNumberFormat="1" applyBorder="1" applyAlignment="1">
      <alignment horizontal="centerContinuous"/>
    </xf>
    <xf numFmtId="0" fontId="114" fillId="79" borderId="0" xfId="930" applyNumberFormat="1" applyFont="1" applyFill="1" applyAlignment="1">
      <alignment horizontal="center"/>
    </xf>
    <xf numFmtId="0" fontId="102" fillId="32" borderId="82" xfId="436" applyNumberFormat="1" applyBorder="1" applyAlignment="1">
      <alignment horizontal="center"/>
    </xf>
    <xf numFmtId="2" fontId="102" fillId="32" borderId="82" xfId="436" applyNumberFormat="1" applyBorder="1" applyAlignment="1">
      <alignment horizontal="center"/>
    </xf>
    <xf numFmtId="176" fontId="102" fillId="32" borderId="81" xfId="436" applyNumberFormat="1" applyBorder="1"/>
    <xf numFmtId="10" fontId="116" fillId="32" borderId="81" xfId="436" applyNumberFormat="1" applyFont="1" applyBorder="1"/>
    <xf numFmtId="41" fontId="102" fillId="32" borderId="83" xfId="436" applyNumberFormat="1" applyBorder="1"/>
    <xf numFmtId="41" fontId="102" fillId="32" borderId="82" xfId="436" applyNumberFormat="1" applyBorder="1"/>
    <xf numFmtId="41" fontId="102" fillId="32" borderId="81" xfId="436" applyNumberFormat="1" applyBorder="1"/>
    <xf numFmtId="0" fontId="113" fillId="32" borderId="95" xfId="436" applyNumberFormat="1" applyFont="1" applyBorder="1" applyAlignment="1">
      <alignment horizontal="center"/>
    </xf>
    <xf numFmtId="41" fontId="102" fillId="32" borderId="27" xfId="436" applyNumberFormat="1" applyBorder="1"/>
    <xf numFmtId="41" fontId="113" fillId="32" borderId="92" xfId="436" applyNumberFormat="1" applyFont="1" applyBorder="1"/>
    <xf numFmtId="5" fontId="113" fillId="32" borderId="92" xfId="436" applyNumberFormat="1" applyFont="1" applyBorder="1"/>
    <xf numFmtId="41" fontId="113" fillId="32" borderId="86" xfId="436" applyNumberFormat="1" applyFont="1" applyBorder="1"/>
    <xf numFmtId="41" fontId="102" fillId="32" borderId="59" xfId="436" applyNumberFormat="1" applyBorder="1"/>
    <xf numFmtId="41" fontId="114" fillId="32" borderId="96" xfId="436" applyNumberFormat="1" applyFont="1" applyBorder="1"/>
    <xf numFmtId="0" fontId="113" fillId="32" borderId="1" xfId="436" applyNumberFormat="1" applyFont="1" applyBorder="1" applyAlignment="1">
      <alignment horizontal="right" vertical="center"/>
    </xf>
    <xf numFmtId="10" fontId="114" fillId="32" borderId="1" xfId="436" applyNumberFormat="1" applyFont="1" applyBorder="1" applyAlignment="1">
      <alignment horizontal="center" vertical="center"/>
    </xf>
    <xf numFmtId="0" fontId="119" fillId="78" borderId="0" xfId="930" applyNumberFormat="1" applyFont="1" applyFill="1"/>
    <xf numFmtId="0" fontId="8" fillId="78" borderId="0" xfId="930" applyNumberFormat="1" applyFill="1"/>
    <xf numFmtId="0" fontId="109" fillId="78" borderId="0" xfId="930" applyNumberFormat="1" applyFont="1" applyFill="1"/>
    <xf numFmtId="41" fontId="109" fillId="40" borderId="63" xfId="444" applyFont="1" applyFill="1" applyBorder="1">
      <alignment horizontal="left"/>
    </xf>
    <xf numFmtId="41" fontId="109" fillId="40" borderId="93" xfId="444" applyFont="1" applyFill="1" applyBorder="1">
      <alignment horizontal="left"/>
    </xf>
    <xf numFmtId="10" fontId="109" fillId="40" borderId="93" xfId="440" applyFont="1" applyFill="1" applyBorder="1"/>
    <xf numFmtId="177" fontId="109" fillId="40" borderId="93" xfId="440" applyNumberFormat="1" applyFont="1" applyFill="1" applyBorder="1"/>
    <xf numFmtId="10" fontId="109" fillId="40" borderId="61" xfId="440" applyNumberFormat="1" applyFont="1" applyFill="1" applyBorder="1"/>
    <xf numFmtId="164" fontId="0" fillId="0" borderId="0" xfId="0" applyNumberFormat="1"/>
    <xf numFmtId="43" fontId="0" fillId="0" borderId="0" xfId="0" applyNumberFormat="1"/>
    <xf numFmtId="1" fontId="84" fillId="40" borderId="0" xfId="0" applyNumberFormat="1" applyFont="1" applyFill="1" applyBorder="1" applyAlignment="1">
      <alignment horizontal="right"/>
    </xf>
    <xf numFmtId="0" fontId="84" fillId="40" borderId="0" xfId="0" applyFont="1" applyFill="1" applyBorder="1"/>
    <xf numFmtId="3" fontId="83" fillId="42" borderId="0" xfId="0" applyNumberFormat="1" applyFont="1" applyFill="1" applyBorder="1"/>
    <xf numFmtId="0" fontId="103" fillId="78" borderId="2" xfId="436" applyNumberFormat="1" applyFont="1" applyFill="1" applyBorder="1"/>
    <xf numFmtId="0" fontId="106" fillId="70" borderId="98" xfId="438" applyNumberFormat="1" applyFont="1" applyBorder="1" applyAlignment="1">
      <alignment horizontal="left"/>
    </xf>
    <xf numFmtId="0" fontId="113" fillId="32" borderId="99" xfId="436" applyNumberFormat="1" applyFont="1" applyBorder="1" applyAlignment="1">
      <alignment horizontal="right"/>
    </xf>
    <xf numFmtId="10" fontId="118" fillId="32" borderId="0" xfId="442" applyNumberFormat="1" applyFont="1" applyFill="1" applyBorder="1" applyAlignment="1">
      <alignment horizontal="left"/>
    </xf>
    <xf numFmtId="41" fontId="114" fillId="32" borderId="4" xfId="436" applyNumberFormat="1" applyFont="1" applyBorder="1"/>
    <xf numFmtId="0" fontId="0" fillId="0" borderId="0" xfId="0"/>
    <xf numFmtId="0" fontId="22" fillId="0" borderId="0" xfId="27" applyFont="1" applyAlignment="1">
      <alignment horizontal="center"/>
    </xf>
    <xf numFmtId="44" fontId="7" fillId="0" borderId="0" xfId="27" applyNumberFormat="1"/>
    <xf numFmtId="10" fontId="84" fillId="0" borderId="0" xfId="3" applyNumberFormat="1" applyFont="1" applyFill="1" applyBorder="1" applyAlignment="1">
      <alignment horizontal="left"/>
    </xf>
    <xf numFmtId="41" fontId="118" fillId="32" borderId="0" xfId="436" applyNumberFormat="1" applyFont="1" applyBorder="1" applyAlignment="1">
      <alignment horizontal="left"/>
    </xf>
    <xf numFmtId="41" fontId="118" fillId="32" borderId="0" xfId="442" applyNumberFormat="1" applyFont="1" applyFill="1" applyBorder="1" applyAlignment="1">
      <alignment horizontal="left"/>
    </xf>
    <xf numFmtId="10" fontId="102" fillId="32" borderId="0" xfId="3" applyNumberFormat="1" applyFont="1" applyFill="1" applyBorder="1"/>
    <xf numFmtId="10" fontId="102" fillId="32" borderId="0" xfId="3" applyNumberFormat="1" applyFont="1" applyFill="1"/>
    <xf numFmtId="10" fontId="102" fillId="32" borderId="57" xfId="3" applyNumberFormat="1" applyFont="1" applyFill="1" applyBorder="1"/>
    <xf numFmtId="164" fontId="16" fillId="0" borderId="0" xfId="6" applyNumberFormat="1" applyFont="1"/>
    <xf numFmtId="0" fontId="0" fillId="0" borderId="0" xfId="0" pivotButton="1"/>
    <xf numFmtId="0" fontId="0" fillId="0" borderId="0" xfId="0" applyAlignment="1">
      <alignment horizontal="left"/>
    </xf>
    <xf numFmtId="0" fontId="0" fillId="0" borderId="0" xfId="0" applyAlignment="1">
      <alignment horizontal="left" indent="1"/>
    </xf>
    <xf numFmtId="43" fontId="7" fillId="0" borderId="0" xfId="1" applyFont="1"/>
    <xf numFmtId="43" fontId="7" fillId="0" borderId="0" xfId="1" applyFont="1" applyAlignment="1">
      <alignment horizontal="right"/>
    </xf>
    <xf numFmtId="43" fontId="7" fillId="0" borderId="1" xfId="1" applyFont="1" applyBorder="1"/>
    <xf numFmtId="43" fontId="7" fillId="0" borderId="1" xfId="1" applyFont="1" applyBorder="1" applyAlignment="1">
      <alignment horizontal="right"/>
    </xf>
    <xf numFmtId="37" fontId="83" fillId="45" borderId="39" xfId="0" applyNumberFormat="1" applyFont="1" applyFill="1" applyBorder="1" applyAlignment="1">
      <alignment horizontal="center" wrapText="1"/>
    </xf>
    <xf numFmtId="0" fontId="7" fillId="2" borderId="100" xfId="27" applyFont="1" applyFill="1" applyBorder="1" applyAlignment="1">
      <alignment horizontal="centerContinuous"/>
    </xf>
    <xf numFmtId="0" fontId="7" fillId="2" borderId="65" xfId="27" applyFont="1" applyFill="1" applyBorder="1" applyAlignment="1">
      <alignment horizontal="centerContinuous"/>
    </xf>
    <xf numFmtId="0" fontId="7" fillId="2" borderId="61" xfId="27" applyFont="1" applyFill="1" applyBorder="1" applyAlignment="1">
      <alignment horizontal="centerContinuous"/>
    </xf>
    <xf numFmtId="0" fontId="7" fillId="0" borderId="57" xfId="27" applyBorder="1"/>
    <xf numFmtId="40" fontId="7" fillId="0" borderId="57" xfId="144" applyNumberFormat="1" applyBorder="1"/>
    <xf numFmtId="0" fontId="7" fillId="0" borderId="57" xfId="27" applyBorder="1" applyAlignment="1">
      <alignment horizontal="right"/>
    </xf>
    <xf numFmtId="43" fontId="0" fillId="0" borderId="0" xfId="144" applyFont="1"/>
    <xf numFmtId="0" fontId="7" fillId="0" borderId="0" xfId="27" applyNumberFormat="1"/>
    <xf numFmtId="0" fontId="6" fillId="0" borderId="0" xfId="7" applyNumberFormat="1" applyFont="1" applyBorder="1"/>
    <xf numFmtId="0" fontId="22" fillId="9" borderId="0" xfId="27" applyFont="1" applyFill="1"/>
    <xf numFmtId="0" fontId="22" fillId="42" borderId="0" xfId="27" applyFont="1" applyFill="1"/>
    <xf numFmtId="40" fontId="22" fillId="86" borderId="0" xfId="27" applyNumberFormat="1" applyFont="1" applyFill="1"/>
    <xf numFmtId="40" fontId="22" fillId="86" borderId="0" xfId="27" applyNumberFormat="1" applyFont="1" applyFill="1" applyAlignment="1">
      <alignment horizontal="center"/>
    </xf>
    <xf numFmtId="0" fontId="7" fillId="86" borderId="0" xfId="27" applyFill="1"/>
    <xf numFmtId="0" fontId="7" fillId="86" borderId="0" xfId="27" applyFill="1" applyAlignment="1">
      <alignment horizontal="center"/>
    </xf>
    <xf numFmtId="0" fontId="7" fillId="86" borderId="0" xfId="27" applyFill="1" applyAlignment="1">
      <alignment horizontal="left"/>
    </xf>
    <xf numFmtId="40" fontId="22" fillId="9" borderId="0" xfId="27" applyNumberFormat="1" applyFont="1" applyFill="1"/>
    <xf numFmtId="40" fontId="22" fillId="9" borderId="0" xfId="27" applyNumberFormat="1" applyFont="1" applyFill="1" applyAlignment="1">
      <alignment horizontal="center"/>
    </xf>
    <xf numFmtId="0" fontId="7" fillId="9" borderId="0" xfId="27" applyFill="1"/>
    <xf numFmtId="0" fontId="7" fillId="9" borderId="0" xfId="27" applyFill="1" applyAlignment="1">
      <alignment horizontal="center"/>
    </xf>
    <xf numFmtId="0" fontId="7" fillId="9" borderId="0" xfId="27" applyFill="1" applyAlignment="1">
      <alignment horizontal="left"/>
    </xf>
    <xf numFmtId="175" fontId="7" fillId="9" borderId="0" xfId="27" applyNumberFormat="1" applyFill="1"/>
    <xf numFmtId="0" fontId="5" fillId="0" borderId="0" xfId="2343" applyNumberFormat="1" applyFont="1" applyAlignment="1">
      <alignment horizontal="left"/>
    </xf>
    <xf numFmtId="0" fontId="6" fillId="0" borderId="0" xfId="2343" applyNumberFormat="1" applyFont="1"/>
    <xf numFmtId="167" fontId="5" fillId="0" borderId="0" xfId="2343" applyFont="1"/>
    <xf numFmtId="167" fontId="6" fillId="0" borderId="0" xfId="2343" applyFont="1" applyAlignment="1">
      <alignment horizontal="left"/>
    </xf>
    <xf numFmtId="43" fontId="6" fillId="0" borderId="0" xfId="144" applyFont="1" applyAlignment="1">
      <alignment horizontal="left"/>
    </xf>
    <xf numFmtId="167" fontId="6" fillId="0" borderId="0" xfId="2343" applyFont="1" applyAlignment="1">
      <alignment horizontal="center"/>
    </xf>
    <xf numFmtId="167" fontId="6" fillId="0" borderId="0" xfId="2343" applyFont="1" applyFill="1" applyAlignment="1">
      <alignment horizontal="left"/>
    </xf>
    <xf numFmtId="167" fontId="6" fillId="0" borderId="0" xfId="2343" applyFont="1"/>
    <xf numFmtId="43" fontId="6" fillId="0" borderId="0" xfId="144" applyFont="1"/>
    <xf numFmtId="0" fontId="154" fillId="0" borderId="0" xfId="2344" applyFont="1"/>
    <xf numFmtId="167" fontId="6" fillId="40" borderId="0" xfId="2343" applyFont="1" applyFill="1"/>
    <xf numFmtId="43" fontId="6" fillId="40" borderId="0" xfId="144" applyFont="1" applyFill="1"/>
    <xf numFmtId="0" fontId="6" fillId="0" borderId="0" xfId="2343" applyNumberFormat="1" applyFont="1" applyBorder="1"/>
    <xf numFmtId="167" fontId="6" fillId="0" borderId="0" xfId="2343" applyFont="1" applyBorder="1"/>
    <xf numFmtId="167" fontId="6" fillId="0" borderId="0" xfId="2343" applyFont="1" applyBorder="1" applyAlignment="1">
      <alignment horizontal="left"/>
    </xf>
    <xf numFmtId="43" fontId="6" fillId="0" borderId="0" xfId="144" applyFont="1" applyBorder="1" applyAlignment="1">
      <alignment horizontal="left"/>
    </xf>
    <xf numFmtId="167" fontId="6" fillId="0" borderId="0" xfId="2343" applyFont="1" applyBorder="1" applyAlignment="1">
      <alignment horizontal="center"/>
    </xf>
    <xf numFmtId="167" fontId="6" fillId="0" borderId="0" xfId="2343" applyFont="1" applyFill="1" applyBorder="1" applyAlignment="1">
      <alignment horizontal="left"/>
    </xf>
    <xf numFmtId="167" fontId="172" fillId="0" borderId="52" xfId="2343" applyFont="1" applyBorder="1"/>
    <xf numFmtId="0" fontId="6" fillId="0" borderId="52" xfId="2343" applyNumberFormat="1" applyFont="1" applyBorder="1"/>
    <xf numFmtId="167" fontId="6" fillId="0" borderId="52" xfId="2343" applyFont="1" applyBorder="1"/>
    <xf numFmtId="167" fontId="6" fillId="0" borderId="52" xfId="2343" applyFont="1" applyBorder="1" applyAlignment="1">
      <alignment horizontal="left"/>
    </xf>
    <xf numFmtId="43" fontId="6" fillId="0" borderId="52" xfId="144" applyFont="1" applyBorder="1" applyAlignment="1">
      <alignment horizontal="left"/>
    </xf>
    <xf numFmtId="167" fontId="6" fillId="0" borderId="52" xfId="2343" applyFont="1" applyBorder="1" applyAlignment="1">
      <alignment horizontal="center"/>
    </xf>
    <xf numFmtId="167" fontId="6" fillId="0" borderId="52" xfId="2343" applyFont="1" applyFill="1" applyBorder="1" applyAlignment="1">
      <alignment horizontal="left"/>
    </xf>
    <xf numFmtId="167" fontId="6" fillId="0" borderId="5" xfId="2343" applyFont="1" applyBorder="1"/>
    <xf numFmtId="0" fontId="6" fillId="0" borderId="6" xfId="2343" applyNumberFormat="1" applyFont="1" applyBorder="1"/>
    <xf numFmtId="4" fontId="6" fillId="0" borderId="6" xfId="2343" applyNumberFormat="1" applyFont="1" applyBorder="1"/>
    <xf numFmtId="167" fontId="6" fillId="0" borderId="6" xfId="2343" applyFont="1" applyBorder="1" applyAlignment="1">
      <alignment horizontal="left"/>
    </xf>
    <xf numFmtId="167" fontId="6" fillId="7" borderId="6" xfId="2343" applyFont="1" applyFill="1" applyBorder="1" applyAlignment="1">
      <alignment horizontal="left"/>
    </xf>
    <xf numFmtId="43" fontId="6" fillId="7" borderId="6" xfId="144" applyFont="1" applyFill="1" applyBorder="1" applyAlignment="1">
      <alignment horizontal="left"/>
    </xf>
    <xf numFmtId="167" fontId="6" fillId="7" borderId="6" xfId="2343" applyFont="1" applyFill="1" applyBorder="1" applyAlignment="1">
      <alignment horizontal="center"/>
    </xf>
    <xf numFmtId="167" fontId="6" fillId="0" borderId="101" xfId="2343" applyFont="1" applyFill="1" applyBorder="1" applyAlignment="1">
      <alignment horizontal="left"/>
    </xf>
    <xf numFmtId="14" fontId="6" fillId="0" borderId="0" xfId="2343" applyNumberFormat="1" applyFont="1" applyFill="1" applyAlignment="1">
      <alignment horizontal="center"/>
    </xf>
    <xf numFmtId="43" fontId="6" fillId="0" borderId="0" xfId="144" applyFont="1" applyFill="1" applyAlignment="1">
      <alignment horizontal="center"/>
    </xf>
    <xf numFmtId="167" fontId="5" fillId="0" borderId="102" xfId="2343" applyFont="1" applyBorder="1" applyAlignment="1">
      <alignment horizontal="center"/>
    </xf>
    <xf numFmtId="0" fontId="5" fillId="0" borderId="103" xfId="2343" applyNumberFormat="1" applyFont="1" applyBorder="1" applyAlignment="1">
      <alignment horizontal="center"/>
    </xf>
    <xf numFmtId="167" fontId="5" fillId="0" borderId="103" xfId="2343" applyFont="1" applyBorder="1" applyAlignment="1">
      <alignment horizontal="center"/>
    </xf>
    <xf numFmtId="167" fontId="5" fillId="7" borderId="52" xfId="2343" applyFont="1" applyFill="1" applyBorder="1" applyAlignment="1">
      <alignment horizontal="center" wrapText="1"/>
    </xf>
    <xf numFmtId="167" fontId="5" fillId="7" borderId="52" xfId="2343" applyFont="1" applyFill="1" applyBorder="1" applyAlignment="1">
      <alignment horizontal="center"/>
    </xf>
    <xf numFmtId="43" fontId="5" fillId="7" borderId="52" xfId="144" applyFont="1" applyFill="1" applyBorder="1" applyAlignment="1">
      <alignment horizontal="center" wrapText="1"/>
    </xf>
    <xf numFmtId="167" fontId="5" fillId="0" borderId="10" xfId="2343" applyFont="1" applyFill="1" applyBorder="1" applyAlignment="1">
      <alignment horizontal="center" wrapText="1"/>
    </xf>
    <xf numFmtId="43" fontId="5" fillId="40" borderId="1" xfId="144" applyFont="1" applyFill="1" applyBorder="1" applyAlignment="1">
      <alignment horizontal="center" wrapText="1"/>
    </xf>
    <xf numFmtId="43" fontId="5" fillId="41" borderId="0" xfId="144" applyFont="1" applyFill="1" applyBorder="1" applyAlignment="1">
      <alignment horizontal="center" wrapText="1"/>
    </xf>
    <xf numFmtId="167" fontId="5" fillId="0" borderId="7" xfId="2343" applyFont="1" applyBorder="1" applyAlignment="1">
      <alignment horizontal="center"/>
    </xf>
    <xf numFmtId="0" fontId="5" fillId="0" borderId="0" xfId="2343" applyNumberFormat="1" applyFont="1" applyBorder="1" applyAlignment="1">
      <alignment horizontal="center"/>
    </xf>
    <xf numFmtId="167" fontId="5" fillId="0" borderId="0" xfId="2343" applyFont="1" applyBorder="1" applyAlignment="1">
      <alignment horizontal="center"/>
    </xf>
    <xf numFmtId="167" fontId="5" fillId="7" borderId="0" xfId="2343" applyFont="1" applyFill="1" applyBorder="1" applyAlignment="1">
      <alignment horizontal="center"/>
    </xf>
    <xf numFmtId="43" fontId="5" fillId="7" borderId="0" xfId="144" applyFont="1" applyFill="1" applyBorder="1" applyAlignment="1">
      <alignment horizontal="center"/>
    </xf>
    <xf numFmtId="167" fontId="5" fillId="0" borderId="8" xfId="2343" applyFont="1" applyFill="1" applyBorder="1" applyAlignment="1">
      <alignment horizontal="center" wrapText="1"/>
    </xf>
    <xf numFmtId="167" fontId="5" fillId="87" borderId="104" xfId="2343" applyFont="1" applyFill="1" applyBorder="1" applyAlignment="1">
      <alignment horizontal="centerContinuous"/>
    </xf>
    <xf numFmtId="0" fontId="5" fillId="87" borderId="105" xfId="2343" applyNumberFormat="1" applyFont="1" applyFill="1" applyBorder="1" applyAlignment="1">
      <alignment horizontal="center"/>
    </xf>
    <xf numFmtId="167" fontId="6" fillId="87" borderId="105" xfId="2343" applyFont="1" applyFill="1" applyBorder="1" applyAlignment="1">
      <alignment horizontal="centerContinuous"/>
    </xf>
    <xf numFmtId="167" fontId="6" fillId="87" borderId="105" xfId="2343" applyFont="1" applyFill="1" applyBorder="1" applyAlignment="1">
      <alignment horizontal="left"/>
    </xf>
    <xf numFmtId="167" fontId="5" fillId="88" borderId="7" xfId="2343" applyFont="1" applyFill="1" applyBorder="1" applyAlignment="1">
      <alignment horizontal="left"/>
    </xf>
    <xf numFmtId="0" fontId="6" fillId="88" borderId="0" xfId="2343" applyNumberFormat="1" applyFont="1" applyFill="1" applyBorder="1" applyAlignment="1">
      <alignment horizontal="right"/>
    </xf>
    <xf numFmtId="167" fontId="6" fillId="88" borderId="0" xfId="2343" applyFont="1" applyFill="1" applyBorder="1"/>
    <xf numFmtId="167" fontId="5" fillId="88" borderId="0" xfId="2343" applyFont="1" applyFill="1" applyBorder="1" applyAlignment="1">
      <alignment horizontal="center"/>
    </xf>
    <xf numFmtId="164" fontId="6" fillId="7" borderId="0" xfId="144" applyNumberFormat="1" applyFont="1" applyFill="1" applyBorder="1"/>
    <xf numFmtId="43" fontId="6" fillId="7" borderId="0" xfId="144" applyFont="1" applyFill="1" applyBorder="1"/>
    <xf numFmtId="164" fontId="6" fillId="7" borderId="0" xfId="144" applyNumberFormat="1" applyFont="1" applyFill="1" applyBorder="1" applyAlignment="1">
      <alignment horizontal="center"/>
    </xf>
    <xf numFmtId="164" fontId="6" fillId="0" borderId="8" xfId="144" applyNumberFormat="1" applyFont="1" applyFill="1" applyBorder="1"/>
    <xf numFmtId="43" fontId="5" fillId="0" borderId="1" xfId="144" applyFont="1" applyBorder="1" applyAlignment="1">
      <alignment horizontal="center" wrapText="1"/>
    </xf>
    <xf numFmtId="43" fontId="5" fillId="0" borderId="0" xfId="144" applyFont="1" applyBorder="1" applyAlignment="1">
      <alignment horizontal="center" wrapText="1"/>
    </xf>
    <xf numFmtId="167" fontId="5" fillId="0" borderId="7" xfId="2343" applyFont="1" applyFill="1" applyBorder="1" applyAlignment="1">
      <alignment horizontal="center"/>
    </xf>
    <xf numFmtId="0" fontId="82" fillId="0" borderId="0" xfId="2345" applyFont="1" applyBorder="1"/>
    <xf numFmtId="167" fontId="5" fillId="0" borderId="0" xfId="2343" applyFont="1" applyFill="1" applyBorder="1" applyAlignment="1">
      <alignment horizontal="center"/>
    </xf>
    <xf numFmtId="166" fontId="6" fillId="7" borderId="0" xfId="8" applyNumberFormat="1" applyFont="1" applyFill="1" applyBorder="1"/>
    <xf numFmtId="44" fontId="6" fillId="7" borderId="0" xfId="189" applyFont="1" applyFill="1" applyBorder="1" applyAlignment="1">
      <alignment horizontal="center"/>
    </xf>
    <xf numFmtId="44" fontId="6" fillId="7" borderId="0" xfId="189" applyFont="1" applyFill="1" applyBorder="1"/>
    <xf numFmtId="0" fontId="6" fillId="0" borderId="0" xfId="7" applyNumberFormat="1" applyFont="1" applyFill="1" applyBorder="1"/>
    <xf numFmtId="0" fontId="82" fillId="0" borderId="0" xfId="2345" applyFont="1" applyFill="1" applyBorder="1"/>
    <xf numFmtId="0" fontId="6" fillId="0" borderId="0" xfId="2343" applyNumberFormat="1" applyFont="1" applyFill="1" applyBorder="1" applyAlignment="1">
      <alignment horizontal="right"/>
    </xf>
    <xf numFmtId="167" fontId="6" fillId="0" borderId="0" xfId="2343" applyFont="1" applyFill="1" applyBorder="1"/>
    <xf numFmtId="167" fontId="9" fillId="0" borderId="0" xfId="2343" applyFont="1" applyFill="1" applyBorder="1"/>
    <xf numFmtId="164" fontId="6" fillId="7" borderId="65" xfId="144" applyNumberFormat="1" applyFont="1" applyFill="1" applyBorder="1"/>
    <xf numFmtId="164" fontId="6" fillId="0" borderId="106" xfId="144" applyNumberFormat="1" applyFont="1" applyFill="1" applyBorder="1"/>
    <xf numFmtId="164" fontId="6" fillId="0" borderId="0" xfId="144" applyNumberFormat="1" applyFont="1" applyFill="1" applyBorder="1"/>
    <xf numFmtId="0" fontId="6" fillId="0" borderId="0" xfId="2343" applyNumberFormat="1" applyFont="1" applyFill="1" applyBorder="1" applyAlignment="1">
      <alignment horizontal="left"/>
    </xf>
    <xf numFmtId="167" fontId="5" fillId="0" borderId="0" xfId="2343" applyFont="1" applyFill="1" applyBorder="1"/>
    <xf numFmtId="167" fontId="9" fillId="88" borderId="0" xfId="2343" applyFont="1" applyFill="1" applyBorder="1"/>
    <xf numFmtId="167" fontId="5" fillId="0" borderId="7" xfId="2343" applyFont="1" applyFill="1" applyBorder="1" applyAlignment="1">
      <alignment horizontal="left"/>
    </xf>
    <xf numFmtId="9" fontId="6" fillId="7" borderId="0" xfId="1234" applyFont="1" applyFill="1" applyBorder="1" applyAlignment="1">
      <alignment horizontal="center"/>
    </xf>
    <xf numFmtId="43" fontId="6" fillId="7" borderId="0" xfId="144" applyNumberFormat="1" applyFont="1" applyFill="1" applyBorder="1"/>
    <xf numFmtId="43" fontId="6" fillId="0" borderId="0" xfId="144" applyFont="1" applyFill="1"/>
    <xf numFmtId="0" fontId="6" fillId="0" borderId="0" xfId="2343" applyNumberFormat="1" applyFont="1" applyFill="1" applyBorder="1" applyAlignment="1">
      <alignment horizontal="center"/>
    </xf>
    <xf numFmtId="167" fontId="6" fillId="0" borderId="0" xfId="2343" applyFont="1" applyFill="1" applyBorder="1" applyAlignment="1">
      <alignment horizontal="center"/>
    </xf>
    <xf numFmtId="164" fontId="6" fillId="7" borderId="65" xfId="144" applyNumberFormat="1" applyFont="1" applyFill="1" applyBorder="1" applyAlignment="1">
      <alignment horizontal="center"/>
    </xf>
    <xf numFmtId="164" fontId="6" fillId="0" borderId="65" xfId="144" applyNumberFormat="1" applyFont="1" applyFill="1" applyBorder="1"/>
    <xf numFmtId="167" fontId="9" fillId="0" borderId="0" xfId="2343" applyFont="1" applyBorder="1" applyAlignment="1">
      <alignment horizontal="left"/>
    </xf>
    <xf numFmtId="167" fontId="6" fillId="0" borderId="0" xfId="2343" applyFont="1" applyFill="1"/>
    <xf numFmtId="43" fontId="6" fillId="0" borderId="0" xfId="144" applyFont="1" applyFill="1" applyBorder="1"/>
    <xf numFmtId="164" fontId="6" fillId="0" borderId="0" xfId="144" applyNumberFormat="1" applyFont="1" applyFill="1" applyBorder="1" applyAlignment="1">
      <alignment horizontal="center"/>
    </xf>
    <xf numFmtId="167" fontId="5" fillId="87" borderId="104" xfId="2343" applyFont="1" applyFill="1" applyBorder="1" applyAlignment="1">
      <alignment horizontal="left"/>
    </xf>
    <xf numFmtId="0" fontId="5" fillId="87" borderId="105" xfId="2343" applyNumberFormat="1" applyFont="1" applyFill="1" applyBorder="1" applyAlignment="1">
      <alignment horizontal="left"/>
    </xf>
    <xf numFmtId="43" fontId="6" fillId="7" borderId="65" xfId="144" applyFont="1" applyFill="1" applyBorder="1"/>
    <xf numFmtId="43" fontId="88" fillId="0" borderId="0" xfId="144" applyFont="1"/>
    <xf numFmtId="167" fontId="88" fillId="0" borderId="0" xfId="2343" applyFont="1"/>
    <xf numFmtId="0" fontId="6" fillId="0" borderId="0" xfId="7" quotePrefix="1" applyNumberFormat="1" applyFont="1" applyBorder="1"/>
    <xf numFmtId="167" fontId="6" fillId="87" borderId="107" xfId="2343" applyFont="1" applyFill="1" applyBorder="1" applyAlignment="1">
      <alignment horizontal="centerContinuous"/>
    </xf>
    <xf numFmtId="0" fontId="6" fillId="87" borderId="108" xfId="2343" applyNumberFormat="1" applyFont="1" applyFill="1" applyBorder="1" applyAlignment="1">
      <alignment horizontal="center"/>
    </xf>
    <xf numFmtId="167" fontId="5" fillId="87" borderId="108" xfId="2343" applyFont="1" applyFill="1" applyBorder="1" applyAlignment="1">
      <alignment horizontal="centerContinuous"/>
    </xf>
    <xf numFmtId="167" fontId="6" fillId="87" borderId="108" xfId="2343" applyFont="1" applyFill="1" applyBorder="1" applyAlignment="1">
      <alignment horizontal="left"/>
    </xf>
    <xf numFmtId="43" fontId="6" fillId="7" borderId="65" xfId="144" applyFont="1" applyFill="1" applyBorder="1" applyAlignment="1">
      <alignment horizontal="center"/>
    </xf>
    <xf numFmtId="164" fontId="6" fillId="0" borderId="106" xfId="144" applyNumberFormat="1" applyFont="1" applyFill="1" applyBorder="1" applyAlignment="1">
      <alignment horizontal="center" wrapText="1"/>
    </xf>
    <xf numFmtId="164" fontId="6" fillId="0" borderId="0" xfId="144" applyNumberFormat="1" applyFont="1" applyFill="1" applyBorder="1" applyAlignment="1">
      <alignment horizontal="center" wrapText="1"/>
    </xf>
    <xf numFmtId="167" fontId="5" fillId="0" borderId="9" xfId="2343" applyFont="1" applyBorder="1" applyAlignment="1">
      <alignment horizontal="center"/>
    </xf>
    <xf numFmtId="0" fontId="5" fillId="0" borderId="52" xfId="2343" applyNumberFormat="1" applyFont="1" applyBorder="1" applyAlignment="1">
      <alignment horizontal="center"/>
    </xf>
    <xf numFmtId="167" fontId="5" fillId="0" borderId="52" xfId="2343" applyFont="1" applyBorder="1" applyAlignment="1">
      <alignment horizontal="center"/>
    </xf>
    <xf numFmtId="43" fontId="5" fillId="7" borderId="52" xfId="144" applyFont="1" applyFill="1" applyBorder="1" applyAlignment="1">
      <alignment horizontal="center"/>
    </xf>
    <xf numFmtId="43" fontId="5" fillId="0" borderId="10" xfId="144" applyFont="1" applyFill="1" applyBorder="1" applyAlignment="1">
      <alignment horizontal="center" wrapText="1"/>
    </xf>
    <xf numFmtId="167" fontId="6" fillId="89" borderId="0" xfId="2343" applyFont="1" applyFill="1" applyAlignment="1">
      <alignment horizontal="left"/>
    </xf>
    <xf numFmtId="43" fontId="6" fillId="89" borderId="0" xfId="144" applyFont="1" applyFill="1" applyAlignment="1">
      <alignment horizontal="left"/>
    </xf>
    <xf numFmtId="167" fontId="6" fillId="89" borderId="0" xfId="2343" applyFont="1" applyFill="1" applyAlignment="1">
      <alignment horizontal="center"/>
    </xf>
    <xf numFmtId="167" fontId="5" fillId="90" borderId="65" xfId="2343" applyFont="1" applyFill="1" applyBorder="1"/>
    <xf numFmtId="0" fontId="5" fillId="90" borderId="65" xfId="2343" applyNumberFormat="1" applyFont="1" applyFill="1" applyBorder="1"/>
    <xf numFmtId="167" fontId="5" fillId="90" borderId="65" xfId="2343" applyFont="1" applyFill="1" applyBorder="1" applyAlignment="1">
      <alignment horizontal="right"/>
    </xf>
    <xf numFmtId="167" fontId="5" fillId="90" borderId="65" xfId="2343" applyFont="1" applyFill="1" applyBorder="1" applyAlignment="1">
      <alignment horizontal="left"/>
    </xf>
    <xf numFmtId="43" fontId="5" fillId="90" borderId="65" xfId="144" applyFont="1" applyFill="1" applyBorder="1" applyAlignment="1">
      <alignment horizontal="left"/>
    </xf>
    <xf numFmtId="167" fontId="5" fillId="90" borderId="65" xfId="2343" applyFont="1" applyFill="1" applyBorder="1" applyAlignment="1">
      <alignment horizontal="center"/>
    </xf>
    <xf numFmtId="171" fontId="5" fillId="90" borderId="65" xfId="189" applyNumberFormat="1" applyFont="1" applyFill="1" applyBorder="1" applyAlignment="1">
      <alignment horizontal="left"/>
    </xf>
    <xf numFmtId="167" fontId="6" fillId="0" borderId="0" xfId="2343" applyFont="1" applyAlignment="1">
      <alignment horizontal="right"/>
    </xf>
    <xf numFmtId="171" fontId="6" fillId="40" borderId="0" xfId="189" applyNumberFormat="1" applyFont="1" applyFill="1" applyAlignment="1">
      <alignment horizontal="left"/>
    </xf>
    <xf numFmtId="171" fontId="6" fillId="0" borderId="0" xfId="189" applyNumberFormat="1" applyFont="1" applyFill="1" applyAlignment="1">
      <alignment horizontal="left"/>
    </xf>
    <xf numFmtId="164" fontId="5" fillId="0" borderId="1" xfId="144" applyNumberFormat="1" applyFont="1" applyFill="1" applyBorder="1" applyAlignment="1">
      <alignment horizontal="center"/>
    </xf>
    <xf numFmtId="164" fontId="6" fillId="91" borderId="0" xfId="144" applyNumberFormat="1" applyFont="1" applyFill="1" applyBorder="1"/>
    <xf numFmtId="0" fontId="6" fillId="0" borderId="0" xfId="6" quotePrefix="1" applyFont="1" applyAlignment="1">
      <alignment horizontal="right"/>
    </xf>
    <xf numFmtId="0" fontId="6" fillId="0" borderId="0" xfId="6" quotePrefix="1" applyFont="1" applyBorder="1" applyAlignment="1">
      <alignment horizontal="left"/>
    </xf>
    <xf numFmtId="43" fontId="6" fillId="0" borderId="0" xfId="144" quotePrefix="1" applyFont="1" applyBorder="1" applyAlignment="1">
      <alignment horizontal="left"/>
    </xf>
    <xf numFmtId="0" fontId="6" fillId="0" borderId="0" xfId="6" quotePrefix="1" applyFont="1" applyBorder="1" applyAlignment="1">
      <alignment horizontal="center"/>
    </xf>
    <xf numFmtId="0" fontId="6" fillId="0" borderId="0" xfId="6" applyFont="1" applyAlignment="1">
      <alignment horizontal="right"/>
    </xf>
    <xf numFmtId="164" fontId="6" fillId="91" borderId="1" xfId="144" applyNumberFormat="1" applyFont="1" applyFill="1" applyBorder="1"/>
    <xf numFmtId="0" fontId="6" fillId="0" borderId="0" xfId="6" quotePrefix="1" applyFont="1" applyAlignment="1">
      <alignment horizontal="left"/>
    </xf>
    <xf numFmtId="164" fontId="6" fillId="0" borderId="0" xfId="144" quotePrefix="1" applyNumberFormat="1" applyFont="1" applyFill="1" applyBorder="1" applyAlignment="1">
      <alignment horizontal="left"/>
    </xf>
    <xf numFmtId="0" fontId="6" fillId="0" borderId="0" xfId="6" applyFont="1" applyBorder="1" applyAlignment="1">
      <alignment horizontal="left"/>
    </xf>
    <xf numFmtId="0" fontId="6" fillId="0" borderId="0" xfId="6" applyFont="1" applyBorder="1" applyAlignment="1">
      <alignment horizontal="center"/>
    </xf>
    <xf numFmtId="164" fontId="6" fillId="0" borderId="1" xfId="144" applyNumberFormat="1" applyFont="1" applyBorder="1"/>
    <xf numFmtId="167" fontId="5" fillId="5" borderId="65" xfId="2343" applyFont="1" applyFill="1" applyBorder="1"/>
    <xf numFmtId="0" fontId="5" fillId="5" borderId="65" xfId="2343" applyNumberFormat="1" applyFont="1" applyFill="1" applyBorder="1"/>
    <xf numFmtId="167" fontId="5" fillId="5" borderId="65" xfId="2343" applyFont="1" applyFill="1" applyBorder="1" applyAlignment="1">
      <alignment horizontal="right"/>
    </xf>
    <xf numFmtId="167" fontId="5" fillId="5" borderId="65" xfId="2343" applyFont="1" applyFill="1" applyBorder="1" applyAlignment="1">
      <alignment horizontal="left"/>
    </xf>
    <xf numFmtId="43" fontId="5" fillId="5" borderId="65" xfId="144" applyFont="1" applyFill="1" applyBorder="1" applyAlignment="1">
      <alignment horizontal="left"/>
    </xf>
    <xf numFmtId="167" fontId="5" fillId="5" borderId="65" xfId="2343" applyFont="1" applyFill="1" applyBorder="1" applyAlignment="1">
      <alignment horizontal="center"/>
    </xf>
    <xf numFmtId="164" fontId="5" fillId="5" borderId="65" xfId="144" applyNumberFormat="1" applyFont="1" applyFill="1" applyBorder="1" applyAlignment="1">
      <alignment horizontal="right"/>
    </xf>
    <xf numFmtId="0" fontId="6" fillId="0" borderId="0" xfId="6" applyFont="1" applyAlignment="1">
      <alignment horizontal="left"/>
    </xf>
    <xf numFmtId="167" fontId="6" fillId="78" borderId="65" xfId="2343" applyFont="1" applyFill="1" applyBorder="1"/>
    <xf numFmtId="0" fontId="6" fillId="78" borderId="65" xfId="2343" applyNumberFormat="1" applyFont="1" applyFill="1" applyBorder="1"/>
    <xf numFmtId="167" fontId="5" fillId="78" borderId="65" xfId="2343" applyFont="1" applyFill="1" applyBorder="1" applyAlignment="1">
      <alignment horizontal="center"/>
    </xf>
    <xf numFmtId="167" fontId="6" fillId="78" borderId="65" xfId="2343" applyFont="1" applyFill="1" applyBorder="1" applyAlignment="1">
      <alignment horizontal="left"/>
    </xf>
    <xf numFmtId="43" fontId="6" fillId="78" borderId="65" xfId="144" applyFont="1" applyFill="1" applyBorder="1" applyAlignment="1">
      <alignment horizontal="left"/>
    </xf>
    <xf numFmtId="167" fontId="6" fillId="78" borderId="65" xfId="2343" applyFont="1" applyFill="1" applyBorder="1" applyAlignment="1">
      <alignment horizontal="center"/>
    </xf>
    <xf numFmtId="171" fontId="5" fillId="78" borderId="65" xfId="189" applyNumberFormat="1" applyFont="1" applyFill="1" applyBorder="1" applyAlignment="1">
      <alignment horizontal="left"/>
    </xf>
    <xf numFmtId="167" fontId="5" fillId="0" borderId="65" xfId="2343" applyFont="1" applyFill="1" applyBorder="1" applyAlignment="1">
      <alignment horizontal="left"/>
    </xf>
    <xf numFmtId="0" fontId="6" fillId="0" borderId="0" xfId="6" quotePrefix="1" applyNumberFormat="1" applyFont="1" applyAlignment="1">
      <alignment horizontal="right"/>
    </xf>
    <xf numFmtId="43" fontId="6" fillId="0" borderId="0" xfId="144" quotePrefix="1" applyFont="1" applyAlignment="1">
      <alignment horizontal="left"/>
    </xf>
    <xf numFmtId="0" fontId="6" fillId="0" borderId="0" xfId="6" quotePrefix="1" applyFont="1" applyAlignment="1">
      <alignment horizontal="center"/>
    </xf>
    <xf numFmtId="0" fontId="6" fillId="0" borderId="0" xfId="6" quotePrefix="1" applyFont="1" applyFill="1" applyAlignment="1">
      <alignment horizontal="left"/>
    </xf>
    <xf numFmtId="0" fontId="6" fillId="0" borderId="0" xfId="6" quotePrefix="1" applyNumberFormat="1" applyFont="1" applyAlignment="1">
      <alignment horizontal="left"/>
    </xf>
    <xf numFmtId="0" fontId="6" fillId="0" borderId="0" xfId="6" applyFont="1" applyAlignment="1">
      <alignment horizontal="center"/>
    </xf>
    <xf numFmtId="0" fontId="6" fillId="0" borderId="0" xfId="6" applyFont="1" applyFill="1" applyAlignment="1">
      <alignment horizontal="left"/>
    </xf>
    <xf numFmtId="167" fontId="6" fillId="78" borderId="0" xfId="2343" applyFont="1" applyFill="1"/>
    <xf numFmtId="0" fontId="6" fillId="0" borderId="0" xfId="2343" applyNumberFormat="1" applyFont="1" applyFill="1"/>
    <xf numFmtId="167" fontId="5" fillId="0" borderId="0" xfId="2343" applyFont="1" applyFill="1"/>
    <xf numFmtId="43" fontId="6" fillId="0" borderId="0" xfId="144" applyFont="1" applyFill="1" applyAlignment="1">
      <alignment horizontal="left"/>
    </xf>
    <xf numFmtId="167" fontId="6" fillId="0" borderId="0" xfId="2343" applyFont="1" applyFill="1" applyAlignment="1">
      <alignment horizontal="center"/>
    </xf>
    <xf numFmtId="167" fontId="173" fillId="0" borderId="0" xfId="2343" applyFont="1" applyAlignment="1">
      <alignment horizontal="right"/>
    </xf>
    <xf numFmtId="0" fontId="6" fillId="0" borderId="0" xfId="2343" applyNumberFormat="1" applyFont="1" applyAlignment="1">
      <alignment horizontal="center"/>
    </xf>
    <xf numFmtId="164" fontId="162" fillId="0" borderId="0" xfId="144" quotePrefix="1" applyNumberFormat="1" applyFont="1" applyFill="1" applyBorder="1" applyAlignment="1">
      <alignment horizontal="right"/>
    </xf>
    <xf numFmtId="43" fontId="5" fillId="0" borderId="0" xfId="144" applyFont="1" applyFill="1"/>
    <xf numFmtId="10" fontId="5" fillId="0" borderId="0" xfId="8" applyNumberFormat="1" applyFont="1" applyFill="1"/>
    <xf numFmtId="167" fontId="161" fillId="0" borderId="0" xfId="2343" applyFont="1" applyFill="1"/>
    <xf numFmtId="167" fontId="161" fillId="0" borderId="0" xfId="2343" applyFont="1" applyAlignment="1">
      <alignment horizontal="right"/>
    </xf>
    <xf numFmtId="0" fontId="179" fillId="0" borderId="0" xfId="0" applyFont="1" applyAlignment="1">
      <alignment horizontal="center"/>
    </xf>
    <xf numFmtId="0" fontId="4" fillId="0" borderId="1" xfId="0" applyFont="1" applyBorder="1" applyAlignment="1">
      <alignment horizontal="center" wrapText="1"/>
    </xf>
    <xf numFmtId="1" fontId="28" fillId="0" borderId="0" xfId="7" applyNumberFormat="1" applyFont="1" applyFill="1" applyBorder="1" applyAlignment="1">
      <alignment horizontal="right"/>
    </xf>
    <xf numFmtId="0" fontId="170" fillId="0" borderId="0" xfId="7" applyFont="1" applyBorder="1" applyAlignment="1">
      <alignment horizontal="right"/>
    </xf>
    <xf numFmtId="0" fontId="28" fillId="0" borderId="0" xfId="7" applyFont="1" applyBorder="1" applyAlignment="1">
      <alignment horizontal="right"/>
    </xf>
    <xf numFmtId="1" fontId="28" fillId="8" borderId="0" xfId="7" applyNumberFormat="1" applyFont="1" applyFill="1" applyBorder="1" applyAlignment="1">
      <alignment horizontal="right"/>
    </xf>
    <xf numFmtId="0" fontId="180" fillId="0" borderId="0" xfId="419" applyFont="1"/>
    <xf numFmtId="0" fontId="3" fillId="0" borderId="0" xfId="0" applyFont="1"/>
    <xf numFmtId="0" fontId="3" fillId="0" borderId="0" xfId="0" applyFont="1" applyAlignment="1">
      <alignment horizontal="right"/>
    </xf>
    <xf numFmtId="0" fontId="3" fillId="0" borderId="0" xfId="0" applyFont="1" applyFill="1" applyAlignment="1">
      <alignment horizontal="right"/>
    </xf>
    <xf numFmtId="0" fontId="170" fillId="0" borderId="0" xfId="27" applyFont="1" applyBorder="1"/>
    <xf numFmtId="0" fontId="28" fillId="0" borderId="0" xfId="27" applyFont="1" applyBorder="1"/>
    <xf numFmtId="0" fontId="28" fillId="0" borderId="0" xfId="27" applyNumberFormat="1" applyFont="1" applyBorder="1"/>
    <xf numFmtId="3" fontId="28" fillId="0" borderId="0" xfId="27" applyNumberFormat="1" applyFont="1" applyBorder="1"/>
    <xf numFmtId="0" fontId="28" fillId="7" borderId="0" xfId="27" applyFont="1" applyFill="1" applyBorder="1"/>
    <xf numFmtId="0" fontId="28" fillId="7" borderId="0" xfId="27" applyNumberFormat="1" applyFont="1" applyFill="1" applyBorder="1"/>
    <xf numFmtId="3" fontId="28" fillId="0" borderId="0" xfId="27" applyNumberFormat="1" applyFont="1" applyFill="1" applyBorder="1"/>
    <xf numFmtId="3" fontId="170" fillId="0" borderId="1" xfId="27" applyNumberFormat="1" applyFont="1" applyFill="1" applyBorder="1" applyAlignment="1">
      <alignment horizontal="center" wrapText="1"/>
    </xf>
    <xf numFmtId="164" fontId="28" fillId="0" borderId="0" xfId="1" applyNumberFormat="1" applyFont="1" applyFill="1" applyBorder="1"/>
    <xf numFmtId="3" fontId="182" fillId="0" borderId="0" xfId="27" applyNumberFormat="1" applyFont="1" applyFill="1" applyBorder="1"/>
    <xf numFmtId="3" fontId="28" fillId="0" borderId="1" xfId="27" applyNumberFormat="1" applyFont="1" applyFill="1" applyBorder="1"/>
    <xf numFmtId="3" fontId="183" fillId="0" borderId="0" xfId="27" applyNumberFormat="1" applyFont="1" applyFill="1" applyBorder="1"/>
    <xf numFmtId="37" fontId="28" fillId="0" borderId="0" xfId="27" applyNumberFormat="1" applyFont="1" applyBorder="1"/>
    <xf numFmtId="0" fontId="170" fillId="0" borderId="0" xfId="27" applyFont="1" applyFill="1" applyBorder="1"/>
    <xf numFmtId="0" fontId="170" fillId="0" borderId="0" xfId="27" applyFont="1" applyFill="1" applyBorder="1" applyAlignment="1">
      <alignment horizontal="center"/>
    </xf>
    <xf numFmtId="0" fontId="28" fillId="0" borderId="0" xfId="27" applyFont="1" applyFill="1" applyBorder="1"/>
    <xf numFmtId="0" fontId="28" fillId="0" borderId="0" xfId="27" applyNumberFormat="1" applyFont="1" applyFill="1" applyBorder="1"/>
    <xf numFmtId="5" fontId="28" fillId="0" borderId="0" xfId="27" applyNumberFormat="1" applyFont="1" applyFill="1" applyBorder="1"/>
    <xf numFmtId="44" fontId="28" fillId="0" borderId="0" xfId="27" applyNumberFormat="1" applyFont="1" applyFill="1" applyBorder="1"/>
    <xf numFmtId="42" fontId="28" fillId="0" borderId="0" xfId="27" applyNumberFormat="1" applyFont="1" applyFill="1" applyBorder="1"/>
    <xf numFmtId="37" fontId="28" fillId="0" borderId="0" xfId="27" applyNumberFormat="1" applyFont="1" applyFill="1" applyBorder="1"/>
    <xf numFmtId="42" fontId="170" fillId="0" borderId="0" xfId="27" applyNumberFormat="1" applyFont="1" applyFill="1" applyBorder="1"/>
    <xf numFmtId="164" fontId="28" fillId="0" borderId="0" xfId="1" applyNumberFormat="1" applyFont="1" applyBorder="1"/>
    <xf numFmtId="164" fontId="170" fillId="0" borderId="0" xfId="1" applyNumberFormat="1" applyFont="1" applyFill="1" applyBorder="1"/>
    <xf numFmtId="164" fontId="170" fillId="0" borderId="0" xfId="1" applyNumberFormat="1" applyFont="1" applyBorder="1"/>
    <xf numFmtId="3" fontId="170" fillId="0" borderId="0" xfId="27" applyNumberFormat="1" applyFont="1" applyFill="1" applyBorder="1"/>
    <xf numFmtId="0" fontId="170" fillId="0" borderId="0" xfId="27" quotePrefix="1" applyFont="1" applyFill="1" applyBorder="1"/>
    <xf numFmtId="0" fontId="89" fillId="0" borderId="0" xfId="27" quotePrefix="1" applyFont="1" applyFill="1" applyBorder="1"/>
    <xf numFmtId="0" fontId="170" fillId="0" borderId="0" xfId="27" applyFont="1" applyBorder="1" applyAlignment="1">
      <alignment horizontal="center"/>
    </xf>
    <xf numFmtId="0" fontId="170" fillId="0" borderId="0" xfId="27" applyNumberFormat="1" applyFont="1" applyBorder="1"/>
    <xf numFmtId="43" fontId="28" fillId="0" borderId="0" xfId="1" applyFont="1" applyBorder="1"/>
    <xf numFmtId="0" fontId="182" fillId="0" borderId="0" xfId="27" applyFont="1" applyBorder="1"/>
    <xf numFmtId="0" fontId="182" fillId="0" borderId="0" xfId="27" applyFont="1" applyBorder="1" applyAlignment="1">
      <alignment horizontal="center"/>
    </xf>
    <xf numFmtId="164" fontId="28" fillId="0" borderId="0" xfId="27" applyNumberFormat="1" applyFont="1" applyBorder="1" applyAlignment="1">
      <alignment horizontal="center"/>
    </xf>
    <xf numFmtId="9" fontId="28" fillId="0" borderId="0" xfId="3" applyFont="1" applyBorder="1"/>
    <xf numFmtId="164" fontId="28" fillId="0" borderId="1" xfId="1" applyNumberFormat="1" applyFont="1" applyBorder="1"/>
    <xf numFmtId="164" fontId="28" fillId="0" borderId="1" xfId="27" applyNumberFormat="1" applyFont="1" applyBorder="1"/>
    <xf numFmtId="0" fontId="170" fillId="0" borderId="0" xfId="27" applyFont="1" applyBorder="1" applyAlignment="1">
      <alignment horizontal="right"/>
    </xf>
    <xf numFmtId="0" fontId="170" fillId="0" borderId="0" xfId="7" applyFont="1" applyBorder="1"/>
    <xf numFmtId="3" fontId="79" fillId="0" borderId="0" xfId="7" applyNumberFormat="1" applyFont="1" applyBorder="1"/>
    <xf numFmtId="0" fontId="28" fillId="0" borderId="0" xfId="7" applyFont="1" applyBorder="1"/>
    <xf numFmtId="3" fontId="28" fillId="40" borderId="0" xfId="7" applyNumberFormat="1" applyFont="1" applyFill="1" applyBorder="1"/>
    <xf numFmtId="0" fontId="28" fillId="0" borderId="0" xfId="7" applyNumberFormat="1" applyFont="1" applyBorder="1"/>
    <xf numFmtId="3" fontId="28" fillId="0" borderId="0" xfId="7" applyNumberFormat="1" applyFont="1" applyBorder="1"/>
    <xf numFmtId="3" fontId="170" fillId="0" borderId="0" xfId="7" applyNumberFormat="1" applyFont="1" applyBorder="1"/>
    <xf numFmtId="37" fontId="170" fillId="40" borderId="0" xfId="7" applyNumberFormat="1" applyFont="1" applyFill="1" applyBorder="1" applyAlignment="1">
      <alignment horizontal="right"/>
    </xf>
    <xf numFmtId="37" fontId="170" fillId="0" borderId="0" xfId="7" applyNumberFormat="1" applyFont="1" applyBorder="1" applyAlignment="1">
      <alignment horizontal="right"/>
    </xf>
    <xf numFmtId="0" fontId="89" fillId="0" borderId="0" xfId="27" quotePrefix="1" applyFont="1" applyFill="1" applyBorder="1" applyAlignment="1">
      <alignment horizontal="left"/>
    </xf>
    <xf numFmtId="0" fontId="170" fillId="0" borderId="0" xfId="27" quotePrefix="1" applyFont="1" applyFill="1" applyBorder="1" applyAlignment="1">
      <alignment horizontal="left"/>
    </xf>
    <xf numFmtId="43" fontId="28" fillId="0" borderId="0" xfId="1" applyFont="1" applyFill="1" applyBorder="1"/>
    <xf numFmtId="10" fontId="28" fillId="40" borderId="0" xfId="27" applyNumberFormat="1" applyFont="1" applyFill="1" applyBorder="1" applyAlignment="1">
      <alignment horizontal="center"/>
    </xf>
    <xf numFmtId="0" fontId="28" fillId="0" borderId="0" xfId="27" applyFont="1" applyFill="1" applyBorder="1" applyAlignment="1">
      <alignment horizontal="center"/>
    </xf>
    <xf numFmtId="10" fontId="28" fillId="0" borderId="0" xfId="7" applyNumberFormat="1" applyFont="1" applyBorder="1"/>
    <xf numFmtId="0" fontId="28" fillId="7" borderId="0" xfId="7" applyFont="1" applyFill="1" applyBorder="1"/>
    <xf numFmtId="3" fontId="28" fillId="7" borderId="0" xfId="7" applyNumberFormat="1" applyFont="1" applyFill="1" applyBorder="1"/>
    <xf numFmtId="0" fontId="184" fillId="0" borderId="0" xfId="27" applyFont="1" applyBorder="1"/>
    <xf numFmtId="3" fontId="170" fillId="0" borderId="0" xfId="27" applyNumberFormat="1" applyFont="1" applyFill="1" applyBorder="1" applyAlignment="1">
      <alignment horizontal="center" wrapText="1"/>
    </xf>
    <xf numFmtId="164" fontId="28" fillId="0" borderId="1" xfId="1" applyNumberFormat="1" applyFont="1" applyFill="1" applyBorder="1"/>
    <xf numFmtId="10" fontId="28" fillId="0" borderId="0" xfId="3" applyNumberFormat="1" applyFont="1" applyFill="1" applyBorder="1"/>
    <xf numFmtId="164" fontId="28" fillId="0" borderId="81" xfId="1" applyNumberFormat="1" applyFont="1" applyFill="1" applyBorder="1"/>
    <xf numFmtId="167" fontId="5" fillId="47" borderId="0" xfId="2343" applyFont="1" applyFill="1" applyBorder="1" applyAlignment="1">
      <alignment horizontal="center"/>
    </xf>
    <xf numFmtId="0" fontId="0" fillId="0" borderId="0" xfId="0" applyFont="1"/>
    <xf numFmtId="0" fontId="0" fillId="0" borderId="0" xfId="0" applyFont="1" applyBorder="1"/>
    <xf numFmtId="0" fontId="182" fillId="0" borderId="0" xfId="27" applyFont="1" applyFill="1" applyBorder="1"/>
    <xf numFmtId="0" fontId="170" fillId="0" borderId="0" xfId="27" applyFont="1" applyFill="1" applyBorder="1" applyAlignment="1">
      <alignment horizontal="right" wrapText="1"/>
    </xf>
    <xf numFmtId="0" fontId="7" fillId="38" borderId="0" xfId="27" applyFill="1"/>
    <xf numFmtId="0" fontId="7" fillId="0" borderId="123" xfId="27" applyBorder="1"/>
    <xf numFmtId="184" fontId="0" fillId="0" borderId="0" xfId="144" applyNumberFormat="1" applyFont="1"/>
    <xf numFmtId="0" fontId="7" fillId="0" borderId="27" xfId="27" applyBorder="1"/>
    <xf numFmtId="0" fontId="22" fillId="0" borderId="27" xfId="27" applyFont="1" applyBorder="1"/>
    <xf numFmtId="184" fontId="22" fillId="0" borderId="0" xfId="144" applyNumberFormat="1" applyFont="1"/>
    <xf numFmtId="43" fontId="7" fillId="0" borderId="0" xfId="27" applyNumberFormat="1" applyFill="1" applyBorder="1"/>
    <xf numFmtId="43" fontId="7" fillId="0" borderId="0" xfId="27" applyNumberFormat="1" applyBorder="1"/>
    <xf numFmtId="44" fontId="7" fillId="0" borderId="27" xfId="27" applyNumberFormat="1" applyBorder="1"/>
    <xf numFmtId="44" fontId="7" fillId="0" borderId="0" xfId="27" applyNumberFormat="1" applyFont="1" applyAlignment="1">
      <alignment horizontal="right"/>
    </xf>
    <xf numFmtId="44" fontId="0" fillId="0" borderId="0" xfId="144" applyNumberFormat="1" applyFont="1" applyFill="1" applyBorder="1"/>
    <xf numFmtId="43" fontId="0" fillId="0" borderId="0" xfId="144" applyFont="1" applyFill="1" applyBorder="1"/>
    <xf numFmtId="44" fontId="7" fillId="0" borderId="0" xfId="27" applyNumberFormat="1" applyBorder="1"/>
    <xf numFmtId="2" fontId="7" fillId="0" borderId="0" xfId="27" applyNumberFormat="1"/>
    <xf numFmtId="0" fontId="83" fillId="45" borderId="31" xfId="27" applyNumberFormat="1" applyFont="1" applyFill="1" applyBorder="1" applyAlignment="1">
      <alignment horizontal="center"/>
    </xf>
    <xf numFmtId="0" fontId="83" fillId="45" borderId="41" xfId="27" applyNumberFormat="1" applyFont="1" applyFill="1" applyBorder="1" applyAlignment="1">
      <alignment horizontal="center"/>
    </xf>
    <xf numFmtId="0" fontId="83" fillId="45" borderId="35" xfId="27" applyNumberFormat="1" applyFont="1" applyFill="1" applyBorder="1" applyAlignment="1">
      <alignment horizontal="center"/>
    </xf>
    <xf numFmtId="0" fontId="83" fillId="45" borderId="42" xfId="27" applyFont="1" applyFill="1" applyBorder="1" applyAlignment="1">
      <alignment horizontal="center"/>
    </xf>
    <xf numFmtId="186" fontId="7" fillId="0" borderId="0" xfId="27" applyNumberFormat="1"/>
    <xf numFmtId="187" fontId="7" fillId="0" borderId="0" xfId="27" applyNumberFormat="1"/>
    <xf numFmtId="0" fontId="7" fillId="0" borderId="56" xfId="27" applyBorder="1"/>
    <xf numFmtId="0" fontId="7" fillId="0" borderId="1" xfId="27" applyBorder="1"/>
    <xf numFmtId="44" fontId="22" fillId="0" borderId="27" xfId="27" applyNumberFormat="1" applyFont="1" applyBorder="1"/>
    <xf numFmtId="44" fontId="22" fillId="0" borderId="0" xfId="27" applyNumberFormat="1" applyFont="1" applyBorder="1"/>
    <xf numFmtId="10" fontId="0" fillId="0" borderId="0" xfId="1234" applyNumberFormat="1" applyFont="1"/>
    <xf numFmtId="44" fontId="22" fillId="0" borderId="0" xfId="8274" applyFont="1" applyBorder="1"/>
    <xf numFmtId="44" fontId="22" fillId="0" borderId="0" xfId="27" applyNumberFormat="1" applyFont="1"/>
    <xf numFmtId="43" fontId="0" fillId="0" borderId="0" xfId="144" applyNumberFormat="1" applyFont="1"/>
    <xf numFmtId="43" fontId="0" fillId="0" borderId="0" xfId="557" applyFont="1"/>
    <xf numFmtId="188" fontId="0" fillId="0" borderId="0" xfId="144" applyNumberFormat="1" applyFont="1"/>
    <xf numFmtId="0" fontId="22" fillId="0" borderId="124" xfId="27" applyFont="1" applyBorder="1" applyAlignment="1">
      <alignment horizontal="left"/>
    </xf>
    <xf numFmtId="44" fontId="7" fillId="0" borderId="123" xfId="27" applyNumberFormat="1" applyBorder="1"/>
    <xf numFmtId="0" fontId="7" fillId="0" borderId="27" xfId="27" applyFont="1" applyBorder="1" applyAlignment="1">
      <alignment horizontal="right"/>
    </xf>
    <xf numFmtId="0" fontId="22" fillId="0" borderId="27" xfId="27" applyFont="1" applyBorder="1" applyAlignment="1">
      <alignment horizontal="left"/>
    </xf>
    <xf numFmtId="0" fontId="170" fillId="0" borderId="1" xfId="27" applyFont="1" applyFill="1" applyBorder="1" applyAlignment="1">
      <alignment horizontal="center"/>
    </xf>
    <xf numFmtId="0" fontId="170" fillId="0" borderId="1" xfId="27" applyFont="1" applyFill="1" applyBorder="1" applyAlignment="1">
      <alignment horizontal="center" wrapText="1"/>
    </xf>
    <xf numFmtId="7" fontId="28" fillId="0" borderId="0" xfId="27" applyNumberFormat="1" applyFont="1" applyFill="1" applyBorder="1"/>
    <xf numFmtId="7" fontId="28" fillId="0" borderId="0" xfId="27" applyNumberFormat="1" applyFont="1" applyFill="1" applyBorder="1" applyAlignment="1">
      <alignment horizontal="right"/>
    </xf>
    <xf numFmtId="164" fontId="28" fillId="0" borderId="0" xfId="27" applyNumberFormat="1" applyFont="1" applyFill="1" applyBorder="1" applyAlignment="1">
      <alignment horizontal="center"/>
    </xf>
    <xf numFmtId="0" fontId="170" fillId="0" borderId="97" xfId="27" applyFont="1" applyFill="1" applyBorder="1" applyAlignment="1">
      <alignment horizontal="right"/>
    </xf>
    <xf numFmtId="42" fontId="170" fillId="0" borderId="97" xfId="27" applyNumberFormat="1" applyFont="1" applyFill="1" applyBorder="1"/>
    <xf numFmtId="171" fontId="170" fillId="0" borderId="97" xfId="2" applyNumberFormat="1" applyFont="1" applyFill="1" applyBorder="1"/>
    <xf numFmtId="0" fontId="189" fillId="0" borderId="0" xfId="27" applyNumberFormat="1" applyFont="1" applyFill="1" applyBorder="1"/>
    <xf numFmtId="0" fontId="190" fillId="0" borderId="0" xfId="840" applyFont="1" applyFill="1"/>
    <xf numFmtId="0" fontId="191" fillId="0" borderId="0" xfId="840" applyFont="1" applyFill="1"/>
    <xf numFmtId="0" fontId="191" fillId="0" borderId="0" xfId="840" applyFont="1" applyFill="1" applyAlignment="1">
      <alignment horizontal="center"/>
    </xf>
    <xf numFmtId="0" fontId="191" fillId="0" borderId="0" xfId="840" applyFont="1"/>
    <xf numFmtId="0" fontId="191" fillId="0" borderId="0" xfId="840" applyFont="1" applyBorder="1"/>
    <xf numFmtId="44" fontId="191" fillId="0" borderId="0" xfId="840" applyNumberFormat="1" applyFont="1" applyFill="1"/>
    <xf numFmtId="44" fontId="191" fillId="0" borderId="0" xfId="840" applyNumberFormat="1" applyFont="1" applyFill="1" applyBorder="1"/>
    <xf numFmtId="164" fontId="191" fillId="0" borderId="0" xfId="840" applyNumberFormat="1" applyFont="1"/>
    <xf numFmtId="0" fontId="191" fillId="0" borderId="0" xfId="840" applyFont="1" applyFill="1" applyBorder="1"/>
    <xf numFmtId="0" fontId="190" fillId="0" borderId="0" xfId="840" applyFont="1" applyFill="1" applyAlignment="1">
      <alignment horizontal="center" wrapText="1"/>
    </xf>
    <xf numFmtId="0" fontId="191" fillId="0" borderId="0" xfId="840" applyFont="1" applyFill="1" applyAlignment="1"/>
    <xf numFmtId="0" fontId="190" fillId="0" borderId="0" xfId="840" applyFont="1" applyFill="1" applyAlignment="1">
      <alignment horizontal="center"/>
    </xf>
    <xf numFmtId="17" fontId="190" fillId="0" borderId="0" xfId="840" applyNumberFormat="1" applyFont="1" applyFill="1" applyAlignment="1">
      <alignment horizontal="center" wrapText="1"/>
    </xf>
    <xf numFmtId="17" fontId="190" fillId="41" borderId="0" xfId="840" applyNumberFormat="1" applyFont="1" applyFill="1" applyAlignment="1">
      <alignment horizontal="center" wrapText="1"/>
    </xf>
    <xf numFmtId="0" fontId="190" fillId="0" borderId="0" xfId="840" applyFont="1" applyFill="1" applyBorder="1" applyAlignment="1">
      <alignment horizontal="center" wrapText="1"/>
    </xf>
    <xf numFmtId="0" fontId="191" fillId="41" borderId="0" xfId="840" applyFont="1" applyFill="1"/>
    <xf numFmtId="0" fontId="192" fillId="0" borderId="0" xfId="840" applyFont="1" applyFill="1" applyAlignment="1">
      <alignment horizontal="left"/>
    </xf>
    <xf numFmtId="0" fontId="192" fillId="0" borderId="0" xfId="840" applyFont="1" applyFill="1" applyAlignment="1">
      <alignment horizontal="center"/>
    </xf>
    <xf numFmtId="0" fontId="193" fillId="0" borderId="0" xfId="840" applyFont="1" applyFill="1" applyAlignment="1">
      <alignment horizontal="center"/>
    </xf>
    <xf numFmtId="0" fontId="193" fillId="41" borderId="0" xfId="840" applyFont="1" applyFill="1" applyAlignment="1">
      <alignment horizontal="center"/>
    </xf>
    <xf numFmtId="0" fontId="193" fillId="0" borderId="0" xfId="840" applyFont="1" applyFill="1" applyBorder="1" applyAlignment="1">
      <alignment horizontal="center"/>
    </xf>
    <xf numFmtId="0" fontId="194" fillId="0" borderId="0" xfId="21448" applyFont="1"/>
    <xf numFmtId="0" fontId="190" fillId="0" borderId="0" xfId="840" applyFont="1" applyFill="1" applyAlignment="1">
      <alignment horizontal="left"/>
    </xf>
    <xf numFmtId="43" fontId="191" fillId="0" borderId="0" xfId="146" applyFont="1" applyFill="1"/>
    <xf numFmtId="164" fontId="191" fillId="0" borderId="0" xfId="146" applyNumberFormat="1" applyFont="1" applyBorder="1"/>
    <xf numFmtId="164" fontId="191" fillId="0" borderId="0" xfId="146" applyNumberFormat="1" applyFont="1" applyFill="1"/>
    <xf numFmtId="164" fontId="191" fillId="41" borderId="0" xfId="840" applyNumberFormat="1" applyFont="1" applyFill="1"/>
    <xf numFmtId="43" fontId="191" fillId="0" borderId="0" xfId="146" applyFont="1" applyFill="1" applyBorder="1"/>
    <xf numFmtId="164" fontId="191" fillId="0" borderId="0" xfId="146" applyNumberFormat="1" applyFont="1"/>
    <xf numFmtId="0" fontId="190" fillId="0" borderId="0" xfId="840" applyFont="1" applyFill="1" applyBorder="1" applyAlignment="1">
      <alignment horizontal="right"/>
    </xf>
    <xf numFmtId="44" fontId="195" fillId="0" borderId="0" xfId="697" applyFont="1" applyFill="1" applyBorder="1"/>
    <xf numFmtId="43" fontId="191" fillId="0" borderId="114" xfId="146" applyFont="1" applyFill="1" applyBorder="1"/>
    <xf numFmtId="164" fontId="191" fillId="0" borderId="114" xfId="146" applyNumberFormat="1" applyFont="1" applyFill="1" applyBorder="1"/>
    <xf numFmtId="171" fontId="190" fillId="0" borderId="0" xfId="697" applyNumberFormat="1" applyFont="1" applyFill="1" applyBorder="1"/>
    <xf numFmtId="164" fontId="191" fillId="0" borderId="123" xfId="146" applyNumberFormat="1" applyFont="1" applyFill="1" applyBorder="1"/>
    <xf numFmtId="164" fontId="191" fillId="0" borderId="0" xfId="146" applyNumberFormat="1" applyFont="1" applyFill="1" applyBorder="1"/>
    <xf numFmtId="164" fontId="190" fillId="0" borderId="0" xfId="146" applyNumberFormat="1" applyFont="1" applyFill="1"/>
    <xf numFmtId="0" fontId="190" fillId="0" borderId="0" xfId="840" applyFont="1" applyFill="1" applyBorder="1"/>
    <xf numFmtId="164" fontId="191" fillId="0" borderId="114" xfId="840" applyNumberFormat="1" applyFont="1" applyBorder="1"/>
    <xf numFmtId="164" fontId="191" fillId="0" borderId="114" xfId="840" applyNumberFormat="1" applyFont="1" applyFill="1" applyBorder="1"/>
    <xf numFmtId="0" fontId="190" fillId="0" borderId="0" xfId="840" applyFont="1"/>
    <xf numFmtId="164" fontId="191" fillId="0" borderId="0" xfId="840" applyNumberFormat="1" applyFont="1" applyBorder="1"/>
    <xf numFmtId="43" fontId="191" fillId="0" borderId="0" xfId="840" applyNumberFormat="1" applyFont="1" applyBorder="1"/>
    <xf numFmtId="164" fontId="190" fillId="0" borderId="0" xfId="840" applyNumberFormat="1" applyFont="1" applyBorder="1"/>
    <xf numFmtId="0" fontId="190" fillId="41" borderId="0" xfId="840" applyFont="1" applyFill="1"/>
    <xf numFmtId="0" fontId="190" fillId="0" borderId="97" xfId="840" applyFont="1" applyFill="1" applyBorder="1"/>
    <xf numFmtId="0" fontId="190" fillId="0" borderId="97" xfId="840" applyFont="1" applyFill="1" applyBorder="1" applyAlignment="1">
      <alignment horizontal="center"/>
    </xf>
    <xf numFmtId="43" fontId="191" fillId="0" borderId="97" xfId="146" applyFont="1" applyFill="1" applyBorder="1"/>
    <xf numFmtId="164" fontId="190" fillId="0" borderId="97" xfId="146" applyNumberFormat="1" applyFont="1" applyFill="1" applyBorder="1"/>
    <xf numFmtId="164" fontId="191" fillId="0" borderId="97" xfId="146" applyNumberFormat="1" applyFont="1" applyBorder="1"/>
    <xf numFmtId="164" fontId="191" fillId="0" borderId="97" xfId="146" applyNumberFormat="1" applyFont="1" applyFill="1" applyBorder="1"/>
    <xf numFmtId="0" fontId="190" fillId="41" borderId="97" xfId="840" applyFont="1" applyFill="1" applyBorder="1"/>
    <xf numFmtId="43" fontId="190" fillId="0" borderId="0" xfId="146" applyFont="1" applyFill="1"/>
    <xf numFmtId="164" fontId="190" fillId="0" borderId="0" xfId="146" applyNumberFormat="1" applyFont="1" applyFill="1" applyBorder="1"/>
    <xf numFmtId="0" fontId="190" fillId="0" borderId="0" xfId="840" applyFont="1" applyFill="1" applyAlignment="1">
      <alignment horizontal="right"/>
    </xf>
    <xf numFmtId="164" fontId="190" fillId="0" borderId="0" xfId="146" applyNumberFormat="1" applyFont="1" applyFill="1" applyBorder="1" applyAlignment="1">
      <alignment horizontal="right"/>
    </xf>
    <xf numFmtId="0" fontId="193" fillId="0" borderId="0" xfId="840" applyFont="1" applyBorder="1" applyAlignment="1">
      <alignment horizontal="center"/>
    </xf>
    <xf numFmtId="164" fontId="191" fillId="0" borderId="0" xfId="840" applyNumberFormat="1" applyFont="1" applyFill="1"/>
    <xf numFmtId="0" fontId="57" fillId="0" borderId="0" xfId="840" applyAlignment="1">
      <alignment horizontal="left" indent="1"/>
    </xf>
    <xf numFmtId="0" fontId="191" fillId="0" borderId="0" xfId="840" applyFont="1" applyFill="1" applyBorder="1" applyAlignment="1">
      <alignment horizontal="center"/>
    </xf>
    <xf numFmtId="0" fontId="190" fillId="0" borderId="97" xfId="840" applyFont="1" applyBorder="1"/>
    <xf numFmtId="171" fontId="190" fillId="0" borderId="0" xfId="840" applyNumberFormat="1" applyFont="1" applyFill="1" applyBorder="1"/>
    <xf numFmtId="171" fontId="190" fillId="0" borderId="0" xfId="840" applyNumberFormat="1" applyFont="1" applyFill="1" applyBorder="1" applyAlignment="1">
      <alignment horizontal="right"/>
    </xf>
    <xf numFmtId="44" fontId="191" fillId="0" borderId="0" xfId="697" applyFont="1" applyFill="1"/>
    <xf numFmtId="44" fontId="191" fillId="0" borderId="0" xfId="697" applyFont="1" applyFill="1" applyBorder="1"/>
    <xf numFmtId="43" fontId="191" fillId="0" borderId="0" xfId="840" applyNumberFormat="1" applyFont="1"/>
    <xf numFmtId="43" fontId="191" fillId="0" borderId="0" xfId="840" applyNumberFormat="1" applyFont="1" applyFill="1" applyAlignment="1">
      <alignment horizontal="center"/>
    </xf>
    <xf numFmtId="0" fontId="191" fillId="42" borderId="0" xfId="840" applyFont="1" applyFill="1"/>
    <xf numFmtId="0" fontId="191" fillId="42" borderId="0" xfId="840" applyFont="1" applyFill="1" applyBorder="1"/>
    <xf numFmtId="0" fontId="191" fillId="42" borderId="0" xfId="840" applyFont="1" applyFill="1" applyAlignment="1">
      <alignment horizontal="center"/>
    </xf>
    <xf numFmtId="43" fontId="191" fillId="42" borderId="0" xfId="146" applyFont="1" applyFill="1"/>
    <xf numFmtId="43" fontId="191" fillId="42" borderId="0" xfId="840" applyNumberFormat="1" applyFont="1" applyFill="1" applyAlignment="1">
      <alignment horizontal="center"/>
    </xf>
    <xf numFmtId="43" fontId="191" fillId="0" borderId="0" xfId="146" applyNumberFormat="1" applyFont="1" applyFill="1"/>
    <xf numFmtId="43" fontId="190" fillId="0" borderId="114" xfId="840" applyNumberFormat="1" applyFont="1" applyFill="1" applyBorder="1"/>
    <xf numFmtId="164" fontId="190" fillId="0" borderId="0" xfId="146" applyNumberFormat="1" applyFont="1" applyFill="1" applyAlignment="1">
      <alignment horizontal="right"/>
    </xf>
    <xf numFmtId="164" fontId="190" fillId="41" borderId="0" xfId="146" applyNumberFormat="1" applyFont="1" applyFill="1" applyAlignment="1">
      <alignment horizontal="right"/>
    </xf>
    <xf numFmtId="164" fontId="191" fillId="41" borderId="0" xfId="146" applyNumberFormat="1" applyFont="1" applyFill="1"/>
    <xf numFmtId="0" fontId="190" fillId="0" borderId="4" xfId="840" applyFont="1" applyBorder="1"/>
    <xf numFmtId="0" fontId="190" fillId="0" borderId="4" xfId="840" applyFont="1" applyFill="1" applyBorder="1"/>
    <xf numFmtId="0" fontId="190" fillId="0" borderId="4" xfId="840" applyFont="1" applyFill="1" applyBorder="1" applyAlignment="1">
      <alignment horizontal="center"/>
    </xf>
    <xf numFmtId="43" fontId="191" fillId="0" borderId="4" xfId="146" applyFont="1" applyFill="1" applyBorder="1"/>
    <xf numFmtId="43" fontId="190" fillId="0" borderId="4" xfId="840" applyNumberFormat="1" applyFont="1" applyFill="1" applyBorder="1"/>
    <xf numFmtId="43" fontId="190" fillId="0" borderId="0" xfId="840" applyNumberFormat="1" applyFont="1" applyFill="1" applyAlignment="1">
      <alignment horizontal="right"/>
    </xf>
    <xf numFmtId="164" fontId="190" fillId="0" borderId="0" xfId="146" applyNumberFormat="1" applyFont="1" applyBorder="1" applyAlignment="1">
      <alignment horizontal="right"/>
    </xf>
    <xf numFmtId="0" fontId="57" fillId="0" borderId="0" xfId="840"/>
    <xf numFmtId="171" fontId="190" fillId="0" borderId="114" xfId="697" applyNumberFormat="1" applyFont="1" applyFill="1" applyBorder="1"/>
    <xf numFmtId="44" fontId="191" fillId="41" borderId="0" xfId="697" applyFont="1" applyFill="1"/>
    <xf numFmtId="171" fontId="190" fillId="41" borderId="0" xfId="697" applyNumberFormat="1" applyFont="1" applyFill="1" applyBorder="1"/>
    <xf numFmtId="43" fontId="191" fillId="95" borderId="0" xfId="146" applyFont="1" applyFill="1"/>
    <xf numFmtId="43" fontId="190" fillId="0" borderId="114" xfId="146" applyFont="1" applyFill="1" applyBorder="1"/>
    <xf numFmtId="164" fontId="190" fillId="41" borderId="0" xfId="146" applyNumberFormat="1" applyFont="1" applyFill="1"/>
    <xf numFmtId="44" fontId="191" fillId="0" borderId="0" xfId="840" applyNumberFormat="1" applyFont="1" applyFill="1" applyAlignment="1">
      <alignment horizontal="center"/>
    </xf>
    <xf numFmtId="0" fontId="193" fillId="0" borderId="0" xfId="840" applyFont="1" applyAlignment="1">
      <alignment horizontal="center"/>
    </xf>
    <xf numFmtId="164" fontId="195" fillId="41" borderId="0" xfId="146" applyNumberFormat="1" applyFont="1" applyFill="1" applyBorder="1"/>
    <xf numFmtId="164" fontId="195" fillId="0" borderId="0" xfId="146" applyNumberFormat="1" applyFont="1" applyFill="1" applyBorder="1"/>
    <xf numFmtId="44" fontId="191" fillId="0" borderId="0" xfId="840" applyNumberFormat="1" applyFont="1"/>
    <xf numFmtId="44" fontId="191" fillId="41" borderId="0" xfId="840" applyNumberFormat="1" applyFont="1" applyFill="1"/>
    <xf numFmtId="164" fontId="190" fillId="96" borderId="0" xfId="146" applyNumberFormat="1" applyFont="1" applyFill="1" applyAlignment="1">
      <alignment horizontal="right"/>
    </xf>
    <xf numFmtId="164" fontId="190" fillId="0" borderId="0" xfId="146" applyNumberFormat="1" applyFont="1" applyAlignment="1">
      <alignment horizontal="right"/>
    </xf>
    <xf numFmtId="164" fontId="190" fillId="0" borderId="0" xfId="146" applyNumberFormat="1" applyFont="1"/>
    <xf numFmtId="43" fontId="191" fillId="0" borderId="0" xfId="840" applyNumberFormat="1" applyFont="1" applyFill="1"/>
    <xf numFmtId="171" fontId="191" fillId="0" borderId="0" xfId="840" applyNumberFormat="1" applyFont="1"/>
    <xf numFmtId="44" fontId="191" fillId="0" borderId="0" xfId="840" applyNumberFormat="1" applyFont="1" applyBorder="1"/>
    <xf numFmtId="43" fontId="191" fillId="0" borderId="114" xfId="146" applyNumberFormat="1" applyFont="1" applyFill="1" applyBorder="1"/>
    <xf numFmtId="164" fontId="191" fillId="41" borderId="114" xfId="146" applyNumberFormat="1" applyFont="1" applyFill="1" applyBorder="1"/>
    <xf numFmtId="44" fontId="191" fillId="9" borderId="0" xfId="840" applyNumberFormat="1" applyFont="1" applyFill="1"/>
    <xf numFmtId="0" fontId="191" fillId="9" borderId="0" xfId="840" applyFont="1" applyFill="1"/>
    <xf numFmtId="164" fontId="170" fillId="0" borderId="1" xfId="1" applyNumberFormat="1" applyFont="1" applyFill="1" applyBorder="1"/>
    <xf numFmtId="164" fontId="3" fillId="0" borderId="0" xfId="1" applyNumberFormat="1" applyFont="1" applyFill="1" applyBorder="1"/>
    <xf numFmtId="164" fontId="4" fillId="0" borderId="0" xfId="1" applyNumberFormat="1" applyFont="1" applyFill="1"/>
    <xf numFmtId="164" fontId="3" fillId="0" borderId="1" xfId="1" applyNumberFormat="1" applyFont="1" applyFill="1" applyBorder="1"/>
    <xf numFmtId="164" fontId="28" fillId="0" borderId="0" xfId="1" applyNumberFormat="1" applyFont="1" applyFill="1"/>
    <xf numFmtId="0" fontId="189" fillId="0" borderId="0" xfId="27" applyNumberFormat="1" applyFont="1" applyFill="1" applyBorder="1" applyAlignment="1">
      <alignment horizontal="right"/>
    </xf>
    <xf numFmtId="0" fontId="171" fillId="0" borderId="0" xfId="27" applyNumberFormat="1" applyFont="1" applyFill="1" applyBorder="1"/>
    <xf numFmtId="164" fontId="170" fillId="0" borderId="97" xfId="1" applyNumberFormat="1" applyFont="1" applyFill="1" applyBorder="1"/>
    <xf numFmtId="0" fontId="189" fillId="0" borderId="0" xfId="27" quotePrefix="1" applyFont="1" applyFill="1" applyBorder="1"/>
    <xf numFmtId="0" fontId="196" fillId="0" borderId="0" xfId="27" applyFont="1" applyFill="1" applyBorder="1"/>
    <xf numFmtId="164" fontId="89" fillId="0" borderId="0" xfId="1" quotePrefix="1" applyNumberFormat="1" applyFont="1" applyFill="1" applyBorder="1"/>
    <xf numFmtId="0" fontId="28" fillId="38" borderId="0" xfId="27" applyFont="1" applyFill="1" applyBorder="1"/>
    <xf numFmtId="164" fontId="28" fillId="0" borderId="26" xfId="1" applyNumberFormat="1" applyFont="1" applyBorder="1"/>
    <xf numFmtId="173" fontId="28" fillId="0" borderId="0" xfId="27" applyNumberFormat="1" applyFont="1" applyBorder="1"/>
    <xf numFmtId="0" fontId="197" fillId="0" borderId="0" xfId="27" quotePrefix="1" applyFont="1" applyBorder="1"/>
    <xf numFmtId="44" fontId="28" fillId="0" borderId="0" xfId="27" applyNumberFormat="1" applyFont="1" applyBorder="1"/>
    <xf numFmtId="0" fontId="182" fillId="0" borderId="0" xfId="27" applyFont="1" applyFill="1" applyBorder="1" applyAlignment="1">
      <alignment horizontal="center"/>
    </xf>
    <xf numFmtId="0" fontId="28" fillId="0" borderId="97" xfId="27" applyFont="1" applyFill="1" applyBorder="1"/>
    <xf numFmtId="164" fontId="28" fillId="0" borderId="97" xfId="1" applyNumberFormat="1" applyFont="1" applyFill="1" applyBorder="1"/>
    <xf numFmtId="184" fontId="4" fillId="0" borderId="0" xfId="144" applyNumberFormat="1" applyFont="1"/>
    <xf numFmtId="0" fontId="191" fillId="0" borderId="0" xfId="840" applyFont="1" applyAlignment="1">
      <alignment horizontal="right"/>
    </xf>
    <xf numFmtId="0" fontId="182" fillId="0" borderId="0" xfId="939" applyFont="1" applyAlignment="1"/>
    <xf numFmtId="0" fontId="28" fillId="0" borderId="0" xfId="939" applyFont="1" applyAlignment="1"/>
    <xf numFmtId="0" fontId="170" fillId="0" borderId="0" xfId="939" applyFont="1" applyAlignment="1"/>
    <xf numFmtId="0" fontId="28" fillId="0" borderId="0" xfId="939" applyFont="1" applyFill="1" applyAlignment="1"/>
    <xf numFmtId="0" fontId="28" fillId="0" borderId="0" xfId="939" applyFont="1" applyAlignment="1">
      <alignment horizontal="right"/>
    </xf>
    <xf numFmtId="44" fontId="28" fillId="0" borderId="0" xfId="197" applyFont="1" applyFill="1" applyAlignment="1"/>
    <xf numFmtId="44" fontId="170" fillId="0" borderId="0" xfId="939" applyNumberFormat="1" applyFont="1" applyFill="1" applyBorder="1" applyAlignment="1"/>
    <xf numFmtId="44" fontId="28" fillId="0" borderId="0" xfId="939" applyNumberFormat="1" applyFont="1" applyAlignment="1"/>
    <xf numFmtId="164" fontId="3" fillId="0" borderId="0" xfId="0" applyNumberFormat="1" applyFont="1" applyBorder="1"/>
    <xf numFmtId="3" fontId="3" fillId="0" borderId="0" xfId="0" applyNumberFormat="1" applyFont="1" applyBorder="1"/>
    <xf numFmtId="44" fontId="3" fillId="0" borderId="0" xfId="2" applyFont="1" applyBorder="1"/>
    <xf numFmtId="164" fontId="6" fillId="91" borderId="123" xfId="144" applyNumberFormat="1" applyFont="1" applyFill="1" applyBorder="1"/>
    <xf numFmtId="164" fontId="191" fillId="41" borderId="0" xfId="146" applyNumberFormat="1" applyFont="1" applyFill="1" applyBorder="1"/>
    <xf numFmtId="164" fontId="191" fillId="0" borderId="1" xfId="146" applyNumberFormat="1" applyFont="1" applyFill="1" applyBorder="1"/>
    <xf numFmtId="164" fontId="190" fillId="0" borderId="52" xfId="146" applyNumberFormat="1" applyFont="1" applyFill="1" applyBorder="1"/>
    <xf numFmtId="164" fontId="190" fillId="41" borderId="97" xfId="146" applyNumberFormat="1" applyFont="1" applyFill="1" applyBorder="1"/>
    <xf numFmtId="164" fontId="191" fillId="42" borderId="0" xfId="146" applyNumberFormat="1" applyFont="1" applyFill="1"/>
    <xf numFmtId="164" fontId="190" fillId="0" borderId="114" xfId="840" applyNumberFormat="1" applyFont="1" applyFill="1" applyBorder="1"/>
    <xf numFmtId="164" fontId="190" fillId="0" borderId="0" xfId="840" applyNumberFormat="1" applyFont="1" applyFill="1" applyBorder="1"/>
    <xf numFmtId="164" fontId="190" fillId="0" borderId="0" xfId="840" applyNumberFormat="1" applyFont="1" applyFill="1" applyAlignment="1">
      <alignment horizontal="right"/>
    </xf>
    <xf numFmtId="164" fontId="190" fillId="0" borderId="4" xfId="840" applyNumberFormat="1" applyFont="1" applyFill="1" applyBorder="1"/>
    <xf numFmtId="43" fontId="170" fillId="0" borderId="0" xfId="27" applyNumberFormat="1" applyFont="1" applyFill="1" applyBorder="1" applyAlignment="1">
      <alignment horizontal="center"/>
    </xf>
    <xf numFmtId="43" fontId="158" fillId="0" borderId="0" xfId="3" applyNumberFormat="1" applyFont="1" applyFill="1" applyBorder="1" applyAlignment="1">
      <alignment horizontal="right"/>
    </xf>
    <xf numFmtId="43" fontId="84" fillId="0" borderId="0" xfId="1" applyNumberFormat="1" applyFont="1" applyFill="1" applyBorder="1"/>
    <xf numFmtId="3" fontId="157" fillId="0" borderId="0" xfId="0" applyNumberFormat="1" applyFont="1" applyFill="1" applyBorder="1" applyAlignment="1">
      <alignment horizontal="left"/>
    </xf>
    <xf numFmtId="164" fontId="157" fillId="0" borderId="0" xfId="1" applyNumberFormat="1" applyFont="1" applyFill="1" applyBorder="1" applyAlignment="1">
      <alignment horizontal="left"/>
    </xf>
    <xf numFmtId="41" fontId="84" fillId="0" borderId="0" xfId="0" applyNumberFormat="1" applyFont="1" applyBorder="1"/>
    <xf numFmtId="10" fontId="83" fillId="0" borderId="0" xfId="0" applyNumberFormat="1" applyFont="1" applyBorder="1" applyAlignment="1">
      <alignment horizontal="center"/>
    </xf>
    <xf numFmtId="171" fontId="28" fillId="0" borderId="0" xfId="27" applyNumberFormat="1" applyFont="1" applyBorder="1"/>
    <xf numFmtId="164" fontId="84" fillId="0" borderId="0" xfId="0" applyNumberFormat="1" applyFont="1" applyBorder="1"/>
    <xf numFmtId="171" fontId="28" fillId="0" borderId="0" xfId="27" applyNumberFormat="1" applyFont="1" applyFill="1" applyBorder="1"/>
    <xf numFmtId="0" fontId="170" fillId="0" borderId="97" xfId="7" applyFont="1" applyBorder="1"/>
    <xf numFmtId="10" fontId="170" fillId="0" borderId="97" xfId="7" applyNumberFormat="1" applyFont="1" applyBorder="1"/>
    <xf numFmtId="0" fontId="170" fillId="0" borderId="97" xfId="27" applyFont="1" applyBorder="1"/>
    <xf numFmtId="0" fontId="198" fillId="0" borderId="5" xfId="0" applyFont="1" applyBorder="1"/>
    <xf numFmtId="0" fontId="199" fillId="0" borderId="121" xfId="0" applyFont="1" applyBorder="1" applyAlignment="1"/>
    <xf numFmtId="0" fontId="199" fillId="0" borderId="122" xfId="0" applyFont="1" applyBorder="1" applyAlignment="1">
      <alignment horizontal="center"/>
    </xf>
    <xf numFmtId="0" fontId="199" fillId="0" borderId="7" xfId="0" applyFont="1" applyBorder="1" applyAlignment="1">
      <alignment horizontal="right"/>
    </xf>
    <xf numFmtId="171" fontId="198" fillId="0" borderId="0" xfId="2" applyNumberFormat="1" applyFont="1" applyBorder="1"/>
    <xf numFmtId="10" fontId="199" fillId="0" borderId="0" xfId="20052" applyNumberFormat="1" applyFont="1" applyBorder="1"/>
    <xf numFmtId="9" fontId="199" fillId="0" borderId="8" xfId="20052" applyFont="1" applyBorder="1" applyAlignment="1">
      <alignment horizontal="center"/>
    </xf>
    <xf numFmtId="171" fontId="198" fillId="0" borderId="1" xfId="2" applyNumberFormat="1" applyFont="1" applyBorder="1"/>
    <xf numFmtId="171" fontId="199" fillId="0" borderId="0" xfId="2" applyNumberFormat="1" applyFont="1" applyBorder="1"/>
    <xf numFmtId="0" fontId="198" fillId="0" borderId="0" xfId="0" applyFont="1" applyBorder="1"/>
    <xf numFmtId="0" fontId="198" fillId="0" borderId="8" xfId="0" applyFont="1" applyBorder="1"/>
    <xf numFmtId="0" fontId="198" fillId="0" borderId="9" xfId="0" applyFont="1" applyBorder="1"/>
    <xf numFmtId="0" fontId="198" fillId="0" borderId="2" xfId="0" applyFont="1" applyBorder="1"/>
    <xf numFmtId="0" fontId="198" fillId="0" borderId="10" xfId="0" applyFont="1" applyBorder="1"/>
    <xf numFmtId="0" fontId="0" fillId="0" borderId="5" xfId="0" applyFont="1" applyBorder="1"/>
    <xf numFmtId="0" fontId="199" fillId="0" borderId="6" xfId="0" applyFont="1" applyBorder="1"/>
    <xf numFmtId="0" fontId="0" fillId="0" borderId="101" xfId="0" applyFont="1" applyBorder="1"/>
    <xf numFmtId="42" fontId="198" fillId="0" borderId="0" xfId="0" applyNumberFormat="1" applyFont="1" applyBorder="1"/>
    <xf numFmtId="171" fontId="198" fillId="0" borderId="8" xfId="0" applyNumberFormat="1" applyFont="1" applyBorder="1"/>
    <xf numFmtId="171" fontId="198" fillId="0" borderId="0" xfId="0" applyNumberFormat="1" applyFont="1" applyBorder="1"/>
    <xf numFmtId="0" fontId="198" fillId="0" borderId="7" xfId="0" applyFont="1" applyBorder="1"/>
    <xf numFmtId="0" fontId="199" fillId="0" borderId="9" xfId="0" applyFont="1" applyBorder="1" applyAlignment="1">
      <alignment horizontal="right"/>
    </xf>
    <xf numFmtId="10" fontId="199" fillId="0" borderId="2" xfId="0" applyNumberFormat="1" applyFont="1" applyBorder="1"/>
    <xf numFmtId="10" fontId="199" fillId="0" borderId="10" xfId="63" applyNumberFormat="1" applyFont="1" applyBorder="1"/>
    <xf numFmtId="3" fontId="28" fillId="40" borderId="1" xfId="7" applyNumberFormat="1" applyFont="1" applyFill="1" applyBorder="1"/>
    <xf numFmtId="0" fontId="182" fillId="0" borderId="0" xfId="7" applyFont="1" applyBorder="1"/>
    <xf numFmtId="43" fontId="102" fillId="78" borderId="0" xfId="436" applyNumberFormat="1" applyFill="1"/>
    <xf numFmtId="14" fontId="4" fillId="0" borderId="0" xfId="0" applyNumberFormat="1" applyFont="1" applyAlignment="1">
      <alignment horizontal="left"/>
    </xf>
    <xf numFmtId="14" fontId="4" fillId="0" borderId="0" xfId="0" applyNumberFormat="1" applyFont="1" applyAlignment="1">
      <alignment horizontal="center"/>
    </xf>
    <xf numFmtId="0" fontId="169" fillId="0" borderId="0" xfId="0" applyFont="1"/>
    <xf numFmtId="164" fontId="0" fillId="0" borderId="0" xfId="1" applyNumberFormat="1" applyFont="1"/>
    <xf numFmtId="0" fontId="4" fillId="0" borderId="114" xfId="0" applyFont="1" applyBorder="1"/>
    <xf numFmtId="164" fontId="4" fillId="0" borderId="114" xfId="1" applyNumberFormat="1" applyFont="1" applyBorder="1"/>
    <xf numFmtId="0" fontId="4" fillId="0" borderId="97" xfId="0" applyFont="1" applyBorder="1"/>
    <xf numFmtId="164" fontId="4" fillId="0" borderId="97" xfId="1" applyNumberFormat="1" applyFont="1" applyBorder="1"/>
    <xf numFmtId="0" fontId="0" fillId="0" borderId="0" xfId="0"/>
    <xf numFmtId="9" fontId="0" fillId="0" borderId="0" xfId="3" applyFont="1"/>
    <xf numFmtId="9" fontId="83" fillId="0" borderId="0" xfId="3" applyFont="1" applyFill="1" applyBorder="1"/>
    <xf numFmtId="164" fontId="109" fillId="40" borderId="63" xfId="1" applyNumberFormat="1" applyFont="1" applyFill="1" applyBorder="1" applyAlignment="1">
      <alignment horizontal="left"/>
    </xf>
    <xf numFmtId="41" fontId="102" fillId="78" borderId="0" xfId="436" applyNumberFormat="1" applyFill="1" applyAlignment="1">
      <alignment horizontal="right"/>
    </xf>
    <xf numFmtId="41" fontId="102" fillId="78" borderId="1" xfId="436" applyNumberFormat="1" applyFill="1" applyBorder="1"/>
    <xf numFmtId="10" fontId="102" fillId="78" borderId="0" xfId="436" applyNumberFormat="1" applyFill="1" applyAlignment="1">
      <alignment horizontal="left"/>
    </xf>
    <xf numFmtId="43" fontId="4" fillId="97" borderId="128" xfId="0" applyNumberFormat="1" applyFont="1" applyFill="1" applyBorder="1"/>
    <xf numFmtId="43" fontId="4" fillId="97" borderId="129" xfId="0" applyNumberFormat="1" applyFont="1" applyFill="1" applyBorder="1"/>
    <xf numFmtId="9" fontId="84" fillId="0" borderId="0" xfId="3" applyFont="1" applyFill="1" applyBorder="1"/>
    <xf numFmtId="0" fontId="27" fillId="0" borderId="0" xfId="27" applyFont="1"/>
    <xf numFmtId="0" fontId="7" fillId="0" borderId="0" xfId="27" quotePrefix="1" applyAlignment="1">
      <alignment horizontal="right"/>
    </xf>
    <xf numFmtId="171" fontId="22" fillId="0" borderId="0" xfId="2" applyNumberFormat="1" applyFont="1"/>
    <xf numFmtId="0" fontId="7" fillId="2" borderId="111" xfId="27" applyFont="1" applyFill="1" applyBorder="1" applyAlignment="1">
      <alignment horizontal="centerContinuous"/>
    </xf>
    <xf numFmtId="0" fontId="7" fillId="6" borderId="52" xfId="27" applyFill="1" applyBorder="1" applyAlignment="1">
      <alignment vertical="top"/>
    </xf>
    <xf numFmtId="0" fontId="7" fillId="6" borderId="52" xfId="27" applyFill="1" applyBorder="1" applyAlignment="1">
      <alignment horizontal="center" vertical="top"/>
    </xf>
    <xf numFmtId="0" fontId="7" fillId="6" borderId="52" xfId="27" applyFill="1" applyBorder="1" applyAlignment="1">
      <alignment horizontal="left" vertical="top" wrapText="1"/>
    </xf>
    <xf numFmtId="0" fontId="7" fillId="6" borderId="130" xfId="27" applyFont="1" applyFill="1" applyBorder="1" applyAlignment="1">
      <alignment horizontal="center" vertical="top"/>
    </xf>
    <xf numFmtId="14" fontId="0" fillId="0" borderId="0" xfId="0" applyNumberFormat="1"/>
    <xf numFmtId="0" fontId="7" fillId="0" borderId="0" xfId="272" applyAlignment="1">
      <alignment horizontal="center"/>
    </xf>
    <xf numFmtId="164" fontId="0" fillId="0" borderId="0" xfId="4" applyNumberFormat="1" applyFont="1" applyAlignment="1">
      <alignment horizontal="center"/>
    </xf>
    <xf numFmtId="0" fontId="7" fillId="7" borderId="0" xfId="272" applyFill="1" applyAlignment="1">
      <alignment horizontal="center"/>
    </xf>
    <xf numFmtId="164" fontId="4" fillId="7" borderId="0" xfId="4" quotePrefix="1" applyNumberFormat="1" applyFont="1" applyFill="1" applyAlignment="1">
      <alignment horizontal="center"/>
    </xf>
    <xf numFmtId="164" fontId="22" fillId="7" borderId="0" xfId="4" quotePrefix="1" applyNumberFormat="1" applyFont="1" applyFill="1" applyAlignment="1">
      <alignment horizontal="center"/>
    </xf>
    <xf numFmtId="0" fontId="4" fillId="7" borderId="131" xfId="272" applyFont="1" applyFill="1" applyBorder="1" applyAlignment="1">
      <alignment horizontal="center"/>
    </xf>
    <xf numFmtId="164" fontId="4" fillId="7" borderId="111" xfId="4" applyNumberFormat="1" applyFont="1" applyFill="1" applyBorder="1" applyAlignment="1">
      <alignment horizontal="center" wrapText="1"/>
    </xf>
    <xf numFmtId="164" fontId="4" fillId="7" borderId="131" xfId="4" applyNumberFormat="1" applyFont="1" applyFill="1" applyBorder="1" applyAlignment="1">
      <alignment horizontal="center" wrapText="1"/>
    </xf>
    <xf numFmtId="0" fontId="4" fillId="7" borderId="0" xfId="272" applyFont="1" applyFill="1" applyBorder="1" applyAlignment="1">
      <alignment horizontal="center"/>
    </xf>
    <xf numFmtId="164" fontId="4" fillId="7" borderId="0" xfId="4" applyNumberFormat="1" applyFont="1" applyFill="1" applyBorder="1" applyAlignment="1">
      <alignment horizontal="center" wrapText="1"/>
    </xf>
    <xf numFmtId="0" fontId="16" fillId="0" borderId="0" xfId="6" applyNumberFormat="1" applyFont="1" applyBorder="1"/>
    <xf numFmtId="10" fontId="0" fillId="7" borderId="0" xfId="8" applyNumberFormat="1" applyFont="1" applyFill="1" applyAlignment="1">
      <alignment horizontal="center"/>
    </xf>
    <xf numFmtId="17" fontId="22" fillId="0" borderId="0" xfId="10" applyNumberFormat="1" applyFont="1" applyFill="1" applyBorder="1" applyAlignment="1">
      <alignment horizontal="centerContinuous"/>
    </xf>
    <xf numFmtId="0" fontId="14" fillId="0" borderId="0" xfId="6" applyFont="1" applyBorder="1"/>
    <xf numFmtId="44" fontId="22" fillId="0" borderId="0" xfId="2" applyFont="1" applyFill="1" applyBorder="1"/>
    <xf numFmtId="164" fontId="22" fillId="0" borderId="0" xfId="10" applyNumberFormat="1" applyFont="1" applyFill="1"/>
    <xf numFmtId="9" fontId="0" fillId="7" borderId="57" xfId="3" applyFont="1" applyFill="1" applyBorder="1" applyAlignment="1">
      <alignment horizontal="center"/>
    </xf>
    <xf numFmtId="0" fontId="23" fillId="0" borderId="0" xfId="6" applyFont="1" applyFill="1" applyAlignment="1">
      <alignment horizontal="center"/>
    </xf>
    <xf numFmtId="1" fontId="0" fillId="0" borderId="0" xfId="0" applyNumberFormat="1"/>
    <xf numFmtId="1" fontId="0" fillId="0" borderId="1" xfId="0" applyNumberFormat="1" applyBorder="1"/>
    <xf numFmtId="171" fontId="0" fillId="0" borderId="0" xfId="0" applyNumberFormat="1"/>
    <xf numFmtId="171" fontId="0" fillId="0" borderId="1" xfId="0" applyNumberFormat="1" applyBorder="1"/>
    <xf numFmtId="171" fontId="4" fillId="0" borderId="0" xfId="2" applyNumberFormat="1" applyFont="1"/>
    <xf numFmtId="0" fontId="170" fillId="0" borderId="0" xfId="27" applyFont="1" applyFill="1" applyBorder="1" applyAlignment="1">
      <alignment horizontal="left"/>
    </xf>
    <xf numFmtId="0" fontId="182" fillId="0" borderId="0" xfId="27" applyFont="1" applyFill="1" applyBorder="1" applyAlignment="1">
      <alignment horizontal="left"/>
    </xf>
    <xf numFmtId="164" fontId="3" fillId="40" borderId="0" xfId="1" applyNumberFormat="1" applyFont="1" applyFill="1" applyBorder="1"/>
    <xf numFmtId="0" fontId="179" fillId="0" borderId="0" xfId="0" applyFont="1" applyAlignment="1">
      <alignment horizontal="left"/>
    </xf>
    <xf numFmtId="164" fontId="4" fillId="0" borderId="1" xfId="1" applyNumberFormat="1" applyFont="1" applyFill="1" applyBorder="1"/>
    <xf numFmtId="0" fontId="3" fillId="0" borderId="1" xfId="0" applyFont="1" applyBorder="1"/>
    <xf numFmtId="171" fontId="84" fillId="0" borderId="0" xfId="2" applyNumberFormat="1" applyFont="1" applyBorder="1" applyAlignment="1">
      <alignment horizontal="center"/>
    </xf>
    <xf numFmtId="165" fontId="82" fillId="0" borderId="0" xfId="0" applyNumberFormat="1" applyFont="1" applyFill="1" applyBorder="1" applyAlignment="1">
      <alignment horizontal="right" wrapText="1"/>
    </xf>
    <xf numFmtId="171" fontId="82" fillId="0" borderId="0" xfId="2" applyNumberFormat="1" applyFont="1" applyBorder="1" applyAlignment="1">
      <alignment horizontal="center"/>
    </xf>
    <xf numFmtId="9" fontId="82" fillId="0" borderId="0" xfId="3" applyFont="1" applyBorder="1"/>
    <xf numFmtId="171" fontId="82" fillId="0" borderId="1" xfId="2" applyNumberFormat="1" applyFont="1" applyBorder="1" applyAlignment="1">
      <alignment horizontal="center"/>
    </xf>
    <xf numFmtId="9" fontId="82" fillId="0" borderId="1" xfId="3" applyFont="1" applyBorder="1"/>
    <xf numFmtId="9" fontId="82" fillId="0" borderId="0" xfId="0" applyNumberFormat="1" applyFont="1" applyBorder="1"/>
    <xf numFmtId="0" fontId="85" fillId="0" borderId="0" xfId="0" applyFont="1" applyBorder="1" applyAlignment="1">
      <alignment horizontal="left"/>
    </xf>
    <xf numFmtId="164" fontId="84" fillId="0" borderId="1" xfId="1" applyNumberFormat="1" applyFont="1" applyBorder="1" applyAlignment="1">
      <alignment horizontal="left"/>
    </xf>
    <xf numFmtId="171" fontId="84" fillId="0" borderId="0" xfId="0" applyNumberFormat="1" applyFont="1" applyBorder="1"/>
    <xf numFmtId="164" fontId="0" fillId="0" borderId="0" xfId="1" applyNumberFormat="1" applyFont="1" applyFill="1"/>
    <xf numFmtId="0" fontId="191" fillId="0" borderId="0" xfId="0" applyFont="1"/>
    <xf numFmtId="0" fontId="190" fillId="0" borderId="0" xfId="0" applyFont="1" applyAlignment="1">
      <alignment horizontal="right"/>
    </xf>
    <xf numFmtId="0" fontId="190" fillId="0" borderId="0" xfId="0" applyFont="1" applyFill="1" applyAlignment="1">
      <alignment horizontal="center" wrapText="1"/>
    </xf>
    <xf numFmtId="43" fontId="191" fillId="0" borderId="0" xfId="0" applyNumberFormat="1" applyFont="1"/>
    <xf numFmtId="0" fontId="191" fillId="0" borderId="0" xfId="0" applyFont="1" applyFill="1"/>
    <xf numFmtId="164" fontId="191" fillId="0" borderId="65" xfId="146" applyNumberFormat="1" applyFont="1" applyFill="1" applyBorder="1"/>
    <xf numFmtId="43" fontId="191" fillId="0" borderId="65" xfId="146" applyFont="1" applyFill="1" applyBorder="1"/>
    <xf numFmtId="0" fontId="190" fillId="0" borderId="0" xfId="0" applyFont="1"/>
    <xf numFmtId="0" fontId="191" fillId="0" borderId="0" xfId="0" applyFont="1" applyBorder="1"/>
    <xf numFmtId="43" fontId="191" fillId="0" borderId="0" xfId="0" applyNumberFormat="1" applyFont="1" applyBorder="1"/>
    <xf numFmtId="164" fontId="191" fillId="0" borderId="0" xfId="0" applyNumberFormat="1" applyFont="1" applyBorder="1"/>
    <xf numFmtId="164" fontId="190" fillId="0" borderId="0" xfId="0" applyNumberFormat="1" applyFont="1" applyBorder="1"/>
    <xf numFmtId="0" fontId="190" fillId="0" borderId="0" xfId="0" applyFont="1" applyFill="1"/>
    <xf numFmtId="43" fontId="190" fillId="0" borderId="62" xfId="0" applyNumberFormat="1" applyFont="1" applyFill="1" applyBorder="1"/>
    <xf numFmtId="0" fontId="192" fillId="0" borderId="0" xfId="0" applyFont="1" applyAlignment="1"/>
    <xf numFmtId="0" fontId="201" fillId="0" borderId="0" xfId="0" applyFont="1" applyAlignment="1">
      <alignment horizontal="center" wrapText="1"/>
    </xf>
    <xf numFmtId="10" fontId="191" fillId="89" borderId="0" xfId="1258" applyNumberFormat="1" applyFont="1" applyFill="1"/>
    <xf numFmtId="164" fontId="191" fillId="0" borderId="0" xfId="1" applyNumberFormat="1" applyFont="1"/>
    <xf numFmtId="164" fontId="190" fillId="0" borderId="0" xfId="1" applyNumberFormat="1" applyFont="1" applyFill="1" applyAlignment="1">
      <alignment horizontal="center" wrapText="1"/>
    </xf>
    <xf numFmtId="164" fontId="191" fillId="0" borderId="65" xfId="1" applyNumberFormat="1" applyFont="1" applyFill="1" applyBorder="1"/>
    <xf numFmtId="164" fontId="191" fillId="0" borderId="0" xfId="1" applyNumberFormat="1" applyFont="1" applyBorder="1"/>
    <xf numFmtId="164" fontId="190" fillId="0" borderId="0" xfId="1" applyNumberFormat="1" applyFont="1" applyFill="1"/>
    <xf numFmtId="164" fontId="190" fillId="0" borderId="0" xfId="1" applyNumberFormat="1" applyFont="1"/>
    <xf numFmtId="164" fontId="190" fillId="0" borderId="62" xfId="1" applyNumberFormat="1" applyFont="1" applyFill="1" applyBorder="1"/>
    <xf numFmtId="164" fontId="190" fillId="41" borderId="132" xfId="1" applyNumberFormat="1" applyFont="1" applyFill="1" applyBorder="1"/>
    <xf numFmtId="164" fontId="190" fillId="0" borderId="65" xfId="1" applyNumberFormat="1" applyFont="1" applyFill="1" applyBorder="1"/>
    <xf numFmtId="0" fontId="190" fillId="0" borderId="0" xfId="840" applyFont="1" applyAlignment="1">
      <alignment horizontal="right" wrapText="1"/>
    </xf>
    <xf numFmtId="43" fontId="190" fillId="0" borderId="65" xfId="146" applyFont="1" applyFill="1" applyBorder="1"/>
    <xf numFmtId="0" fontId="190" fillId="0" borderId="0" xfId="0" applyFont="1" applyFill="1" applyBorder="1" applyAlignment="1">
      <alignment horizontal="center" wrapText="1"/>
    </xf>
    <xf numFmtId="0" fontId="190" fillId="0" borderId="0" xfId="0" applyFont="1" applyFill="1" applyBorder="1"/>
    <xf numFmtId="0" fontId="190" fillId="0" borderId="0" xfId="840" applyFont="1" applyBorder="1"/>
    <xf numFmtId="171" fontId="190" fillId="0" borderId="65" xfId="697" applyNumberFormat="1" applyFont="1" applyFill="1" applyBorder="1"/>
    <xf numFmtId="171" fontId="191" fillId="0" borderId="0" xfId="0" applyNumberFormat="1" applyFont="1"/>
    <xf numFmtId="164" fontId="191" fillId="41" borderId="65" xfId="146" applyNumberFormat="1" applyFont="1" applyFill="1" applyBorder="1"/>
    <xf numFmtId="171" fontId="190" fillId="0" borderId="0" xfId="2" applyNumberFormat="1" applyFont="1"/>
    <xf numFmtId="9" fontId="191" fillId="0" borderId="0" xfId="3" applyFont="1"/>
    <xf numFmtId="10" fontId="191" fillId="0" borderId="0" xfId="3" applyNumberFormat="1" applyFont="1"/>
    <xf numFmtId="10" fontId="191" fillId="0" borderId="0" xfId="0" applyNumberFormat="1" applyFont="1"/>
    <xf numFmtId="0" fontId="190" fillId="0" borderId="0" xfId="840" applyFont="1" applyAlignment="1">
      <alignment horizontal="right"/>
    </xf>
    <xf numFmtId="171" fontId="191" fillId="0" borderId="0" xfId="2" applyNumberFormat="1" applyFont="1" applyFill="1"/>
    <xf numFmtId="171" fontId="191" fillId="0" borderId="0" xfId="2" applyNumberFormat="1" applyFont="1"/>
    <xf numFmtId="43" fontId="191" fillId="89" borderId="0" xfId="0" applyNumberFormat="1" applyFont="1" applyFill="1"/>
    <xf numFmtId="171" fontId="191" fillId="0" borderId="1" xfId="2" applyNumberFormat="1" applyFont="1" applyBorder="1"/>
    <xf numFmtId="0" fontId="0" fillId="44" borderId="53" xfId="0" applyFont="1" applyFill="1" applyBorder="1" applyAlignment="1">
      <alignment wrapText="1"/>
    </xf>
    <xf numFmtId="0" fontId="4" fillId="44" borderId="54" xfId="0" applyFont="1" applyFill="1" applyBorder="1" applyAlignment="1">
      <alignment horizontal="center" vertical="center" wrapText="1"/>
    </xf>
    <xf numFmtId="0" fontId="4" fillId="44" borderId="55" xfId="0" applyFont="1" applyFill="1" applyBorder="1" applyAlignment="1">
      <alignment horizontal="center" vertical="center" wrapText="1"/>
    </xf>
    <xf numFmtId="0" fontId="0" fillId="0" borderId="0" xfId="0" applyFont="1" applyAlignment="1">
      <alignment wrapText="1"/>
    </xf>
    <xf numFmtId="0" fontId="4" fillId="7" borderId="0" xfId="0" applyFont="1" applyFill="1"/>
    <xf numFmtId="44" fontId="4" fillId="7" borderId="0" xfId="2" applyFont="1" applyFill="1"/>
    <xf numFmtId="0" fontId="0" fillId="0" borderId="0" xfId="0" applyFont="1" applyAlignment="1">
      <alignment horizontal="left" indent="1"/>
    </xf>
    <xf numFmtId="0" fontId="4" fillId="0" borderId="0" xfId="0" applyFont="1" applyAlignment="1">
      <alignment horizontal="left" indent="1"/>
    </xf>
    <xf numFmtId="0" fontId="0" fillId="0" borderId="0" xfId="0" applyFont="1" applyAlignment="1">
      <alignment horizontal="left" indent="2"/>
    </xf>
    <xf numFmtId="44" fontId="0" fillId="0" borderId="0" xfId="2" applyFont="1" applyFill="1"/>
    <xf numFmtId="0" fontId="4" fillId="0" borderId="0" xfId="0" applyFont="1" applyAlignment="1">
      <alignment horizontal="left" indent="2"/>
    </xf>
    <xf numFmtId="0" fontId="0" fillId="0" borderId="0" xfId="0" applyFont="1" applyAlignment="1">
      <alignment horizontal="left" indent="3"/>
    </xf>
    <xf numFmtId="0" fontId="0" fillId="0" borderId="0" xfId="0" applyFont="1" applyFill="1"/>
    <xf numFmtId="44" fontId="4" fillId="0" borderId="0" xfId="2" applyFont="1" applyFill="1"/>
    <xf numFmtId="44" fontId="3" fillId="0" borderId="0" xfId="2" applyFont="1" applyFill="1"/>
    <xf numFmtId="0" fontId="0" fillId="0" borderId="0" xfId="0" applyFont="1" applyFill="1" applyAlignment="1">
      <alignment horizontal="left" indent="3"/>
    </xf>
    <xf numFmtId="166" fontId="4" fillId="89" borderId="0" xfId="2295" applyNumberFormat="1" applyFont="1" applyFill="1" applyAlignment="1">
      <alignment horizontal="center"/>
    </xf>
    <xf numFmtId="44" fontId="0" fillId="89" borderId="0" xfId="2" applyFont="1" applyFill="1"/>
    <xf numFmtId="43" fontId="28" fillId="0" borderId="0" xfId="1" applyNumberFormat="1" applyFont="1" applyFill="1" applyBorder="1"/>
    <xf numFmtId="0" fontId="202" fillId="0" borderId="1" xfId="840" applyFont="1" applyFill="1" applyBorder="1" applyAlignment="1">
      <alignment horizontal="right"/>
    </xf>
    <xf numFmtId="0" fontId="202" fillId="0" borderId="1" xfId="840" applyFont="1" applyBorder="1" applyAlignment="1">
      <alignment horizontal="center" wrapText="1"/>
    </xf>
    <xf numFmtId="0" fontId="202" fillId="0" borderId="1" xfId="840" applyFont="1" applyBorder="1" applyAlignment="1">
      <alignment horizontal="center"/>
    </xf>
    <xf numFmtId="171" fontId="191" fillId="0" borderId="1" xfId="2" applyNumberFormat="1" applyFont="1" applyFill="1" applyBorder="1"/>
    <xf numFmtId="0" fontId="202" fillId="0" borderId="0" xfId="840" applyFont="1" applyBorder="1" applyAlignment="1">
      <alignment horizontal="center" wrapText="1"/>
    </xf>
    <xf numFmtId="0" fontId="202" fillId="0" borderId="0" xfId="840" applyFont="1" applyBorder="1" applyAlignment="1">
      <alignment horizontal="center"/>
    </xf>
    <xf numFmtId="171" fontId="191" fillId="0" borderId="0" xfId="2" applyNumberFormat="1" applyFont="1" applyFill="1" applyBorder="1"/>
    <xf numFmtId="171" fontId="191" fillId="0" borderId="0" xfId="2" applyNumberFormat="1" applyFont="1" applyBorder="1"/>
    <xf numFmtId="9" fontId="191" fillId="0" borderId="0" xfId="0" applyNumberFormat="1" applyFont="1"/>
    <xf numFmtId="49" fontId="20" fillId="0" borderId="0" xfId="6" applyNumberFormat="1" applyFont="1" applyAlignment="1">
      <alignment horizontal="right"/>
    </xf>
    <xf numFmtId="0" fontId="20" fillId="0" borderId="0" xfId="6" applyNumberFormat="1" applyFont="1" applyAlignment="1">
      <alignment horizontal="left"/>
    </xf>
    <xf numFmtId="10" fontId="3" fillId="7" borderId="0" xfId="419" applyNumberFormat="1" applyFont="1" applyFill="1" applyBorder="1"/>
    <xf numFmtId="3" fontId="3" fillId="7" borderId="0" xfId="419" applyNumberFormat="1" applyFont="1" applyFill="1" applyBorder="1"/>
    <xf numFmtId="0" fontId="0" fillId="7" borderId="0" xfId="419" applyFont="1" applyFill="1" applyBorder="1"/>
    <xf numFmtId="0" fontId="28" fillId="7" borderId="0" xfId="939" applyFont="1" applyFill="1" applyAlignment="1"/>
    <xf numFmtId="0" fontId="28" fillId="7" borderId="97" xfId="939" applyFont="1" applyFill="1" applyBorder="1" applyAlignment="1"/>
    <xf numFmtId="0" fontId="7" fillId="7" borderId="0" xfId="27" applyFill="1"/>
    <xf numFmtId="0" fontId="74" fillId="7" borderId="0" xfId="27" applyFont="1" applyFill="1" applyAlignment="1">
      <alignment horizontal="right" vertical="top"/>
    </xf>
    <xf numFmtId="0" fontId="22" fillId="7" borderId="1" xfId="27" applyFont="1" applyFill="1" applyBorder="1" applyAlignment="1">
      <alignment horizontal="centerContinuous"/>
    </xf>
    <xf numFmtId="0" fontId="22" fillId="7" borderId="0" xfId="27" applyFont="1" applyFill="1"/>
    <xf numFmtId="0" fontId="22" fillId="7" borderId="0" xfId="27" applyFont="1" applyFill="1" applyAlignment="1">
      <alignment horizontal="right"/>
    </xf>
    <xf numFmtId="0" fontId="76" fillId="7" borderId="0" xfId="27" applyFont="1" applyFill="1"/>
    <xf numFmtId="39" fontId="76" fillId="7" borderId="0" xfId="144" applyNumberFormat="1" applyFont="1" applyFill="1" applyAlignment="1">
      <alignment horizontal="left"/>
    </xf>
    <xf numFmtId="0" fontId="7" fillId="7" borderId="0" xfId="27" applyFill="1" applyAlignment="1"/>
    <xf numFmtId="0" fontId="76" fillId="7" borderId="0" xfId="27" applyFont="1" applyFill="1" applyAlignment="1">
      <alignment horizontal="left"/>
    </xf>
    <xf numFmtId="0" fontId="7" fillId="7" borderId="0" xfId="27" applyFill="1" applyAlignment="1">
      <alignment horizontal="left" indent="1"/>
    </xf>
    <xf numFmtId="175" fontId="7" fillId="7" borderId="0" xfId="27" applyNumberFormat="1" applyFill="1"/>
    <xf numFmtId="0" fontId="7" fillId="7" borderId="52" xfId="27" applyFill="1" applyBorder="1" applyAlignment="1">
      <alignment vertical="top"/>
    </xf>
    <xf numFmtId="175" fontId="7" fillId="7" borderId="52" xfId="27" applyNumberFormat="1" applyFill="1" applyBorder="1" applyAlignment="1">
      <alignment vertical="top"/>
    </xf>
    <xf numFmtId="0" fontId="7" fillId="7" borderId="0" xfId="27" applyFill="1" applyAlignment="1">
      <alignment horizontal="left"/>
    </xf>
    <xf numFmtId="0" fontId="7" fillId="7" borderId="57" xfId="27" applyFill="1" applyBorder="1"/>
    <xf numFmtId="0" fontId="82" fillId="0" borderId="27" xfId="0" applyFont="1" applyFill="1" applyBorder="1"/>
    <xf numFmtId="3" fontId="82" fillId="0" borderId="27" xfId="0" applyNumberFormat="1" applyFont="1" applyFill="1" applyBorder="1"/>
    <xf numFmtId="3" fontId="82" fillId="7" borderId="27" xfId="0" applyNumberFormat="1" applyFont="1" applyFill="1" applyBorder="1"/>
    <xf numFmtId="0" fontId="82" fillId="7" borderId="27" xfId="0" applyFont="1" applyFill="1" applyBorder="1"/>
    <xf numFmtId="9" fontId="82" fillId="7" borderId="27" xfId="3" applyFont="1" applyFill="1" applyBorder="1"/>
    <xf numFmtId="10" fontId="170" fillId="0" borderId="0" xfId="0" applyNumberFormat="1" applyFont="1" applyFill="1" applyBorder="1" applyAlignment="1">
      <alignment horizontal="left"/>
    </xf>
    <xf numFmtId="171" fontId="84" fillId="0" borderId="0" xfId="2" applyNumberFormat="1" applyFont="1" applyBorder="1"/>
    <xf numFmtId="171" fontId="84" fillId="0" borderId="0" xfId="2" applyNumberFormat="1" applyFont="1" applyFill="1" applyBorder="1"/>
    <xf numFmtId="0" fontId="203" fillId="0" borderId="0" xfId="840" applyFont="1" applyAlignment="1">
      <alignment horizontal="right"/>
    </xf>
    <xf numFmtId="164" fontId="203" fillId="0" borderId="0" xfId="840" applyNumberFormat="1" applyFont="1"/>
    <xf numFmtId="3" fontId="28" fillId="95" borderId="0" xfId="419" applyNumberFormat="1" applyFont="1" applyFill="1"/>
    <xf numFmtId="0" fontId="28" fillId="95" borderId="0" xfId="419" applyFont="1" applyFill="1"/>
    <xf numFmtId="0" fontId="204" fillId="95" borderId="0" xfId="419" applyFont="1" applyFill="1"/>
    <xf numFmtId="43" fontId="28" fillId="95" borderId="0" xfId="1" applyFont="1" applyFill="1"/>
    <xf numFmtId="0" fontId="170" fillId="95" borderId="1" xfId="419" applyFont="1" applyFill="1" applyBorder="1"/>
    <xf numFmtId="0" fontId="170" fillId="95" borderId="1" xfId="419" applyFont="1" applyFill="1" applyBorder="1" applyAlignment="1">
      <alignment horizontal="center" wrapText="1"/>
    </xf>
    <xf numFmtId="0" fontId="170" fillId="95" borderId="1" xfId="419" applyFont="1" applyFill="1" applyBorder="1" applyAlignment="1">
      <alignment horizontal="center"/>
    </xf>
    <xf numFmtId="164" fontId="170" fillId="95" borderId="0" xfId="1" applyNumberFormat="1" applyFont="1" applyFill="1" applyAlignment="1">
      <alignment horizontal="center"/>
    </xf>
    <xf numFmtId="0" fontId="28" fillId="95" borderId="25" xfId="419" applyFont="1" applyFill="1" applyBorder="1"/>
    <xf numFmtId="0" fontId="28" fillId="95" borderId="123" xfId="419" applyFont="1" applyFill="1" applyBorder="1"/>
    <xf numFmtId="43" fontId="28" fillId="95" borderId="123" xfId="1" applyFont="1" applyFill="1" applyBorder="1"/>
    <xf numFmtId="164" fontId="28" fillId="95" borderId="0" xfId="1" applyNumberFormat="1" applyFont="1" applyFill="1"/>
    <xf numFmtId="10" fontId="28" fillId="95" borderId="27" xfId="419" applyNumberFormat="1" applyFont="1" applyFill="1" applyBorder="1"/>
    <xf numFmtId="10" fontId="28" fillId="95" borderId="0" xfId="419" applyNumberFormat="1" applyFont="1" applyFill="1" applyBorder="1"/>
    <xf numFmtId="9" fontId="28" fillId="95" borderId="0" xfId="3" applyFont="1" applyFill="1"/>
    <xf numFmtId="0" fontId="28" fillId="95" borderId="27" xfId="419" applyFont="1" applyFill="1" applyBorder="1"/>
    <xf numFmtId="0" fontId="28" fillId="95" borderId="0" xfId="419" applyFont="1" applyFill="1" applyBorder="1"/>
    <xf numFmtId="0" fontId="28" fillId="95" borderId="0" xfId="435" applyFont="1" applyFill="1"/>
    <xf numFmtId="0" fontId="170" fillId="95" borderId="3" xfId="419" applyFont="1" applyFill="1" applyBorder="1"/>
    <xf numFmtId="0" fontId="170" fillId="95" borderId="65" xfId="419" applyFont="1" applyFill="1" applyBorder="1"/>
    <xf numFmtId="3" fontId="170" fillId="95" borderId="3" xfId="419" applyNumberFormat="1" applyFont="1" applyFill="1" applyBorder="1"/>
    <xf numFmtId="9" fontId="170" fillId="95" borderId="100" xfId="3" applyFont="1" applyFill="1" applyBorder="1"/>
    <xf numFmtId="9" fontId="170" fillId="95" borderId="114" xfId="3" applyFont="1" applyFill="1" applyBorder="1"/>
    <xf numFmtId="9" fontId="170" fillId="95" borderId="126" xfId="3" applyFont="1" applyFill="1" applyBorder="1"/>
    <xf numFmtId="164" fontId="170" fillId="95" borderId="0" xfId="1" applyNumberFormat="1" applyFont="1" applyFill="1"/>
    <xf numFmtId="10" fontId="28" fillId="95" borderId="0" xfId="419" applyNumberFormat="1" applyFont="1" applyFill="1"/>
    <xf numFmtId="0" fontId="28" fillId="95" borderId="0" xfId="419" applyFont="1" applyFill="1" applyAlignment="1">
      <alignment horizontal="right"/>
    </xf>
    <xf numFmtId="43" fontId="28" fillId="95" borderId="0" xfId="1" applyNumberFormat="1" applyFont="1" applyFill="1"/>
    <xf numFmtId="166" fontId="28" fillId="95" borderId="0" xfId="3" applyNumberFormat="1" applyFont="1" applyFill="1"/>
    <xf numFmtId="10" fontId="28" fillId="95" borderId="0" xfId="3" applyNumberFormat="1" applyFont="1" applyFill="1"/>
    <xf numFmtId="0" fontId="170" fillId="95" borderId="0" xfId="419" applyFont="1" applyFill="1" applyBorder="1" applyAlignment="1">
      <alignment horizontal="center" wrapText="1"/>
    </xf>
    <xf numFmtId="0" fontId="28" fillId="95" borderId="0" xfId="419" applyFont="1" applyFill="1" applyAlignment="1">
      <alignment wrapText="1"/>
    </xf>
    <xf numFmtId="0" fontId="170" fillId="95" borderId="0" xfId="419" applyFont="1" applyFill="1" applyAlignment="1">
      <alignment horizontal="center"/>
    </xf>
    <xf numFmtId="43" fontId="28" fillId="95" borderId="0" xfId="419" applyNumberFormat="1" applyFont="1" applyFill="1" applyAlignment="1">
      <alignment horizontal="right"/>
    </xf>
    <xf numFmtId="4" fontId="28" fillId="95" borderId="0" xfId="419" applyNumberFormat="1" applyFont="1" applyFill="1" applyAlignment="1">
      <alignment horizontal="right"/>
    </xf>
    <xf numFmtId="9" fontId="28" fillId="95" borderId="0" xfId="3" applyFont="1" applyFill="1" applyBorder="1"/>
    <xf numFmtId="9" fontId="28" fillId="95" borderId="0" xfId="419" applyNumberFormat="1" applyFont="1" applyFill="1" applyBorder="1"/>
    <xf numFmtId="166" fontId="170" fillId="95" borderId="0" xfId="3" applyNumberFormat="1" applyFont="1" applyFill="1"/>
    <xf numFmtId="0" fontId="170" fillId="95" borderId="0" xfId="419" applyFont="1" applyFill="1"/>
    <xf numFmtId="0" fontId="205" fillId="95" borderId="27" xfId="419" applyFont="1" applyFill="1" applyBorder="1" applyAlignment="1">
      <alignment horizontal="center" wrapText="1"/>
    </xf>
    <xf numFmtId="4" fontId="170" fillId="95" borderId="3" xfId="419" applyNumberFormat="1" applyFont="1" applyFill="1" applyBorder="1"/>
    <xf numFmtId="4" fontId="170" fillId="95" borderId="29" xfId="419" applyNumberFormat="1" applyFont="1" applyFill="1" applyBorder="1"/>
    <xf numFmtId="9" fontId="170" fillId="95" borderId="0" xfId="3" applyFont="1" applyFill="1" applyBorder="1"/>
    <xf numFmtId="9" fontId="28" fillId="95" borderId="0" xfId="419" applyNumberFormat="1" applyFont="1" applyFill="1"/>
    <xf numFmtId="0" fontId="28" fillId="95" borderId="5" xfId="0" applyFont="1" applyFill="1" applyBorder="1" applyAlignment="1">
      <alignment vertical="top"/>
    </xf>
    <xf numFmtId="43" fontId="22" fillId="95" borderId="121" xfId="594" applyFont="1" applyFill="1" applyBorder="1" applyAlignment="1">
      <alignment horizontal="center" vertical="top"/>
    </xf>
    <xf numFmtId="43" fontId="22" fillId="95" borderId="121" xfId="594" applyFont="1" applyFill="1" applyBorder="1" applyAlignment="1">
      <alignment horizontal="center" vertical="top" wrapText="1"/>
    </xf>
    <xf numFmtId="43" fontId="22" fillId="95" borderId="122" xfId="594" applyFont="1" applyFill="1" applyBorder="1" applyAlignment="1">
      <alignment horizontal="center" vertical="top"/>
    </xf>
    <xf numFmtId="43" fontId="22" fillId="95" borderId="127" xfId="594" applyFont="1" applyFill="1" applyBorder="1" applyAlignment="1">
      <alignment horizontal="center" vertical="top" wrapText="1"/>
    </xf>
    <xf numFmtId="0" fontId="28" fillId="95" borderId="7" xfId="0" applyFont="1" applyFill="1" applyBorder="1" applyAlignment="1">
      <alignment vertical="top"/>
    </xf>
    <xf numFmtId="9" fontId="28" fillId="95" borderId="0" xfId="20050" applyFont="1" applyFill="1" applyBorder="1" applyAlignment="1">
      <alignment vertical="top"/>
    </xf>
    <xf numFmtId="9" fontId="28" fillId="95" borderId="8" xfId="20050" applyFont="1" applyFill="1" applyBorder="1" applyAlignment="1">
      <alignment vertical="top"/>
    </xf>
    <xf numFmtId="9" fontId="28" fillId="95" borderId="7" xfId="419" applyNumberFormat="1" applyFont="1" applyFill="1" applyBorder="1"/>
    <xf numFmtId="9" fontId="28" fillId="95" borderId="8" xfId="419" applyNumberFormat="1" applyFont="1" applyFill="1" applyBorder="1"/>
    <xf numFmtId="0" fontId="28" fillId="95" borderId="7" xfId="419" applyFont="1" applyFill="1" applyBorder="1"/>
    <xf numFmtId="0" fontId="28" fillId="95" borderId="8" xfId="419" applyFont="1" applyFill="1" applyBorder="1"/>
    <xf numFmtId="0" fontId="7" fillId="95" borderId="7" xfId="0" applyFont="1" applyFill="1" applyBorder="1" applyAlignment="1">
      <alignment vertical="top"/>
    </xf>
    <xf numFmtId="0" fontId="28" fillId="95" borderId="9" xfId="0" applyFont="1" applyFill="1" applyBorder="1" applyAlignment="1">
      <alignment vertical="top"/>
    </xf>
    <xf numFmtId="0" fontId="28" fillId="95" borderId="2" xfId="0" applyFont="1" applyFill="1" applyBorder="1" applyAlignment="1">
      <alignment vertical="top"/>
    </xf>
    <xf numFmtId="0" fontId="28" fillId="95" borderId="10" xfId="0" applyFont="1" applyFill="1" applyBorder="1" applyAlignment="1">
      <alignment vertical="top"/>
    </xf>
    <xf numFmtId="0" fontId="28" fillId="95" borderId="9" xfId="419" applyFont="1" applyFill="1" applyBorder="1"/>
    <xf numFmtId="0" fontId="28" fillId="95" borderId="2" xfId="419" applyFont="1" applyFill="1" applyBorder="1"/>
    <xf numFmtId="0" fontId="28" fillId="95" borderId="10" xfId="419" applyFont="1" applyFill="1" applyBorder="1"/>
    <xf numFmtId="3" fontId="28" fillId="95" borderId="0" xfId="419" applyNumberFormat="1" applyFont="1" applyFill="1" applyBorder="1"/>
    <xf numFmtId="1" fontId="84" fillId="95" borderId="0" xfId="0" applyNumberFormat="1" applyFont="1" applyFill="1" applyBorder="1" applyAlignment="1">
      <alignment horizontal="right"/>
    </xf>
    <xf numFmtId="0" fontId="84" fillId="95" borderId="0" xfId="0" applyFont="1" applyFill="1" applyBorder="1"/>
    <xf numFmtId="164" fontId="84" fillId="95" borderId="0" xfId="1" applyNumberFormat="1" applyFont="1" applyFill="1" applyBorder="1"/>
    <xf numFmtId="164" fontId="84" fillId="95" borderId="0" xfId="1" quotePrefix="1" applyNumberFormat="1" applyFont="1" applyFill="1" applyBorder="1"/>
    <xf numFmtId="164" fontId="83" fillId="95" borderId="0" xfId="1" quotePrefix="1" applyNumberFormat="1" applyFont="1" applyFill="1" applyBorder="1"/>
    <xf numFmtId="164" fontId="84" fillId="95" borderId="40" xfId="1" applyNumberFormat="1" applyFont="1" applyFill="1" applyBorder="1"/>
    <xf numFmtId="3" fontId="82" fillId="95" borderId="0" xfId="0" applyNumberFormat="1" applyFont="1" applyFill="1" applyBorder="1"/>
    <xf numFmtId="164" fontId="84" fillId="95" borderId="41" xfId="1" applyNumberFormat="1" applyFont="1" applyFill="1" applyBorder="1"/>
    <xf numFmtId="164" fontId="84" fillId="95" borderId="6" xfId="1" applyNumberFormat="1" applyFont="1" applyFill="1" applyBorder="1"/>
    <xf numFmtId="164" fontId="84" fillId="95" borderId="133" xfId="1" applyNumberFormat="1" applyFont="1" applyFill="1" applyBorder="1"/>
    <xf numFmtId="3" fontId="84" fillId="95" borderId="0" xfId="0" applyNumberFormat="1" applyFont="1" applyFill="1" applyBorder="1" applyAlignment="1">
      <alignment horizontal="left"/>
    </xf>
    <xf numFmtId="3" fontId="84" fillId="95" borderId="0" xfId="0" applyNumberFormat="1" applyFont="1" applyFill="1" applyBorder="1" applyAlignment="1">
      <alignment horizontal="right"/>
    </xf>
    <xf numFmtId="164" fontId="84" fillId="95" borderId="30" xfId="1" applyNumberFormat="1" applyFont="1" applyFill="1" applyBorder="1"/>
    <xf numFmtId="164" fontId="84" fillId="95" borderId="27" xfId="1" applyNumberFormat="1" applyFont="1" applyFill="1" applyBorder="1"/>
    <xf numFmtId="164" fontId="84" fillId="95" borderId="28" xfId="1" applyNumberFormat="1" applyFont="1" applyFill="1" applyBorder="1"/>
    <xf numFmtId="1" fontId="84" fillId="95" borderId="0" xfId="0" applyNumberFormat="1" applyFont="1" applyFill="1" applyBorder="1" applyAlignment="1">
      <alignment horizontal="left"/>
    </xf>
    <xf numFmtId="165" fontId="84" fillId="95" borderId="0" xfId="0" applyNumberFormat="1" applyFont="1" applyFill="1" applyBorder="1" applyAlignment="1">
      <alignment horizontal="center"/>
    </xf>
    <xf numFmtId="10" fontId="84" fillId="95" borderId="0" xfId="0" applyNumberFormat="1" applyFont="1" applyFill="1" applyBorder="1" applyAlignment="1">
      <alignment horizontal="left"/>
    </xf>
    <xf numFmtId="10" fontId="84" fillId="95" borderId="0" xfId="0" applyNumberFormat="1" applyFont="1" applyFill="1" applyBorder="1" applyAlignment="1">
      <alignment horizontal="right"/>
    </xf>
    <xf numFmtId="166" fontId="84" fillId="95" borderId="0" xfId="0" applyNumberFormat="1" applyFont="1" applyFill="1" applyBorder="1" applyAlignment="1">
      <alignment horizontal="right"/>
    </xf>
    <xf numFmtId="0" fontId="82" fillId="95" borderId="0" xfId="0" applyFont="1" applyFill="1" applyBorder="1"/>
    <xf numFmtId="0" fontId="83" fillId="95" borderId="0" xfId="0" applyFont="1" applyFill="1" applyBorder="1"/>
    <xf numFmtId="164" fontId="83" fillId="95" borderId="0" xfId="1" applyNumberFormat="1" applyFont="1" applyFill="1" applyBorder="1"/>
    <xf numFmtId="164" fontId="83" fillId="95" borderId="30" xfId="1" applyNumberFormat="1" applyFont="1" applyFill="1" applyBorder="1"/>
    <xf numFmtId="164" fontId="81" fillId="95" borderId="0" xfId="4" applyNumberFormat="1" applyFont="1" applyFill="1" applyBorder="1"/>
    <xf numFmtId="164" fontId="83" fillId="95" borderId="27" xfId="1" applyNumberFormat="1" applyFont="1" applyFill="1" applyBorder="1"/>
    <xf numFmtId="164" fontId="83" fillId="95" borderId="28" xfId="1" applyNumberFormat="1" applyFont="1" applyFill="1" applyBorder="1"/>
    <xf numFmtId="10" fontId="84" fillId="95" borderId="0" xfId="0" applyNumberFormat="1" applyFont="1" applyFill="1" applyBorder="1" applyAlignment="1">
      <alignment horizontal="center"/>
    </xf>
    <xf numFmtId="1" fontId="82" fillId="95" borderId="0" xfId="0" applyNumberFormat="1" applyFont="1" applyFill="1" applyBorder="1" applyAlignment="1">
      <alignment horizontal="right"/>
    </xf>
    <xf numFmtId="0" fontId="87" fillId="95" borderId="0" xfId="0" applyFont="1" applyFill="1" applyBorder="1" applyAlignment="1">
      <alignment horizontal="right"/>
    </xf>
    <xf numFmtId="164" fontId="82" fillId="95" borderId="0" xfId="1" applyNumberFormat="1" applyFont="1" applyFill="1" applyBorder="1"/>
    <xf numFmtId="164" fontId="81" fillId="95" borderId="0" xfId="1" applyNumberFormat="1" applyFont="1" applyFill="1" applyBorder="1" applyAlignment="1">
      <alignment horizontal="center"/>
    </xf>
    <xf numFmtId="164" fontId="82" fillId="95" borderId="30" xfId="1" applyNumberFormat="1" applyFont="1" applyFill="1" applyBorder="1"/>
    <xf numFmtId="10" fontId="82" fillId="95" borderId="0" xfId="0" applyNumberFormat="1" applyFont="1" applyFill="1" applyBorder="1"/>
    <xf numFmtId="164" fontId="82" fillId="95" borderId="27" xfId="1" applyNumberFormat="1" applyFont="1" applyFill="1" applyBorder="1"/>
    <xf numFmtId="10" fontId="82" fillId="95" borderId="0" xfId="3" applyNumberFormat="1" applyFont="1" applyFill="1" applyBorder="1"/>
    <xf numFmtId="10" fontId="82" fillId="95" borderId="28" xfId="3" applyNumberFormat="1" applyFont="1" applyFill="1" applyBorder="1"/>
    <xf numFmtId="1" fontId="82" fillId="95" borderId="0" xfId="0" applyNumberFormat="1" applyFont="1" applyFill="1" applyBorder="1" applyAlignment="1">
      <alignment horizontal="left"/>
    </xf>
    <xf numFmtId="165" fontId="82" fillId="95" borderId="0" xfId="0" applyNumberFormat="1" applyFont="1" applyFill="1" applyBorder="1" applyAlignment="1">
      <alignment horizontal="center"/>
    </xf>
    <xf numFmtId="164" fontId="83" fillId="95" borderId="0" xfId="1" applyNumberFormat="1" applyFont="1" applyFill="1" applyBorder="1" applyAlignment="1">
      <alignment horizontal="center"/>
    </xf>
    <xf numFmtId="10" fontId="84" fillId="95" borderId="0" xfId="3" applyNumberFormat="1" applyFont="1" applyFill="1" applyBorder="1"/>
    <xf numFmtId="10" fontId="84" fillId="95" borderId="28" xfId="3" applyNumberFormat="1" applyFont="1" applyFill="1" applyBorder="1"/>
    <xf numFmtId="1" fontId="84" fillId="95" borderId="0" xfId="0" applyNumberFormat="1" applyFont="1" applyFill="1" applyBorder="1" applyAlignment="1">
      <alignment horizontal="center"/>
    </xf>
    <xf numFmtId="164" fontId="83" fillId="95" borderId="30" xfId="1" applyNumberFormat="1" applyFont="1" applyFill="1" applyBorder="1" applyAlignment="1">
      <alignment horizontal="center"/>
    </xf>
    <xf numFmtId="0" fontId="81" fillId="95" borderId="0" xfId="0" applyFont="1" applyFill="1" applyBorder="1" applyAlignment="1">
      <alignment horizontal="center"/>
    </xf>
    <xf numFmtId="164" fontId="83" fillId="95" borderId="27" xfId="1" applyNumberFormat="1" applyFont="1" applyFill="1" applyBorder="1" applyAlignment="1">
      <alignment horizontal="center"/>
    </xf>
    <xf numFmtId="164" fontId="83" fillId="95" borderId="28" xfId="1" applyNumberFormat="1" applyFont="1" applyFill="1" applyBorder="1" applyAlignment="1">
      <alignment horizontal="center"/>
    </xf>
    <xf numFmtId="0" fontId="81" fillId="95" borderId="0" xfId="0" applyNumberFormat="1" applyFont="1" applyFill="1" applyBorder="1" applyAlignment="1">
      <alignment horizontal="center"/>
    </xf>
    <xf numFmtId="0" fontId="83" fillId="95" borderId="0" xfId="0" applyFont="1" applyFill="1" applyBorder="1" applyAlignment="1">
      <alignment horizontal="left"/>
    </xf>
    <xf numFmtId="0" fontId="83" fillId="95" borderId="0" xfId="0" applyFont="1" applyFill="1" applyBorder="1" applyAlignment="1">
      <alignment horizontal="center"/>
    </xf>
    <xf numFmtId="1" fontId="84" fillId="95" borderId="0" xfId="5" applyNumberFormat="1" applyFont="1" applyFill="1" applyBorder="1" applyAlignment="1">
      <alignment horizontal="right"/>
    </xf>
    <xf numFmtId="167" fontId="84" fillId="95" borderId="0" xfId="5" applyFont="1" applyFill="1" applyBorder="1"/>
    <xf numFmtId="4" fontId="84" fillId="95" borderId="0" xfId="0" applyNumberFormat="1" applyFont="1" applyFill="1" applyBorder="1" applyAlignment="1">
      <alignment horizontal="left"/>
    </xf>
    <xf numFmtId="4" fontId="84" fillId="95" borderId="0" xfId="0" applyNumberFormat="1" applyFont="1" applyFill="1" applyBorder="1" applyAlignment="1">
      <alignment horizontal="center"/>
    </xf>
    <xf numFmtId="1" fontId="83" fillId="95" borderId="0" xfId="5" applyNumberFormat="1" applyFont="1" applyFill="1" applyBorder="1" applyAlignment="1">
      <alignment horizontal="right"/>
    </xf>
    <xf numFmtId="43" fontId="83" fillId="95" borderId="0" xfId="1" applyFont="1" applyFill="1" applyBorder="1" applyAlignment="1">
      <alignment horizontal="center"/>
    </xf>
    <xf numFmtId="4" fontId="85" fillId="95" borderId="0" xfId="0" applyNumberFormat="1" applyFont="1" applyFill="1" applyBorder="1" applyAlignment="1">
      <alignment horizontal="left"/>
    </xf>
    <xf numFmtId="4" fontId="84" fillId="95" borderId="0" xfId="0" applyNumberFormat="1" applyFont="1" applyFill="1" applyBorder="1" applyAlignment="1">
      <alignment horizontal="right"/>
    </xf>
    <xf numFmtId="1" fontId="83" fillId="95" borderId="0" xfId="0" applyNumberFormat="1" applyFont="1" applyFill="1" applyBorder="1" applyAlignment="1">
      <alignment horizontal="right"/>
    </xf>
    <xf numFmtId="3" fontId="81" fillId="95" borderId="0" xfId="5" applyNumberFormat="1" applyFont="1" applyFill="1" applyBorder="1"/>
    <xf numFmtId="43" fontId="84" fillId="95" borderId="0" xfId="0" applyNumberFormat="1" applyFont="1" applyFill="1" applyBorder="1" applyAlignment="1">
      <alignment horizontal="left"/>
    </xf>
    <xf numFmtId="43" fontId="84" fillId="95" borderId="0" xfId="0" applyNumberFormat="1" applyFont="1" applyFill="1" applyBorder="1"/>
    <xf numFmtId="43" fontId="83" fillId="95" borderId="0" xfId="0" applyNumberFormat="1" applyFont="1" applyFill="1" applyBorder="1" applyAlignment="1">
      <alignment horizontal="left"/>
    </xf>
    <xf numFmtId="43" fontId="83" fillId="95" borderId="0" xfId="0" applyNumberFormat="1" applyFont="1" applyFill="1" applyBorder="1"/>
    <xf numFmtId="3" fontId="83" fillId="95" borderId="0" xfId="0" applyNumberFormat="1" applyFont="1" applyFill="1" applyBorder="1" applyAlignment="1">
      <alignment horizontal="left"/>
    </xf>
    <xf numFmtId="3" fontId="83" fillId="95" borderId="0" xfId="0" applyNumberFormat="1" applyFont="1" applyFill="1" applyBorder="1"/>
    <xf numFmtId="164" fontId="81" fillId="95" borderId="0" xfId="1" applyNumberFormat="1" applyFont="1" applyFill="1" applyBorder="1"/>
    <xf numFmtId="3" fontId="81" fillId="95" borderId="0" xfId="0" applyNumberFormat="1" applyFont="1" applyFill="1" applyBorder="1"/>
    <xf numFmtId="3" fontId="83" fillId="95" borderId="0" xfId="0" applyNumberFormat="1" applyFont="1" applyFill="1" applyBorder="1" applyAlignment="1">
      <alignment horizontal="center"/>
    </xf>
    <xf numFmtId="0" fontId="82" fillId="95" borderId="0" xfId="0" applyFont="1" applyFill="1" applyBorder="1" applyAlignment="1">
      <alignment horizontal="left"/>
    </xf>
    <xf numFmtId="10" fontId="84" fillId="95" borderId="0" xfId="3" applyNumberFormat="1" applyFont="1" applyFill="1" applyBorder="1" applyAlignment="1">
      <alignment horizontal="left"/>
    </xf>
    <xf numFmtId="3" fontId="84" fillId="95" borderId="0" xfId="0" applyNumberFormat="1" applyFont="1" applyFill="1" applyBorder="1"/>
    <xf numFmtId="164" fontId="84" fillId="95" borderId="0" xfId="0" applyNumberFormat="1" applyFont="1" applyFill="1" applyBorder="1" applyAlignment="1">
      <alignment horizontal="left"/>
    </xf>
    <xf numFmtId="0" fontId="84" fillId="95" borderId="0" xfId="0" applyFont="1" applyFill="1" applyBorder="1" applyAlignment="1">
      <alignment horizontal="left"/>
    </xf>
    <xf numFmtId="9" fontId="84" fillId="95" borderId="0" xfId="1" applyNumberFormat="1" applyFont="1" applyFill="1" applyBorder="1"/>
    <xf numFmtId="37" fontId="82" fillId="95" borderId="0" xfId="0" applyNumberFormat="1" applyFont="1" applyFill="1" applyBorder="1"/>
    <xf numFmtId="164" fontId="84" fillId="95" borderId="0" xfId="1" applyNumberFormat="1" applyFont="1" applyFill="1" applyBorder="1" applyAlignment="1">
      <alignment horizontal="left"/>
    </xf>
    <xf numFmtId="37" fontId="84" fillId="95" borderId="0" xfId="0" applyNumberFormat="1" applyFont="1" applyFill="1" applyBorder="1"/>
    <xf numFmtId="0" fontId="84" fillId="95" borderId="30" xfId="0" applyFont="1" applyFill="1" applyBorder="1"/>
    <xf numFmtId="0" fontId="84" fillId="95" borderId="27" xfId="0" applyFont="1" applyFill="1" applyBorder="1"/>
    <xf numFmtId="10" fontId="83" fillId="95" borderId="0" xfId="3" applyNumberFormat="1" applyFont="1" applyFill="1" applyBorder="1"/>
    <xf numFmtId="9" fontId="83" fillId="95" borderId="30" xfId="3" applyFont="1" applyFill="1" applyBorder="1"/>
    <xf numFmtId="9" fontId="81" fillId="95" borderId="0" xfId="3" applyFont="1" applyFill="1" applyBorder="1"/>
    <xf numFmtId="9" fontId="83" fillId="95" borderId="27" xfId="3" applyFont="1" applyFill="1" applyBorder="1"/>
    <xf numFmtId="9" fontId="83" fillId="95" borderId="0" xfId="3" applyFont="1" applyFill="1" applyBorder="1"/>
    <xf numFmtId="9" fontId="83" fillId="95" borderId="28" xfId="3" applyFont="1" applyFill="1" applyBorder="1"/>
    <xf numFmtId="9" fontId="82" fillId="95" borderId="0" xfId="3" applyFont="1" applyFill="1" applyBorder="1"/>
    <xf numFmtId="37" fontId="84" fillId="95" borderId="28" xfId="0" applyNumberFormat="1" applyFont="1" applyFill="1" applyBorder="1"/>
    <xf numFmtId="1" fontId="84" fillId="95" borderId="0" xfId="6" quotePrefix="1" applyNumberFormat="1" applyFont="1" applyFill="1" applyBorder="1" applyAlignment="1">
      <alignment horizontal="right"/>
    </xf>
    <xf numFmtId="1" fontId="84" fillId="95" borderId="0" xfId="6" applyNumberFormat="1" applyFont="1" applyFill="1" applyBorder="1" applyAlignment="1">
      <alignment horizontal="right"/>
    </xf>
    <xf numFmtId="3" fontId="206" fillId="95" borderId="0" xfId="0" applyNumberFormat="1" applyFont="1" applyFill="1" applyBorder="1"/>
    <xf numFmtId="0" fontId="81" fillId="95" borderId="0" xfId="0" applyFont="1" applyFill="1" applyBorder="1"/>
    <xf numFmtId="0" fontId="14" fillId="95" borderId="0" xfId="6" applyFont="1" applyFill="1" applyAlignment="1">
      <alignment horizontal="left"/>
    </xf>
    <xf numFmtId="0" fontId="14" fillId="95" borderId="0" xfId="6" quotePrefix="1" applyFont="1" applyFill="1" applyAlignment="1">
      <alignment horizontal="left"/>
    </xf>
    <xf numFmtId="14" fontId="7" fillId="95" borderId="0" xfId="60" applyNumberFormat="1" applyFont="1" applyFill="1"/>
    <xf numFmtId="0" fontId="14" fillId="95" borderId="0" xfId="6" applyFont="1" applyFill="1"/>
    <xf numFmtId="164" fontId="14" fillId="95" borderId="0" xfId="10" applyNumberFormat="1" applyFont="1" applyFill="1"/>
    <xf numFmtId="164" fontId="7" fillId="95" borderId="0" xfId="10" applyNumberFormat="1" applyFont="1" applyFill="1" applyBorder="1"/>
    <xf numFmtId="164" fontId="14" fillId="95" borderId="1" xfId="10" applyNumberFormat="1" applyFont="1" applyFill="1" applyBorder="1"/>
    <xf numFmtId="0" fontId="16" fillId="95" borderId="0" xfId="6" applyNumberFormat="1" applyFont="1" applyFill="1"/>
    <xf numFmtId="164" fontId="14" fillId="95" borderId="0" xfId="4" applyNumberFormat="1" applyFont="1" applyFill="1" applyBorder="1"/>
    <xf numFmtId="164" fontId="16" fillId="95" borderId="0" xfId="4" applyNumberFormat="1" applyFont="1" applyFill="1"/>
    <xf numFmtId="164" fontId="14" fillId="95" borderId="0" xfId="4" applyNumberFormat="1" applyFont="1" applyFill="1"/>
    <xf numFmtId="164" fontId="14" fillId="95" borderId="1" xfId="4" applyNumberFormat="1" applyFont="1" applyFill="1" applyBorder="1"/>
    <xf numFmtId="0" fontId="14" fillId="95" borderId="0" xfId="6" quotePrefix="1" applyFont="1" applyFill="1"/>
    <xf numFmtId="0" fontId="23" fillId="95" borderId="0" xfId="6" applyFont="1" applyFill="1" applyAlignment="1">
      <alignment horizontal="left"/>
    </xf>
    <xf numFmtId="164" fontId="14" fillId="95" borderId="3" xfId="4" applyNumberFormat="1" applyFont="1" applyFill="1" applyBorder="1"/>
    <xf numFmtId="0" fontId="23" fillId="95" borderId="0" xfId="6" applyFont="1" applyFill="1"/>
    <xf numFmtId="0" fontId="23" fillId="95" borderId="0" xfId="6" quotePrefix="1" applyFont="1" applyFill="1" applyAlignment="1">
      <alignment horizontal="left"/>
    </xf>
    <xf numFmtId="43" fontId="14" fillId="95" borderId="0" xfId="4" applyNumberFormat="1" applyFont="1" applyFill="1"/>
    <xf numFmtId="0" fontId="7" fillId="95" borderId="0" xfId="7" applyFill="1"/>
    <xf numFmtId="164" fontId="7" fillId="95" borderId="0" xfId="4" applyNumberFormat="1" applyFont="1" applyFill="1"/>
    <xf numFmtId="164" fontId="3" fillId="95" borderId="0" xfId="4" applyNumberFormat="1" applyFont="1" applyFill="1"/>
    <xf numFmtId="0" fontId="7" fillId="95" borderId="0" xfId="7" applyFont="1" applyFill="1"/>
    <xf numFmtId="164" fontId="16" fillId="95" borderId="0" xfId="4" applyNumberFormat="1" applyFont="1" applyFill="1" applyBorder="1"/>
    <xf numFmtId="0" fontId="7" fillId="95" borderId="0" xfId="38" applyFont="1" applyFill="1"/>
    <xf numFmtId="170" fontId="7" fillId="95" borderId="0" xfId="38" applyNumberFormat="1" applyFont="1" applyFill="1"/>
    <xf numFmtId="170" fontId="14" fillId="95" borderId="3" xfId="4" quotePrefix="1" applyNumberFormat="1" applyFont="1" applyFill="1" applyBorder="1"/>
    <xf numFmtId="164" fontId="15" fillId="95" borderId="0" xfId="4" applyNumberFormat="1" applyFont="1" applyFill="1" applyBorder="1"/>
    <xf numFmtId="164" fontId="24" fillId="95" borderId="0" xfId="4" applyNumberFormat="1" applyFont="1" applyFill="1"/>
    <xf numFmtId="37" fontId="7" fillId="95" borderId="0" xfId="60" applyFont="1" applyFill="1"/>
    <xf numFmtId="164" fontId="14" fillId="95" borderId="4" xfId="4" applyNumberFormat="1" applyFont="1" applyFill="1" applyBorder="1"/>
    <xf numFmtId="164" fontId="7" fillId="95" borderId="0" xfId="10" applyNumberFormat="1" applyFont="1" applyFill="1"/>
    <xf numFmtId="0" fontId="0" fillId="95" borderId="0" xfId="0" applyFill="1"/>
    <xf numFmtId="37" fontId="7" fillId="95" borderId="0" xfId="60" applyFont="1" applyFill="1" applyBorder="1"/>
    <xf numFmtId="164" fontId="25" fillId="95" borderId="0" xfId="10" applyNumberFormat="1" applyFont="1" applyFill="1" applyAlignment="1">
      <alignment horizontal="right"/>
    </xf>
    <xf numFmtId="0" fontId="26" fillId="95" borderId="0" xfId="6" applyNumberFormat="1" applyFont="1" applyFill="1"/>
    <xf numFmtId="164" fontId="27" fillId="95" borderId="0" xfId="10" applyNumberFormat="1" applyFont="1" applyFill="1"/>
    <xf numFmtId="166" fontId="22" fillId="95" borderId="0" xfId="3" applyNumberFormat="1" applyFont="1" applyFill="1"/>
    <xf numFmtId="0" fontId="7" fillId="95" borderId="0" xfId="36" applyFill="1"/>
    <xf numFmtId="0" fontId="22" fillId="95" borderId="27" xfId="27" applyFont="1" applyFill="1" applyBorder="1"/>
    <xf numFmtId="17" fontId="22" fillId="95" borderId="0" xfId="27" applyNumberFormat="1" applyFont="1" applyFill="1" applyAlignment="1">
      <alignment horizontal="center"/>
    </xf>
    <xf numFmtId="0" fontId="22" fillId="95" borderId="28" xfId="27" applyFont="1" applyFill="1" applyBorder="1" applyAlignment="1">
      <alignment horizontal="center"/>
    </xf>
    <xf numFmtId="43" fontId="22" fillId="95" borderId="0" xfId="557" applyFont="1" applyFill="1" applyBorder="1"/>
    <xf numFmtId="43" fontId="22" fillId="95" borderId="0" xfId="144" applyFont="1" applyFill="1" applyBorder="1"/>
    <xf numFmtId="43" fontId="22" fillId="95" borderId="28" xfId="144" applyFont="1" applyFill="1" applyBorder="1"/>
    <xf numFmtId="43" fontId="7" fillId="95" borderId="0" xfId="27" applyNumberFormat="1" applyFont="1" applyFill="1" applyBorder="1"/>
    <xf numFmtId="44" fontId="7" fillId="95" borderId="0" xfId="8274" applyFont="1" applyFill="1" applyBorder="1"/>
    <xf numFmtId="44" fontId="22" fillId="95" borderId="27" xfId="27" applyNumberFormat="1" applyFont="1" applyFill="1" applyBorder="1"/>
    <xf numFmtId="44" fontId="22" fillId="95" borderId="0" xfId="27" applyNumberFormat="1" applyFont="1" applyFill="1" applyBorder="1"/>
    <xf numFmtId="44" fontId="22" fillId="95" borderId="28" xfId="27" applyNumberFormat="1" applyFont="1" applyFill="1" applyBorder="1"/>
    <xf numFmtId="44" fontId="22" fillId="95" borderId="0" xfId="8274" applyFont="1" applyFill="1" applyBorder="1"/>
    <xf numFmtId="44" fontId="22" fillId="95" borderId="0" xfId="27" applyNumberFormat="1" applyFont="1" applyFill="1"/>
    <xf numFmtId="0" fontId="22" fillId="95" borderId="124" xfId="27" applyFont="1" applyFill="1" applyBorder="1"/>
    <xf numFmtId="0" fontId="22" fillId="95" borderId="123" xfId="27" applyFont="1" applyFill="1" applyBorder="1"/>
    <xf numFmtId="0" fontId="7" fillId="95" borderId="123" xfId="27" applyFont="1" applyFill="1" applyBorder="1"/>
    <xf numFmtId="0" fontId="7" fillId="95" borderId="125" xfId="27" applyFont="1" applyFill="1" applyBorder="1"/>
    <xf numFmtId="0" fontId="7" fillId="95" borderId="27" xfId="27" applyFont="1" applyFill="1" applyBorder="1"/>
    <xf numFmtId="0" fontId="7" fillId="95" borderId="0" xfId="27" applyFont="1" applyFill="1" applyBorder="1"/>
    <xf numFmtId="0" fontId="7" fillId="95" borderId="28" xfId="27" applyFont="1" applyFill="1" applyBorder="1"/>
    <xf numFmtId="43" fontId="28" fillId="95" borderId="28" xfId="144" applyFont="1" applyFill="1" applyBorder="1"/>
    <xf numFmtId="44" fontId="7" fillId="95" borderId="27" xfId="27" applyNumberFormat="1" applyFont="1" applyFill="1" applyBorder="1"/>
    <xf numFmtId="44" fontId="7" fillId="95" borderId="0" xfId="27" applyNumberFormat="1" applyFont="1" applyFill="1" applyBorder="1"/>
    <xf numFmtId="185" fontId="7" fillId="95" borderId="28" xfId="27" applyNumberFormat="1" applyFont="1" applyFill="1" applyBorder="1"/>
    <xf numFmtId="44" fontId="28" fillId="95" borderId="0" xfId="557" applyNumberFormat="1" applyFont="1" applyFill="1" applyBorder="1"/>
    <xf numFmtId="44" fontId="28" fillId="95" borderId="0" xfId="144" applyNumberFormat="1" applyFont="1" applyFill="1" applyBorder="1"/>
    <xf numFmtId="44" fontId="28" fillId="95" borderId="28" xfId="8274" applyFont="1" applyFill="1" applyBorder="1"/>
    <xf numFmtId="43" fontId="28" fillId="95" borderId="0" xfId="557" applyFont="1" applyFill="1" applyBorder="1"/>
    <xf numFmtId="43" fontId="28" fillId="95" borderId="0" xfId="144" applyFont="1" applyFill="1" applyBorder="1"/>
    <xf numFmtId="164" fontId="7" fillId="95" borderId="28" xfId="27" applyNumberFormat="1" applyFont="1" applyFill="1" applyBorder="1"/>
    <xf numFmtId="0" fontId="7" fillId="95" borderId="124" xfId="27" applyFont="1" applyFill="1" applyBorder="1"/>
    <xf numFmtId="0" fontId="7" fillId="95" borderId="56" xfId="27" applyFont="1" applyFill="1" applyBorder="1"/>
    <xf numFmtId="0" fontId="7" fillId="95" borderId="1" xfId="27" applyFont="1" applyFill="1" applyBorder="1"/>
    <xf numFmtId="0" fontId="7" fillId="95" borderId="63" xfId="27" applyFont="1" applyFill="1" applyBorder="1"/>
    <xf numFmtId="44" fontId="7" fillId="95" borderId="28" xfId="27" applyNumberFormat="1" applyFont="1" applyFill="1" applyBorder="1"/>
    <xf numFmtId="164" fontId="7" fillId="95" borderId="0" xfId="27" applyNumberFormat="1" applyFont="1" applyFill="1" applyBorder="1"/>
    <xf numFmtId="43" fontId="28" fillId="95" borderId="1" xfId="144" applyFont="1" applyFill="1" applyBorder="1"/>
    <xf numFmtId="0" fontId="28" fillId="95" borderId="0" xfId="939" applyFont="1" applyFill="1" applyAlignment="1"/>
    <xf numFmtId="0" fontId="28" fillId="95" borderId="0" xfId="939" applyFont="1" applyFill="1" applyAlignment="1">
      <alignment horizontal="right"/>
    </xf>
    <xf numFmtId="0" fontId="170" fillId="95" borderId="0" xfId="939" applyFont="1" applyFill="1" applyAlignment="1"/>
    <xf numFmtId="0" fontId="170" fillId="95" borderId="0" xfId="939" applyFont="1" applyFill="1" applyAlignment="1">
      <alignment horizontal="right"/>
    </xf>
    <xf numFmtId="44" fontId="170" fillId="95" borderId="0" xfId="197" applyFont="1" applyFill="1" applyAlignment="1"/>
    <xf numFmtId="0" fontId="28" fillId="95" borderId="0" xfId="939" applyFont="1" applyFill="1" applyBorder="1" applyAlignment="1"/>
    <xf numFmtId="0" fontId="22" fillId="95" borderId="0" xfId="14985" applyFont="1" applyFill="1" applyAlignment="1">
      <alignment horizontal="center"/>
    </xf>
    <xf numFmtId="0" fontId="22" fillId="95" borderId="0" xfId="14985" applyFont="1" applyFill="1" applyAlignment="1">
      <alignment horizontal="center" wrapText="1"/>
    </xf>
    <xf numFmtId="0" fontId="7" fillId="95" borderId="0" xfId="14985" applyFill="1" applyBorder="1" applyAlignment="1"/>
    <xf numFmtId="0" fontId="4" fillId="95" borderId="0" xfId="0" applyFont="1" applyFill="1" applyAlignment="1">
      <alignment horizontal="center" wrapText="1"/>
    </xf>
    <xf numFmtId="0" fontId="7" fillId="95" borderId="0" xfId="36" applyFill="1" applyAlignment="1">
      <alignment horizontal="center"/>
    </xf>
    <xf numFmtId="164" fontId="7" fillId="95" borderId="0" xfId="147" applyNumberFormat="1" applyFont="1" applyFill="1"/>
    <xf numFmtId="10" fontId="7" fillId="95" borderId="0" xfId="61" applyNumberFormat="1" applyFont="1" applyFill="1" applyBorder="1"/>
    <xf numFmtId="44" fontId="28" fillId="95" borderId="0" xfId="939" applyNumberFormat="1" applyFont="1" applyFill="1" applyBorder="1" applyAlignment="1"/>
    <xf numFmtId="171" fontId="28" fillId="95" borderId="0" xfId="939" applyNumberFormat="1" applyFont="1" applyFill="1" applyBorder="1" applyAlignment="1"/>
    <xf numFmtId="164" fontId="3" fillId="95" borderId="0" xfId="147" applyNumberFormat="1" applyFont="1" applyFill="1"/>
    <xf numFmtId="0" fontId="7" fillId="95" borderId="0" xfId="36" applyFont="1" applyFill="1" applyAlignment="1">
      <alignment horizontal="center"/>
    </xf>
    <xf numFmtId="164" fontId="7" fillId="95" borderId="1" xfId="147" applyNumberFormat="1" applyFont="1" applyFill="1" applyBorder="1"/>
    <xf numFmtId="10" fontId="7" fillId="95" borderId="1" xfId="61" applyNumberFormat="1" applyFont="1" applyFill="1" applyBorder="1"/>
    <xf numFmtId="44" fontId="28" fillId="95" borderId="1" xfId="939" applyNumberFormat="1" applyFont="1" applyFill="1" applyBorder="1" applyAlignment="1"/>
    <xf numFmtId="0" fontId="7" fillId="95" borderId="0" xfId="349" applyFill="1"/>
    <xf numFmtId="0" fontId="3" fillId="95" borderId="0" xfId="0" applyFont="1" applyFill="1"/>
    <xf numFmtId="164" fontId="22" fillId="95" borderId="0" xfId="14985" applyNumberFormat="1" applyFont="1" applyFill="1" applyBorder="1" applyAlignment="1"/>
    <xf numFmtId="9" fontId="22" fillId="95" borderId="0" xfId="1273" applyFont="1" applyFill="1" applyBorder="1" applyAlignment="1"/>
    <xf numFmtId="171" fontId="22" fillId="95" borderId="0" xfId="2" applyNumberFormat="1" applyFont="1" applyFill="1" applyBorder="1" applyAlignment="1"/>
    <xf numFmtId="171" fontId="27" fillId="95" borderId="0" xfId="2" applyNumberFormat="1" applyFont="1" applyFill="1" applyBorder="1" applyAlignment="1"/>
    <xf numFmtId="164" fontId="3" fillId="95" borderId="0" xfId="0" applyNumberFormat="1" applyFont="1" applyFill="1" applyBorder="1"/>
    <xf numFmtId="3" fontId="3" fillId="95" borderId="0" xfId="0" applyNumberFormat="1" applyFont="1" applyFill="1" applyBorder="1"/>
    <xf numFmtId="44" fontId="3" fillId="95" borderId="0" xfId="2" applyFont="1" applyFill="1" applyBorder="1"/>
    <xf numFmtId="171" fontId="28" fillId="95" borderId="0" xfId="939" applyNumberFormat="1" applyFont="1" applyFill="1" applyAlignment="1"/>
    <xf numFmtId="171" fontId="171" fillId="95" borderId="97" xfId="939" applyNumberFormat="1" applyFont="1" applyFill="1" applyBorder="1" applyAlignment="1"/>
    <xf numFmtId="0" fontId="171" fillId="95" borderId="97" xfId="939" applyFont="1" applyFill="1" applyBorder="1" applyAlignment="1"/>
    <xf numFmtId="0" fontId="28" fillId="95" borderId="97" xfId="939" applyFont="1" applyFill="1" applyBorder="1" applyAlignment="1"/>
    <xf numFmtId="44" fontId="170" fillId="95" borderId="0" xfId="939" applyNumberFormat="1" applyFont="1" applyFill="1" applyBorder="1" applyAlignment="1"/>
    <xf numFmtId="171" fontId="170" fillId="95" borderId="0" xfId="939" applyNumberFormat="1" applyFont="1" applyFill="1" applyBorder="1" applyAlignment="1"/>
    <xf numFmtId="44" fontId="170" fillId="95" borderId="0" xfId="939" applyNumberFormat="1" applyFont="1" applyFill="1" applyAlignment="1"/>
    <xf numFmtId="44" fontId="170" fillId="95" borderId="1" xfId="939" applyNumberFormat="1" applyFont="1" applyFill="1" applyBorder="1" applyAlignment="1"/>
    <xf numFmtId="0" fontId="28" fillId="95" borderId="1" xfId="939" applyFont="1" applyFill="1" applyBorder="1" applyAlignment="1"/>
    <xf numFmtId="0" fontId="7" fillId="95" borderId="0" xfId="27" applyFont="1" applyFill="1"/>
    <xf numFmtId="0" fontId="22" fillId="95" borderId="0" xfId="27" applyFont="1" applyFill="1"/>
    <xf numFmtId="0" fontId="72" fillId="95" borderId="0" xfId="27" applyFont="1" applyFill="1"/>
    <xf numFmtId="0" fontId="22" fillId="95" borderId="1" xfId="27" applyFont="1" applyFill="1" applyBorder="1" applyAlignment="1">
      <alignment horizontal="centerContinuous"/>
    </xf>
    <xf numFmtId="0" fontId="22" fillId="95" borderId="0" xfId="27" applyFont="1" applyFill="1" applyAlignment="1">
      <alignment horizontal="right"/>
    </xf>
    <xf numFmtId="0" fontId="7" fillId="95" borderId="0" xfId="27" applyFont="1" applyFill="1" applyAlignment="1">
      <alignment horizontal="right"/>
    </xf>
    <xf numFmtId="40" fontId="22" fillId="95" borderId="0" xfId="144" applyNumberFormat="1" applyFont="1" applyFill="1"/>
    <xf numFmtId="38" fontId="22" fillId="95" borderId="0" xfId="144" applyNumberFormat="1" applyFont="1" applyFill="1"/>
    <xf numFmtId="0" fontId="22" fillId="95" borderId="52" xfId="27" applyFont="1" applyFill="1" applyBorder="1" applyAlignment="1">
      <alignment horizontal="center" vertical="top" wrapText="1"/>
    </xf>
    <xf numFmtId="40" fontId="22" fillId="95" borderId="0" xfId="27" applyNumberFormat="1" applyFont="1" applyFill="1"/>
    <xf numFmtId="40" fontId="22" fillId="95" borderId="0" xfId="27" applyNumberFormat="1" applyFont="1" applyFill="1" applyAlignment="1">
      <alignment horizontal="center"/>
    </xf>
    <xf numFmtId="0" fontId="7" fillId="95" borderId="0" xfId="27" applyFont="1" applyFill="1" applyAlignment="1">
      <alignment horizontal="left"/>
    </xf>
    <xf numFmtId="0" fontId="207" fillId="95" borderId="0" xfId="27" applyFont="1" applyFill="1"/>
    <xf numFmtId="0" fontId="208" fillId="95" borderId="0" xfId="27" applyFont="1" applyFill="1"/>
    <xf numFmtId="0" fontId="7" fillId="95" borderId="1" xfId="27" applyFont="1" applyFill="1" applyBorder="1" applyAlignment="1">
      <alignment horizontal="centerContinuous"/>
    </xf>
    <xf numFmtId="49" fontId="7" fillId="95" borderId="0" xfId="27" applyNumberFormat="1" applyFont="1" applyFill="1" applyAlignment="1">
      <alignment horizontal="left"/>
    </xf>
    <xf numFmtId="0" fontId="7" fillId="95" borderId="0" xfId="27" applyFont="1" applyFill="1" applyAlignment="1">
      <alignment horizontal="left" indent="1"/>
    </xf>
    <xf numFmtId="0" fontId="7" fillId="95" borderId="0" xfId="27" applyNumberFormat="1" applyFont="1" applyFill="1" applyAlignment="1">
      <alignment horizontal="left"/>
    </xf>
    <xf numFmtId="0" fontId="7" fillId="95" borderId="52" xfId="27" applyFont="1" applyFill="1" applyBorder="1" applyAlignment="1">
      <alignment vertical="top"/>
    </xf>
    <xf numFmtId="0" fontId="7" fillId="95" borderId="52" xfId="27" applyFont="1" applyFill="1" applyBorder="1" applyAlignment="1">
      <alignment horizontal="center" vertical="top"/>
    </xf>
    <xf numFmtId="14" fontId="7" fillId="95" borderId="0" xfId="27" applyNumberFormat="1" applyFont="1" applyFill="1"/>
    <xf numFmtId="0" fontId="7" fillId="95" borderId="0" xfId="27" applyFont="1" applyFill="1" applyAlignment="1">
      <alignment horizontal="center"/>
    </xf>
    <xf numFmtId="40" fontId="7" fillId="95" borderId="0" xfId="144" applyNumberFormat="1" applyFont="1" applyFill="1"/>
    <xf numFmtId="0" fontId="7" fillId="95" borderId="57" xfId="27" applyFont="1" applyFill="1" applyBorder="1"/>
    <xf numFmtId="40" fontId="7" fillId="95" borderId="57" xfId="144" applyNumberFormat="1" applyFont="1" applyFill="1" applyBorder="1"/>
    <xf numFmtId="0" fontId="7" fillId="95" borderId="57" xfId="27" applyFont="1" applyFill="1" applyBorder="1" applyAlignment="1">
      <alignment horizontal="right"/>
    </xf>
    <xf numFmtId="43" fontId="7" fillId="95" borderId="0" xfId="27" applyNumberFormat="1" applyFont="1" applyFill="1"/>
    <xf numFmtId="43" fontId="7" fillId="95" borderId="0" xfId="1" applyFont="1" applyFill="1"/>
    <xf numFmtId="43" fontId="22" fillId="95" borderId="0" xfId="1" applyFont="1" applyFill="1"/>
    <xf numFmtId="43" fontId="22" fillId="95" borderId="52" xfId="1" applyFont="1" applyFill="1" applyBorder="1" applyAlignment="1">
      <alignment horizontal="center" vertical="top" wrapText="1"/>
    </xf>
    <xf numFmtId="43" fontId="7" fillId="95" borderId="57" xfId="1" applyFont="1" applyFill="1" applyBorder="1"/>
    <xf numFmtId="43" fontId="22" fillId="98" borderId="128" xfId="1" applyFont="1" applyFill="1" applyBorder="1" applyAlignment="1"/>
    <xf numFmtId="43" fontId="22" fillId="98" borderId="129" xfId="1" applyFont="1" applyFill="1" applyBorder="1" applyAlignment="1"/>
    <xf numFmtId="0" fontId="83" fillId="45" borderId="37" xfId="0" applyNumberFormat="1" applyFont="1" applyFill="1" applyBorder="1" applyAlignment="1">
      <alignment horizontal="center" wrapText="1"/>
    </xf>
    <xf numFmtId="0" fontId="83" fillId="45" borderId="39" xfId="0" applyNumberFormat="1" applyFont="1" applyFill="1" applyBorder="1" applyAlignment="1">
      <alignment horizontal="center" wrapText="1"/>
    </xf>
    <xf numFmtId="3" fontId="170" fillId="41" borderId="0" xfId="27" applyNumberFormat="1" applyFont="1" applyFill="1" applyBorder="1" applyAlignment="1">
      <alignment horizontal="center"/>
    </xf>
    <xf numFmtId="0" fontId="28" fillId="0" borderId="0" xfId="27" applyFont="1" applyBorder="1" applyAlignment="1">
      <alignment horizontal="left" wrapText="1"/>
    </xf>
    <xf numFmtId="0" fontId="181" fillId="94" borderId="0" xfId="2419" applyFont="1" applyFill="1" applyAlignment="1">
      <alignment horizontal="center" wrapText="1"/>
    </xf>
    <xf numFmtId="0" fontId="190" fillId="40" borderId="0" xfId="840" applyFont="1" applyFill="1" applyAlignment="1">
      <alignment horizontal="center"/>
    </xf>
    <xf numFmtId="0" fontId="190" fillId="0" borderId="1" xfId="840" applyFont="1" applyBorder="1" applyAlignment="1">
      <alignment horizontal="center" wrapText="1"/>
    </xf>
    <xf numFmtId="0" fontId="190" fillId="40" borderId="0" xfId="840" applyFont="1" applyFill="1" applyAlignment="1">
      <alignment horizontal="center" wrapText="1"/>
    </xf>
    <xf numFmtId="0" fontId="104" fillId="78" borderId="0" xfId="930" applyNumberFormat="1" applyFont="1" applyFill="1" applyAlignment="1">
      <alignment horizontal="center"/>
    </xf>
    <xf numFmtId="0" fontId="102" fillId="32" borderId="53" xfId="436" applyNumberFormat="1" applyBorder="1" applyAlignment="1">
      <alignment horizontal="center"/>
    </xf>
    <xf numFmtId="0" fontId="102" fillId="32" borderId="54" xfId="436" applyNumberFormat="1" applyBorder="1" applyAlignment="1">
      <alignment horizontal="center"/>
    </xf>
    <xf numFmtId="0" fontId="102" fillId="32" borderId="55" xfId="436" applyNumberFormat="1" applyBorder="1" applyAlignment="1">
      <alignment horizontal="center"/>
    </xf>
    <xf numFmtId="0" fontId="109" fillId="78" borderId="0" xfId="930" applyNumberFormat="1" applyFont="1" applyFill="1" applyBorder="1" applyAlignment="1">
      <alignment horizontal="center"/>
    </xf>
    <xf numFmtId="0" fontId="109" fillId="78" borderId="65" xfId="930" applyNumberFormat="1" applyFont="1" applyFill="1" applyBorder="1" applyAlignment="1">
      <alignment horizontal="center"/>
    </xf>
    <xf numFmtId="0" fontId="121" fillId="32" borderId="0" xfId="436" applyNumberFormat="1" applyFont="1" applyAlignment="1">
      <alignment horizontal="center"/>
    </xf>
    <xf numFmtId="0" fontId="4" fillId="0" borderId="1" xfId="0" applyFont="1" applyBorder="1" applyAlignment="1">
      <alignment horizontal="center"/>
    </xf>
    <xf numFmtId="0" fontId="4" fillId="0" borderId="2" xfId="0" applyFont="1" applyBorder="1" applyAlignment="1">
      <alignment horizontal="center" wrapText="1"/>
    </xf>
    <xf numFmtId="37" fontId="83" fillId="45" borderId="37" xfId="0" applyNumberFormat="1" applyFont="1" applyFill="1" applyBorder="1" applyAlignment="1">
      <alignment horizontal="center" wrapText="1"/>
    </xf>
    <xf numFmtId="37" fontId="83" fillId="45" borderId="39" xfId="0" applyNumberFormat="1" applyFont="1" applyFill="1" applyBorder="1" applyAlignment="1">
      <alignment horizontal="center" wrapText="1"/>
    </xf>
    <xf numFmtId="167" fontId="160" fillId="89" borderId="0" xfId="2343" applyFont="1" applyFill="1" applyAlignment="1">
      <alignment horizontal="center"/>
    </xf>
    <xf numFmtId="0" fontId="72" fillId="38" borderId="0" xfId="27" applyFont="1" applyFill="1" applyAlignment="1">
      <alignment horizontal="center"/>
    </xf>
    <xf numFmtId="0" fontId="186" fillId="0" borderId="0" xfId="27" applyFont="1" applyAlignment="1">
      <alignment horizontal="center"/>
    </xf>
    <xf numFmtId="43" fontId="187" fillId="0" borderId="1" xfId="27" applyNumberFormat="1" applyFont="1" applyBorder="1" applyAlignment="1">
      <alignment horizontal="center"/>
    </xf>
    <xf numFmtId="0" fontId="28" fillId="0" borderId="0" xfId="939" applyFont="1" applyFill="1" applyAlignment="1">
      <alignment horizontal="left" wrapText="1"/>
    </xf>
    <xf numFmtId="164" fontId="22" fillId="95" borderId="1" xfId="10" applyNumberFormat="1" applyFont="1" applyFill="1" applyBorder="1" applyAlignment="1"/>
    <xf numFmtId="164" fontId="22" fillId="95" borderId="0" xfId="10" applyNumberFormat="1" applyFont="1" applyFill="1" applyBorder="1" applyAlignment="1"/>
    <xf numFmtId="17" fontId="22" fillId="95" borderId="0" xfId="10" applyNumberFormat="1" applyFont="1" applyFill="1" applyBorder="1" applyAlignment="1">
      <alignment horizontal="centerContinuous"/>
    </xf>
    <xf numFmtId="17" fontId="22" fillId="95" borderId="52" xfId="10" applyNumberFormat="1" applyFont="1" applyFill="1" applyBorder="1" applyAlignment="1">
      <alignment horizontal="centerContinuous"/>
    </xf>
    <xf numFmtId="0" fontId="22" fillId="95" borderId="0" xfId="6" applyFont="1" applyFill="1" applyBorder="1"/>
    <xf numFmtId="0" fontId="22" fillId="95" borderId="0" xfId="6" applyFont="1" applyFill="1"/>
    <xf numFmtId="17" fontId="5" fillId="95" borderId="52" xfId="10" applyNumberFormat="1" applyFont="1" applyFill="1" applyBorder="1" applyAlignment="1">
      <alignment horizontal="centerContinuous"/>
    </xf>
    <xf numFmtId="164" fontId="24" fillId="95" borderId="0" xfId="10" applyNumberFormat="1" applyFont="1" applyFill="1"/>
    <xf numFmtId="168" fontId="15" fillId="95" borderId="0" xfId="61" applyNumberFormat="1" applyFont="1" applyFill="1" applyBorder="1"/>
    <xf numFmtId="171" fontId="7" fillId="95" borderId="0" xfId="2" applyNumberFormat="1" applyFont="1" applyFill="1"/>
    <xf numFmtId="164" fontId="7" fillId="95" borderId="0" xfId="1" applyNumberFormat="1" applyFont="1" applyFill="1"/>
    <xf numFmtId="164" fontId="7" fillId="95" borderId="0" xfId="10" applyNumberFormat="1" applyFont="1" applyFill="1" applyAlignment="1">
      <alignment horizontal="right"/>
    </xf>
    <xf numFmtId="164" fontId="7" fillId="95" borderId="1" xfId="10" applyNumberFormat="1" applyFont="1" applyFill="1" applyBorder="1"/>
    <xf numFmtId="171" fontId="22" fillId="95" borderId="132" xfId="2" applyNumberFormat="1" applyFont="1" applyFill="1" applyBorder="1"/>
    <xf numFmtId="0" fontId="170" fillId="95" borderId="0" xfId="0" applyFont="1" applyFill="1"/>
    <xf numFmtId="0" fontId="28" fillId="95" borderId="0" xfId="0" applyFont="1" applyFill="1"/>
    <xf numFmtId="0" fontId="28" fillId="95" borderId="0" xfId="0" applyFont="1" applyFill="1" applyAlignment="1">
      <alignment horizontal="center"/>
    </xf>
    <xf numFmtId="0" fontId="170" fillId="95" borderId="1" xfId="21447" quotePrefix="1" applyFont="1" applyFill="1" applyBorder="1" applyAlignment="1">
      <alignment horizontal="center" wrapText="1"/>
    </xf>
    <xf numFmtId="0" fontId="170" fillId="95" borderId="1" xfId="0" applyFont="1" applyFill="1" applyBorder="1" applyAlignment="1">
      <alignment horizontal="center"/>
    </xf>
    <xf numFmtId="1" fontId="28" fillId="95" borderId="0" xfId="60" applyNumberFormat="1" applyFont="1" applyFill="1" applyBorder="1"/>
    <xf numFmtId="37" fontId="28" fillId="95" borderId="0" xfId="60" applyFont="1" applyFill="1"/>
    <xf numFmtId="171" fontId="28" fillId="95" borderId="0" xfId="2" applyNumberFormat="1" applyFont="1" applyFill="1"/>
    <xf numFmtId="43" fontId="28" fillId="95" borderId="0" xfId="0" applyNumberFormat="1" applyFont="1" applyFill="1" applyBorder="1"/>
    <xf numFmtId="171" fontId="28" fillId="95" borderId="123" xfId="2" applyNumberFormat="1" applyFont="1" applyFill="1" applyBorder="1"/>
    <xf numFmtId="171" fontId="28" fillId="95" borderId="0" xfId="2" applyNumberFormat="1" applyFont="1" applyFill="1" applyBorder="1"/>
    <xf numFmtId="10" fontId="28" fillId="95" borderId="97" xfId="383" applyNumberFormat="1" applyFont="1" applyFill="1" applyBorder="1"/>
    <xf numFmtId="37" fontId="185" fillId="95" borderId="0" xfId="60" applyFont="1" applyFill="1"/>
    <xf numFmtId="10" fontId="170" fillId="95" borderId="0" xfId="2295" applyNumberFormat="1" applyFont="1" applyFill="1"/>
    <xf numFmtId="0" fontId="170" fillId="95" borderId="0" xfId="0" applyFont="1" applyFill="1" applyBorder="1"/>
    <xf numFmtId="10" fontId="28" fillId="95" borderId="0" xfId="2295" applyNumberFormat="1" applyFont="1" applyFill="1"/>
    <xf numFmtId="0" fontId="28" fillId="95" borderId="0" xfId="0" applyFont="1" applyFill="1" applyBorder="1"/>
    <xf numFmtId="0" fontId="170" fillId="95" borderId="0" xfId="0" applyFont="1" applyFill="1" applyAlignment="1">
      <alignment horizontal="center"/>
    </xf>
    <xf numFmtId="49" fontId="170" fillId="95" borderId="0" xfId="0" applyNumberFormat="1" applyFont="1" applyFill="1" applyAlignment="1">
      <alignment horizontal="center"/>
    </xf>
    <xf numFmtId="164" fontId="28" fillId="95" borderId="0" xfId="0" applyNumberFormat="1" applyFont="1" applyFill="1" applyBorder="1"/>
    <xf numFmtId="164" fontId="209" fillId="95" borderId="0" xfId="147" applyNumberFormat="1" applyFont="1" applyFill="1" applyBorder="1"/>
    <xf numFmtId="164" fontId="205" fillId="95" borderId="0" xfId="147" applyNumberFormat="1" applyFont="1" applyFill="1" applyBorder="1"/>
    <xf numFmtId="41" fontId="28" fillId="95" borderId="0" xfId="0" applyNumberFormat="1" applyFont="1" applyFill="1" applyBorder="1"/>
    <xf numFmtId="10" fontId="28" fillId="95" borderId="0" xfId="383" applyNumberFormat="1" applyFont="1" applyFill="1" applyBorder="1"/>
    <xf numFmtId="164" fontId="28" fillId="95" borderId="0" xfId="0" applyNumberFormat="1" applyFont="1" applyFill="1"/>
    <xf numFmtId="0" fontId="13" fillId="95" borderId="0" xfId="6" applyNumberFormat="1" applyFont="1" applyFill="1"/>
    <xf numFmtId="0" fontId="210" fillId="95" borderId="0" xfId="6" applyNumberFormat="1" applyFont="1" applyFill="1" applyAlignment="1">
      <alignment horizontal="right"/>
    </xf>
    <xf numFmtId="49" fontId="13" fillId="95" borderId="0" xfId="6" applyNumberFormat="1" applyFont="1" applyFill="1" applyAlignment="1">
      <alignment horizontal="right"/>
    </xf>
    <xf numFmtId="0" fontId="13" fillId="95" borderId="0" xfId="6" applyNumberFormat="1" applyFont="1" applyFill="1" applyAlignment="1">
      <alignment horizontal="left"/>
    </xf>
    <xf numFmtId="0" fontId="13" fillId="95" borderId="0" xfId="6" quotePrefix="1" applyNumberFormat="1" applyFont="1" applyFill="1"/>
    <xf numFmtId="49" fontId="13" fillId="95" borderId="0" xfId="6" applyNumberFormat="1" applyFont="1" applyFill="1" applyAlignment="1">
      <alignment horizontal="left"/>
    </xf>
    <xf numFmtId="9" fontId="22" fillId="95" borderId="0" xfId="6" quotePrefix="1" applyNumberFormat="1" applyFont="1" applyFill="1" applyAlignment="1">
      <alignment horizontal="right"/>
    </xf>
    <xf numFmtId="10" fontId="22" fillId="95" borderId="0" xfId="6" applyNumberFormat="1" applyFont="1" applyFill="1" applyAlignment="1">
      <alignment horizontal="center"/>
    </xf>
    <xf numFmtId="169" fontId="22" fillId="95" borderId="0" xfId="6" quotePrefix="1" applyNumberFormat="1" applyFont="1" applyFill="1" applyAlignment="1">
      <alignment horizontal="left"/>
    </xf>
    <xf numFmtId="0" fontId="13" fillId="95" borderId="52" xfId="6" applyNumberFormat="1" applyFont="1" applyFill="1" applyBorder="1"/>
    <xf numFmtId="0" fontId="7" fillId="95" borderId="1" xfId="6" applyNumberFormat="1" applyFont="1" applyFill="1" applyBorder="1"/>
    <xf numFmtId="0" fontId="13" fillId="95" borderId="1" xfId="6" applyNumberFormat="1" applyFont="1" applyFill="1" applyBorder="1"/>
    <xf numFmtId="0" fontId="7" fillId="95" borderId="0" xfId="6" applyNumberFormat="1" applyFont="1" applyFill="1"/>
    <xf numFmtId="0" fontId="7" fillId="95" borderId="0" xfId="6" applyFont="1" applyFill="1"/>
    <xf numFmtId="164" fontId="13" fillId="95" borderId="0" xfId="4" applyNumberFormat="1" applyFont="1" applyFill="1"/>
    <xf numFmtId="164" fontId="15" fillId="95" borderId="0" xfId="10" applyNumberFormat="1" applyFont="1" applyFill="1"/>
    <xf numFmtId="0" fontId="7" fillId="95" borderId="0" xfId="6" applyFont="1" applyFill="1" applyAlignment="1">
      <alignment horizontal="left"/>
    </xf>
    <xf numFmtId="0" fontId="7" fillId="95" borderId="0" xfId="6" quotePrefix="1" applyFont="1" applyFill="1" applyAlignment="1">
      <alignment horizontal="left"/>
    </xf>
    <xf numFmtId="164" fontId="7" fillId="95" borderId="1" xfId="4" applyNumberFormat="1" applyFont="1" applyFill="1" applyBorder="1"/>
    <xf numFmtId="0" fontId="7" fillId="95" borderId="1" xfId="6" applyFont="1" applyFill="1" applyBorder="1"/>
    <xf numFmtId="164" fontId="7" fillId="95" borderId="0" xfId="4" applyNumberFormat="1" applyFont="1" applyFill="1" applyBorder="1"/>
    <xf numFmtId="0" fontId="7" fillId="95" borderId="0" xfId="36" applyFont="1" applyFill="1"/>
    <xf numFmtId="164" fontId="22" fillId="95" borderId="0" xfId="10" applyNumberFormat="1" applyFont="1" applyFill="1"/>
    <xf numFmtId="0" fontId="22" fillId="95" borderId="0" xfId="6" applyFont="1" applyFill="1" applyAlignment="1">
      <alignment horizontal="left"/>
    </xf>
    <xf numFmtId="0" fontId="7" fillId="0" borderId="0" xfId="6" applyFont="1"/>
    <xf numFmtId="0" fontId="13" fillId="0" borderId="0" xfId="6" applyNumberFormat="1" applyFont="1"/>
    <xf numFmtId="0" fontId="7" fillId="0" borderId="0" xfId="6" quotePrefix="1" applyFont="1" applyAlignment="1">
      <alignment horizontal="left"/>
    </xf>
    <xf numFmtId="0" fontId="7" fillId="0" borderId="0" xfId="6" applyFont="1" applyAlignment="1">
      <alignment horizontal="left"/>
    </xf>
    <xf numFmtId="0" fontId="22" fillId="0" borderId="0" xfId="6" applyFont="1" applyAlignment="1">
      <alignment horizontal="left"/>
    </xf>
    <xf numFmtId="0" fontId="24" fillId="0" borderId="0" xfId="6" applyFont="1" applyFill="1"/>
    <xf numFmtId="164" fontId="24" fillId="0" borderId="0" xfId="10" applyNumberFormat="1" applyFont="1" applyFill="1"/>
  </cellXfs>
  <cellStyles count="25043">
    <cellStyle name="20% - Accent1 2" xfId="64"/>
    <cellStyle name="20% - Accent1 2 2" xfId="65"/>
    <cellStyle name="20% - Accent1 2 2 2" xfId="1293"/>
    <cellStyle name="20% - Accent1 2 2 3" xfId="2346"/>
    <cellStyle name="20% - Accent1 2 3" xfId="446"/>
    <cellStyle name="20% - Accent1 2 3 2" xfId="2347"/>
    <cellStyle name="20% - Accent1 2 4" xfId="447"/>
    <cellStyle name="20% - Accent1 2 4 2" xfId="2348"/>
    <cellStyle name="20% - Accent1 2 5" xfId="1294"/>
    <cellStyle name="20% - Accent1 3" xfId="66"/>
    <cellStyle name="20% - Accent1 3 2" xfId="67"/>
    <cellStyle name="20% - Accent1 3 2 2" xfId="1295"/>
    <cellStyle name="20% - Accent1 3 3" xfId="448"/>
    <cellStyle name="20% - Accent1 3 4" xfId="2349"/>
    <cellStyle name="20% - Accent1 4" xfId="449"/>
    <cellStyle name="20% - Accent1 4 2" xfId="450"/>
    <cellStyle name="20% - Accent1 4 2 2" xfId="21450"/>
    <cellStyle name="20% - Accent1 4 3" xfId="2350"/>
    <cellStyle name="20% - Accent1 4 4" xfId="21451"/>
    <cellStyle name="20% - Accent1 4 5" xfId="21452"/>
    <cellStyle name="20% - Accent1 5" xfId="451"/>
    <cellStyle name="20% - Accent1 5 2" xfId="21453"/>
    <cellStyle name="20% - Accent1 6" xfId="1296"/>
    <cellStyle name="20% - Accent2 2" xfId="68"/>
    <cellStyle name="20% - Accent2 2 2" xfId="1297"/>
    <cellStyle name="20% - Accent2 2 2 2" xfId="2351"/>
    <cellStyle name="20% - Accent2 2 3" xfId="1298"/>
    <cellStyle name="20% - Accent2 2 3 2" xfId="2352"/>
    <cellStyle name="20% - Accent2 2 4" xfId="2353"/>
    <cellStyle name="20% - Accent2 3" xfId="69"/>
    <cellStyle name="20% - Accent2 3 2" xfId="452"/>
    <cellStyle name="20% - Accent2 3 2 2" xfId="2354"/>
    <cellStyle name="20% - Accent2 3 3" xfId="1299"/>
    <cellStyle name="20% - Accent2 4" xfId="453"/>
    <cellStyle name="20% - Accent2 4 2" xfId="1300"/>
    <cellStyle name="20% - Accent2 4 2 2" xfId="21454"/>
    <cellStyle name="20% - Accent2 4 3" xfId="2355"/>
    <cellStyle name="20% - Accent2 5" xfId="454"/>
    <cellStyle name="20% - Accent2 5 2" xfId="21455"/>
    <cellStyle name="20% - Accent2 6" xfId="1301"/>
    <cellStyle name="20% - Accent3 2" xfId="70"/>
    <cellStyle name="20% - Accent3 2 2" xfId="1302"/>
    <cellStyle name="20% - Accent3 2 2 2" xfId="2356"/>
    <cellStyle name="20% - Accent3 3" xfId="71"/>
    <cellStyle name="20% - Accent3 3 2" xfId="455"/>
    <cellStyle name="20% - Accent3 3 2 2" xfId="2357"/>
    <cellStyle name="20% - Accent3 3 3" xfId="1303"/>
    <cellStyle name="20% - Accent3 4" xfId="456"/>
    <cellStyle name="20% - Accent3 4 2" xfId="1304"/>
    <cellStyle name="20% - Accent3 4 2 2" xfId="21456"/>
    <cellStyle name="20% - Accent3 4 3" xfId="2358"/>
    <cellStyle name="20% - Accent3 5" xfId="457"/>
    <cellStyle name="20% - Accent3 5 2" xfId="21457"/>
    <cellStyle name="20% - Accent3 6" xfId="1305"/>
    <cellStyle name="20% - Accent4 2" xfId="72"/>
    <cellStyle name="20% - Accent4 2 2" xfId="73"/>
    <cellStyle name="20% - Accent4 2 2 2" xfId="1306"/>
    <cellStyle name="20% - Accent4 2 2 3" xfId="2359"/>
    <cellStyle name="20% - Accent4 2 3" xfId="458"/>
    <cellStyle name="20% - Accent4 2 3 2" xfId="2360"/>
    <cellStyle name="20% - Accent4 2 4" xfId="2361"/>
    <cellStyle name="20% - Accent4 3" xfId="74"/>
    <cellStyle name="20% - Accent4 3 2" xfId="75"/>
    <cellStyle name="20% - Accent4 3 2 2" xfId="1307"/>
    <cellStyle name="20% - Accent4 3 3" xfId="459"/>
    <cellStyle name="20% - Accent4 3 4" xfId="2362"/>
    <cellStyle name="20% - Accent4 4" xfId="460"/>
    <cellStyle name="20% - Accent4 4 2" xfId="461"/>
    <cellStyle name="20% - Accent4 4 2 2" xfId="21458"/>
    <cellStyle name="20% - Accent4 4 3" xfId="2363"/>
    <cellStyle name="20% - Accent4 4 4" xfId="21459"/>
    <cellStyle name="20% - Accent4 4 5" xfId="21460"/>
    <cellStyle name="20% - Accent4 5" xfId="462"/>
    <cellStyle name="20% - Accent4 5 2" xfId="21461"/>
    <cellStyle name="20% - Accent4 6" xfId="1308"/>
    <cellStyle name="20% - Accent5 2" xfId="76"/>
    <cellStyle name="20% - Accent5 2 2" xfId="1309"/>
    <cellStyle name="20% - Accent5 2 2 2" xfId="21462"/>
    <cellStyle name="20% - Accent5 3" xfId="77"/>
    <cellStyle name="20% - Accent5 3 2" xfId="1310"/>
    <cellStyle name="20% - Accent5 3 2 2" xfId="21463"/>
    <cellStyle name="20% - Accent5 3 3" xfId="1311"/>
    <cellStyle name="20% - Accent5 4" xfId="463"/>
    <cellStyle name="20% - Accent5 4 2" xfId="1312"/>
    <cellStyle name="20% - Accent5 4 2 2" xfId="21464"/>
    <cellStyle name="20% - Accent5 4 3" xfId="21465"/>
    <cellStyle name="20% - Accent5 5" xfId="464"/>
    <cellStyle name="20% - Accent5 5 2" xfId="21466"/>
    <cellStyle name="20% - Accent5 6" xfId="21467"/>
    <cellStyle name="20% - Accent6 2" xfId="78"/>
    <cellStyle name="20% - Accent6 2 2" xfId="1313"/>
    <cellStyle name="20% - Accent6 2 2 2" xfId="2364"/>
    <cellStyle name="20% - Accent6 2 3" xfId="1314"/>
    <cellStyle name="20% - Accent6 2 3 2" xfId="2365"/>
    <cellStyle name="20% - Accent6 3" xfId="79"/>
    <cellStyle name="20% - Accent6 3 2" xfId="465"/>
    <cellStyle name="20% - Accent6 3 2 2" xfId="2366"/>
    <cellStyle name="20% - Accent6 3 3" xfId="1315"/>
    <cellStyle name="20% - Accent6 4" xfId="466"/>
    <cellStyle name="20% - Accent6 4 2" xfId="1316"/>
    <cellStyle name="20% - Accent6 4 2 2" xfId="21468"/>
    <cellStyle name="20% - Accent6 4 3" xfId="21469"/>
    <cellStyle name="20% - Accent6 5" xfId="467"/>
    <cellStyle name="20% - Accent6 5 2" xfId="21470"/>
    <cellStyle name="20% - Accent6 6" xfId="21471"/>
    <cellStyle name="40% - Accent1 2" xfId="80"/>
    <cellStyle name="40% - Accent1 2 2" xfId="425"/>
    <cellStyle name="40% - Accent1 2 3" xfId="468"/>
    <cellStyle name="40% - Accent1 3" xfId="81"/>
    <cellStyle name="40% - Accent1 3 2" xfId="82"/>
    <cellStyle name="40% - Accent1 3 2 2" xfId="1317"/>
    <cellStyle name="40% - Accent1 3 3" xfId="469"/>
    <cellStyle name="40% - Accent1 3 4" xfId="2367"/>
    <cellStyle name="40% - Accent1 4" xfId="470"/>
    <cellStyle name="40% - Accent1 4 2" xfId="471"/>
    <cellStyle name="40% - Accent1 4 2 2" xfId="21472"/>
    <cellStyle name="40% - Accent1 4 3" xfId="2368"/>
    <cellStyle name="40% - Accent1 5" xfId="472"/>
    <cellStyle name="40% - Accent1 5 2" xfId="21473"/>
    <cellStyle name="40% - Accent1 6" xfId="1318"/>
    <cellStyle name="40% - Accent1 7" xfId="21474"/>
    <cellStyle name="40% - Accent2 2" xfId="83"/>
    <cellStyle name="40% - Accent2 2 2" xfId="1319"/>
    <cellStyle name="40% - Accent2 2 2 2" xfId="21475"/>
    <cellStyle name="40% - Accent2 3" xfId="84"/>
    <cellStyle name="40% - Accent2 3 2" xfId="1320"/>
    <cellStyle name="40% - Accent2 3 2 2" xfId="21476"/>
    <cellStyle name="40% - Accent2 3 3" xfId="1321"/>
    <cellStyle name="40% - Accent2 4" xfId="473"/>
    <cellStyle name="40% - Accent2 4 2" xfId="1322"/>
    <cellStyle name="40% - Accent2 4 2 2" xfId="21477"/>
    <cellStyle name="40% - Accent2 4 3" xfId="21478"/>
    <cellStyle name="40% - Accent2 5" xfId="474"/>
    <cellStyle name="40% - Accent2 5 2" xfId="21479"/>
    <cellStyle name="40% - Accent2 6" xfId="21480"/>
    <cellStyle name="40% - Accent3 2" xfId="85"/>
    <cellStyle name="40% - Accent3 2 2" xfId="1323"/>
    <cellStyle name="40% - Accent3 2 2 2" xfId="2369"/>
    <cellStyle name="40% - Accent3 2 3" xfId="1324"/>
    <cellStyle name="40% - Accent3 2 3 2" xfId="2370"/>
    <cellStyle name="40% - Accent3 2 4" xfId="2371"/>
    <cellStyle name="40% - Accent3 3" xfId="86"/>
    <cellStyle name="40% - Accent3 3 2" xfId="475"/>
    <cellStyle name="40% - Accent3 3 2 2" xfId="2372"/>
    <cellStyle name="40% - Accent3 3 3" xfId="1325"/>
    <cellStyle name="40% - Accent3 4" xfId="476"/>
    <cellStyle name="40% - Accent3 4 2" xfId="1326"/>
    <cellStyle name="40% - Accent3 4 2 2" xfId="21481"/>
    <cellStyle name="40% - Accent3 4 3" xfId="2373"/>
    <cellStyle name="40% - Accent3 5" xfId="477"/>
    <cellStyle name="40% - Accent3 5 2" xfId="21482"/>
    <cellStyle name="40% - Accent3 6" xfId="1327"/>
    <cellStyle name="40% - Accent4 2" xfId="87"/>
    <cellStyle name="40% - Accent4 2 2" xfId="426"/>
    <cellStyle name="40% - Accent4 2 3" xfId="478"/>
    <cellStyle name="40% - Accent4 3" xfId="88"/>
    <cellStyle name="40% - Accent4 3 2" xfId="89"/>
    <cellStyle name="40% - Accent4 3 2 2" xfId="1328"/>
    <cellStyle name="40% - Accent4 3 3" xfId="479"/>
    <cellStyle name="40% - Accent4 3 4" xfId="2374"/>
    <cellStyle name="40% - Accent4 4" xfId="480"/>
    <cellStyle name="40% - Accent4 4 2" xfId="481"/>
    <cellStyle name="40% - Accent4 4 2 2" xfId="21483"/>
    <cellStyle name="40% - Accent4 4 3" xfId="2375"/>
    <cellStyle name="40% - Accent4 5" xfId="482"/>
    <cellStyle name="40% - Accent4 5 2" xfId="21484"/>
    <cellStyle name="40% - Accent4 6" xfId="1329"/>
    <cellStyle name="40% - Accent4 7" xfId="21485"/>
    <cellStyle name="40% - Accent5 2" xfId="90"/>
    <cellStyle name="40% - Accent5 2 2" xfId="427"/>
    <cellStyle name="40% - Accent5 2 3" xfId="483"/>
    <cellStyle name="40% - Accent5 3" xfId="91"/>
    <cellStyle name="40% - Accent5 3 2" xfId="484"/>
    <cellStyle name="40% - Accent5 3 2 2" xfId="2376"/>
    <cellStyle name="40% - Accent5 3 3" xfId="1330"/>
    <cellStyle name="40% - Accent5 4" xfId="485"/>
    <cellStyle name="40% - Accent5 4 2" xfId="1331"/>
    <cellStyle name="40% - Accent5 4 2 2" xfId="21486"/>
    <cellStyle name="40% - Accent5 4 3" xfId="21487"/>
    <cellStyle name="40% - Accent5 5" xfId="486"/>
    <cellStyle name="40% - Accent5 5 2" xfId="21488"/>
    <cellStyle name="40% - Accent5 6" xfId="21489"/>
    <cellStyle name="40% - Accent6 2" xfId="92"/>
    <cellStyle name="40% - Accent6 2 2" xfId="428"/>
    <cellStyle name="40% - Accent6 2 2 2" xfId="1332"/>
    <cellStyle name="40% - Accent6 2 3" xfId="487"/>
    <cellStyle name="40% - Accent6 2 3 2" xfId="2377"/>
    <cellStyle name="40% - Accent6 3" xfId="93"/>
    <cellStyle name="40% - Accent6 3 2" xfId="94"/>
    <cellStyle name="40% - Accent6 3 2 2" xfId="1333"/>
    <cellStyle name="40% - Accent6 3 3" xfId="488"/>
    <cellStyle name="40% - Accent6 3 4" xfId="2378"/>
    <cellStyle name="40% - Accent6 4" xfId="489"/>
    <cellStyle name="40% - Accent6 4 2" xfId="490"/>
    <cellStyle name="40% - Accent6 4 2 2" xfId="21490"/>
    <cellStyle name="40% - Accent6 4 3" xfId="2379"/>
    <cellStyle name="40% - Accent6 5" xfId="491"/>
    <cellStyle name="40% - Accent6 5 2" xfId="21491"/>
    <cellStyle name="40% - Accent6 6" xfId="1334"/>
    <cellStyle name="40% - Accent6 7" xfId="21492"/>
    <cellStyle name="60% - Accent1 2" xfId="95"/>
    <cellStyle name="60% - Accent1 2 2" xfId="96"/>
    <cellStyle name="60% - Accent1 2 2 2" xfId="1335"/>
    <cellStyle name="60% - Accent1 2 2 3" xfId="2380"/>
    <cellStyle name="60% - Accent1 2 3" xfId="492"/>
    <cellStyle name="60% - Accent1 2 3 2" xfId="2381"/>
    <cellStyle name="60% - Accent1 2 4" xfId="493"/>
    <cellStyle name="60% - Accent1 2 4 2" xfId="2382"/>
    <cellStyle name="60% - Accent1 3" xfId="97"/>
    <cellStyle name="60% - Accent1 3 2" xfId="98"/>
    <cellStyle name="60% - Accent1 3 3" xfId="494"/>
    <cellStyle name="60% - Accent1 3 4" xfId="2383"/>
    <cellStyle name="60% - Accent1 4" xfId="495"/>
    <cellStyle name="60% - Accent1 4 2" xfId="496"/>
    <cellStyle name="60% - Accent1 4 3" xfId="2384"/>
    <cellStyle name="60% - Accent2 2" xfId="99"/>
    <cellStyle name="60% - Accent2 2 2" xfId="497"/>
    <cellStyle name="60% - Accent2 2 3" xfId="498"/>
    <cellStyle name="60% - Accent2 3" xfId="100"/>
    <cellStyle name="60% - Accent2 3 2" xfId="499"/>
    <cellStyle name="60% - Accent2 3 2 2" xfId="2385"/>
    <cellStyle name="60% - Accent2 3 3" xfId="2386"/>
    <cellStyle name="60% - Accent2 4" xfId="500"/>
    <cellStyle name="60% - Accent3 2" xfId="101"/>
    <cellStyle name="60% - Accent3 2 2" xfId="501"/>
    <cellStyle name="60% - Accent3 2 3" xfId="502"/>
    <cellStyle name="60% - Accent3 2 3 2" xfId="2387"/>
    <cellStyle name="60% - Accent3 3" xfId="102"/>
    <cellStyle name="60% - Accent3 3 2" xfId="103"/>
    <cellStyle name="60% - Accent3 3 3" xfId="503"/>
    <cellStyle name="60% - Accent3 3 4" xfId="2388"/>
    <cellStyle name="60% - Accent3 4" xfId="504"/>
    <cellStyle name="60% - Accent3 4 2" xfId="505"/>
    <cellStyle name="60% - Accent3 4 3" xfId="2389"/>
    <cellStyle name="60% - Accent3 4 4" xfId="21493"/>
    <cellStyle name="60% - Accent4 2" xfId="104"/>
    <cellStyle name="60% - Accent4 2 2" xfId="506"/>
    <cellStyle name="60% - Accent4 2 3" xfId="507"/>
    <cellStyle name="60% - Accent4 2 3 2" xfId="2390"/>
    <cellStyle name="60% - Accent4 3" xfId="105"/>
    <cellStyle name="60% - Accent4 3 2" xfId="106"/>
    <cellStyle name="60% - Accent4 3 3" xfId="508"/>
    <cellStyle name="60% - Accent4 3 4" xfId="2391"/>
    <cellStyle name="60% - Accent4 4" xfId="509"/>
    <cellStyle name="60% - Accent4 4 2" xfId="510"/>
    <cellStyle name="60% - Accent4 4 3" xfId="2392"/>
    <cellStyle name="60% - Accent4 4 4" xfId="21494"/>
    <cellStyle name="60% - Accent5 2" xfId="107"/>
    <cellStyle name="60% - Accent5 2 2" xfId="108"/>
    <cellStyle name="60% - Accent5 2 2 2" xfId="1336"/>
    <cellStyle name="60% - Accent5 2 2 3" xfId="2393"/>
    <cellStyle name="60% - Accent5 2 3" xfId="511"/>
    <cellStyle name="60% - Accent5 2 3 2" xfId="2394"/>
    <cellStyle name="60% - Accent5 2 4" xfId="512"/>
    <cellStyle name="60% - Accent5 2 4 2" xfId="2395"/>
    <cellStyle name="60% - Accent5 3" xfId="109"/>
    <cellStyle name="60% - Accent5 3 2" xfId="513"/>
    <cellStyle name="60% - Accent5 3 2 2" xfId="2396"/>
    <cellStyle name="60% - Accent5 3 3" xfId="2397"/>
    <cellStyle name="60% - Accent5 4" xfId="514"/>
    <cellStyle name="60% - Accent5 4 2" xfId="2398"/>
    <cellStyle name="60% - Accent6 2" xfId="110"/>
    <cellStyle name="60% - Accent6 2 2" xfId="1337"/>
    <cellStyle name="60% - Accent6 2 2 2" xfId="2399"/>
    <cellStyle name="60% - Accent6 2 3" xfId="1338"/>
    <cellStyle name="60% - Accent6 2 3 2" xfId="2400"/>
    <cellStyle name="60% - Accent6 2 4" xfId="2401"/>
    <cellStyle name="60% - Accent6 3" xfId="111"/>
    <cellStyle name="60% - Accent6 3 2" xfId="515"/>
    <cellStyle name="60% - Accent6 3 2 2" xfId="2402"/>
    <cellStyle name="60% - Accent6 3 3" xfId="2403"/>
    <cellStyle name="60% - Accent6 4" xfId="516"/>
    <cellStyle name="60% - Accent6 4 2" xfId="2404"/>
    <cellStyle name="Accent1 2" xfId="112"/>
    <cellStyle name="Accent1 2 2" xfId="113"/>
    <cellStyle name="Accent1 2 2 2" xfId="1339"/>
    <cellStyle name="Accent1 2 2 3" xfId="2405"/>
    <cellStyle name="Accent1 2 3" xfId="517"/>
    <cellStyle name="Accent1 2 3 2" xfId="2406"/>
    <cellStyle name="Accent1 2 4" xfId="518"/>
    <cellStyle name="Accent1 2 4 2" xfId="2407"/>
    <cellStyle name="Accent1 3" xfId="114"/>
    <cellStyle name="Accent1 3 2" xfId="115"/>
    <cellStyle name="Accent1 3 3" xfId="519"/>
    <cellStyle name="Accent1 3 4" xfId="2408"/>
    <cellStyle name="Accent1 4" xfId="520"/>
    <cellStyle name="Accent1 4 2" xfId="521"/>
    <cellStyle name="Accent2 2" xfId="116"/>
    <cellStyle name="Accent2 2 2" xfId="522"/>
    <cellStyle name="Accent2 2 3" xfId="523"/>
    <cellStyle name="Accent2 3" xfId="117"/>
    <cellStyle name="Accent2 3 2" xfId="524"/>
    <cellStyle name="Accent2 3 2 2" xfId="2409"/>
    <cellStyle name="Accent2 3 3" xfId="2410"/>
    <cellStyle name="Accent2 4" xfId="525"/>
    <cellStyle name="Accent3 2" xfId="118"/>
    <cellStyle name="Accent3 2 2" xfId="119"/>
    <cellStyle name="Accent3 2 2 2" xfId="2411"/>
    <cellStyle name="Accent3 2 3" xfId="526"/>
    <cellStyle name="Accent3 2 4" xfId="527"/>
    <cellStyle name="Accent3 2 4 2" xfId="21495"/>
    <cellStyle name="Accent3 3" xfId="120"/>
    <cellStyle name="Accent3 3 2" xfId="528"/>
    <cellStyle name="Accent3 3 2 2" xfId="2412"/>
    <cellStyle name="Accent3 3 3" xfId="2413"/>
    <cellStyle name="Accent3 4" xfId="529"/>
    <cellStyle name="Accent4 2" xfId="121"/>
    <cellStyle name="Accent4 2 2" xfId="530"/>
    <cellStyle name="Accent4 2 2 2" xfId="531"/>
    <cellStyle name="Accent4 2 2 2 2" xfId="2414"/>
    <cellStyle name="Accent4 2 2 3" xfId="21496"/>
    <cellStyle name="Accent4 2 3" xfId="532"/>
    <cellStyle name="Accent4 2 3 2" xfId="2415"/>
    <cellStyle name="Accent4 3" xfId="122"/>
    <cellStyle name="Accent4 3 2" xfId="533"/>
    <cellStyle name="Accent4 3 2 2" xfId="2416"/>
    <cellStyle name="Accent4 3 3" xfId="2417"/>
    <cellStyle name="Accent4 4" xfId="534"/>
    <cellStyle name="Accent4 4 2" xfId="2418"/>
    <cellStyle name="Accent5 2" xfId="123"/>
    <cellStyle name="Accent5 2 2" xfId="438"/>
    <cellStyle name="Accent5 2 2 2" xfId="2419"/>
    <cellStyle name="Accent5 2 2 2 2" xfId="2420"/>
    <cellStyle name="Accent5 2 2 3" xfId="21497"/>
    <cellStyle name="Accent5 2 3" xfId="535"/>
    <cellStyle name="Accent5 2 3 2" xfId="2421"/>
    <cellStyle name="Accent5 2 4" xfId="536"/>
    <cellStyle name="Accent5 2 4 2" xfId="2422"/>
    <cellStyle name="Accent5 2 4 3" xfId="2423"/>
    <cellStyle name="Accent5 2 5" xfId="2424"/>
    <cellStyle name="Accent5 3" xfId="124"/>
    <cellStyle name="Accent5 4" xfId="537"/>
    <cellStyle name="Accent5 4 2" xfId="2425"/>
    <cellStyle name="Accent6 2" xfId="125"/>
    <cellStyle name="Accent6 2 2" xfId="126"/>
    <cellStyle name="Accent6 2 2 2" xfId="2426"/>
    <cellStyle name="Accent6 2 3" xfId="538"/>
    <cellStyle name="Accent6 2 4" xfId="539"/>
    <cellStyle name="Accent6 2 4 2" xfId="21498"/>
    <cellStyle name="Accent6 3" xfId="127"/>
    <cellStyle name="Accent6 3 2" xfId="540"/>
    <cellStyle name="Accent6 3 2 2" xfId="2427"/>
    <cellStyle name="Accent6 3 3" xfId="2428"/>
    <cellStyle name="Accent6 4" xfId="541"/>
    <cellStyle name="Accounting" xfId="9"/>
    <cellStyle name="Accounting 2" xfId="128"/>
    <cellStyle name="Accounting 2 2" xfId="1340"/>
    <cellStyle name="Accounting 3" xfId="129"/>
    <cellStyle name="Accounting 3 2" xfId="1341"/>
    <cellStyle name="Accounting 4" xfId="1342"/>
    <cellStyle name="Accounting 5" xfId="2429"/>
    <cellStyle name="Accounting_2011-11" xfId="130"/>
    <cellStyle name="APS" xfId="542"/>
    <cellStyle name="APSLabels" xfId="543"/>
    <cellStyle name="APSLabels 10" xfId="2430"/>
    <cellStyle name="APSLabels 11" xfId="2431"/>
    <cellStyle name="APSLabels 12" xfId="2432"/>
    <cellStyle name="APSLabels 13" xfId="2433"/>
    <cellStyle name="APSLabels 14" xfId="2434"/>
    <cellStyle name="APSLabels 2" xfId="2435"/>
    <cellStyle name="APSLabels 2 10" xfId="2436"/>
    <cellStyle name="APSLabels 2 2" xfId="2437"/>
    <cellStyle name="APSLabels 2 2 2" xfId="2438"/>
    <cellStyle name="APSLabels 2 2 2 2" xfId="2439"/>
    <cellStyle name="APSLabels 2 2 2 2 2" xfId="2440"/>
    <cellStyle name="APSLabels 2 2 2 2 3" xfId="2441"/>
    <cellStyle name="APSLabels 2 2 2 2 4" xfId="2442"/>
    <cellStyle name="APSLabels 2 2 2 2 5" xfId="2443"/>
    <cellStyle name="APSLabels 2 2 2 3" xfId="2444"/>
    <cellStyle name="APSLabels 2 2 2 4" xfId="2445"/>
    <cellStyle name="APSLabels 2 2 2 5" xfId="2446"/>
    <cellStyle name="APSLabels 2 2 2 6" xfId="2447"/>
    <cellStyle name="APSLabels 2 2 3" xfId="2448"/>
    <cellStyle name="APSLabels 2 2 3 2" xfId="2449"/>
    <cellStyle name="APSLabels 2 2 3 2 2" xfId="2450"/>
    <cellStyle name="APSLabels 2 2 3 2 3" xfId="2451"/>
    <cellStyle name="APSLabels 2 2 3 2 4" xfId="2452"/>
    <cellStyle name="APSLabels 2 2 3 2 5" xfId="2453"/>
    <cellStyle name="APSLabels 2 2 3 3" xfId="2454"/>
    <cellStyle name="APSLabels 2 2 3 4" xfId="2455"/>
    <cellStyle name="APSLabels 2 2 3 5" xfId="2456"/>
    <cellStyle name="APSLabels 2 2 3 6" xfId="2457"/>
    <cellStyle name="APSLabels 2 2 4" xfId="2458"/>
    <cellStyle name="APSLabels 2 2 4 2" xfId="2459"/>
    <cellStyle name="APSLabels 2 2 4 3" xfId="2460"/>
    <cellStyle name="APSLabels 2 2 4 4" xfId="2461"/>
    <cellStyle name="APSLabels 2 2 4 5" xfId="2462"/>
    <cellStyle name="APSLabels 2 2 5" xfId="2463"/>
    <cellStyle name="APSLabels 2 2 5 2" xfId="2464"/>
    <cellStyle name="APSLabels 2 2 5 3" xfId="2465"/>
    <cellStyle name="APSLabels 2 2 5 4" xfId="2466"/>
    <cellStyle name="APSLabels 2 2 5 5" xfId="2467"/>
    <cellStyle name="APSLabels 2 2 6" xfId="2468"/>
    <cellStyle name="APSLabels 2 2 7" xfId="2469"/>
    <cellStyle name="APSLabels 2 2 8" xfId="2470"/>
    <cellStyle name="APSLabels 2 2 9" xfId="2471"/>
    <cellStyle name="APSLabels 2 3" xfId="2472"/>
    <cellStyle name="APSLabels 2 3 2" xfId="2473"/>
    <cellStyle name="APSLabels 2 3 2 2" xfId="2474"/>
    <cellStyle name="APSLabels 2 3 2 3" xfId="2475"/>
    <cellStyle name="APSLabels 2 3 2 4" xfId="2476"/>
    <cellStyle name="APSLabels 2 3 2 5" xfId="2477"/>
    <cellStyle name="APSLabels 2 3 3" xfId="2478"/>
    <cellStyle name="APSLabels 2 3 4" xfId="2479"/>
    <cellStyle name="APSLabels 2 3 5" xfId="2480"/>
    <cellStyle name="APSLabels 2 3 6" xfId="2481"/>
    <cellStyle name="APSLabels 2 4" xfId="2482"/>
    <cellStyle name="APSLabels 2 4 2" xfId="2483"/>
    <cellStyle name="APSLabels 2 4 2 2" xfId="2484"/>
    <cellStyle name="APSLabels 2 4 2 3" xfId="2485"/>
    <cellStyle name="APSLabels 2 4 2 4" xfId="2486"/>
    <cellStyle name="APSLabels 2 4 2 5" xfId="2487"/>
    <cellStyle name="APSLabels 2 4 3" xfId="2488"/>
    <cellStyle name="APSLabels 2 4 4" xfId="2489"/>
    <cellStyle name="APSLabels 2 4 5" xfId="2490"/>
    <cellStyle name="APSLabels 2 4 6" xfId="2491"/>
    <cellStyle name="APSLabels 2 5" xfId="2492"/>
    <cellStyle name="APSLabels 2 5 2" xfId="2493"/>
    <cellStyle name="APSLabels 2 5 3" xfId="2494"/>
    <cellStyle name="APSLabels 2 5 4" xfId="2495"/>
    <cellStyle name="APSLabels 2 5 5" xfId="2496"/>
    <cellStyle name="APSLabels 2 6" xfId="2497"/>
    <cellStyle name="APSLabels 2 6 2" xfId="2498"/>
    <cellStyle name="APSLabels 2 6 3" xfId="2499"/>
    <cellStyle name="APSLabels 2 6 4" xfId="2500"/>
    <cellStyle name="APSLabels 2 6 5" xfId="2501"/>
    <cellStyle name="APSLabels 2 7" xfId="2502"/>
    <cellStyle name="APSLabels 2 8" xfId="2503"/>
    <cellStyle name="APSLabels 2 9" xfId="2504"/>
    <cellStyle name="APSLabels 3" xfId="2505"/>
    <cellStyle name="APSLabels 3 10" xfId="2506"/>
    <cellStyle name="APSLabels 3 11" xfId="2507"/>
    <cellStyle name="APSLabels 3 2" xfId="2508"/>
    <cellStyle name="APSLabels 3 2 2" xfId="2509"/>
    <cellStyle name="APSLabels 3 2 2 2" xfId="2510"/>
    <cellStyle name="APSLabels 3 2 2 3" xfId="2511"/>
    <cellStyle name="APSLabels 3 2 2 4" xfId="2512"/>
    <cellStyle name="APSLabels 3 2 2 5" xfId="2513"/>
    <cellStyle name="APSLabels 3 2 3" xfId="2514"/>
    <cellStyle name="APSLabels 3 2 4" xfId="2515"/>
    <cellStyle name="APSLabels 3 2 5" xfId="2516"/>
    <cellStyle name="APSLabels 3 2 6" xfId="2517"/>
    <cellStyle name="APSLabels 3 3" xfId="2518"/>
    <cellStyle name="APSLabels 3 3 2" xfId="2519"/>
    <cellStyle name="APSLabels 3 3 2 2" xfId="2520"/>
    <cellStyle name="APSLabels 3 3 2 3" xfId="2521"/>
    <cellStyle name="APSLabels 3 3 2 4" xfId="2522"/>
    <cellStyle name="APSLabels 3 3 2 5" xfId="2523"/>
    <cellStyle name="APSLabels 3 3 3" xfId="2524"/>
    <cellStyle name="APSLabels 3 3 4" xfId="2525"/>
    <cellStyle name="APSLabels 3 3 5" xfId="2526"/>
    <cellStyle name="APSLabels 3 3 6" xfId="2527"/>
    <cellStyle name="APSLabels 3 4" xfId="2528"/>
    <cellStyle name="APSLabels 3 4 2" xfId="2529"/>
    <cellStyle name="APSLabels 3 4 3" xfId="2530"/>
    <cellStyle name="APSLabels 3 4 4" xfId="2531"/>
    <cellStyle name="APSLabels 3 4 5" xfId="2532"/>
    <cellStyle name="APSLabels 3 5" xfId="2533"/>
    <cellStyle name="APSLabels 3 5 2" xfId="2534"/>
    <cellStyle name="APSLabels 3 5 3" xfId="2535"/>
    <cellStyle name="APSLabels 3 5 4" xfId="2536"/>
    <cellStyle name="APSLabels 3 5 5" xfId="2537"/>
    <cellStyle name="APSLabels 3 6" xfId="2538"/>
    <cellStyle name="APSLabels 3 7" xfId="2539"/>
    <cellStyle name="APSLabels 3 8" xfId="2540"/>
    <cellStyle name="APSLabels 3 9" xfId="2541"/>
    <cellStyle name="APSLabels 4" xfId="2542"/>
    <cellStyle name="APSLabels 4 10" xfId="2543"/>
    <cellStyle name="APSLabels 4 11" xfId="2544"/>
    <cellStyle name="APSLabels 4 2" xfId="2545"/>
    <cellStyle name="APSLabels 4 2 2" xfId="2546"/>
    <cellStyle name="APSLabels 4 2 2 2" xfId="2547"/>
    <cellStyle name="APSLabels 4 2 2 3" xfId="2548"/>
    <cellStyle name="APSLabels 4 2 2 4" xfId="2549"/>
    <cellStyle name="APSLabels 4 2 2 5" xfId="2550"/>
    <cellStyle name="APSLabels 4 2 3" xfId="2551"/>
    <cellStyle name="APSLabels 4 2 4" xfId="2552"/>
    <cellStyle name="APSLabels 4 2 5" xfId="2553"/>
    <cellStyle name="APSLabels 4 2 6" xfId="2554"/>
    <cellStyle name="APSLabels 4 3" xfId="2555"/>
    <cellStyle name="APSLabels 4 3 2" xfId="2556"/>
    <cellStyle name="APSLabels 4 3 2 2" xfId="2557"/>
    <cellStyle name="APSLabels 4 3 2 3" xfId="2558"/>
    <cellStyle name="APSLabels 4 3 2 4" xfId="2559"/>
    <cellStyle name="APSLabels 4 3 2 5" xfId="2560"/>
    <cellStyle name="APSLabels 4 3 3" xfId="2561"/>
    <cellStyle name="APSLabels 4 3 4" xfId="2562"/>
    <cellStyle name="APSLabels 4 3 5" xfId="2563"/>
    <cellStyle name="APSLabels 4 3 6" xfId="2564"/>
    <cellStyle name="APSLabels 4 4" xfId="2565"/>
    <cellStyle name="APSLabels 4 4 2" xfId="2566"/>
    <cellStyle name="APSLabels 4 4 3" xfId="2567"/>
    <cellStyle name="APSLabels 4 4 4" xfId="2568"/>
    <cellStyle name="APSLabels 4 4 5" xfId="2569"/>
    <cellStyle name="APSLabels 4 5" xfId="2570"/>
    <cellStyle name="APSLabels 4 5 2" xfId="2571"/>
    <cellStyle name="APSLabels 4 5 3" xfId="2572"/>
    <cellStyle name="APSLabels 4 5 4" xfId="2573"/>
    <cellStyle name="APSLabels 4 5 5" xfId="2574"/>
    <cellStyle name="APSLabels 4 6" xfId="2575"/>
    <cellStyle name="APSLabels 4 7" xfId="2576"/>
    <cellStyle name="APSLabels 4 8" xfId="2577"/>
    <cellStyle name="APSLabels 4 9" xfId="2578"/>
    <cellStyle name="APSLabels 5" xfId="2579"/>
    <cellStyle name="APSLabels 5 2" xfId="2580"/>
    <cellStyle name="APSLabels 5 2 2" xfId="2581"/>
    <cellStyle name="APSLabels 5 2 3" xfId="2582"/>
    <cellStyle name="APSLabels 5 2 4" xfId="2583"/>
    <cellStyle name="APSLabels 5 2 5" xfId="2584"/>
    <cellStyle name="APSLabels 5 3" xfId="2585"/>
    <cellStyle name="APSLabels 5 4" xfId="2586"/>
    <cellStyle name="APSLabels 5 5" xfId="2587"/>
    <cellStyle name="APSLabels 5 6" xfId="2588"/>
    <cellStyle name="APSLabels 6" xfId="2589"/>
    <cellStyle name="APSLabels 6 2" xfId="2590"/>
    <cellStyle name="APSLabels 6 2 2" xfId="2591"/>
    <cellStyle name="APSLabels 6 2 3" xfId="2592"/>
    <cellStyle name="APSLabels 6 2 4" xfId="2593"/>
    <cellStyle name="APSLabels 6 2 5" xfId="2594"/>
    <cellStyle name="APSLabels 6 3" xfId="2595"/>
    <cellStyle name="APSLabels 6 4" xfId="2596"/>
    <cellStyle name="APSLabels 6 5" xfId="2597"/>
    <cellStyle name="APSLabels 6 6" xfId="2598"/>
    <cellStyle name="APSLabels 7" xfId="2599"/>
    <cellStyle name="APSLabels 7 2" xfId="2600"/>
    <cellStyle name="APSLabels 7 3" xfId="2601"/>
    <cellStyle name="APSLabels 7 4" xfId="2602"/>
    <cellStyle name="APSLabels 7 5" xfId="2603"/>
    <cellStyle name="APSLabels 8" xfId="2604"/>
    <cellStyle name="APSLabels 8 2" xfId="2605"/>
    <cellStyle name="APSLabels 8 3" xfId="2606"/>
    <cellStyle name="APSLabels 8 4" xfId="2607"/>
    <cellStyle name="APSLabels 8 5" xfId="2608"/>
    <cellStyle name="APSLabels 9" xfId="2609"/>
    <cellStyle name="Bad 2" xfId="131"/>
    <cellStyle name="Bad 2 2" xfId="544"/>
    <cellStyle name="Bad 2 3" xfId="545"/>
    <cellStyle name="Bad 3" xfId="132"/>
    <cellStyle name="Bad 3 2" xfId="546"/>
    <cellStyle name="Bad 3 2 2" xfId="2610"/>
    <cellStyle name="Bad 3 3" xfId="2611"/>
    <cellStyle name="Bad 4" xfId="547"/>
    <cellStyle name="Budget" xfId="133"/>
    <cellStyle name="Budget 2" xfId="134"/>
    <cellStyle name="Budget 3" xfId="135"/>
    <cellStyle name="Budget_2011-11" xfId="136"/>
    <cellStyle name="Calculation 2" xfId="137"/>
    <cellStyle name="Calculation 2 10" xfId="2612"/>
    <cellStyle name="Calculation 2 10 2" xfId="2613"/>
    <cellStyle name="Calculation 2 10 3" xfId="2614"/>
    <cellStyle name="Calculation 2 10 4" xfId="2615"/>
    <cellStyle name="Calculation 2 10 5" xfId="2616"/>
    <cellStyle name="Calculation 2 10 6" xfId="2617"/>
    <cellStyle name="Calculation 2 10 7" xfId="2618"/>
    <cellStyle name="Calculation 2 11" xfId="2619"/>
    <cellStyle name="Calculation 2 11 2" xfId="2620"/>
    <cellStyle name="Calculation 2 11 3" xfId="2621"/>
    <cellStyle name="Calculation 2 11 4" xfId="2622"/>
    <cellStyle name="Calculation 2 11 5" xfId="2623"/>
    <cellStyle name="Calculation 2 11 6" xfId="2624"/>
    <cellStyle name="Calculation 2 11 7" xfId="2625"/>
    <cellStyle name="Calculation 2 2" xfId="138"/>
    <cellStyle name="Calculation 2 2 2" xfId="1343"/>
    <cellStyle name="Calculation 2 2 2 10" xfId="2626"/>
    <cellStyle name="Calculation 2 2 2 11" xfId="2627"/>
    <cellStyle name="Calculation 2 2 2 12" xfId="2628"/>
    <cellStyle name="Calculation 2 2 2 13" xfId="2629"/>
    <cellStyle name="Calculation 2 2 2 2" xfId="2630"/>
    <cellStyle name="Calculation 2 2 2 2 2" xfId="2631"/>
    <cellStyle name="Calculation 2 2 2 2 2 2" xfId="2632"/>
    <cellStyle name="Calculation 2 2 2 2 2 2 2" xfId="2633"/>
    <cellStyle name="Calculation 2 2 2 2 2 2 3" xfId="2634"/>
    <cellStyle name="Calculation 2 2 2 2 2 2 4" xfId="2635"/>
    <cellStyle name="Calculation 2 2 2 2 2 2 5" xfId="2636"/>
    <cellStyle name="Calculation 2 2 2 2 2 2 6" xfId="2637"/>
    <cellStyle name="Calculation 2 2 2 2 2 2 7" xfId="2638"/>
    <cellStyle name="Calculation 2 2 2 2 2 3" xfId="2639"/>
    <cellStyle name="Calculation 2 2 2 2 2 4" xfId="2640"/>
    <cellStyle name="Calculation 2 2 2 2 2 5" xfId="2641"/>
    <cellStyle name="Calculation 2 2 2 2 2 6" xfId="2642"/>
    <cellStyle name="Calculation 2 2 2 2 2 7" xfId="2643"/>
    <cellStyle name="Calculation 2 2 2 2 2 8" xfId="2644"/>
    <cellStyle name="Calculation 2 2 2 2 3" xfId="2645"/>
    <cellStyle name="Calculation 2 2 2 2 3 2" xfId="2646"/>
    <cellStyle name="Calculation 2 2 2 2 3 2 2" xfId="2647"/>
    <cellStyle name="Calculation 2 2 2 2 3 2 3" xfId="2648"/>
    <cellStyle name="Calculation 2 2 2 2 3 2 4" xfId="2649"/>
    <cellStyle name="Calculation 2 2 2 2 3 2 5" xfId="2650"/>
    <cellStyle name="Calculation 2 2 2 2 3 2 6" xfId="2651"/>
    <cellStyle name="Calculation 2 2 2 2 3 2 7" xfId="2652"/>
    <cellStyle name="Calculation 2 2 2 2 3 3" xfId="2653"/>
    <cellStyle name="Calculation 2 2 2 2 3 4" xfId="2654"/>
    <cellStyle name="Calculation 2 2 2 2 3 5" xfId="2655"/>
    <cellStyle name="Calculation 2 2 2 2 3 6" xfId="2656"/>
    <cellStyle name="Calculation 2 2 2 2 3 7" xfId="2657"/>
    <cellStyle name="Calculation 2 2 2 2 3 8" xfId="2658"/>
    <cellStyle name="Calculation 2 2 2 2 4" xfId="2659"/>
    <cellStyle name="Calculation 2 2 2 2 4 2" xfId="2660"/>
    <cellStyle name="Calculation 2 2 2 2 4 2 2" xfId="2661"/>
    <cellStyle name="Calculation 2 2 2 2 4 2 3" xfId="2662"/>
    <cellStyle name="Calculation 2 2 2 2 4 2 4" xfId="2663"/>
    <cellStyle name="Calculation 2 2 2 2 4 2 5" xfId="2664"/>
    <cellStyle name="Calculation 2 2 2 2 4 2 6" xfId="2665"/>
    <cellStyle name="Calculation 2 2 2 2 4 2 7" xfId="2666"/>
    <cellStyle name="Calculation 2 2 2 2 4 3" xfId="2667"/>
    <cellStyle name="Calculation 2 2 2 2 4 4" xfId="2668"/>
    <cellStyle name="Calculation 2 2 2 2 4 5" xfId="2669"/>
    <cellStyle name="Calculation 2 2 2 2 4 6" xfId="2670"/>
    <cellStyle name="Calculation 2 2 2 2 4 7" xfId="2671"/>
    <cellStyle name="Calculation 2 2 2 2 4 8" xfId="2672"/>
    <cellStyle name="Calculation 2 2 2 2 5" xfId="2673"/>
    <cellStyle name="Calculation 2 2 2 2 5 2" xfId="2674"/>
    <cellStyle name="Calculation 2 2 2 2 5 3" xfId="2675"/>
    <cellStyle name="Calculation 2 2 2 2 5 4" xfId="2676"/>
    <cellStyle name="Calculation 2 2 2 2 5 5" xfId="2677"/>
    <cellStyle name="Calculation 2 2 2 2 5 6" xfId="2678"/>
    <cellStyle name="Calculation 2 2 2 2 5 7" xfId="2679"/>
    <cellStyle name="Calculation 2 2 2 2 6" xfId="2680"/>
    <cellStyle name="Calculation 2 2 2 2 7" xfId="2681"/>
    <cellStyle name="Calculation 2 2 2 2 8" xfId="2682"/>
    <cellStyle name="Calculation 2 2 2 2 9" xfId="2683"/>
    <cellStyle name="Calculation 2 2 2 3" xfId="2684"/>
    <cellStyle name="Calculation 2 2 2 3 2" xfId="2685"/>
    <cellStyle name="Calculation 2 2 2 3 2 2" xfId="2686"/>
    <cellStyle name="Calculation 2 2 2 3 2 2 2" xfId="2687"/>
    <cellStyle name="Calculation 2 2 2 3 2 2 3" xfId="2688"/>
    <cellStyle name="Calculation 2 2 2 3 2 2 4" xfId="2689"/>
    <cellStyle name="Calculation 2 2 2 3 2 2 5" xfId="2690"/>
    <cellStyle name="Calculation 2 2 2 3 2 2 6" xfId="2691"/>
    <cellStyle name="Calculation 2 2 2 3 2 2 7" xfId="2692"/>
    <cellStyle name="Calculation 2 2 2 3 2 3" xfId="2693"/>
    <cellStyle name="Calculation 2 2 2 3 2 4" xfId="2694"/>
    <cellStyle name="Calculation 2 2 2 3 2 5" xfId="2695"/>
    <cellStyle name="Calculation 2 2 2 3 2 6" xfId="2696"/>
    <cellStyle name="Calculation 2 2 2 3 2 7" xfId="2697"/>
    <cellStyle name="Calculation 2 2 2 3 2 8" xfId="2698"/>
    <cellStyle name="Calculation 2 2 2 3 3" xfId="2699"/>
    <cellStyle name="Calculation 2 2 2 3 3 2" xfId="2700"/>
    <cellStyle name="Calculation 2 2 2 3 3 2 2" xfId="2701"/>
    <cellStyle name="Calculation 2 2 2 3 3 2 3" xfId="2702"/>
    <cellStyle name="Calculation 2 2 2 3 3 2 4" xfId="2703"/>
    <cellStyle name="Calculation 2 2 2 3 3 2 5" xfId="2704"/>
    <cellStyle name="Calculation 2 2 2 3 3 2 6" xfId="2705"/>
    <cellStyle name="Calculation 2 2 2 3 3 2 7" xfId="2706"/>
    <cellStyle name="Calculation 2 2 2 3 3 3" xfId="2707"/>
    <cellStyle name="Calculation 2 2 2 3 3 4" xfId="2708"/>
    <cellStyle name="Calculation 2 2 2 3 3 5" xfId="2709"/>
    <cellStyle name="Calculation 2 2 2 3 3 6" xfId="2710"/>
    <cellStyle name="Calculation 2 2 2 3 3 7" xfId="2711"/>
    <cellStyle name="Calculation 2 2 2 3 3 8" xfId="2712"/>
    <cellStyle name="Calculation 2 2 2 3 4" xfId="2713"/>
    <cellStyle name="Calculation 2 2 2 3 4 2" xfId="2714"/>
    <cellStyle name="Calculation 2 2 2 3 4 2 2" xfId="2715"/>
    <cellStyle name="Calculation 2 2 2 3 4 2 3" xfId="2716"/>
    <cellStyle name="Calculation 2 2 2 3 4 2 4" xfId="2717"/>
    <cellStyle name="Calculation 2 2 2 3 4 2 5" xfId="2718"/>
    <cellStyle name="Calculation 2 2 2 3 4 2 6" xfId="2719"/>
    <cellStyle name="Calculation 2 2 2 3 4 2 7" xfId="2720"/>
    <cellStyle name="Calculation 2 2 2 3 4 3" xfId="2721"/>
    <cellStyle name="Calculation 2 2 2 3 4 4" xfId="2722"/>
    <cellStyle name="Calculation 2 2 2 3 4 5" xfId="2723"/>
    <cellStyle name="Calculation 2 2 2 3 4 6" xfId="2724"/>
    <cellStyle name="Calculation 2 2 2 3 4 7" xfId="2725"/>
    <cellStyle name="Calculation 2 2 2 3 4 8" xfId="2726"/>
    <cellStyle name="Calculation 2 2 2 3 5" xfId="2727"/>
    <cellStyle name="Calculation 2 2 2 3 5 2" xfId="2728"/>
    <cellStyle name="Calculation 2 2 2 3 5 3" xfId="2729"/>
    <cellStyle name="Calculation 2 2 2 3 5 4" xfId="2730"/>
    <cellStyle name="Calculation 2 2 2 3 5 5" xfId="2731"/>
    <cellStyle name="Calculation 2 2 2 3 5 6" xfId="2732"/>
    <cellStyle name="Calculation 2 2 2 3 5 7" xfId="2733"/>
    <cellStyle name="Calculation 2 2 2 3 6" xfId="2734"/>
    <cellStyle name="Calculation 2 2 2 3 7" xfId="2735"/>
    <cellStyle name="Calculation 2 2 2 3 8" xfId="2736"/>
    <cellStyle name="Calculation 2 2 2 3 9" xfId="2737"/>
    <cellStyle name="Calculation 2 2 2 4" xfId="2738"/>
    <cellStyle name="Calculation 2 2 2 4 2" xfId="2739"/>
    <cellStyle name="Calculation 2 2 2 4 2 2" xfId="2740"/>
    <cellStyle name="Calculation 2 2 2 4 2 2 2" xfId="2741"/>
    <cellStyle name="Calculation 2 2 2 4 2 2 3" xfId="2742"/>
    <cellStyle name="Calculation 2 2 2 4 2 2 4" xfId="2743"/>
    <cellStyle name="Calculation 2 2 2 4 2 2 5" xfId="2744"/>
    <cellStyle name="Calculation 2 2 2 4 2 2 6" xfId="2745"/>
    <cellStyle name="Calculation 2 2 2 4 2 2 7" xfId="2746"/>
    <cellStyle name="Calculation 2 2 2 4 2 3" xfId="2747"/>
    <cellStyle name="Calculation 2 2 2 4 2 4" xfId="2748"/>
    <cellStyle name="Calculation 2 2 2 4 2 5" xfId="2749"/>
    <cellStyle name="Calculation 2 2 2 4 2 6" xfId="2750"/>
    <cellStyle name="Calculation 2 2 2 4 2 7" xfId="2751"/>
    <cellStyle name="Calculation 2 2 2 4 2 8" xfId="2752"/>
    <cellStyle name="Calculation 2 2 2 4 3" xfId="2753"/>
    <cellStyle name="Calculation 2 2 2 4 3 2" xfId="2754"/>
    <cellStyle name="Calculation 2 2 2 4 3 2 2" xfId="2755"/>
    <cellStyle name="Calculation 2 2 2 4 3 2 3" xfId="2756"/>
    <cellStyle name="Calculation 2 2 2 4 3 2 4" xfId="2757"/>
    <cellStyle name="Calculation 2 2 2 4 3 2 5" xfId="2758"/>
    <cellStyle name="Calculation 2 2 2 4 3 2 6" xfId="2759"/>
    <cellStyle name="Calculation 2 2 2 4 3 2 7" xfId="2760"/>
    <cellStyle name="Calculation 2 2 2 4 3 3" xfId="2761"/>
    <cellStyle name="Calculation 2 2 2 4 3 4" xfId="2762"/>
    <cellStyle name="Calculation 2 2 2 4 3 5" xfId="2763"/>
    <cellStyle name="Calculation 2 2 2 4 3 6" xfId="2764"/>
    <cellStyle name="Calculation 2 2 2 4 3 7" xfId="2765"/>
    <cellStyle name="Calculation 2 2 2 4 3 8" xfId="2766"/>
    <cellStyle name="Calculation 2 2 2 4 4" xfId="2767"/>
    <cellStyle name="Calculation 2 2 2 4 4 2" xfId="2768"/>
    <cellStyle name="Calculation 2 2 2 4 4 2 2" xfId="2769"/>
    <cellStyle name="Calculation 2 2 2 4 4 2 3" xfId="2770"/>
    <cellStyle name="Calculation 2 2 2 4 4 2 4" xfId="2771"/>
    <cellStyle name="Calculation 2 2 2 4 4 2 5" xfId="2772"/>
    <cellStyle name="Calculation 2 2 2 4 4 2 6" xfId="2773"/>
    <cellStyle name="Calculation 2 2 2 4 4 2 7" xfId="2774"/>
    <cellStyle name="Calculation 2 2 2 4 4 3" xfId="2775"/>
    <cellStyle name="Calculation 2 2 2 4 4 4" xfId="2776"/>
    <cellStyle name="Calculation 2 2 2 4 4 5" xfId="2777"/>
    <cellStyle name="Calculation 2 2 2 4 4 6" xfId="2778"/>
    <cellStyle name="Calculation 2 2 2 4 4 7" xfId="2779"/>
    <cellStyle name="Calculation 2 2 2 4 4 8" xfId="2780"/>
    <cellStyle name="Calculation 2 2 2 4 5" xfId="2781"/>
    <cellStyle name="Calculation 2 2 2 4 5 2" xfId="2782"/>
    <cellStyle name="Calculation 2 2 2 4 5 3" xfId="2783"/>
    <cellStyle name="Calculation 2 2 2 4 5 4" xfId="2784"/>
    <cellStyle name="Calculation 2 2 2 4 5 5" xfId="2785"/>
    <cellStyle name="Calculation 2 2 2 4 5 6" xfId="2786"/>
    <cellStyle name="Calculation 2 2 2 4 5 7" xfId="2787"/>
    <cellStyle name="Calculation 2 2 2 4 6" xfId="2788"/>
    <cellStyle name="Calculation 2 2 2 4 7" xfId="2789"/>
    <cellStyle name="Calculation 2 2 2 4 8" xfId="2790"/>
    <cellStyle name="Calculation 2 2 2 4 9" xfId="2791"/>
    <cellStyle name="Calculation 2 2 2 5" xfId="2792"/>
    <cellStyle name="Calculation 2 2 2 5 2" xfId="2793"/>
    <cellStyle name="Calculation 2 2 2 5 2 2" xfId="2794"/>
    <cellStyle name="Calculation 2 2 2 5 2 2 2" xfId="2795"/>
    <cellStyle name="Calculation 2 2 2 5 2 2 3" xfId="2796"/>
    <cellStyle name="Calculation 2 2 2 5 2 2 4" xfId="2797"/>
    <cellStyle name="Calculation 2 2 2 5 2 2 5" xfId="2798"/>
    <cellStyle name="Calculation 2 2 2 5 2 2 6" xfId="2799"/>
    <cellStyle name="Calculation 2 2 2 5 2 2 7" xfId="2800"/>
    <cellStyle name="Calculation 2 2 2 5 2 3" xfId="2801"/>
    <cellStyle name="Calculation 2 2 2 5 2 4" xfId="2802"/>
    <cellStyle name="Calculation 2 2 2 5 2 5" xfId="2803"/>
    <cellStyle name="Calculation 2 2 2 5 2 6" xfId="2804"/>
    <cellStyle name="Calculation 2 2 2 5 2 7" xfId="2805"/>
    <cellStyle name="Calculation 2 2 2 5 2 8" xfId="2806"/>
    <cellStyle name="Calculation 2 2 2 5 3" xfId="2807"/>
    <cellStyle name="Calculation 2 2 2 5 3 2" xfId="2808"/>
    <cellStyle name="Calculation 2 2 2 5 3 2 2" xfId="2809"/>
    <cellStyle name="Calculation 2 2 2 5 3 2 3" xfId="2810"/>
    <cellStyle name="Calculation 2 2 2 5 3 2 4" xfId="2811"/>
    <cellStyle name="Calculation 2 2 2 5 3 2 5" xfId="2812"/>
    <cellStyle name="Calculation 2 2 2 5 3 2 6" xfId="2813"/>
    <cellStyle name="Calculation 2 2 2 5 3 2 7" xfId="2814"/>
    <cellStyle name="Calculation 2 2 2 5 3 3" xfId="2815"/>
    <cellStyle name="Calculation 2 2 2 5 3 4" xfId="2816"/>
    <cellStyle name="Calculation 2 2 2 5 3 5" xfId="2817"/>
    <cellStyle name="Calculation 2 2 2 5 3 6" xfId="2818"/>
    <cellStyle name="Calculation 2 2 2 5 3 7" xfId="2819"/>
    <cellStyle name="Calculation 2 2 2 5 3 8" xfId="2820"/>
    <cellStyle name="Calculation 2 2 2 5 4" xfId="2821"/>
    <cellStyle name="Calculation 2 2 2 5 4 2" xfId="2822"/>
    <cellStyle name="Calculation 2 2 2 5 4 2 2" xfId="2823"/>
    <cellStyle name="Calculation 2 2 2 5 4 2 3" xfId="2824"/>
    <cellStyle name="Calculation 2 2 2 5 4 2 4" xfId="2825"/>
    <cellStyle name="Calculation 2 2 2 5 4 2 5" xfId="2826"/>
    <cellStyle name="Calculation 2 2 2 5 4 2 6" xfId="2827"/>
    <cellStyle name="Calculation 2 2 2 5 4 2 7" xfId="2828"/>
    <cellStyle name="Calculation 2 2 2 5 4 3" xfId="2829"/>
    <cellStyle name="Calculation 2 2 2 5 4 4" xfId="2830"/>
    <cellStyle name="Calculation 2 2 2 5 4 5" xfId="2831"/>
    <cellStyle name="Calculation 2 2 2 5 4 6" xfId="2832"/>
    <cellStyle name="Calculation 2 2 2 5 4 7" xfId="2833"/>
    <cellStyle name="Calculation 2 2 2 5 4 8" xfId="2834"/>
    <cellStyle name="Calculation 2 2 2 5 5" xfId="2835"/>
    <cellStyle name="Calculation 2 2 2 5 5 2" xfId="2836"/>
    <cellStyle name="Calculation 2 2 2 5 5 3" xfId="2837"/>
    <cellStyle name="Calculation 2 2 2 5 5 4" xfId="2838"/>
    <cellStyle name="Calculation 2 2 2 5 5 5" xfId="2839"/>
    <cellStyle name="Calculation 2 2 2 5 5 6" xfId="2840"/>
    <cellStyle name="Calculation 2 2 2 5 5 7" xfId="2841"/>
    <cellStyle name="Calculation 2 2 2 5 6" xfId="2842"/>
    <cellStyle name="Calculation 2 2 2 5 7" xfId="2843"/>
    <cellStyle name="Calculation 2 2 2 5 8" xfId="2844"/>
    <cellStyle name="Calculation 2 2 2 5 9" xfId="2845"/>
    <cellStyle name="Calculation 2 2 2 6" xfId="2846"/>
    <cellStyle name="Calculation 2 2 2 6 2" xfId="2847"/>
    <cellStyle name="Calculation 2 2 2 6 2 2" xfId="2848"/>
    <cellStyle name="Calculation 2 2 2 6 2 3" xfId="2849"/>
    <cellStyle name="Calculation 2 2 2 6 2 4" xfId="2850"/>
    <cellStyle name="Calculation 2 2 2 6 2 5" xfId="2851"/>
    <cellStyle name="Calculation 2 2 2 6 2 6" xfId="2852"/>
    <cellStyle name="Calculation 2 2 2 6 2 7" xfId="2853"/>
    <cellStyle name="Calculation 2 2 2 6 3" xfId="2854"/>
    <cellStyle name="Calculation 2 2 2 6 4" xfId="2855"/>
    <cellStyle name="Calculation 2 2 2 6 5" xfId="2856"/>
    <cellStyle name="Calculation 2 2 2 6 6" xfId="2857"/>
    <cellStyle name="Calculation 2 2 2 6 7" xfId="2858"/>
    <cellStyle name="Calculation 2 2 2 6 8" xfId="2859"/>
    <cellStyle name="Calculation 2 2 2 7" xfId="2860"/>
    <cellStyle name="Calculation 2 2 2 7 2" xfId="2861"/>
    <cellStyle name="Calculation 2 2 2 7 2 2" xfId="2862"/>
    <cellStyle name="Calculation 2 2 2 7 2 3" xfId="2863"/>
    <cellStyle name="Calculation 2 2 2 7 2 4" xfId="2864"/>
    <cellStyle name="Calculation 2 2 2 7 2 5" xfId="2865"/>
    <cellStyle name="Calculation 2 2 2 7 2 6" xfId="2866"/>
    <cellStyle name="Calculation 2 2 2 7 2 7" xfId="2867"/>
    <cellStyle name="Calculation 2 2 2 7 3" xfId="2868"/>
    <cellStyle name="Calculation 2 2 2 7 4" xfId="2869"/>
    <cellStyle name="Calculation 2 2 2 7 5" xfId="2870"/>
    <cellStyle name="Calculation 2 2 2 7 6" xfId="2871"/>
    <cellStyle name="Calculation 2 2 2 7 7" xfId="2872"/>
    <cellStyle name="Calculation 2 2 2 7 8" xfId="2873"/>
    <cellStyle name="Calculation 2 2 2 8" xfId="2874"/>
    <cellStyle name="Calculation 2 2 2 8 2" xfId="2875"/>
    <cellStyle name="Calculation 2 2 2 8 2 2" xfId="2876"/>
    <cellStyle name="Calculation 2 2 2 8 2 3" xfId="2877"/>
    <cellStyle name="Calculation 2 2 2 8 2 4" xfId="2878"/>
    <cellStyle name="Calculation 2 2 2 8 2 5" xfId="2879"/>
    <cellStyle name="Calculation 2 2 2 8 2 6" xfId="2880"/>
    <cellStyle name="Calculation 2 2 2 8 2 7" xfId="2881"/>
    <cellStyle name="Calculation 2 2 2 8 3" xfId="2882"/>
    <cellStyle name="Calculation 2 2 2 8 4" xfId="2883"/>
    <cellStyle name="Calculation 2 2 2 8 5" xfId="2884"/>
    <cellStyle name="Calculation 2 2 2 8 6" xfId="2885"/>
    <cellStyle name="Calculation 2 2 2 8 7" xfId="2886"/>
    <cellStyle name="Calculation 2 2 2 8 8" xfId="2887"/>
    <cellStyle name="Calculation 2 2 2 9" xfId="2888"/>
    <cellStyle name="Calculation 2 2 2 9 2" xfId="2889"/>
    <cellStyle name="Calculation 2 2 2 9 3" xfId="2890"/>
    <cellStyle name="Calculation 2 2 2 9 4" xfId="2891"/>
    <cellStyle name="Calculation 2 2 2 9 5" xfId="2892"/>
    <cellStyle name="Calculation 2 2 2 9 6" xfId="2893"/>
    <cellStyle name="Calculation 2 2 2 9 7" xfId="2894"/>
    <cellStyle name="Calculation 2 2 3" xfId="2895"/>
    <cellStyle name="Calculation 2 2 3 10" xfId="2896"/>
    <cellStyle name="Calculation 2 2 3 11" xfId="2897"/>
    <cellStyle name="Calculation 2 2 3 12" xfId="2898"/>
    <cellStyle name="Calculation 2 2 3 13" xfId="2899"/>
    <cellStyle name="Calculation 2 2 3 2" xfId="2900"/>
    <cellStyle name="Calculation 2 2 3 2 2" xfId="2901"/>
    <cellStyle name="Calculation 2 2 3 2 2 2" xfId="2902"/>
    <cellStyle name="Calculation 2 2 3 2 2 2 2" xfId="2903"/>
    <cellStyle name="Calculation 2 2 3 2 2 2 3" xfId="2904"/>
    <cellStyle name="Calculation 2 2 3 2 2 2 4" xfId="2905"/>
    <cellStyle name="Calculation 2 2 3 2 2 2 5" xfId="2906"/>
    <cellStyle name="Calculation 2 2 3 2 2 2 6" xfId="2907"/>
    <cellStyle name="Calculation 2 2 3 2 2 2 7" xfId="2908"/>
    <cellStyle name="Calculation 2 2 3 2 2 3" xfId="2909"/>
    <cellStyle name="Calculation 2 2 3 2 2 4" xfId="2910"/>
    <cellStyle name="Calculation 2 2 3 2 2 5" xfId="2911"/>
    <cellStyle name="Calculation 2 2 3 2 2 6" xfId="2912"/>
    <cellStyle name="Calculation 2 2 3 2 2 7" xfId="2913"/>
    <cellStyle name="Calculation 2 2 3 2 2 8" xfId="2914"/>
    <cellStyle name="Calculation 2 2 3 2 3" xfId="2915"/>
    <cellStyle name="Calculation 2 2 3 2 3 2" xfId="2916"/>
    <cellStyle name="Calculation 2 2 3 2 3 2 2" xfId="2917"/>
    <cellStyle name="Calculation 2 2 3 2 3 2 3" xfId="2918"/>
    <cellStyle name="Calculation 2 2 3 2 3 2 4" xfId="2919"/>
    <cellStyle name="Calculation 2 2 3 2 3 2 5" xfId="2920"/>
    <cellStyle name="Calculation 2 2 3 2 3 2 6" xfId="2921"/>
    <cellStyle name="Calculation 2 2 3 2 3 2 7" xfId="2922"/>
    <cellStyle name="Calculation 2 2 3 2 3 3" xfId="2923"/>
    <cellStyle name="Calculation 2 2 3 2 3 4" xfId="2924"/>
    <cellStyle name="Calculation 2 2 3 2 3 5" xfId="2925"/>
    <cellStyle name="Calculation 2 2 3 2 3 6" xfId="2926"/>
    <cellStyle name="Calculation 2 2 3 2 3 7" xfId="2927"/>
    <cellStyle name="Calculation 2 2 3 2 3 8" xfId="2928"/>
    <cellStyle name="Calculation 2 2 3 2 4" xfId="2929"/>
    <cellStyle name="Calculation 2 2 3 2 4 2" xfId="2930"/>
    <cellStyle name="Calculation 2 2 3 2 4 2 2" xfId="2931"/>
    <cellStyle name="Calculation 2 2 3 2 4 2 3" xfId="2932"/>
    <cellStyle name="Calculation 2 2 3 2 4 2 4" xfId="2933"/>
    <cellStyle name="Calculation 2 2 3 2 4 2 5" xfId="2934"/>
    <cellStyle name="Calculation 2 2 3 2 4 2 6" xfId="2935"/>
    <cellStyle name="Calculation 2 2 3 2 4 2 7" xfId="2936"/>
    <cellStyle name="Calculation 2 2 3 2 4 3" xfId="2937"/>
    <cellStyle name="Calculation 2 2 3 2 4 4" xfId="2938"/>
    <cellStyle name="Calculation 2 2 3 2 4 5" xfId="2939"/>
    <cellStyle name="Calculation 2 2 3 2 4 6" xfId="2940"/>
    <cellStyle name="Calculation 2 2 3 2 4 7" xfId="2941"/>
    <cellStyle name="Calculation 2 2 3 2 4 8" xfId="2942"/>
    <cellStyle name="Calculation 2 2 3 2 5" xfId="2943"/>
    <cellStyle name="Calculation 2 2 3 2 5 2" xfId="2944"/>
    <cellStyle name="Calculation 2 2 3 2 5 3" xfId="2945"/>
    <cellStyle name="Calculation 2 2 3 2 5 4" xfId="2946"/>
    <cellStyle name="Calculation 2 2 3 2 5 5" xfId="2947"/>
    <cellStyle name="Calculation 2 2 3 2 5 6" xfId="2948"/>
    <cellStyle name="Calculation 2 2 3 2 5 7" xfId="2949"/>
    <cellStyle name="Calculation 2 2 3 2 6" xfId="2950"/>
    <cellStyle name="Calculation 2 2 3 2 7" xfId="2951"/>
    <cellStyle name="Calculation 2 2 3 2 8" xfId="2952"/>
    <cellStyle name="Calculation 2 2 3 2 9" xfId="2953"/>
    <cellStyle name="Calculation 2 2 3 3" xfId="2954"/>
    <cellStyle name="Calculation 2 2 3 3 2" xfId="2955"/>
    <cellStyle name="Calculation 2 2 3 3 2 2" xfId="2956"/>
    <cellStyle name="Calculation 2 2 3 3 2 2 2" xfId="2957"/>
    <cellStyle name="Calculation 2 2 3 3 2 2 3" xfId="2958"/>
    <cellStyle name="Calculation 2 2 3 3 2 2 4" xfId="2959"/>
    <cellStyle name="Calculation 2 2 3 3 2 2 5" xfId="2960"/>
    <cellStyle name="Calculation 2 2 3 3 2 2 6" xfId="2961"/>
    <cellStyle name="Calculation 2 2 3 3 2 2 7" xfId="2962"/>
    <cellStyle name="Calculation 2 2 3 3 2 3" xfId="2963"/>
    <cellStyle name="Calculation 2 2 3 3 2 4" xfId="2964"/>
    <cellStyle name="Calculation 2 2 3 3 2 5" xfId="2965"/>
    <cellStyle name="Calculation 2 2 3 3 2 6" xfId="2966"/>
    <cellStyle name="Calculation 2 2 3 3 2 7" xfId="2967"/>
    <cellStyle name="Calculation 2 2 3 3 2 8" xfId="2968"/>
    <cellStyle name="Calculation 2 2 3 3 3" xfId="2969"/>
    <cellStyle name="Calculation 2 2 3 3 3 2" xfId="2970"/>
    <cellStyle name="Calculation 2 2 3 3 3 2 2" xfId="2971"/>
    <cellStyle name="Calculation 2 2 3 3 3 2 3" xfId="2972"/>
    <cellStyle name="Calculation 2 2 3 3 3 2 4" xfId="2973"/>
    <cellStyle name="Calculation 2 2 3 3 3 2 5" xfId="2974"/>
    <cellStyle name="Calculation 2 2 3 3 3 2 6" xfId="2975"/>
    <cellStyle name="Calculation 2 2 3 3 3 2 7" xfId="2976"/>
    <cellStyle name="Calculation 2 2 3 3 3 3" xfId="2977"/>
    <cellStyle name="Calculation 2 2 3 3 3 4" xfId="2978"/>
    <cellStyle name="Calculation 2 2 3 3 3 5" xfId="2979"/>
    <cellStyle name="Calculation 2 2 3 3 3 6" xfId="2980"/>
    <cellStyle name="Calculation 2 2 3 3 3 7" xfId="2981"/>
    <cellStyle name="Calculation 2 2 3 3 3 8" xfId="2982"/>
    <cellStyle name="Calculation 2 2 3 3 4" xfId="2983"/>
    <cellStyle name="Calculation 2 2 3 3 4 2" xfId="2984"/>
    <cellStyle name="Calculation 2 2 3 3 4 2 2" xfId="2985"/>
    <cellStyle name="Calculation 2 2 3 3 4 2 3" xfId="2986"/>
    <cellStyle name="Calculation 2 2 3 3 4 2 4" xfId="2987"/>
    <cellStyle name="Calculation 2 2 3 3 4 2 5" xfId="2988"/>
    <cellStyle name="Calculation 2 2 3 3 4 2 6" xfId="2989"/>
    <cellStyle name="Calculation 2 2 3 3 4 2 7" xfId="2990"/>
    <cellStyle name="Calculation 2 2 3 3 4 3" xfId="2991"/>
    <cellStyle name="Calculation 2 2 3 3 4 4" xfId="2992"/>
    <cellStyle name="Calculation 2 2 3 3 4 5" xfId="2993"/>
    <cellStyle name="Calculation 2 2 3 3 4 6" xfId="2994"/>
    <cellStyle name="Calculation 2 2 3 3 4 7" xfId="2995"/>
    <cellStyle name="Calculation 2 2 3 3 4 8" xfId="2996"/>
    <cellStyle name="Calculation 2 2 3 3 5" xfId="2997"/>
    <cellStyle name="Calculation 2 2 3 3 5 2" xfId="2998"/>
    <cellStyle name="Calculation 2 2 3 3 5 3" xfId="2999"/>
    <cellStyle name="Calculation 2 2 3 3 5 4" xfId="3000"/>
    <cellStyle name="Calculation 2 2 3 3 5 5" xfId="3001"/>
    <cellStyle name="Calculation 2 2 3 3 5 6" xfId="3002"/>
    <cellStyle name="Calculation 2 2 3 3 5 7" xfId="3003"/>
    <cellStyle name="Calculation 2 2 3 3 6" xfId="3004"/>
    <cellStyle name="Calculation 2 2 3 3 7" xfId="3005"/>
    <cellStyle name="Calculation 2 2 3 3 8" xfId="3006"/>
    <cellStyle name="Calculation 2 2 3 3 9" xfId="3007"/>
    <cellStyle name="Calculation 2 2 3 4" xfId="3008"/>
    <cellStyle name="Calculation 2 2 3 4 2" xfId="3009"/>
    <cellStyle name="Calculation 2 2 3 4 2 2" xfId="3010"/>
    <cellStyle name="Calculation 2 2 3 4 2 2 2" xfId="3011"/>
    <cellStyle name="Calculation 2 2 3 4 2 2 3" xfId="3012"/>
    <cellStyle name="Calculation 2 2 3 4 2 2 4" xfId="3013"/>
    <cellStyle name="Calculation 2 2 3 4 2 2 5" xfId="3014"/>
    <cellStyle name="Calculation 2 2 3 4 2 2 6" xfId="3015"/>
    <cellStyle name="Calculation 2 2 3 4 2 2 7" xfId="3016"/>
    <cellStyle name="Calculation 2 2 3 4 2 3" xfId="3017"/>
    <cellStyle name="Calculation 2 2 3 4 2 4" xfId="3018"/>
    <cellStyle name="Calculation 2 2 3 4 2 5" xfId="3019"/>
    <cellStyle name="Calculation 2 2 3 4 2 6" xfId="3020"/>
    <cellStyle name="Calculation 2 2 3 4 2 7" xfId="3021"/>
    <cellStyle name="Calculation 2 2 3 4 2 8" xfId="3022"/>
    <cellStyle name="Calculation 2 2 3 4 3" xfId="3023"/>
    <cellStyle name="Calculation 2 2 3 4 3 2" xfId="3024"/>
    <cellStyle name="Calculation 2 2 3 4 3 2 2" xfId="3025"/>
    <cellStyle name="Calculation 2 2 3 4 3 2 3" xfId="3026"/>
    <cellStyle name="Calculation 2 2 3 4 3 2 4" xfId="3027"/>
    <cellStyle name="Calculation 2 2 3 4 3 2 5" xfId="3028"/>
    <cellStyle name="Calculation 2 2 3 4 3 2 6" xfId="3029"/>
    <cellStyle name="Calculation 2 2 3 4 3 2 7" xfId="3030"/>
    <cellStyle name="Calculation 2 2 3 4 3 3" xfId="3031"/>
    <cellStyle name="Calculation 2 2 3 4 3 4" xfId="3032"/>
    <cellStyle name="Calculation 2 2 3 4 3 5" xfId="3033"/>
    <cellStyle name="Calculation 2 2 3 4 3 6" xfId="3034"/>
    <cellStyle name="Calculation 2 2 3 4 3 7" xfId="3035"/>
    <cellStyle name="Calculation 2 2 3 4 3 8" xfId="3036"/>
    <cellStyle name="Calculation 2 2 3 4 4" xfId="3037"/>
    <cellStyle name="Calculation 2 2 3 4 4 2" xfId="3038"/>
    <cellStyle name="Calculation 2 2 3 4 4 2 2" xfId="3039"/>
    <cellStyle name="Calculation 2 2 3 4 4 2 3" xfId="3040"/>
    <cellStyle name="Calculation 2 2 3 4 4 2 4" xfId="3041"/>
    <cellStyle name="Calculation 2 2 3 4 4 2 5" xfId="3042"/>
    <cellStyle name="Calculation 2 2 3 4 4 2 6" xfId="3043"/>
    <cellStyle name="Calculation 2 2 3 4 4 2 7" xfId="3044"/>
    <cellStyle name="Calculation 2 2 3 4 4 3" xfId="3045"/>
    <cellStyle name="Calculation 2 2 3 4 4 4" xfId="3046"/>
    <cellStyle name="Calculation 2 2 3 4 4 5" xfId="3047"/>
    <cellStyle name="Calculation 2 2 3 4 4 6" xfId="3048"/>
    <cellStyle name="Calculation 2 2 3 4 4 7" xfId="3049"/>
    <cellStyle name="Calculation 2 2 3 4 4 8" xfId="3050"/>
    <cellStyle name="Calculation 2 2 3 4 5" xfId="3051"/>
    <cellStyle name="Calculation 2 2 3 4 5 2" xfId="3052"/>
    <cellStyle name="Calculation 2 2 3 4 5 3" xfId="3053"/>
    <cellStyle name="Calculation 2 2 3 4 5 4" xfId="3054"/>
    <cellStyle name="Calculation 2 2 3 4 5 5" xfId="3055"/>
    <cellStyle name="Calculation 2 2 3 4 5 6" xfId="3056"/>
    <cellStyle name="Calculation 2 2 3 4 5 7" xfId="3057"/>
    <cellStyle name="Calculation 2 2 3 4 6" xfId="3058"/>
    <cellStyle name="Calculation 2 2 3 4 7" xfId="3059"/>
    <cellStyle name="Calculation 2 2 3 4 8" xfId="3060"/>
    <cellStyle name="Calculation 2 2 3 4 9" xfId="3061"/>
    <cellStyle name="Calculation 2 2 3 5" xfId="3062"/>
    <cellStyle name="Calculation 2 2 3 5 2" xfId="3063"/>
    <cellStyle name="Calculation 2 2 3 5 2 2" xfId="3064"/>
    <cellStyle name="Calculation 2 2 3 5 2 2 2" xfId="3065"/>
    <cellStyle name="Calculation 2 2 3 5 2 2 3" xfId="3066"/>
    <cellStyle name="Calculation 2 2 3 5 2 2 4" xfId="3067"/>
    <cellStyle name="Calculation 2 2 3 5 2 2 5" xfId="3068"/>
    <cellStyle name="Calculation 2 2 3 5 2 2 6" xfId="3069"/>
    <cellStyle name="Calculation 2 2 3 5 2 2 7" xfId="3070"/>
    <cellStyle name="Calculation 2 2 3 5 2 3" xfId="3071"/>
    <cellStyle name="Calculation 2 2 3 5 2 4" xfId="3072"/>
    <cellStyle name="Calculation 2 2 3 5 2 5" xfId="3073"/>
    <cellStyle name="Calculation 2 2 3 5 2 6" xfId="3074"/>
    <cellStyle name="Calculation 2 2 3 5 2 7" xfId="3075"/>
    <cellStyle name="Calculation 2 2 3 5 2 8" xfId="3076"/>
    <cellStyle name="Calculation 2 2 3 5 3" xfId="3077"/>
    <cellStyle name="Calculation 2 2 3 5 3 2" xfId="3078"/>
    <cellStyle name="Calculation 2 2 3 5 3 2 2" xfId="3079"/>
    <cellStyle name="Calculation 2 2 3 5 3 2 3" xfId="3080"/>
    <cellStyle name="Calculation 2 2 3 5 3 2 4" xfId="3081"/>
    <cellStyle name="Calculation 2 2 3 5 3 2 5" xfId="3082"/>
    <cellStyle name="Calculation 2 2 3 5 3 2 6" xfId="3083"/>
    <cellStyle name="Calculation 2 2 3 5 3 2 7" xfId="3084"/>
    <cellStyle name="Calculation 2 2 3 5 3 3" xfId="3085"/>
    <cellStyle name="Calculation 2 2 3 5 3 4" xfId="3086"/>
    <cellStyle name="Calculation 2 2 3 5 3 5" xfId="3087"/>
    <cellStyle name="Calculation 2 2 3 5 3 6" xfId="3088"/>
    <cellStyle name="Calculation 2 2 3 5 3 7" xfId="3089"/>
    <cellStyle name="Calculation 2 2 3 5 3 8" xfId="3090"/>
    <cellStyle name="Calculation 2 2 3 5 4" xfId="3091"/>
    <cellStyle name="Calculation 2 2 3 5 4 2" xfId="3092"/>
    <cellStyle name="Calculation 2 2 3 5 4 2 2" xfId="3093"/>
    <cellStyle name="Calculation 2 2 3 5 4 2 3" xfId="3094"/>
    <cellStyle name="Calculation 2 2 3 5 4 2 4" xfId="3095"/>
    <cellStyle name="Calculation 2 2 3 5 4 2 5" xfId="3096"/>
    <cellStyle name="Calculation 2 2 3 5 4 2 6" xfId="3097"/>
    <cellStyle name="Calculation 2 2 3 5 4 2 7" xfId="3098"/>
    <cellStyle name="Calculation 2 2 3 5 4 3" xfId="3099"/>
    <cellStyle name="Calculation 2 2 3 5 4 4" xfId="3100"/>
    <cellStyle name="Calculation 2 2 3 5 4 5" xfId="3101"/>
    <cellStyle name="Calculation 2 2 3 5 4 6" xfId="3102"/>
    <cellStyle name="Calculation 2 2 3 5 4 7" xfId="3103"/>
    <cellStyle name="Calculation 2 2 3 5 4 8" xfId="3104"/>
    <cellStyle name="Calculation 2 2 3 5 5" xfId="3105"/>
    <cellStyle name="Calculation 2 2 3 5 5 2" xfId="3106"/>
    <cellStyle name="Calculation 2 2 3 5 5 3" xfId="3107"/>
    <cellStyle name="Calculation 2 2 3 5 5 4" xfId="3108"/>
    <cellStyle name="Calculation 2 2 3 5 5 5" xfId="3109"/>
    <cellStyle name="Calculation 2 2 3 5 5 6" xfId="3110"/>
    <cellStyle name="Calculation 2 2 3 5 5 7" xfId="3111"/>
    <cellStyle name="Calculation 2 2 3 5 6" xfId="3112"/>
    <cellStyle name="Calculation 2 2 3 5 7" xfId="3113"/>
    <cellStyle name="Calculation 2 2 3 5 8" xfId="3114"/>
    <cellStyle name="Calculation 2 2 3 5 9" xfId="3115"/>
    <cellStyle name="Calculation 2 2 3 6" xfId="3116"/>
    <cellStyle name="Calculation 2 2 3 6 2" xfId="3117"/>
    <cellStyle name="Calculation 2 2 3 6 2 2" xfId="3118"/>
    <cellStyle name="Calculation 2 2 3 6 2 3" xfId="3119"/>
    <cellStyle name="Calculation 2 2 3 6 2 4" xfId="3120"/>
    <cellStyle name="Calculation 2 2 3 6 2 5" xfId="3121"/>
    <cellStyle name="Calculation 2 2 3 6 2 6" xfId="3122"/>
    <cellStyle name="Calculation 2 2 3 6 2 7" xfId="3123"/>
    <cellStyle name="Calculation 2 2 3 6 3" xfId="3124"/>
    <cellStyle name="Calculation 2 2 3 6 4" xfId="3125"/>
    <cellStyle name="Calculation 2 2 3 6 5" xfId="3126"/>
    <cellStyle name="Calculation 2 2 3 6 6" xfId="3127"/>
    <cellStyle name="Calculation 2 2 3 6 7" xfId="3128"/>
    <cellStyle name="Calculation 2 2 3 6 8" xfId="3129"/>
    <cellStyle name="Calculation 2 2 3 7" xfId="3130"/>
    <cellStyle name="Calculation 2 2 3 7 2" xfId="3131"/>
    <cellStyle name="Calculation 2 2 3 7 2 2" xfId="3132"/>
    <cellStyle name="Calculation 2 2 3 7 2 3" xfId="3133"/>
    <cellStyle name="Calculation 2 2 3 7 2 4" xfId="3134"/>
    <cellStyle name="Calculation 2 2 3 7 2 5" xfId="3135"/>
    <cellStyle name="Calculation 2 2 3 7 2 6" xfId="3136"/>
    <cellStyle name="Calculation 2 2 3 7 2 7" xfId="3137"/>
    <cellStyle name="Calculation 2 2 3 7 3" xfId="3138"/>
    <cellStyle name="Calculation 2 2 3 7 4" xfId="3139"/>
    <cellStyle name="Calculation 2 2 3 7 5" xfId="3140"/>
    <cellStyle name="Calculation 2 2 3 7 6" xfId="3141"/>
    <cellStyle name="Calculation 2 2 3 7 7" xfId="3142"/>
    <cellStyle name="Calculation 2 2 3 7 8" xfId="3143"/>
    <cellStyle name="Calculation 2 2 3 8" xfId="3144"/>
    <cellStyle name="Calculation 2 2 3 8 2" xfId="3145"/>
    <cellStyle name="Calculation 2 2 3 8 2 2" xfId="3146"/>
    <cellStyle name="Calculation 2 2 3 8 2 3" xfId="3147"/>
    <cellStyle name="Calculation 2 2 3 8 2 4" xfId="3148"/>
    <cellStyle name="Calculation 2 2 3 8 2 5" xfId="3149"/>
    <cellStyle name="Calculation 2 2 3 8 2 6" xfId="3150"/>
    <cellStyle name="Calculation 2 2 3 8 2 7" xfId="3151"/>
    <cellStyle name="Calculation 2 2 3 8 3" xfId="3152"/>
    <cellStyle name="Calculation 2 2 3 8 4" xfId="3153"/>
    <cellStyle name="Calculation 2 2 3 8 5" xfId="3154"/>
    <cellStyle name="Calculation 2 2 3 8 6" xfId="3155"/>
    <cellStyle name="Calculation 2 2 3 8 7" xfId="3156"/>
    <cellStyle name="Calculation 2 2 3 8 8" xfId="3157"/>
    <cellStyle name="Calculation 2 2 3 9" xfId="3158"/>
    <cellStyle name="Calculation 2 2 3 9 2" xfId="3159"/>
    <cellStyle name="Calculation 2 2 3 9 3" xfId="3160"/>
    <cellStyle name="Calculation 2 2 3 9 4" xfId="3161"/>
    <cellStyle name="Calculation 2 2 3 9 5" xfId="3162"/>
    <cellStyle name="Calculation 2 2 3 9 6" xfId="3163"/>
    <cellStyle name="Calculation 2 2 3 9 7" xfId="3164"/>
    <cellStyle name="Calculation 2 2 4" xfId="3165"/>
    <cellStyle name="Calculation 2 2 4 2" xfId="3166"/>
    <cellStyle name="Calculation 2 2 4 2 2" xfId="3167"/>
    <cellStyle name="Calculation 2 2 4 2 3" xfId="3168"/>
    <cellStyle name="Calculation 2 2 4 2 4" xfId="3169"/>
    <cellStyle name="Calculation 2 2 4 2 5" xfId="3170"/>
    <cellStyle name="Calculation 2 2 4 2 6" xfId="3171"/>
    <cellStyle name="Calculation 2 2 4 2 7" xfId="3172"/>
    <cellStyle name="Calculation 2 2 4 3" xfId="3173"/>
    <cellStyle name="Calculation 2 2 4 4" xfId="3174"/>
    <cellStyle name="Calculation 2 2 4 5" xfId="3175"/>
    <cellStyle name="Calculation 2 2 4 6" xfId="3176"/>
    <cellStyle name="Calculation 2 2 4 7" xfId="3177"/>
    <cellStyle name="Calculation 2 2 4 8" xfId="3178"/>
    <cellStyle name="Calculation 2 2 5" xfId="3179"/>
    <cellStyle name="Calculation 2 2 5 2" xfId="3180"/>
    <cellStyle name="Calculation 2 2 5 2 2" xfId="3181"/>
    <cellStyle name="Calculation 2 2 5 2 3" xfId="3182"/>
    <cellStyle name="Calculation 2 2 5 2 4" xfId="3183"/>
    <cellStyle name="Calculation 2 2 5 2 5" xfId="3184"/>
    <cellStyle name="Calculation 2 2 5 2 6" xfId="3185"/>
    <cellStyle name="Calculation 2 2 5 2 7" xfId="3186"/>
    <cellStyle name="Calculation 2 2 5 3" xfId="3187"/>
    <cellStyle name="Calculation 2 2 5 4" xfId="3188"/>
    <cellStyle name="Calculation 2 2 5 5" xfId="3189"/>
    <cellStyle name="Calculation 2 2 5 6" xfId="3190"/>
    <cellStyle name="Calculation 2 2 5 7" xfId="3191"/>
    <cellStyle name="Calculation 2 2 5 8" xfId="3192"/>
    <cellStyle name="Calculation 2 2 6" xfId="3193"/>
    <cellStyle name="Calculation 2 2 6 2" xfId="3194"/>
    <cellStyle name="Calculation 2 2 6 2 2" xfId="3195"/>
    <cellStyle name="Calculation 2 2 6 2 3" xfId="3196"/>
    <cellStyle name="Calculation 2 2 6 2 4" xfId="3197"/>
    <cellStyle name="Calculation 2 2 6 2 5" xfId="3198"/>
    <cellStyle name="Calculation 2 2 6 2 6" xfId="3199"/>
    <cellStyle name="Calculation 2 2 6 2 7" xfId="3200"/>
    <cellStyle name="Calculation 2 2 6 3" xfId="3201"/>
    <cellStyle name="Calculation 2 2 6 4" xfId="3202"/>
    <cellStyle name="Calculation 2 2 6 5" xfId="3203"/>
    <cellStyle name="Calculation 2 2 6 6" xfId="3204"/>
    <cellStyle name="Calculation 2 2 6 7" xfId="3205"/>
    <cellStyle name="Calculation 2 2 6 8" xfId="3206"/>
    <cellStyle name="Calculation 2 2 7" xfId="3207"/>
    <cellStyle name="Calculation 2 2 7 2" xfId="3208"/>
    <cellStyle name="Calculation 2 2 7 3" xfId="3209"/>
    <cellStyle name="Calculation 2 2 7 4" xfId="3210"/>
    <cellStyle name="Calculation 2 2 7 5" xfId="3211"/>
    <cellStyle name="Calculation 2 2 7 6" xfId="3212"/>
    <cellStyle name="Calculation 2 2 7 7" xfId="3213"/>
    <cellStyle name="Calculation 2 2 8" xfId="3214"/>
    <cellStyle name="Calculation 2 2 8 2" xfId="3215"/>
    <cellStyle name="Calculation 2 2 8 3" xfId="3216"/>
    <cellStyle name="Calculation 2 2 8 4" xfId="3217"/>
    <cellStyle name="Calculation 2 2 8 5" xfId="3218"/>
    <cellStyle name="Calculation 2 2 8 6" xfId="3219"/>
    <cellStyle name="Calculation 2 2 8 7" xfId="3220"/>
    <cellStyle name="Calculation 2 3" xfId="548"/>
    <cellStyle name="Calculation 2 3 10" xfId="3221"/>
    <cellStyle name="Calculation 2 3 11" xfId="3222"/>
    <cellStyle name="Calculation 2 3 2" xfId="3223"/>
    <cellStyle name="Calculation 2 3 2 10" xfId="3224"/>
    <cellStyle name="Calculation 2 3 2 11" xfId="3225"/>
    <cellStyle name="Calculation 2 3 2 12" xfId="3226"/>
    <cellStyle name="Calculation 2 3 2 13" xfId="3227"/>
    <cellStyle name="Calculation 2 3 2 2" xfId="3228"/>
    <cellStyle name="Calculation 2 3 2 2 2" xfId="3229"/>
    <cellStyle name="Calculation 2 3 2 2 2 2" xfId="3230"/>
    <cellStyle name="Calculation 2 3 2 2 2 2 2" xfId="3231"/>
    <cellStyle name="Calculation 2 3 2 2 2 2 3" xfId="3232"/>
    <cellStyle name="Calculation 2 3 2 2 2 2 4" xfId="3233"/>
    <cellStyle name="Calculation 2 3 2 2 2 2 5" xfId="3234"/>
    <cellStyle name="Calculation 2 3 2 2 2 2 6" xfId="3235"/>
    <cellStyle name="Calculation 2 3 2 2 2 2 7" xfId="3236"/>
    <cellStyle name="Calculation 2 3 2 2 2 3" xfId="3237"/>
    <cellStyle name="Calculation 2 3 2 2 2 4" xfId="3238"/>
    <cellStyle name="Calculation 2 3 2 2 2 5" xfId="3239"/>
    <cellStyle name="Calculation 2 3 2 2 2 6" xfId="3240"/>
    <cellStyle name="Calculation 2 3 2 2 2 7" xfId="3241"/>
    <cellStyle name="Calculation 2 3 2 2 2 8" xfId="3242"/>
    <cellStyle name="Calculation 2 3 2 2 3" xfId="3243"/>
    <cellStyle name="Calculation 2 3 2 2 3 2" xfId="3244"/>
    <cellStyle name="Calculation 2 3 2 2 3 2 2" xfId="3245"/>
    <cellStyle name="Calculation 2 3 2 2 3 2 3" xfId="3246"/>
    <cellStyle name="Calculation 2 3 2 2 3 2 4" xfId="3247"/>
    <cellStyle name="Calculation 2 3 2 2 3 2 5" xfId="3248"/>
    <cellStyle name="Calculation 2 3 2 2 3 2 6" xfId="3249"/>
    <cellStyle name="Calculation 2 3 2 2 3 2 7" xfId="3250"/>
    <cellStyle name="Calculation 2 3 2 2 3 3" xfId="3251"/>
    <cellStyle name="Calculation 2 3 2 2 3 4" xfId="3252"/>
    <cellStyle name="Calculation 2 3 2 2 3 5" xfId="3253"/>
    <cellStyle name="Calculation 2 3 2 2 3 6" xfId="3254"/>
    <cellStyle name="Calculation 2 3 2 2 3 7" xfId="3255"/>
    <cellStyle name="Calculation 2 3 2 2 3 8" xfId="3256"/>
    <cellStyle name="Calculation 2 3 2 2 4" xfId="3257"/>
    <cellStyle name="Calculation 2 3 2 2 4 2" xfId="3258"/>
    <cellStyle name="Calculation 2 3 2 2 4 2 2" xfId="3259"/>
    <cellStyle name="Calculation 2 3 2 2 4 2 3" xfId="3260"/>
    <cellStyle name="Calculation 2 3 2 2 4 2 4" xfId="3261"/>
    <cellStyle name="Calculation 2 3 2 2 4 2 5" xfId="3262"/>
    <cellStyle name="Calculation 2 3 2 2 4 2 6" xfId="3263"/>
    <cellStyle name="Calculation 2 3 2 2 4 2 7" xfId="3264"/>
    <cellStyle name="Calculation 2 3 2 2 4 3" xfId="3265"/>
    <cellStyle name="Calculation 2 3 2 2 4 4" xfId="3266"/>
    <cellStyle name="Calculation 2 3 2 2 4 5" xfId="3267"/>
    <cellStyle name="Calculation 2 3 2 2 4 6" xfId="3268"/>
    <cellStyle name="Calculation 2 3 2 2 4 7" xfId="3269"/>
    <cellStyle name="Calculation 2 3 2 2 4 8" xfId="3270"/>
    <cellStyle name="Calculation 2 3 2 2 5" xfId="3271"/>
    <cellStyle name="Calculation 2 3 2 2 5 2" xfId="3272"/>
    <cellStyle name="Calculation 2 3 2 2 5 3" xfId="3273"/>
    <cellStyle name="Calculation 2 3 2 2 5 4" xfId="3274"/>
    <cellStyle name="Calculation 2 3 2 2 5 5" xfId="3275"/>
    <cellStyle name="Calculation 2 3 2 2 5 6" xfId="3276"/>
    <cellStyle name="Calculation 2 3 2 2 5 7" xfId="3277"/>
    <cellStyle name="Calculation 2 3 2 2 6" xfId="3278"/>
    <cellStyle name="Calculation 2 3 2 2 7" xfId="3279"/>
    <cellStyle name="Calculation 2 3 2 2 8" xfId="3280"/>
    <cellStyle name="Calculation 2 3 2 2 9" xfId="3281"/>
    <cellStyle name="Calculation 2 3 2 3" xfId="3282"/>
    <cellStyle name="Calculation 2 3 2 3 2" xfId="3283"/>
    <cellStyle name="Calculation 2 3 2 3 2 2" xfId="3284"/>
    <cellStyle name="Calculation 2 3 2 3 2 2 2" xfId="3285"/>
    <cellStyle name="Calculation 2 3 2 3 2 2 3" xfId="3286"/>
    <cellStyle name="Calculation 2 3 2 3 2 2 4" xfId="3287"/>
    <cellStyle name="Calculation 2 3 2 3 2 2 5" xfId="3288"/>
    <cellStyle name="Calculation 2 3 2 3 2 2 6" xfId="3289"/>
    <cellStyle name="Calculation 2 3 2 3 2 2 7" xfId="3290"/>
    <cellStyle name="Calculation 2 3 2 3 2 3" xfId="3291"/>
    <cellStyle name="Calculation 2 3 2 3 2 4" xfId="3292"/>
    <cellStyle name="Calculation 2 3 2 3 2 5" xfId="3293"/>
    <cellStyle name="Calculation 2 3 2 3 2 6" xfId="3294"/>
    <cellStyle name="Calculation 2 3 2 3 2 7" xfId="3295"/>
    <cellStyle name="Calculation 2 3 2 3 2 8" xfId="3296"/>
    <cellStyle name="Calculation 2 3 2 3 3" xfId="3297"/>
    <cellStyle name="Calculation 2 3 2 3 3 2" xfId="3298"/>
    <cellStyle name="Calculation 2 3 2 3 3 2 2" xfId="3299"/>
    <cellStyle name="Calculation 2 3 2 3 3 2 3" xfId="3300"/>
    <cellStyle name="Calculation 2 3 2 3 3 2 4" xfId="3301"/>
    <cellStyle name="Calculation 2 3 2 3 3 2 5" xfId="3302"/>
    <cellStyle name="Calculation 2 3 2 3 3 2 6" xfId="3303"/>
    <cellStyle name="Calculation 2 3 2 3 3 2 7" xfId="3304"/>
    <cellStyle name="Calculation 2 3 2 3 3 3" xfId="3305"/>
    <cellStyle name="Calculation 2 3 2 3 3 4" xfId="3306"/>
    <cellStyle name="Calculation 2 3 2 3 3 5" xfId="3307"/>
    <cellStyle name="Calculation 2 3 2 3 3 6" xfId="3308"/>
    <cellStyle name="Calculation 2 3 2 3 3 7" xfId="3309"/>
    <cellStyle name="Calculation 2 3 2 3 3 8" xfId="3310"/>
    <cellStyle name="Calculation 2 3 2 3 4" xfId="3311"/>
    <cellStyle name="Calculation 2 3 2 3 4 2" xfId="3312"/>
    <cellStyle name="Calculation 2 3 2 3 4 2 2" xfId="3313"/>
    <cellStyle name="Calculation 2 3 2 3 4 2 3" xfId="3314"/>
    <cellStyle name="Calculation 2 3 2 3 4 2 4" xfId="3315"/>
    <cellStyle name="Calculation 2 3 2 3 4 2 5" xfId="3316"/>
    <cellStyle name="Calculation 2 3 2 3 4 2 6" xfId="3317"/>
    <cellStyle name="Calculation 2 3 2 3 4 2 7" xfId="3318"/>
    <cellStyle name="Calculation 2 3 2 3 4 3" xfId="3319"/>
    <cellStyle name="Calculation 2 3 2 3 4 4" xfId="3320"/>
    <cellStyle name="Calculation 2 3 2 3 4 5" xfId="3321"/>
    <cellStyle name="Calculation 2 3 2 3 4 6" xfId="3322"/>
    <cellStyle name="Calculation 2 3 2 3 4 7" xfId="3323"/>
    <cellStyle name="Calculation 2 3 2 3 4 8" xfId="3324"/>
    <cellStyle name="Calculation 2 3 2 3 5" xfId="3325"/>
    <cellStyle name="Calculation 2 3 2 3 5 2" xfId="3326"/>
    <cellStyle name="Calculation 2 3 2 3 5 3" xfId="3327"/>
    <cellStyle name="Calculation 2 3 2 3 5 4" xfId="3328"/>
    <cellStyle name="Calculation 2 3 2 3 5 5" xfId="3329"/>
    <cellStyle name="Calculation 2 3 2 3 5 6" xfId="3330"/>
    <cellStyle name="Calculation 2 3 2 3 5 7" xfId="3331"/>
    <cellStyle name="Calculation 2 3 2 3 6" xfId="3332"/>
    <cellStyle name="Calculation 2 3 2 3 7" xfId="3333"/>
    <cellStyle name="Calculation 2 3 2 3 8" xfId="3334"/>
    <cellStyle name="Calculation 2 3 2 3 9" xfId="3335"/>
    <cellStyle name="Calculation 2 3 2 4" xfId="3336"/>
    <cellStyle name="Calculation 2 3 2 4 2" xfId="3337"/>
    <cellStyle name="Calculation 2 3 2 4 2 2" xfId="3338"/>
    <cellStyle name="Calculation 2 3 2 4 2 2 2" xfId="3339"/>
    <cellStyle name="Calculation 2 3 2 4 2 2 3" xfId="3340"/>
    <cellStyle name="Calculation 2 3 2 4 2 2 4" xfId="3341"/>
    <cellStyle name="Calculation 2 3 2 4 2 2 5" xfId="3342"/>
    <cellStyle name="Calculation 2 3 2 4 2 2 6" xfId="3343"/>
    <cellStyle name="Calculation 2 3 2 4 2 2 7" xfId="3344"/>
    <cellStyle name="Calculation 2 3 2 4 2 3" xfId="3345"/>
    <cellStyle name="Calculation 2 3 2 4 2 4" xfId="3346"/>
    <cellStyle name="Calculation 2 3 2 4 2 5" xfId="3347"/>
    <cellStyle name="Calculation 2 3 2 4 2 6" xfId="3348"/>
    <cellStyle name="Calculation 2 3 2 4 2 7" xfId="3349"/>
    <cellStyle name="Calculation 2 3 2 4 2 8" xfId="3350"/>
    <cellStyle name="Calculation 2 3 2 4 3" xfId="3351"/>
    <cellStyle name="Calculation 2 3 2 4 3 2" xfId="3352"/>
    <cellStyle name="Calculation 2 3 2 4 3 2 2" xfId="3353"/>
    <cellStyle name="Calculation 2 3 2 4 3 2 3" xfId="3354"/>
    <cellStyle name="Calculation 2 3 2 4 3 2 4" xfId="3355"/>
    <cellStyle name="Calculation 2 3 2 4 3 2 5" xfId="3356"/>
    <cellStyle name="Calculation 2 3 2 4 3 2 6" xfId="3357"/>
    <cellStyle name="Calculation 2 3 2 4 3 2 7" xfId="3358"/>
    <cellStyle name="Calculation 2 3 2 4 3 3" xfId="3359"/>
    <cellStyle name="Calculation 2 3 2 4 3 4" xfId="3360"/>
    <cellStyle name="Calculation 2 3 2 4 3 5" xfId="3361"/>
    <cellStyle name="Calculation 2 3 2 4 3 6" xfId="3362"/>
    <cellStyle name="Calculation 2 3 2 4 3 7" xfId="3363"/>
    <cellStyle name="Calculation 2 3 2 4 3 8" xfId="3364"/>
    <cellStyle name="Calculation 2 3 2 4 4" xfId="3365"/>
    <cellStyle name="Calculation 2 3 2 4 4 2" xfId="3366"/>
    <cellStyle name="Calculation 2 3 2 4 4 2 2" xfId="3367"/>
    <cellStyle name="Calculation 2 3 2 4 4 2 3" xfId="3368"/>
    <cellStyle name="Calculation 2 3 2 4 4 2 4" xfId="3369"/>
    <cellStyle name="Calculation 2 3 2 4 4 2 5" xfId="3370"/>
    <cellStyle name="Calculation 2 3 2 4 4 2 6" xfId="3371"/>
    <cellStyle name="Calculation 2 3 2 4 4 2 7" xfId="3372"/>
    <cellStyle name="Calculation 2 3 2 4 4 3" xfId="3373"/>
    <cellStyle name="Calculation 2 3 2 4 4 4" xfId="3374"/>
    <cellStyle name="Calculation 2 3 2 4 4 5" xfId="3375"/>
    <cellStyle name="Calculation 2 3 2 4 4 6" xfId="3376"/>
    <cellStyle name="Calculation 2 3 2 4 4 7" xfId="3377"/>
    <cellStyle name="Calculation 2 3 2 4 4 8" xfId="3378"/>
    <cellStyle name="Calculation 2 3 2 4 5" xfId="3379"/>
    <cellStyle name="Calculation 2 3 2 4 5 2" xfId="3380"/>
    <cellStyle name="Calculation 2 3 2 4 5 3" xfId="3381"/>
    <cellStyle name="Calculation 2 3 2 4 5 4" xfId="3382"/>
    <cellStyle name="Calculation 2 3 2 4 5 5" xfId="3383"/>
    <cellStyle name="Calculation 2 3 2 4 5 6" xfId="3384"/>
    <cellStyle name="Calculation 2 3 2 4 5 7" xfId="3385"/>
    <cellStyle name="Calculation 2 3 2 4 6" xfId="3386"/>
    <cellStyle name="Calculation 2 3 2 4 7" xfId="3387"/>
    <cellStyle name="Calculation 2 3 2 4 8" xfId="3388"/>
    <cellStyle name="Calculation 2 3 2 4 9" xfId="3389"/>
    <cellStyle name="Calculation 2 3 2 5" xfId="3390"/>
    <cellStyle name="Calculation 2 3 2 5 2" xfId="3391"/>
    <cellStyle name="Calculation 2 3 2 5 2 2" xfId="3392"/>
    <cellStyle name="Calculation 2 3 2 5 2 2 2" xfId="3393"/>
    <cellStyle name="Calculation 2 3 2 5 2 2 3" xfId="3394"/>
    <cellStyle name="Calculation 2 3 2 5 2 2 4" xfId="3395"/>
    <cellStyle name="Calculation 2 3 2 5 2 2 5" xfId="3396"/>
    <cellStyle name="Calculation 2 3 2 5 2 2 6" xfId="3397"/>
    <cellStyle name="Calculation 2 3 2 5 2 2 7" xfId="3398"/>
    <cellStyle name="Calculation 2 3 2 5 2 3" xfId="3399"/>
    <cellStyle name="Calculation 2 3 2 5 2 4" xfId="3400"/>
    <cellStyle name="Calculation 2 3 2 5 2 5" xfId="3401"/>
    <cellStyle name="Calculation 2 3 2 5 2 6" xfId="3402"/>
    <cellStyle name="Calculation 2 3 2 5 2 7" xfId="3403"/>
    <cellStyle name="Calculation 2 3 2 5 2 8" xfId="3404"/>
    <cellStyle name="Calculation 2 3 2 5 3" xfId="3405"/>
    <cellStyle name="Calculation 2 3 2 5 3 2" xfId="3406"/>
    <cellStyle name="Calculation 2 3 2 5 3 2 2" xfId="3407"/>
    <cellStyle name="Calculation 2 3 2 5 3 2 3" xfId="3408"/>
    <cellStyle name="Calculation 2 3 2 5 3 2 4" xfId="3409"/>
    <cellStyle name="Calculation 2 3 2 5 3 2 5" xfId="3410"/>
    <cellStyle name="Calculation 2 3 2 5 3 2 6" xfId="3411"/>
    <cellStyle name="Calculation 2 3 2 5 3 2 7" xfId="3412"/>
    <cellStyle name="Calculation 2 3 2 5 3 3" xfId="3413"/>
    <cellStyle name="Calculation 2 3 2 5 3 4" xfId="3414"/>
    <cellStyle name="Calculation 2 3 2 5 3 5" xfId="3415"/>
    <cellStyle name="Calculation 2 3 2 5 3 6" xfId="3416"/>
    <cellStyle name="Calculation 2 3 2 5 3 7" xfId="3417"/>
    <cellStyle name="Calculation 2 3 2 5 3 8" xfId="3418"/>
    <cellStyle name="Calculation 2 3 2 5 4" xfId="3419"/>
    <cellStyle name="Calculation 2 3 2 5 4 2" xfId="3420"/>
    <cellStyle name="Calculation 2 3 2 5 4 2 2" xfId="3421"/>
    <cellStyle name="Calculation 2 3 2 5 4 2 3" xfId="3422"/>
    <cellStyle name="Calculation 2 3 2 5 4 2 4" xfId="3423"/>
    <cellStyle name="Calculation 2 3 2 5 4 2 5" xfId="3424"/>
    <cellStyle name="Calculation 2 3 2 5 4 2 6" xfId="3425"/>
    <cellStyle name="Calculation 2 3 2 5 4 2 7" xfId="3426"/>
    <cellStyle name="Calculation 2 3 2 5 4 3" xfId="3427"/>
    <cellStyle name="Calculation 2 3 2 5 4 4" xfId="3428"/>
    <cellStyle name="Calculation 2 3 2 5 4 5" xfId="3429"/>
    <cellStyle name="Calculation 2 3 2 5 4 6" xfId="3430"/>
    <cellStyle name="Calculation 2 3 2 5 4 7" xfId="3431"/>
    <cellStyle name="Calculation 2 3 2 5 4 8" xfId="3432"/>
    <cellStyle name="Calculation 2 3 2 5 5" xfId="3433"/>
    <cellStyle name="Calculation 2 3 2 5 5 2" xfId="3434"/>
    <cellStyle name="Calculation 2 3 2 5 5 3" xfId="3435"/>
    <cellStyle name="Calculation 2 3 2 5 5 4" xfId="3436"/>
    <cellStyle name="Calculation 2 3 2 5 5 5" xfId="3437"/>
    <cellStyle name="Calculation 2 3 2 5 5 6" xfId="3438"/>
    <cellStyle name="Calculation 2 3 2 5 5 7" xfId="3439"/>
    <cellStyle name="Calculation 2 3 2 5 6" xfId="3440"/>
    <cellStyle name="Calculation 2 3 2 5 7" xfId="3441"/>
    <cellStyle name="Calculation 2 3 2 5 8" xfId="3442"/>
    <cellStyle name="Calculation 2 3 2 5 9" xfId="3443"/>
    <cellStyle name="Calculation 2 3 2 6" xfId="3444"/>
    <cellStyle name="Calculation 2 3 2 6 2" xfId="3445"/>
    <cellStyle name="Calculation 2 3 2 6 2 2" xfId="3446"/>
    <cellStyle name="Calculation 2 3 2 6 2 3" xfId="3447"/>
    <cellStyle name="Calculation 2 3 2 6 2 4" xfId="3448"/>
    <cellStyle name="Calculation 2 3 2 6 2 5" xfId="3449"/>
    <cellStyle name="Calculation 2 3 2 6 2 6" xfId="3450"/>
    <cellStyle name="Calculation 2 3 2 6 2 7" xfId="3451"/>
    <cellStyle name="Calculation 2 3 2 6 3" xfId="3452"/>
    <cellStyle name="Calculation 2 3 2 6 4" xfId="3453"/>
    <cellStyle name="Calculation 2 3 2 6 5" xfId="3454"/>
    <cellStyle name="Calculation 2 3 2 6 6" xfId="3455"/>
    <cellStyle name="Calculation 2 3 2 6 7" xfId="3456"/>
    <cellStyle name="Calculation 2 3 2 6 8" xfId="3457"/>
    <cellStyle name="Calculation 2 3 2 7" xfId="3458"/>
    <cellStyle name="Calculation 2 3 2 7 2" xfId="3459"/>
    <cellStyle name="Calculation 2 3 2 7 2 2" xfId="3460"/>
    <cellStyle name="Calculation 2 3 2 7 2 3" xfId="3461"/>
    <cellStyle name="Calculation 2 3 2 7 2 4" xfId="3462"/>
    <cellStyle name="Calculation 2 3 2 7 2 5" xfId="3463"/>
    <cellStyle name="Calculation 2 3 2 7 2 6" xfId="3464"/>
    <cellStyle name="Calculation 2 3 2 7 2 7" xfId="3465"/>
    <cellStyle name="Calculation 2 3 2 7 3" xfId="3466"/>
    <cellStyle name="Calculation 2 3 2 7 4" xfId="3467"/>
    <cellStyle name="Calculation 2 3 2 7 5" xfId="3468"/>
    <cellStyle name="Calculation 2 3 2 7 6" xfId="3469"/>
    <cellStyle name="Calculation 2 3 2 7 7" xfId="3470"/>
    <cellStyle name="Calculation 2 3 2 7 8" xfId="3471"/>
    <cellStyle name="Calculation 2 3 2 8" xfId="3472"/>
    <cellStyle name="Calculation 2 3 2 8 2" xfId="3473"/>
    <cellStyle name="Calculation 2 3 2 8 2 2" xfId="3474"/>
    <cellStyle name="Calculation 2 3 2 8 2 3" xfId="3475"/>
    <cellStyle name="Calculation 2 3 2 8 2 4" xfId="3476"/>
    <cellStyle name="Calculation 2 3 2 8 2 5" xfId="3477"/>
    <cellStyle name="Calculation 2 3 2 8 2 6" xfId="3478"/>
    <cellStyle name="Calculation 2 3 2 8 2 7" xfId="3479"/>
    <cellStyle name="Calculation 2 3 2 8 3" xfId="3480"/>
    <cellStyle name="Calculation 2 3 2 8 4" xfId="3481"/>
    <cellStyle name="Calculation 2 3 2 8 5" xfId="3482"/>
    <cellStyle name="Calculation 2 3 2 8 6" xfId="3483"/>
    <cellStyle name="Calculation 2 3 2 8 7" xfId="3484"/>
    <cellStyle name="Calculation 2 3 2 8 8" xfId="3485"/>
    <cellStyle name="Calculation 2 3 2 9" xfId="3486"/>
    <cellStyle name="Calculation 2 3 2 9 2" xfId="3487"/>
    <cellStyle name="Calculation 2 3 2 9 3" xfId="3488"/>
    <cellStyle name="Calculation 2 3 2 9 4" xfId="3489"/>
    <cellStyle name="Calculation 2 3 2 9 5" xfId="3490"/>
    <cellStyle name="Calculation 2 3 2 9 6" xfId="3491"/>
    <cellStyle name="Calculation 2 3 2 9 7" xfId="3492"/>
    <cellStyle name="Calculation 2 3 3" xfId="3493"/>
    <cellStyle name="Calculation 2 3 3 10" xfId="3494"/>
    <cellStyle name="Calculation 2 3 3 11" xfId="3495"/>
    <cellStyle name="Calculation 2 3 3 2" xfId="3496"/>
    <cellStyle name="Calculation 2 3 3 2 2" xfId="3497"/>
    <cellStyle name="Calculation 2 3 3 2 2 2" xfId="3498"/>
    <cellStyle name="Calculation 2 3 3 2 2 3" xfId="3499"/>
    <cellStyle name="Calculation 2 3 3 2 2 4" xfId="3500"/>
    <cellStyle name="Calculation 2 3 3 2 2 5" xfId="3501"/>
    <cellStyle name="Calculation 2 3 3 2 2 6" xfId="3502"/>
    <cellStyle name="Calculation 2 3 3 2 2 7" xfId="3503"/>
    <cellStyle name="Calculation 2 3 3 2 3" xfId="3504"/>
    <cellStyle name="Calculation 2 3 3 2 4" xfId="3505"/>
    <cellStyle name="Calculation 2 3 3 2 5" xfId="3506"/>
    <cellStyle name="Calculation 2 3 3 2 6" xfId="3507"/>
    <cellStyle name="Calculation 2 3 3 2 7" xfId="3508"/>
    <cellStyle name="Calculation 2 3 3 2 8" xfId="3509"/>
    <cellStyle name="Calculation 2 3 3 3" xfId="3510"/>
    <cellStyle name="Calculation 2 3 3 3 2" xfId="3511"/>
    <cellStyle name="Calculation 2 3 3 3 2 2" xfId="3512"/>
    <cellStyle name="Calculation 2 3 3 3 2 3" xfId="3513"/>
    <cellStyle name="Calculation 2 3 3 3 2 4" xfId="3514"/>
    <cellStyle name="Calculation 2 3 3 3 2 5" xfId="3515"/>
    <cellStyle name="Calculation 2 3 3 3 2 6" xfId="3516"/>
    <cellStyle name="Calculation 2 3 3 3 2 7" xfId="3517"/>
    <cellStyle name="Calculation 2 3 3 3 3" xfId="3518"/>
    <cellStyle name="Calculation 2 3 3 3 4" xfId="3519"/>
    <cellStyle name="Calculation 2 3 3 3 5" xfId="3520"/>
    <cellStyle name="Calculation 2 3 3 3 6" xfId="3521"/>
    <cellStyle name="Calculation 2 3 3 3 7" xfId="3522"/>
    <cellStyle name="Calculation 2 3 3 3 8" xfId="3523"/>
    <cellStyle name="Calculation 2 3 3 4" xfId="3524"/>
    <cellStyle name="Calculation 2 3 3 4 2" xfId="3525"/>
    <cellStyle name="Calculation 2 3 3 4 2 2" xfId="3526"/>
    <cellStyle name="Calculation 2 3 3 4 2 3" xfId="3527"/>
    <cellStyle name="Calculation 2 3 3 4 2 4" xfId="3528"/>
    <cellStyle name="Calculation 2 3 3 4 2 5" xfId="3529"/>
    <cellStyle name="Calculation 2 3 3 4 2 6" xfId="3530"/>
    <cellStyle name="Calculation 2 3 3 4 2 7" xfId="3531"/>
    <cellStyle name="Calculation 2 3 3 4 3" xfId="3532"/>
    <cellStyle name="Calculation 2 3 3 4 4" xfId="3533"/>
    <cellStyle name="Calculation 2 3 3 4 5" xfId="3534"/>
    <cellStyle name="Calculation 2 3 3 4 6" xfId="3535"/>
    <cellStyle name="Calculation 2 3 3 4 7" xfId="3536"/>
    <cellStyle name="Calculation 2 3 3 4 8" xfId="3537"/>
    <cellStyle name="Calculation 2 3 3 5" xfId="3538"/>
    <cellStyle name="Calculation 2 3 3 5 2" xfId="3539"/>
    <cellStyle name="Calculation 2 3 3 5 3" xfId="3540"/>
    <cellStyle name="Calculation 2 3 3 5 4" xfId="3541"/>
    <cellStyle name="Calculation 2 3 3 5 5" xfId="3542"/>
    <cellStyle name="Calculation 2 3 3 5 6" xfId="3543"/>
    <cellStyle name="Calculation 2 3 3 5 7" xfId="3544"/>
    <cellStyle name="Calculation 2 3 3 6" xfId="3545"/>
    <cellStyle name="Calculation 2 3 3 7" xfId="3546"/>
    <cellStyle name="Calculation 2 3 3 8" xfId="3547"/>
    <cellStyle name="Calculation 2 3 3 9" xfId="3548"/>
    <cellStyle name="Calculation 2 3 4" xfId="3549"/>
    <cellStyle name="Calculation 2 3 4 2" xfId="3550"/>
    <cellStyle name="Calculation 2 3 4 2 2" xfId="3551"/>
    <cellStyle name="Calculation 2 3 4 2 3" xfId="3552"/>
    <cellStyle name="Calculation 2 3 4 2 4" xfId="3553"/>
    <cellStyle name="Calculation 2 3 4 2 5" xfId="3554"/>
    <cellStyle name="Calculation 2 3 4 2 6" xfId="3555"/>
    <cellStyle name="Calculation 2 3 4 2 7" xfId="3556"/>
    <cellStyle name="Calculation 2 3 4 3" xfId="3557"/>
    <cellStyle name="Calculation 2 3 4 4" xfId="3558"/>
    <cellStyle name="Calculation 2 3 4 5" xfId="3559"/>
    <cellStyle name="Calculation 2 3 4 6" xfId="3560"/>
    <cellStyle name="Calculation 2 3 4 7" xfId="3561"/>
    <cellStyle name="Calculation 2 3 4 8" xfId="3562"/>
    <cellStyle name="Calculation 2 3 5" xfId="3563"/>
    <cellStyle name="Calculation 2 3 5 2" xfId="3564"/>
    <cellStyle name="Calculation 2 3 5 2 2" xfId="3565"/>
    <cellStyle name="Calculation 2 3 5 2 3" xfId="3566"/>
    <cellStyle name="Calculation 2 3 5 2 4" xfId="3567"/>
    <cellStyle name="Calculation 2 3 5 2 5" xfId="3568"/>
    <cellStyle name="Calculation 2 3 5 2 6" xfId="3569"/>
    <cellStyle name="Calculation 2 3 5 2 7" xfId="3570"/>
    <cellStyle name="Calculation 2 3 5 3" xfId="3571"/>
    <cellStyle name="Calculation 2 3 5 4" xfId="3572"/>
    <cellStyle name="Calculation 2 3 5 5" xfId="3573"/>
    <cellStyle name="Calculation 2 3 5 6" xfId="3574"/>
    <cellStyle name="Calculation 2 3 5 7" xfId="3575"/>
    <cellStyle name="Calculation 2 3 5 8" xfId="3576"/>
    <cellStyle name="Calculation 2 3 6" xfId="3577"/>
    <cellStyle name="Calculation 2 3 6 2" xfId="3578"/>
    <cellStyle name="Calculation 2 3 6 2 2" xfId="3579"/>
    <cellStyle name="Calculation 2 3 6 2 3" xfId="3580"/>
    <cellStyle name="Calculation 2 3 6 2 4" xfId="3581"/>
    <cellStyle name="Calculation 2 3 6 2 5" xfId="3582"/>
    <cellStyle name="Calculation 2 3 6 2 6" xfId="3583"/>
    <cellStyle name="Calculation 2 3 6 2 7" xfId="3584"/>
    <cellStyle name="Calculation 2 3 6 3" xfId="3585"/>
    <cellStyle name="Calculation 2 3 6 4" xfId="3586"/>
    <cellStyle name="Calculation 2 3 6 5" xfId="3587"/>
    <cellStyle name="Calculation 2 3 6 6" xfId="3588"/>
    <cellStyle name="Calculation 2 3 6 7" xfId="3589"/>
    <cellStyle name="Calculation 2 3 6 8" xfId="3590"/>
    <cellStyle name="Calculation 2 3 7" xfId="3591"/>
    <cellStyle name="Calculation 2 3 7 2" xfId="3592"/>
    <cellStyle name="Calculation 2 3 7 3" xfId="3593"/>
    <cellStyle name="Calculation 2 3 7 4" xfId="3594"/>
    <cellStyle name="Calculation 2 3 7 5" xfId="3595"/>
    <cellStyle name="Calculation 2 3 7 6" xfId="3596"/>
    <cellStyle name="Calculation 2 3 7 7" xfId="3597"/>
    <cellStyle name="Calculation 2 3 8" xfId="3598"/>
    <cellStyle name="Calculation 2 3 9" xfId="3599"/>
    <cellStyle name="Calculation 2 4" xfId="549"/>
    <cellStyle name="Calculation 2 4 10" xfId="3600"/>
    <cellStyle name="Calculation 2 4 11" xfId="3601"/>
    <cellStyle name="Calculation 2 4 2" xfId="3602"/>
    <cellStyle name="Calculation 2 4 2 10" xfId="3603"/>
    <cellStyle name="Calculation 2 4 2 11" xfId="3604"/>
    <cellStyle name="Calculation 2 4 2 12" xfId="3605"/>
    <cellStyle name="Calculation 2 4 2 13" xfId="3606"/>
    <cellStyle name="Calculation 2 4 2 2" xfId="3607"/>
    <cellStyle name="Calculation 2 4 2 2 2" xfId="3608"/>
    <cellStyle name="Calculation 2 4 2 2 2 2" xfId="3609"/>
    <cellStyle name="Calculation 2 4 2 2 2 2 2" xfId="3610"/>
    <cellStyle name="Calculation 2 4 2 2 2 2 3" xfId="3611"/>
    <cellStyle name="Calculation 2 4 2 2 2 2 4" xfId="3612"/>
    <cellStyle name="Calculation 2 4 2 2 2 2 5" xfId="3613"/>
    <cellStyle name="Calculation 2 4 2 2 2 2 6" xfId="3614"/>
    <cellStyle name="Calculation 2 4 2 2 2 2 7" xfId="3615"/>
    <cellStyle name="Calculation 2 4 2 2 2 3" xfId="3616"/>
    <cellStyle name="Calculation 2 4 2 2 2 4" xfId="3617"/>
    <cellStyle name="Calculation 2 4 2 2 2 5" xfId="3618"/>
    <cellStyle name="Calculation 2 4 2 2 2 6" xfId="3619"/>
    <cellStyle name="Calculation 2 4 2 2 2 7" xfId="3620"/>
    <cellStyle name="Calculation 2 4 2 2 2 8" xfId="3621"/>
    <cellStyle name="Calculation 2 4 2 2 3" xfId="3622"/>
    <cellStyle name="Calculation 2 4 2 2 3 2" xfId="3623"/>
    <cellStyle name="Calculation 2 4 2 2 3 2 2" xfId="3624"/>
    <cellStyle name="Calculation 2 4 2 2 3 2 3" xfId="3625"/>
    <cellStyle name="Calculation 2 4 2 2 3 2 4" xfId="3626"/>
    <cellStyle name="Calculation 2 4 2 2 3 2 5" xfId="3627"/>
    <cellStyle name="Calculation 2 4 2 2 3 2 6" xfId="3628"/>
    <cellStyle name="Calculation 2 4 2 2 3 2 7" xfId="3629"/>
    <cellStyle name="Calculation 2 4 2 2 3 3" xfId="3630"/>
    <cellStyle name="Calculation 2 4 2 2 3 4" xfId="3631"/>
    <cellStyle name="Calculation 2 4 2 2 3 5" xfId="3632"/>
    <cellStyle name="Calculation 2 4 2 2 3 6" xfId="3633"/>
    <cellStyle name="Calculation 2 4 2 2 3 7" xfId="3634"/>
    <cellStyle name="Calculation 2 4 2 2 3 8" xfId="3635"/>
    <cellStyle name="Calculation 2 4 2 2 4" xfId="3636"/>
    <cellStyle name="Calculation 2 4 2 2 4 2" xfId="3637"/>
    <cellStyle name="Calculation 2 4 2 2 4 2 2" xfId="3638"/>
    <cellStyle name="Calculation 2 4 2 2 4 2 3" xfId="3639"/>
    <cellStyle name="Calculation 2 4 2 2 4 2 4" xfId="3640"/>
    <cellStyle name="Calculation 2 4 2 2 4 2 5" xfId="3641"/>
    <cellStyle name="Calculation 2 4 2 2 4 2 6" xfId="3642"/>
    <cellStyle name="Calculation 2 4 2 2 4 2 7" xfId="3643"/>
    <cellStyle name="Calculation 2 4 2 2 4 3" xfId="3644"/>
    <cellStyle name="Calculation 2 4 2 2 4 4" xfId="3645"/>
    <cellStyle name="Calculation 2 4 2 2 4 5" xfId="3646"/>
    <cellStyle name="Calculation 2 4 2 2 4 6" xfId="3647"/>
    <cellStyle name="Calculation 2 4 2 2 4 7" xfId="3648"/>
    <cellStyle name="Calculation 2 4 2 2 4 8" xfId="3649"/>
    <cellStyle name="Calculation 2 4 2 2 5" xfId="3650"/>
    <cellStyle name="Calculation 2 4 2 2 5 2" xfId="3651"/>
    <cellStyle name="Calculation 2 4 2 2 5 3" xfId="3652"/>
    <cellStyle name="Calculation 2 4 2 2 5 4" xfId="3653"/>
    <cellStyle name="Calculation 2 4 2 2 5 5" xfId="3654"/>
    <cellStyle name="Calculation 2 4 2 2 5 6" xfId="3655"/>
    <cellStyle name="Calculation 2 4 2 2 5 7" xfId="3656"/>
    <cellStyle name="Calculation 2 4 2 2 6" xfId="3657"/>
    <cellStyle name="Calculation 2 4 2 2 7" xfId="3658"/>
    <cellStyle name="Calculation 2 4 2 2 8" xfId="3659"/>
    <cellStyle name="Calculation 2 4 2 2 9" xfId="3660"/>
    <cellStyle name="Calculation 2 4 2 3" xfId="3661"/>
    <cellStyle name="Calculation 2 4 2 3 2" xfId="3662"/>
    <cellStyle name="Calculation 2 4 2 3 2 2" xfId="3663"/>
    <cellStyle name="Calculation 2 4 2 3 2 2 2" xfId="3664"/>
    <cellStyle name="Calculation 2 4 2 3 2 2 3" xfId="3665"/>
    <cellStyle name="Calculation 2 4 2 3 2 2 4" xfId="3666"/>
    <cellStyle name="Calculation 2 4 2 3 2 2 5" xfId="3667"/>
    <cellStyle name="Calculation 2 4 2 3 2 2 6" xfId="3668"/>
    <cellStyle name="Calculation 2 4 2 3 2 2 7" xfId="3669"/>
    <cellStyle name="Calculation 2 4 2 3 2 3" xfId="3670"/>
    <cellStyle name="Calculation 2 4 2 3 2 4" xfId="3671"/>
    <cellStyle name="Calculation 2 4 2 3 2 5" xfId="3672"/>
    <cellStyle name="Calculation 2 4 2 3 2 6" xfId="3673"/>
    <cellStyle name="Calculation 2 4 2 3 2 7" xfId="3674"/>
    <cellStyle name="Calculation 2 4 2 3 2 8" xfId="3675"/>
    <cellStyle name="Calculation 2 4 2 3 3" xfId="3676"/>
    <cellStyle name="Calculation 2 4 2 3 3 2" xfId="3677"/>
    <cellStyle name="Calculation 2 4 2 3 3 2 2" xfId="3678"/>
    <cellStyle name="Calculation 2 4 2 3 3 2 3" xfId="3679"/>
    <cellStyle name="Calculation 2 4 2 3 3 2 4" xfId="3680"/>
    <cellStyle name="Calculation 2 4 2 3 3 2 5" xfId="3681"/>
    <cellStyle name="Calculation 2 4 2 3 3 2 6" xfId="3682"/>
    <cellStyle name="Calculation 2 4 2 3 3 2 7" xfId="3683"/>
    <cellStyle name="Calculation 2 4 2 3 3 3" xfId="3684"/>
    <cellStyle name="Calculation 2 4 2 3 3 4" xfId="3685"/>
    <cellStyle name="Calculation 2 4 2 3 3 5" xfId="3686"/>
    <cellStyle name="Calculation 2 4 2 3 3 6" xfId="3687"/>
    <cellStyle name="Calculation 2 4 2 3 3 7" xfId="3688"/>
    <cellStyle name="Calculation 2 4 2 3 3 8" xfId="3689"/>
    <cellStyle name="Calculation 2 4 2 3 4" xfId="3690"/>
    <cellStyle name="Calculation 2 4 2 3 4 2" xfId="3691"/>
    <cellStyle name="Calculation 2 4 2 3 4 2 2" xfId="3692"/>
    <cellStyle name="Calculation 2 4 2 3 4 2 3" xfId="3693"/>
    <cellStyle name="Calculation 2 4 2 3 4 2 4" xfId="3694"/>
    <cellStyle name="Calculation 2 4 2 3 4 2 5" xfId="3695"/>
    <cellStyle name="Calculation 2 4 2 3 4 2 6" xfId="3696"/>
    <cellStyle name="Calculation 2 4 2 3 4 2 7" xfId="3697"/>
    <cellStyle name="Calculation 2 4 2 3 4 3" xfId="3698"/>
    <cellStyle name="Calculation 2 4 2 3 4 4" xfId="3699"/>
    <cellStyle name="Calculation 2 4 2 3 4 5" xfId="3700"/>
    <cellStyle name="Calculation 2 4 2 3 4 6" xfId="3701"/>
    <cellStyle name="Calculation 2 4 2 3 4 7" xfId="3702"/>
    <cellStyle name="Calculation 2 4 2 3 4 8" xfId="3703"/>
    <cellStyle name="Calculation 2 4 2 3 5" xfId="3704"/>
    <cellStyle name="Calculation 2 4 2 3 5 2" xfId="3705"/>
    <cellStyle name="Calculation 2 4 2 3 5 3" xfId="3706"/>
    <cellStyle name="Calculation 2 4 2 3 5 4" xfId="3707"/>
    <cellStyle name="Calculation 2 4 2 3 5 5" xfId="3708"/>
    <cellStyle name="Calculation 2 4 2 3 5 6" xfId="3709"/>
    <cellStyle name="Calculation 2 4 2 3 5 7" xfId="3710"/>
    <cellStyle name="Calculation 2 4 2 3 6" xfId="3711"/>
    <cellStyle name="Calculation 2 4 2 3 7" xfId="3712"/>
    <cellStyle name="Calculation 2 4 2 3 8" xfId="3713"/>
    <cellStyle name="Calculation 2 4 2 3 9" xfId="3714"/>
    <cellStyle name="Calculation 2 4 2 4" xfId="3715"/>
    <cellStyle name="Calculation 2 4 2 4 2" xfId="3716"/>
    <cellStyle name="Calculation 2 4 2 4 2 2" xfId="3717"/>
    <cellStyle name="Calculation 2 4 2 4 2 2 2" xfId="3718"/>
    <cellStyle name="Calculation 2 4 2 4 2 2 3" xfId="3719"/>
    <cellStyle name="Calculation 2 4 2 4 2 2 4" xfId="3720"/>
    <cellStyle name="Calculation 2 4 2 4 2 2 5" xfId="3721"/>
    <cellStyle name="Calculation 2 4 2 4 2 2 6" xfId="3722"/>
    <cellStyle name="Calculation 2 4 2 4 2 2 7" xfId="3723"/>
    <cellStyle name="Calculation 2 4 2 4 2 3" xfId="3724"/>
    <cellStyle name="Calculation 2 4 2 4 2 4" xfId="3725"/>
    <cellStyle name="Calculation 2 4 2 4 2 5" xfId="3726"/>
    <cellStyle name="Calculation 2 4 2 4 2 6" xfId="3727"/>
    <cellStyle name="Calculation 2 4 2 4 2 7" xfId="3728"/>
    <cellStyle name="Calculation 2 4 2 4 2 8" xfId="3729"/>
    <cellStyle name="Calculation 2 4 2 4 3" xfId="3730"/>
    <cellStyle name="Calculation 2 4 2 4 3 2" xfId="3731"/>
    <cellStyle name="Calculation 2 4 2 4 3 2 2" xfId="3732"/>
    <cellStyle name="Calculation 2 4 2 4 3 2 3" xfId="3733"/>
    <cellStyle name="Calculation 2 4 2 4 3 2 4" xfId="3734"/>
    <cellStyle name="Calculation 2 4 2 4 3 2 5" xfId="3735"/>
    <cellStyle name="Calculation 2 4 2 4 3 2 6" xfId="3736"/>
    <cellStyle name="Calculation 2 4 2 4 3 2 7" xfId="3737"/>
    <cellStyle name="Calculation 2 4 2 4 3 3" xfId="3738"/>
    <cellStyle name="Calculation 2 4 2 4 3 4" xfId="3739"/>
    <cellStyle name="Calculation 2 4 2 4 3 5" xfId="3740"/>
    <cellStyle name="Calculation 2 4 2 4 3 6" xfId="3741"/>
    <cellStyle name="Calculation 2 4 2 4 3 7" xfId="3742"/>
    <cellStyle name="Calculation 2 4 2 4 3 8" xfId="3743"/>
    <cellStyle name="Calculation 2 4 2 4 4" xfId="3744"/>
    <cellStyle name="Calculation 2 4 2 4 4 2" xfId="3745"/>
    <cellStyle name="Calculation 2 4 2 4 4 2 2" xfId="3746"/>
    <cellStyle name="Calculation 2 4 2 4 4 2 3" xfId="3747"/>
    <cellStyle name="Calculation 2 4 2 4 4 2 4" xfId="3748"/>
    <cellStyle name="Calculation 2 4 2 4 4 2 5" xfId="3749"/>
    <cellStyle name="Calculation 2 4 2 4 4 2 6" xfId="3750"/>
    <cellStyle name="Calculation 2 4 2 4 4 2 7" xfId="3751"/>
    <cellStyle name="Calculation 2 4 2 4 4 3" xfId="3752"/>
    <cellStyle name="Calculation 2 4 2 4 4 4" xfId="3753"/>
    <cellStyle name="Calculation 2 4 2 4 4 5" xfId="3754"/>
    <cellStyle name="Calculation 2 4 2 4 4 6" xfId="3755"/>
    <cellStyle name="Calculation 2 4 2 4 4 7" xfId="3756"/>
    <cellStyle name="Calculation 2 4 2 4 4 8" xfId="3757"/>
    <cellStyle name="Calculation 2 4 2 4 5" xfId="3758"/>
    <cellStyle name="Calculation 2 4 2 4 5 2" xfId="3759"/>
    <cellStyle name="Calculation 2 4 2 4 5 3" xfId="3760"/>
    <cellStyle name="Calculation 2 4 2 4 5 4" xfId="3761"/>
    <cellStyle name="Calculation 2 4 2 4 5 5" xfId="3762"/>
    <cellStyle name="Calculation 2 4 2 4 5 6" xfId="3763"/>
    <cellStyle name="Calculation 2 4 2 4 5 7" xfId="3764"/>
    <cellStyle name="Calculation 2 4 2 4 6" xfId="3765"/>
    <cellStyle name="Calculation 2 4 2 4 7" xfId="3766"/>
    <cellStyle name="Calculation 2 4 2 4 8" xfId="3767"/>
    <cellStyle name="Calculation 2 4 2 4 9" xfId="3768"/>
    <cellStyle name="Calculation 2 4 2 5" xfId="3769"/>
    <cellStyle name="Calculation 2 4 2 5 2" xfId="3770"/>
    <cellStyle name="Calculation 2 4 2 5 2 2" xfId="3771"/>
    <cellStyle name="Calculation 2 4 2 5 2 2 2" xfId="3772"/>
    <cellStyle name="Calculation 2 4 2 5 2 2 3" xfId="3773"/>
    <cellStyle name="Calculation 2 4 2 5 2 2 4" xfId="3774"/>
    <cellStyle name="Calculation 2 4 2 5 2 2 5" xfId="3775"/>
    <cellStyle name="Calculation 2 4 2 5 2 2 6" xfId="3776"/>
    <cellStyle name="Calculation 2 4 2 5 2 2 7" xfId="3777"/>
    <cellStyle name="Calculation 2 4 2 5 2 3" xfId="3778"/>
    <cellStyle name="Calculation 2 4 2 5 2 4" xfId="3779"/>
    <cellStyle name="Calculation 2 4 2 5 2 5" xfId="3780"/>
    <cellStyle name="Calculation 2 4 2 5 2 6" xfId="3781"/>
    <cellStyle name="Calculation 2 4 2 5 2 7" xfId="3782"/>
    <cellStyle name="Calculation 2 4 2 5 2 8" xfId="3783"/>
    <cellStyle name="Calculation 2 4 2 5 3" xfId="3784"/>
    <cellStyle name="Calculation 2 4 2 5 3 2" xfId="3785"/>
    <cellStyle name="Calculation 2 4 2 5 3 2 2" xfId="3786"/>
    <cellStyle name="Calculation 2 4 2 5 3 2 3" xfId="3787"/>
    <cellStyle name="Calculation 2 4 2 5 3 2 4" xfId="3788"/>
    <cellStyle name="Calculation 2 4 2 5 3 2 5" xfId="3789"/>
    <cellStyle name="Calculation 2 4 2 5 3 2 6" xfId="3790"/>
    <cellStyle name="Calculation 2 4 2 5 3 2 7" xfId="3791"/>
    <cellStyle name="Calculation 2 4 2 5 3 3" xfId="3792"/>
    <cellStyle name="Calculation 2 4 2 5 3 4" xfId="3793"/>
    <cellStyle name="Calculation 2 4 2 5 3 5" xfId="3794"/>
    <cellStyle name="Calculation 2 4 2 5 3 6" xfId="3795"/>
    <cellStyle name="Calculation 2 4 2 5 3 7" xfId="3796"/>
    <cellStyle name="Calculation 2 4 2 5 3 8" xfId="3797"/>
    <cellStyle name="Calculation 2 4 2 5 4" xfId="3798"/>
    <cellStyle name="Calculation 2 4 2 5 4 2" xfId="3799"/>
    <cellStyle name="Calculation 2 4 2 5 4 2 2" xfId="3800"/>
    <cellStyle name="Calculation 2 4 2 5 4 2 3" xfId="3801"/>
    <cellStyle name="Calculation 2 4 2 5 4 2 4" xfId="3802"/>
    <cellStyle name="Calculation 2 4 2 5 4 2 5" xfId="3803"/>
    <cellStyle name="Calculation 2 4 2 5 4 2 6" xfId="3804"/>
    <cellStyle name="Calculation 2 4 2 5 4 2 7" xfId="3805"/>
    <cellStyle name="Calculation 2 4 2 5 4 3" xfId="3806"/>
    <cellStyle name="Calculation 2 4 2 5 4 4" xfId="3807"/>
    <cellStyle name="Calculation 2 4 2 5 4 5" xfId="3808"/>
    <cellStyle name="Calculation 2 4 2 5 4 6" xfId="3809"/>
    <cellStyle name="Calculation 2 4 2 5 4 7" xfId="3810"/>
    <cellStyle name="Calculation 2 4 2 5 4 8" xfId="3811"/>
    <cellStyle name="Calculation 2 4 2 5 5" xfId="3812"/>
    <cellStyle name="Calculation 2 4 2 5 5 2" xfId="3813"/>
    <cellStyle name="Calculation 2 4 2 5 5 3" xfId="3814"/>
    <cellStyle name="Calculation 2 4 2 5 5 4" xfId="3815"/>
    <cellStyle name="Calculation 2 4 2 5 5 5" xfId="3816"/>
    <cellStyle name="Calculation 2 4 2 5 5 6" xfId="3817"/>
    <cellStyle name="Calculation 2 4 2 5 5 7" xfId="3818"/>
    <cellStyle name="Calculation 2 4 2 5 6" xfId="3819"/>
    <cellStyle name="Calculation 2 4 2 5 7" xfId="3820"/>
    <cellStyle name="Calculation 2 4 2 5 8" xfId="3821"/>
    <cellStyle name="Calculation 2 4 2 5 9" xfId="3822"/>
    <cellStyle name="Calculation 2 4 2 6" xfId="3823"/>
    <cellStyle name="Calculation 2 4 2 6 2" xfId="3824"/>
    <cellStyle name="Calculation 2 4 2 6 2 2" xfId="3825"/>
    <cellStyle name="Calculation 2 4 2 6 2 3" xfId="3826"/>
    <cellStyle name="Calculation 2 4 2 6 2 4" xfId="3827"/>
    <cellStyle name="Calculation 2 4 2 6 2 5" xfId="3828"/>
    <cellStyle name="Calculation 2 4 2 6 2 6" xfId="3829"/>
    <cellStyle name="Calculation 2 4 2 6 2 7" xfId="3830"/>
    <cellStyle name="Calculation 2 4 2 6 3" xfId="3831"/>
    <cellStyle name="Calculation 2 4 2 6 4" xfId="3832"/>
    <cellStyle name="Calculation 2 4 2 6 5" xfId="3833"/>
    <cellStyle name="Calculation 2 4 2 6 6" xfId="3834"/>
    <cellStyle name="Calculation 2 4 2 6 7" xfId="3835"/>
    <cellStyle name="Calculation 2 4 2 6 8" xfId="3836"/>
    <cellStyle name="Calculation 2 4 2 7" xfId="3837"/>
    <cellStyle name="Calculation 2 4 2 7 2" xfId="3838"/>
    <cellStyle name="Calculation 2 4 2 7 2 2" xfId="3839"/>
    <cellStyle name="Calculation 2 4 2 7 2 3" xfId="3840"/>
    <cellStyle name="Calculation 2 4 2 7 2 4" xfId="3841"/>
    <cellStyle name="Calculation 2 4 2 7 2 5" xfId="3842"/>
    <cellStyle name="Calculation 2 4 2 7 2 6" xfId="3843"/>
    <cellStyle name="Calculation 2 4 2 7 2 7" xfId="3844"/>
    <cellStyle name="Calculation 2 4 2 7 3" xfId="3845"/>
    <cellStyle name="Calculation 2 4 2 7 4" xfId="3846"/>
    <cellStyle name="Calculation 2 4 2 7 5" xfId="3847"/>
    <cellStyle name="Calculation 2 4 2 7 6" xfId="3848"/>
    <cellStyle name="Calculation 2 4 2 7 7" xfId="3849"/>
    <cellStyle name="Calculation 2 4 2 7 8" xfId="3850"/>
    <cellStyle name="Calculation 2 4 2 8" xfId="3851"/>
    <cellStyle name="Calculation 2 4 2 8 2" xfId="3852"/>
    <cellStyle name="Calculation 2 4 2 8 2 2" xfId="3853"/>
    <cellStyle name="Calculation 2 4 2 8 2 3" xfId="3854"/>
    <cellStyle name="Calculation 2 4 2 8 2 4" xfId="3855"/>
    <cellStyle name="Calculation 2 4 2 8 2 5" xfId="3856"/>
    <cellStyle name="Calculation 2 4 2 8 2 6" xfId="3857"/>
    <cellStyle name="Calculation 2 4 2 8 2 7" xfId="3858"/>
    <cellStyle name="Calculation 2 4 2 8 3" xfId="3859"/>
    <cellStyle name="Calculation 2 4 2 8 4" xfId="3860"/>
    <cellStyle name="Calculation 2 4 2 8 5" xfId="3861"/>
    <cellStyle name="Calculation 2 4 2 8 6" xfId="3862"/>
    <cellStyle name="Calculation 2 4 2 8 7" xfId="3863"/>
    <cellStyle name="Calculation 2 4 2 8 8" xfId="3864"/>
    <cellStyle name="Calculation 2 4 2 9" xfId="3865"/>
    <cellStyle name="Calculation 2 4 2 9 2" xfId="3866"/>
    <cellStyle name="Calculation 2 4 2 9 3" xfId="3867"/>
    <cellStyle name="Calculation 2 4 2 9 4" xfId="3868"/>
    <cellStyle name="Calculation 2 4 2 9 5" xfId="3869"/>
    <cellStyle name="Calculation 2 4 2 9 6" xfId="3870"/>
    <cellStyle name="Calculation 2 4 2 9 7" xfId="3871"/>
    <cellStyle name="Calculation 2 4 3" xfId="3872"/>
    <cellStyle name="Calculation 2 4 3 10" xfId="3873"/>
    <cellStyle name="Calculation 2 4 3 11" xfId="3874"/>
    <cellStyle name="Calculation 2 4 3 2" xfId="3875"/>
    <cellStyle name="Calculation 2 4 3 2 2" xfId="3876"/>
    <cellStyle name="Calculation 2 4 3 2 2 2" xfId="3877"/>
    <cellStyle name="Calculation 2 4 3 2 2 3" xfId="3878"/>
    <cellStyle name="Calculation 2 4 3 2 2 4" xfId="3879"/>
    <cellStyle name="Calculation 2 4 3 2 2 5" xfId="3880"/>
    <cellStyle name="Calculation 2 4 3 2 2 6" xfId="3881"/>
    <cellStyle name="Calculation 2 4 3 2 2 7" xfId="3882"/>
    <cellStyle name="Calculation 2 4 3 2 3" xfId="3883"/>
    <cellStyle name="Calculation 2 4 3 2 4" xfId="3884"/>
    <cellStyle name="Calculation 2 4 3 2 5" xfId="3885"/>
    <cellStyle name="Calculation 2 4 3 2 6" xfId="3886"/>
    <cellStyle name="Calculation 2 4 3 2 7" xfId="3887"/>
    <cellStyle name="Calculation 2 4 3 2 8" xfId="3888"/>
    <cellStyle name="Calculation 2 4 3 3" xfId="3889"/>
    <cellStyle name="Calculation 2 4 3 3 2" xfId="3890"/>
    <cellStyle name="Calculation 2 4 3 3 2 2" xfId="3891"/>
    <cellStyle name="Calculation 2 4 3 3 2 3" xfId="3892"/>
    <cellStyle name="Calculation 2 4 3 3 2 4" xfId="3893"/>
    <cellStyle name="Calculation 2 4 3 3 2 5" xfId="3894"/>
    <cellStyle name="Calculation 2 4 3 3 2 6" xfId="3895"/>
    <cellStyle name="Calculation 2 4 3 3 2 7" xfId="3896"/>
    <cellStyle name="Calculation 2 4 3 3 3" xfId="3897"/>
    <cellStyle name="Calculation 2 4 3 3 4" xfId="3898"/>
    <cellStyle name="Calculation 2 4 3 3 5" xfId="3899"/>
    <cellStyle name="Calculation 2 4 3 3 6" xfId="3900"/>
    <cellStyle name="Calculation 2 4 3 3 7" xfId="3901"/>
    <cellStyle name="Calculation 2 4 3 3 8" xfId="3902"/>
    <cellStyle name="Calculation 2 4 3 4" xfId="3903"/>
    <cellStyle name="Calculation 2 4 3 4 2" xfId="3904"/>
    <cellStyle name="Calculation 2 4 3 4 2 2" xfId="3905"/>
    <cellStyle name="Calculation 2 4 3 4 2 3" xfId="3906"/>
    <cellStyle name="Calculation 2 4 3 4 2 4" xfId="3907"/>
    <cellStyle name="Calculation 2 4 3 4 2 5" xfId="3908"/>
    <cellStyle name="Calculation 2 4 3 4 2 6" xfId="3909"/>
    <cellStyle name="Calculation 2 4 3 4 2 7" xfId="3910"/>
    <cellStyle name="Calculation 2 4 3 4 3" xfId="3911"/>
    <cellStyle name="Calculation 2 4 3 4 4" xfId="3912"/>
    <cellStyle name="Calculation 2 4 3 4 5" xfId="3913"/>
    <cellStyle name="Calculation 2 4 3 4 6" xfId="3914"/>
    <cellStyle name="Calculation 2 4 3 4 7" xfId="3915"/>
    <cellStyle name="Calculation 2 4 3 4 8" xfId="3916"/>
    <cellStyle name="Calculation 2 4 3 5" xfId="3917"/>
    <cellStyle name="Calculation 2 4 3 5 2" xfId="3918"/>
    <cellStyle name="Calculation 2 4 3 5 3" xfId="3919"/>
    <cellStyle name="Calculation 2 4 3 5 4" xfId="3920"/>
    <cellStyle name="Calculation 2 4 3 5 5" xfId="3921"/>
    <cellStyle name="Calculation 2 4 3 5 6" xfId="3922"/>
    <cellStyle name="Calculation 2 4 3 5 7" xfId="3923"/>
    <cellStyle name="Calculation 2 4 3 6" xfId="3924"/>
    <cellStyle name="Calculation 2 4 3 7" xfId="3925"/>
    <cellStyle name="Calculation 2 4 3 8" xfId="3926"/>
    <cellStyle name="Calculation 2 4 3 9" xfId="3927"/>
    <cellStyle name="Calculation 2 4 4" xfId="3928"/>
    <cellStyle name="Calculation 2 4 4 2" xfId="3929"/>
    <cellStyle name="Calculation 2 4 4 2 2" xfId="3930"/>
    <cellStyle name="Calculation 2 4 4 2 3" xfId="3931"/>
    <cellStyle name="Calculation 2 4 4 2 4" xfId="3932"/>
    <cellStyle name="Calculation 2 4 4 2 5" xfId="3933"/>
    <cellStyle name="Calculation 2 4 4 2 6" xfId="3934"/>
    <cellStyle name="Calculation 2 4 4 2 7" xfId="3935"/>
    <cellStyle name="Calculation 2 4 4 3" xfId="3936"/>
    <cellStyle name="Calculation 2 4 4 4" xfId="3937"/>
    <cellStyle name="Calculation 2 4 4 5" xfId="3938"/>
    <cellStyle name="Calculation 2 4 4 6" xfId="3939"/>
    <cellStyle name="Calculation 2 4 4 7" xfId="3940"/>
    <cellStyle name="Calculation 2 4 4 8" xfId="3941"/>
    <cellStyle name="Calculation 2 4 5" xfId="3942"/>
    <cellStyle name="Calculation 2 4 5 2" xfId="3943"/>
    <cellStyle name="Calculation 2 4 5 2 2" xfId="3944"/>
    <cellStyle name="Calculation 2 4 5 2 3" xfId="3945"/>
    <cellStyle name="Calculation 2 4 5 2 4" xfId="3946"/>
    <cellStyle name="Calculation 2 4 5 2 5" xfId="3947"/>
    <cellStyle name="Calculation 2 4 5 2 6" xfId="3948"/>
    <cellStyle name="Calculation 2 4 5 2 7" xfId="3949"/>
    <cellStyle name="Calculation 2 4 5 3" xfId="3950"/>
    <cellStyle name="Calculation 2 4 5 4" xfId="3951"/>
    <cellStyle name="Calculation 2 4 5 5" xfId="3952"/>
    <cellStyle name="Calculation 2 4 5 6" xfId="3953"/>
    <cellStyle name="Calculation 2 4 5 7" xfId="3954"/>
    <cellStyle name="Calculation 2 4 5 8" xfId="3955"/>
    <cellStyle name="Calculation 2 4 6" xfId="3956"/>
    <cellStyle name="Calculation 2 4 6 2" xfId="3957"/>
    <cellStyle name="Calculation 2 4 6 2 2" xfId="3958"/>
    <cellStyle name="Calculation 2 4 6 2 3" xfId="3959"/>
    <cellStyle name="Calculation 2 4 6 2 4" xfId="3960"/>
    <cellStyle name="Calculation 2 4 6 2 5" xfId="3961"/>
    <cellStyle name="Calculation 2 4 6 2 6" xfId="3962"/>
    <cellStyle name="Calculation 2 4 6 2 7" xfId="3963"/>
    <cellStyle name="Calculation 2 4 6 3" xfId="3964"/>
    <cellStyle name="Calculation 2 4 6 4" xfId="3965"/>
    <cellStyle name="Calculation 2 4 6 5" xfId="3966"/>
    <cellStyle name="Calculation 2 4 6 6" xfId="3967"/>
    <cellStyle name="Calculation 2 4 6 7" xfId="3968"/>
    <cellStyle name="Calculation 2 4 6 8" xfId="3969"/>
    <cellStyle name="Calculation 2 4 7" xfId="3970"/>
    <cellStyle name="Calculation 2 4 7 2" xfId="3971"/>
    <cellStyle name="Calculation 2 4 7 3" xfId="3972"/>
    <cellStyle name="Calculation 2 4 7 4" xfId="3973"/>
    <cellStyle name="Calculation 2 4 7 5" xfId="3974"/>
    <cellStyle name="Calculation 2 4 7 6" xfId="3975"/>
    <cellStyle name="Calculation 2 4 7 7" xfId="3976"/>
    <cellStyle name="Calculation 2 4 8" xfId="3977"/>
    <cellStyle name="Calculation 2 4 9" xfId="3978"/>
    <cellStyle name="Calculation 2 5" xfId="3979"/>
    <cellStyle name="Calculation 2 5 10" xfId="3980"/>
    <cellStyle name="Calculation 2 5 11" xfId="3981"/>
    <cellStyle name="Calculation 2 5 12" xfId="3982"/>
    <cellStyle name="Calculation 2 5 13" xfId="3983"/>
    <cellStyle name="Calculation 2 5 2" xfId="3984"/>
    <cellStyle name="Calculation 2 5 2 2" xfId="3985"/>
    <cellStyle name="Calculation 2 5 2 2 2" xfId="3986"/>
    <cellStyle name="Calculation 2 5 2 2 2 2" xfId="3987"/>
    <cellStyle name="Calculation 2 5 2 2 2 3" xfId="3988"/>
    <cellStyle name="Calculation 2 5 2 2 2 4" xfId="3989"/>
    <cellStyle name="Calculation 2 5 2 2 2 5" xfId="3990"/>
    <cellStyle name="Calculation 2 5 2 2 2 6" xfId="3991"/>
    <cellStyle name="Calculation 2 5 2 2 2 7" xfId="3992"/>
    <cellStyle name="Calculation 2 5 2 2 3" xfId="3993"/>
    <cellStyle name="Calculation 2 5 2 2 4" xfId="3994"/>
    <cellStyle name="Calculation 2 5 2 2 5" xfId="3995"/>
    <cellStyle name="Calculation 2 5 2 2 6" xfId="3996"/>
    <cellStyle name="Calculation 2 5 2 2 7" xfId="3997"/>
    <cellStyle name="Calculation 2 5 2 2 8" xfId="3998"/>
    <cellStyle name="Calculation 2 5 2 3" xfId="3999"/>
    <cellStyle name="Calculation 2 5 2 3 2" xfId="4000"/>
    <cellStyle name="Calculation 2 5 2 3 2 2" xfId="4001"/>
    <cellStyle name="Calculation 2 5 2 3 2 3" xfId="4002"/>
    <cellStyle name="Calculation 2 5 2 3 2 4" xfId="4003"/>
    <cellStyle name="Calculation 2 5 2 3 2 5" xfId="4004"/>
    <cellStyle name="Calculation 2 5 2 3 2 6" xfId="4005"/>
    <cellStyle name="Calculation 2 5 2 3 2 7" xfId="4006"/>
    <cellStyle name="Calculation 2 5 2 3 3" xfId="4007"/>
    <cellStyle name="Calculation 2 5 2 3 4" xfId="4008"/>
    <cellStyle name="Calculation 2 5 2 3 5" xfId="4009"/>
    <cellStyle name="Calculation 2 5 2 3 6" xfId="4010"/>
    <cellStyle name="Calculation 2 5 2 3 7" xfId="4011"/>
    <cellStyle name="Calculation 2 5 2 3 8" xfId="4012"/>
    <cellStyle name="Calculation 2 5 2 4" xfId="4013"/>
    <cellStyle name="Calculation 2 5 2 4 2" xfId="4014"/>
    <cellStyle name="Calculation 2 5 2 4 2 2" xfId="4015"/>
    <cellStyle name="Calculation 2 5 2 4 2 3" xfId="4016"/>
    <cellStyle name="Calculation 2 5 2 4 2 4" xfId="4017"/>
    <cellStyle name="Calculation 2 5 2 4 2 5" xfId="4018"/>
    <cellStyle name="Calculation 2 5 2 4 2 6" xfId="4019"/>
    <cellStyle name="Calculation 2 5 2 4 2 7" xfId="4020"/>
    <cellStyle name="Calculation 2 5 2 4 3" xfId="4021"/>
    <cellStyle name="Calculation 2 5 2 4 4" xfId="4022"/>
    <cellStyle name="Calculation 2 5 2 4 5" xfId="4023"/>
    <cellStyle name="Calculation 2 5 2 4 6" xfId="4024"/>
    <cellStyle name="Calculation 2 5 2 4 7" xfId="4025"/>
    <cellStyle name="Calculation 2 5 2 4 8" xfId="4026"/>
    <cellStyle name="Calculation 2 5 2 5" xfId="4027"/>
    <cellStyle name="Calculation 2 5 2 5 2" xfId="4028"/>
    <cellStyle name="Calculation 2 5 2 5 3" xfId="4029"/>
    <cellStyle name="Calculation 2 5 2 5 4" xfId="4030"/>
    <cellStyle name="Calculation 2 5 2 5 5" xfId="4031"/>
    <cellStyle name="Calculation 2 5 2 5 6" xfId="4032"/>
    <cellStyle name="Calculation 2 5 2 5 7" xfId="4033"/>
    <cellStyle name="Calculation 2 5 2 6" xfId="4034"/>
    <cellStyle name="Calculation 2 5 2 7" xfId="4035"/>
    <cellStyle name="Calculation 2 5 2 8" xfId="4036"/>
    <cellStyle name="Calculation 2 5 2 9" xfId="4037"/>
    <cellStyle name="Calculation 2 5 3" xfId="4038"/>
    <cellStyle name="Calculation 2 5 3 2" xfId="4039"/>
    <cellStyle name="Calculation 2 5 3 2 2" xfId="4040"/>
    <cellStyle name="Calculation 2 5 3 2 2 2" xfId="4041"/>
    <cellStyle name="Calculation 2 5 3 2 2 3" xfId="4042"/>
    <cellStyle name="Calculation 2 5 3 2 2 4" xfId="4043"/>
    <cellStyle name="Calculation 2 5 3 2 2 5" xfId="4044"/>
    <cellStyle name="Calculation 2 5 3 2 2 6" xfId="4045"/>
    <cellStyle name="Calculation 2 5 3 2 2 7" xfId="4046"/>
    <cellStyle name="Calculation 2 5 3 2 3" xfId="4047"/>
    <cellStyle name="Calculation 2 5 3 2 4" xfId="4048"/>
    <cellStyle name="Calculation 2 5 3 2 5" xfId="4049"/>
    <cellStyle name="Calculation 2 5 3 2 6" xfId="4050"/>
    <cellStyle name="Calculation 2 5 3 2 7" xfId="4051"/>
    <cellStyle name="Calculation 2 5 3 2 8" xfId="4052"/>
    <cellStyle name="Calculation 2 5 3 3" xfId="4053"/>
    <cellStyle name="Calculation 2 5 3 3 2" xfId="4054"/>
    <cellStyle name="Calculation 2 5 3 3 2 2" xfId="4055"/>
    <cellStyle name="Calculation 2 5 3 3 2 3" xfId="4056"/>
    <cellStyle name="Calculation 2 5 3 3 2 4" xfId="4057"/>
    <cellStyle name="Calculation 2 5 3 3 2 5" xfId="4058"/>
    <cellStyle name="Calculation 2 5 3 3 2 6" xfId="4059"/>
    <cellStyle name="Calculation 2 5 3 3 2 7" xfId="4060"/>
    <cellStyle name="Calculation 2 5 3 3 3" xfId="4061"/>
    <cellStyle name="Calculation 2 5 3 3 4" xfId="4062"/>
    <cellStyle name="Calculation 2 5 3 3 5" xfId="4063"/>
    <cellStyle name="Calculation 2 5 3 3 6" xfId="4064"/>
    <cellStyle name="Calculation 2 5 3 3 7" xfId="4065"/>
    <cellStyle name="Calculation 2 5 3 3 8" xfId="4066"/>
    <cellStyle name="Calculation 2 5 3 4" xfId="4067"/>
    <cellStyle name="Calculation 2 5 3 4 2" xfId="4068"/>
    <cellStyle name="Calculation 2 5 3 4 2 2" xfId="4069"/>
    <cellStyle name="Calculation 2 5 3 4 2 3" xfId="4070"/>
    <cellStyle name="Calculation 2 5 3 4 2 4" xfId="4071"/>
    <cellStyle name="Calculation 2 5 3 4 2 5" xfId="4072"/>
    <cellStyle name="Calculation 2 5 3 4 2 6" xfId="4073"/>
    <cellStyle name="Calculation 2 5 3 4 2 7" xfId="4074"/>
    <cellStyle name="Calculation 2 5 3 4 3" xfId="4075"/>
    <cellStyle name="Calculation 2 5 3 4 4" xfId="4076"/>
    <cellStyle name="Calculation 2 5 3 4 5" xfId="4077"/>
    <cellStyle name="Calculation 2 5 3 4 6" xfId="4078"/>
    <cellStyle name="Calculation 2 5 3 4 7" xfId="4079"/>
    <cellStyle name="Calculation 2 5 3 4 8" xfId="4080"/>
    <cellStyle name="Calculation 2 5 3 5" xfId="4081"/>
    <cellStyle name="Calculation 2 5 3 5 2" xfId="4082"/>
    <cellStyle name="Calculation 2 5 3 5 3" xfId="4083"/>
    <cellStyle name="Calculation 2 5 3 5 4" xfId="4084"/>
    <cellStyle name="Calculation 2 5 3 5 5" xfId="4085"/>
    <cellStyle name="Calculation 2 5 3 5 6" xfId="4086"/>
    <cellStyle name="Calculation 2 5 3 5 7" xfId="4087"/>
    <cellStyle name="Calculation 2 5 3 6" xfId="4088"/>
    <cellStyle name="Calculation 2 5 3 7" xfId="4089"/>
    <cellStyle name="Calculation 2 5 3 8" xfId="4090"/>
    <cellStyle name="Calculation 2 5 3 9" xfId="4091"/>
    <cellStyle name="Calculation 2 5 4" xfId="4092"/>
    <cellStyle name="Calculation 2 5 4 2" xfId="4093"/>
    <cellStyle name="Calculation 2 5 4 2 2" xfId="4094"/>
    <cellStyle name="Calculation 2 5 4 2 2 2" xfId="4095"/>
    <cellStyle name="Calculation 2 5 4 2 2 3" xfId="4096"/>
    <cellStyle name="Calculation 2 5 4 2 2 4" xfId="4097"/>
    <cellStyle name="Calculation 2 5 4 2 2 5" xfId="4098"/>
    <cellStyle name="Calculation 2 5 4 2 2 6" xfId="4099"/>
    <cellStyle name="Calculation 2 5 4 2 2 7" xfId="4100"/>
    <cellStyle name="Calculation 2 5 4 2 3" xfId="4101"/>
    <cellStyle name="Calculation 2 5 4 2 4" xfId="4102"/>
    <cellStyle name="Calculation 2 5 4 2 5" xfId="4103"/>
    <cellStyle name="Calculation 2 5 4 2 6" xfId="4104"/>
    <cellStyle name="Calculation 2 5 4 2 7" xfId="4105"/>
    <cellStyle name="Calculation 2 5 4 2 8" xfId="4106"/>
    <cellStyle name="Calculation 2 5 4 3" xfId="4107"/>
    <cellStyle name="Calculation 2 5 4 3 2" xfId="4108"/>
    <cellStyle name="Calculation 2 5 4 3 2 2" xfId="4109"/>
    <cellStyle name="Calculation 2 5 4 3 2 3" xfId="4110"/>
    <cellStyle name="Calculation 2 5 4 3 2 4" xfId="4111"/>
    <cellStyle name="Calculation 2 5 4 3 2 5" xfId="4112"/>
    <cellStyle name="Calculation 2 5 4 3 2 6" xfId="4113"/>
    <cellStyle name="Calculation 2 5 4 3 2 7" xfId="4114"/>
    <cellStyle name="Calculation 2 5 4 3 3" xfId="4115"/>
    <cellStyle name="Calculation 2 5 4 3 4" xfId="4116"/>
    <cellStyle name="Calculation 2 5 4 3 5" xfId="4117"/>
    <cellStyle name="Calculation 2 5 4 3 6" xfId="4118"/>
    <cellStyle name="Calculation 2 5 4 3 7" xfId="4119"/>
    <cellStyle name="Calculation 2 5 4 3 8" xfId="4120"/>
    <cellStyle name="Calculation 2 5 4 4" xfId="4121"/>
    <cellStyle name="Calculation 2 5 4 4 2" xfId="4122"/>
    <cellStyle name="Calculation 2 5 4 4 2 2" xfId="4123"/>
    <cellStyle name="Calculation 2 5 4 4 2 3" xfId="4124"/>
    <cellStyle name="Calculation 2 5 4 4 2 4" xfId="4125"/>
    <cellStyle name="Calculation 2 5 4 4 2 5" xfId="4126"/>
    <cellStyle name="Calculation 2 5 4 4 2 6" xfId="4127"/>
    <cellStyle name="Calculation 2 5 4 4 2 7" xfId="4128"/>
    <cellStyle name="Calculation 2 5 4 4 3" xfId="4129"/>
    <cellStyle name="Calculation 2 5 4 4 4" xfId="4130"/>
    <cellStyle name="Calculation 2 5 4 4 5" xfId="4131"/>
    <cellStyle name="Calculation 2 5 4 4 6" xfId="4132"/>
    <cellStyle name="Calculation 2 5 4 4 7" xfId="4133"/>
    <cellStyle name="Calculation 2 5 4 4 8" xfId="4134"/>
    <cellStyle name="Calculation 2 5 4 5" xfId="4135"/>
    <cellStyle name="Calculation 2 5 4 5 2" xfId="4136"/>
    <cellStyle name="Calculation 2 5 4 5 3" xfId="4137"/>
    <cellStyle name="Calculation 2 5 4 5 4" xfId="4138"/>
    <cellStyle name="Calculation 2 5 4 5 5" xfId="4139"/>
    <cellStyle name="Calculation 2 5 4 5 6" xfId="4140"/>
    <cellStyle name="Calculation 2 5 4 5 7" xfId="4141"/>
    <cellStyle name="Calculation 2 5 4 6" xfId="4142"/>
    <cellStyle name="Calculation 2 5 4 7" xfId="4143"/>
    <cellStyle name="Calculation 2 5 4 8" xfId="4144"/>
    <cellStyle name="Calculation 2 5 4 9" xfId="4145"/>
    <cellStyle name="Calculation 2 5 5" xfId="4146"/>
    <cellStyle name="Calculation 2 5 5 2" xfId="4147"/>
    <cellStyle name="Calculation 2 5 5 2 2" xfId="4148"/>
    <cellStyle name="Calculation 2 5 5 2 2 2" xfId="4149"/>
    <cellStyle name="Calculation 2 5 5 2 2 3" xfId="4150"/>
    <cellStyle name="Calculation 2 5 5 2 2 4" xfId="4151"/>
    <cellStyle name="Calculation 2 5 5 2 2 5" xfId="4152"/>
    <cellStyle name="Calculation 2 5 5 2 2 6" xfId="4153"/>
    <cellStyle name="Calculation 2 5 5 2 2 7" xfId="4154"/>
    <cellStyle name="Calculation 2 5 5 2 3" xfId="4155"/>
    <cellStyle name="Calculation 2 5 5 2 4" xfId="4156"/>
    <cellStyle name="Calculation 2 5 5 2 5" xfId="4157"/>
    <cellStyle name="Calculation 2 5 5 2 6" xfId="4158"/>
    <cellStyle name="Calculation 2 5 5 2 7" xfId="4159"/>
    <cellStyle name="Calculation 2 5 5 2 8" xfId="4160"/>
    <cellStyle name="Calculation 2 5 5 3" xfId="4161"/>
    <cellStyle name="Calculation 2 5 5 3 2" xfId="4162"/>
    <cellStyle name="Calculation 2 5 5 3 2 2" xfId="4163"/>
    <cellStyle name="Calculation 2 5 5 3 2 3" xfId="4164"/>
    <cellStyle name="Calculation 2 5 5 3 2 4" xfId="4165"/>
    <cellStyle name="Calculation 2 5 5 3 2 5" xfId="4166"/>
    <cellStyle name="Calculation 2 5 5 3 2 6" xfId="4167"/>
    <cellStyle name="Calculation 2 5 5 3 2 7" xfId="4168"/>
    <cellStyle name="Calculation 2 5 5 3 3" xfId="4169"/>
    <cellStyle name="Calculation 2 5 5 3 4" xfId="4170"/>
    <cellStyle name="Calculation 2 5 5 3 5" xfId="4171"/>
    <cellStyle name="Calculation 2 5 5 3 6" xfId="4172"/>
    <cellStyle name="Calculation 2 5 5 3 7" xfId="4173"/>
    <cellStyle name="Calculation 2 5 5 3 8" xfId="4174"/>
    <cellStyle name="Calculation 2 5 5 4" xfId="4175"/>
    <cellStyle name="Calculation 2 5 5 4 2" xfId="4176"/>
    <cellStyle name="Calculation 2 5 5 4 2 2" xfId="4177"/>
    <cellStyle name="Calculation 2 5 5 4 2 3" xfId="4178"/>
    <cellStyle name="Calculation 2 5 5 4 2 4" xfId="4179"/>
    <cellStyle name="Calculation 2 5 5 4 2 5" xfId="4180"/>
    <cellStyle name="Calculation 2 5 5 4 2 6" xfId="4181"/>
    <cellStyle name="Calculation 2 5 5 4 2 7" xfId="4182"/>
    <cellStyle name="Calculation 2 5 5 4 3" xfId="4183"/>
    <cellStyle name="Calculation 2 5 5 4 4" xfId="4184"/>
    <cellStyle name="Calculation 2 5 5 4 5" xfId="4185"/>
    <cellStyle name="Calculation 2 5 5 4 6" xfId="4186"/>
    <cellStyle name="Calculation 2 5 5 4 7" xfId="4187"/>
    <cellStyle name="Calculation 2 5 5 4 8" xfId="4188"/>
    <cellStyle name="Calculation 2 5 5 5" xfId="4189"/>
    <cellStyle name="Calculation 2 5 5 5 2" xfId="4190"/>
    <cellStyle name="Calculation 2 5 5 5 3" xfId="4191"/>
    <cellStyle name="Calculation 2 5 5 5 4" xfId="4192"/>
    <cellStyle name="Calculation 2 5 5 5 5" xfId="4193"/>
    <cellStyle name="Calculation 2 5 5 5 6" xfId="4194"/>
    <cellStyle name="Calculation 2 5 5 5 7" xfId="4195"/>
    <cellStyle name="Calculation 2 5 5 6" xfId="4196"/>
    <cellStyle name="Calculation 2 5 5 7" xfId="4197"/>
    <cellStyle name="Calculation 2 5 5 8" xfId="4198"/>
    <cellStyle name="Calculation 2 5 5 9" xfId="4199"/>
    <cellStyle name="Calculation 2 5 6" xfId="4200"/>
    <cellStyle name="Calculation 2 5 6 2" xfId="4201"/>
    <cellStyle name="Calculation 2 5 6 2 2" xfId="4202"/>
    <cellStyle name="Calculation 2 5 6 2 3" xfId="4203"/>
    <cellStyle name="Calculation 2 5 6 2 4" xfId="4204"/>
    <cellStyle name="Calculation 2 5 6 2 5" xfId="4205"/>
    <cellStyle name="Calculation 2 5 6 2 6" xfId="4206"/>
    <cellStyle name="Calculation 2 5 6 2 7" xfId="4207"/>
    <cellStyle name="Calculation 2 5 6 3" xfId="4208"/>
    <cellStyle name="Calculation 2 5 6 4" xfId="4209"/>
    <cellStyle name="Calculation 2 5 6 5" xfId="4210"/>
    <cellStyle name="Calculation 2 5 6 6" xfId="4211"/>
    <cellStyle name="Calculation 2 5 6 7" xfId="4212"/>
    <cellStyle name="Calculation 2 5 6 8" xfId="4213"/>
    <cellStyle name="Calculation 2 5 7" xfId="4214"/>
    <cellStyle name="Calculation 2 5 7 2" xfId="4215"/>
    <cellStyle name="Calculation 2 5 7 2 2" xfId="4216"/>
    <cellStyle name="Calculation 2 5 7 2 3" xfId="4217"/>
    <cellStyle name="Calculation 2 5 7 2 4" xfId="4218"/>
    <cellStyle name="Calculation 2 5 7 2 5" xfId="4219"/>
    <cellStyle name="Calculation 2 5 7 2 6" xfId="4220"/>
    <cellStyle name="Calculation 2 5 7 2 7" xfId="4221"/>
    <cellStyle name="Calculation 2 5 7 3" xfId="4222"/>
    <cellStyle name="Calculation 2 5 7 4" xfId="4223"/>
    <cellStyle name="Calculation 2 5 7 5" xfId="4224"/>
    <cellStyle name="Calculation 2 5 7 6" xfId="4225"/>
    <cellStyle name="Calculation 2 5 7 7" xfId="4226"/>
    <cellStyle name="Calculation 2 5 7 8" xfId="4227"/>
    <cellStyle name="Calculation 2 5 8" xfId="4228"/>
    <cellStyle name="Calculation 2 5 8 2" xfId="4229"/>
    <cellStyle name="Calculation 2 5 8 2 2" xfId="4230"/>
    <cellStyle name="Calculation 2 5 8 2 3" xfId="4231"/>
    <cellStyle name="Calculation 2 5 8 2 4" xfId="4232"/>
    <cellStyle name="Calculation 2 5 8 2 5" xfId="4233"/>
    <cellStyle name="Calculation 2 5 8 2 6" xfId="4234"/>
    <cellStyle name="Calculation 2 5 8 2 7" xfId="4235"/>
    <cellStyle name="Calculation 2 5 8 3" xfId="4236"/>
    <cellStyle name="Calculation 2 5 8 4" xfId="4237"/>
    <cellStyle name="Calculation 2 5 8 5" xfId="4238"/>
    <cellStyle name="Calculation 2 5 8 6" xfId="4239"/>
    <cellStyle name="Calculation 2 5 8 7" xfId="4240"/>
    <cellStyle name="Calculation 2 5 8 8" xfId="4241"/>
    <cellStyle name="Calculation 2 5 9" xfId="4242"/>
    <cellStyle name="Calculation 2 5 9 2" xfId="4243"/>
    <cellStyle name="Calculation 2 5 9 3" xfId="4244"/>
    <cellStyle name="Calculation 2 5 9 4" xfId="4245"/>
    <cellStyle name="Calculation 2 5 9 5" xfId="4246"/>
    <cellStyle name="Calculation 2 5 9 6" xfId="4247"/>
    <cellStyle name="Calculation 2 5 9 7" xfId="4248"/>
    <cellStyle name="Calculation 2 6" xfId="4249"/>
    <cellStyle name="Calculation 2 6 10" xfId="4250"/>
    <cellStyle name="Calculation 2 6 11" xfId="4251"/>
    <cellStyle name="Calculation 2 6 2" xfId="4252"/>
    <cellStyle name="Calculation 2 6 2 2" xfId="4253"/>
    <cellStyle name="Calculation 2 6 2 2 2" xfId="4254"/>
    <cellStyle name="Calculation 2 6 2 2 3" xfId="4255"/>
    <cellStyle name="Calculation 2 6 2 2 4" xfId="4256"/>
    <cellStyle name="Calculation 2 6 2 2 5" xfId="4257"/>
    <cellStyle name="Calculation 2 6 2 2 6" xfId="4258"/>
    <cellStyle name="Calculation 2 6 2 2 7" xfId="4259"/>
    <cellStyle name="Calculation 2 6 2 3" xfId="4260"/>
    <cellStyle name="Calculation 2 6 2 4" xfId="4261"/>
    <cellStyle name="Calculation 2 6 2 5" xfId="4262"/>
    <cellStyle name="Calculation 2 6 2 6" xfId="4263"/>
    <cellStyle name="Calculation 2 6 2 7" xfId="4264"/>
    <cellStyle name="Calculation 2 6 2 8" xfId="4265"/>
    <cellStyle name="Calculation 2 6 3" xfId="4266"/>
    <cellStyle name="Calculation 2 6 3 2" xfId="4267"/>
    <cellStyle name="Calculation 2 6 3 2 2" xfId="4268"/>
    <cellStyle name="Calculation 2 6 3 2 3" xfId="4269"/>
    <cellStyle name="Calculation 2 6 3 2 4" xfId="4270"/>
    <cellStyle name="Calculation 2 6 3 2 5" xfId="4271"/>
    <cellStyle name="Calculation 2 6 3 2 6" xfId="4272"/>
    <cellStyle name="Calculation 2 6 3 2 7" xfId="4273"/>
    <cellStyle name="Calculation 2 6 3 3" xfId="4274"/>
    <cellStyle name="Calculation 2 6 3 4" xfId="4275"/>
    <cellStyle name="Calculation 2 6 3 5" xfId="4276"/>
    <cellStyle name="Calculation 2 6 3 6" xfId="4277"/>
    <cellStyle name="Calculation 2 6 3 7" xfId="4278"/>
    <cellStyle name="Calculation 2 6 3 8" xfId="4279"/>
    <cellStyle name="Calculation 2 6 4" xfId="4280"/>
    <cellStyle name="Calculation 2 6 4 2" xfId="4281"/>
    <cellStyle name="Calculation 2 6 4 2 2" xfId="4282"/>
    <cellStyle name="Calculation 2 6 4 2 3" xfId="4283"/>
    <cellStyle name="Calculation 2 6 4 2 4" xfId="4284"/>
    <cellStyle name="Calculation 2 6 4 2 5" xfId="4285"/>
    <cellStyle name="Calculation 2 6 4 2 6" xfId="4286"/>
    <cellStyle name="Calculation 2 6 4 2 7" xfId="4287"/>
    <cellStyle name="Calculation 2 6 4 3" xfId="4288"/>
    <cellStyle name="Calculation 2 6 4 4" xfId="4289"/>
    <cellStyle name="Calculation 2 6 4 5" xfId="4290"/>
    <cellStyle name="Calculation 2 6 4 6" xfId="4291"/>
    <cellStyle name="Calculation 2 6 4 7" xfId="4292"/>
    <cellStyle name="Calculation 2 6 4 8" xfId="4293"/>
    <cellStyle name="Calculation 2 6 5" xfId="4294"/>
    <cellStyle name="Calculation 2 6 5 2" xfId="4295"/>
    <cellStyle name="Calculation 2 6 5 3" xfId="4296"/>
    <cellStyle name="Calculation 2 6 5 4" xfId="4297"/>
    <cellStyle name="Calculation 2 6 5 5" xfId="4298"/>
    <cellStyle name="Calculation 2 6 5 6" xfId="4299"/>
    <cellStyle name="Calculation 2 6 5 7" xfId="4300"/>
    <cellStyle name="Calculation 2 6 6" xfId="4301"/>
    <cellStyle name="Calculation 2 6 7" xfId="4302"/>
    <cellStyle name="Calculation 2 6 8" xfId="4303"/>
    <cellStyle name="Calculation 2 6 9" xfId="4304"/>
    <cellStyle name="Calculation 2 7" xfId="4305"/>
    <cellStyle name="Calculation 2 7 2" xfId="4306"/>
    <cellStyle name="Calculation 2 7 2 2" xfId="4307"/>
    <cellStyle name="Calculation 2 7 2 3" xfId="4308"/>
    <cellStyle name="Calculation 2 7 2 4" xfId="4309"/>
    <cellStyle name="Calculation 2 7 2 5" xfId="4310"/>
    <cellStyle name="Calculation 2 7 2 6" xfId="4311"/>
    <cellStyle name="Calculation 2 7 2 7" xfId="4312"/>
    <cellStyle name="Calculation 2 7 3" xfId="4313"/>
    <cellStyle name="Calculation 2 7 4" xfId="4314"/>
    <cellStyle name="Calculation 2 7 5" xfId="4315"/>
    <cellStyle name="Calculation 2 7 6" xfId="4316"/>
    <cellStyle name="Calculation 2 7 7" xfId="4317"/>
    <cellStyle name="Calculation 2 7 8" xfId="4318"/>
    <cellStyle name="Calculation 2 8" xfId="4319"/>
    <cellStyle name="Calculation 2 8 2" xfId="4320"/>
    <cellStyle name="Calculation 2 8 2 2" xfId="4321"/>
    <cellStyle name="Calculation 2 8 2 3" xfId="4322"/>
    <cellStyle name="Calculation 2 8 2 4" xfId="4323"/>
    <cellStyle name="Calculation 2 8 2 5" xfId="4324"/>
    <cellStyle name="Calculation 2 8 2 6" xfId="4325"/>
    <cellStyle name="Calculation 2 8 2 7" xfId="4326"/>
    <cellStyle name="Calculation 2 8 3" xfId="4327"/>
    <cellStyle name="Calculation 2 8 4" xfId="4328"/>
    <cellStyle name="Calculation 2 8 5" xfId="4329"/>
    <cellStyle name="Calculation 2 8 6" xfId="4330"/>
    <cellStyle name="Calculation 2 8 7" xfId="4331"/>
    <cellStyle name="Calculation 2 8 8" xfId="4332"/>
    <cellStyle name="Calculation 2 9" xfId="4333"/>
    <cellStyle name="Calculation 2 9 2" xfId="4334"/>
    <cellStyle name="Calculation 2 9 2 2" xfId="4335"/>
    <cellStyle name="Calculation 2 9 2 3" xfId="4336"/>
    <cellStyle name="Calculation 2 9 2 4" xfId="4337"/>
    <cellStyle name="Calculation 2 9 2 5" xfId="4338"/>
    <cellStyle name="Calculation 2 9 2 6" xfId="4339"/>
    <cellStyle name="Calculation 2 9 2 7" xfId="4340"/>
    <cellStyle name="Calculation 2 9 3" xfId="4341"/>
    <cellStyle name="Calculation 2 9 4" xfId="4342"/>
    <cellStyle name="Calculation 2 9 5" xfId="4343"/>
    <cellStyle name="Calculation 2 9 6" xfId="4344"/>
    <cellStyle name="Calculation 2 9 7" xfId="4345"/>
    <cellStyle name="Calculation 2 9 8" xfId="4346"/>
    <cellStyle name="Calculation 3" xfId="139"/>
    <cellStyle name="Calculation 3 10" xfId="4347"/>
    <cellStyle name="Calculation 3 10 2" xfId="4348"/>
    <cellStyle name="Calculation 3 10 3" xfId="4349"/>
    <cellStyle name="Calculation 3 10 4" xfId="4350"/>
    <cellStyle name="Calculation 3 10 5" xfId="4351"/>
    <cellStyle name="Calculation 3 10 6" xfId="4352"/>
    <cellStyle name="Calculation 3 10 7" xfId="4353"/>
    <cellStyle name="Calculation 3 2" xfId="140"/>
    <cellStyle name="Calculation 3 2 2" xfId="2329"/>
    <cellStyle name="Calculation 3 2 2 10" xfId="4354"/>
    <cellStyle name="Calculation 3 2 2 11" xfId="4355"/>
    <cellStyle name="Calculation 3 2 2 12" xfId="4356"/>
    <cellStyle name="Calculation 3 2 2 13" xfId="4357"/>
    <cellStyle name="Calculation 3 2 2 2" xfId="4358"/>
    <cellStyle name="Calculation 3 2 2 2 2" xfId="4359"/>
    <cellStyle name="Calculation 3 2 2 2 2 2" xfId="4360"/>
    <cellStyle name="Calculation 3 2 2 2 2 2 2" xfId="4361"/>
    <cellStyle name="Calculation 3 2 2 2 2 2 3" xfId="4362"/>
    <cellStyle name="Calculation 3 2 2 2 2 2 4" xfId="4363"/>
    <cellStyle name="Calculation 3 2 2 2 2 2 5" xfId="4364"/>
    <cellStyle name="Calculation 3 2 2 2 2 2 6" xfId="4365"/>
    <cellStyle name="Calculation 3 2 2 2 2 2 7" xfId="4366"/>
    <cellStyle name="Calculation 3 2 2 2 2 3" xfId="4367"/>
    <cellStyle name="Calculation 3 2 2 2 2 4" xfId="4368"/>
    <cellStyle name="Calculation 3 2 2 2 2 5" xfId="4369"/>
    <cellStyle name="Calculation 3 2 2 2 2 6" xfId="4370"/>
    <cellStyle name="Calculation 3 2 2 2 2 7" xfId="4371"/>
    <cellStyle name="Calculation 3 2 2 2 2 8" xfId="4372"/>
    <cellStyle name="Calculation 3 2 2 2 3" xfId="4373"/>
    <cellStyle name="Calculation 3 2 2 2 3 2" xfId="4374"/>
    <cellStyle name="Calculation 3 2 2 2 3 2 2" xfId="4375"/>
    <cellStyle name="Calculation 3 2 2 2 3 2 3" xfId="4376"/>
    <cellStyle name="Calculation 3 2 2 2 3 2 4" xfId="4377"/>
    <cellStyle name="Calculation 3 2 2 2 3 2 5" xfId="4378"/>
    <cellStyle name="Calculation 3 2 2 2 3 2 6" xfId="4379"/>
    <cellStyle name="Calculation 3 2 2 2 3 2 7" xfId="4380"/>
    <cellStyle name="Calculation 3 2 2 2 3 3" xfId="4381"/>
    <cellStyle name="Calculation 3 2 2 2 3 4" xfId="4382"/>
    <cellStyle name="Calculation 3 2 2 2 3 5" xfId="4383"/>
    <cellStyle name="Calculation 3 2 2 2 3 6" xfId="4384"/>
    <cellStyle name="Calculation 3 2 2 2 3 7" xfId="4385"/>
    <cellStyle name="Calculation 3 2 2 2 3 8" xfId="4386"/>
    <cellStyle name="Calculation 3 2 2 2 4" xfId="4387"/>
    <cellStyle name="Calculation 3 2 2 2 4 2" xfId="4388"/>
    <cellStyle name="Calculation 3 2 2 2 4 2 2" xfId="4389"/>
    <cellStyle name="Calculation 3 2 2 2 4 2 3" xfId="4390"/>
    <cellStyle name="Calculation 3 2 2 2 4 2 4" xfId="4391"/>
    <cellStyle name="Calculation 3 2 2 2 4 2 5" xfId="4392"/>
    <cellStyle name="Calculation 3 2 2 2 4 2 6" xfId="4393"/>
    <cellStyle name="Calculation 3 2 2 2 4 2 7" xfId="4394"/>
    <cellStyle name="Calculation 3 2 2 2 4 3" xfId="4395"/>
    <cellStyle name="Calculation 3 2 2 2 4 4" xfId="4396"/>
    <cellStyle name="Calculation 3 2 2 2 4 5" xfId="4397"/>
    <cellStyle name="Calculation 3 2 2 2 4 6" xfId="4398"/>
    <cellStyle name="Calculation 3 2 2 2 4 7" xfId="4399"/>
    <cellStyle name="Calculation 3 2 2 2 4 8" xfId="4400"/>
    <cellStyle name="Calculation 3 2 2 2 5" xfId="4401"/>
    <cellStyle name="Calculation 3 2 2 2 5 2" xfId="4402"/>
    <cellStyle name="Calculation 3 2 2 2 5 3" xfId="4403"/>
    <cellStyle name="Calculation 3 2 2 2 5 4" xfId="4404"/>
    <cellStyle name="Calculation 3 2 2 2 5 5" xfId="4405"/>
    <cellStyle name="Calculation 3 2 2 2 5 6" xfId="4406"/>
    <cellStyle name="Calculation 3 2 2 2 5 7" xfId="4407"/>
    <cellStyle name="Calculation 3 2 2 2 6" xfId="4408"/>
    <cellStyle name="Calculation 3 2 2 2 7" xfId="4409"/>
    <cellStyle name="Calculation 3 2 2 2 8" xfId="4410"/>
    <cellStyle name="Calculation 3 2 2 2 9" xfId="4411"/>
    <cellStyle name="Calculation 3 2 2 3" xfId="4412"/>
    <cellStyle name="Calculation 3 2 2 3 2" xfId="4413"/>
    <cellStyle name="Calculation 3 2 2 3 2 2" xfId="4414"/>
    <cellStyle name="Calculation 3 2 2 3 2 2 2" xfId="4415"/>
    <cellStyle name="Calculation 3 2 2 3 2 2 3" xfId="4416"/>
    <cellStyle name="Calculation 3 2 2 3 2 2 4" xfId="4417"/>
    <cellStyle name="Calculation 3 2 2 3 2 2 5" xfId="4418"/>
    <cellStyle name="Calculation 3 2 2 3 2 2 6" xfId="4419"/>
    <cellStyle name="Calculation 3 2 2 3 2 2 7" xfId="4420"/>
    <cellStyle name="Calculation 3 2 2 3 2 3" xfId="4421"/>
    <cellStyle name="Calculation 3 2 2 3 2 4" xfId="4422"/>
    <cellStyle name="Calculation 3 2 2 3 2 5" xfId="4423"/>
    <cellStyle name="Calculation 3 2 2 3 2 6" xfId="4424"/>
    <cellStyle name="Calculation 3 2 2 3 2 7" xfId="4425"/>
    <cellStyle name="Calculation 3 2 2 3 2 8" xfId="4426"/>
    <cellStyle name="Calculation 3 2 2 3 3" xfId="4427"/>
    <cellStyle name="Calculation 3 2 2 3 3 2" xfId="4428"/>
    <cellStyle name="Calculation 3 2 2 3 3 2 2" xfId="4429"/>
    <cellStyle name="Calculation 3 2 2 3 3 2 3" xfId="4430"/>
    <cellStyle name="Calculation 3 2 2 3 3 2 4" xfId="4431"/>
    <cellStyle name="Calculation 3 2 2 3 3 2 5" xfId="4432"/>
    <cellStyle name="Calculation 3 2 2 3 3 2 6" xfId="4433"/>
    <cellStyle name="Calculation 3 2 2 3 3 2 7" xfId="4434"/>
    <cellStyle name="Calculation 3 2 2 3 3 3" xfId="4435"/>
    <cellStyle name="Calculation 3 2 2 3 3 4" xfId="4436"/>
    <cellStyle name="Calculation 3 2 2 3 3 5" xfId="4437"/>
    <cellStyle name="Calculation 3 2 2 3 3 6" xfId="4438"/>
    <cellStyle name="Calculation 3 2 2 3 3 7" xfId="4439"/>
    <cellStyle name="Calculation 3 2 2 3 3 8" xfId="4440"/>
    <cellStyle name="Calculation 3 2 2 3 4" xfId="4441"/>
    <cellStyle name="Calculation 3 2 2 3 4 2" xfId="4442"/>
    <cellStyle name="Calculation 3 2 2 3 4 2 2" xfId="4443"/>
    <cellStyle name="Calculation 3 2 2 3 4 2 3" xfId="4444"/>
    <cellStyle name="Calculation 3 2 2 3 4 2 4" xfId="4445"/>
    <cellStyle name="Calculation 3 2 2 3 4 2 5" xfId="4446"/>
    <cellStyle name="Calculation 3 2 2 3 4 2 6" xfId="4447"/>
    <cellStyle name="Calculation 3 2 2 3 4 2 7" xfId="4448"/>
    <cellStyle name="Calculation 3 2 2 3 4 3" xfId="4449"/>
    <cellStyle name="Calculation 3 2 2 3 4 4" xfId="4450"/>
    <cellStyle name="Calculation 3 2 2 3 4 5" xfId="4451"/>
    <cellStyle name="Calculation 3 2 2 3 4 6" xfId="4452"/>
    <cellStyle name="Calculation 3 2 2 3 4 7" xfId="4453"/>
    <cellStyle name="Calculation 3 2 2 3 4 8" xfId="4454"/>
    <cellStyle name="Calculation 3 2 2 3 5" xfId="4455"/>
    <cellStyle name="Calculation 3 2 2 3 5 2" xfId="4456"/>
    <cellStyle name="Calculation 3 2 2 3 5 3" xfId="4457"/>
    <cellStyle name="Calculation 3 2 2 3 5 4" xfId="4458"/>
    <cellStyle name="Calculation 3 2 2 3 5 5" xfId="4459"/>
    <cellStyle name="Calculation 3 2 2 3 5 6" xfId="4460"/>
    <cellStyle name="Calculation 3 2 2 3 5 7" xfId="4461"/>
    <cellStyle name="Calculation 3 2 2 3 6" xfId="4462"/>
    <cellStyle name="Calculation 3 2 2 3 7" xfId="4463"/>
    <cellStyle name="Calculation 3 2 2 3 8" xfId="4464"/>
    <cellStyle name="Calculation 3 2 2 3 9" xfId="4465"/>
    <cellStyle name="Calculation 3 2 2 4" xfId="4466"/>
    <cellStyle name="Calculation 3 2 2 4 2" xfId="4467"/>
    <cellStyle name="Calculation 3 2 2 4 2 2" xfId="4468"/>
    <cellStyle name="Calculation 3 2 2 4 2 2 2" xfId="4469"/>
    <cellStyle name="Calculation 3 2 2 4 2 2 3" xfId="4470"/>
    <cellStyle name="Calculation 3 2 2 4 2 2 4" xfId="4471"/>
    <cellStyle name="Calculation 3 2 2 4 2 2 5" xfId="4472"/>
    <cellStyle name="Calculation 3 2 2 4 2 2 6" xfId="4473"/>
    <cellStyle name="Calculation 3 2 2 4 2 2 7" xfId="4474"/>
    <cellStyle name="Calculation 3 2 2 4 2 3" xfId="4475"/>
    <cellStyle name="Calculation 3 2 2 4 2 4" xfId="4476"/>
    <cellStyle name="Calculation 3 2 2 4 2 5" xfId="4477"/>
    <cellStyle name="Calculation 3 2 2 4 2 6" xfId="4478"/>
    <cellStyle name="Calculation 3 2 2 4 2 7" xfId="4479"/>
    <cellStyle name="Calculation 3 2 2 4 2 8" xfId="4480"/>
    <cellStyle name="Calculation 3 2 2 4 3" xfId="4481"/>
    <cellStyle name="Calculation 3 2 2 4 3 2" xfId="4482"/>
    <cellStyle name="Calculation 3 2 2 4 3 2 2" xfId="4483"/>
    <cellStyle name="Calculation 3 2 2 4 3 2 3" xfId="4484"/>
    <cellStyle name="Calculation 3 2 2 4 3 2 4" xfId="4485"/>
    <cellStyle name="Calculation 3 2 2 4 3 2 5" xfId="4486"/>
    <cellStyle name="Calculation 3 2 2 4 3 2 6" xfId="4487"/>
    <cellStyle name="Calculation 3 2 2 4 3 2 7" xfId="4488"/>
    <cellStyle name="Calculation 3 2 2 4 3 3" xfId="4489"/>
    <cellStyle name="Calculation 3 2 2 4 3 4" xfId="4490"/>
    <cellStyle name="Calculation 3 2 2 4 3 5" xfId="4491"/>
    <cellStyle name="Calculation 3 2 2 4 3 6" xfId="4492"/>
    <cellStyle name="Calculation 3 2 2 4 3 7" xfId="4493"/>
    <cellStyle name="Calculation 3 2 2 4 3 8" xfId="4494"/>
    <cellStyle name="Calculation 3 2 2 4 4" xfId="4495"/>
    <cellStyle name="Calculation 3 2 2 4 4 2" xfId="4496"/>
    <cellStyle name="Calculation 3 2 2 4 4 2 2" xfId="4497"/>
    <cellStyle name="Calculation 3 2 2 4 4 2 3" xfId="4498"/>
    <cellStyle name="Calculation 3 2 2 4 4 2 4" xfId="4499"/>
    <cellStyle name="Calculation 3 2 2 4 4 2 5" xfId="4500"/>
    <cellStyle name="Calculation 3 2 2 4 4 2 6" xfId="4501"/>
    <cellStyle name="Calculation 3 2 2 4 4 2 7" xfId="4502"/>
    <cellStyle name="Calculation 3 2 2 4 4 3" xfId="4503"/>
    <cellStyle name="Calculation 3 2 2 4 4 4" xfId="4504"/>
    <cellStyle name="Calculation 3 2 2 4 4 5" xfId="4505"/>
    <cellStyle name="Calculation 3 2 2 4 4 6" xfId="4506"/>
    <cellStyle name="Calculation 3 2 2 4 4 7" xfId="4507"/>
    <cellStyle name="Calculation 3 2 2 4 4 8" xfId="4508"/>
    <cellStyle name="Calculation 3 2 2 4 5" xfId="4509"/>
    <cellStyle name="Calculation 3 2 2 4 5 2" xfId="4510"/>
    <cellStyle name="Calculation 3 2 2 4 5 3" xfId="4511"/>
    <cellStyle name="Calculation 3 2 2 4 5 4" xfId="4512"/>
    <cellStyle name="Calculation 3 2 2 4 5 5" xfId="4513"/>
    <cellStyle name="Calculation 3 2 2 4 5 6" xfId="4514"/>
    <cellStyle name="Calculation 3 2 2 4 5 7" xfId="4515"/>
    <cellStyle name="Calculation 3 2 2 4 6" xfId="4516"/>
    <cellStyle name="Calculation 3 2 2 4 7" xfId="4517"/>
    <cellStyle name="Calculation 3 2 2 4 8" xfId="4518"/>
    <cellStyle name="Calculation 3 2 2 4 9" xfId="4519"/>
    <cellStyle name="Calculation 3 2 2 5" xfId="4520"/>
    <cellStyle name="Calculation 3 2 2 5 2" xfId="4521"/>
    <cellStyle name="Calculation 3 2 2 5 2 2" xfId="4522"/>
    <cellStyle name="Calculation 3 2 2 5 2 2 2" xfId="4523"/>
    <cellStyle name="Calculation 3 2 2 5 2 2 3" xfId="4524"/>
    <cellStyle name="Calculation 3 2 2 5 2 2 4" xfId="4525"/>
    <cellStyle name="Calculation 3 2 2 5 2 2 5" xfId="4526"/>
    <cellStyle name="Calculation 3 2 2 5 2 2 6" xfId="4527"/>
    <cellStyle name="Calculation 3 2 2 5 2 2 7" xfId="4528"/>
    <cellStyle name="Calculation 3 2 2 5 2 3" xfId="4529"/>
    <cellStyle name="Calculation 3 2 2 5 2 4" xfId="4530"/>
    <cellStyle name="Calculation 3 2 2 5 2 5" xfId="4531"/>
    <cellStyle name="Calculation 3 2 2 5 2 6" xfId="4532"/>
    <cellStyle name="Calculation 3 2 2 5 2 7" xfId="4533"/>
    <cellStyle name="Calculation 3 2 2 5 2 8" xfId="4534"/>
    <cellStyle name="Calculation 3 2 2 5 3" xfId="4535"/>
    <cellStyle name="Calculation 3 2 2 5 3 2" xfId="4536"/>
    <cellStyle name="Calculation 3 2 2 5 3 2 2" xfId="4537"/>
    <cellStyle name="Calculation 3 2 2 5 3 2 3" xfId="4538"/>
    <cellStyle name="Calculation 3 2 2 5 3 2 4" xfId="4539"/>
    <cellStyle name="Calculation 3 2 2 5 3 2 5" xfId="4540"/>
    <cellStyle name="Calculation 3 2 2 5 3 2 6" xfId="4541"/>
    <cellStyle name="Calculation 3 2 2 5 3 2 7" xfId="4542"/>
    <cellStyle name="Calculation 3 2 2 5 3 3" xfId="4543"/>
    <cellStyle name="Calculation 3 2 2 5 3 4" xfId="4544"/>
    <cellStyle name="Calculation 3 2 2 5 3 5" xfId="4545"/>
    <cellStyle name="Calculation 3 2 2 5 3 6" xfId="4546"/>
    <cellStyle name="Calculation 3 2 2 5 3 7" xfId="4547"/>
    <cellStyle name="Calculation 3 2 2 5 3 8" xfId="4548"/>
    <cellStyle name="Calculation 3 2 2 5 4" xfId="4549"/>
    <cellStyle name="Calculation 3 2 2 5 4 2" xfId="4550"/>
    <cellStyle name="Calculation 3 2 2 5 4 2 2" xfId="4551"/>
    <cellStyle name="Calculation 3 2 2 5 4 2 3" xfId="4552"/>
    <cellStyle name="Calculation 3 2 2 5 4 2 4" xfId="4553"/>
    <cellStyle name="Calculation 3 2 2 5 4 2 5" xfId="4554"/>
    <cellStyle name="Calculation 3 2 2 5 4 2 6" xfId="4555"/>
    <cellStyle name="Calculation 3 2 2 5 4 2 7" xfId="4556"/>
    <cellStyle name="Calculation 3 2 2 5 4 3" xfId="4557"/>
    <cellStyle name="Calculation 3 2 2 5 4 4" xfId="4558"/>
    <cellStyle name="Calculation 3 2 2 5 4 5" xfId="4559"/>
    <cellStyle name="Calculation 3 2 2 5 4 6" xfId="4560"/>
    <cellStyle name="Calculation 3 2 2 5 4 7" xfId="4561"/>
    <cellStyle name="Calculation 3 2 2 5 4 8" xfId="4562"/>
    <cellStyle name="Calculation 3 2 2 5 5" xfId="4563"/>
    <cellStyle name="Calculation 3 2 2 5 5 2" xfId="4564"/>
    <cellStyle name="Calculation 3 2 2 5 5 3" xfId="4565"/>
    <cellStyle name="Calculation 3 2 2 5 5 4" xfId="4566"/>
    <cellStyle name="Calculation 3 2 2 5 5 5" xfId="4567"/>
    <cellStyle name="Calculation 3 2 2 5 5 6" xfId="4568"/>
    <cellStyle name="Calculation 3 2 2 5 5 7" xfId="4569"/>
    <cellStyle name="Calculation 3 2 2 5 6" xfId="4570"/>
    <cellStyle name="Calculation 3 2 2 5 7" xfId="4571"/>
    <cellStyle name="Calculation 3 2 2 5 8" xfId="4572"/>
    <cellStyle name="Calculation 3 2 2 5 9" xfId="4573"/>
    <cellStyle name="Calculation 3 2 2 6" xfId="4574"/>
    <cellStyle name="Calculation 3 2 2 6 2" xfId="4575"/>
    <cellStyle name="Calculation 3 2 2 6 2 2" xfId="4576"/>
    <cellStyle name="Calculation 3 2 2 6 2 3" xfId="4577"/>
    <cellStyle name="Calculation 3 2 2 6 2 4" xfId="4578"/>
    <cellStyle name="Calculation 3 2 2 6 2 5" xfId="4579"/>
    <cellStyle name="Calculation 3 2 2 6 2 6" xfId="4580"/>
    <cellStyle name="Calculation 3 2 2 6 2 7" xfId="4581"/>
    <cellStyle name="Calculation 3 2 2 6 3" xfId="4582"/>
    <cellStyle name="Calculation 3 2 2 6 4" xfId="4583"/>
    <cellStyle name="Calculation 3 2 2 6 5" xfId="4584"/>
    <cellStyle name="Calculation 3 2 2 6 6" xfId="4585"/>
    <cellStyle name="Calculation 3 2 2 6 7" xfId="4586"/>
    <cellStyle name="Calculation 3 2 2 6 8" xfId="4587"/>
    <cellStyle name="Calculation 3 2 2 7" xfId="4588"/>
    <cellStyle name="Calculation 3 2 2 7 2" xfId="4589"/>
    <cellStyle name="Calculation 3 2 2 7 2 2" xfId="4590"/>
    <cellStyle name="Calculation 3 2 2 7 2 3" xfId="4591"/>
    <cellStyle name="Calculation 3 2 2 7 2 4" xfId="4592"/>
    <cellStyle name="Calculation 3 2 2 7 2 5" xfId="4593"/>
    <cellStyle name="Calculation 3 2 2 7 2 6" xfId="4594"/>
    <cellStyle name="Calculation 3 2 2 7 2 7" xfId="4595"/>
    <cellStyle name="Calculation 3 2 2 7 3" xfId="4596"/>
    <cellStyle name="Calculation 3 2 2 7 4" xfId="4597"/>
    <cellStyle name="Calculation 3 2 2 7 5" xfId="4598"/>
    <cellStyle name="Calculation 3 2 2 7 6" xfId="4599"/>
    <cellStyle name="Calculation 3 2 2 7 7" xfId="4600"/>
    <cellStyle name="Calculation 3 2 2 7 8" xfId="4601"/>
    <cellStyle name="Calculation 3 2 2 8" xfId="4602"/>
    <cellStyle name="Calculation 3 2 2 8 2" xfId="4603"/>
    <cellStyle name="Calculation 3 2 2 8 2 2" xfId="4604"/>
    <cellStyle name="Calculation 3 2 2 8 2 3" xfId="4605"/>
    <cellStyle name="Calculation 3 2 2 8 2 4" xfId="4606"/>
    <cellStyle name="Calculation 3 2 2 8 2 5" xfId="4607"/>
    <cellStyle name="Calculation 3 2 2 8 2 6" xfId="4608"/>
    <cellStyle name="Calculation 3 2 2 8 2 7" xfId="4609"/>
    <cellStyle name="Calculation 3 2 2 8 3" xfId="4610"/>
    <cellStyle name="Calculation 3 2 2 8 4" xfId="4611"/>
    <cellStyle name="Calculation 3 2 2 8 5" xfId="4612"/>
    <cellStyle name="Calculation 3 2 2 8 6" xfId="4613"/>
    <cellStyle name="Calculation 3 2 2 8 7" xfId="4614"/>
    <cellStyle name="Calculation 3 2 2 8 8" xfId="4615"/>
    <cellStyle name="Calculation 3 2 2 9" xfId="4616"/>
    <cellStyle name="Calculation 3 2 2 9 2" xfId="4617"/>
    <cellStyle name="Calculation 3 2 2 9 3" xfId="4618"/>
    <cellStyle name="Calculation 3 2 2 9 4" xfId="4619"/>
    <cellStyle name="Calculation 3 2 2 9 5" xfId="4620"/>
    <cellStyle name="Calculation 3 2 2 9 6" xfId="4621"/>
    <cellStyle name="Calculation 3 2 2 9 7" xfId="4622"/>
    <cellStyle name="Calculation 3 2 3" xfId="4623"/>
    <cellStyle name="Calculation 3 2 3 10" xfId="4624"/>
    <cellStyle name="Calculation 3 2 3 11" xfId="4625"/>
    <cellStyle name="Calculation 3 2 3 12" xfId="4626"/>
    <cellStyle name="Calculation 3 2 3 13" xfId="4627"/>
    <cellStyle name="Calculation 3 2 3 2" xfId="4628"/>
    <cellStyle name="Calculation 3 2 3 2 2" xfId="4629"/>
    <cellStyle name="Calculation 3 2 3 2 2 2" xfId="4630"/>
    <cellStyle name="Calculation 3 2 3 2 2 2 2" xfId="4631"/>
    <cellStyle name="Calculation 3 2 3 2 2 2 3" xfId="4632"/>
    <cellStyle name="Calculation 3 2 3 2 2 2 4" xfId="4633"/>
    <cellStyle name="Calculation 3 2 3 2 2 2 5" xfId="4634"/>
    <cellStyle name="Calculation 3 2 3 2 2 2 6" xfId="4635"/>
    <cellStyle name="Calculation 3 2 3 2 2 2 7" xfId="4636"/>
    <cellStyle name="Calculation 3 2 3 2 2 3" xfId="4637"/>
    <cellStyle name="Calculation 3 2 3 2 2 4" xfId="4638"/>
    <cellStyle name="Calculation 3 2 3 2 2 5" xfId="4639"/>
    <cellStyle name="Calculation 3 2 3 2 2 6" xfId="4640"/>
    <cellStyle name="Calculation 3 2 3 2 2 7" xfId="4641"/>
    <cellStyle name="Calculation 3 2 3 2 2 8" xfId="4642"/>
    <cellStyle name="Calculation 3 2 3 2 3" xfId="4643"/>
    <cellStyle name="Calculation 3 2 3 2 3 2" xfId="4644"/>
    <cellStyle name="Calculation 3 2 3 2 3 2 2" xfId="4645"/>
    <cellStyle name="Calculation 3 2 3 2 3 2 3" xfId="4646"/>
    <cellStyle name="Calculation 3 2 3 2 3 2 4" xfId="4647"/>
    <cellStyle name="Calculation 3 2 3 2 3 2 5" xfId="4648"/>
    <cellStyle name="Calculation 3 2 3 2 3 2 6" xfId="4649"/>
    <cellStyle name="Calculation 3 2 3 2 3 2 7" xfId="4650"/>
    <cellStyle name="Calculation 3 2 3 2 3 3" xfId="4651"/>
    <cellStyle name="Calculation 3 2 3 2 3 4" xfId="4652"/>
    <cellStyle name="Calculation 3 2 3 2 3 5" xfId="4653"/>
    <cellStyle name="Calculation 3 2 3 2 3 6" xfId="4654"/>
    <cellStyle name="Calculation 3 2 3 2 3 7" xfId="4655"/>
    <cellStyle name="Calculation 3 2 3 2 3 8" xfId="4656"/>
    <cellStyle name="Calculation 3 2 3 2 4" xfId="4657"/>
    <cellStyle name="Calculation 3 2 3 2 4 2" xfId="4658"/>
    <cellStyle name="Calculation 3 2 3 2 4 2 2" xfId="4659"/>
    <cellStyle name="Calculation 3 2 3 2 4 2 3" xfId="4660"/>
    <cellStyle name="Calculation 3 2 3 2 4 2 4" xfId="4661"/>
    <cellStyle name="Calculation 3 2 3 2 4 2 5" xfId="4662"/>
    <cellStyle name="Calculation 3 2 3 2 4 2 6" xfId="4663"/>
    <cellStyle name="Calculation 3 2 3 2 4 2 7" xfId="4664"/>
    <cellStyle name="Calculation 3 2 3 2 4 3" xfId="4665"/>
    <cellStyle name="Calculation 3 2 3 2 4 4" xfId="4666"/>
    <cellStyle name="Calculation 3 2 3 2 4 5" xfId="4667"/>
    <cellStyle name="Calculation 3 2 3 2 4 6" xfId="4668"/>
    <cellStyle name="Calculation 3 2 3 2 4 7" xfId="4669"/>
    <cellStyle name="Calculation 3 2 3 2 4 8" xfId="4670"/>
    <cellStyle name="Calculation 3 2 3 2 5" xfId="4671"/>
    <cellStyle name="Calculation 3 2 3 2 5 2" xfId="4672"/>
    <cellStyle name="Calculation 3 2 3 2 5 3" xfId="4673"/>
    <cellStyle name="Calculation 3 2 3 2 5 4" xfId="4674"/>
    <cellStyle name="Calculation 3 2 3 2 5 5" xfId="4675"/>
    <cellStyle name="Calculation 3 2 3 2 5 6" xfId="4676"/>
    <cellStyle name="Calculation 3 2 3 2 5 7" xfId="4677"/>
    <cellStyle name="Calculation 3 2 3 2 6" xfId="4678"/>
    <cellStyle name="Calculation 3 2 3 2 7" xfId="4679"/>
    <cellStyle name="Calculation 3 2 3 2 8" xfId="4680"/>
    <cellStyle name="Calculation 3 2 3 2 9" xfId="4681"/>
    <cellStyle name="Calculation 3 2 3 3" xfId="4682"/>
    <cellStyle name="Calculation 3 2 3 3 2" xfId="4683"/>
    <cellStyle name="Calculation 3 2 3 3 2 2" xfId="4684"/>
    <cellStyle name="Calculation 3 2 3 3 2 2 2" xfId="4685"/>
    <cellStyle name="Calculation 3 2 3 3 2 2 3" xfId="4686"/>
    <cellStyle name="Calculation 3 2 3 3 2 2 4" xfId="4687"/>
    <cellStyle name="Calculation 3 2 3 3 2 2 5" xfId="4688"/>
    <cellStyle name="Calculation 3 2 3 3 2 2 6" xfId="4689"/>
    <cellStyle name="Calculation 3 2 3 3 2 2 7" xfId="4690"/>
    <cellStyle name="Calculation 3 2 3 3 2 3" xfId="4691"/>
    <cellStyle name="Calculation 3 2 3 3 2 4" xfId="4692"/>
    <cellStyle name="Calculation 3 2 3 3 2 5" xfId="4693"/>
    <cellStyle name="Calculation 3 2 3 3 2 6" xfId="4694"/>
    <cellStyle name="Calculation 3 2 3 3 2 7" xfId="4695"/>
    <cellStyle name="Calculation 3 2 3 3 2 8" xfId="4696"/>
    <cellStyle name="Calculation 3 2 3 3 3" xfId="4697"/>
    <cellStyle name="Calculation 3 2 3 3 3 2" xfId="4698"/>
    <cellStyle name="Calculation 3 2 3 3 3 2 2" xfId="4699"/>
    <cellStyle name="Calculation 3 2 3 3 3 2 3" xfId="4700"/>
    <cellStyle name="Calculation 3 2 3 3 3 2 4" xfId="4701"/>
    <cellStyle name="Calculation 3 2 3 3 3 2 5" xfId="4702"/>
    <cellStyle name="Calculation 3 2 3 3 3 2 6" xfId="4703"/>
    <cellStyle name="Calculation 3 2 3 3 3 2 7" xfId="4704"/>
    <cellStyle name="Calculation 3 2 3 3 3 3" xfId="4705"/>
    <cellStyle name="Calculation 3 2 3 3 3 4" xfId="4706"/>
    <cellStyle name="Calculation 3 2 3 3 3 5" xfId="4707"/>
    <cellStyle name="Calculation 3 2 3 3 3 6" xfId="4708"/>
    <cellStyle name="Calculation 3 2 3 3 3 7" xfId="4709"/>
    <cellStyle name="Calculation 3 2 3 3 3 8" xfId="4710"/>
    <cellStyle name="Calculation 3 2 3 3 4" xfId="4711"/>
    <cellStyle name="Calculation 3 2 3 3 4 2" xfId="4712"/>
    <cellStyle name="Calculation 3 2 3 3 4 2 2" xfId="4713"/>
    <cellStyle name="Calculation 3 2 3 3 4 2 3" xfId="4714"/>
    <cellStyle name="Calculation 3 2 3 3 4 2 4" xfId="4715"/>
    <cellStyle name="Calculation 3 2 3 3 4 2 5" xfId="4716"/>
    <cellStyle name="Calculation 3 2 3 3 4 2 6" xfId="4717"/>
    <cellStyle name="Calculation 3 2 3 3 4 2 7" xfId="4718"/>
    <cellStyle name="Calculation 3 2 3 3 4 3" xfId="4719"/>
    <cellStyle name="Calculation 3 2 3 3 4 4" xfId="4720"/>
    <cellStyle name="Calculation 3 2 3 3 4 5" xfId="4721"/>
    <cellStyle name="Calculation 3 2 3 3 4 6" xfId="4722"/>
    <cellStyle name="Calculation 3 2 3 3 4 7" xfId="4723"/>
    <cellStyle name="Calculation 3 2 3 3 4 8" xfId="4724"/>
    <cellStyle name="Calculation 3 2 3 3 5" xfId="4725"/>
    <cellStyle name="Calculation 3 2 3 3 5 2" xfId="4726"/>
    <cellStyle name="Calculation 3 2 3 3 5 3" xfId="4727"/>
    <cellStyle name="Calculation 3 2 3 3 5 4" xfId="4728"/>
    <cellStyle name="Calculation 3 2 3 3 5 5" xfId="4729"/>
    <cellStyle name="Calculation 3 2 3 3 5 6" xfId="4730"/>
    <cellStyle name="Calculation 3 2 3 3 5 7" xfId="4731"/>
    <cellStyle name="Calculation 3 2 3 3 6" xfId="4732"/>
    <cellStyle name="Calculation 3 2 3 3 7" xfId="4733"/>
    <cellStyle name="Calculation 3 2 3 3 8" xfId="4734"/>
    <cellStyle name="Calculation 3 2 3 3 9" xfId="4735"/>
    <cellStyle name="Calculation 3 2 3 4" xfId="4736"/>
    <cellStyle name="Calculation 3 2 3 4 2" xfId="4737"/>
    <cellStyle name="Calculation 3 2 3 4 2 2" xfId="4738"/>
    <cellStyle name="Calculation 3 2 3 4 2 2 2" xfId="4739"/>
    <cellStyle name="Calculation 3 2 3 4 2 2 3" xfId="4740"/>
    <cellStyle name="Calculation 3 2 3 4 2 2 4" xfId="4741"/>
    <cellStyle name="Calculation 3 2 3 4 2 2 5" xfId="4742"/>
    <cellStyle name="Calculation 3 2 3 4 2 2 6" xfId="4743"/>
    <cellStyle name="Calculation 3 2 3 4 2 2 7" xfId="4744"/>
    <cellStyle name="Calculation 3 2 3 4 2 3" xfId="4745"/>
    <cellStyle name="Calculation 3 2 3 4 2 4" xfId="4746"/>
    <cellStyle name="Calculation 3 2 3 4 2 5" xfId="4747"/>
    <cellStyle name="Calculation 3 2 3 4 2 6" xfId="4748"/>
    <cellStyle name="Calculation 3 2 3 4 2 7" xfId="4749"/>
    <cellStyle name="Calculation 3 2 3 4 2 8" xfId="4750"/>
    <cellStyle name="Calculation 3 2 3 4 3" xfId="4751"/>
    <cellStyle name="Calculation 3 2 3 4 3 2" xfId="4752"/>
    <cellStyle name="Calculation 3 2 3 4 3 2 2" xfId="4753"/>
    <cellStyle name="Calculation 3 2 3 4 3 2 3" xfId="4754"/>
    <cellStyle name="Calculation 3 2 3 4 3 2 4" xfId="4755"/>
    <cellStyle name="Calculation 3 2 3 4 3 2 5" xfId="4756"/>
    <cellStyle name="Calculation 3 2 3 4 3 2 6" xfId="4757"/>
    <cellStyle name="Calculation 3 2 3 4 3 2 7" xfId="4758"/>
    <cellStyle name="Calculation 3 2 3 4 3 3" xfId="4759"/>
    <cellStyle name="Calculation 3 2 3 4 3 4" xfId="4760"/>
    <cellStyle name="Calculation 3 2 3 4 3 5" xfId="4761"/>
    <cellStyle name="Calculation 3 2 3 4 3 6" xfId="4762"/>
    <cellStyle name="Calculation 3 2 3 4 3 7" xfId="4763"/>
    <cellStyle name="Calculation 3 2 3 4 3 8" xfId="4764"/>
    <cellStyle name="Calculation 3 2 3 4 4" xfId="4765"/>
    <cellStyle name="Calculation 3 2 3 4 4 2" xfId="4766"/>
    <cellStyle name="Calculation 3 2 3 4 4 2 2" xfId="4767"/>
    <cellStyle name="Calculation 3 2 3 4 4 2 3" xfId="4768"/>
    <cellStyle name="Calculation 3 2 3 4 4 2 4" xfId="4769"/>
    <cellStyle name="Calculation 3 2 3 4 4 2 5" xfId="4770"/>
    <cellStyle name="Calculation 3 2 3 4 4 2 6" xfId="4771"/>
    <cellStyle name="Calculation 3 2 3 4 4 2 7" xfId="4772"/>
    <cellStyle name="Calculation 3 2 3 4 4 3" xfId="4773"/>
    <cellStyle name="Calculation 3 2 3 4 4 4" xfId="4774"/>
    <cellStyle name="Calculation 3 2 3 4 4 5" xfId="4775"/>
    <cellStyle name="Calculation 3 2 3 4 4 6" xfId="4776"/>
    <cellStyle name="Calculation 3 2 3 4 4 7" xfId="4777"/>
    <cellStyle name="Calculation 3 2 3 4 4 8" xfId="4778"/>
    <cellStyle name="Calculation 3 2 3 4 5" xfId="4779"/>
    <cellStyle name="Calculation 3 2 3 4 5 2" xfId="4780"/>
    <cellStyle name="Calculation 3 2 3 4 5 3" xfId="4781"/>
    <cellStyle name="Calculation 3 2 3 4 5 4" xfId="4782"/>
    <cellStyle name="Calculation 3 2 3 4 5 5" xfId="4783"/>
    <cellStyle name="Calculation 3 2 3 4 5 6" xfId="4784"/>
    <cellStyle name="Calculation 3 2 3 4 5 7" xfId="4785"/>
    <cellStyle name="Calculation 3 2 3 4 6" xfId="4786"/>
    <cellStyle name="Calculation 3 2 3 4 7" xfId="4787"/>
    <cellStyle name="Calculation 3 2 3 4 8" xfId="4788"/>
    <cellStyle name="Calculation 3 2 3 4 9" xfId="4789"/>
    <cellStyle name="Calculation 3 2 3 5" xfId="4790"/>
    <cellStyle name="Calculation 3 2 3 5 2" xfId="4791"/>
    <cellStyle name="Calculation 3 2 3 5 2 2" xfId="4792"/>
    <cellStyle name="Calculation 3 2 3 5 2 2 2" xfId="4793"/>
    <cellStyle name="Calculation 3 2 3 5 2 2 3" xfId="4794"/>
    <cellStyle name="Calculation 3 2 3 5 2 2 4" xfId="4795"/>
    <cellStyle name="Calculation 3 2 3 5 2 2 5" xfId="4796"/>
    <cellStyle name="Calculation 3 2 3 5 2 2 6" xfId="4797"/>
    <cellStyle name="Calculation 3 2 3 5 2 2 7" xfId="4798"/>
    <cellStyle name="Calculation 3 2 3 5 2 3" xfId="4799"/>
    <cellStyle name="Calculation 3 2 3 5 2 4" xfId="4800"/>
    <cellStyle name="Calculation 3 2 3 5 2 5" xfId="4801"/>
    <cellStyle name="Calculation 3 2 3 5 2 6" xfId="4802"/>
    <cellStyle name="Calculation 3 2 3 5 2 7" xfId="4803"/>
    <cellStyle name="Calculation 3 2 3 5 2 8" xfId="4804"/>
    <cellStyle name="Calculation 3 2 3 5 3" xfId="4805"/>
    <cellStyle name="Calculation 3 2 3 5 3 2" xfId="4806"/>
    <cellStyle name="Calculation 3 2 3 5 3 2 2" xfId="4807"/>
    <cellStyle name="Calculation 3 2 3 5 3 2 3" xfId="4808"/>
    <cellStyle name="Calculation 3 2 3 5 3 2 4" xfId="4809"/>
    <cellStyle name="Calculation 3 2 3 5 3 2 5" xfId="4810"/>
    <cellStyle name="Calculation 3 2 3 5 3 2 6" xfId="4811"/>
    <cellStyle name="Calculation 3 2 3 5 3 2 7" xfId="4812"/>
    <cellStyle name="Calculation 3 2 3 5 3 3" xfId="4813"/>
    <cellStyle name="Calculation 3 2 3 5 3 4" xfId="4814"/>
    <cellStyle name="Calculation 3 2 3 5 3 5" xfId="4815"/>
    <cellStyle name="Calculation 3 2 3 5 3 6" xfId="4816"/>
    <cellStyle name="Calculation 3 2 3 5 3 7" xfId="4817"/>
    <cellStyle name="Calculation 3 2 3 5 3 8" xfId="4818"/>
    <cellStyle name="Calculation 3 2 3 5 4" xfId="4819"/>
    <cellStyle name="Calculation 3 2 3 5 4 2" xfId="4820"/>
    <cellStyle name="Calculation 3 2 3 5 4 2 2" xfId="4821"/>
    <cellStyle name="Calculation 3 2 3 5 4 2 3" xfId="4822"/>
    <cellStyle name="Calculation 3 2 3 5 4 2 4" xfId="4823"/>
    <cellStyle name="Calculation 3 2 3 5 4 2 5" xfId="4824"/>
    <cellStyle name="Calculation 3 2 3 5 4 2 6" xfId="4825"/>
    <cellStyle name="Calculation 3 2 3 5 4 2 7" xfId="4826"/>
    <cellStyle name="Calculation 3 2 3 5 4 3" xfId="4827"/>
    <cellStyle name="Calculation 3 2 3 5 4 4" xfId="4828"/>
    <cellStyle name="Calculation 3 2 3 5 4 5" xfId="4829"/>
    <cellStyle name="Calculation 3 2 3 5 4 6" xfId="4830"/>
    <cellStyle name="Calculation 3 2 3 5 4 7" xfId="4831"/>
    <cellStyle name="Calculation 3 2 3 5 4 8" xfId="4832"/>
    <cellStyle name="Calculation 3 2 3 5 5" xfId="4833"/>
    <cellStyle name="Calculation 3 2 3 5 5 2" xfId="4834"/>
    <cellStyle name="Calculation 3 2 3 5 5 3" xfId="4835"/>
    <cellStyle name="Calculation 3 2 3 5 5 4" xfId="4836"/>
    <cellStyle name="Calculation 3 2 3 5 5 5" xfId="4837"/>
    <cellStyle name="Calculation 3 2 3 5 5 6" xfId="4838"/>
    <cellStyle name="Calculation 3 2 3 5 5 7" xfId="4839"/>
    <cellStyle name="Calculation 3 2 3 5 6" xfId="4840"/>
    <cellStyle name="Calculation 3 2 3 5 7" xfId="4841"/>
    <cellStyle name="Calculation 3 2 3 5 8" xfId="4842"/>
    <cellStyle name="Calculation 3 2 3 5 9" xfId="4843"/>
    <cellStyle name="Calculation 3 2 3 6" xfId="4844"/>
    <cellStyle name="Calculation 3 2 3 6 2" xfId="4845"/>
    <cellStyle name="Calculation 3 2 3 6 2 2" xfId="4846"/>
    <cellStyle name="Calculation 3 2 3 6 2 3" xfId="4847"/>
    <cellStyle name="Calculation 3 2 3 6 2 4" xfId="4848"/>
    <cellStyle name="Calculation 3 2 3 6 2 5" xfId="4849"/>
    <cellStyle name="Calculation 3 2 3 6 2 6" xfId="4850"/>
    <cellStyle name="Calculation 3 2 3 6 2 7" xfId="4851"/>
    <cellStyle name="Calculation 3 2 3 6 3" xfId="4852"/>
    <cellStyle name="Calculation 3 2 3 6 4" xfId="4853"/>
    <cellStyle name="Calculation 3 2 3 6 5" xfId="4854"/>
    <cellStyle name="Calculation 3 2 3 6 6" xfId="4855"/>
    <cellStyle name="Calculation 3 2 3 6 7" xfId="4856"/>
    <cellStyle name="Calculation 3 2 3 6 8" xfId="4857"/>
    <cellStyle name="Calculation 3 2 3 7" xfId="4858"/>
    <cellStyle name="Calculation 3 2 3 7 2" xfId="4859"/>
    <cellStyle name="Calculation 3 2 3 7 2 2" xfId="4860"/>
    <cellStyle name="Calculation 3 2 3 7 2 3" xfId="4861"/>
    <cellStyle name="Calculation 3 2 3 7 2 4" xfId="4862"/>
    <cellStyle name="Calculation 3 2 3 7 2 5" xfId="4863"/>
    <cellStyle name="Calculation 3 2 3 7 2 6" xfId="4864"/>
    <cellStyle name="Calculation 3 2 3 7 2 7" xfId="4865"/>
    <cellStyle name="Calculation 3 2 3 7 3" xfId="4866"/>
    <cellStyle name="Calculation 3 2 3 7 4" xfId="4867"/>
    <cellStyle name="Calculation 3 2 3 7 5" xfId="4868"/>
    <cellStyle name="Calculation 3 2 3 7 6" xfId="4869"/>
    <cellStyle name="Calculation 3 2 3 7 7" xfId="4870"/>
    <cellStyle name="Calculation 3 2 3 7 8" xfId="4871"/>
    <cellStyle name="Calculation 3 2 3 8" xfId="4872"/>
    <cellStyle name="Calculation 3 2 3 8 2" xfId="4873"/>
    <cellStyle name="Calculation 3 2 3 8 2 2" xfId="4874"/>
    <cellStyle name="Calculation 3 2 3 8 2 3" xfId="4875"/>
    <cellStyle name="Calculation 3 2 3 8 2 4" xfId="4876"/>
    <cellStyle name="Calculation 3 2 3 8 2 5" xfId="4877"/>
    <cellStyle name="Calculation 3 2 3 8 2 6" xfId="4878"/>
    <cellStyle name="Calculation 3 2 3 8 2 7" xfId="4879"/>
    <cellStyle name="Calculation 3 2 3 8 3" xfId="4880"/>
    <cellStyle name="Calculation 3 2 3 8 4" xfId="4881"/>
    <cellStyle name="Calculation 3 2 3 8 5" xfId="4882"/>
    <cellStyle name="Calculation 3 2 3 8 6" xfId="4883"/>
    <cellStyle name="Calculation 3 2 3 8 7" xfId="4884"/>
    <cellStyle name="Calculation 3 2 3 8 8" xfId="4885"/>
    <cellStyle name="Calculation 3 2 3 9" xfId="4886"/>
    <cellStyle name="Calculation 3 2 3 9 2" xfId="4887"/>
    <cellStyle name="Calculation 3 2 3 9 3" xfId="4888"/>
    <cellStyle name="Calculation 3 2 3 9 4" xfId="4889"/>
    <cellStyle name="Calculation 3 2 3 9 5" xfId="4890"/>
    <cellStyle name="Calculation 3 2 3 9 6" xfId="4891"/>
    <cellStyle name="Calculation 3 2 3 9 7" xfId="4892"/>
    <cellStyle name="Calculation 3 2 4" xfId="4893"/>
    <cellStyle name="Calculation 3 2 4 2" xfId="4894"/>
    <cellStyle name="Calculation 3 2 4 2 2" xfId="4895"/>
    <cellStyle name="Calculation 3 2 4 2 3" xfId="4896"/>
    <cellStyle name="Calculation 3 2 4 2 4" xfId="4897"/>
    <cellStyle name="Calculation 3 2 4 2 5" xfId="4898"/>
    <cellStyle name="Calculation 3 2 4 2 6" xfId="4899"/>
    <cellStyle name="Calculation 3 2 4 2 7" xfId="4900"/>
    <cellStyle name="Calculation 3 2 4 3" xfId="4901"/>
    <cellStyle name="Calculation 3 2 4 4" xfId="4902"/>
    <cellStyle name="Calculation 3 2 4 5" xfId="4903"/>
    <cellStyle name="Calculation 3 2 4 6" xfId="4904"/>
    <cellStyle name="Calculation 3 2 4 7" xfId="4905"/>
    <cellStyle name="Calculation 3 2 4 8" xfId="4906"/>
    <cellStyle name="Calculation 3 2 5" xfId="4907"/>
    <cellStyle name="Calculation 3 2 5 2" xfId="4908"/>
    <cellStyle name="Calculation 3 2 5 2 2" xfId="4909"/>
    <cellStyle name="Calculation 3 2 5 2 3" xfId="4910"/>
    <cellStyle name="Calculation 3 2 5 2 4" xfId="4911"/>
    <cellStyle name="Calculation 3 2 5 2 5" xfId="4912"/>
    <cellStyle name="Calculation 3 2 5 2 6" xfId="4913"/>
    <cellStyle name="Calculation 3 2 5 2 7" xfId="4914"/>
    <cellStyle name="Calculation 3 2 5 3" xfId="4915"/>
    <cellStyle name="Calculation 3 2 5 4" xfId="4916"/>
    <cellStyle name="Calculation 3 2 5 5" xfId="4917"/>
    <cellStyle name="Calculation 3 2 5 6" xfId="4918"/>
    <cellStyle name="Calculation 3 2 5 7" xfId="4919"/>
    <cellStyle name="Calculation 3 2 5 8" xfId="4920"/>
    <cellStyle name="Calculation 3 2 6" xfId="4921"/>
    <cellStyle name="Calculation 3 2 6 2" xfId="4922"/>
    <cellStyle name="Calculation 3 2 6 2 2" xfId="4923"/>
    <cellStyle name="Calculation 3 2 6 2 3" xfId="4924"/>
    <cellStyle name="Calculation 3 2 6 2 4" xfId="4925"/>
    <cellStyle name="Calculation 3 2 6 2 5" xfId="4926"/>
    <cellStyle name="Calculation 3 2 6 2 6" xfId="4927"/>
    <cellStyle name="Calculation 3 2 6 2 7" xfId="4928"/>
    <cellStyle name="Calculation 3 2 6 3" xfId="4929"/>
    <cellStyle name="Calculation 3 2 6 4" xfId="4930"/>
    <cellStyle name="Calculation 3 2 6 5" xfId="4931"/>
    <cellStyle name="Calculation 3 2 6 6" xfId="4932"/>
    <cellStyle name="Calculation 3 2 6 7" xfId="4933"/>
    <cellStyle name="Calculation 3 2 6 8" xfId="4934"/>
    <cellStyle name="Calculation 3 2 7" xfId="4935"/>
    <cellStyle name="Calculation 3 2 7 2" xfId="4936"/>
    <cellStyle name="Calculation 3 2 7 3" xfId="4937"/>
    <cellStyle name="Calculation 3 2 7 4" xfId="4938"/>
    <cellStyle name="Calculation 3 2 7 5" xfId="4939"/>
    <cellStyle name="Calculation 3 2 7 6" xfId="4940"/>
    <cellStyle name="Calculation 3 2 7 7" xfId="4941"/>
    <cellStyle name="Calculation 3 2 8" xfId="4942"/>
    <cellStyle name="Calculation 3 2 8 2" xfId="4943"/>
    <cellStyle name="Calculation 3 2 8 3" xfId="4944"/>
    <cellStyle name="Calculation 3 2 8 4" xfId="4945"/>
    <cellStyle name="Calculation 3 2 8 5" xfId="4946"/>
    <cellStyle name="Calculation 3 2 8 6" xfId="4947"/>
    <cellStyle name="Calculation 3 2 8 7" xfId="4948"/>
    <cellStyle name="Calculation 3 3" xfId="550"/>
    <cellStyle name="Calculation 3 3 10" xfId="4949"/>
    <cellStyle name="Calculation 3 3 11" xfId="4950"/>
    <cellStyle name="Calculation 3 3 2" xfId="4951"/>
    <cellStyle name="Calculation 3 3 2 10" xfId="4952"/>
    <cellStyle name="Calculation 3 3 2 11" xfId="4953"/>
    <cellStyle name="Calculation 3 3 2 12" xfId="4954"/>
    <cellStyle name="Calculation 3 3 2 13" xfId="4955"/>
    <cellStyle name="Calculation 3 3 2 2" xfId="4956"/>
    <cellStyle name="Calculation 3 3 2 2 2" xfId="4957"/>
    <cellStyle name="Calculation 3 3 2 2 2 2" xfId="4958"/>
    <cellStyle name="Calculation 3 3 2 2 2 2 2" xfId="4959"/>
    <cellStyle name="Calculation 3 3 2 2 2 2 3" xfId="4960"/>
    <cellStyle name="Calculation 3 3 2 2 2 2 4" xfId="4961"/>
    <cellStyle name="Calculation 3 3 2 2 2 2 5" xfId="4962"/>
    <cellStyle name="Calculation 3 3 2 2 2 2 6" xfId="4963"/>
    <cellStyle name="Calculation 3 3 2 2 2 2 7" xfId="4964"/>
    <cellStyle name="Calculation 3 3 2 2 2 3" xfId="4965"/>
    <cellStyle name="Calculation 3 3 2 2 2 4" xfId="4966"/>
    <cellStyle name="Calculation 3 3 2 2 2 5" xfId="4967"/>
    <cellStyle name="Calculation 3 3 2 2 2 6" xfId="4968"/>
    <cellStyle name="Calculation 3 3 2 2 2 7" xfId="4969"/>
    <cellStyle name="Calculation 3 3 2 2 2 8" xfId="4970"/>
    <cellStyle name="Calculation 3 3 2 2 3" xfId="4971"/>
    <cellStyle name="Calculation 3 3 2 2 3 2" xfId="4972"/>
    <cellStyle name="Calculation 3 3 2 2 3 2 2" xfId="4973"/>
    <cellStyle name="Calculation 3 3 2 2 3 2 3" xfId="4974"/>
    <cellStyle name="Calculation 3 3 2 2 3 2 4" xfId="4975"/>
    <cellStyle name="Calculation 3 3 2 2 3 2 5" xfId="4976"/>
    <cellStyle name="Calculation 3 3 2 2 3 2 6" xfId="4977"/>
    <cellStyle name="Calculation 3 3 2 2 3 2 7" xfId="4978"/>
    <cellStyle name="Calculation 3 3 2 2 3 3" xfId="4979"/>
    <cellStyle name="Calculation 3 3 2 2 3 4" xfId="4980"/>
    <cellStyle name="Calculation 3 3 2 2 3 5" xfId="4981"/>
    <cellStyle name="Calculation 3 3 2 2 3 6" xfId="4982"/>
    <cellStyle name="Calculation 3 3 2 2 3 7" xfId="4983"/>
    <cellStyle name="Calculation 3 3 2 2 3 8" xfId="4984"/>
    <cellStyle name="Calculation 3 3 2 2 4" xfId="4985"/>
    <cellStyle name="Calculation 3 3 2 2 4 2" xfId="4986"/>
    <cellStyle name="Calculation 3 3 2 2 4 2 2" xfId="4987"/>
    <cellStyle name="Calculation 3 3 2 2 4 2 3" xfId="4988"/>
    <cellStyle name="Calculation 3 3 2 2 4 2 4" xfId="4989"/>
    <cellStyle name="Calculation 3 3 2 2 4 2 5" xfId="4990"/>
    <cellStyle name="Calculation 3 3 2 2 4 2 6" xfId="4991"/>
    <cellStyle name="Calculation 3 3 2 2 4 2 7" xfId="4992"/>
    <cellStyle name="Calculation 3 3 2 2 4 3" xfId="4993"/>
    <cellStyle name="Calculation 3 3 2 2 4 4" xfId="4994"/>
    <cellStyle name="Calculation 3 3 2 2 4 5" xfId="4995"/>
    <cellStyle name="Calculation 3 3 2 2 4 6" xfId="4996"/>
    <cellStyle name="Calculation 3 3 2 2 4 7" xfId="4997"/>
    <cellStyle name="Calculation 3 3 2 2 4 8" xfId="4998"/>
    <cellStyle name="Calculation 3 3 2 2 5" xfId="4999"/>
    <cellStyle name="Calculation 3 3 2 2 5 2" xfId="5000"/>
    <cellStyle name="Calculation 3 3 2 2 5 3" xfId="5001"/>
    <cellStyle name="Calculation 3 3 2 2 5 4" xfId="5002"/>
    <cellStyle name="Calculation 3 3 2 2 5 5" xfId="5003"/>
    <cellStyle name="Calculation 3 3 2 2 5 6" xfId="5004"/>
    <cellStyle name="Calculation 3 3 2 2 5 7" xfId="5005"/>
    <cellStyle name="Calculation 3 3 2 2 6" xfId="5006"/>
    <cellStyle name="Calculation 3 3 2 2 7" xfId="5007"/>
    <cellStyle name="Calculation 3 3 2 2 8" xfId="5008"/>
    <cellStyle name="Calculation 3 3 2 2 9" xfId="5009"/>
    <cellStyle name="Calculation 3 3 2 3" xfId="5010"/>
    <cellStyle name="Calculation 3 3 2 3 2" xfId="5011"/>
    <cellStyle name="Calculation 3 3 2 3 2 2" xfId="5012"/>
    <cellStyle name="Calculation 3 3 2 3 2 2 2" xfId="5013"/>
    <cellStyle name="Calculation 3 3 2 3 2 2 3" xfId="5014"/>
    <cellStyle name="Calculation 3 3 2 3 2 2 4" xfId="5015"/>
    <cellStyle name="Calculation 3 3 2 3 2 2 5" xfId="5016"/>
    <cellStyle name="Calculation 3 3 2 3 2 2 6" xfId="5017"/>
    <cellStyle name="Calculation 3 3 2 3 2 2 7" xfId="5018"/>
    <cellStyle name="Calculation 3 3 2 3 2 3" xfId="5019"/>
    <cellStyle name="Calculation 3 3 2 3 2 4" xfId="5020"/>
    <cellStyle name="Calculation 3 3 2 3 2 5" xfId="5021"/>
    <cellStyle name="Calculation 3 3 2 3 2 6" xfId="5022"/>
    <cellStyle name="Calculation 3 3 2 3 2 7" xfId="5023"/>
    <cellStyle name="Calculation 3 3 2 3 2 8" xfId="5024"/>
    <cellStyle name="Calculation 3 3 2 3 3" xfId="5025"/>
    <cellStyle name="Calculation 3 3 2 3 3 2" xfId="5026"/>
    <cellStyle name="Calculation 3 3 2 3 3 2 2" xfId="5027"/>
    <cellStyle name="Calculation 3 3 2 3 3 2 3" xfId="5028"/>
    <cellStyle name="Calculation 3 3 2 3 3 2 4" xfId="5029"/>
    <cellStyle name="Calculation 3 3 2 3 3 2 5" xfId="5030"/>
    <cellStyle name="Calculation 3 3 2 3 3 2 6" xfId="5031"/>
    <cellStyle name="Calculation 3 3 2 3 3 2 7" xfId="5032"/>
    <cellStyle name="Calculation 3 3 2 3 3 3" xfId="5033"/>
    <cellStyle name="Calculation 3 3 2 3 3 4" xfId="5034"/>
    <cellStyle name="Calculation 3 3 2 3 3 5" xfId="5035"/>
    <cellStyle name="Calculation 3 3 2 3 3 6" xfId="5036"/>
    <cellStyle name="Calculation 3 3 2 3 3 7" xfId="5037"/>
    <cellStyle name="Calculation 3 3 2 3 3 8" xfId="5038"/>
    <cellStyle name="Calculation 3 3 2 3 4" xfId="5039"/>
    <cellStyle name="Calculation 3 3 2 3 4 2" xfId="5040"/>
    <cellStyle name="Calculation 3 3 2 3 4 2 2" xfId="5041"/>
    <cellStyle name="Calculation 3 3 2 3 4 2 3" xfId="5042"/>
    <cellStyle name="Calculation 3 3 2 3 4 2 4" xfId="5043"/>
    <cellStyle name="Calculation 3 3 2 3 4 2 5" xfId="5044"/>
    <cellStyle name="Calculation 3 3 2 3 4 2 6" xfId="5045"/>
    <cellStyle name="Calculation 3 3 2 3 4 2 7" xfId="5046"/>
    <cellStyle name="Calculation 3 3 2 3 4 3" xfId="5047"/>
    <cellStyle name="Calculation 3 3 2 3 4 4" xfId="5048"/>
    <cellStyle name="Calculation 3 3 2 3 4 5" xfId="5049"/>
    <cellStyle name="Calculation 3 3 2 3 4 6" xfId="5050"/>
    <cellStyle name="Calculation 3 3 2 3 4 7" xfId="5051"/>
    <cellStyle name="Calculation 3 3 2 3 4 8" xfId="5052"/>
    <cellStyle name="Calculation 3 3 2 3 5" xfId="5053"/>
    <cellStyle name="Calculation 3 3 2 3 5 2" xfId="5054"/>
    <cellStyle name="Calculation 3 3 2 3 5 3" xfId="5055"/>
    <cellStyle name="Calculation 3 3 2 3 5 4" xfId="5056"/>
    <cellStyle name="Calculation 3 3 2 3 5 5" xfId="5057"/>
    <cellStyle name="Calculation 3 3 2 3 5 6" xfId="5058"/>
    <cellStyle name="Calculation 3 3 2 3 5 7" xfId="5059"/>
    <cellStyle name="Calculation 3 3 2 3 6" xfId="5060"/>
    <cellStyle name="Calculation 3 3 2 3 7" xfId="5061"/>
    <cellStyle name="Calculation 3 3 2 3 8" xfId="5062"/>
    <cellStyle name="Calculation 3 3 2 3 9" xfId="5063"/>
    <cellStyle name="Calculation 3 3 2 4" xfId="5064"/>
    <cellStyle name="Calculation 3 3 2 4 2" xfId="5065"/>
    <cellStyle name="Calculation 3 3 2 4 2 2" xfId="5066"/>
    <cellStyle name="Calculation 3 3 2 4 2 2 2" xfId="5067"/>
    <cellStyle name="Calculation 3 3 2 4 2 2 3" xfId="5068"/>
    <cellStyle name="Calculation 3 3 2 4 2 2 4" xfId="5069"/>
    <cellStyle name="Calculation 3 3 2 4 2 2 5" xfId="5070"/>
    <cellStyle name="Calculation 3 3 2 4 2 2 6" xfId="5071"/>
    <cellStyle name="Calculation 3 3 2 4 2 2 7" xfId="5072"/>
    <cellStyle name="Calculation 3 3 2 4 2 3" xfId="5073"/>
    <cellStyle name="Calculation 3 3 2 4 2 4" xfId="5074"/>
    <cellStyle name="Calculation 3 3 2 4 2 5" xfId="5075"/>
    <cellStyle name="Calculation 3 3 2 4 2 6" xfId="5076"/>
    <cellStyle name="Calculation 3 3 2 4 2 7" xfId="5077"/>
    <cellStyle name="Calculation 3 3 2 4 2 8" xfId="5078"/>
    <cellStyle name="Calculation 3 3 2 4 3" xfId="5079"/>
    <cellStyle name="Calculation 3 3 2 4 3 2" xfId="5080"/>
    <cellStyle name="Calculation 3 3 2 4 3 2 2" xfId="5081"/>
    <cellStyle name="Calculation 3 3 2 4 3 2 3" xfId="5082"/>
    <cellStyle name="Calculation 3 3 2 4 3 2 4" xfId="5083"/>
    <cellStyle name="Calculation 3 3 2 4 3 2 5" xfId="5084"/>
    <cellStyle name="Calculation 3 3 2 4 3 2 6" xfId="5085"/>
    <cellStyle name="Calculation 3 3 2 4 3 2 7" xfId="5086"/>
    <cellStyle name="Calculation 3 3 2 4 3 3" xfId="5087"/>
    <cellStyle name="Calculation 3 3 2 4 3 4" xfId="5088"/>
    <cellStyle name="Calculation 3 3 2 4 3 5" xfId="5089"/>
    <cellStyle name="Calculation 3 3 2 4 3 6" xfId="5090"/>
    <cellStyle name="Calculation 3 3 2 4 3 7" xfId="5091"/>
    <cellStyle name="Calculation 3 3 2 4 3 8" xfId="5092"/>
    <cellStyle name="Calculation 3 3 2 4 4" xfId="5093"/>
    <cellStyle name="Calculation 3 3 2 4 4 2" xfId="5094"/>
    <cellStyle name="Calculation 3 3 2 4 4 2 2" xfId="5095"/>
    <cellStyle name="Calculation 3 3 2 4 4 2 3" xfId="5096"/>
    <cellStyle name="Calculation 3 3 2 4 4 2 4" xfId="5097"/>
    <cellStyle name="Calculation 3 3 2 4 4 2 5" xfId="5098"/>
    <cellStyle name="Calculation 3 3 2 4 4 2 6" xfId="5099"/>
    <cellStyle name="Calculation 3 3 2 4 4 2 7" xfId="5100"/>
    <cellStyle name="Calculation 3 3 2 4 4 3" xfId="5101"/>
    <cellStyle name="Calculation 3 3 2 4 4 4" xfId="5102"/>
    <cellStyle name="Calculation 3 3 2 4 4 5" xfId="5103"/>
    <cellStyle name="Calculation 3 3 2 4 4 6" xfId="5104"/>
    <cellStyle name="Calculation 3 3 2 4 4 7" xfId="5105"/>
    <cellStyle name="Calculation 3 3 2 4 4 8" xfId="5106"/>
    <cellStyle name="Calculation 3 3 2 4 5" xfId="5107"/>
    <cellStyle name="Calculation 3 3 2 4 5 2" xfId="5108"/>
    <cellStyle name="Calculation 3 3 2 4 5 3" xfId="5109"/>
    <cellStyle name="Calculation 3 3 2 4 5 4" xfId="5110"/>
    <cellStyle name="Calculation 3 3 2 4 5 5" xfId="5111"/>
    <cellStyle name="Calculation 3 3 2 4 5 6" xfId="5112"/>
    <cellStyle name="Calculation 3 3 2 4 5 7" xfId="5113"/>
    <cellStyle name="Calculation 3 3 2 4 6" xfId="5114"/>
    <cellStyle name="Calculation 3 3 2 4 7" xfId="5115"/>
    <cellStyle name="Calculation 3 3 2 4 8" xfId="5116"/>
    <cellStyle name="Calculation 3 3 2 4 9" xfId="5117"/>
    <cellStyle name="Calculation 3 3 2 5" xfId="5118"/>
    <cellStyle name="Calculation 3 3 2 5 2" xfId="5119"/>
    <cellStyle name="Calculation 3 3 2 5 2 2" xfId="5120"/>
    <cellStyle name="Calculation 3 3 2 5 2 2 2" xfId="5121"/>
    <cellStyle name="Calculation 3 3 2 5 2 2 3" xfId="5122"/>
    <cellStyle name="Calculation 3 3 2 5 2 2 4" xfId="5123"/>
    <cellStyle name="Calculation 3 3 2 5 2 2 5" xfId="5124"/>
    <cellStyle name="Calculation 3 3 2 5 2 2 6" xfId="5125"/>
    <cellStyle name="Calculation 3 3 2 5 2 2 7" xfId="5126"/>
    <cellStyle name="Calculation 3 3 2 5 2 3" xfId="5127"/>
    <cellStyle name="Calculation 3 3 2 5 2 4" xfId="5128"/>
    <cellStyle name="Calculation 3 3 2 5 2 5" xfId="5129"/>
    <cellStyle name="Calculation 3 3 2 5 2 6" xfId="5130"/>
    <cellStyle name="Calculation 3 3 2 5 2 7" xfId="5131"/>
    <cellStyle name="Calculation 3 3 2 5 2 8" xfId="5132"/>
    <cellStyle name="Calculation 3 3 2 5 3" xfId="5133"/>
    <cellStyle name="Calculation 3 3 2 5 3 2" xfId="5134"/>
    <cellStyle name="Calculation 3 3 2 5 3 2 2" xfId="5135"/>
    <cellStyle name="Calculation 3 3 2 5 3 2 3" xfId="5136"/>
    <cellStyle name="Calculation 3 3 2 5 3 2 4" xfId="5137"/>
    <cellStyle name="Calculation 3 3 2 5 3 2 5" xfId="5138"/>
    <cellStyle name="Calculation 3 3 2 5 3 2 6" xfId="5139"/>
    <cellStyle name="Calculation 3 3 2 5 3 2 7" xfId="5140"/>
    <cellStyle name="Calculation 3 3 2 5 3 3" xfId="5141"/>
    <cellStyle name="Calculation 3 3 2 5 3 4" xfId="5142"/>
    <cellStyle name="Calculation 3 3 2 5 3 5" xfId="5143"/>
    <cellStyle name="Calculation 3 3 2 5 3 6" xfId="5144"/>
    <cellStyle name="Calculation 3 3 2 5 3 7" xfId="5145"/>
    <cellStyle name="Calculation 3 3 2 5 3 8" xfId="5146"/>
    <cellStyle name="Calculation 3 3 2 5 4" xfId="5147"/>
    <cellStyle name="Calculation 3 3 2 5 4 2" xfId="5148"/>
    <cellStyle name="Calculation 3 3 2 5 4 2 2" xfId="5149"/>
    <cellStyle name="Calculation 3 3 2 5 4 2 3" xfId="5150"/>
    <cellStyle name="Calculation 3 3 2 5 4 2 4" xfId="5151"/>
    <cellStyle name="Calculation 3 3 2 5 4 2 5" xfId="5152"/>
    <cellStyle name="Calculation 3 3 2 5 4 2 6" xfId="5153"/>
    <cellStyle name="Calculation 3 3 2 5 4 2 7" xfId="5154"/>
    <cellStyle name="Calculation 3 3 2 5 4 3" xfId="5155"/>
    <cellStyle name="Calculation 3 3 2 5 4 4" xfId="5156"/>
    <cellStyle name="Calculation 3 3 2 5 4 5" xfId="5157"/>
    <cellStyle name="Calculation 3 3 2 5 4 6" xfId="5158"/>
    <cellStyle name="Calculation 3 3 2 5 4 7" xfId="5159"/>
    <cellStyle name="Calculation 3 3 2 5 4 8" xfId="5160"/>
    <cellStyle name="Calculation 3 3 2 5 5" xfId="5161"/>
    <cellStyle name="Calculation 3 3 2 5 5 2" xfId="5162"/>
    <cellStyle name="Calculation 3 3 2 5 5 3" xfId="5163"/>
    <cellStyle name="Calculation 3 3 2 5 5 4" xfId="5164"/>
    <cellStyle name="Calculation 3 3 2 5 5 5" xfId="5165"/>
    <cellStyle name="Calculation 3 3 2 5 5 6" xfId="5166"/>
    <cellStyle name="Calculation 3 3 2 5 5 7" xfId="5167"/>
    <cellStyle name="Calculation 3 3 2 5 6" xfId="5168"/>
    <cellStyle name="Calculation 3 3 2 5 7" xfId="5169"/>
    <cellStyle name="Calculation 3 3 2 5 8" xfId="5170"/>
    <cellStyle name="Calculation 3 3 2 5 9" xfId="5171"/>
    <cellStyle name="Calculation 3 3 2 6" xfId="5172"/>
    <cellStyle name="Calculation 3 3 2 6 2" xfId="5173"/>
    <cellStyle name="Calculation 3 3 2 6 2 2" xfId="5174"/>
    <cellStyle name="Calculation 3 3 2 6 2 3" xfId="5175"/>
    <cellStyle name="Calculation 3 3 2 6 2 4" xfId="5176"/>
    <cellStyle name="Calculation 3 3 2 6 2 5" xfId="5177"/>
    <cellStyle name="Calculation 3 3 2 6 2 6" xfId="5178"/>
    <cellStyle name="Calculation 3 3 2 6 2 7" xfId="5179"/>
    <cellStyle name="Calculation 3 3 2 6 3" xfId="5180"/>
    <cellStyle name="Calculation 3 3 2 6 4" xfId="5181"/>
    <cellStyle name="Calculation 3 3 2 6 5" xfId="5182"/>
    <cellStyle name="Calculation 3 3 2 6 6" xfId="5183"/>
    <cellStyle name="Calculation 3 3 2 6 7" xfId="5184"/>
    <cellStyle name="Calculation 3 3 2 6 8" xfId="5185"/>
    <cellStyle name="Calculation 3 3 2 7" xfId="5186"/>
    <cellStyle name="Calculation 3 3 2 7 2" xfId="5187"/>
    <cellStyle name="Calculation 3 3 2 7 2 2" xfId="5188"/>
    <cellStyle name="Calculation 3 3 2 7 2 3" xfId="5189"/>
    <cellStyle name="Calculation 3 3 2 7 2 4" xfId="5190"/>
    <cellStyle name="Calculation 3 3 2 7 2 5" xfId="5191"/>
    <cellStyle name="Calculation 3 3 2 7 2 6" xfId="5192"/>
    <cellStyle name="Calculation 3 3 2 7 2 7" xfId="5193"/>
    <cellStyle name="Calculation 3 3 2 7 3" xfId="5194"/>
    <cellStyle name="Calculation 3 3 2 7 4" xfId="5195"/>
    <cellStyle name="Calculation 3 3 2 7 5" xfId="5196"/>
    <cellStyle name="Calculation 3 3 2 7 6" xfId="5197"/>
    <cellStyle name="Calculation 3 3 2 7 7" xfId="5198"/>
    <cellStyle name="Calculation 3 3 2 7 8" xfId="5199"/>
    <cellStyle name="Calculation 3 3 2 8" xfId="5200"/>
    <cellStyle name="Calculation 3 3 2 8 2" xfId="5201"/>
    <cellStyle name="Calculation 3 3 2 8 2 2" xfId="5202"/>
    <cellStyle name="Calculation 3 3 2 8 2 3" xfId="5203"/>
    <cellStyle name="Calculation 3 3 2 8 2 4" xfId="5204"/>
    <cellStyle name="Calculation 3 3 2 8 2 5" xfId="5205"/>
    <cellStyle name="Calculation 3 3 2 8 2 6" xfId="5206"/>
    <cellStyle name="Calculation 3 3 2 8 2 7" xfId="5207"/>
    <cellStyle name="Calculation 3 3 2 8 3" xfId="5208"/>
    <cellStyle name="Calculation 3 3 2 8 4" xfId="5209"/>
    <cellStyle name="Calculation 3 3 2 8 5" xfId="5210"/>
    <cellStyle name="Calculation 3 3 2 8 6" xfId="5211"/>
    <cellStyle name="Calculation 3 3 2 8 7" xfId="5212"/>
    <cellStyle name="Calculation 3 3 2 8 8" xfId="5213"/>
    <cellStyle name="Calculation 3 3 2 9" xfId="5214"/>
    <cellStyle name="Calculation 3 3 2 9 2" xfId="5215"/>
    <cellStyle name="Calculation 3 3 2 9 3" xfId="5216"/>
    <cellStyle name="Calculation 3 3 2 9 4" xfId="5217"/>
    <cellStyle name="Calculation 3 3 2 9 5" xfId="5218"/>
    <cellStyle name="Calculation 3 3 2 9 6" xfId="5219"/>
    <cellStyle name="Calculation 3 3 2 9 7" xfId="5220"/>
    <cellStyle name="Calculation 3 3 3" xfId="5221"/>
    <cellStyle name="Calculation 3 3 3 10" xfId="5222"/>
    <cellStyle name="Calculation 3 3 3 11" xfId="5223"/>
    <cellStyle name="Calculation 3 3 3 2" xfId="5224"/>
    <cellStyle name="Calculation 3 3 3 2 2" xfId="5225"/>
    <cellStyle name="Calculation 3 3 3 2 2 2" xfId="5226"/>
    <cellStyle name="Calculation 3 3 3 2 2 3" xfId="5227"/>
    <cellStyle name="Calculation 3 3 3 2 2 4" xfId="5228"/>
    <cellStyle name="Calculation 3 3 3 2 2 5" xfId="5229"/>
    <cellStyle name="Calculation 3 3 3 2 2 6" xfId="5230"/>
    <cellStyle name="Calculation 3 3 3 2 2 7" xfId="5231"/>
    <cellStyle name="Calculation 3 3 3 2 3" xfId="5232"/>
    <cellStyle name="Calculation 3 3 3 2 4" xfId="5233"/>
    <cellStyle name="Calculation 3 3 3 2 5" xfId="5234"/>
    <cellStyle name="Calculation 3 3 3 2 6" xfId="5235"/>
    <cellStyle name="Calculation 3 3 3 2 7" xfId="5236"/>
    <cellStyle name="Calculation 3 3 3 2 8" xfId="5237"/>
    <cellStyle name="Calculation 3 3 3 3" xfId="5238"/>
    <cellStyle name="Calculation 3 3 3 3 2" xfId="5239"/>
    <cellStyle name="Calculation 3 3 3 3 2 2" xfId="5240"/>
    <cellStyle name="Calculation 3 3 3 3 2 3" xfId="5241"/>
    <cellStyle name="Calculation 3 3 3 3 2 4" xfId="5242"/>
    <cellStyle name="Calculation 3 3 3 3 2 5" xfId="5243"/>
    <cellStyle name="Calculation 3 3 3 3 2 6" xfId="5244"/>
    <cellStyle name="Calculation 3 3 3 3 2 7" xfId="5245"/>
    <cellStyle name="Calculation 3 3 3 3 3" xfId="5246"/>
    <cellStyle name="Calculation 3 3 3 3 4" xfId="5247"/>
    <cellStyle name="Calculation 3 3 3 3 5" xfId="5248"/>
    <cellStyle name="Calculation 3 3 3 3 6" xfId="5249"/>
    <cellStyle name="Calculation 3 3 3 3 7" xfId="5250"/>
    <cellStyle name="Calculation 3 3 3 3 8" xfId="5251"/>
    <cellStyle name="Calculation 3 3 3 4" xfId="5252"/>
    <cellStyle name="Calculation 3 3 3 4 2" xfId="5253"/>
    <cellStyle name="Calculation 3 3 3 4 2 2" xfId="5254"/>
    <cellStyle name="Calculation 3 3 3 4 2 3" xfId="5255"/>
    <cellStyle name="Calculation 3 3 3 4 2 4" xfId="5256"/>
    <cellStyle name="Calculation 3 3 3 4 2 5" xfId="5257"/>
    <cellStyle name="Calculation 3 3 3 4 2 6" xfId="5258"/>
    <cellStyle name="Calculation 3 3 3 4 2 7" xfId="5259"/>
    <cellStyle name="Calculation 3 3 3 4 3" xfId="5260"/>
    <cellStyle name="Calculation 3 3 3 4 4" xfId="5261"/>
    <cellStyle name="Calculation 3 3 3 4 5" xfId="5262"/>
    <cellStyle name="Calculation 3 3 3 4 6" xfId="5263"/>
    <cellStyle name="Calculation 3 3 3 4 7" xfId="5264"/>
    <cellStyle name="Calculation 3 3 3 4 8" xfId="5265"/>
    <cellStyle name="Calculation 3 3 3 5" xfId="5266"/>
    <cellStyle name="Calculation 3 3 3 5 2" xfId="5267"/>
    <cellStyle name="Calculation 3 3 3 5 3" xfId="5268"/>
    <cellStyle name="Calculation 3 3 3 5 4" xfId="5269"/>
    <cellStyle name="Calculation 3 3 3 5 5" xfId="5270"/>
    <cellStyle name="Calculation 3 3 3 5 6" xfId="5271"/>
    <cellStyle name="Calculation 3 3 3 5 7" xfId="5272"/>
    <cellStyle name="Calculation 3 3 3 6" xfId="5273"/>
    <cellStyle name="Calculation 3 3 3 7" xfId="5274"/>
    <cellStyle name="Calculation 3 3 3 8" xfId="5275"/>
    <cellStyle name="Calculation 3 3 3 9" xfId="5276"/>
    <cellStyle name="Calculation 3 3 4" xfId="5277"/>
    <cellStyle name="Calculation 3 3 4 2" xfId="5278"/>
    <cellStyle name="Calculation 3 3 4 2 2" xfId="5279"/>
    <cellStyle name="Calculation 3 3 4 2 3" xfId="5280"/>
    <cellStyle name="Calculation 3 3 4 2 4" xfId="5281"/>
    <cellStyle name="Calculation 3 3 4 2 5" xfId="5282"/>
    <cellStyle name="Calculation 3 3 4 2 6" xfId="5283"/>
    <cellStyle name="Calculation 3 3 4 2 7" xfId="5284"/>
    <cellStyle name="Calculation 3 3 4 3" xfId="5285"/>
    <cellStyle name="Calculation 3 3 4 4" xfId="5286"/>
    <cellStyle name="Calculation 3 3 4 5" xfId="5287"/>
    <cellStyle name="Calculation 3 3 4 6" xfId="5288"/>
    <cellStyle name="Calculation 3 3 4 7" xfId="5289"/>
    <cellStyle name="Calculation 3 3 4 8" xfId="5290"/>
    <cellStyle name="Calculation 3 3 5" xfId="5291"/>
    <cellStyle name="Calculation 3 3 5 2" xfId="5292"/>
    <cellStyle name="Calculation 3 3 5 2 2" xfId="5293"/>
    <cellStyle name="Calculation 3 3 5 2 3" xfId="5294"/>
    <cellStyle name="Calculation 3 3 5 2 4" xfId="5295"/>
    <cellStyle name="Calculation 3 3 5 2 5" xfId="5296"/>
    <cellStyle name="Calculation 3 3 5 2 6" xfId="5297"/>
    <cellStyle name="Calculation 3 3 5 2 7" xfId="5298"/>
    <cellStyle name="Calculation 3 3 5 3" xfId="5299"/>
    <cellStyle name="Calculation 3 3 5 4" xfId="5300"/>
    <cellStyle name="Calculation 3 3 5 5" xfId="5301"/>
    <cellStyle name="Calculation 3 3 5 6" xfId="5302"/>
    <cellStyle name="Calculation 3 3 5 7" xfId="5303"/>
    <cellStyle name="Calculation 3 3 5 8" xfId="5304"/>
    <cellStyle name="Calculation 3 3 6" xfId="5305"/>
    <cellStyle name="Calculation 3 3 6 2" xfId="5306"/>
    <cellStyle name="Calculation 3 3 6 2 2" xfId="5307"/>
    <cellStyle name="Calculation 3 3 6 2 3" xfId="5308"/>
    <cellStyle name="Calculation 3 3 6 2 4" xfId="5309"/>
    <cellStyle name="Calculation 3 3 6 2 5" xfId="5310"/>
    <cellStyle name="Calculation 3 3 6 2 6" xfId="5311"/>
    <cellStyle name="Calculation 3 3 6 2 7" xfId="5312"/>
    <cellStyle name="Calculation 3 3 6 3" xfId="5313"/>
    <cellStyle name="Calculation 3 3 6 4" xfId="5314"/>
    <cellStyle name="Calculation 3 3 6 5" xfId="5315"/>
    <cellStyle name="Calculation 3 3 6 6" xfId="5316"/>
    <cellStyle name="Calculation 3 3 6 7" xfId="5317"/>
    <cellStyle name="Calculation 3 3 6 8" xfId="5318"/>
    <cellStyle name="Calculation 3 3 7" xfId="5319"/>
    <cellStyle name="Calculation 3 3 7 2" xfId="5320"/>
    <cellStyle name="Calculation 3 3 7 3" xfId="5321"/>
    <cellStyle name="Calculation 3 3 7 4" xfId="5322"/>
    <cellStyle name="Calculation 3 3 7 5" xfId="5323"/>
    <cellStyle name="Calculation 3 3 7 6" xfId="5324"/>
    <cellStyle name="Calculation 3 3 7 7" xfId="5325"/>
    <cellStyle name="Calculation 3 3 8" xfId="5326"/>
    <cellStyle name="Calculation 3 3 9" xfId="5327"/>
    <cellStyle name="Calculation 3 4" xfId="2328"/>
    <cellStyle name="Calculation 3 4 10" xfId="5328"/>
    <cellStyle name="Calculation 3 4 11" xfId="5329"/>
    <cellStyle name="Calculation 3 4 12" xfId="5330"/>
    <cellStyle name="Calculation 3 4 13" xfId="5331"/>
    <cellStyle name="Calculation 3 4 2" xfId="5332"/>
    <cellStyle name="Calculation 3 4 2 2" xfId="5333"/>
    <cellStyle name="Calculation 3 4 2 2 2" xfId="5334"/>
    <cellStyle name="Calculation 3 4 2 2 2 2" xfId="5335"/>
    <cellStyle name="Calculation 3 4 2 2 2 3" xfId="5336"/>
    <cellStyle name="Calculation 3 4 2 2 2 4" xfId="5337"/>
    <cellStyle name="Calculation 3 4 2 2 2 5" xfId="5338"/>
    <cellStyle name="Calculation 3 4 2 2 2 6" xfId="5339"/>
    <cellStyle name="Calculation 3 4 2 2 2 7" xfId="5340"/>
    <cellStyle name="Calculation 3 4 2 2 3" xfId="5341"/>
    <cellStyle name="Calculation 3 4 2 2 4" xfId="5342"/>
    <cellStyle name="Calculation 3 4 2 2 5" xfId="5343"/>
    <cellStyle name="Calculation 3 4 2 2 6" xfId="5344"/>
    <cellStyle name="Calculation 3 4 2 2 7" xfId="5345"/>
    <cellStyle name="Calculation 3 4 2 2 8" xfId="5346"/>
    <cellStyle name="Calculation 3 4 2 3" xfId="5347"/>
    <cellStyle name="Calculation 3 4 2 3 2" xfId="5348"/>
    <cellStyle name="Calculation 3 4 2 3 2 2" xfId="5349"/>
    <cellStyle name="Calculation 3 4 2 3 2 3" xfId="5350"/>
    <cellStyle name="Calculation 3 4 2 3 2 4" xfId="5351"/>
    <cellStyle name="Calculation 3 4 2 3 2 5" xfId="5352"/>
    <cellStyle name="Calculation 3 4 2 3 2 6" xfId="5353"/>
    <cellStyle name="Calculation 3 4 2 3 2 7" xfId="5354"/>
    <cellStyle name="Calculation 3 4 2 3 3" xfId="5355"/>
    <cellStyle name="Calculation 3 4 2 3 4" xfId="5356"/>
    <cellStyle name="Calculation 3 4 2 3 5" xfId="5357"/>
    <cellStyle name="Calculation 3 4 2 3 6" xfId="5358"/>
    <cellStyle name="Calculation 3 4 2 3 7" xfId="5359"/>
    <cellStyle name="Calculation 3 4 2 3 8" xfId="5360"/>
    <cellStyle name="Calculation 3 4 2 4" xfId="5361"/>
    <cellStyle name="Calculation 3 4 2 4 2" xfId="5362"/>
    <cellStyle name="Calculation 3 4 2 4 2 2" xfId="5363"/>
    <cellStyle name="Calculation 3 4 2 4 2 3" xfId="5364"/>
    <cellStyle name="Calculation 3 4 2 4 2 4" xfId="5365"/>
    <cellStyle name="Calculation 3 4 2 4 2 5" xfId="5366"/>
    <cellStyle name="Calculation 3 4 2 4 2 6" xfId="5367"/>
    <cellStyle name="Calculation 3 4 2 4 2 7" xfId="5368"/>
    <cellStyle name="Calculation 3 4 2 4 3" xfId="5369"/>
    <cellStyle name="Calculation 3 4 2 4 4" xfId="5370"/>
    <cellStyle name="Calculation 3 4 2 4 5" xfId="5371"/>
    <cellStyle name="Calculation 3 4 2 4 6" xfId="5372"/>
    <cellStyle name="Calculation 3 4 2 4 7" xfId="5373"/>
    <cellStyle name="Calculation 3 4 2 4 8" xfId="5374"/>
    <cellStyle name="Calculation 3 4 2 5" xfId="5375"/>
    <cellStyle name="Calculation 3 4 2 5 2" xfId="5376"/>
    <cellStyle name="Calculation 3 4 2 5 3" xfId="5377"/>
    <cellStyle name="Calculation 3 4 2 5 4" xfId="5378"/>
    <cellStyle name="Calculation 3 4 2 5 5" xfId="5379"/>
    <cellStyle name="Calculation 3 4 2 5 6" xfId="5380"/>
    <cellStyle name="Calculation 3 4 2 5 7" xfId="5381"/>
    <cellStyle name="Calculation 3 4 2 6" xfId="5382"/>
    <cellStyle name="Calculation 3 4 2 7" xfId="5383"/>
    <cellStyle name="Calculation 3 4 2 8" xfId="5384"/>
    <cellStyle name="Calculation 3 4 2 9" xfId="5385"/>
    <cellStyle name="Calculation 3 4 3" xfId="5386"/>
    <cellStyle name="Calculation 3 4 3 2" xfId="5387"/>
    <cellStyle name="Calculation 3 4 3 2 2" xfId="5388"/>
    <cellStyle name="Calculation 3 4 3 2 2 2" xfId="5389"/>
    <cellStyle name="Calculation 3 4 3 2 2 3" xfId="5390"/>
    <cellStyle name="Calculation 3 4 3 2 2 4" xfId="5391"/>
    <cellStyle name="Calculation 3 4 3 2 2 5" xfId="5392"/>
    <cellStyle name="Calculation 3 4 3 2 2 6" xfId="5393"/>
    <cellStyle name="Calculation 3 4 3 2 2 7" xfId="5394"/>
    <cellStyle name="Calculation 3 4 3 2 3" xfId="5395"/>
    <cellStyle name="Calculation 3 4 3 2 4" xfId="5396"/>
    <cellStyle name="Calculation 3 4 3 2 5" xfId="5397"/>
    <cellStyle name="Calculation 3 4 3 2 6" xfId="5398"/>
    <cellStyle name="Calculation 3 4 3 2 7" xfId="5399"/>
    <cellStyle name="Calculation 3 4 3 2 8" xfId="5400"/>
    <cellStyle name="Calculation 3 4 3 3" xfId="5401"/>
    <cellStyle name="Calculation 3 4 3 3 2" xfId="5402"/>
    <cellStyle name="Calculation 3 4 3 3 2 2" xfId="5403"/>
    <cellStyle name="Calculation 3 4 3 3 2 3" xfId="5404"/>
    <cellStyle name="Calculation 3 4 3 3 2 4" xfId="5405"/>
    <cellStyle name="Calculation 3 4 3 3 2 5" xfId="5406"/>
    <cellStyle name="Calculation 3 4 3 3 2 6" xfId="5407"/>
    <cellStyle name="Calculation 3 4 3 3 2 7" xfId="5408"/>
    <cellStyle name="Calculation 3 4 3 3 3" xfId="5409"/>
    <cellStyle name="Calculation 3 4 3 3 4" xfId="5410"/>
    <cellStyle name="Calculation 3 4 3 3 5" xfId="5411"/>
    <cellStyle name="Calculation 3 4 3 3 6" xfId="5412"/>
    <cellStyle name="Calculation 3 4 3 3 7" xfId="5413"/>
    <cellStyle name="Calculation 3 4 3 3 8" xfId="5414"/>
    <cellStyle name="Calculation 3 4 3 4" xfId="5415"/>
    <cellStyle name="Calculation 3 4 3 4 2" xfId="5416"/>
    <cellStyle name="Calculation 3 4 3 4 2 2" xfId="5417"/>
    <cellStyle name="Calculation 3 4 3 4 2 3" xfId="5418"/>
    <cellStyle name="Calculation 3 4 3 4 2 4" xfId="5419"/>
    <cellStyle name="Calculation 3 4 3 4 2 5" xfId="5420"/>
    <cellStyle name="Calculation 3 4 3 4 2 6" xfId="5421"/>
    <cellStyle name="Calculation 3 4 3 4 2 7" xfId="5422"/>
    <cellStyle name="Calculation 3 4 3 4 3" xfId="5423"/>
    <cellStyle name="Calculation 3 4 3 4 4" xfId="5424"/>
    <cellStyle name="Calculation 3 4 3 4 5" xfId="5425"/>
    <cellStyle name="Calculation 3 4 3 4 6" xfId="5426"/>
    <cellStyle name="Calculation 3 4 3 4 7" xfId="5427"/>
    <cellStyle name="Calculation 3 4 3 4 8" xfId="5428"/>
    <cellStyle name="Calculation 3 4 3 5" xfId="5429"/>
    <cellStyle name="Calculation 3 4 3 5 2" xfId="5430"/>
    <cellStyle name="Calculation 3 4 3 5 3" xfId="5431"/>
    <cellStyle name="Calculation 3 4 3 5 4" xfId="5432"/>
    <cellStyle name="Calculation 3 4 3 5 5" xfId="5433"/>
    <cellStyle name="Calculation 3 4 3 5 6" xfId="5434"/>
    <cellStyle name="Calculation 3 4 3 5 7" xfId="5435"/>
    <cellStyle name="Calculation 3 4 3 6" xfId="5436"/>
    <cellStyle name="Calculation 3 4 3 7" xfId="5437"/>
    <cellStyle name="Calculation 3 4 3 8" xfId="5438"/>
    <cellStyle name="Calculation 3 4 3 9" xfId="5439"/>
    <cellStyle name="Calculation 3 4 4" xfId="5440"/>
    <cellStyle name="Calculation 3 4 4 2" xfId="5441"/>
    <cellStyle name="Calculation 3 4 4 2 2" xfId="5442"/>
    <cellStyle name="Calculation 3 4 4 2 2 2" xfId="5443"/>
    <cellStyle name="Calculation 3 4 4 2 2 3" xfId="5444"/>
    <cellStyle name="Calculation 3 4 4 2 2 4" xfId="5445"/>
    <cellStyle name="Calculation 3 4 4 2 2 5" xfId="5446"/>
    <cellStyle name="Calculation 3 4 4 2 2 6" xfId="5447"/>
    <cellStyle name="Calculation 3 4 4 2 2 7" xfId="5448"/>
    <cellStyle name="Calculation 3 4 4 2 3" xfId="5449"/>
    <cellStyle name="Calculation 3 4 4 2 4" xfId="5450"/>
    <cellStyle name="Calculation 3 4 4 2 5" xfId="5451"/>
    <cellStyle name="Calculation 3 4 4 2 6" xfId="5452"/>
    <cellStyle name="Calculation 3 4 4 2 7" xfId="5453"/>
    <cellStyle name="Calculation 3 4 4 2 8" xfId="5454"/>
    <cellStyle name="Calculation 3 4 4 3" xfId="5455"/>
    <cellStyle name="Calculation 3 4 4 3 2" xfId="5456"/>
    <cellStyle name="Calculation 3 4 4 3 2 2" xfId="5457"/>
    <cellStyle name="Calculation 3 4 4 3 2 3" xfId="5458"/>
    <cellStyle name="Calculation 3 4 4 3 2 4" xfId="5459"/>
    <cellStyle name="Calculation 3 4 4 3 2 5" xfId="5460"/>
    <cellStyle name="Calculation 3 4 4 3 2 6" xfId="5461"/>
    <cellStyle name="Calculation 3 4 4 3 2 7" xfId="5462"/>
    <cellStyle name="Calculation 3 4 4 3 3" xfId="5463"/>
    <cellStyle name="Calculation 3 4 4 3 4" xfId="5464"/>
    <cellStyle name="Calculation 3 4 4 3 5" xfId="5465"/>
    <cellStyle name="Calculation 3 4 4 3 6" xfId="5466"/>
    <cellStyle name="Calculation 3 4 4 3 7" xfId="5467"/>
    <cellStyle name="Calculation 3 4 4 3 8" xfId="5468"/>
    <cellStyle name="Calculation 3 4 4 4" xfId="5469"/>
    <cellStyle name="Calculation 3 4 4 4 2" xfId="5470"/>
    <cellStyle name="Calculation 3 4 4 4 2 2" xfId="5471"/>
    <cellStyle name="Calculation 3 4 4 4 2 3" xfId="5472"/>
    <cellStyle name="Calculation 3 4 4 4 2 4" xfId="5473"/>
    <cellStyle name="Calculation 3 4 4 4 2 5" xfId="5474"/>
    <cellStyle name="Calculation 3 4 4 4 2 6" xfId="5475"/>
    <cellStyle name="Calculation 3 4 4 4 2 7" xfId="5476"/>
    <cellStyle name="Calculation 3 4 4 4 3" xfId="5477"/>
    <cellStyle name="Calculation 3 4 4 4 4" xfId="5478"/>
    <cellStyle name="Calculation 3 4 4 4 5" xfId="5479"/>
    <cellStyle name="Calculation 3 4 4 4 6" xfId="5480"/>
    <cellStyle name="Calculation 3 4 4 4 7" xfId="5481"/>
    <cellStyle name="Calculation 3 4 4 4 8" xfId="5482"/>
    <cellStyle name="Calculation 3 4 4 5" xfId="5483"/>
    <cellStyle name="Calculation 3 4 4 5 2" xfId="5484"/>
    <cellStyle name="Calculation 3 4 4 5 3" xfId="5485"/>
    <cellStyle name="Calculation 3 4 4 5 4" xfId="5486"/>
    <cellStyle name="Calculation 3 4 4 5 5" xfId="5487"/>
    <cellStyle name="Calculation 3 4 4 5 6" xfId="5488"/>
    <cellStyle name="Calculation 3 4 4 5 7" xfId="5489"/>
    <cellStyle name="Calculation 3 4 4 6" xfId="5490"/>
    <cellStyle name="Calculation 3 4 4 7" xfId="5491"/>
    <cellStyle name="Calculation 3 4 4 8" xfId="5492"/>
    <cellStyle name="Calculation 3 4 4 9" xfId="5493"/>
    <cellStyle name="Calculation 3 4 5" xfId="5494"/>
    <cellStyle name="Calculation 3 4 5 2" xfId="5495"/>
    <cellStyle name="Calculation 3 4 5 2 2" xfId="5496"/>
    <cellStyle name="Calculation 3 4 5 2 2 2" xfId="5497"/>
    <cellStyle name="Calculation 3 4 5 2 2 3" xfId="5498"/>
    <cellStyle name="Calculation 3 4 5 2 2 4" xfId="5499"/>
    <cellStyle name="Calculation 3 4 5 2 2 5" xfId="5500"/>
    <cellStyle name="Calculation 3 4 5 2 2 6" xfId="5501"/>
    <cellStyle name="Calculation 3 4 5 2 2 7" xfId="5502"/>
    <cellStyle name="Calculation 3 4 5 2 3" xfId="5503"/>
    <cellStyle name="Calculation 3 4 5 2 4" xfId="5504"/>
    <cellStyle name="Calculation 3 4 5 2 5" xfId="5505"/>
    <cellStyle name="Calculation 3 4 5 2 6" xfId="5506"/>
    <cellStyle name="Calculation 3 4 5 2 7" xfId="5507"/>
    <cellStyle name="Calculation 3 4 5 2 8" xfId="5508"/>
    <cellStyle name="Calculation 3 4 5 3" xfId="5509"/>
    <cellStyle name="Calculation 3 4 5 3 2" xfId="5510"/>
    <cellStyle name="Calculation 3 4 5 3 2 2" xfId="5511"/>
    <cellStyle name="Calculation 3 4 5 3 2 3" xfId="5512"/>
    <cellStyle name="Calculation 3 4 5 3 2 4" xfId="5513"/>
    <cellStyle name="Calculation 3 4 5 3 2 5" xfId="5514"/>
    <cellStyle name="Calculation 3 4 5 3 2 6" xfId="5515"/>
    <cellStyle name="Calculation 3 4 5 3 2 7" xfId="5516"/>
    <cellStyle name="Calculation 3 4 5 3 3" xfId="5517"/>
    <cellStyle name="Calculation 3 4 5 3 4" xfId="5518"/>
    <cellStyle name="Calculation 3 4 5 3 5" xfId="5519"/>
    <cellStyle name="Calculation 3 4 5 3 6" xfId="5520"/>
    <cellStyle name="Calculation 3 4 5 3 7" xfId="5521"/>
    <cellStyle name="Calculation 3 4 5 3 8" xfId="5522"/>
    <cellStyle name="Calculation 3 4 5 4" xfId="5523"/>
    <cellStyle name="Calculation 3 4 5 4 2" xfId="5524"/>
    <cellStyle name="Calculation 3 4 5 4 2 2" xfId="5525"/>
    <cellStyle name="Calculation 3 4 5 4 2 3" xfId="5526"/>
    <cellStyle name="Calculation 3 4 5 4 2 4" xfId="5527"/>
    <cellStyle name="Calculation 3 4 5 4 2 5" xfId="5528"/>
    <cellStyle name="Calculation 3 4 5 4 2 6" xfId="5529"/>
    <cellStyle name="Calculation 3 4 5 4 2 7" xfId="5530"/>
    <cellStyle name="Calculation 3 4 5 4 3" xfId="5531"/>
    <cellStyle name="Calculation 3 4 5 4 4" xfId="5532"/>
    <cellStyle name="Calculation 3 4 5 4 5" xfId="5533"/>
    <cellStyle name="Calculation 3 4 5 4 6" xfId="5534"/>
    <cellStyle name="Calculation 3 4 5 4 7" xfId="5535"/>
    <cellStyle name="Calculation 3 4 5 4 8" xfId="5536"/>
    <cellStyle name="Calculation 3 4 5 5" xfId="5537"/>
    <cellStyle name="Calculation 3 4 5 5 2" xfId="5538"/>
    <cellStyle name="Calculation 3 4 5 5 3" xfId="5539"/>
    <cellStyle name="Calculation 3 4 5 5 4" xfId="5540"/>
    <cellStyle name="Calculation 3 4 5 5 5" xfId="5541"/>
    <cellStyle name="Calculation 3 4 5 5 6" xfId="5542"/>
    <cellStyle name="Calculation 3 4 5 5 7" xfId="5543"/>
    <cellStyle name="Calculation 3 4 5 6" xfId="5544"/>
    <cellStyle name="Calculation 3 4 5 7" xfId="5545"/>
    <cellStyle name="Calculation 3 4 5 8" xfId="5546"/>
    <cellStyle name="Calculation 3 4 5 9" xfId="5547"/>
    <cellStyle name="Calculation 3 4 6" xfId="5548"/>
    <cellStyle name="Calculation 3 4 6 2" xfId="5549"/>
    <cellStyle name="Calculation 3 4 6 2 2" xfId="5550"/>
    <cellStyle name="Calculation 3 4 6 2 3" xfId="5551"/>
    <cellStyle name="Calculation 3 4 6 2 4" xfId="5552"/>
    <cellStyle name="Calculation 3 4 6 2 5" xfId="5553"/>
    <cellStyle name="Calculation 3 4 6 2 6" xfId="5554"/>
    <cellStyle name="Calculation 3 4 6 2 7" xfId="5555"/>
    <cellStyle name="Calculation 3 4 6 3" xfId="5556"/>
    <cellStyle name="Calculation 3 4 6 4" xfId="5557"/>
    <cellStyle name="Calculation 3 4 6 5" xfId="5558"/>
    <cellStyle name="Calculation 3 4 6 6" xfId="5559"/>
    <cellStyle name="Calculation 3 4 6 7" xfId="5560"/>
    <cellStyle name="Calculation 3 4 6 8" xfId="5561"/>
    <cellStyle name="Calculation 3 4 7" xfId="5562"/>
    <cellStyle name="Calculation 3 4 7 2" xfId="5563"/>
    <cellStyle name="Calculation 3 4 7 2 2" xfId="5564"/>
    <cellStyle name="Calculation 3 4 7 2 3" xfId="5565"/>
    <cellStyle name="Calculation 3 4 7 2 4" xfId="5566"/>
    <cellStyle name="Calculation 3 4 7 2 5" xfId="5567"/>
    <cellStyle name="Calculation 3 4 7 2 6" xfId="5568"/>
    <cellStyle name="Calculation 3 4 7 2 7" xfId="5569"/>
    <cellStyle name="Calculation 3 4 7 3" xfId="5570"/>
    <cellStyle name="Calculation 3 4 7 4" xfId="5571"/>
    <cellStyle name="Calculation 3 4 7 5" xfId="5572"/>
    <cellStyle name="Calculation 3 4 7 6" xfId="5573"/>
    <cellStyle name="Calculation 3 4 7 7" xfId="5574"/>
    <cellStyle name="Calculation 3 4 7 8" xfId="5575"/>
    <cellStyle name="Calculation 3 4 8" xfId="5576"/>
    <cellStyle name="Calculation 3 4 8 2" xfId="5577"/>
    <cellStyle name="Calculation 3 4 8 2 2" xfId="5578"/>
    <cellStyle name="Calculation 3 4 8 2 3" xfId="5579"/>
    <cellStyle name="Calculation 3 4 8 2 4" xfId="5580"/>
    <cellStyle name="Calculation 3 4 8 2 5" xfId="5581"/>
    <cellStyle name="Calculation 3 4 8 2 6" xfId="5582"/>
    <cellStyle name="Calculation 3 4 8 2 7" xfId="5583"/>
    <cellStyle name="Calculation 3 4 8 3" xfId="5584"/>
    <cellStyle name="Calculation 3 4 8 4" xfId="5585"/>
    <cellStyle name="Calculation 3 4 8 5" xfId="5586"/>
    <cellStyle name="Calculation 3 4 8 6" xfId="5587"/>
    <cellStyle name="Calculation 3 4 8 7" xfId="5588"/>
    <cellStyle name="Calculation 3 4 8 8" xfId="5589"/>
    <cellStyle name="Calculation 3 4 9" xfId="5590"/>
    <cellStyle name="Calculation 3 4 9 2" xfId="5591"/>
    <cellStyle name="Calculation 3 4 9 3" xfId="5592"/>
    <cellStyle name="Calculation 3 4 9 4" xfId="5593"/>
    <cellStyle name="Calculation 3 4 9 5" xfId="5594"/>
    <cellStyle name="Calculation 3 4 9 6" xfId="5595"/>
    <cellStyle name="Calculation 3 4 9 7" xfId="5596"/>
    <cellStyle name="Calculation 3 5" xfId="5597"/>
    <cellStyle name="Calculation 3 5 10" xfId="5598"/>
    <cellStyle name="Calculation 3 5 11" xfId="5599"/>
    <cellStyle name="Calculation 3 5 12" xfId="5600"/>
    <cellStyle name="Calculation 3 5 13" xfId="5601"/>
    <cellStyle name="Calculation 3 5 2" xfId="5602"/>
    <cellStyle name="Calculation 3 5 2 2" xfId="5603"/>
    <cellStyle name="Calculation 3 5 2 2 2" xfId="5604"/>
    <cellStyle name="Calculation 3 5 2 2 2 2" xfId="5605"/>
    <cellStyle name="Calculation 3 5 2 2 2 3" xfId="5606"/>
    <cellStyle name="Calculation 3 5 2 2 2 4" xfId="5607"/>
    <cellStyle name="Calculation 3 5 2 2 2 5" xfId="5608"/>
    <cellStyle name="Calculation 3 5 2 2 2 6" xfId="5609"/>
    <cellStyle name="Calculation 3 5 2 2 2 7" xfId="5610"/>
    <cellStyle name="Calculation 3 5 2 2 3" xfId="5611"/>
    <cellStyle name="Calculation 3 5 2 2 4" xfId="5612"/>
    <cellStyle name="Calculation 3 5 2 2 5" xfId="5613"/>
    <cellStyle name="Calculation 3 5 2 2 6" xfId="5614"/>
    <cellStyle name="Calculation 3 5 2 2 7" xfId="5615"/>
    <cellStyle name="Calculation 3 5 2 2 8" xfId="5616"/>
    <cellStyle name="Calculation 3 5 2 3" xfId="5617"/>
    <cellStyle name="Calculation 3 5 2 3 2" xfId="5618"/>
    <cellStyle name="Calculation 3 5 2 3 2 2" xfId="5619"/>
    <cellStyle name="Calculation 3 5 2 3 2 3" xfId="5620"/>
    <cellStyle name="Calculation 3 5 2 3 2 4" xfId="5621"/>
    <cellStyle name="Calculation 3 5 2 3 2 5" xfId="5622"/>
    <cellStyle name="Calculation 3 5 2 3 2 6" xfId="5623"/>
    <cellStyle name="Calculation 3 5 2 3 2 7" xfId="5624"/>
    <cellStyle name="Calculation 3 5 2 3 3" xfId="5625"/>
    <cellStyle name="Calculation 3 5 2 3 4" xfId="5626"/>
    <cellStyle name="Calculation 3 5 2 3 5" xfId="5627"/>
    <cellStyle name="Calculation 3 5 2 3 6" xfId="5628"/>
    <cellStyle name="Calculation 3 5 2 3 7" xfId="5629"/>
    <cellStyle name="Calculation 3 5 2 3 8" xfId="5630"/>
    <cellStyle name="Calculation 3 5 2 4" xfId="5631"/>
    <cellStyle name="Calculation 3 5 2 4 2" xfId="5632"/>
    <cellStyle name="Calculation 3 5 2 4 2 2" xfId="5633"/>
    <cellStyle name="Calculation 3 5 2 4 2 3" xfId="5634"/>
    <cellStyle name="Calculation 3 5 2 4 2 4" xfId="5635"/>
    <cellStyle name="Calculation 3 5 2 4 2 5" xfId="5636"/>
    <cellStyle name="Calculation 3 5 2 4 2 6" xfId="5637"/>
    <cellStyle name="Calculation 3 5 2 4 2 7" xfId="5638"/>
    <cellStyle name="Calculation 3 5 2 4 3" xfId="5639"/>
    <cellStyle name="Calculation 3 5 2 4 4" xfId="5640"/>
    <cellStyle name="Calculation 3 5 2 4 5" xfId="5641"/>
    <cellStyle name="Calculation 3 5 2 4 6" xfId="5642"/>
    <cellStyle name="Calculation 3 5 2 4 7" xfId="5643"/>
    <cellStyle name="Calculation 3 5 2 4 8" xfId="5644"/>
    <cellStyle name="Calculation 3 5 2 5" xfId="5645"/>
    <cellStyle name="Calculation 3 5 2 5 2" xfId="5646"/>
    <cellStyle name="Calculation 3 5 2 5 3" xfId="5647"/>
    <cellStyle name="Calculation 3 5 2 5 4" xfId="5648"/>
    <cellStyle name="Calculation 3 5 2 5 5" xfId="5649"/>
    <cellStyle name="Calculation 3 5 2 5 6" xfId="5650"/>
    <cellStyle name="Calculation 3 5 2 5 7" xfId="5651"/>
    <cellStyle name="Calculation 3 5 2 6" xfId="5652"/>
    <cellStyle name="Calculation 3 5 2 7" xfId="5653"/>
    <cellStyle name="Calculation 3 5 2 8" xfId="5654"/>
    <cellStyle name="Calculation 3 5 2 9" xfId="5655"/>
    <cellStyle name="Calculation 3 5 3" xfId="5656"/>
    <cellStyle name="Calculation 3 5 3 2" xfId="5657"/>
    <cellStyle name="Calculation 3 5 3 2 2" xfId="5658"/>
    <cellStyle name="Calculation 3 5 3 2 2 2" xfId="5659"/>
    <cellStyle name="Calculation 3 5 3 2 2 3" xfId="5660"/>
    <cellStyle name="Calculation 3 5 3 2 2 4" xfId="5661"/>
    <cellStyle name="Calculation 3 5 3 2 2 5" xfId="5662"/>
    <cellStyle name="Calculation 3 5 3 2 2 6" xfId="5663"/>
    <cellStyle name="Calculation 3 5 3 2 2 7" xfId="5664"/>
    <cellStyle name="Calculation 3 5 3 2 3" xfId="5665"/>
    <cellStyle name="Calculation 3 5 3 2 4" xfId="5666"/>
    <cellStyle name="Calculation 3 5 3 2 5" xfId="5667"/>
    <cellStyle name="Calculation 3 5 3 2 6" xfId="5668"/>
    <cellStyle name="Calculation 3 5 3 2 7" xfId="5669"/>
    <cellStyle name="Calculation 3 5 3 2 8" xfId="5670"/>
    <cellStyle name="Calculation 3 5 3 3" xfId="5671"/>
    <cellStyle name="Calculation 3 5 3 3 2" xfId="5672"/>
    <cellStyle name="Calculation 3 5 3 3 2 2" xfId="5673"/>
    <cellStyle name="Calculation 3 5 3 3 2 3" xfId="5674"/>
    <cellStyle name="Calculation 3 5 3 3 2 4" xfId="5675"/>
    <cellStyle name="Calculation 3 5 3 3 2 5" xfId="5676"/>
    <cellStyle name="Calculation 3 5 3 3 2 6" xfId="5677"/>
    <cellStyle name="Calculation 3 5 3 3 2 7" xfId="5678"/>
    <cellStyle name="Calculation 3 5 3 3 3" xfId="5679"/>
    <cellStyle name="Calculation 3 5 3 3 4" xfId="5680"/>
    <cellStyle name="Calculation 3 5 3 3 5" xfId="5681"/>
    <cellStyle name="Calculation 3 5 3 3 6" xfId="5682"/>
    <cellStyle name="Calculation 3 5 3 3 7" xfId="5683"/>
    <cellStyle name="Calculation 3 5 3 3 8" xfId="5684"/>
    <cellStyle name="Calculation 3 5 3 4" xfId="5685"/>
    <cellStyle name="Calculation 3 5 3 4 2" xfId="5686"/>
    <cellStyle name="Calculation 3 5 3 4 2 2" xfId="5687"/>
    <cellStyle name="Calculation 3 5 3 4 2 3" xfId="5688"/>
    <cellStyle name="Calculation 3 5 3 4 2 4" xfId="5689"/>
    <cellStyle name="Calculation 3 5 3 4 2 5" xfId="5690"/>
    <cellStyle name="Calculation 3 5 3 4 2 6" xfId="5691"/>
    <cellStyle name="Calculation 3 5 3 4 2 7" xfId="5692"/>
    <cellStyle name="Calculation 3 5 3 4 3" xfId="5693"/>
    <cellStyle name="Calculation 3 5 3 4 4" xfId="5694"/>
    <cellStyle name="Calculation 3 5 3 4 5" xfId="5695"/>
    <cellStyle name="Calculation 3 5 3 4 6" xfId="5696"/>
    <cellStyle name="Calculation 3 5 3 4 7" xfId="5697"/>
    <cellStyle name="Calculation 3 5 3 4 8" xfId="5698"/>
    <cellStyle name="Calculation 3 5 3 5" xfId="5699"/>
    <cellStyle name="Calculation 3 5 3 5 2" xfId="5700"/>
    <cellStyle name="Calculation 3 5 3 5 3" xfId="5701"/>
    <cellStyle name="Calculation 3 5 3 5 4" xfId="5702"/>
    <cellStyle name="Calculation 3 5 3 5 5" xfId="5703"/>
    <cellStyle name="Calculation 3 5 3 5 6" xfId="5704"/>
    <cellStyle name="Calculation 3 5 3 5 7" xfId="5705"/>
    <cellStyle name="Calculation 3 5 3 6" xfId="5706"/>
    <cellStyle name="Calculation 3 5 3 7" xfId="5707"/>
    <cellStyle name="Calculation 3 5 3 8" xfId="5708"/>
    <cellStyle name="Calculation 3 5 3 9" xfId="5709"/>
    <cellStyle name="Calculation 3 5 4" xfId="5710"/>
    <cellStyle name="Calculation 3 5 4 2" xfId="5711"/>
    <cellStyle name="Calculation 3 5 4 2 2" xfId="5712"/>
    <cellStyle name="Calculation 3 5 4 2 2 2" xfId="5713"/>
    <cellStyle name="Calculation 3 5 4 2 2 3" xfId="5714"/>
    <cellStyle name="Calculation 3 5 4 2 2 4" xfId="5715"/>
    <cellStyle name="Calculation 3 5 4 2 2 5" xfId="5716"/>
    <cellStyle name="Calculation 3 5 4 2 2 6" xfId="5717"/>
    <cellStyle name="Calculation 3 5 4 2 2 7" xfId="5718"/>
    <cellStyle name="Calculation 3 5 4 2 3" xfId="5719"/>
    <cellStyle name="Calculation 3 5 4 2 4" xfId="5720"/>
    <cellStyle name="Calculation 3 5 4 2 5" xfId="5721"/>
    <cellStyle name="Calculation 3 5 4 2 6" xfId="5722"/>
    <cellStyle name="Calculation 3 5 4 2 7" xfId="5723"/>
    <cellStyle name="Calculation 3 5 4 2 8" xfId="5724"/>
    <cellStyle name="Calculation 3 5 4 3" xfId="5725"/>
    <cellStyle name="Calculation 3 5 4 3 2" xfId="5726"/>
    <cellStyle name="Calculation 3 5 4 3 2 2" xfId="5727"/>
    <cellStyle name="Calculation 3 5 4 3 2 3" xfId="5728"/>
    <cellStyle name="Calculation 3 5 4 3 2 4" xfId="5729"/>
    <cellStyle name="Calculation 3 5 4 3 2 5" xfId="5730"/>
    <cellStyle name="Calculation 3 5 4 3 2 6" xfId="5731"/>
    <cellStyle name="Calculation 3 5 4 3 2 7" xfId="5732"/>
    <cellStyle name="Calculation 3 5 4 3 3" xfId="5733"/>
    <cellStyle name="Calculation 3 5 4 3 4" xfId="5734"/>
    <cellStyle name="Calculation 3 5 4 3 5" xfId="5735"/>
    <cellStyle name="Calculation 3 5 4 3 6" xfId="5736"/>
    <cellStyle name="Calculation 3 5 4 3 7" xfId="5737"/>
    <cellStyle name="Calculation 3 5 4 3 8" xfId="5738"/>
    <cellStyle name="Calculation 3 5 4 4" xfId="5739"/>
    <cellStyle name="Calculation 3 5 4 4 2" xfId="5740"/>
    <cellStyle name="Calculation 3 5 4 4 2 2" xfId="5741"/>
    <cellStyle name="Calculation 3 5 4 4 2 3" xfId="5742"/>
    <cellStyle name="Calculation 3 5 4 4 2 4" xfId="5743"/>
    <cellStyle name="Calculation 3 5 4 4 2 5" xfId="5744"/>
    <cellStyle name="Calculation 3 5 4 4 2 6" xfId="5745"/>
    <cellStyle name="Calculation 3 5 4 4 2 7" xfId="5746"/>
    <cellStyle name="Calculation 3 5 4 4 3" xfId="5747"/>
    <cellStyle name="Calculation 3 5 4 4 4" xfId="5748"/>
    <cellStyle name="Calculation 3 5 4 4 5" xfId="5749"/>
    <cellStyle name="Calculation 3 5 4 4 6" xfId="5750"/>
    <cellStyle name="Calculation 3 5 4 4 7" xfId="5751"/>
    <cellStyle name="Calculation 3 5 4 4 8" xfId="5752"/>
    <cellStyle name="Calculation 3 5 4 5" xfId="5753"/>
    <cellStyle name="Calculation 3 5 4 5 2" xfId="5754"/>
    <cellStyle name="Calculation 3 5 4 5 3" xfId="5755"/>
    <cellStyle name="Calculation 3 5 4 5 4" xfId="5756"/>
    <cellStyle name="Calculation 3 5 4 5 5" xfId="5757"/>
    <cellStyle name="Calculation 3 5 4 5 6" xfId="5758"/>
    <cellStyle name="Calculation 3 5 4 5 7" xfId="5759"/>
    <cellStyle name="Calculation 3 5 4 6" xfId="5760"/>
    <cellStyle name="Calculation 3 5 4 7" xfId="5761"/>
    <cellStyle name="Calculation 3 5 4 8" xfId="5762"/>
    <cellStyle name="Calculation 3 5 4 9" xfId="5763"/>
    <cellStyle name="Calculation 3 5 5" xfId="5764"/>
    <cellStyle name="Calculation 3 5 5 2" xfId="5765"/>
    <cellStyle name="Calculation 3 5 5 2 2" xfId="5766"/>
    <cellStyle name="Calculation 3 5 5 2 2 2" xfId="5767"/>
    <cellStyle name="Calculation 3 5 5 2 2 3" xfId="5768"/>
    <cellStyle name="Calculation 3 5 5 2 2 4" xfId="5769"/>
    <cellStyle name="Calculation 3 5 5 2 2 5" xfId="5770"/>
    <cellStyle name="Calculation 3 5 5 2 2 6" xfId="5771"/>
    <cellStyle name="Calculation 3 5 5 2 2 7" xfId="5772"/>
    <cellStyle name="Calculation 3 5 5 2 3" xfId="5773"/>
    <cellStyle name="Calculation 3 5 5 2 4" xfId="5774"/>
    <cellStyle name="Calculation 3 5 5 2 5" xfId="5775"/>
    <cellStyle name="Calculation 3 5 5 2 6" xfId="5776"/>
    <cellStyle name="Calculation 3 5 5 2 7" xfId="5777"/>
    <cellStyle name="Calculation 3 5 5 2 8" xfId="5778"/>
    <cellStyle name="Calculation 3 5 5 3" xfId="5779"/>
    <cellStyle name="Calculation 3 5 5 3 2" xfId="5780"/>
    <cellStyle name="Calculation 3 5 5 3 2 2" xfId="5781"/>
    <cellStyle name="Calculation 3 5 5 3 2 3" xfId="5782"/>
    <cellStyle name="Calculation 3 5 5 3 2 4" xfId="5783"/>
    <cellStyle name="Calculation 3 5 5 3 2 5" xfId="5784"/>
    <cellStyle name="Calculation 3 5 5 3 2 6" xfId="5785"/>
    <cellStyle name="Calculation 3 5 5 3 2 7" xfId="5786"/>
    <cellStyle name="Calculation 3 5 5 3 3" xfId="5787"/>
    <cellStyle name="Calculation 3 5 5 3 4" xfId="5788"/>
    <cellStyle name="Calculation 3 5 5 3 5" xfId="5789"/>
    <cellStyle name="Calculation 3 5 5 3 6" xfId="5790"/>
    <cellStyle name="Calculation 3 5 5 3 7" xfId="5791"/>
    <cellStyle name="Calculation 3 5 5 3 8" xfId="5792"/>
    <cellStyle name="Calculation 3 5 5 4" xfId="5793"/>
    <cellStyle name="Calculation 3 5 5 4 2" xfId="5794"/>
    <cellStyle name="Calculation 3 5 5 4 2 2" xfId="5795"/>
    <cellStyle name="Calculation 3 5 5 4 2 3" xfId="5796"/>
    <cellStyle name="Calculation 3 5 5 4 2 4" xfId="5797"/>
    <cellStyle name="Calculation 3 5 5 4 2 5" xfId="5798"/>
    <cellStyle name="Calculation 3 5 5 4 2 6" xfId="5799"/>
    <cellStyle name="Calculation 3 5 5 4 2 7" xfId="5800"/>
    <cellStyle name="Calculation 3 5 5 4 3" xfId="5801"/>
    <cellStyle name="Calculation 3 5 5 4 4" xfId="5802"/>
    <cellStyle name="Calculation 3 5 5 4 5" xfId="5803"/>
    <cellStyle name="Calculation 3 5 5 4 6" xfId="5804"/>
    <cellStyle name="Calculation 3 5 5 4 7" xfId="5805"/>
    <cellStyle name="Calculation 3 5 5 4 8" xfId="5806"/>
    <cellStyle name="Calculation 3 5 5 5" xfId="5807"/>
    <cellStyle name="Calculation 3 5 5 5 2" xfId="5808"/>
    <cellStyle name="Calculation 3 5 5 5 3" xfId="5809"/>
    <cellStyle name="Calculation 3 5 5 5 4" xfId="5810"/>
    <cellStyle name="Calculation 3 5 5 5 5" xfId="5811"/>
    <cellStyle name="Calculation 3 5 5 5 6" xfId="5812"/>
    <cellStyle name="Calculation 3 5 5 5 7" xfId="5813"/>
    <cellStyle name="Calculation 3 5 5 6" xfId="5814"/>
    <cellStyle name="Calculation 3 5 5 7" xfId="5815"/>
    <cellStyle name="Calculation 3 5 5 8" xfId="5816"/>
    <cellStyle name="Calculation 3 5 5 9" xfId="5817"/>
    <cellStyle name="Calculation 3 5 6" xfId="5818"/>
    <cellStyle name="Calculation 3 5 6 2" xfId="5819"/>
    <cellStyle name="Calculation 3 5 6 2 2" xfId="5820"/>
    <cellStyle name="Calculation 3 5 6 2 3" xfId="5821"/>
    <cellStyle name="Calculation 3 5 6 2 4" xfId="5822"/>
    <cellStyle name="Calculation 3 5 6 2 5" xfId="5823"/>
    <cellStyle name="Calculation 3 5 6 2 6" xfId="5824"/>
    <cellStyle name="Calculation 3 5 6 2 7" xfId="5825"/>
    <cellStyle name="Calculation 3 5 6 3" xfId="5826"/>
    <cellStyle name="Calculation 3 5 6 4" xfId="5827"/>
    <cellStyle name="Calculation 3 5 6 5" xfId="5828"/>
    <cellStyle name="Calculation 3 5 6 6" xfId="5829"/>
    <cellStyle name="Calculation 3 5 6 7" xfId="5830"/>
    <cellStyle name="Calculation 3 5 6 8" xfId="5831"/>
    <cellStyle name="Calculation 3 5 7" xfId="5832"/>
    <cellStyle name="Calculation 3 5 7 2" xfId="5833"/>
    <cellStyle name="Calculation 3 5 7 2 2" xfId="5834"/>
    <cellStyle name="Calculation 3 5 7 2 3" xfId="5835"/>
    <cellStyle name="Calculation 3 5 7 2 4" xfId="5836"/>
    <cellStyle name="Calculation 3 5 7 2 5" xfId="5837"/>
    <cellStyle name="Calculation 3 5 7 2 6" xfId="5838"/>
    <cellStyle name="Calculation 3 5 7 2 7" xfId="5839"/>
    <cellStyle name="Calculation 3 5 7 3" xfId="5840"/>
    <cellStyle name="Calculation 3 5 7 4" xfId="5841"/>
    <cellStyle name="Calculation 3 5 7 5" xfId="5842"/>
    <cellStyle name="Calculation 3 5 7 6" xfId="5843"/>
    <cellStyle name="Calculation 3 5 7 7" xfId="5844"/>
    <cellStyle name="Calculation 3 5 7 8" xfId="5845"/>
    <cellStyle name="Calculation 3 5 8" xfId="5846"/>
    <cellStyle name="Calculation 3 5 8 2" xfId="5847"/>
    <cellStyle name="Calculation 3 5 8 2 2" xfId="5848"/>
    <cellStyle name="Calculation 3 5 8 2 3" xfId="5849"/>
    <cellStyle name="Calculation 3 5 8 2 4" xfId="5850"/>
    <cellStyle name="Calculation 3 5 8 2 5" xfId="5851"/>
    <cellStyle name="Calculation 3 5 8 2 6" xfId="5852"/>
    <cellStyle name="Calculation 3 5 8 2 7" xfId="5853"/>
    <cellStyle name="Calculation 3 5 8 3" xfId="5854"/>
    <cellStyle name="Calculation 3 5 8 4" xfId="5855"/>
    <cellStyle name="Calculation 3 5 8 5" xfId="5856"/>
    <cellStyle name="Calculation 3 5 8 6" xfId="5857"/>
    <cellStyle name="Calculation 3 5 8 7" xfId="5858"/>
    <cellStyle name="Calculation 3 5 8 8" xfId="5859"/>
    <cellStyle name="Calculation 3 5 9" xfId="5860"/>
    <cellStyle name="Calculation 3 5 9 2" xfId="5861"/>
    <cellStyle name="Calculation 3 5 9 3" xfId="5862"/>
    <cellStyle name="Calculation 3 5 9 4" xfId="5863"/>
    <cellStyle name="Calculation 3 5 9 5" xfId="5864"/>
    <cellStyle name="Calculation 3 5 9 6" xfId="5865"/>
    <cellStyle name="Calculation 3 5 9 7" xfId="5866"/>
    <cellStyle name="Calculation 3 6" xfId="5867"/>
    <cellStyle name="Calculation 3 6 2" xfId="5868"/>
    <cellStyle name="Calculation 3 6 2 2" xfId="5869"/>
    <cellStyle name="Calculation 3 6 2 3" xfId="5870"/>
    <cellStyle name="Calculation 3 6 2 4" xfId="5871"/>
    <cellStyle name="Calculation 3 6 2 5" xfId="5872"/>
    <cellStyle name="Calculation 3 6 2 6" xfId="5873"/>
    <cellStyle name="Calculation 3 6 2 7" xfId="5874"/>
    <cellStyle name="Calculation 3 6 3" xfId="5875"/>
    <cellStyle name="Calculation 3 6 4" xfId="5876"/>
    <cellStyle name="Calculation 3 6 5" xfId="5877"/>
    <cellStyle name="Calculation 3 6 6" xfId="5878"/>
    <cellStyle name="Calculation 3 6 7" xfId="5879"/>
    <cellStyle name="Calculation 3 6 8" xfId="5880"/>
    <cellStyle name="Calculation 3 7" xfId="5881"/>
    <cellStyle name="Calculation 3 7 2" xfId="5882"/>
    <cellStyle name="Calculation 3 7 2 2" xfId="5883"/>
    <cellStyle name="Calculation 3 7 2 3" xfId="5884"/>
    <cellStyle name="Calculation 3 7 2 4" xfId="5885"/>
    <cellStyle name="Calculation 3 7 2 5" xfId="5886"/>
    <cellStyle name="Calculation 3 7 2 6" xfId="5887"/>
    <cellStyle name="Calculation 3 7 2 7" xfId="5888"/>
    <cellStyle name="Calculation 3 7 3" xfId="5889"/>
    <cellStyle name="Calculation 3 7 4" xfId="5890"/>
    <cellStyle name="Calculation 3 7 5" xfId="5891"/>
    <cellStyle name="Calculation 3 7 6" xfId="5892"/>
    <cellStyle name="Calculation 3 7 7" xfId="5893"/>
    <cellStyle name="Calculation 3 7 8" xfId="5894"/>
    <cellStyle name="Calculation 3 8" xfId="5895"/>
    <cellStyle name="Calculation 3 8 2" xfId="5896"/>
    <cellStyle name="Calculation 3 8 2 2" xfId="5897"/>
    <cellStyle name="Calculation 3 8 2 3" xfId="5898"/>
    <cellStyle name="Calculation 3 8 2 4" xfId="5899"/>
    <cellStyle name="Calculation 3 8 2 5" xfId="5900"/>
    <cellStyle name="Calculation 3 8 2 6" xfId="5901"/>
    <cellStyle name="Calculation 3 8 2 7" xfId="5902"/>
    <cellStyle name="Calculation 3 8 3" xfId="5903"/>
    <cellStyle name="Calculation 3 8 4" xfId="5904"/>
    <cellStyle name="Calculation 3 8 5" xfId="5905"/>
    <cellStyle name="Calculation 3 8 6" xfId="5906"/>
    <cellStyle name="Calculation 3 8 7" xfId="5907"/>
    <cellStyle name="Calculation 3 8 8" xfId="5908"/>
    <cellStyle name="Calculation 3 9" xfId="5909"/>
    <cellStyle name="Calculation 3 9 2" xfId="5910"/>
    <cellStyle name="Calculation 3 9 3" xfId="5911"/>
    <cellStyle name="Calculation 3 9 4" xfId="5912"/>
    <cellStyle name="Calculation 3 9 5" xfId="5913"/>
    <cellStyle name="Calculation 3 9 6" xfId="5914"/>
    <cellStyle name="Calculation 3 9 7" xfId="5915"/>
    <cellStyle name="Calculation 4" xfId="551"/>
    <cellStyle name="Calculation 4 10" xfId="5916"/>
    <cellStyle name="Calculation 4 11" xfId="5917"/>
    <cellStyle name="Calculation 4 12" xfId="5918"/>
    <cellStyle name="Calculation 4 2" xfId="552"/>
    <cellStyle name="Calculation 4 3" xfId="5919"/>
    <cellStyle name="Calculation 4 3 10" xfId="5920"/>
    <cellStyle name="Calculation 4 3 11" xfId="5921"/>
    <cellStyle name="Calculation 4 3 12" xfId="5922"/>
    <cellStyle name="Calculation 4 3 13" xfId="5923"/>
    <cellStyle name="Calculation 4 3 2" xfId="5924"/>
    <cellStyle name="Calculation 4 3 2 2" xfId="5925"/>
    <cellStyle name="Calculation 4 3 2 2 2" xfId="5926"/>
    <cellStyle name="Calculation 4 3 2 2 2 2" xfId="5927"/>
    <cellStyle name="Calculation 4 3 2 2 2 3" xfId="5928"/>
    <cellStyle name="Calculation 4 3 2 2 2 4" xfId="5929"/>
    <cellStyle name="Calculation 4 3 2 2 2 5" xfId="5930"/>
    <cellStyle name="Calculation 4 3 2 2 2 6" xfId="5931"/>
    <cellStyle name="Calculation 4 3 2 2 2 7" xfId="5932"/>
    <cellStyle name="Calculation 4 3 2 2 3" xfId="5933"/>
    <cellStyle name="Calculation 4 3 2 2 4" xfId="5934"/>
    <cellStyle name="Calculation 4 3 2 2 5" xfId="5935"/>
    <cellStyle name="Calculation 4 3 2 2 6" xfId="5936"/>
    <cellStyle name="Calculation 4 3 2 2 7" xfId="5937"/>
    <cellStyle name="Calculation 4 3 2 2 8" xfId="5938"/>
    <cellStyle name="Calculation 4 3 2 3" xfId="5939"/>
    <cellStyle name="Calculation 4 3 2 3 2" xfId="5940"/>
    <cellStyle name="Calculation 4 3 2 3 2 2" xfId="5941"/>
    <cellStyle name="Calculation 4 3 2 3 2 3" xfId="5942"/>
    <cellStyle name="Calculation 4 3 2 3 2 4" xfId="5943"/>
    <cellStyle name="Calculation 4 3 2 3 2 5" xfId="5944"/>
    <cellStyle name="Calculation 4 3 2 3 2 6" xfId="5945"/>
    <cellStyle name="Calculation 4 3 2 3 2 7" xfId="5946"/>
    <cellStyle name="Calculation 4 3 2 3 3" xfId="5947"/>
    <cellStyle name="Calculation 4 3 2 3 4" xfId="5948"/>
    <cellStyle name="Calculation 4 3 2 3 5" xfId="5949"/>
    <cellStyle name="Calculation 4 3 2 3 6" xfId="5950"/>
    <cellStyle name="Calculation 4 3 2 3 7" xfId="5951"/>
    <cellStyle name="Calculation 4 3 2 3 8" xfId="5952"/>
    <cellStyle name="Calculation 4 3 2 4" xfId="5953"/>
    <cellStyle name="Calculation 4 3 2 4 2" xfId="5954"/>
    <cellStyle name="Calculation 4 3 2 4 2 2" xfId="5955"/>
    <cellStyle name="Calculation 4 3 2 4 2 3" xfId="5956"/>
    <cellStyle name="Calculation 4 3 2 4 2 4" xfId="5957"/>
    <cellStyle name="Calculation 4 3 2 4 2 5" xfId="5958"/>
    <cellStyle name="Calculation 4 3 2 4 2 6" xfId="5959"/>
    <cellStyle name="Calculation 4 3 2 4 2 7" xfId="5960"/>
    <cellStyle name="Calculation 4 3 2 4 3" xfId="5961"/>
    <cellStyle name="Calculation 4 3 2 4 4" xfId="5962"/>
    <cellStyle name="Calculation 4 3 2 4 5" xfId="5963"/>
    <cellStyle name="Calculation 4 3 2 4 6" xfId="5964"/>
    <cellStyle name="Calculation 4 3 2 4 7" xfId="5965"/>
    <cellStyle name="Calculation 4 3 2 4 8" xfId="5966"/>
    <cellStyle name="Calculation 4 3 2 5" xfId="5967"/>
    <cellStyle name="Calculation 4 3 2 5 2" xfId="5968"/>
    <cellStyle name="Calculation 4 3 2 5 3" xfId="5969"/>
    <cellStyle name="Calculation 4 3 2 5 4" xfId="5970"/>
    <cellStyle name="Calculation 4 3 2 5 5" xfId="5971"/>
    <cellStyle name="Calculation 4 3 2 5 6" xfId="5972"/>
    <cellStyle name="Calculation 4 3 2 5 7" xfId="5973"/>
    <cellStyle name="Calculation 4 3 2 6" xfId="5974"/>
    <cellStyle name="Calculation 4 3 2 7" xfId="5975"/>
    <cellStyle name="Calculation 4 3 2 8" xfId="5976"/>
    <cellStyle name="Calculation 4 3 2 9" xfId="5977"/>
    <cellStyle name="Calculation 4 3 3" xfId="5978"/>
    <cellStyle name="Calculation 4 3 3 2" xfId="5979"/>
    <cellStyle name="Calculation 4 3 3 2 2" xfId="5980"/>
    <cellStyle name="Calculation 4 3 3 2 2 2" xfId="5981"/>
    <cellStyle name="Calculation 4 3 3 2 2 3" xfId="5982"/>
    <cellStyle name="Calculation 4 3 3 2 2 4" xfId="5983"/>
    <cellStyle name="Calculation 4 3 3 2 2 5" xfId="5984"/>
    <cellStyle name="Calculation 4 3 3 2 2 6" xfId="5985"/>
    <cellStyle name="Calculation 4 3 3 2 2 7" xfId="5986"/>
    <cellStyle name="Calculation 4 3 3 2 3" xfId="5987"/>
    <cellStyle name="Calculation 4 3 3 2 4" xfId="5988"/>
    <cellStyle name="Calculation 4 3 3 2 5" xfId="5989"/>
    <cellStyle name="Calculation 4 3 3 2 6" xfId="5990"/>
    <cellStyle name="Calculation 4 3 3 2 7" xfId="5991"/>
    <cellStyle name="Calculation 4 3 3 2 8" xfId="5992"/>
    <cellStyle name="Calculation 4 3 3 3" xfId="5993"/>
    <cellStyle name="Calculation 4 3 3 3 2" xfId="5994"/>
    <cellStyle name="Calculation 4 3 3 3 2 2" xfId="5995"/>
    <cellStyle name="Calculation 4 3 3 3 2 3" xfId="5996"/>
    <cellStyle name="Calculation 4 3 3 3 2 4" xfId="5997"/>
    <cellStyle name="Calculation 4 3 3 3 2 5" xfId="5998"/>
    <cellStyle name="Calculation 4 3 3 3 2 6" xfId="5999"/>
    <cellStyle name="Calculation 4 3 3 3 2 7" xfId="6000"/>
    <cellStyle name="Calculation 4 3 3 3 3" xfId="6001"/>
    <cellStyle name="Calculation 4 3 3 3 4" xfId="6002"/>
    <cellStyle name="Calculation 4 3 3 3 5" xfId="6003"/>
    <cellStyle name="Calculation 4 3 3 3 6" xfId="6004"/>
    <cellStyle name="Calculation 4 3 3 3 7" xfId="6005"/>
    <cellStyle name="Calculation 4 3 3 3 8" xfId="6006"/>
    <cellStyle name="Calculation 4 3 3 4" xfId="6007"/>
    <cellStyle name="Calculation 4 3 3 4 2" xfId="6008"/>
    <cellStyle name="Calculation 4 3 3 4 2 2" xfId="6009"/>
    <cellStyle name="Calculation 4 3 3 4 2 3" xfId="6010"/>
    <cellStyle name="Calculation 4 3 3 4 2 4" xfId="6011"/>
    <cellStyle name="Calculation 4 3 3 4 2 5" xfId="6012"/>
    <cellStyle name="Calculation 4 3 3 4 2 6" xfId="6013"/>
    <cellStyle name="Calculation 4 3 3 4 2 7" xfId="6014"/>
    <cellStyle name="Calculation 4 3 3 4 3" xfId="6015"/>
    <cellStyle name="Calculation 4 3 3 4 4" xfId="6016"/>
    <cellStyle name="Calculation 4 3 3 4 5" xfId="6017"/>
    <cellStyle name="Calculation 4 3 3 4 6" xfId="6018"/>
    <cellStyle name="Calculation 4 3 3 4 7" xfId="6019"/>
    <cellStyle name="Calculation 4 3 3 4 8" xfId="6020"/>
    <cellStyle name="Calculation 4 3 3 5" xfId="6021"/>
    <cellStyle name="Calculation 4 3 3 5 2" xfId="6022"/>
    <cellStyle name="Calculation 4 3 3 5 3" xfId="6023"/>
    <cellStyle name="Calculation 4 3 3 5 4" xfId="6024"/>
    <cellStyle name="Calculation 4 3 3 5 5" xfId="6025"/>
    <cellStyle name="Calculation 4 3 3 5 6" xfId="6026"/>
    <cellStyle name="Calculation 4 3 3 5 7" xfId="6027"/>
    <cellStyle name="Calculation 4 3 3 6" xfId="6028"/>
    <cellStyle name="Calculation 4 3 3 7" xfId="6029"/>
    <cellStyle name="Calculation 4 3 3 8" xfId="6030"/>
    <cellStyle name="Calculation 4 3 3 9" xfId="6031"/>
    <cellStyle name="Calculation 4 3 4" xfId="6032"/>
    <cellStyle name="Calculation 4 3 4 2" xfId="6033"/>
    <cellStyle name="Calculation 4 3 4 2 2" xfId="6034"/>
    <cellStyle name="Calculation 4 3 4 2 2 2" xfId="6035"/>
    <cellStyle name="Calculation 4 3 4 2 2 3" xfId="6036"/>
    <cellStyle name="Calculation 4 3 4 2 2 4" xfId="6037"/>
    <cellStyle name="Calculation 4 3 4 2 2 5" xfId="6038"/>
    <cellStyle name="Calculation 4 3 4 2 2 6" xfId="6039"/>
    <cellStyle name="Calculation 4 3 4 2 2 7" xfId="6040"/>
    <cellStyle name="Calculation 4 3 4 2 3" xfId="6041"/>
    <cellStyle name="Calculation 4 3 4 2 4" xfId="6042"/>
    <cellStyle name="Calculation 4 3 4 2 5" xfId="6043"/>
    <cellStyle name="Calculation 4 3 4 2 6" xfId="6044"/>
    <cellStyle name="Calculation 4 3 4 2 7" xfId="6045"/>
    <cellStyle name="Calculation 4 3 4 2 8" xfId="6046"/>
    <cellStyle name="Calculation 4 3 4 3" xfId="6047"/>
    <cellStyle name="Calculation 4 3 4 3 2" xfId="6048"/>
    <cellStyle name="Calculation 4 3 4 3 2 2" xfId="6049"/>
    <cellStyle name="Calculation 4 3 4 3 2 3" xfId="6050"/>
    <cellStyle name="Calculation 4 3 4 3 2 4" xfId="6051"/>
    <cellStyle name="Calculation 4 3 4 3 2 5" xfId="6052"/>
    <cellStyle name="Calculation 4 3 4 3 2 6" xfId="6053"/>
    <cellStyle name="Calculation 4 3 4 3 2 7" xfId="6054"/>
    <cellStyle name="Calculation 4 3 4 3 3" xfId="6055"/>
    <cellStyle name="Calculation 4 3 4 3 4" xfId="6056"/>
    <cellStyle name="Calculation 4 3 4 3 5" xfId="6057"/>
    <cellStyle name="Calculation 4 3 4 3 6" xfId="6058"/>
    <cellStyle name="Calculation 4 3 4 3 7" xfId="6059"/>
    <cellStyle name="Calculation 4 3 4 3 8" xfId="6060"/>
    <cellStyle name="Calculation 4 3 4 4" xfId="6061"/>
    <cellStyle name="Calculation 4 3 4 4 2" xfId="6062"/>
    <cellStyle name="Calculation 4 3 4 4 2 2" xfId="6063"/>
    <cellStyle name="Calculation 4 3 4 4 2 3" xfId="6064"/>
    <cellStyle name="Calculation 4 3 4 4 2 4" xfId="6065"/>
    <cellStyle name="Calculation 4 3 4 4 2 5" xfId="6066"/>
    <cellStyle name="Calculation 4 3 4 4 2 6" xfId="6067"/>
    <cellStyle name="Calculation 4 3 4 4 2 7" xfId="6068"/>
    <cellStyle name="Calculation 4 3 4 4 3" xfId="6069"/>
    <cellStyle name="Calculation 4 3 4 4 4" xfId="6070"/>
    <cellStyle name="Calculation 4 3 4 4 5" xfId="6071"/>
    <cellStyle name="Calculation 4 3 4 4 6" xfId="6072"/>
    <cellStyle name="Calculation 4 3 4 4 7" xfId="6073"/>
    <cellStyle name="Calculation 4 3 4 4 8" xfId="6074"/>
    <cellStyle name="Calculation 4 3 4 5" xfId="6075"/>
    <cellStyle name="Calculation 4 3 4 5 2" xfId="6076"/>
    <cellStyle name="Calculation 4 3 4 5 3" xfId="6077"/>
    <cellStyle name="Calculation 4 3 4 5 4" xfId="6078"/>
    <cellStyle name="Calculation 4 3 4 5 5" xfId="6079"/>
    <cellStyle name="Calculation 4 3 4 5 6" xfId="6080"/>
    <cellStyle name="Calculation 4 3 4 5 7" xfId="6081"/>
    <cellStyle name="Calculation 4 3 4 6" xfId="6082"/>
    <cellStyle name="Calculation 4 3 4 7" xfId="6083"/>
    <cellStyle name="Calculation 4 3 4 8" xfId="6084"/>
    <cellStyle name="Calculation 4 3 4 9" xfId="6085"/>
    <cellStyle name="Calculation 4 3 5" xfId="6086"/>
    <cellStyle name="Calculation 4 3 5 2" xfId="6087"/>
    <cellStyle name="Calculation 4 3 5 2 2" xfId="6088"/>
    <cellStyle name="Calculation 4 3 5 2 2 2" xfId="6089"/>
    <cellStyle name="Calculation 4 3 5 2 2 3" xfId="6090"/>
    <cellStyle name="Calculation 4 3 5 2 2 4" xfId="6091"/>
    <cellStyle name="Calculation 4 3 5 2 2 5" xfId="6092"/>
    <cellStyle name="Calculation 4 3 5 2 2 6" xfId="6093"/>
    <cellStyle name="Calculation 4 3 5 2 2 7" xfId="6094"/>
    <cellStyle name="Calculation 4 3 5 2 3" xfId="6095"/>
    <cellStyle name="Calculation 4 3 5 2 4" xfId="6096"/>
    <cellStyle name="Calculation 4 3 5 2 5" xfId="6097"/>
    <cellStyle name="Calculation 4 3 5 2 6" xfId="6098"/>
    <cellStyle name="Calculation 4 3 5 2 7" xfId="6099"/>
    <cellStyle name="Calculation 4 3 5 2 8" xfId="6100"/>
    <cellStyle name="Calculation 4 3 5 3" xfId="6101"/>
    <cellStyle name="Calculation 4 3 5 3 2" xfId="6102"/>
    <cellStyle name="Calculation 4 3 5 3 2 2" xfId="6103"/>
    <cellStyle name="Calculation 4 3 5 3 2 3" xfId="6104"/>
    <cellStyle name="Calculation 4 3 5 3 2 4" xfId="6105"/>
    <cellStyle name="Calculation 4 3 5 3 2 5" xfId="6106"/>
    <cellStyle name="Calculation 4 3 5 3 2 6" xfId="6107"/>
    <cellStyle name="Calculation 4 3 5 3 2 7" xfId="6108"/>
    <cellStyle name="Calculation 4 3 5 3 3" xfId="6109"/>
    <cellStyle name="Calculation 4 3 5 3 4" xfId="6110"/>
    <cellStyle name="Calculation 4 3 5 3 5" xfId="6111"/>
    <cellStyle name="Calculation 4 3 5 3 6" xfId="6112"/>
    <cellStyle name="Calculation 4 3 5 3 7" xfId="6113"/>
    <cellStyle name="Calculation 4 3 5 3 8" xfId="6114"/>
    <cellStyle name="Calculation 4 3 5 4" xfId="6115"/>
    <cellStyle name="Calculation 4 3 5 4 2" xfId="6116"/>
    <cellStyle name="Calculation 4 3 5 4 2 2" xfId="6117"/>
    <cellStyle name="Calculation 4 3 5 4 2 3" xfId="6118"/>
    <cellStyle name="Calculation 4 3 5 4 2 4" xfId="6119"/>
    <cellStyle name="Calculation 4 3 5 4 2 5" xfId="6120"/>
    <cellStyle name="Calculation 4 3 5 4 2 6" xfId="6121"/>
    <cellStyle name="Calculation 4 3 5 4 2 7" xfId="6122"/>
    <cellStyle name="Calculation 4 3 5 4 3" xfId="6123"/>
    <cellStyle name="Calculation 4 3 5 4 4" xfId="6124"/>
    <cellStyle name="Calculation 4 3 5 4 5" xfId="6125"/>
    <cellStyle name="Calculation 4 3 5 4 6" xfId="6126"/>
    <cellStyle name="Calculation 4 3 5 4 7" xfId="6127"/>
    <cellStyle name="Calculation 4 3 5 4 8" xfId="6128"/>
    <cellStyle name="Calculation 4 3 5 5" xfId="6129"/>
    <cellStyle name="Calculation 4 3 5 5 2" xfId="6130"/>
    <cellStyle name="Calculation 4 3 5 5 3" xfId="6131"/>
    <cellStyle name="Calculation 4 3 5 5 4" xfId="6132"/>
    <cellStyle name="Calculation 4 3 5 5 5" xfId="6133"/>
    <cellStyle name="Calculation 4 3 5 5 6" xfId="6134"/>
    <cellStyle name="Calculation 4 3 5 5 7" xfId="6135"/>
    <cellStyle name="Calculation 4 3 5 6" xfId="6136"/>
    <cellStyle name="Calculation 4 3 5 7" xfId="6137"/>
    <cellStyle name="Calculation 4 3 5 8" xfId="6138"/>
    <cellStyle name="Calculation 4 3 5 9" xfId="6139"/>
    <cellStyle name="Calculation 4 3 6" xfId="6140"/>
    <cellStyle name="Calculation 4 3 6 2" xfId="6141"/>
    <cellStyle name="Calculation 4 3 6 2 2" xfId="6142"/>
    <cellStyle name="Calculation 4 3 6 2 3" xfId="6143"/>
    <cellStyle name="Calculation 4 3 6 2 4" xfId="6144"/>
    <cellStyle name="Calculation 4 3 6 2 5" xfId="6145"/>
    <cellStyle name="Calculation 4 3 6 2 6" xfId="6146"/>
    <cellStyle name="Calculation 4 3 6 2 7" xfId="6147"/>
    <cellStyle name="Calculation 4 3 6 3" xfId="6148"/>
    <cellStyle name="Calculation 4 3 6 4" xfId="6149"/>
    <cellStyle name="Calculation 4 3 6 5" xfId="6150"/>
    <cellStyle name="Calculation 4 3 6 6" xfId="6151"/>
    <cellStyle name="Calculation 4 3 6 7" xfId="6152"/>
    <cellStyle name="Calculation 4 3 6 8" xfId="6153"/>
    <cellStyle name="Calculation 4 3 7" xfId="6154"/>
    <cellStyle name="Calculation 4 3 7 2" xfId="6155"/>
    <cellStyle name="Calculation 4 3 7 2 2" xfId="6156"/>
    <cellStyle name="Calculation 4 3 7 2 3" xfId="6157"/>
    <cellStyle name="Calculation 4 3 7 2 4" xfId="6158"/>
    <cellStyle name="Calculation 4 3 7 2 5" xfId="6159"/>
    <cellStyle name="Calculation 4 3 7 2 6" xfId="6160"/>
    <cellStyle name="Calculation 4 3 7 2 7" xfId="6161"/>
    <cellStyle name="Calculation 4 3 7 3" xfId="6162"/>
    <cellStyle name="Calculation 4 3 7 4" xfId="6163"/>
    <cellStyle name="Calculation 4 3 7 5" xfId="6164"/>
    <cellStyle name="Calculation 4 3 7 6" xfId="6165"/>
    <cellStyle name="Calculation 4 3 7 7" xfId="6166"/>
    <cellStyle name="Calculation 4 3 7 8" xfId="6167"/>
    <cellStyle name="Calculation 4 3 8" xfId="6168"/>
    <cellStyle name="Calculation 4 3 8 2" xfId="6169"/>
    <cellStyle name="Calculation 4 3 8 2 2" xfId="6170"/>
    <cellStyle name="Calculation 4 3 8 2 3" xfId="6171"/>
    <cellStyle name="Calculation 4 3 8 2 4" xfId="6172"/>
    <cellStyle name="Calculation 4 3 8 2 5" xfId="6173"/>
    <cellStyle name="Calculation 4 3 8 2 6" xfId="6174"/>
    <cellStyle name="Calculation 4 3 8 2 7" xfId="6175"/>
    <cellStyle name="Calculation 4 3 8 3" xfId="6176"/>
    <cellStyle name="Calculation 4 3 8 4" xfId="6177"/>
    <cellStyle name="Calculation 4 3 8 5" xfId="6178"/>
    <cellStyle name="Calculation 4 3 8 6" xfId="6179"/>
    <cellStyle name="Calculation 4 3 8 7" xfId="6180"/>
    <cellStyle name="Calculation 4 3 8 8" xfId="6181"/>
    <cellStyle name="Calculation 4 3 9" xfId="6182"/>
    <cellStyle name="Calculation 4 3 9 2" xfId="6183"/>
    <cellStyle name="Calculation 4 3 9 3" xfId="6184"/>
    <cellStyle name="Calculation 4 3 9 4" xfId="6185"/>
    <cellStyle name="Calculation 4 3 9 5" xfId="6186"/>
    <cellStyle name="Calculation 4 3 9 6" xfId="6187"/>
    <cellStyle name="Calculation 4 3 9 7" xfId="6188"/>
    <cellStyle name="Calculation 4 4" xfId="6189"/>
    <cellStyle name="Calculation 4 4 10" xfId="6190"/>
    <cellStyle name="Calculation 4 4 11" xfId="6191"/>
    <cellStyle name="Calculation 4 4 2" xfId="6192"/>
    <cellStyle name="Calculation 4 4 2 2" xfId="6193"/>
    <cellStyle name="Calculation 4 4 2 2 2" xfId="6194"/>
    <cellStyle name="Calculation 4 4 2 2 3" xfId="6195"/>
    <cellStyle name="Calculation 4 4 2 2 4" xfId="6196"/>
    <cellStyle name="Calculation 4 4 2 2 5" xfId="6197"/>
    <cellStyle name="Calculation 4 4 2 2 6" xfId="6198"/>
    <cellStyle name="Calculation 4 4 2 2 7" xfId="6199"/>
    <cellStyle name="Calculation 4 4 2 3" xfId="6200"/>
    <cellStyle name="Calculation 4 4 2 4" xfId="6201"/>
    <cellStyle name="Calculation 4 4 2 5" xfId="6202"/>
    <cellStyle name="Calculation 4 4 2 6" xfId="6203"/>
    <cellStyle name="Calculation 4 4 2 7" xfId="6204"/>
    <cellStyle name="Calculation 4 4 2 8" xfId="6205"/>
    <cellStyle name="Calculation 4 4 3" xfId="6206"/>
    <cellStyle name="Calculation 4 4 3 2" xfId="6207"/>
    <cellStyle name="Calculation 4 4 3 2 2" xfId="6208"/>
    <cellStyle name="Calculation 4 4 3 2 3" xfId="6209"/>
    <cellStyle name="Calculation 4 4 3 2 4" xfId="6210"/>
    <cellStyle name="Calculation 4 4 3 2 5" xfId="6211"/>
    <cellStyle name="Calculation 4 4 3 2 6" xfId="6212"/>
    <cellStyle name="Calculation 4 4 3 2 7" xfId="6213"/>
    <cellStyle name="Calculation 4 4 3 3" xfId="6214"/>
    <cellStyle name="Calculation 4 4 3 4" xfId="6215"/>
    <cellStyle name="Calculation 4 4 3 5" xfId="6216"/>
    <cellStyle name="Calculation 4 4 3 6" xfId="6217"/>
    <cellStyle name="Calculation 4 4 3 7" xfId="6218"/>
    <cellStyle name="Calculation 4 4 3 8" xfId="6219"/>
    <cellStyle name="Calculation 4 4 4" xfId="6220"/>
    <cellStyle name="Calculation 4 4 4 2" xfId="6221"/>
    <cellStyle name="Calculation 4 4 4 2 2" xfId="6222"/>
    <cellStyle name="Calculation 4 4 4 2 3" xfId="6223"/>
    <cellStyle name="Calculation 4 4 4 2 4" xfId="6224"/>
    <cellStyle name="Calculation 4 4 4 2 5" xfId="6225"/>
    <cellStyle name="Calculation 4 4 4 2 6" xfId="6226"/>
    <cellStyle name="Calculation 4 4 4 2 7" xfId="6227"/>
    <cellStyle name="Calculation 4 4 4 3" xfId="6228"/>
    <cellStyle name="Calculation 4 4 4 4" xfId="6229"/>
    <cellStyle name="Calculation 4 4 4 5" xfId="6230"/>
    <cellStyle name="Calculation 4 4 4 6" xfId="6231"/>
    <cellStyle name="Calculation 4 4 4 7" xfId="6232"/>
    <cellStyle name="Calculation 4 4 4 8" xfId="6233"/>
    <cellStyle name="Calculation 4 4 5" xfId="6234"/>
    <cellStyle name="Calculation 4 4 5 2" xfId="6235"/>
    <cellStyle name="Calculation 4 4 5 3" xfId="6236"/>
    <cellStyle name="Calculation 4 4 5 4" xfId="6237"/>
    <cellStyle name="Calculation 4 4 5 5" xfId="6238"/>
    <cellStyle name="Calculation 4 4 5 6" xfId="6239"/>
    <cellStyle name="Calculation 4 4 5 7" xfId="6240"/>
    <cellStyle name="Calculation 4 4 6" xfId="6241"/>
    <cellStyle name="Calculation 4 4 7" xfId="6242"/>
    <cellStyle name="Calculation 4 4 8" xfId="6243"/>
    <cellStyle name="Calculation 4 4 9" xfId="6244"/>
    <cellStyle name="Calculation 4 5" xfId="6245"/>
    <cellStyle name="Calculation 4 5 2" xfId="6246"/>
    <cellStyle name="Calculation 4 5 2 2" xfId="6247"/>
    <cellStyle name="Calculation 4 5 2 3" xfId="6248"/>
    <cellStyle name="Calculation 4 5 2 4" xfId="6249"/>
    <cellStyle name="Calculation 4 5 2 5" xfId="6250"/>
    <cellStyle name="Calculation 4 5 2 6" xfId="6251"/>
    <cellStyle name="Calculation 4 5 2 7" xfId="6252"/>
    <cellStyle name="Calculation 4 5 3" xfId="6253"/>
    <cellStyle name="Calculation 4 5 4" xfId="6254"/>
    <cellStyle name="Calculation 4 5 5" xfId="6255"/>
    <cellStyle name="Calculation 4 5 6" xfId="6256"/>
    <cellStyle name="Calculation 4 5 7" xfId="6257"/>
    <cellStyle name="Calculation 4 5 8" xfId="6258"/>
    <cellStyle name="Calculation 4 6" xfId="6259"/>
    <cellStyle name="Calculation 4 6 2" xfId="6260"/>
    <cellStyle name="Calculation 4 6 2 2" xfId="6261"/>
    <cellStyle name="Calculation 4 6 2 3" xfId="6262"/>
    <cellStyle name="Calculation 4 6 2 4" xfId="6263"/>
    <cellStyle name="Calculation 4 6 2 5" xfId="6264"/>
    <cellStyle name="Calculation 4 6 2 6" xfId="6265"/>
    <cellStyle name="Calculation 4 6 2 7" xfId="6266"/>
    <cellStyle name="Calculation 4 6 3" xfId="6267"/>
    <cellStyle name="Calculation 4 6 4" xfId="6268"/>
    <cellStyle name="Calculation 4 6 5" xfId="6269"/>
    <cellStyle name="Calculation 4 6 6" xfId="6270"/>
    <cellStyle name="Calculation 4 6 7" xfId="6271"/>
    <cellStyle name="Calculation 4 6 8" xfId="6272"/>
    <cellStyle name="Calculation 4 7" xfId="6273"/>
    <cellStyle name="Calculation 4 7 2" xfId="6274"/>
    <cellStyle name="Calculation 4 7 2 2" xfId="6275"/>
    <cellStyle name="Calculation 4 7 2 3" xfId="6276"/>
    <cellStyle name="Calculation 4 7 2 4" xfId="6277"/>
    <cellStyle name="Calculation 4 7 2 5" xfId="6278"/>
    <cellStyle name="Calculation 4 7 2 6" xfId="6279"/>
    <cellStyle name="Calculation 4 7 2 7" xfId="6280"/>
    <cellStyle name="Calculation 4 7 3" xfId="6281"/>
    <cellStyle name="Calculation 4 7 4" xfId="6282"/>
    <cellStyle name="Calculation 4 7 5" xfId="6283"/>
    <cellStyle name="Calculation 4 7 6" xfId="6284"/>
    <cellStyle name="Calculation 4 7 7" xfId="6285"/>
    <cellStyle name="Calculation 4 7 8" xfId="6286"/>
    <cellStyle name="Calculation 4 8" xfId="6287"/>
    <cellStyle name="Calculation 4 8 2" xfId="6288"/>
    <cellStyle name="Calculation 4 8 3" xfId="6289"/>
    <cellStyle name="Calculation 4 8 4" xfId="6290"/>
    <cellStyle name="Calculation 4 8 5" xfId="6291"/>
    <cellStyle name="Calculation 4 8 6" xfId="6292"/>
    <cellStyle name="Calculation 4 8 7" xfId="6293"/>
    <cellStyle name="Calculation 4 9" xfId="6294"/>
    <cellStyle name="Check Cell 2" xfId="141"/>
    <cellStyle name="Check Cell 2 2" xfId="553"/>
    <cellStyle name="Check Cell 2 2 2" xfId="6295"/>
    <cellStyle name="Check Cell 2 3" xfId="554"/>
    <cellStyle name="Check Cell 2 4" xfId="1344"/>
    <cellStyle name="Check Cell 2 4 2" xfId="6296"/>
    <cellStyle name="Check Cell 3" xfId="142"/>
    <cellStyle name="Check Cell 4" xfId="555"/>
    <cellStyle name="Check Cell 4 2" xfId="6297"/>
    <cellStyle name="Color" xfId="556"/>
    <cellStyle name="combo" xfId="143"/>
    <cellStyle name="Comma" xfId="1" builtinId="3"/>
    <cellStyle name="Comma 10" xfId="144"/>
    <cellStyle name="Comma 10 2" xfId="557"/>
    <cellStyle name="Comma 11" xfId="145"/>
    <cellStyle name="Comma 11 2" xfId="558"/>
    <cellStyle name="Comma 11 2 2" xfId="559"/>
    <cellStyle name="Comma 11 2 2 2" xfId="560"/>
    <cellStyle name="Comma 11 2 2 2 2" xfId="6298"/>
    <cellStyle name="Comma 11 2 2 2 2 2" xfId="6299"/>
    <cellStyle name="Comma 11 2 2 2 2 2 2" xfId="6300"/>
    <cellStyle name="Comma 11 2 2 2 2 2 3" xfId="6301"/>
    <cellStyle name="Comma 11 2 2 2 2 3" xfId="6302"/>
    <cellStyle name="Comma 11 2 2 2 2 3 2" xfId="6303"/>
    <cellStyle name="Comma 11 2 2 2 2 3 3" xfId="6304"/>
    <cellStyle name="Comma 11 2 2 2 2 4" xfId="6305"/>
    <cellStyle name="Comma 11 2 2 2 2 5" xfId="6306"/>
    <cellStyle name="Comma 11 2 2 2 3" xfId="6307"/>
    <cellStyle name="Comma 11 2 2 2 3 2" xfId="6308"/>
    <cellStyle name="Comma 11 2 2 2 3 3" xfId="6309"/>
    <cellStyle name="Comma 11 2 2 2 4" xfId="6310"/>
    <cellStyle name="Comma 11 2 2 2 4 2" xfId="6311"/>
    <cellStyle name="Comma 11 2 2 2 4 3" xfId="6312"/>
    <cellStyle name="Comma 11 2 2 2 5" xfId="6313"/>
    <cellStyle name="Comma 11 2 2 2 6" xfId="6314"/>
    <cellStyle name="Comma 11 2 2 3" xfId="6315"/>
    <cellStyle name="Comma 11 2 2 3 2" xfId="6316"/>
    <cellStyle name="Comma 11 2 2 3 2 2" xfId="6317"/>
    <cellStyle name="Comma 11 2 2 3 2 3" xfId="6318"/>
    <cellStyle name="Comma 11 2 2 3 3" xfId="6319"/>
    <cellStyle name="Comma 11 2 2 3 3 2" xfId="6320"/>
    <cellStyle name="Comma 11 2 2 3 3 3" xfId="6321"/>
    <cellStyle name="Comma 11 2 2 3 4" xfId="6322"/>
    <cellStyle name="Comma 11 2 2 3 5" xfId="6323"/>
    <cellStyle name="Comma 11 2 2 4" xfId="6324"/>
    <cellStyle name="Comma 11 2 2 4 2" xfId="6325"/>
    <cellStyle name="Comma 11 2 2 4 3" xfId="6326"/>
    <cellStyle name="Comma 11 2 2 5" xfId="6327"/>
    <cellStyle name="Comma 11 2 2 5 2" xfId="6328"/>
    <cellStyle name="Comma 11 2 2 5 3" xfId="6329"/>
    <cellStyle name="Comma 11 2 2 6" xfId="6330"/>
    <cellStyle name="Comma 11 2 2 7" xfId="6331"/>
    <cellStyle name="Comma 11 2 3" xfId="561"/>
    <cellStyle name="Comma 11 2 3 2" xfId="6332"/>
    <cellStyle name="Comma 11 2 3 2 2" xfId="6333"/>
    <cellStyle name="Comma 11 2 3 2 2 2" xfId="6334"/>
    <cellStyle name="Comma 11 2 3 2 2 3" xfId="6335"/>
    <cellStyle name="Comma 11 2 3 2 3" xfId="6336"/>
    <cellStyle name="Comma 11 2 3 2 3 2" xfId="6337"/>
    <cellStyle name="Comma 11 2 3 2 3 3" xfId="6338"/>
    <cellStyle name="Comma 11 2 3 2 4" xfId="6339"/>
    <cellStyle name="Comma 11 2 3 2 5" xfId="6340"/>
    <cellStyle name="Comma 11 2 3 3" xfId="6341"/>
    <cellStyle name="Comma 11 2 3 3 2" xfId="6342"/>
    <cellStyle name="Comma 11 2 3 3 3" xfId="6343"/>
    <cellStyle name="Comma 11 2 3 4" xfId="6344"/>
    <cellStyle name="Comma 11 2 3 4 2" xfId="6345"/>
    <cellStyle name="Comma 11 2 3 4 3" xfId="6346"/>
    <cellStyle name="Comma 11 2 3 5" xfId="6347"/>
    <cellStyle name="Comma 11 2 3 6" xfId="6348"/>
    <cellStyle name="Comma 11 2 4" xfId="6349"/>
    <cellStyle name="Comma 11 2 4 2" xfId="6350"/>
    <cellStyle name="Comma 11 2 4 2 2" xfId="6351"/>
    <cellStyle name="Comma 11 2 4 2 3" xfId="6352"/>
    <cellStyle name="Comma 11 2 4 3" xfId="6353"/>
    <cellStyle name="Comma 11 2 4 3 2" xfId="6354"/>
    <cellStyle name="Comma 11 2 4 3 3" xfId="6355"/>
    <cellStyle name="Comma 11 2 4 4" xfId="6356"/>
    <cellStyle name="Comma 11 2 4 5" xfId="6357"/>
    <cellStyle name="Comma 11 2 5" xfId="6358"/>
    <cellStyle name="Comma 11 2 5 2" xfId="6359"/>
    <cellStyle name="Comma 11 2 5 3" xfId="6360"/>
    <cellStyle name="Comma 11 2 6" xfId="6361"/>
    <cellStyle name="Comma 11 2 6 2" xfId="6362"/>
    <cellStyle name="Comma 11 2 6 3" xfId="6363"/>
    <cellStyle name="Comma 11 2 7" xfId="6364"/>
    <cellStyle name="Comma 11 2 8" xfId="6365"/>
    <cellStyle name="Comma 11 3" xfId="562"/>
    <cellStyle name="Comma 11 3 2" xfId="563"/>
    <cellStyle name="Comma 11 3 2 2" xfId="6366"/>
    <cellStyle name="Comma 11 3 2 2 2" xfId="6367"/>
    <cellStyle name="Comma 11 3 2 2 2 2" xfId="6368"/>
    <cellStyle name="Comma 11 3 2 2 2 3" xfId="6369"/>
    <cellStyle name="Comma 11 3 2 2 3" xfId="6370"/>
    <cellStyle name="Comma 11 3 2 2 3 2" xfId="6371"/>
    <cellStyle name="Comma 11 3 2 2 3 3" xfId="6372"/>
    <cellStyle name="Comma 11 3 2 2 4" xfId="6373"/>
    <cellStyle name="Comma 11 3 2 2 5" xfId="6374"/>
    <cellStyle name="Comma 11 3 2 3" xfId="6375"/>
    <cellStyle name="Comma 11 3 2 3 2" xfId="6376"/>
    <cellStyle name="Comma 11 3 2 3 3" xfId="6377"/>
    <cellStyle name="Comma 11 3 2 4" xfId="6378"/>
    <cellStyle name="Comma 11 3 2 4 2" xfId="6379"/>
    <cellStyle name="Comma 11 3 2 4 3" xfId="6380"/>
    <cellStyle name="Comma 11 3 2 5" xfId="6381"/>
    <cellStyle name="Comma 11 3 2 6" xfId="6382"/>
    <cellStyle name="Comma 11 3 3" xfId="6383"/>
    <cellStyle name="Comma 11 3 3 2" xfId="6384"/>
    <cellStyle name="Comma 11 3 3 2 2" xfId="6385"/>
    <cellStyle name="Comma 11 3 3 2 3" xfId="6386"/>
    <cellStyle name="Comma 11 3 3 3" xfId="6387"/>
    <cellStyle name="Comma 11 3 3 3 2" xfId="6388"/>
    <cellStyle name="Comma 11 3 3 3 3" xfId="6389"/>
    <cellStyle name="Comma 11 3 3 4" xfId="6390"/>
    <cellStyle name="Comma 11 3 3 5" xfId="6391"/>
    <cellStyle name="Comma 11 3 4" xfId="6392"/>
    <cellStyle name="Comma 11 3 4 2" xfId="6393"/>
    <cellStyle name="Comma 11 3 4 3" xfId="6394"/>
    <cellStyle name="Comma 11 3 5" xfId="6395"/>
    <cellStyle name="Comma 11 3 5 2" xfId="6396"/>
    <cellStyle name="Comma 11 3 5 3" xfId="6397"/>
    <cellStyle name="Comma 11 3 6" xfId="6398"/>
    <cellStyle name="Comma 11 3 7" xfId="6399"/>
    <cellStyle name="Comma 11 4" xfId="564"/>
    <cellStyle name="Comma 11 4 2" xfId="6400"/>
    <cellStyle name="Comma 11 4 2 2" xfId="6401"/>
    <cellStyle name="Comma 11 4 2 2 2" xfId="6402"/>
    <cellStyle name="Comma 11 4 2 2 3" xfId="6403"/>
    <cellStyle name="Comma 11 4 2 3" xfId="6404"/>
    <cellStyle name="Comma 11 4 2 3 2" xfId="6405"/>
    <cellStyle name="Comma 11 4 2 3 3" xfId="6406"/>
    <cellStyle name="Comma 11 4 2 4" xfId="6407"/>
    <cellStyle name="Comma 11 4 2 5" xfId="6408"/>
    <cellStyle name="Comma 11 4 3" xfId="6409"/>
    <cellStyle name="Comma 11 4 3 2" xfId="6410"/>
    <cellStyle name="Comma 11 4 3 3" xfId="6411"/>
    <cellStyle name="Comma 11 4 4" xfId="6412"/>
    <cellStyle name="Comma 11 4 4 2" xfId="6413"/>
    <cellStyle name="Comma 11 4 4 3" xfId="6414"/>
    <cellStyle name="Comma 11 4 5" xfId="6415"/>
    <cellStyle name="Comma 11 4 6" xfId="6416"/>
    <cellStyle name="Comma 11 5" xfId="6417"/>
    <cellStyle name="Comma 11 5 2" xfId="6418"/>
    <cellStyle name="Comma 11 5 2 2" xfId="6419"/>
    <cellStyle name="Comma 11 5 2 3" xfId="6420"/>
    <cellStyle name="Comma 11 5 3" xfId="6421"/>
    <cellStyle name="Comma 11 5 3 2" xfId="6422"/>
    <cellStyle name="Comma 11 5 3 3" xfId="6423"/>
    <cellStyle name="Comma 11 5 4" xfId="6424"/>
    <cellStyle name="Comma 11 5 5" xfId="6425"/>
    <cellStyle name="Comma 11 6" xfId="6426"/>
    <cellStyle name="Comma 11 6 2" xfId="6427"/>
    <cellStyle name="Comma 11 6 3" xfId="6428"/>
    <cellStyle name="Comma 11 7" xfId="6429"/>
    <cellStyle name="Comma 11 7 2" xfId="6430"/>
    <cellStyle name="Comma 11 7 3" xfId="6431"/>
    <cellStyle name="Comma 11 8" xfId="6432"/>
    <cellStyle name="Comma 11 9" xfId="6433"/>
    <cellStyle name="Comma 12" xfId="146"/>
    <cellStyle name="Comma 12 2" xfId="147"/>
    <cellStyle name="Comma 12 2 2" xfId="565"/>
    <cellStyle name="Comma 12 2 2 2" xfId="6434"/>
    <cellStyle name="Comma 12 2 2 2 2" xfId="6435"/>
    <cellStyle name="Comma 12 2 2 2 2 2" xfId="6436"/>
    <cellStyle name="Comma 12 2 2 2 2 3" xfId="6437"/>
    <cellStyle name="Comma 12 2 2 2 3" xfId="6438"/>
    <cellStyle name="Comma 12 2 2 2 3 2" xfId="6439"/>
    <cellStyle name="Comma 12 2 2 2 3 3" xfId="6440"/>
    <cellStyle name="Comma 12 2 2 2 4" xfId="6441"/>
    <cellStyle name="Comma 12 2 2 2 5" xfId="6442"/>
    <cellStyle name="Comma 12 2 2 3" xfId="6443"/>
    <cellStyle name="Comma 12 2 2 3 2" xfId="6444"/>
    <cellStyle name="Comma 12 2 2 3 3" xfId="6445"/>
    <cellStyle name="Comma 12 2 2 4" xfId="6446"/>
    <cellStyle name="Comma 12 2 2 4 2" xfId="6447"/>
    <cellStyle name="Comma 12 2 2 4 3" xfId="6448"/>
    <cellStyle name="Comma 12 2 2 5" xfId="6449"/>
    <cellStyle name="Comma 12 2 2 6" xfId="6450"/>
    <cellStyle name="Comma 12 2 3" xfId="6451"/>
    <cellStyle name="Comma 12 2 3 2" xfId="6452"/>
    <cellStyle name="Comma 12 2 3 2 2" xfId="6453"/>
    <cellStyle name="Comma 12 2 3 2 3" xfId="6454"/>
    <cellStyle name="Comma 12 2 3 3" xfId="6455"/>
    <cellStyle name="Comma 12 2 3 3 2" xfId="6456"/>
    <cellStyle name="Comma 12 2 3 3 3" xfId="6457"/>
    <cellStyle name="Comma 12 2 3 4" xfId="6458"/>
    <cellStyle name="Comma 12 2 3 5" xfId="6459"/>
    <cellStyle name="Comma 12 2 4" xfId="6460"/>
    <cellStyle name="Comma 12 2 4 2" xfId="6461"/>
    <cellStyle name="Comma 12 2 4 3" xfId="6462"/>
    <cellStyle name="Comma 12 2 5" xfId="6463"/>
    <cellStyle name="Comma 12 2 5 2" xfId="6464"/>
    <cellStyle name="Comma 12 2 5 3" xfId="6465"/>
    <cellStyle name="Comma 12 2 6" xfId="6466"/>
    <cellStyle name="Comma 12 2 7" xfId="6467"/>
    <cellStyle name="Comma 12 3" xfId="148"/>
    <cellStyle name="Comma 12 4" xfId="566"/>
    <cellStyle name="Comma 12 5" xfId="567"/>
    <cellStyle name="Comma 12 6" xfId="6468"/>
    <cellStyle name="Comma 13" xfId="149"/>
    <cellStyle name="Comma 13 2" xfId="429"/>
    <cellStyle name="Comma 13 2 2" xfId="6469"/>
    <cellStyle name="Comma 13 2 2 2" xfId="6470"/>
    <cellStyle name="Comma 13 2 2 2 2" xfId="6471"/>
    <cellStyle name="Comma 13 2 2 2 2 2" xfId="6472"/>
    <cellStyle name="Comma 13 2 2 2 2 3" xfId="6473"/>
    <cellStyle name="Comma 13 2 2 2 3" xfId="6474"/>
    <cellStyle name="Comma 13 2 2 2 3 2" xfId="6475"/>
    <cellStyle name="Comma 13 2 2 2 3 3" xfId="6476"/>
    <cellStyle name="Comma 13 2 2 2 4" xfId="6477"/>
    <cellStyle name="Comma 13 2 2 2 5" xfId="6478"/>
    <cellStyle name="Comma 13 2 2 3" xfId="6479"/>
    <cellStyle name="Comma 13 2 2 3 2" xfId="6480"/>
    <cellStyle name="Comma 13 2 2 3 3" xfId="6481"/>
    <cellStyle name="Comma 13 2 2 4" xfId="6482"/>
    <cellStyle name="Comma 13 2 2 4 2" xfId="6483"/>
    <cellStyle name="Comma 13 2 2 4 3" xfId="6484"/>
    <cellStyle name="Comma 13 2 2 5" xfId="6485"/>
    <cellStyle name="Comma 13 2 2 6" xfId="6486"/>
    <cellStyle name="Comma 13 2 3" xfId="6487"/>
    <cellStyle name="Comma 13 2 3 2" xfId="6488"/>
    <cellStyle name="Comma 13 2 3 2 2" xfId="6489"/>
    <cellStyle name="Comma 13 2 3 2 3" xfId="6490"/>
    <cellStyle name="Comma 13 2 3 3" xfId="6491"/>
    <cellStyle name="Comma 13 2 3 3 2" xfId="6492"/>
    <cellStyle name="Comma 13 2 3 3 3" xfId="6493"/>
    <cellStyle name="Comma 13 2 3 4" xfId="6494"/>
    <cellStyle name="Comma 13 2 3 5" xfId="6495"/>
    <cellStyle name="Comma 13 2 4" xfId="6496"/>
    <cellStyle name="Comma 13 2 4 2" xfId="6497"/>
    <cellStyle name="Comma 13 2 4 3" xfId="6498"/>
    <cellStyle name="Comma 13 2 5" xfId="6499"/>
    <cellStyle name="Comma 13 2 5 2" xfId="6500"/>
    <cellStyle name="Comma 13 2 5 3" xfId="6501"/>
    <cellStyle name="Comma 13 2 6" xfId="6502"/>
    <cellStyle name="Comma 13 2 7" xfId="6503"/>
    <cellStyle name="Comma 13 3" xfId="568"/>
    <cellStyle name="Comma 13 3 2" xfId="6504"/>
    <cellStyle name="Comma 13 3 2 2" xfId="6505"/>
    <cellStyle name="Comma 13 3 2 2 2" xfId="6506"/>
    <cellStyle name="Comma 13 3 2 2 3" xfId="6507"/>
    <cellStyle name="Comma 13 3 2 3" xfId="6508"/>
    <cellStyle name="Comma 13 3 2 3 2" xfId="6509"/>
    <cellStyle name="Comma 13 3 2 3 3" xfId="6510"/>
    <cellStyle name="Comma 13 3 2 4" xfId="6511"/>
    <cellStyle name="Comma 13 3 2 5" xfId="6512"/>
    <cellStyle name="Comma 13 3 3" xfId="6513"/>
    <cellStyle name="Comma 13 3 3 2" xfId="6514"/>
    <cellStyle name="Comma 13 3 3 3" xfId="6515"/>
    <cellStyle name="Comma 13 3 4" xfId="6516"/>
    <cellStyle name="Comma 13 3 4 2" xfId="6517"/>
    <cellStyle name="Comma 13 3 4 3" xfId="6518"/>
    <cellStyle name="Comma 13 3 5" xfId="6519"/>
    <cellStyle name="Comma 13 3 6" xfId="6520"/>
    <cellStyle name="Comma 13 4" xfId="6521"/>
    <cellStyle name="Comma 13 4 2" xfId="6522"/>
    <cellStyle name="Comma 13 4 2 2" xfId="6523"/>
    <cellStyle name="Comma 13 4 2 3" xfId="6524"/>
    <cellStyle name="Comma 13 4 3" xfId="6525"/>
    <cellStyle name="Comma 13 4 3 2" xfId="6526"/>
    <cellStyle name="Comma 13 4 3 3" xfId="6527"/>
    <cellStyle name="Comma 13 4 4" xfId="6528"/>
    <cellStyle name="Comma 13 4 5" xfId="6529"/>
    <cellStyle name="Comma 13 5" xfId="6530"/>
    <cellStyle name="Comma 13 5 2" xfId="6531"/>
    <cellStyle name="Comma 13 5 3" xfId="6532"/>
    <cellStyle name="Comma 13 6" xfId="6533"/>
    <cellStyle name="Comma 13 6 2" xfId="6534"/>
    <cellStyle name="Comma 13 6 3" xfId="6535"/>
    <cellStyle name="Comma 13 7" xfId="6536"/>
    <cellStyle name="Comma 13 8" xfId="6537"/>
    <cellStyle name="Comma 14" xfId="150"/>
    <cellStyle name="Comma 14 2" xfId="430"/>
    <cellStyle name="Comma 15" xfId="151"/>
    <cellStyle name="Comma 15 2" xfId="431"/>
    <cellStyle name="Comma 15 2 2" xfId="6538"/>
    <cellStyle name="Comma 15 3" xfId="569"/>
    <cellStyle name="Comma 15 4" xfId="6539"/>
    <cellStyle name="Comma 16" xfId="152"/>
    <cellStyle name="Comma 16 2" xfId="570"/>
    <cellStyle name="Comma 16 2 2" xfId="6540"/>
    <cellStyle name="Comma 16 2 2 2" xfId="6541"/>
    <cellStyle name="Comma 16 2 2 3" xfId="6542"/>
    <cellStyle name="Comma 16 2 3" xfId="6543"/>
    <cellStyle name="Comma 16 2 3 2" xfId="6544"/>
    <cellStyle name="Comma 16 2 3 3" xfId="6545"/>
    <cellStyle name="Comma 16 2 4" xfId="6546"/>
    <cellStyle name="Comma 16 2 5" xfId="6547"/>
    <cellStyle name="Comma 16 3" xfId="571"/>
    <cellStyle name="Comma 16 3 2" xfId="6548"/>
    <cellStyle name="Comma 16 3 3" xfId="6549"/>
    <cellStyle name="Comma 16 4" xfId="6550"/>
    <cellStyle name="Comma 16 4 2" xfId="6551"/>
    <cellStyle name="Comma 16 4 3" xfId="6552"/>
    <cellStyle name="Comma 16 5" xfId="6553"/>
    <cellStyle name="Comma 16 6" xfId="6554"/>
    <cellStyle name="Comma 17" xfId="153"/>
    <cellStyle name="Comma 17 2" xfId="572"/>
    <cellStyle name="Comma 17 2 2" xfId="573"/>
    <cellStyle name="Comma 17 3" xfId="574"/>
    <cellStyle name="Comma 17 3 2" xfId="6555"/>
    <cellStyle name="Comma 17 4" xfId="575"/>
    <cellStyle name="Comma 17 5" xfId="6556"/>
    <cellStyle name="Comma 18" xfId="154"/>
    <cellStyle name="Comma 18 2" xfId="155"/>
    <cellStyle name="Comma 18 2 2" xfId="1345"/>
    <cellStyle name="Comma 18 3" xfId="576"/>
    <cellStyle name="Comma 18 4" xfId="577"/>
    <cellStyle name="Comma 18 5" xfId="6557"/>
    <cellStyle name="Comma 19" xfId="156"/>
    <cellStyle name="Comma 19 2" xfId="1346"/>
    <cellStyle name="Comma 19 2 2" xfId="6558"/>
    <cellStyle name="Comma 19 3" xfId="1347"/>
    <cellStyle name="Comma 19 4" xfId="1348"/>
    <cellStyle name="Comma 19 5" xfId="6559"/>
    <cellStyle name="Comma 19 6" xfId="21499"/>
    <cellStyle name="Comma 2" xfId="4"/>
    <cellStyle name="Comma 2 2" xfId="157"/>
    <cellStyle name="Comma 2 2 2" xfId="158"/>
    <cellStyle name="Comma 2 2 2 2" xfId="578"/>
    <cellStyle name="Comma 2 2 2 2 2" xfId="579"/>
    <cellStyle name="Comma 2 2 2 2 2 2" xfId="6560"/>
    <cellStyle name="Comma 2 2 2 2 3" xfId="6561"/>
    <cellStyle name="Comma 2 2 2 2 4" xfId="6562"/>
    <cellStyle name="Comma 2 2 2 3" xfId="6563"/>
    <cellStyle name="Comma 2 2 2 4" xfId="6564"/>
    <cellStyle name="Comma 2 2 3" xfId="580"/>
    <cellStyle name="Comma 2 2 3 2" xfId="6565"/>
    <cellStyle name="Comma 2 2 3 3" xfId="6566"/>
    <cellStyle name="Comma 2 2 4" xfId="6567"/>
    <cellStyle name="Comma 2 2 4 2" xfId="6568"/>
    <cellStyle name="Comma 2 2 4 3" xfId="6569"/>
    <cellStyle name="Comma 2 3" xfId="159"/>
    <cellStyle name="Comma 2 3 2" xfId="432"/>
    <cellStyle name="Comma 2 3 2 2" xfId="6570"/>
    <cellStyle name="Comma 2 3 3" xfId="6571"/>
    <cellStyle name="Comma 2 4" xfId="160"/>
    <cellStyle name="Comma 2 4 2" xfId="581"/>
    <cellStyle name="Comma 2 4 2 2" xfId="582"/>
    <cellStyle name="Comma 2 4 2 2 2" xfId="21500"/>
    <cellStyle name="Comma 2 4 2 3" xfId="6572"/>
    <cellStyle name="Comma 2 4 3" xfId="583"/>
    <cellStyle name="Comma 2 4 4" xfId="584"/>
    <cellStyle name="Comma 2 4 5" xfId="6573"/>
    <cellStyle name="Comma 2 4 6" xfId="6574"/>
    <cellStyle name="Comma 2 5" xfId="585"/>
    <cellStyle name="Comma 2 5 2" xfId="586"/>
    <cellStyle name="Comma 2 5 3" xfId="6575"/>
    <cellStyle name="Comma 2 6" xfId="161"/>
    <cellStyle name="Comma 2 6 2" xfId="162"/>
    <cellStyle name="Comma 2 6 2 2" xfId="587"/>
    <cellStyle name="Comma 2 6 3" xfId="588"/>
    <cellStyle name="Comma 2 6 3 2" xfId="6576"/>
    <cellStyle name="Comma 2 6 3 3" xfId="21501"/>
    <cellStyle name="Comma 2 6 4" xfId="589"/>
    <cellStyle name="Comma 2 6 5" xfId="21502"/>
    <cellStyle name="Comma 2 7" xfId="590"/>
    <cellStyle name="Comma 2 7 2" xfId="591"/>
    <cellStyle name="Comma 2 7 3" xfId="6577"/>
    <cellStyle name="Comma 2 7 4" xfId="6578"/>
    <cellStyle name="Comma 2 7 5" xfId="6579"/>
    <cellStyle name="Comma 2 8" xfId="444"/>
    <cellStyle name="Comma 2 8 2" xfId="6580"/>
    <cellStyle name="Comma 2 9" xfId="592"/>
    <cellStyle name="Comma 2 9 2" xfId="6581"/>
    <cellStyle name="Comma 20" xfId="163"/>
    <cellStyle name="Comma 20 2" xfId="593"/>
    <cellStyle name="Comma 20 2 2" xfId="6582"/>
    <cellStyle name="Comma 20 3" xfId="6583"/>
    <cellStyle name="Comma 20 4" xfId="6584"/>
    <cellStyle name="Comma 21" xfId="445"/>
    <cellStyle name="Comma 21 2" xfId="594"/>
    <cellStyle name="Comma 21 3" xfId="6585"/>
    <cellStyle name="Comma 21 3 2" xfId="6586"/>
    <cellStyle name="Comma 21 4" xfId="6587"/>
    <cellStyle name="Comma 22" xfId="595"/>
    <cellStyle name="Comma 22 2" xfId="6588"/>
    <cellStyle name="Comma 23" xfId="596"/>
    <cellStyle name="Comma 24" xfId="597"/>
    <cellStyle name="Comma 24 2" xfId="6589"/>
    <cellStyle name="Comma 25" xfId="1349"/>
    <cellStyle name="Comma 25 2" xfId="598"/>
    <cellStyle name="Comma 25 2 2" xfId="6590"/>
    <cellStyle name="Comma 26" xfId="1350"/>
    <cellStyle name="Comma 27" xfId="1351"/>
    <cellStyle name="Comma 28" xfId="1352"/>
    <cellStyle name="Comma 29" xfId="2336"/>
    <cellStyle name="Comma 29 2" xfId="6591"/>
    <cellStyle name="Comma 3" xfId="10"/>
    <cellStyle name="Comma 3 2" xfId="11"/>
    <cellStyle name="Comma 3 2 2" xfId="164"/>
    <cellStyle name="Comma 3 3" xfId="165"/>
    <cellStyle name="Comma 3 4" xfId="166"/>
    <cellStyle name="Comma 3 5" xfId="21503"/>
    <cellStyle name="Comma 3_2186" xfId="6592"/>
    <cellStyle name="Comma 30" xfId="6593"/>
    <cellStyle name="Comma 31" xfId="6594"/>
    <cellStyle name="Comma 32" xfId="6595"/>
    <cellStyle name="Comma 4" xfId="12"/>
    <cellStyle name="Comma 4 10" xfId="1353"/>
    <cellStyle name="Comma 4 11" xfId="1354"/>
    <cellStyle name="Comma 4 12" xfId="1355"/>
    <cellStyle name="Comma 4 13" xfId="6596"/>
    <cellStyle name="Comma 4 2" xfId="13"/>
    <cellStyle name="Comma 4 2 10" xfId="6597"/>
    <cellStyle name="Comma 4 2 2" xfId="167"/>
    <cellStyle name="Comma 4 2 2 10" xfId="21504"/>
    <cellStyle name="Comma 4 2 2 2" xfId="599"/>
    <cellStyle name="Comma 4 2 2 2 2" xfId="600"/>
    <cellStyle name="Comma 4 2 2 2 2 2" xfId="6598"/>
    <cellStyle name="Comma 4 2 2 2 2 2 2" xfId="6599"/>
    <cellStyle name="Comma 4 2 2 2 2 2 2 2" xfId="6600"/>
    <cellStyle name="Comma 4 2 2 2 2 2 2 3" xfId="6601"/>
    <cellStyle name="Comma 4 2 2 2 2 2 3" xfId="6602"/>
    <cellStyle name="Comma 4 2 2 2 2 2 3 2" xfId="6603"/>
    <cellStyle name="Comma 4 2 2 2 2 2 3 3" xfId="6604"/>
    <cellStyle name="Comma 4 2 2 2 2 2 4" xfId="6605"/>
    <cellStyle name="Comma 4 2 2 2 2 2 5" xfId="6606"/>
    <cellStyle name="Comma 4 2 2 2 2 3" xfId="6607"/>
    <cellStyle name="Comma 4 2 2 2 2 3 2" xfId="6608"/>
    <cellStyle name="Comma 4 2 2 2 2 3 3" xfId="6609"/>
    <cellStyle name="Comma 4 2 2 2 2 4" xfId="6610"/>
    <cellStyle name="Comma 4 2 2 2 2 4 2" xfId="6611"/>
    <cellStyle name="Comma 4 2 2 2 2 4 3" xfId="6612"/>
    <cellStyle name="Comma 4 2 2 2 2 5" xfId="6613"/>
    <cellStyle name="Comma 4 2 2 2 2 6" xfId="6614"/>
    <cellStyle name="Comma 4 2 2 2 3" xfId="6615"/>
    <cellStyle name="Comma 4 2 2 2 3 2" xfId="6616"/>
    <cellStyle name="Comma 4 2 2 2 3 2 2" xfId="6617"/>
    <cellStyle name="Comma 4 2 2 2 3 2 3" xfId="6618"/>
    <cellStyle name="Comma 4 2 2 2 3 3" xfId="6619"/>
    <cellStyle name="Comma 4 2 2 2 3 3 2" xfId="6620"/>
    <cellStyle name="Comma 4 2 2 2 3 3 3" xfId="6621"/>
    <cellStyle name="Comma 4 2 2 2 3 4" xfId="6622"/>
    <cellStyle name="Comma 4 2 2 2 3 5" xfId="6623"/>
    <cellStyle name="Comma 4 2 2 2 4" xfId="6624"/>
    <cellStyle name="Comma 4 2 2 2 4 2" xfId="6625"/>
    <cellStyle name="Comma 4 2 2 2 4 3" xfId="6626"/>
    <cellStyle name="Comma 4 2 2 2 5" xfId="6627"/>
    <cellStyle name="Comma 4 2 2 2 5 2" xfId="6628"/>
    <cellStyle name="Comma 4 2 2 2 5 3" xfId="6629"/>
    <cellStyle name="Comma 4 2 2 2 6" xfId="6630"/>
    <cellStyle name="Comma 4 2 2 2 7" xfId="6631"/>
    <cellStyle name="Comma 4 2 2 2 8" xfId="6632"/>
    <cellStyle name="Comma 4 2 2 3" xfId="601"/>
    <cellStyle name="Comma 4 2 2 3 2" xfId="602"/>
    <cellStyle name="Comma 4 2 2 3 2 2" xfId="6633"/>
    <cellStyle name="Comma 4 2 2 3 2 2 2" xfId="6634"/>
    <cellStyle name="Comma 4 2 2 3 2 2 2 2" xfId="6635"/>
    <cellStyle name="Comma 4 2 2 3 2 2 2 3" xfId="6636"/>
    <cellStyle name="Comma 4 2 2 3 2 2 3" xfId="6637"/>
    <cellStyle name="Comma 4 2 2 3 2 2 3 2" xfId="6638"/>
    <cellStyle name="Comma 4 2 2 3 2 2 3 3" xfId="6639"/>
    <cellStyle name="Comma 4 2 2 3 2 2 4" xfId="6640"/>
    <cellStyle name="Comma 4 2 2 3 2 2 5" xfId="6641"/>
    <cellStyle name="Comma 4 2 2 3 2 3" xfId="6642"/>
    <cellStyle name="Comma 4 2 2 3 2 3 2" xfId="6643"/>
    <cellStyle name="Comma 4 2 2 3 2 3 3" xfId="6644"/>
    <cellStyle name="Comma 4 2 2 3 2 4" xfId="6645"/>
    <cellStyle name="Comma 4 2 2 3 2 4 2" xfId="6646"/>
    <cellStyle name="Comma 4 2 2 3 2 4 3" xfId="6647"/>
    <cellStyle name="Comma 4 2 2 3 2 5" xfId="6648"/>
    <cellStyle name="Comma 4 2 2 3 2 6" xfId="6649"/>
    <cellStyle name="Comma 4 2 2 3 3" xfId="6650"/>
    <cellStyle name="Comma 4 2 2 3 3 2" xfId="6651"/>
    <cellStyle name="Comma 4 2 2 3 3 2 2" xfId="6652"/>
    <cellStyle name="Comma 4 2 2 3 3 2 3" xfId="6653"/>
    <cellStyle name="Comma 4 2 2 3 3 3" xfId="6654"/>
    <cellStyle name="Comma 4 2 2 3 3 3 2" xfId="6655"/>
    <cellStyle name="Comma 4 2 2 3 3 3 3" xfId="6656"/>
    <cellStyle name="Comma 4 2 2 3 3 4" xfId="6657"/>
    <cellStyle name="Comma 4 2 2 3 3 5" xfId="6658"/>
    <cellStyle name="Comma 4 2 2 3 4" xfId="6659"/>
    <cellStyle name="Comma 4 2 2 3 4 2" xfId="6660"/>
    <cellStyle name="Comma 4 2 2 3 4 3" xfId="6661"/>
    <cellStyle name="Comma 4 2 2 3 5" xfId="6662"/>
    <cellStyle name="Comma 4 2 2 3 5 2" xfId="6663"/>
    <cellStyle name="Comma 4 2 2 3 5 3" xfId="6664"/>
    <cellStyle name="Comma 4 2 2 3 6" xfId="6665"/>
    <cellStyle name="Comma 4 2 2 3 7" xfId="6666"/>
    <cellStyle name="Comma 4 2 2 4" xfId="603"/>
    <cellStyle name="Comma 4 2 2 4 2" xfId="6667"/>
    <cellStyle name="Comma 4 2 2 4 2 2" xfId="6668"/>
    <cellStyle name="Comma 4 2 2 4 2 2 2" xfId="6669"/>
    <cellStyle name="Comma 4 2 2 4 2 2 3" xfId="6670"/>
    <cellStyle name="Comma 4 2 2 4 2 3" xfId="6671"/>
    <cellStyle name="Comma 4 2 2 4 2 3 2" xfId="6672"/>
    <cellStyle name="Comma 4 2 2 4 2 3 3" xfId="6673"/>
    <cellStyle name="Comma 4 2 2 4 2 4" xfId="6674"/>
    <cellStyle name="Comma 4 2 2 4 2 5" xfId="6675"/>
    <cellStyle name="Comma 4 2 2 4 3" xfId="6676"/>
    <cellStyle name="Comma 4 2 2 4 3 2" xfId="6677"/>
    <cellStyle name="Comma 4 2 2 4 3 3" xfId="6678"/>
    <cellStyle name="Comma 4 2 2 4 4" xfId="6679"/>
    <cellStyle name="Comma 4 2 2 4 4 2" xfId="6680"/>
    <cellStyle name="Comma 4 2 2 4 4 3" xfId="6681"/>
    <cellStyle name="Comma 4 2 2 4 5" xfId="6682"/>
    <cellStyle name="Comma 4 2 2 4 6" xfId="6683"/>
    <cellStyle name="Comma 4 2 2 5" xfId="6684"/>
    <cellStyle name="Comma 4 2 2 5 2" xfId="6685"/>
    <cellStyle name="Comma 4 2 2 5 2 2" xfId="6686"/>
    <cellStyle name="Comma 4 2 2 5 2 3" xfId="6687"/>
    <cellStyle name="Comma 4 2 2 5 3" xfId="6688"/>
    <cellStyle name="Comma 4 2 2 5 3 2" xfId="6689"/>
    <cellStyle name="Comma 4 2 2 5 3 3" xfId="6690"/>
    <cellStyle name="Comma 4 2 2 5 4" xfId="6691"/>
    <cellStyle name="Comma 4 2 2 5 5" xfId="6692"/>
    <cellStyle name="Comma 4 2 2 6" xfId="6693"/>
    <cellStyle name="Comma 4 2 2 6 2" xfId="6694"/>
    <cellStyle name="Comma 4 2 2 6 3" xfId="6695"/>
    <cellStyle name="Comma 4 2 2 7" xfId="6696"/>
    <cellStyle name="Comma 4 2 2 7 2" xfId="6697"/>
    <cellStyle name="Comma 4 2 2 7 3" xfId="6698"/>
    <cellStyle name="Comma 4 2 2 8" xfId="6699"/>
    <cellStyle name="Comma 4 2 2 9" xfId="6700"/>
    <cellStyle name="Comma 4 2 3" xfId="168"/>
    <cellStyle name="Comma 4 2 3 2" xfId="604"/>
    <cellStyle name="Comma 4 2 3 2 2" xfId="6701"/>
    <cellStyle name="Comma 4 2 3 2 2 2" xfId="6702"/>
    <cellStyle name="Comma 4 2 3 2 2 2 2" xfId="6703"/>
    <cellStyle name="Comma 4 2 3 2 2 2 3" xfId="6704"/>
    <cellStyle name="Comma 4 2 3 2 2 3" xfId="6705"/>
    <cellStyle name="Comma 4 2 3 2 2 3 2" xfId="6706"/>
    <cellStyle name="Comma 4 2 3 2 2 3 3" xfId="6707"/>
    <cellStyle name="Comma 4 2 3 2 2 4" xfId="6708"/>
    <cellStyle name="Comma 4 2 3 2 2 5" xfId="6709"/>
    <cellStyle name="Comma 4 2 3 2 3" xfId="6710"/>
    <cellStyle name="Comma 4 2 3 2 3 2" xfId="6711"/>
    <cellStyle name="Comma 4 2 3 2 3 3" xfId="6712"/>
    <cellStyle name="Comma 4 2 3 2 4" xfId="6713"/>
    <cellStyle name="Comma 4 2 3 2 4 2" xfId="6714"/>
    <cellStyle name="Comma 4 2 3 2 4 3" xfId="6715"/>
    <cellStyle name="Comma 4 2 3 2 5" xfId="6716"/>
    <cellStyle name="Comma 4 2 3 2 6" xfId="6717"/>
    <cellStyle name="Comma 4 2 3 3" xfId="6718"/>
    <cellStyle name="Comma 4 2 3 3 2" xfId="6719"/>
    <cellStyle name="Comma 4 2 3 3 2 2" xfId="6720"/>
    <cellStyle name="Comma 4 2 3 3 2 3" xfId="6721"/>
    <cellStyle name="Comma 4 2 3 3 3" xfId="6722"/>
    <cellStyle name="Comma 4 2 3 3 3 2" xfId="6723"/>
    <cellStyle name="Comma 4 2 3 3 3 3" xfId="6724"/>
    <cellStyle name="Comma 4 2 3 3 4" xfId="6725"/>
    <cellStyle name="Comma 4 2 3 3 5" xfId="6726"/>
    <cellStyle name="Comma 4 2 3 4" xfId="6727"/>
    <cellStyle name="Comma 4 2 3 4 2" xfId="6728"/>
    <cellStyle name="Comma 4 2 3 4 3" xfId="6729"/>
    <cellStyle name="Comma 4 2 3 5" xfId="6730"/>
    <cellStyle name="Comma 4 2 3 5 2" xfId="6731"/>
    <cellStyle name="Comma 4 2 3 5 3" xfId="6732"/>
    <cellStyle name="Comma 4 2 3 6" xfId="6733"/>
    <cellStyle name="Comma 4 2 3 7" xfId="6734"/>
    <cellStyle name="Comma 4 2 4" xfId="422"/>
    <cellStyle name="Comma 4 2 4 2" xfId="605"/>
    <cellStyle name="Comma 4 2 4 2 2" xfId="6735"/>
    <cellStyle name="Comma 4 2 4 2 2 2" xfId="6736"/>
    <cellStyle name="Comma 4 2 4 2 2 2 2" xfId="6737"/>
    <cellStyle name="Comma 4 2 4 2 2 2 3" xfId="6738"/>
    <cellStyle name="Comma 4 2 4 2 2 3" xfId="6739"/>
    <cellStyle name="Comma 4 2 4 2 2 3 2" xfId="6740"/>
    <cellStyle name="Comma 4 2 4 2 2 3 3" xfId="6741"/>
    <cellStyle name="Comma 4 2 4 2 2 4" xfId="6742"/>
    <cellStyle name="Comma 4 2 4 2 2 5" xfId="6743"/>
    <cellStyle name="Comma 4 2 4 2 2 6" xfId="6744"/>
    <cellStyle name="Comma 4 2 4 2 3" xfId="6745"/>
    <cellStyle name="Comma 4 2 4 2 3 2" xfId="6746"/>
    <cellStyle name="Comma 4 2 4 2 3 3" xfId="6747"/>
    <cellStyle name="Comma 4 2 4 2 4" xfId="6748"/>
    <cellStyle name="Comma 4 2 4 2 4 2" xfId="6749"/>
    <cellStyle name="Comma 4 2 4 2 4 3" xfId="6750"/>
    <cellStyle name="Comma 4 2 4 2 5" xfId="6751"/>
    <cellStyle name="Comma 4 2 4 2 6" xfId="6752"/>
    <cellStyle name="Comma 4 2 4 3" xfId="606"/>
    <cellStyle name="Comma 4 2 4 3 2" xfId="6753"/>
    <cellStyle name="Comma 4 2 4 3 2 2" xfId="6754"/>
    <cellStyle name="Comma 4 2 4 3 2 3" xfId="6755"/>
    <cellStyle name="Comma 4 2 4 3 3" xfId="6756"/>
    <cellStyle name="Comma 4 2 4 3 3 2" xfId="6757"/>
    <cellStyle name="Comma 4 2 4 3 3 3" xfId="6758"/>
    <cellStyle name="Comma 4 2 4 3 4" xfId="6759"/>
    <cellStyle name="Comma 4 2 4 3 5" xfId="6760"/>
    <cellStyle name="Comma 4 2 4 4" xfId="6761"/>
    <cellStyle name="Comma 4 2 4 4 2" xfId="6762"/>
    <cellStyle name="Comma 4 2 4 4 3" xfId="6763"/>
    <cellStyle name="Comma 4 2 4 5" xfId="6764"/>
    <cellStyle name="Comma 4 2 4 5 2" xfId="6765"/>
    <cellStyle name="Comma 4 2 4 5 3" xfId="6766"/>
    <cellStyle name="Comma 4 2 4 6" xfId="6767"/>
    <cellStyle name="Comma 4 2 4 7" xfId="6768"/>
    <cellStyle name="Comma 4 2 5" xfId="607"/>
    <cellStyle name="Comma 4 2 5 2" xfId="6769"/>
    <cellStyle name="Comma 4 2 5 2 2" xfId="6770"/>
    <cellStyle name="Comma 4 2 5 2 2 2" xfId="6771"/>
    <cellStyle name="Comma 4 2 5 2 2 3" xfId="6772"/>
    <cellStyle name="Comma 4 2 5 2 3" xfId="6773"/>
    <cellStyle name="Comma 4 2 5 2 3 2" xfId="6774"/>
    <cellStyle name="Comma 4 2 5 2 3 3" xfId="6775"/>
    <cellStyle name="Comma 4 2 5 2 4" xfId="6776"/>
    <cellStyle name="Comma 4 2 5 2 5" xfId="6777"/>
    <cellStyle name="Comma 4 2 5 3" xfId="6778"/>
    <cellStyle name="Comma 4 2 5 3 2" xfId="6779"/>
    <cellStyle name="Comma 4 2 5 3 3" xfId="6780"/>
    <cellStyle name="Comma 4 2 5 3 4" xfId="6781"/>
    <cellStyle name="Comma 4 2 5 4" xfId="6782"/>
    <cellStyle name="Comma 4 2 5 4 2" xfId="6783"/>
    <cellStyle name="Comma 4 2 5 4 3" xfId="6784"/>
    <cellStyle name="Comma 4 2 5 5" xfId="6785"/>
    <cellStyle name="Comma 4 2 5 6" xfId="6786"/>
    <cellStyle name="Comma 4 2 6" xfId="1356"/>
    <cellStyle name="Comma 4 2 6 2" xfId="6787"/>
    <cellStyle name="Comma 4 2 6 2 2" xfId="6788"/>
    <cellStyle name="Comma 4 2 6 2 3" xfId="6789"/>
    <cellStyle name="Comma 4 2 6 3" xfId="6790"/>
    <cellStyle name="Comma 4 2 6 3 2" xfId="6791"/>
    <cellStyle name="Comma 4 2 6 3 3" xfId="6792"/>
    <cellStyle name="Comma 4 2 6 4" xfId="6793"/>
    <cellStyle name="Comma 4 2 6 5" xfId="6794"/>
    <cellStyle name="Comma 4 2 7" xfId="6795"/>
    <cellStyle name="Comma 4 2 7 2" xfId="6796"/>
    <cellStyle name="Comma 4 2 7 3" xfId="6797"/>
    <cellStyle name="Comma 4 2 8" xfId="6798"/>
    <cellStyle name="Comma 4 2 8 2" xfId="6799"/>
    <cellStyle name="Comma 4 2 8 3" xfId="6800"/>
    <cellStyle name="Comma 4 2 9" xfId="6801"/>
    <cellStyle name="Comma 4 3" xfId="14"/>
    <cellStyle name="Comma 4 3 10" xfId="1357"/>
    <cellStyle name="Comma 4 3 2" xfId="169"/>
    <cellStyle name="Comma 4 3 2 2" xfId="608"/>
    <cellStyle name="Comma 4 3 2 2 2" xfId="1358"/>
    <cellStyle name="Comma 4 3 2 2 2 2" xfId="6802"/>
    <cellStyle name="Comma 4 3 2 2 2 2 2" xfId="6803"/>
    <cellStyle name="Comma 4 3 2 2 2 2 3" xfId="6804"/>
    <cellStyle name="Comma 4 3 2 2 2 3" xfId="6805"/>
    <cellStyle name="Comma 4 3 2 2 2 3 2" xfId="6806"/>
    <cellStyle name="Comma 4 3 2 2 2 3 3" xfId="6807"/>
    <cellStyle name="Comma 4 3 2 2 2 4" xfId="6808"/>
    <cellStyle name="Comma 4 3 2 2 2 5" xfId="6809"/>
    <cellStyle name="Comma 4 3 2 2 3" xfId="1359"/>
    <cellStyle name="Comma 4 3 2 2 3 2" xfId="6810"/>
    <cellStyle name="Comma 4 3 2 2 3 3" xfId="6811"/>
    <cellStyle name="Comma 4 3 2 2 4" xfId="6812"/>
    <cellStyle name="Comma 4 3 2 2 4 2" xfId="6813"/>
    <cellStyle name="Comma 4 3 2 2 4 3" xfId="6814"/>
    <cellStyle name="Comma 4 3 2 2 5" xfId="6815"/>
    <cellStyle name="Comma 4 3 2 2 6" xfId="6816"/>
    <cellStyle name="Comma 4 3 2 3" xfId="1360"/>
    <cellStyle name="Comma 4 3 2 3 2" xfId="1361"/>
    <cellStyle name="Comma 4 3 2 3 2 2" xfId="6817"/>
    <cellStyle name="Comma 4 3 2 3 2 3" xfId="6818"/>
    <cellStyle name="Comma 4 3 2 3 3" xfId="1362"/>
    <cellStyle name="Comma 4 3 2 3 3 2" xfId="6819"/>
    <cellStyle name="Comma 4 3 2 3 3 3" xfId="6820"/>
    <cellStyle name="Comma 4 3 2 3 4" xfId="6821"/>
    <cellStyle name="Comma 4 3 2 3 5" xfId="6822"/>
    <cellStyle name="Comma 4 3 2 4" xfId="1363"/>
    <cellStyle name="Comma 4 3 2 4 2" xfId="6823"/>
    <cellStyle name="Comma 4 3 2 4 3" xfId="6824"/>
    <cellStyle name="Comma 4 3 2 5" xfId="1364"/>
    <cellStyle name="Comma 4 3 2 5 2" xfId="6825"/>
    <cellStyle name="Comma 4 3 2 5 3" xfId="6826"/>
    <cellStyle name="Comma 4 3 2 6" xfId="1365"/>
    <cellStyle name="Comma 4 3 2 7" xfId="6827"/>
    <cellStyle name="Comma 4 3 2 8" xfId="21505"/>
    <cellStyle name="Comma 4 3 3" xfId="170"/>
    <cellStyle name="Comma 4 3 3 2" xfId="609"/>
    <cellStyle name="Comma 4 3 3 2 2" xfId="6828"/>
    <cellStyle name="Comma 4 3 3 2 2 2" xfId="6829"/>
    <cellStyle name="Comma 4 3 3 2 2 2 2" xfId="6830"/>
    <cellStyle name="Comma 4 3 3 2 2 2 3" xfId="6831"/>
    <cellStyle name="Comma 4 3 3 2 2 3" xfId="6832"/>
    <cellStyle name="Comma 4 3 3 2 2 3 2" xfId="6833"/>
    <cellStyle name="Comma 4 3 3 2 2 3 3" xfId="6834"/>
    <cellStyle name="Comma 4 3 3 2 2 4" xfId="6835"/>
    <cellStyle name="Comma 4 3 3 2 2 5" xfId="6836"/>
    <cellStyle name="Comma 4 3 3 2 3" xfId="6837"/>
    <cellStyle name="Comma 4 3 3 2 3 2" xfId="6838"/>
    <cellStyle name="Comma 4 3 3 2 3 3" xfId="6839"/>
    <cellStyle name="Comma 4 3 3 2 4" xfId="6840"/>
    <cellStyle name="Comma 4 3 3 2 4 2" xfId="6841"/>
    <cellStyle name="Comma 4 3 3 2 4 3" xfId="6842"/>
    <cellStyle name="Comma 4 3 3 2 5" xfId="6843"/>
    <cellStyle name="Comma 4 3 3 2 6" xfId="6844"/>
    <cellStyle name="Comma 4 3 3 3" xfId="1366"/>
    <cellStyle name="Comma 4 3 3 3 2" xfId="6845"/>
    <cellStyle name="Comma 4 3 3 3 2 2" xfId="6846"/>
    <cellStyle name="Comma 4 3 3 3 2 3" xfId="6847"/>
    <cellStyle name="Comma 4 3 3 3 3" xfId="6848"/>
    <cellStyle name="Comma 4 3 3 3 3 2" xfId="6849"/>
    <cellStyle name="Comma 4 3 3 3 3 3" xfId="6850"/>
    <cellStyle name="Comma 4 3 3 3 4" xfId="6851"/>
    <cellStyle name="Comma 4 3 3 3 5" xfId="6852"/>
    <cellStyle name="Comma 4 3 3 4" xfId="1367"/>
    <cellStyle name="Comma 4 3 3 4 2" xfId="6853"/>
    <cellStyle name="Comma 4 3 3 4 3" xfId="6854"/>
    <cellStyle name="Comma 4 3 3 5" xfId="6855"/>
    <cellStyle name="Comma 4 3 3 5 2" xfId="6856"/>
    <cellStyle name="Comma 4 3 3 5 3" xfId="6857"/>
    <cellStyle name="Comma 4 3 3 6" xfId="6858"/>
    <cellStyle name="Comma 4 3 3 7" xfId="6859"/>
    <cellStyle name="Comma 4 3 4" xfId="610"/>
    <cellStyle name="Comma 4 3 4 2" xfId="611"/>
    <cellStyle name="Comma 4 3 4 2 2" xfId="6860"/>
    <cellStyle name="Comma 4 3 4 2 2 2" xfId="6861"/>
    <cellStyle name="Comma 4 3 4 2 2 3" xfId="6862"/>
    <cellStyle name="Comma 4 3 4 2 3" xfId="6863"/>
    <cellStyle name="Comma 4 3 4 2 3 2" xfId="6864"/>
    <cellStyle name="Comma 4 3 4 2 3 3" xfId="6865"/>
    <cellStyle name="Comma 4 3 4 2 4" xfId="6866"/>
    <cellStyle name="Comma 4 3 4 2 5" xfId="6867"/>
    <cellStyle name="Comma 4 3 4 3" xfId="1368"/>
    <cellStyle name="Comma 4 3 4 3 2" xfId="6868"/>
    <cellStyle name="Comma 4 3 4 3 3" xfId="6869"/>
    <cellStyle name="Comma 4 3 4 4" xfId="6870"/>
    <cellStyle name="Comma 4 3 4 4 2" xfId="6871"/>
    <cellStyle name="Comma 4 3 4 4 3" xfId="6872"/>
    <cellStyle name="Comma 4 3 4 5" xfId="6873"/>
    <cellStyle name="Comma 4 3 4 6" xfId="6874"/>
    <cellStyle name="Comma 4 3 5" xfId="1369"/>
    <cellStyle name="Comma 4 3 5 2" xfId="1370"/>
    <cellStyle name="Comma 4 3 5 2 2" xfId="6875"/>
    <cellStyle name="Comma 4 3 5 2 3" xfId="6876"/>
    <cellStyle name="Comma 4 3 5 3" xfId="1371"/>
    <cellStyle name="Comma 4 3 5 3 2" xfId="6877"/>
    <cellStyle name="Comma 4 3 5 3 3" xfId="6878"/>
    <cellStyle name="Comma 4 3 5 4" xfId="6879"/>
    <cellStyle name="Comma 4 3 5 5" xfId="6880"/>
    <cellStyle name="Comma 4 3 6" xfId="1372"/>
    <cellStyle name="Comma 4 3 6 2" xfId="6881"/>
    <cellStyle name="Comma 4 3 6 3" xfId="6882"/>
    <cellStyle name="Comma 4 3 7" xfId="1373"/>
    <cellStyle name="Comma 4 3 7 2" xfId="6883"/>
    <cellStyle name="Comma 4 3 7 3" xfId="6884"/>
    <cellStyle name="Comma 4 3 8" xfId="1374"/>
    <cellStyle name="Comma 4 3 9" xfId="1375"/>
    <cellStyle name="Comma 4 4" xfId="15"/>
    <cellStyle name="Comma 4 4 10" xfId="1376"/>
    <cellStyle name="Comma 4 4 2" xfId="171"/>
    <cellStyle name="Comma 4 4 2 2" xfId="612"/>
    <cellStyle name="Comma 4 4 2 2 2" xfId="1377"/>
    <cellStyle name="Comma 4 4 2 2 2 2" xfId="6885"/>
    <cellStyle name="Comma 4 4 2 2 2 2 2" xfId="6886"/>
    <cellStyle name="Comma 4 4 2 2 2 2 3" xfId="6887"/>
    <cellStyle name="Comma 4 4 2 2 2 3" xfId="6888"/>
    <cellStyle name="Comma 4 4 2 2 2 3 2" xfId="6889"/>
    <cellStyle name="Comma 4 4 2 2 2 3 3" xfId="6890"/>
    <cellStyle name="Comma 4 4 2 2 2 4" xfId="6891"/>
    <cellStyle name="Comma 4 4 2 2 2 5" xfId="6892"/>
    <cellStyle name="Comma 4 4 2 2 3" xfId="1378"/>
    <cellStyle name="Comma 4 4 2 2 3 2" xfId="6893"/>
    <cellStyle name="Comma 4 4 2 2 3 3" xfId="6894"/>
    <cellStyle name="Comma 4 4 2 2 4" xfId="6895"/>
    <cellStyle name="Comma 4 4 2 2 4 2" xfId="6896"/>
    <cellStyle name="Comma 4 4 2 2 4 3" xfId="6897"/>
    <cellStyle name="Comma 4 4 2 2 5" xfId="6898"/>
    <cellStyle name="Comma 4 4 2 2 6" xfId="6899"/>
    <cellStyle name="Comma 4 4 2 3" xfId="1379"/>
    <cellStyle name="Comma 4 4 2 3 2" xfId="1380"/>
    <cellStyle name="Comma 4 4 2 3 2 2" xfId="6900"/>
    <cellStyle name="Comma 4 4 2 3 2 3" xfId="6901"/>
    <cellStyle name="Comma 4 4 2 3 3" xfId="1381"/>
    <cellStyle name="Comma 4 4 2 3 3 2" xfId="6902"/>
    <cellStyle name="Comma 4 4 2 3 3 3" xfId="6903"/>
    <cellStyle name="Comma 4 4 2 3 4" xfId="6904"/>
    <cellStyle name="Comma 4 4 2 3 5" xfId="6905"/>
    <cellStyle name="Comma 4 4 2 4" xfId="1382"/>
    <cellStyle name="Comma 4 4 2 4 2" xfId="6906"/>
    <cellStyle name="Comma 4 4 2 4 3" xfId="6907"/>
    <cellStyle name="Comma 4 4 2 5" xfId="1383"/>
    <cellStyle name="Comma 4 4 2 5 2" xfId="6908"/>
    <cellStyle name="Comma 4 4 2 5 3" xfId="6909"/>
    <cellStyle name="Comma 4 4 2 6" xfId="1384"/>
    <cellStyle name="Comma 4 4 2 7" xfId="6910"/>
    <cellStyle name="Comma 4 4 3" xfId="172"/>
    <cellStyle name="Comma 4 4 3 2" xfId="613"/>
    <cellStyle name="Comma 4 4 3 2 2" xfId="6911"/>
    <cellStyle name="Comma 4 4 3 2 2 2" xfId="6912"/>
    <cellStyle name="Comma 4 4 3 2 2 3" xfId="6913"/>
    <cellStyle name="Comma 4 4 3 2 3" xfId="6914"/>
    <cellStyle name="Comma 4 4 3 2 3 2" xfId="6915"/>
    <cellStyle name="Comma 4 4 3 2 3 3" xfId="6916"/>
    <cellStyle name="Comma 4 4 3 2 4" xfId="6917"/>
    <cellStyle name="Comma 4 4 3 2 5" xfId="6918"/>
    <cellStyle name="Comma 4 4 3 3" xfId="1385"/>
    <cellStyle name="Comma 4 4 3 3 2" xfId="6919"/>
    <cellStyle name="Comma 4 4 3 3 3" xfId="6920"/>
    <cellStyle name="Comma 4 4 3 4" xfId="1386"/>
    <cellStyle name="Comma 4 4 3 4 2" xfId="6921"/>
    <cellStyle name="Comma 4 4 3 4 3" xfId="6922"/>
    <cellStyle name="Comma 4 4 3 5" xfId="6923"/>
    <cellStyle name="Comma 4 4 3 6" xfId="6924"/>
    <cellStyle name="Comma 4 4 4" xfId="614"/>
    <cellStyle name="Comma 4 4 4 2" xfId="615"/>
    <cellStyle name="Comma 4 4 4 2 2" xfId="6925"/>
    <cellStyle name="Comma 4 4 4 2 3" xfId="6926"/>
    <cellStyle name="Comma 4 4 4 3" xfId="1387"/>
    <cellStyle name="Comma 4 4 4 3 2" xfId="6927"/>
    <cellStyle name="Comma 4 4 4 3 3" xfId="6928"/>
    <cellStyle name="Comma 4 4 4 4" xfId="6929"/>
    <cellStyle name="Comma 4 4 4 5" xfId="6930"/>
    <cellStyle name="Comma 4 4 5" xfId="1388"/>
    <cellStyle name="Comma 4 4 5 2" xfId="1389"/>
    <cellStyle name="Comma 4 4 5 3" xfId="1390"/>
    <cellStyle name="Comma 4 4 6" xfId="1391"/>
    <cellStyle name="Comma 4 4 6 2" xfId="6931"/>
    <cellStyle name="Comma 4 4 6 3" xfId="6932"/>
    <cellStyle name="Comma 4 4 7" xfId="1392"/>
    <cellStyle name="Comma 4 4 8" xfId="1393"/>
    <cellStyle name="Comma 4 4 9" xfId="1394"/>
    <cellStyle name="Comma 4 5" xfId="173"/>
    <cellStyle name="Comma 4 5 2" xfId="174"/>
    <cellStyle name="Comma 4 5 2 2" xfId="616"/>
    <cellStyle name="Comma 4 5 2 2 2" xfId="6933"/>
    <cellStyle name="Comma 4 5 2 2 2 2" xfId="6934"/>
    <cellStyle name="Comma 4 5 2 2 2 3" xfId="6935"/>
    <cellStyle name="Comma 4 5 2 2 3" xfId="6936"/>
    <cellStyle name="Comma 4 5 2 2 3 2" xfId="6937"/>
    <cellStyle name="Comma 4 5 2 2 3 3" xfId="6938"/>
    <cellStyle name="Comma 4 5 2 2 4" xfId="6939"/>
    <cellStyle name="Comma 4 5 2 2 5" xfId="6940"/>
    <cellStyle name="Comma 4 5 2 3" xfId="6941"/>
    <cellStyle name="Comma 4 5 2 3 2" xfId="6942"/>
    <cellStyle name="Comma 4 5 2 3 3" xfId="6943"/>
    <cellStyle name="Comma 4 5 2 4" xfId="6944"/>
    <cellStyle name="Comma 4 5 2 4 2" xfId="6945"/>
    <cellStyle name="Comma 4 5 2 4 3" xfId="6946"/>
    <cellStyle name="Comma 4 5 2 5" xfId="6947"/>
    <cellStyle name="Comma 4 5 2 6" xfId="6948"/>
    <cellStyle name="Comma 4 5 3" xfId="1395"/>
    <cellStyle name="Comma 4 5 3 2" xfId="6949"/>
    <cellStyle name="Comma 4 5 3 2 2" xfId="6950"/>
    <cellStyle name="Comma 4 5 3 2 3" xfId="6951"/>
    <cellStyle name="Comma 4 5 3 3" xfId="6952"/>
    <cellStyle name="Comma 4 5 3 3 2" xfId="6953"/>
    <cellStyle name="Comma 4 5 3 3 3" xfId="6954"/>
    <cellStyle name="Comma 4 5 3 4" xfId="6955"/>
    <cellStyle name="Comma 4 5 3 5" xfId="6956"/>
    <cellStyle name="Comma 4 5 3 6" xfId="6957"/>
    <cellStyle name="Comma 4 5 4" xfId="1396"/>
    <cellStyle name="Comma 4 5 4 2" xfId="6958"/>
    <cellStyle name="Comma 4 5 4 3" xfId="6959"/>
    <cellStyle name="Comma 4 5 5" xfId="6960"/>
    <cellStyle name="Comma 4 5 5 2" xfId="6961"/>
    <cellStyle name="Comma 4 5 5 3" xfId="6962"/>
    <cellStyle name="Comma 4 5 6" xfId="6963"/>
    <cellStyle name="Comma 4 5 7" xfId="6964"/>
    <cellStyle name="Comma 4 6" xfId="175"/>
    <cellStyle name="Comma 4 6 2" xfId="617"/>
    <cellStyle name="Comma 4 6 2 2" xfId="6965"/>
    <cellStyle name="Comma 4 6 2 2 2" xfId="6966"/>
    <cellStyle name="Comma 4 6 2 2 3" xfId="6967"/>
    <cellStyle name="Comma 4 6 2 3" xfId="6968"/>
    <cellStyle name="Comma 4 6 2 3 2" xfId="6969"/>
    <cellStyle name="Comma 4 6 2 3 3" xfId="6970"/>
    <cellStyle name="Comma 4 6 2 4" xfId="6971"/>
    <cellStyle name="Comma 4 6 2 5" xfId="6972"/>
    <cellStyle name="Comma 4 6 3" xfId="1397"/>
    <cellStyle name="Comma 4 6 3 2" xfId="6973"/>
    <cellStyle name="Comma 4 6 3 3" xfId="6974"/>
    <cellStyle name="Comma 4 6 4" xfId="6975"/>
    <cellStyle name="Comma 4 6 4 2" xfId="6976"/>
    <cellStyle name="Comma 4 6 4 3" xfId="6977"/>
    <cellStyle name="Comma 4 6 5" xfId="6978"/>
    <cellStyle name="Comma 4 6 6" xfId="6979"/>
    <cellStyle name="Comma 4 7" xfId="618"/>
    <cellStyle name="Comma 4 7 2" xfId="6980"/>
    <cellStyle name="Comma 4 7 2 2" xfId="6981"/>
    <cellStyle name="Comma 4 7 2 3" xfId="6982"/>
    <cellStyle name="Comma 4 7 3" xfId="6983"/>
    <cellStyle name="Comma 4 7 3 2" xfId="6984"/>
    <cellStyle name="Comma 4 7 3 3" xfId="6985"/>
    <cellStyle name="Comma 4 7 4" xfId="6986"/>
    <cellStyle name="Comma 4 7 5" xfId="6987"/>
    <cellStyle name="Comma 4 8" xfId="1398"/>
    <cellStyle name="Comma 4 8 2" xfId="6988"/>
    <cellStyle name="Comma 4 8 3" xfId="6989"/>
    <cellStyle name="Comma 4 9" xfId="1399"/>
    <cellStyle name="Comma 4 9 2" xfId="6990"/>
    <cellStyle name="Comma 4 9 3" xfId="6991"/>
    <cellStyle name="Comma 4_2186" xfId="6992"/>
    <cellStyle name="Comma 5" xfId="16"/>
    <cellStyle name="Comma 5 10" xfId="6993"/>
    <cellStyle name="Comma 5 11" xfId="6994"/>
    <cellStyle name="Comma 5 2" xfId="176"/>
    <cellStyle name="Comma 5 2 2" xfId="619"/>
    <cellStyle name="Comma 5 2 2 2" xfId="620"/>
    <cellStyle name="Comma 5 2 2 2 2" xfId="621"/>
    <cellStyle name="Comma 5 2 2 2 2 2" xfId="6995"/>
    <cellStyle name="Comma 5 2 2 2 2 2 2" xfId="6996"/>
    <cellStyle name="Comma 5 2 2 2 2 2 2 2" xfId="6997"/>
    <cellStyle name="Comma 5 2 2 2 2 2 2 3" xfId="6998"/>
    <cellStyle name="Comma 5 2 2 2 2 2 3" xfId="6999"/>
    <cellStyle name="Comma 5 2 2 2 2 2 3 2" xfId="7000"/>
    <cellStyle name="Comma 5 2 2 2 2 2 3 3" xfId="7001"/>
    <cellStyle name="Comma 5 2 2 2 2 2 4" xfId="7002"/>
    <cellStyle name="Comma 5 2 2 2 2 2 5" xfId="7003"/>
    <cellStyle name="Comma 5 2 2 2 2 3" xfId="7004"/>
    <cellStyle name="Comma 5 2 2 2 2 3 2" xfId="7005"/>
    <cellStyle name="Comma 5 2 2 2 2 3 3" xfId="7006"/>
    <cellStyle name="Comma 5 2 2 2 2 4" xfId="7007"/>
    <cellStyle name="Comma 5 2 2 2 2 4 2" xfId="7008"/>
    <cellStyle name="Comma 5 2 2 2 2 4 3" xfId="7009"/>
    <cellStyle name="Comma 5 2 2 2 2 5" xfId="7010"/>
    <cellStyle name="Comma 5 2 2 2 2 6" xfId="7011"/>
    <cellStyle name="Comma 5 2 2 2 3" xfId="7012"/>
    <cellStyle name="Comma 5 2 2 2 3 2" xfId="7013"/>
    <cellStyle name="Comma 5 2 2 2 3 2 2" xfId="7014"/>
    <cellStyle name="Comma 5 2 2 2 3 2 3" xfId="7015"/>
    <cellStyle name="Comma 5 2 2 2 3 3" xfId="7016"/>
    <cellStyle name="Comma 5 2 2 2 3 3 2" xfId="7017"/>
    <cellStyle name="Comma 5 2 2 2 3 3 3" xfId="7018"/>
    <cellStyle name="Comma 5 2 2 2 3 4" xfId="7019"/>
    <cellStyle name="Comma 5 2 2 2 3 5" xfId="7020"/>
    <cellStyle name="Comma 5 2 2 2 4" xfId="7021"/>
    <cellStyle name="Comma 5 2 2 2 4 2" xfId="7022"/>
    <cellStyle name="Comma 5 2 2 2 4 3" xfId="7023"/>
    <cellStyle name="Comma 5 2 2 2 5" xfId="7024"/>
    <cellStyle name="Comma 5 2 2 2 5 2" xfId="7025"/>
    <cellStyle name="Comma 5 2 2 2 5 3" xfId="7026"/>
    <cellStyle name="Comma 5 2 2 2 6" xfId="7027"/>
    <cellStyle name="Comma 5 2 2 2 7" xfId="7028"/>
    <cellStyle name="Comma 5 2 2 3" xfId="622"/>
    <cellStyle name="Comma 5 2 2 3 2" xfId="7029"/>
    <cellStyle name="Comma 5 2 2 3 2 2" xfId="7030"/>
    <cellStyle name="Comma 5 2 2 3 2 2 2" xfId="7031"/>
    <cellStyle name="Comma 5 2 2 3 2 2 3" xfId="7032"/>
    <cellStyle name="Comma 5 2 2 3 2 3" xfId="7033"/>
    <cellStyle name="Comma 5 2 2 3 2 3 2" xfId="7034"/>
    <cellStyle name="Comma 5 2 2 3 2 3 3" xfId="7035"/>
    <cellStyle name="Comma 5 2 2 3 2 4" xfId="7036"/>
    <cellStyle name="Comma 5 2 2 3 2 5" xfId="7037"/>
    <cellStyle name="Comma 5 2 2 3 3" xfId="7038"/>
    <cellStyle name="Comma 5 2 2 3 3 2" xfId="7039"/>
    <cellStyle name="Comma 5 2 2 3 3 3" xfId="7040"/>
    <cellStyle name="Comma 5 2 2 3 4" xfId="7041"/>
    <cellStyle name="Comma 5 2 2 3 4 2" xfId="7042"/>
    <cellStyle name="Comma 5 2 2 3 4 3" xfId="7043"/>
    <cellStyle name="Comma 5 2 2 3 5" xfId="7044"/>
    <cellStyle name="Comma 5 2 2 3 6" xfId="7045"/>
    <cellStyle name="Comma 5 2 2 4" xfId="7046"/>
    <cellStyle name="Comma 5 2 2 4 2" xfId="7047"/>
    <cellStyle name="Comma 5 2 2 4 2 2" xfId="7048"/>
    <cellStyle name="Comma 5 2 2 4 2 3" xfId="7049"/>
    <cellStyle name="Comma 5 2 2 4 3" xfId="7050"/>
    <cellStyle name="Comma 5 2 2 4 3 2" xfId="7051"/>
    <cellStyle name="Comma 5 2 2 4 3 3" xfId="7052"/>
    <cellStyle name="Comma 5 2 2 4 4" xfId="7053"/>
    <cellStyle name="Comma 5 2 2 4 5" xfId="7054"/>
    <cellStyle name="Comma 5 2 2 5" xfId="7055"/>
    <cellStyle name="Comma 5 2 2 5 2" xfId="7056"/>
    <cellStyle name="Comma 5 2 2 5 3" xfId="7057"/>
    <cellStyle name="Comma 5 2 2 6" xfId="7058"/>
    <cellStyle name="Comma 5 2 2 6 2" xfId="7059"/>
    <cellStyle name="Comma 5 2 2 6 3" xfId="7060"/>
    <cellStyle name="Comma 5 2 2 7" xfId="7061"/>
    <cellStyle name="Comma 5 2 2 8" xfId="7062"/>
    <cellStyle name="Comma 5 2 3" xfId="623"/>
    <cellStyle name="Comma 5 2 3 2" xfId="624"/>
    <cellStyle name="Comma 5 2 3 2 2" xfId="7063"/>
    <cellStyle name="Comma 5 2 3 2 2 2" xfId="7064"/>
    <cellStyle name="Comma 5 2 3 2 2 2 2" xfId="7065"/>
    <cellStyle name="Comma 5 2 3 2 2 2 3" xfId="7066"/>
    <cellStyle name="Comma 5 2 3 2 2 3" xfId="7067"/>
    <cellStyle name="Comma 5 2 3 2 2 3 2" xfId="7068"/>
    <cellStyle name="Comma 5 2 3 2 2 3 3" xfId="7069"/>
    <cellStyle name="Comma 5 2 3 2 2 4" xfId="7070"/>
    <cellStyle name="Comma 5 2 3 2 2 5" xfId="7071"/>
    <cellStyle name="Comma 5 2 3 2 3" xfId="7072"/>
    <cellStyle name="Comma 5 2 3 2 3 2" xfId="7073"/>
    <cellStyle name="Comma 5 2 3 2 3 3" xfId="7074"/>
    <cellStyle name="Comma 5 2 3 2 4" xfId="7075"/>
    <cellStyle name="Comma 5 2 3 2 4 2" xfId="7076"/>
    <cellStyle name="Comma 5 2 3 2 4 3" xfId="7077"/>
    <cellStyle name="Comma 5 2 3 2 5" xfId="7078"/>
    <cellStyle name="Comma 5 2 3 2 6" xfId="7079"/>
    <cellStyle name="Comma 5 2 3 3" xfId="7080"/>
    <cellStyle name="Comma 5 2 3 3 2" xfId="7081"/>
    <cellStyle name="Comma 5 2 3 3 2 2" xfId="7082"/>
    <cellStyle name="Comma 5 2 3 3 2 3" xfId="7083"/>
    <cellStyle name="Comma 5 2 3 3 3" xfId="7084"/>
    <cellStyle name="Comma 5 2 3 3 3 2" xfId="7085"/>
    <cellStyle name="Comma 5 2 3 3 3 3" xfId="7086"/>
    <cellStyle name="Comma 5 2 3 3 4" xfId="7087"/>
    <cellStyle name="Comma 5 2 3 3 5" xfId="7088"/>
    <cellStyle name="Comma 5 2 3 3 6" xfId="7089"/>
    <cellStyle name="Comma 5 2 3 4" xfId="7090"/>
    <cellStyle name="Comma 5 2 3 4 2" xfId="7091"/>
    <cellStyle name="Comma 5 2 3 4 3" xfId="7092"/>
    <cellStyle name="Comma 5 2 3 5" xfId="7093"/>
    <cellStyle name="Comma 5 2 3 5 2" xfId="7094"/>
    <cellStyle name="Comma 5 2 3 5 3" xfId="7095"/>
    <cellStyle name="Comma 5 2 3 6" xfId="7096"/>
    <cellStyle name="Comma 5 2 3 7" xfId="7097"/>
    <cellStyle name="Comma 5 2 4" xfId="625"/>
    <cellStyle name="Comma 5 2 4 2" xfId="7098"/>
    <cellStyle name="Comma 5 2 4 2 2" xfId="7099"/>
    <cellStyle name="Comma 5 2 4 2 2 2" xfId="7100"/>
    <cellStyle name="Comma 5 2 4 2 2 3" xfId="7101"/>
    <cellStyle name="Comma 5 2 4 2 3" xfId="7102"/>
    <cellStyle name="Comma 5 2 4 2 3 2" xfId="7103"/>
    <cellStyle name="Comma 5 2 4 2 3 3" xfId="7104"/>
    <cellStyle name="Comma 5 2 4 2 4" xfId="7105"/>
    <cellStyle name="Comma 5 2 4 2 5" xfId="7106"/>
    <cellStyle name="Comma 5 2 4 3" xfId="7107"/>
    <cellStyle name="Comma 5 2 4 3 2" xfId="7108"/>
    <cellStyle name="Comma 5 2 4 3 3" xfId="7109"/>
    <cellStyle name="Comma 5 2 4 4" xfId="7110"/>
    <cellStyle name="Comma 5 2 4 4 2" xfId="7111"/>
    <cellStyle name="Comma 5 2 4 4 3" xfId="7112"/>
    <cellStyle name="Comma 5 2 4 5" xfId="7113"/>
    <cellStyle name="Comma 5 2 4 6" xfId="7114"/>
    <cellStyle name="Comma 5 2 5" xfId="7115"/>
    <cellStyle name="Comma 5 2 5 2" xfId="7116"/>
    <cellStyle name="Comma 5 2 5 2 2" xfId="7117"/>
    <cellStyle name="Comma 5 2 5 2 3" xfId="7118"/>
    <cellStyle name="Comma 5 2 5 3" xfId="7119"/>
    <cellStyle name="Comma 5 2 5 3 2" xfId="7120"/>
    <cellStyle name="Comma 5 2 5 3 3" xfId="7121"/>
    <cellStyle name="Comma 5 2 5 4" xfId="7122"/>
    <cellStyle name="Comma 5 2 5 5" xfId="7123"/>
    <cellStyle name="Comma 5 2 6" xfId="7124"/>
    <cellStyle name="Comma 5 2 6 2" xfId="7125"/>
    <cellStyle name="Comma 5 2 6 3" xfId="7126"/>
    <cellStyle name="Comma 5 2 7" xfId="7127"/>
    <cellStyle name="Comma 5 2 7 2" xfId="7128"/>
    <cellStyle name="Comma 5 2 7 3" xfId="7129"/>
    <cellStyle name="Comma 5 2 8" xfId="7130"/>
    <cellStyle name="Comma 5 2 9" xfId="7131"/>
    <cellStyle name="Comma 5 3" xfId="177"/>
    <cellStyle name="Comma 5 3 2" xfId="626"/>
    <cellStyle name="Comma 5 3 2 2" xfId="627"/>
    <cellStyle name="Comma 5 3 2 2 2" xfId="7132"/>
    <cellStyle name="Comma 5 3 2 2 2 2" xfId="7133"/>
    <cellStyle name="Comma 5 3 2 2 2 2 2" xfId="7134"/>
    <cellStyle name="Comma 5 3 2 2 2 2 3" xfId="7135"/>
    <cellStyle name="Comma 5 3 2 2 2 3" xfId="7136"/>
    <cellStyle name="Comma 5 3 2 2 2 3 2" xfId="7137"/>
    <cellStyle name="Comma 5 3 2 2 2 3 3" xfId="7138"/>
    <cellStyle name="Comma 5 3 2 2 2 4" xfId="7139"/>
    <cellStyle name="Comma 5 3 2 2 2 5" xfId="7140"/>
    <cellStyle name="Comma 5 3 2 2 3" xfId="7141"/>
    <cellStyle name="Comma 5 3 2 2 3 2" xfId="7142"/>
    <cellStyle name="Comma 5 3 2 2 3 3" xfId="7143"/>
    <cellStyle name="Comma 5 3 2 2 4" xfId="7144"/>
    <cellStyle name="Comma 5 3 2 2 4 2" xfId="7145"/>
    <cellStyle name="Comma 5 3 2 2 4 3" xfId="7146"/>
    <cellStyle name="Comma 5 3 2 2 5" xfId="7147"/>
    <cellStyle name="Comma 5 3 2 2 6" xfId="7148"/>
    <cellStyle name="Comma 5 3 2 3" xfId="7149"/>
    <cellStyle name="Comma 5 3 2 3 2" xfId="7150"/>
    <cellStyle name="Comma 5 3 2 3 2 2" xfId="7151"/>
    <cellStyle name="Comma 5 3 2 3 2 3" xfId="7152"/>
    <cellStyle name="Comma 5 3 2 3 3" xfId="7153"/>
    <cellStyle name="Comma 5 3 2 3 3 2" xfId="7154"/>
    <cellStyle name="Comma 5 3 2 3 3 3" xfId="7155"/>
    <cellStyle name="Comma 5 3 2 3 4" xfId="7156"/>
    <cellStyle name="Comma 5 3 2 3 5" xfId="7157"/>
    <cellStyle name="Comma 5 3 2 4" xfId="7158"/>
    <cellStyle name="Comma 5 3 2 4 2" xfId="7159"/>
    <cellStyle name="Comma 5 3 2 4 3" xfId="7160"/>
    <cellStyle name="Comma 5 3 2 5" xfId="7161"/>
    <cellStyle name="Comma 5 3 2 5 2" xfId="7162"/>
    <cellStyle name="Comma 5 3 2 5 3" xfId="7163"/>
    <cellStyle name="Comma 5 3 2 6" xfId="7164"/>
    <cellStyle name="Comma 5 3 2 7" xfId="7165"/>
    <cellStyle name="Comma 5 3 3" xfId="628"/>
    <cellStyle name="Comma 5 3 3 2" xfId="7166"/>
    <cellStyle name="Comma 5 3 3 2 2" xfId="7167"/>
    <cellStyle name="Comma 5 3 3 2 2 2" xfId="7168"/>
    <cellStyle name="Comma 5 3 3 2 2 3" xfId="7169"/>
    <cellStyle name="Comma 5 3 3 2 3" xfId="7170"/>
    <cellStyle name="Comma 5 3 3 2 3 2" xfId="7171"/>
    <cellStyle name="Comma 5 3 3 2 3 3" xfId="7172"/>
    <cellStyle name="Comma 5 3 3 2 4" xfId="7173"/>
    <cellStyle name="Comma 5 3 3 2 5" xfId="7174"/>
    <cellStyle name="Comma 5 3 3 3" xfId="7175"/>
    <cellStyle name="Comma 5 3 3 3 2" xfId="7176"/>
    <cellStyle name="Comma 5 3 3 3 3" xfId="7177"/>
    <cellStyle name="Comma 5 3 3 4" xfId="7178"/>
    <cellStyle name="Comma 5 3 3 4 2" xfId="7179"/>
    <cellStyle name="Comma 5 3 3 4 3" xfId="7180"/>
    <cellStyle name="Comma 5 3 3 5" xfId="7181"/>
    <cellStyle name="Comma 5 3 3 6" xfId="7182"/>
    <cellStyle name="Comma 5 3 4" xfId="1400"/>
    <cellStyle name="Comma 5 3 4 2" xfId="7183"/>
    <cellStyle name="Comma 5 3 4 2 2" xfId="7184"/>
    <cellStyle name="Comma 5 3 4 2 3" xfId="7185"/>
    <cellStyle name="Comma 5 3 4 3" xfId="7186"/>
    <cellStyle name="Comma 5 3 4 3 2" xfId="7187"/>
    <cellStyle name="Comma 5 3 4 3 3" xfId="7188"/>
    <cellStyle name="Comma 5 3 4 4" xfId="7189"/>
    <cellStyle name="Comma 5 3 4 5" xfId="7190"/>
    <cellStyle name="Comma 5 3 5" xfId="7191"/>
    <cellStyle name="Comma 5 3 5 2" xfId="7192"/>
    <cellStyle name="Comma 5 3 5 3" xfId="7193"/>
    <cellStyle name="Comma 5 3 6" xfId="7194"/>
    <cellStyle name="Comma 5 3 6 2" xfId="7195"/>
    <cellStyle name="Comma 5 3 6 3" xfId="7196"/>
    <cellStyle name="Comma 5 3 7" xfId="7197"/>
    <cellStyle name="Comma 5 3 8" xfId="7198"/>
    <cellStyle name="Comma 5 4" xfId="423"/>
    <cellStyle name="Comma 5 4 2" xfId="629"/>
    <cellStyle name="Comma 5 4 2 2" xfId="7199"/>
    <cellStyle name="Comma 5 4 2 2 2" xfId="7200"/>
    <cellStyle name="Comma 5 4 2 2 2 2" xfId="7201"/>
    <cellStyle name="Comma 5 4 2 2 2 2 2" xfId="7202"/>
    <cellStyle name="Comma 5 4 2 2 2 2 3" xfId="7203"/>
    <cellStyle name="Comma 5 4 2 2 2 3" xfId="7204"/>
    <cellStyle name="Comma 5 4 2 2 2 3 2" xfId="7205"/>
    <cellStyle name="Comma 5 4 2 2 2 3 3" xfId="7206"/>
    <cellStyle name="Comma 5 4 2 2 2 4" xfId="7207"/>
    <cellStyle name="Comma 5 4 2 2 2 5" xfId="7208"/>
    <cellStyle name="Comma 5 4 2 2 3" xfId="7209"/>
    <cellStyle name="Comma 5 4 2 2 3 2" xfId="7210"/>
    <cellStyle name="Comma 5 4 2 2 3 3" xfId="7211"/>
    <cellStyle name="Comma 5 4 2 2 4" xfId="7212"/>
    <cellStyle name="Comma 5 4 2 2 4 2" xfId="7213"/>
    <cellStyle name="Comma 5 4 2 2 4 3" xfId="7214"/>
    <cellStyle name="Comma 5 4 2 2 5" xfId="7215"/>
    <cellStyle name="Comma 5 4 2 2 6" xfId="7216"/>
    <cellStyle name="Comma 5 4 2 3" xfId="7217"/>
    <cellStyle name="Comma 5 4 2 3 2" xfId="7218"/>
    <cellStyle name="Comma 5 4 2 3 2 2" xfId="7219"/>
    <cellStyle name="Comma 5 4 2 3 2 3" xfId="7220"/>
    <cellStyle name="Comma 5 4 2 3 3" xfId="7221"/>
    <cellStyle name="Comma 5 4 2 3 3 2" xfId="7222"/>
    <cellStyle name="Comma 5 4 2 3 3 3" xfId="7223"/>
    <cellStyle name="Comma 5 4 2 3 4" xfId="7224"/>
    <cellStyle name="Comma 5 4 2 3 5" xfId="7225"/>
    <cellStyle name="Comma 5 4 2 4" xfId="7226"/>
    <cellStyle name="Comma 5 4 2 4 2" xfId="7227"/>
    <cellStyle name="Comma 5 4 2 4 3" xfId="7228"/>
    <cellStyle name="Comma 5 4 2 5" xfId="7229"/>
    <cellStyle name="Comma 5 4 2 5 2" xfId="7230"/>
    <cellStyle name="Comma 5 4 2 5 3" xfId="7231"/>
    <cellStyle name="Comma 5 4 2 6" xfId="7232"/>
    <cellStyle name="Comma 5 4 2 7" xfId="7233"/>
    <cellStyle name="Comma 5 4 3" xfId="1401"/>
    <cellStyle name="Comma 5 4 3 2" xfId="7234"/>
    <cellStyle name="Comma 5 4 3 2 2" xfId="7235"/>
    <cellStyle name="Comma 5 4 3 2 2 2" xfId="7236"/>
    <cellStyle name="Comma 5 4 3 2 2 3" xfId="7237"/>
    <cellStyle name="Comma 5 4 3 2 3" xfId="7238"/>
    <cellStyle name="Comma 5 4 3 2 3 2" xfId="7239"/>
    <cellStyle name="Comma 5 4 3 2 3 3" xfId="7240"/>
    <cellStyle name="Comma 5 4 3 2 4" xfId="7241"/>
    <cellStyle name="Comma 5 4 3 2 5" xfId="7242"/>
    <cellStyle name="Comma 5 4 3 3" xfId="7243"/>
    <cellStyle name="Comma 5 4 3 3 2" xfId="7244"/>
    <cellStyle name="Comma 5 4 3 3 3" xfId="7245"/>
    <cellStyle name="Comma 5 4 3 4" xfId="7246"/>
    <cellStyle name="Comma 5 4 3 4 2" xfId="7247"/>
    <cellStyle name="Comma 5 4 3 4 3" xfId="7248"/>
    <cellStyle name="Comma 5 4 3 5" xfId="7249"/>
    <cellStyle name="Comma 5 4 3 6" xfId="7250"/>
    <cellStyle name="Comma 5 4 4" xfId="7251"/>
    <cellStyle name="Comma 5 4 4 2" xfId="7252"/>
    <cellStyle name="Comma 5 4 4 2 2" xfId="7253"/>
    <cellStyle name="Comma 5 4 4 2 3" xfId="7254"/>
    <cellStyle name="Comma 5 4 4 3" xfId="7255"/>
    <cellStyle name="Comma 5 4 4 3 2" xfId="7256"/>
    <cellStyle name="Comma 5 4 4 3 3" xfId="7257"/>
    <cellStyle name="Comma 5 4 4 4" xfId="7258"/>
    <cellStyle name="Comma 5 4 4 5" xfId="7259"/>
    <cellStyle name="Comma 5 4 4 6" xfId="7260"/>
    <cellStyle name="Comma 5 4 5" xfId="7261"/>
    <cellStyle name="Comma 5 4 5 2" xfId="7262"/>
    <cellStyle name="Comma 5 4 5 3" xfId="7263"/>
    <cellStyle name="Comma 5 4 6" xfId="7264"/>
    <cellStyle name="Comma 5 4 6 2" xfId="7265"/>
    <cellStyle name="Comma 5 4 6 3" xfId="7266"/>
    <cellStyle name="Comma 5 4 7" xfId="7267"/>
    <cellStyle name="Comma 5 4 8" xfId="7268"/>
    <cellStyle name="Comma 5 5" xfId="630"/>
    <cellStyle name="Comma 5 5 2" xfId="631"/>
    <cellStyle name="Comma 5 5 2 2" xfId="7269"/>
    <cellStyle name="Comma 5 5 2 2 2" xfId="7270"/>
    <cellStyle name="Comma 5 5 2 2 2 2" xfId="7271"/>
    <cellStyle name="Comma 5 5 2 2 2 3" xfId="7272"/>
    <cellStyle name="Comma 5 5 2 2 3" xfId="7273"/>
    <cellStyle name="Comma 5 5 2 2 3 2" xfId="7274"/>
    <cellStyle name="Comma 5 5 2 2 3 3" xfId="7275"/>
    <cellStyle name="Comma 5 5 2 2 4" xfId="7276"/>
    <cellStyle name="Comma 5 5 2 2 5" xfId="7277"/>
    <cellStyle name="Comma 5 5 2 3" xfId="7278"/>
    <cellStyle name="Comma 5 5 2 3 2" xfId="7279"/>
    <cellStyle name="Comma 5 5 2 3 3" xfId="7280"/>
    <cellStyle name="Comma 5 5 2 4" xfId="7281"/>
    <cellStyle name="Comma 5 5 2 4 2" xfId="7282"/>
    <cellStyle name="Comma 5 5 2 4 3" xfId="7283"/>
    <cellStyle name="Comma 5 5 2 5" xfId="7284"/>
    <cellStyle name="Comma 5 5 2 6" xfId="7285"/>
    <cellStyle name="Comma 5 5 3" xfId="7286"/>
    <cellStyle name="Comma 5 5 3 2" xfId="7287"/>
    <cellStyle name="Comma 5 5 3 2 2" xfId="7288"/>
    <cellStyle name="Comma 5 5 3 2 3" xfId="7289"/>
    <cellStyle name="Comma 5 5 3 3" xfId="7290"/>
    <cellStyle name="Comma 5 5 3 3 2" xfId="7291"/>
    <cellStyle name="Comma 5 5 3 3 3" xfId="7292"/>
    <cellStyle name="Comma 5 5 3 4" xfId="7293"/>
    <cellStyle name="Comma 5 5 3 5" xfId="7294"/>
    <cellStyle name="Comma 5 5 4" xfId="7295"/>
    <cellStyle name="Comma 5 5 4 2" xfId="7296"/>
    <cellStyle name="Comma 5 5 4 3" xfId="7297"/>
    <cellStyle name="Comma 5 5 5" xfId="7298"/>
    <cellStyle name="Comma 5 5 5 2" xfId="7299"/>
    <cellStyle name="Comma 5 5 5 3" xfId="7300"/>
    <cellStyle name="Comma 5 5 6" xfId="7301"/>
    <cellStyle name="Comma 5 5 7" xfId="7302"/>
    <cellStyle name="Comma 5 6" xfId="632"/>
    <cellStyle name="Comma 5 6 2" xfId="7303"/>
    <cellStyle name="Comma 5 6 2 2" xfId="7304"/>
    <cellStyle name="Comma 5 6 2 2 2" xfId="7305"/>
    <cellStyle name="Comma 5 6 2 2 3" xfId="7306"/>
    <cellStyle name="Comma 5 6 2 3" xfId="7307"/>
    <cellStyle name="Comma 5 6 2 3 2" xfId="7308"/>
    <cellStyle name="Comma 5 6 2 3 3" xfId="7309"/>
    <cellStyle name="Comma 5 6 2 4" xfId="7310"/>
    <cellStyle name="Comma 5 6 2 5" xfId="7311"/>
    <cellStyle name="Comma 5 6 3" xfId="7312"/>
    <cellStyle name="Comma 5 6 3 2" xfId="7313"/>
    <cellStyle name="Comma 5 6 3 3" xfId="7314"/>
    <cellStyle name="Comma 5 6 4" xfId="7315"/>
    <cellStyle name="Comma 5 6 4 2" xfId="7316"/>
    <cellStyle name="Comma 5 6 4 3" xfId="7317"/>
    <cellStyle name="Comma 5 6 5" xfId="7318"/>
    <cellStyle name="Comma 5 6 6" xfId="7319"/>
    <cellStyle name="Comma 5 7" xfId="7320"/>
    <cellStyle name="Comma 5 7 2" xfId="7321"/>
    <cellStyle name="Comma 5 7 2 2" xfId="7322"/>
    <cellStyle name="Comma 5 7 2 3" xfId="7323"/>
    <cellStyle name="Comma 5 7 3" xfId="7324"/>
    <cellStyle name="Comma 5 7 3 2" xfId="7325"/>
    <cellStyle name="Comma 5 7 3 3" xfId="7326"/>
    <cellStyle name="Comma 5 7 4" xfId="7327"/>
    <cellStyle name="Comma 5 7 5" xfId="7328"/>
    <cellStyle name="Comma 5 8" xfId="7329"/>
    <cellStyle name="Comma 5 8 2" xfId="7330"/>
    <cellStyle name="Comma 5 8 3" xfId="7331"/>
    <cellStyle name="Comma 5 9" xfId="7332"/>
    <cellStyle name="Comma 5 9 2" xfId="7333"/>
    <cellStyle name="Comma 5 9 3" xfId="7334"/>
    <cellStyle name="Comma 6" xfId="178"/>
    <cellStyle name="Comma 6 10" xfId="7335"/>
    <cellStyle name="Comma 6 11" xfId="7336"/>
    <cellStyle name="Comma 6 2" xfId="179"/>
    <cellStyle name="Comma 6 2 2" xfId="633"/>
    <cellStyle name="Comma 6 2 2 2" xfId="634"/>
    <cellStyle name="Comma 6 2 2 2 2" xfId="635"/>
    <cellStyle name="Comma 6 2 2 2 2 2" xfId="7337"/>
    <cellStyle name="Comma 6 2 2 2 2 2 2" xfId="7338"/>
    <cellStyle name="Comma 6 2 2 2 2 2 2 2" xfId="7339"/>
    <cellStyle name="Comma 6 2 2 2 2 2 2 3" xfId="7340"/>
    <cellStyle name="Comma 6 2 2 2 2 2 3" xfId="7341"/>
    <cellStyle name="Comma 6 2 2 2 2 2 3 2" xfId="7342"/>
    <cellStyle name="Comma 6 2 2 2 2 2 3 3" xfId="7343"/>
    <cellStyle name="Comma 6 2 2 2 2 2 4" xfId="7344"/>
    <cellStyle name="Comma 6 2 2 2 2 2 5" xfId="7345"/>
    <cellStyle name="Comma 6 2 2 2 2 3" xfId="7346"/>
    <cellStyle name="Comma 6 2 2 2 2 3 2" xfId="7347"/>
    <cellStyle name="Comma 6 2 2 2 2 3 3" xfId="7348"/>
    <cellStyle name="Comma 6 2 2 2 2 4" xfId="7349"/>
    <cellStyle name="Comma 6 2 2 2 2 4 2" xfId="7350"/>
    <cellStyle name="Comma 6 2 2 2 2 4 3" xfId="7351"/>
    <cellStyle name="Comma 6 2 2 2 2 5" xfId="7352"/>
    <cellStyle name="Comma 6 2 2 2 2 6" xfId="7353"/>
    <cellStyle name="Comma 6 2 2 2 3" xfId="7354"/>
    <cellStyle name="Comma 6 2 2 2 3 2" xfId="7355"/>
    <cellStyle name="Comma 6 2 2 2 3 2 2" xfId="7356"/>
    <cellStyle name="Comma 6 2 2 2 3 2 3" xfId="7357"/>
    <cellStyle name="Comma 6 2 2 2 3 3" xfId="7358"/>
    <cellStyle name="Comma 6 2 2 2 3 3 2" xfId="7359"/>
    <cellStyle name="Comma 6 2 2 2 3 3 3" xfId="7360"/>
    <cellStyle name="Comma 6 2 2 2 3 4" xfId="7361"/>
    <cellStyle name="Comma 6 2 2 2 3 5" xfId="7362"/>
    <cellStyle name="Comma 6 2 2 2 4" xfId="7363"/>
    <cellStyle name="Comma 6 2 2 2 4 2" xfId="7364"/>
    <cellStyle name="Comma 6 2 2 2 4 3" xfId="7365"/>
    <cellStyle name="Comma 6 2 2 2 5" xfId="7366"/>
    <cellStyle name="Comma 6 2 2 2 5 2" xfId="7367"/>
    <cellStyle name="Comma 6 2 2 2 5 3" xfId="7368"/>
    <cellStyle name="Comma 6 2 2 2 6" xfId="7369"/>
    <cellStyle name="Comma 6 2 2 2 7" xfId="7370"/>
    <cellStyle name="Comma 6 2 2 2 8" xfId="7371"/>
    <cellStyle name="Comma 6 2 2 3" xfId="636"/>
    <cellStyle name="Comma 6 2 2 3 2" xfId="7372"/>
    <cellStyle name="Comma 6 2 2 3 2 2" xfId="7373"/>
    <cellStyle name="Comma 6 2 2 3 2 2 2" xfId="7374"/>
    <cellStyle name="Comma 6 2 2 3 2 2 3" xfId="7375"/>
    <cellStyle name="Comma 6 2 2 3 2 3" xfId="7376"/>
    <cellStyle name="Comma 6 2 2 3 2 3 2" xfId="7377"/>
    <cellStyle name="Comma 6 2 2 3 2 3 3" xfId="7378"/>
    <cellStyle name="Comma 6 2 2 3 2 4" xfId="7379"/>
    <cellStyle name="Comma 6 2 2 3 2 5" xfId="7380"/>
    <cellStyle name="Comma 6 2 2 3 3" xfId="7381"/>
    <cellStyle name="Comma 6 2 2 3 3 2" xfId="7382"/>
    <cellStyle name="Comma 6 2 2 3 3 3" xfId="7383"/>
    <cellStyle name="Comma 6 2 2 3 4" xfId="7384"/>
    <cellStyle name="Comma 6 2 2 3 4 2" xfId="7385"/>
    <cellStyle name="Comma 6 2 2 3 4 3" xfId="7386"/>
    <cellStyle name="Comma 6 2 2 3 5" xfId="7387"/>
    <cellStyle name="Comma 6 2 2 3 6" xfId="7388"/>
    <cellStyle name="Comma 6 2 2 4" xfId="7389"/>
    <cellStyle name="Comma 6 2 2 4 2" xfId="7390"/>
    <cellStyle name="Comma 6 2 2 4 2 2" xfId="7391"/>
    <cellStyle name="Comma 6 2 2 4 2 3" xfId="7392"/>
    <cellStyle name="Comma 6 2 2 4 3" xfId="7393"/>
    <cellStyle name="Comma 6 2 2 4 3 2" xfId="7394"/>
    <cellStyle name="Comma 6 2 2 4 3 3" xfId="7395"/>
    <cellStyle name="Comma 6 2 2 4 4" xfId="7396"/>
    <cellStyle name="Comma 6 2 2 4 5" xfId="7397"/>
    <cellStyle name="Comma 6 2 2 5" xfId="7398"/>
    <cellStyle name="Comma 6 2 2 5 2" xfId="7399"/>
    <cellStyle name="Comma 6 2 2 5 3" xfId="7400"/>
    <cellStyle name="Comma 6 2 2 6" xfId="7401"/>
    <cellStyle name="Comma 6 2 2 6 2" xfId="7402"/>
    <cellStyle name="Comma 6 2 2 6 3" xfId="7403"/>
    <cellStyle name="Comma 6 2 2 7" xfId="7404"/>
    <cellStyle name="Comma 6 2 2 8" xfId="7405"/>
    <cellStyle name="Comma 6 2 3" xfId="637"/>
    <cellStyle name="Comma 6 2 3 2" xfId="638"/>
    <cellStyle name="Comma 6 2 3 2 2" xfId="7406"/>
    <cellStyle name="Comma 6 2 3 2 2 2" xfId="7407"/>
    <cellStyle name="Comma 6 2 3 2 2 2 2" xfId="7408"/>
    <cellStyle name="Comma 6 2 3 2 2 2 3" xfId="7409"/>
    <cellStyle name="Comma 6 2 3 2 2 3" xfId="7410"/>
    <cellStyle name="Comma 6 2 3 2 2 3 2" xfId="7411"/>
    <cellStyle name="Comma 6 2 3 2 2 3 3" xfId="7412"/>
    <cellStyle name="Comma 6 2 3 2 2 4" xfId="7413"/>
    <cellStyle name="Comma 6 2 3 2 2 5" xfId="7414"/>
    <cellStyle name="Comma 6 2 3 2 3" xfId="7415"/>
    <cellStyle name="Comma 6 2 3 2 3 2" xfId="7416"/>
    <cellStyle name="Comma 6 2 3 2 3 3" xfId="7417"/>
    <cellStyle name="Comma 6 2 3 2 4" xfId="7418"/>
    <cellStyle name="Comma 6 2 3 2 4 2" xfId="7419"/>
    <cellStyle name="Comma 6 2 3 2 4 3" xfId="7420"/>
    <cellStyle name="Comma 6 2 3 2 5" xfId="7421"/>
    <cellStyle name="Comma 6 2 3 2 6" xfId="7422"/>
    <cellStyle name="Comma 6 2 3 3" xfId="7423"/>
    <cellStyle name="Comma 6 2 3 3 2" xfId="7424"/>
    <cellStyle name="Comma 6 2 3 3 2 2" xfId="7425"/>
    <cellStyle name="Comma 6 2 3 3 2 3" xfId="7426"/>
    <cellStyle name="Comma 6 2 3 3 3" xfId="7427"/>
    <cellStyle name="Comma 6 2 3 3 3 2" xfId="7428"/>
    <cellStyle name="Comma 6 2 3 3 3 3" xfId="7429"/>
    <cellStyle name="Comma 6 2 3 3 4" xfId="7430"/>
    <cellStyle name="Comma 6 2 3 3 5" xfId="7431"/>
    <cellStyle name="Comma 6 2 3 3 6" xfId="7432"/>
    <cellStyle name="Comma 6 2 3 4" xfId="7433"/>
    <cellStyle name="Comma 6 2 3 4 2" xfId="7434"/>
    <cellStyle name="Comma 6 2 3 4 3" xfId="7435"/>
    <cellStyle name="Comma 6 2 3 5" xfId="7436"/>
    <cellStyle name="Comma 6 2 3 5 2" xfId="7437"/>
    <cellStyle name="Comma 6 2 3 5 3" xfId="7438"/>
    <cellStyle name="Comma 6 2 3 6" xfId="7439"/>
    <cellStyle name="Comma 6 2 3 7" xfId="7440"/>
    <cellStyle name="Comma 6 2 3 8" xfId="7441"/>
    <cellStyle name="Comma 6 2 4" xfId="639"/>
    <cellStyle name="Comma 6 2 4 2" xfId="7442"/>
    <cellStyle name="Comma 6 2 4 2 2" xfId="7443"/>
    <cellStyle name="Comma 6 2 4 2 2 2" xfId="7444"/>
    <cellStyle name="Comma 6 2 4 2 2 3" xfId="7445"/>
    <cellStyle name="Comma 6 2 4 2 3" xfId="7446"/>
    <cellStyle name="Comma 6 2 4 2 3 2" xfId="7447"/>
    <cellStyle name="Comma 6 2 4 2 3 3" xfId="7448"/>
    <cellStyle name="Comma 6 2 4 2 4" xfId="7449"/>
    <cellStyle name="Comma 6 2 4 2 5" xfId="7450"/>
    <cellStyle name="Comma 6 2 4 3" xfId="7451"/>
    <cellStyle name="Comma 6 2 4 3 2" xfId="7452"/>
    <cellStyle name="Comma 6 2 4 3 3" xfId="7453"/>
    <cellStyle name="Comma 6 2 4 4" xfId="7454"/>
    <cellStyle name="Comma 6 2 4 4 2" xfId="7455"/>
    <cellStyle name="Comma 6 2 4 4 3" xfId="7456"/>
    <cellStyle name="Comma 6 2 4 5" xfId="7457"/>
    <cellStyle name="Comma 6 2 4 6" xfId="7458"/>
    <cellStyle name="Comma 6 2 5" xfId="7459"/>
    <cellStyle name="Comma 6 2 5 2" xfId="7460"/>
    <cellStyle name="Comma 6 2 5 2 2" xfId="7461"/>
    <cellStyle name="Comma 6 2 5 2 3" xfId="7462"/>
    <cellStyle name="Comma 6 2 5 3" xfId="7463"/>
    <cellStyle name="Comma 6 2 5 3 2" xfId="7464"/>
    <cellStyle name="Comma 6 2 5 3 3" xfId="7465"/>
    <cellStyle name="Comma 6 2 5 4" xfId="7466"/>
    <cellStyle name="Comma 6 2 5 5" xfId="7467"/>
    <cellStyle name="Comma 6 2 6" xfId="7468"/>
    <cellStyle name="Comma 6 2 6 2" xfId="7469"/>
    <cellStyle name="Comma 6 2 6 3" xfId="7470"/>
    <cellStyle name="Comma 6 2 7" xfId="7471"/>
    <cellStyle name="Comma 6 2 7 2" xfId="7472"/>
    <cellStyle name="Comma 6 2 7 3" xfId="7473"/>
    <cellStyle name="Comma 6 2 8" xfId="7474"/>
    <cellStyle name="Comma 6 2 9" xfId="7475"/>
    <cellStyle name="Comma 6 3" xfId="640"/>
    <cellStyle name="Comma 6 3 2" xfId="641"/>
    <cellStyle name="Comma 6 3 2 2" xfId="642"/>
    <cellStyle name="Comma 6 3 2 2 2" xfId="7476"/>
    <cellStyle name="Comma 6 3 2 2 2 2" xfId="7477"/>
    <cellStyle name="Comma 6 3 2 2 2 2 2" xfId="7478"/>
    <cellStyle name="Comma 6 3 2 2 2 2 3" xfId="7479"/>
    <cellStyle name="Comma 6 3 2 2 2 3" xfId="7480"/>
    <cellStyle name="Comma 6 3 2 2 2 3 2" xfId="7481"/>
    <cellStyle name="Comma 6 3 2 2 2 3 3" xfId="7482"/>
    <cellStyle name="Comma 6 3 2 2 2 4" xfId="7483"/>
    <cellStyle name="Comma 6 3 2 2 2 5" xfId="7484"/>
    <cellStyle name="Comma 6 3 2 2 3" xfId="7485"/>
    <cellStyle name="Comma 6 3 2 2 3 2" xfId="7486"/>
    <cellStyle name="Comma 6 3 2 2 3 3" xfId="7487"/>
    <cellStyle name="Comma 6 3 2 2 4" xfId="7488"/>
    <cellStyle name="Comma 6 3 2 2 4 2" xfId="7489"/>
    <cellStyle name="Comma 6 3 2 2 4 3" xfId="7490"/>
    <cellStyle name="Comma 6 3 2 2 5" xfId="7491"/>
    <cellStyle name="Comma 6 3 2 2 6" xfId="7492"/>
    <cellStyle name="Comma 6 3 2 3" xfId="7493"/>
    <cellStyle name="Comma 6 3 2 3 2" xfId="7494"/>
    <cellStyle name="Comma 6 3 2 3 2 2" xfId="7495"/>
    <cellStyle name="Comma 6 3 2 3 2 3" xfId="7496"/>
    <cellStyle name="Comma 6 3 2 3 3" xfId="7497"/>
    <cellStyle name="Comma 6 3 2 3 3 2" xfId="7498"/>
    <cellStyle name="Comma 6 3 2 3 3 3" xfId="7499"/>
    <cellStyle name="Comma 6 3 2 3 4" xfId="7500"/>
    <cellStyle name="Comma 6 3 2 3 5" xfId="7501"/>
    <cellStyle name="Comma 6 3 2 4" xfId="7502"/>
    <cellStyle name="Comma 6 3 2 4 2" xfId="7503"/>
    <cellStyle name="Comma 6 3 2 4 3" xfId="7504"/>
    <cellStyle name="Comma 6 3 2 5" xfId="7505"/>
    <cellStyle name="Comma 6 3 2 5 2" xfId="7506"/>
    <cellStyle name="Comma 6 3 2 5 3" xfId="7507"/>
    <cellStyle name="Comma 6 3 2 6" xfId="7508"/>
    <cellStyle name="Comma 6 3 2 7" xfId="7509"/>
    <cellStyle name="Comma 6 3 2 8" xfId="7510"/>
    <cellStyle name="Comma 6 3 3" xfId="643"/>
    <cellStyle name="Comma 6 3 3 2" xfId="7511"/>
    <cellStyle name="Comma 6 3 3 2 2" xfId="7512"/>
    <cellStyle name="Comma 6 3 3 2 2 2" xfId="7513"/>
    <cellStyle name="Comma 6 3 3 2 2 3" xfId="7514"/>
    <cellStyle name="Comma 6 3 3 2 3" xfId="7515"/>
    <cellStyle name="Comma 6 3 3 2 3 2" xfId="7516"/>
    <cellStyle name="Comma 6 3 3 2 3 3" xfId="7517"/>
    <cellStyle name="Comma 6 3 3 2 4" xfId="7518"/>
    <cellStyle name="Comma 6 3 3 2 5" xfId="7519"/>
    <cellStyle name="Comma 6 3 3 3" xfId="7520"/>
    <cellStyle name="Comma 6 3 3 3 2" xfId="7521"/>
    <cellStyle name="Comma 6 3 3 3 3" xfId="7522"/>
    <cellStyle name="Comma 6 3 3 4" xfId="7523"/>
    <cellStyle name="Comma 6 3 3 4 2" xfId="7524"/>
    <cellStyle name="Comma 6 3 3 4 3" xfId="7525"/>
    <cellStyle name="Comma 6 3 3 5" xfId="7526"/>
    <cellStyle name="Comma 6 3 3 6" xfId="7527"/>
    <cellStyle name="Comma 6 3 4" xfId="7528"/>
    <cellStyle name="Comma 6 3 4 2" xfId="7529"/>
    <cellStyle name="Comma 6 3 4 2 2" xfId="7530"/>
    <cellStyle name="Comma 6 3 4 2 3" xfId="7531"/>
    <cellStyle name="Comma 6 3 4 3" xfId="7532"/>
    <cellStyle name="Comma 6 3 4 3 2" xfId="7533"/>
    <cellStyle name="Comma 6 3 4 3 3" xfId="7534"/>
    <cellStyle name="Comma 6 3 4 4" xfId="7535"/>
    <cellStyle name="Comma 6 3 4 5" xfId="7536"/>
    <cellStyle name="Comma 6 3 5" xfId="7537"/>
    <cellStyle name="Comma 6 3 5 2" xfId="7538"/>
    <cellStyle name="Comma 6 3 5 3" xfId="7539"/>
    <cellStyle name="Comma 6 3 6" xfId="7540"/>
    <cellStyle name="Comma 6 3 6 2" xfId="7541"/>
    <cellStyle name="Comma 6 3 6 3" xfId="7542"/>
    <cellStyle name="Comma 6 3 7" xfId="7543"/>
    <cellStyle name="Comma 6 3 8" xfId="7544"/>
    <cellStyle name="Comma 6 4" xfId="644"/>
    <cellStyle name="Comma 6 4 2" xfId="645"/>
    <cellStyle name="Comma 6 4 2 2" xfId="7545"/>
    <cellStyle name="Comma 6 4 2 2 2" xfId="7546"/>
    <cellStyle name="Comma 6 4 2 2 2 2" xfId="7547"/>
    <cellStyle name="Comma 6 4 2 2 2 2 2" xfId="7548"/>
    <cellStyle name="Comma 6 4 2 2 2 2 3" xfId="7549"/>
    <cellStyle name="Comma 6 4 2 2 2 3" xfId="7550"/>
    <cellStyle name="Comma 6 4 2 2 2 3 2" xfId="7551"/>
    <cellStyle name="Comma 6 4 2 2 2 3 3" xfId="7552"/>
    <cellStyle name="Comma 6 4 2 2 2 4" xfId="7553"/>
    <cellStyle name="Comma 6 4 2 2 2 5" xfId="7554"/>
    <cellStyle name="Comma 6 4 2 2 3" xfId="7555"/>
    <cellStyle name="Comma 6 4 2 2 3 2" xfId="7556"/>
    <cellStyle name="Comma 6 4 2 2 3 3" xfId="7557"/>
    <cellStyle name="Comma 6 4 2 2 4" xfId="7558"/>
    <cellStyle name="Comma 6 4 2 2 4 2" xfId="7559"/>
    <cellStyle name="Comma 6 4 2 2 4 3" xfId="7560"/>
    <cellStyle name="Comma 6 4 2 2 5" xfId="7561"/>
    <cellStyle name="Comma 6 4 2 2 6" xfId="7562"/>
    <cellStyle name="Comma 6 4 2 3" xfId="7563"/>
    <cellStyle name="Comma 6 4 2 3 2" xfId="7564"/>
    <cellStyle name="Comma 6 4 2 3 2 2" xfId="7565"/>
    <cellStyle name="Comma 6 4 2 3 2 3" xfId="7566"/>
    <cellStyle name="Comma 6 4 2 3 3" xfId="7567"/>
    <cellStyle name="Comma 6 4 2 3 3 2" xfId="7568"/>
    <cellStyle name="Comma 6 4 2 3 3 3" xfId="7569"/>
    <cellStyle name="Comma 6 4 2 3 4" xfId="7570"/>
    <cellStyle name="Comma 6 4 2 3 5" xfId="7571"/>
    <cellStyle name="Comma 6 4 2 4" xfId="7572"/>
    <cellStyle name="Comma 6 4 2 4 2" xfId="7573"/>
    <cellStyle name="Comma 6 4 2 4 3" xfId="7574"/>
    <cellStyle name="Comma 6 4 2 5" xfId="7575"/>
    <cellStyle name="Comma 6 4 2 5 2" xfId="7576"/>
    <cellStyle name="Comma 6 4 2 5 3" xfId="7577"/>
    <cellStyle name="Comma 6 4 2 6" xfId="7578"/>
    <cellStyle name="Comma 6 4 2 7" xfId="7579"/>
    <cellStyle name="Comma 6 4 3" xfId="7580"/>
    <cellStyle name="Comma 6 4 3 2" xfId="7581"/>
    <cellStyle name="Comma 6 4 3 2 2" xfId="7582"/>
    <cellStyle name="Comma 6 4 3 2 2 2" xfId="7583"/>
    <cellStyle name="Comma 6 4 3 2 2 3" xfId="7584"/>
    <cellStyle name="Comma 6 4 3 2 3" xfId="7585"/>
    <cellStyle name="Comma 6 4 3 2 3 2" xfId="7586"/>
    <cellStyle name="Comma 6 4 3 2 3 3" xfId="7587"/>
    <cellStyle name="Comma 6 4 3 2 4" xfId="7588"/>
    <cellStyle name="Comma 6 4 3 2 5" xfId="7589"/>
    <cellStyle name="Comma 6 4 3 3" xfId="7590"/>
    <cellStyle name="Comma 6 4 3 3 2" xfId="7591"/>
    <cellStyle name="Comma 6 4 3 3 3" xfId="7592"/>
    <cellStyle name="Comma 6 4 3 4" xfId="7593"/>
    <cellStyle name="Comma 6 4 3 4 2" xfId="7594"/>
    <cellStyle name="Comma 6 4 3 4 3" xfId="7595"/>
    <cellStyle name="Comma 6 4 3 5" xfId="7596"/>
    <cellStyle name="Comma 6 4 3 6" xfId="7597"/>
    <cellStyle name="Comma 6 4 3 7" xfId="7598"/>
    <cellStyle name="Comma 6 4 4" xfId="7599"/>
    <cellStyle name="Comma 6 4 4 2" xfId="7600"/>
    <cellStyle name="Comma 6 4 4 2 2" xfId="7601"/>
    <cellStyle name="Comma 6 4 4 2 3" xfId="7602"/>
    <cellStyle name="Comma 6 4 4 3" xfId="7603"/>
    <cellStyle name="Comma 6 4 4 3 2" xfId="7604"/>
    <cellStyle name="Comma 6 4 4 3 3" xfId="7605"/>
    <cellStyle name="Comma 6 4 4 4" xfId="7606"/>
    <cellStyle name="Comma 6 4 4 5" xfId="7607"/>
    <cellStyle name="Comma 6 4 5" xfId="7608"/>
    <cellStyle name="Comma 6 4 5 2" xfId="7609"/>
    <cellStyle name="Comma 6 4 5 3" xfId="7610"/>
    <cellStyle name="Comma 6 4 6" xfId="7611"/>
    <cellStyle name="Comma 6 4 6 2" xfId="7612"/>
    <cellStyle name="Comma 6 4 6 3" xfId="7613"/>
    <cellStyle name="Comma 6 4 7" xfId="7614"/>
    <cellStyle name="Comma 6 4 8" xfId="7615"/>
    <cellStyle name="Comma 6 5" xfId="646"/>
    <cellStyle name="Comma 6 5 2" xfId="7616"/>
    <cellStyle name="Comma 6 5 2 2" xfId="7617"/>
    <cellStyle name="Comma 6 5 2 2 2" xfId="7618"/>
    <cellStyle name="Comma 6 5 2 2 2 2" xfId="7619"/>
    <cellStyle name="Comma 6 5 2 2 2 3" xfId="7620"/>
    <cellStyle name="Comma 6 5 2 2 3" xfId="7621"/>
    <cellStyle name="Comma 6 5 2 2 3 2" xfId="7622"/>
    <cellStyle name="Comma 6 5 2 2 3 3" xfId="7623"/>
    <cellStyle name="Comma 6 5 2 2 4" xfId="7624"/>
    <cellStyle name="Comma 6 5 2 2 5" xfId="7625"/>
    <cellStyle name="Comma 6 5 2 3" xfId="7626"/>
    <cellStyle name="Comma 6 5 2 3 2" xfId="7627"/>
    <cellStyle name="Comma 6 5 2 3 3" xfId="7628"/>
    <cellStyle name="Comma 6 5 2 4" xfId="7629"/>
    <cellStyle name="Comma 6 5 2 4 2" xfId="7630"/>
    <cellStyle name="Comma 6 5 2 4 3" xfId="7631"/>
    <cellStyle name="Comma 6 5 2 5" xfId="7632"/>
    <cellStyle name="Comma 6 5 2 6" xfId="7633"/>
    <cellStyle name="Comma 6 5 3" xfId="7634"/>
    <cellStyle name="Comma 6 5 3 2" xfId="7635"/>
    <cellStyle name="Comma 6 5 3 2 2" xfId="7636"/>
    <cellStyle name="Comma 6 5 3 2 3" xfId="7637"/>
    <cellStyle name="Comma 6 5 3 3" xfId="7638"/>
    <cellStyle name="Comma 6 5 3 3 2" xfId="7639"/>
    <cellStyle name="Comma 6 5 3 3 3" xfId="7640"/>
    <cellStyle name="Comma 6 5 3 4" xfId="7641"/>
    <cellStyle name="Comma 6 5 3 5" xfId="7642"/>
    <cellStyle name="Comma 6 5 4" xfId="7643"/>
    <cellStyle name="Comma 6 5 4 2" xfId="7644"/>
    <cellStyle name="Comma 6 5 4 3" xfId="7645"/>
    <cellStyle name="Comma 6 5 5" xfId="7646"/>
    <cellStyle name="Comma 6 5 5 2" xfId="7647"/>
    <cellStyle name="Comma 6 5 5 3" xfId="7648"/>
    <cellStyle name="Comma 6 5 6" xfId="7649"/>
    <cellStyle name="Comma 6 5 7" xfId="7650"/>
    <cellStyle name="Comma 6 6" xfId="1402"/>
    <cellStyle name="Comma 6 6 2" xfId="7651"/>
    <cellStyle name="Comma 6 6 2 2" xfId="7652"/>
    <cellStyle name="Comma 6 6 2 2 2" xfId="7653"/>
    <cellStyle name="Comma 6 6 2 2 3" xfId="7654"/>
    <cellStyle name="Comma 6 6 2 3" xfId="7655"/>
    <cellStyle name="Comma 6 6 2 3 2" xfId="7656"/>
    <cellStyle name="Comma 6 6 2 3 3" xfId="7657"/>
    <cellStyle name="Comma 6 6 2 4" xfId="7658"/>
    <cellStyle name="Comma 6 6 2 5" xfId="7659"/>
    <cellStyle name="Comma 6 6 3" xfId="7660"/>
    <cellStyle name="Comma 6 6 3 2" xfId="7661"/>
    <cellStyle name="Comma 6 6 3 3" xfId="7662"/>
    <cellStyle name="Comma 6 6 4" xfId="7663"/>
    <cellStyle name="Comma 6 6 4 2" xfId="7664"/>
    <cellStyle name="Comma 6 6 4 3" xfId="7665"/>
    <cellStyle name="Comma 6 6 5" xfId="7666"/>
    <cellStyle name="Comma 6 6 6" xfId="7667"/>
    <cellStyle name="Comma 6 6 7" xfId="7668"/>
    <cellStyle name="Comma 6 7" xfId="7669"/>
    <cellStyle name="Comma 6 7 2" xfId="7670"/>
    <cellStyle name="Comma 6 7 2 2" xfId="7671"/>
    <cellStyle name="Comma 6 7 2 3" xfId="7672"/>
    <cellStyle name="Comma 6 7 3" xfId="7673"/>
    <cellStyle name="Comma 6 7 3 2" xfId="7674"/>
    <cellStyle name="Comma 6 7 3 3" xfId="7675"/>
    <cellStyle name="Comma 6 7 4" xfId="7676"/>
    <cellStyle name="Comma 6 7 5" xfId="7677"/>
    <cellStyle name="Comma 6 8" xfId="7678"/>
    <cellStyle name="Comma 6 8 2" xfId="7679"/>
    <cellStyle name="Comma 6 8 3" xfId="7680"/>
    <cellStyle name="Comma 6 9" xfId="7681"/>
    <cellStyle name="Comma 6 9 2" xfId="7682"/>
    <cellStyle name="Comma 6 9 3" xfId="7683"/>
    <cellStyle name="Comma 7" xfId="180"/>
    <cellStyle name="Comma 7 10" xfId="7684"/>
    <cellStyle name="Comma 7 11" xfId="7685"/>
    <cellStyle name="Comma 7 2" xfId="647"/>
    <cellStyle name="Comma 7 2 2" xfId="648"/>
    <cellStyle name="Comma 7 2 2 2" xfId="649"/>
    <cellStyle name="Comma 7 2 2 2 2" xfId="650"/>
    <cellStyle name="Comma 7 2 2 2 2 2" xfId="7686"/>
    <cellStyle name="Comma 7 2 2 2 2 2 2" xfId="7687"/>
    <cellStyle name="Comma 7 2 2 2 2 2 2 2" xfId="7688"/>
    <cellStyle name="Comma 7 2 2 2 2 2 2 3" xfId="7689"/>
    <cellStyle name="Comma 7 2 2 2 2 2 3" xfId="7690"/>
    <cellStyle name="Comma 7 2 2 2 2 2 3 2" xfId="7691"/>
    <cellStyle name="Comma 7 2 2 2 2 2 3 3" xfId="7692"/>
    <cellStyle name="Comma 7 2 2 2 2 2 4" xfId="7693"/>
    <cellStyle name="Comma 7 2 2 2 2 2 5" xfId="7694"/>
    <cellStyle name="Comma 7 2 2 2 2 3" xfId="7695"/>
    <cellStyle name="Comma 7 2 2 2 2 3 2" xfId="7696"/>
    <cellStyle name="Comma 7 2 2 2 2 3 3" xfId="7697"/>
    <cellStyle name="Comma 7 2 2 2 2 4" xfId="7698"/>
    <cellStyle name="Comma 7 2 2 2 2 4 2" xfId="7699"/>
    <cellStyle name="Comma 7 2 2 2 2 4 3" xfId="7700"/>
    <cellStyle name="Comma 7 2 2 2 2 5" xfId="7701"/>
    <cellStyle name="Comma 7 2 2 2 2 6" xfId="7702"/>
    <cellStyle name="Comma 7 2 2 2 3" xfId="7703"/>
    <cellStyle name="Comma 7 2 2 2 3 2" xfId="7704"/>
    <cellStyle name="Comma 7 2 2 2 3 2 2" xfId="7705"/>
    <cellStyle name="Comma 7 2 2 2 3 2 3" xfId="7706"/>
    <cellStyle name="Comma 7 2 2 2 3 3" xfId="7707"/>
    <cellStyle name="Comma 7 2 2 2 3 3 2" xfId="7708"/>
    <cellStyle name="Comma 7 2 2 2 3 3 3" xfId="7709"/>
    <cellStyle name="Comma 7 2 2 2 3 4" xfId="7710"/>
    <cellStyle name="Comma 7 2 2 2 3 5" xfId="7711"/>
    <cellStyle name="Comma 7 2 2 2 4" xfId="7712"/>
    <cellStyle name="Comma 7 2 2 2 4 2" xfId="7713"/>
    <cellStyle name="Comma 7 2 2 2 4 3" xfId="7714"/>
    <cellStyle name="Comma 7 2 2 2 5" xfId="7715"/>
    <cellStyle name="Comma 7 2 2 2 5 2" xfId="7716"/>
    <cellStyle name="Comma 7 2 2 2 5 3" xfId="7717"/>
    <cellStyle name="Comma 7 2 2 2 6" xfId="7718"/>
    <cellStyle name="Comma 7 2 2 2 7" xfId="7719"/>
    <cellStyle name="Comma 7 2 2 3" xfId="651"/>
    <cellStyle name="Comma 7 2 2 3 2" xfId="7720"/>
    <cellStyle name="Comma 7 2 2 3 2 2" xfId="7721"/>
    <cellStyle name="Comma 7 2 2 3 2 2 2" xfId="7722"/>
    <cellStyle name="Comma 7 2 2 3 2 2 3" xfId="7723"/>
    <cellStyle name="Comma 7 2 2 3 2 3" xfId="7724"/>
    <cellStyle name="Comma 7 2 2 3 2 3 2" xfId="7725"/>
    <cellStyle name="Comma 7 2 2 3 2 3 3" xfId="7726"/>
    <cellStyle name="Comma 7 2 2 3 2 4" xfId="7727"/>
    <cellStyle name="Comma 7 2 2 3 2 5" xfId="7728"/>
    <cellStyle name="Comma 7 2 2 3 3" xfId="7729"/>
    <cellStyle name="Comma 7 2 2 3 3 2" xfId="7730"/>
    <cellStyle name="Comma 7 2 2 3 3 3" xfId="7731"/>
    <cellStyle name="Comma 7 2 2 3 4" xfId="7732"/>
    <cellStyle name="Comma 7 2 2 3 4 2" xfId="7733"/>
    <cellStyle name="Comma 7 2 2 3 4 3" xfId="7734"/>
    <cellStyle name="Comma 7 2 2 3 5" xfId="7735"/>
    <cellStyle name="Comma 7 2 2 3 6" xfId="7736"/>
    <cellStyle name="Comma 7 2 2 4" xfId="7737"/>
    <cellStyle name="Comma 7 2 2 4 2" xfId="7738"/>
    <cellStyle name="Comma 7 2 2 4 2 2" xfId="7739"/>
    <cellStyle name="Comma 7 2 2 4 2 3" xfId="7740"/>
    <cellStyle name="Comma 7 2 2 4 3" xfId="7741"/>
    <cellStyle name="Comma 7 2 2 4 3 2" xfId="7742"/>
    <cellStyle name="Comma 7 2 2 4 3 3" xfId="7743"/>
    <cellStyle name="Comma 7 2 2 4 4" xfId="7744"/>
    <cellStyle name="Comma 7 2 2 4 5" xfId="7745"/>
    <cellStyle name="Comma 7 2 2 5" xfId="7746"/>
    <cellStyle name="Comma 7 2 2 5 2" xfId="7747"/>
    <cellStyle name="Comma 7 2 2 5 3" xfId="7748"/>
    <cellStyle name="Comma 7 2 2 6" xfId="7749"/>
    <cellStyle name="Comma 7 2 2 6 2" xfId="7750"/>
    <cellStyle name="Comma 7 2 2 6 3" xfId="7751"/>
    <cellStyle name="Comma 7 2 2 7" xfId="7752"/>
    <cellStyle name="Comma 7 2 2 8" xfId="7753"/>
    <cellStyle name="Comma 7 2 3" xfId="652"/>
    <cellStyle name="Comma 7 2 3 2" xfId="653"/>
    <cellStyle name="Comma 7 2 3 2 2" xfId="7754"/>
    <cellStyle name="Comma 7 2 3 2 2 2" xfId="7755"/>
    <cellStyle name="Comma 7 2 3 2 2 2 2" xfId="7756"/>
    <cellStyle name="Comma 7 2 3 2 2 2 3" xfId="7757"/>
    <cellStyle name="Comma 7 2 3 2 2 3" xfId="7758"/>
    <cellStyle name="Comma 7 2 3 2 2 3 2" xfId="7759"/>
    <cellStyle name="Comma 7 2 3 2 2 3 3" xfId="7760"/>
    <cellStyle name="Comma 7 2 3 2 2 4" xfId="7761"/>
    <cellStyle name="Comma 7 2 3 2 2 5" xfId="7762"/>
    <cellStyle name="Comma 7 2 3 2 3" xfId="7763"/>
    <cellStyle name="Comma 7 2 3 2 3 2" xfId="7764"/>
    <cellStyle name="Comma 7 2 3 2 3 3" xfId="7765"/>
    <cellStyle name="Comma 7 2 3 2 4" xfId="7766"/>
    <cellStyle name="Comma 7 2 3 2 4 2" xfId="7767"/>
    <cellStyle name="Comma 7 2 3 2 4 3" xfId="7768"/>
    <cellStyle name="Comma 7 2 3 2 5" xfId="7769"/>
    <cellStyle name="Comma 7 2 3 2 6" xfId="7770"/>
    <cellStyle name="Comma 7 2 3 3" xfId="7771"/>
    <cellStyle name="Comma 7 2 3 3 2" xfId="7772"/>
    <cellStyle name="Comma 7 2 3 3 2 2" xfId="7773"/>
    <cellStyle name="Comma 7 2 3 3 2 3" xfId="7774"/>
    <cellStyle name="Comma 7 2 3 3 3" xfId="7775"/>
    <cellStyle name="Comma 7 2 3 3 3 2" xfId="7776"/>
    <cellStyle name="Comma 7 2 3 3 3 3" xfId="7777"/>
    <cellStyle name="Comma 7 2 3 3 4" xfId="7778"/>
    <cellStyle name="Comma 7 2 3 3 5" xfId="7779"/>
    <cellStyle name="Comma 7 2 3 4" xfId="7780"/>
    <cellStyle name="Comma 7 2 3 4 2" xfId="7781"/>
    <cellStyle name="Comma 7 2 3 4 3" xfId="7782"/>
    <cellStyle name="Comma 7 2 3 5" xfId="7783"/>
    <cellStyle name="Comma 7 2 3 5 2" xfId="7784"/>
    <cellStyle name="Comma 7 2 3 5 3" xfId="7785"/>
    <cellStyle name="Comma 7 2 3 6" xfId="7786"/>
    <cellStyle name="Comma 7 2 3 7" xfId="7787"/>
    <cellStyle name="Comma 7 2 3 8" xfId="7788"/>
    <cellStyle name="Comma 7 2 4" xfId="654"/>
    <cellStyle name="Comma 7 2 4 2" xfId="7789"/>
    <cellStyle name="Comma 7 2 4 2 2" xfId="7790"/>
    <cellStyle name="Comma 7 2 4 2 2 2" xfId="7791"/>
    <cellStyle name="Comma 7 2 4 2 2 3" xfId="7792"/>
    <cellStyle name="Comma 7 2 4 2 3" xfId="7793"/>
    <cellStyle name="Comma 7 2 4 2 3 2" xfId="7794"/>
    <cellStyle name="Comma 7 2 4 2 3 3" xfId="7795"/>
    <cellStyle name="Comma 7 2 4 2 4" xfId="7796"/>
    <cellStyle name="Comma 7 2 4 2 5" xfId="7797"/>
    <cellStyle name="Comma 7 2 4 3" xfId="7798"/>
    <cellStyle name="Comma 7 2 4 3 2" xfId="7799"/>
    <cellStyle name="Comma 7 2 4 3 3" xfId="7800"/>
    <cellStyle name="Comma 7 2 4 4" xfId="7801"/>
    <cellStyle name="Comma 7 2 4 4 2" xfId="7802"/>
    <cellStyle name="Comma 7 2 4 4 3" xfId="7803"/>
    <cellStyle name="Comma 7 2 4 5" xfId="7804"/>
    <cellStyle name="Comma 7 2 4 6" xfId="7805"/>
    <cellStyle name="Comma 7 2 5" xfId="7806"/>
    <cellStyle name="Comma 7 2 5 2" xfId="7807"/>
    <cellStyle name="Comma 7 2 5 2 2" xfId="7808"/>
    <cellStyle name="Comma 7 2 5 2 3" xfId="7809"/>
    <cellStyle name="Comma 7 2 5 3" xfId="7810"/>
    <cellStyle name="Comma 7 2 5 3 2" xfId="7811"/>
    <cellStyle name="Comma 7 2 5 3 3" xfId="7812"/>
    <cellStyle name="Comma 7 2 5 4" xfId="7813"/>
    <cellStyle name="Comma 7 2 5 5" xfId="7814"/>
    <cellStyle name="Comma 7 2 6" xfId="7815"/>
    <cellStyle name="Comma 7 2 6 2" xfId="7816"/>
    <cellStyle name="Comma 7 2 6 3" xfId="7817"/>
    <cellStyle name="Comma 7 2 7" xfId="7818"/>
    <cellStyle name="Comma 7 2 7 2" xfId="7819"/>
    <cellStyle name="Comma 7 2 7 3" xfId="7820"/>
    <cellStyle name="Comma 7 2 8" xfId="7821"/>
    <cellStyle name="Comma 7 2 9" xfId="7822"/>
    <cellStyle name="Comma 7 3" xfId="655"/>
    <cellStyle name="Comma 7 3 2" xfId="656"/>
    <cellStyle name="Comma 7 3 2 2" xfId="657"/>
    <cellStyle name="Comma 7 3 2 2 2" xfId="7823"/>
    <cellStyle name="Comma 7 3 2 2 2 2" xfId="7824"/>
    <cellStyle name="Comma 7 3 2 2 2 2 2" xfId="7825"/>
    <cellStyle name="Comma 7 3 2 2 2 2 3" xfId="7826"/>
    <cellStyle name="Comma 7 3 2 2 2 3" xfId="7827"/>
    <cellStyle name="Comma 7 3 2 2 2 3 2" xfId="7828"/>
    <cellStyle name="Comma 7 3 2 2 2 3 3" xfId="7829"/>
    <cellStyle name="Comma 7 3 2 2 2 4" xfId="7830"/>
    <cellStyle name="Comma 7 3 2 2 2 5" xfId="7831"/>
    <cellStyle name="Comma 7 3 2 2 3" xfId="7832"/>
    <cellStyle name="Comma 7 3 2 2 3 2" xfId="7833"/>
    <cellStyle name="Comma 7 3 2 2 3 3" xfId="7834"/>
    <cellStyle name="Comma 7 3 2 2 4" xfId="7835"/>
    <cellStyle name="Comma 7 3 2 2 4 2" xfId="7836"/>
    <cellStyle name="Comma 7 3 2 2 4 3" xfId="7837"/>
    <cellStyle name="Comma 7 3 2 2 5" xfId="7838"/>
    <cellStyle name="Comma 7 3 2 2 6" xfId="7839"/>
    <cellStyle name="Comma 7 3 2 3" xfId="7840"/>
    <cellStyle name="Comma 7 3 2 3 2" xfId="7841"/>
    <cellStyle name="Comma 7 3 2 3 2 2" xfId="7842"/>
    <cellStyle name="Comma 7 3 2 3 2 3" xfId="7843"/>
    <cellStyle name="Comma 7 3 2 3 3" xfId="7844"/>
    <cellStyle name="Comma 7 3 2 3 3 2" xfId="7845"/>
    <cellStyle name="Comma 7 3 2 3 3 3" xfId="7846"/>
    <cellStyle name="Comma 7 3 2 3 4" xfId="7847"/>
    <cellStyle name="Comma 7 3 2 3 5" xfId="7848"/>
    <cellStyle name="Comma 7 3 2 4" xfId="7849"/>
    <cellStyle name="Comma 7 3 2 4 2" xfId="7850"/>
    <cellStyle name="Comma 7 3 2 4 3" xfId="7851"/>
    <cellStyle name="Comma 7 3 2 5" xfId="7852"/>
    <cellStyle name="Comma 7 3 2 5 2" xfId="7853"/>
    <cellStyle name="Comma 7 3 2 5 3" xfId="7854"/>
    <cellStyle name="Comma 7 3 2 6" xfId="7855"/>
    <cellStyle name="Comma 7 3 2 7" xfId="7856"/>
    <cellStyle name="Comma 7 3 3" xfId="658"/>
    <cellStyle name="Comma 7 3 3 2" xfId="7857"/>
    <cellStyle name="Comma 7 3 3 2 2" xfId="7858"/>
    <cellStyle name="Comma 7 3 3 2 2 2" xfId="7859"/>
    <cellStyle name="Comma 7 3 3 2 2 3" xfId="7860"/>
    <cellStyle name="Comma 7 3 3 2 3" xfId="7861"/>
    <cellStyle name="Comma 7 3 3 2 3 2" xfId="7862"/>
    <cellStyle name="Comma 7 3 3 2 3 3" xfId="7863"/>
    <cellStyle name="Comma 7 3 3 2 4" xfId="7864"/>
    <cellStyle name="Comma 7 3 3 2 5" xfId="7865"/>
    <cellStyle name="Comma 7 3 3 3" xfId="7866"/>
    <cellStyle name="Comma 7 3 3 3 2" xfId="7867"/>
    <cellStyle name="Comma 7 3 3 3 3" xfId="7868"/>
    <cellStyle name="Comma 7 3 3 4" xfId="7869"/>
    <cellStyle name="Comma 7 3 3 4 2" xfId="7870"/>
    <cellStyle name="Comma 7 3 3 4 3" xfId="7871"/>
    <cellStyle name="Comma 7 3 3 5" xfId="7872"/>
    <cellStyle name="Comma 7 3 3 6" xfId="7873"/>
    <cellStyle name="Comma 7 3 4" xfId="7874"/>
    <cellStyle name="Comma 7 3 4 2" xfId="7875"/>
    <cellStyle name="Comma 7 3 4 2 2" xfId="7876"/>
    <cellStyle name="Comma 7 3 4 2 3" xfId="7877"/>
    <cellStyle name="Comma 7 3 4 3" xfId="7878"/>
    <cellStyle name="Comma 7 3 4 3 2" xfId="7879"/>
    <cellStyle name="Comma 7 3 4 3 3" xfId="7880"/>
    <cellStyle name="Comma 7 3 4 4" xfId="7881"/>
    <cellStyle name="Comma 7 3 4 5" xfId="7882"/>
    <cellStyle name="Comma 7 3 4 6" xfId="7883"/>
    <cellStyle name="Comma 7 3 5" xfId="7884"/>
    <cellStyle name="Comma 7 3 5 2" xfId="7885"/>
    <cellStyle name="Comma 7 3 5 3" xfId="7886"/>
    <cellStyle name="Comma 7 3 6" xfId="7887"/>
    <cellStyle name="Comma 7 3 6 2" xfId="7888"/>
    <cellStyle name="Comma 7 3 6 3" xfId="7889"/>
    <cellStyle name="Comma 7 3 7" xfId="7890"/>
    <cellStyle name="Comma 7 3 8" xfId="7891"/>
    <cellStyle name="Comma 7 4" xfId="659"/>
    <cellStyle name="Comma 7 4 2" xfId="660"/>
    <cellStyle name="Comma 7 4 2 2" xfId="7892"/>
    <cellStyle name="Comma 7 4 2 2 2" xfId="7893"/>
    <cellStyle name="Comma 7 4 2 2 2 2" xfId="7894"/>
    <cellStyle name="Comma 7 4 2 2 2 2 2" xfId="7895"/>
    <cellStyle name="Comma 7 4 2 2 2 2 3" xfId="7896"/>
    <cellStyle name="Comma 7 4 2 2 2 3" xfId="7897"/>
    <cellStyle name="Comma 7 4 2 2 2 3 2" xfId="7898"/>
    <cellStyle name="Comma 7 4 2 2 2 3 3" xfId="7899"/>
    <cellStyle name="Comma 7 4 2 2 2 4" xfId="7900"/>
    <cellStyle name="Comma 7 4 2 2 2 5" xfId="7901"/>
    <cellStyle name="Comma 7 4 2 2 3" xfId="7902"/>
    <cellStyle name="Comma 7 4 2 2 3 2" xfId="7903"/>
    <cellStyle name="Comma 7 4 2 2 3 3" xfId="7904"/>
    <cellStyle name="Comma 7 4 2 2 4" xfId="7905"/>
    <cellStyle name="Comma 7 4 2 2 4 2" xfId="7906"/>
    <cellStyle name="Comma 7 4 2 2 4 3" xfId="7907"/>
    <cellStyle name="Comma 7 4 2 2 5" xfId="7908"/>
    <cellStyle name="Comma 7 4 2 2 6" xfId="7909"/>
    <cellStyle name="Comma 7 4 2 3" xfId="7910"/>
    <cellStyle name="Comma 7 4 2 3 2" xfId="7911"/>
    <cellStyle name="Comma 7 4 2 3 2 2" xfId="7912"/>
    <cellStyle name="Comma 7 4 2 3 2 3" xfId="7913"/>
    <cellStyle name="Comma 7 4 2 3 3" xfId="7914"/>
    <cellStyle name="Comma 7 4 2 3 3 2" xfId="7915"/>
    <cellStyle name="Comma 7 4 2 3 3 3" xfId="7916"/>
    <cellStyle name="Comma 7 4 2 3 4" xfId="7917"/>
    <cellStyle name="Comma 7 4 2 3 5" xfId="7918"/>
    <cellStyle name="Comma 7 4 2 4" xfId="7919"/>
    <cellStyle name="Comma 7 4 2 4 2" xfId="7920"/>
    <cellStyle name="Comma 7 4 2 4 3" xfId="7921"/>
    <cellStyle name="Comma 7 4 2 5" xfId="7922"/>
    <cellStyle name="Comma 7 4 2 5 2" xfId="7923"/>
    <cellStyle name="Comma 7 4 2 5 3" xfId="7924"/>
    <cellStyle name="Comma 7 4 2 6" xfId="7925"/>
    <cellStyle name="Comma 7 4 2 7" xfId="7926"/>
    <cellStyle name="Comma 7 4 3" xfId="7927"/>
    <cellStyle name="Comma 7 4 3 2" xfId="7928"/>
    <cellStyle name="Comma 7 4 3 2 2" xfId="7929"/>
    <cellStyle name="Comma 7 4 3 2 2 2" xfId="7930"/>
    <cellStyle name="Comma 7 4 3 2 2 3" xfId="7931"/>
    <cellStyle name="Comma 7 4 3 2 3" xfId="7932"/>
    <cellStyle name="Comma 7 4 3 2 3 2" xfId="7933"/>
    <cellStyle name="Comma 7 4 3 2 3 3" xfId="7934"/>
    <cellStyle name="Comma 7 4 3 2 4" xfId="7935"/>
    <cellStyle name="Comma 7 4 3 2 5" xfId="7936"/>
    <cellStyle name="Comma 7 4 3 3" xfId="7937"/>
    <cellStyle name="Comma 7 4 3 3 2" xfId="7938"/>
    <cellStyle name="Comma 7 4 3 3 3" xfId="7939"/>
    <cellStyle name="Comma 7 4 3 4" xfId="7940"/>
    <cellStyle name="Comma 7 4 3 4 2" xfId="7941"/>
    <cellStyle name="Comma 7 4 3 4 3" xfId="7942"/>
    <cellStyle name="Comma 7 4 3 5" xfId="7943"/>
    <cellStyle name="Comma 7 4 3 6" xfId="7944"/>
    <cellStyle name="Comma 7 4 4" xfId="7945"/>
    <cellStyle name="Comma 7 4 4 2" xfId="7946"/>
    <cellStyle name="Comma 7 4 4 2 2" xfId="7947"/>
    <cellStyle name="Comma 7 4 4 2 3" xfId="7948"/>
    <cellStyle name="Comma 7 4 4 3" xfId="7949"/>
    <cellStyle name="Comma 7 4 4 3 2" xfId="7950"/>
    <cellStyle name="Comma 7 4 4 3 3" xfId="7951"/>
    <cellStyle name="Comma 7 4 4 4" xfId="7952"/>
    <cellStyle name="Comma 7 4 4 5" xfId="7953"/>
    <cellStyle name="Comma 7 4 5" xfId="7954"/>
    <cellStyle name="Comma 7 4 5 2" xfId="7955"/>
    <cellStyle name="Comma 7 4 5 3" xfId="7956"/>
    <cellStyle name="Comma 7 4 6" xfId="7957"/>
    <cellStyle name="Comma 7 4 6 2" xfId="7958"/>
    <cellStyle name="Comma 7 4 6 3" xfId="7959"/>
    <cellStyle name="Comma 7 4 7" xfId="7960"/>
    <cellStyle name="Comma 7 4 8" xfId="7961"/>
    <cellStyle name="Comma 7 5" xfId="661"/>
    <cellStyle name="Comma 7 5 2" xfId="7962"/>
    <cellStyle name="Comma 7 5 2 2" xfId="7963"/>
    <cellStyle name="Comma 7 5 2 2 2" xfId="7964"/>
    <cellStyle name="Comma 7 5 2 2 2 2" xfId="7965"/>
    <cellStyle name="Comma 7 5 2 2 2 3" xfId="7966"/>
    <cellStyle name="Comma 7 5 2 2 3" xfId="7967"/>
    <cellStyle name="Comma 7 5 2 2 3 2" xfId="7968"/>
    <cellStyle name="Comma 7 5 2 2 3 3" xfId="7969"/>
    <cellStyle name="Comma 7 5 2 2 4" xfId="7970"/>
    <cellStyle name="Comma 7 5 2 2 5" xfId="7971"/>
    <cellStyle name="Comma 7 5 2 3" xfId="7972"/>
    <cellStyle name="Comma 7 5 2 3 2" xfId="7973"/>
    <cellStyle name="Comma 7 5 2 3 3" xfId="7974"/>
    <cellStyle name="Comma 7 5 2 4" xfId="7975"/>
    <cellStyle name="Comma 7 5 2 4 2" xfId="7976"/>
    <cellStyle name="Comma 7 5 2 4 3" xfId="7977"/>
    <cellStyle name="Comma 7 5 2 5" xfId="7978"/>
    <cellStyle name="Comma 7 5 2 6" xfId="7979"/>
    <cellStyle name="Comma 7 5 3" xfId="7980"/>
    <cellStyle name="Comma 7 5 3 2" xfId="7981"/>
    <cellStyle name="Comma 7 5 3 2 2" xfId="7982"/>
    <cellStyle name="Comma 7 5 3 2 3" xfId="7983"/>
    <cellStyle name="Comma 7 5 3 3" xfId="7984"/>
    <cellStyle name="Comma 7 5 3 3 2" xfId="7985"/>
    <cellStyle name="Comma 7 5 3 3 3" xfId="7986"/>
    <cellStyle name="Comma 7 5 3 4" xfId="7987"/>
    <cellStyle name="Comma 7 5 3 5" xfId="7988"/>
    <cellStyle name="Comma 7 5 4" xfId="7989"/>
    <cellStyle name="Comma 7 5 4 2" xfId="7990"/>
    <cellStyle name="Comma 7 5 4 3" xfId="7991"/>
    <cellStyle name="Comma 7 5 5" xfId="7992"/>
    <cellStyle name="Comma 7 5 5 2" xfId="7993"/>
    <cellStyle name="Comma 7 5 5 3" xfId="7994"/>
    <cellStyle name="Comma 7 5 6" xfId="7995"/>
    <cellStyle name="Comma 7 5 7" xfId="7996"/>
    <cellStyle name="Comma 7 6" xfId="7997"/>
    <cellStyle name="Comma 7 6 2" xfId="7998"/>
    <cellStyle name="Comma 7 6 2 2" xfId="7999"/>
    <cellStyle name="Comma 7 6 2 2 2" xfId="8000"/>
    <cellStyle name="Comma 7 6 2 2 3" xfId="8001"/>
    <cellStyle name="Comma 7 6 2 3" xfId="8002"/>
    <cellStyle name="Comma 7 6 2 3 2" xfId="8003"/>
    <cellStyle name="Comma 7 6 2 3 3" xfId="8004"/>
    <cellStyle name="Comma 7 6 2 4" xfId="8005"/>
    <cellStyle name="Comma 7 6 2 5" xfId="8006"/>
    <cellStyle name="Comma 7 6 3" xfId="8007"/>
    <cellStyle name="Comma 7 6 3 2" xfId="8008"/>
    <cellStyle name="Comma 7 6 3 3" xfId="8009"/>
    <cellStyle name="Comma 7 6 4" xfId="8010"/>
    <cellStyle name="Comma 7 6 4 2" xfId="8011"/>
    <cellStyle name="Comma 7 6 4 3" xfId="8012"/>
    <cellStyle name="Comma 7 6 5" xfId="8013"/>
    <cellStyle name="Comma 7 6 6" xfId="8014"/>
    <cellStyle name="Comma 7 7" xfId="8015"/>
    <cellStyle name="Comma 7 7 2" xfId="8016"/>
    <cellStyle name="Comma 7 7 2 2" xfId="8017"/>
    <cellStyle name="Comma 7 7 2 3" xfId="8018"/>
    <cellStyle name="Comma 7 7 3" xfId="8019"/>
    <cellStyle name="Comma 7 7 3 2" xfId="8020"/>
    <cellStyle name="Comma 7 7 3 3" xfId="8021"/>
    <cellStyle name="Comma 7 7 4" xfId="8022"/>
    <cellStyle name="Comma 7 7 5" xfId="8023"/>
    <cellStyle name="Comma 7 8" xfId="8024"/>
    <cellStyle name="Comma 7 8 2" xfId="8025"/>
    <cellStyle name="Comma 7 8 3" xfId="8026"/>
    <cellStyle name="Comma 7 9" xfId="8027"/>
    <cellStyle name="Comma 7 9 2" xfId="8028"/>
    <cellStyle name="Comma 7 9 3" xfId="8029"/>
    <cellStyle name="Comma 8" xfId="181"/>
    <cellStyle name="Comma 8 10" xfId="8030"/>
    <cellStyle name="Comma 8 2" xfId="662"/>
    <cellStyle name="Comma 8 2 2" xfId="663"/>
    <cellStyle name="Comma 8 2 2 2" xfId="664"/>
    <cellStyle name="Comma 8 2 2 2 2" xfId="8031"/>
    <cellStyle name="Comma 8 2 2 2 2 2" xfId="8032"/>
    <cellStyle name="Comma 8 2 2 2 2 2 2" xfId="8033"/>
    <cellStyle name="Comma 8 2 2 2 2 2 3" xfId="8034"/>
    <cellStyle name="Comma 8 2 2 2 2 3" xfId="8035"/>
    <cellStyle name="Comma 8 2 2 2 2 3 2" xfId="8036"/>
    <cellStyle name="Comma 8 2 2 2 2 3 3" xfId="8037"/>
    <cellStyle name="Comma 8 2 2 2 2 4" xfId="8038"/>
    <cellStyle name="Comma 8 2 2 2 2 5" xfId="8039"/>
    <cellStyle name="Comma 8 2 2 2 3" xfId="8040"/>
    <cellStyle name="Comma 8 2 2 2 3 2" xfId="8041"/>
    <cellStyle name="Comma 8 2 2 2 3 3" xfId="8042"/>
    <cellStyle name="Comma 8 2 2 2 4" xfId="8043"/>
    <cellStyle name="Comma 8 2 2 2 4 2" xfId="8044"/>
    <cellStyle name="Comma 8 2 2 2 4 3" xfId="8045"/>
    <cellStyle name="Comma 8 2 2 2 5" xfId="8046"/>
    <cellStyle name="Comma 8 2 2 2 6" xfId="8047"/>
    <cellStyle name="Comma 8 2 2 3" xfId="665"/>
    <cellStyle name="Comma 8 2 2 3 2" xfId="8048"/>
    <cellStyle name="Comma 8 2 2 3 2 2" xfId="8049"/>
    <cellStyle name="Comma 8 2 2 3 2 3" xfId="8050"/>
    <cellStyle name="Comma 8 2 2 3 3" xfId="8051"/>
    <cellStyle name="Comma 8 2 2 3 3 2" xfId="8052"/>
    <cellStyle name="Comma 8 2 2 3 3 3" xfId="8053"/>
    <cellStyle name="Comma 8 2 2 3 4" xfId="8054"/>
    <cellStyle name="Comma 8 2 2 3 5" xfId="8055"/>
    <cellStyle name="Comma 8 2 2 4" xfId="8056"/>
    <cellStyle name="Comma 8 2 2 4 2" xfId="8057"/>
    <cellStyle name="Comma 8 2 2 4 3" xfId="8058"/>
    <cellStyle name="Comma 8 2 2 5" xfId="8059"/>
    <cellStyle name="Comma 8 2 2 5 2" xfId="8060"/>
    <cellStyle name="Comma 8 2 2 5 3" xfId="8061"/>
    <cellStyle name="Comma 8 2 2 6" xfId="8062"/>
    <cellStyle name="Comma 8 2 2 7" xfId="8063"/>
    <cellStyle name="Comma 8 2 3" xfId="666"/>
    <cellStyle name="Comma 8 2 3 2" xfId="8064"/>
    <cellStyle name="Comma 8 2 3 2 2" xfId="8065"/>
    <cellStyle name="Comma 8 2 3 2 2 2" xfId="8066"/>
    <cellStyle name="Comma 8 2 3 2 2 3" xfId="8067"/>
    <cellStyle name="Comma 8 2 3 2 3" xfId="8068"/>
    <cellStyle name="Comma 8 2 3 2 3 2" xfId="8069"/>
    <cellStyle name="Comma 8 2 3 2 3 3" xfId="8070"/>
    <cellStyle name="Comma 8 2 3 2 4" xfId="8071"/>
    <cellStyle name="Comma 8 2 3 2 5" xfId="8072"/>
    <cellStyle name="Comma 8 2 3 3" xfId="8073"/>
    <cellStyle name="Comma 8 2 3 3 2" xfId="8074"/>
    <cellStyle name="Comma 8 2 3 3 3" xfId="8075"/>
    <cellStyle name="Comma 8 2 3 4" xfId="8076"/>
    <cellStyle name="Comma 8 2 3 4 2" xfId="8077"/>
    <cellStyle name="Comma 8 2 3 4 3" xfId="8078"/>
    <cellStyle name="Comma 8 2 3 5" xfId="8079"/>
    <cellStyle name="Comma 8 2 3 6" xfId="8080"/>
    <cellStyle name="Comma 8 2 4" xfId="8081"/>
    <cellStyle name="Comma 8 2 4 2" xfId="8082"/>
    <cellStyle name="Comma 8 2 4 2 2" xfId="8083"/>
    <cellStyle name="Comma 8 2 4 2 3" xfId="8084"/>
    <cellStyle name="Comma 8 2 4 3" xfId="8085"/>
    <cellStyle name="Comma 8 2 4 3 2" xfId="8086"/>
    <cellStyle name="Comma 8 2 4 3 3" xfId="8087"/>
    <cellStyle name="Comma 8 2 4 4" xfId="8088"/>
    <cellStyle name="Comma 8 2 4 5" xfId="8089"/>
    <cellStyle name="Comma 8 2 5" xfId="8090"/>
    <cellStyle name="Comma 8 2 5 2" xfId="8091"/>
    <cellStyle name="Comma 8 2 5 3" xfId="8092"/>
    <cellStyle name="Comma 8 2 6" xfId="8093"/>
    <cellStyle name="Comma 8 2 6 2" xfId="8094"/>
    <cellStyle name="Comma 8 2 6 3" xfId="8095"/>
    <cellStyle name="Comma 8 2 7" xfId="8096"/>
    <cellStyle name="Comma 8 2 8" xfId="8097"/>
    <cellStyle name="Comma 8 3" xfId="667"/>
    <cellStyle name="Comma 8 3 2" xfId="668"/>
    <cellStyle name="Comma 8 3 2 2" xfId="8098"/>
    <cellStyle name="Comma 8 3 2 2 2" xfId="8099"/>
    <cellStyle name="Comma 8 3 2 2 2 2" xfId="8100"/>
    <cellStyle name="Comma 8 3 2 2 2 2 2" xfId="8101"/>
    <cellStyle name="Comma 8 3 2 2 2 2 3" xfId="8102"/>
    <cellStyle name="Comma 8 3 2 2 2 3" xfId="8103"/>
    <cellStyle name="Comma 8 3 2 2 2 3 2" xfId="8104"/>
    <cellStyle name="Comma 8 3 2 2 2 3 3" xfId="8105"/>
    <cellStyle name="Comma 8 3 2 2 2 4" xfId="8106"/>
    <cellStyle name="Comma 8 3 2 2 2 5" xfId="8107"/>
    <cellStyle name="Comma 8 3 2 2 3" xfId="8108"/>
    <cellStyle name="Comma 8 3 2 2 3 2" xfId="8109"/>
    <cellStyle name="Comma 8 3 2 2 3 3" xfId="8110"/>
    <cellStyle name="Comma 8 3 2 2 4" xfId="8111"/>
    <cellStyle name="Comma 8 3 2 2 4 2" xfId="8112"/>
    <cellStyle name="Comma 8 3 2 2 4 3" xfId="8113"/>
    <cellStyle name="Comma 8 3 2 2 5" xfId="8114"/>
    <cellStyle name="Comma 8 3 2 2 6" xfId="8115"/>
    <cellStyle name="Comma 8 3 2 3" xfId="8116"/>
    <cellStyle name="Comma 8 3 2 3 2" xfId="8117"/>
    <cellStyle name="Comma 8 3 2 3 2 2" xfId="8118"/>
    <cellStyle name="Comma 8 3 2 3 2 3" xfId="8119"/>
    <cellStyle name="Comma 8 3 2 3 3" xfId="8120"/>
    <cellStyle name="Comma 8 3 2 3 3 2" xfId="8121"/>
    <cellStyle name="Comma 8 3 2 3 3 3" xfId="8122"/>
    <cellStyle name="Comma 8 3 2 3 4" xfId="8123"/>
    <cellStyle name="Comma 8 3 2 3 5" xfId="8124"/>
    <cellStyle name="Comma 8 3 2 4" xfId="8125"/>
    <cellStyle name="Comma 8 3 2 4 2" xfId="8126"/>
    <cellStyle name="Comma 8 3 2 4 3" xfId="8127"/>
    <cellStyle name="Comma 8 3 2 5" xfId="8128"/>
    <cellStyle name="Comma 8 3 2 5 2" xfId="8129"/>
    <cellStyle name="Comma 8 3 2 5 3" xfId="8130"/>
    <cellStyle name="Comma 8 3 2 6" xfId="8131"/>
    <cellStyle name="Comma 8 3 2 7" xfId="8132"/>
    <cellStyle name="Comma 8 3 3" xfId="8133"/>
    <cellStyle name="Comma 8 3 3 2" xfId="8134"/>
    <cellStyle name="Comma 8 3 3 2 2" xfId="8135"/>
    <cellStyle name="Comma 8 3 3 2 2 2" xfId="8136"/>
    <cellStyle name="Comma 8 3 3 2 2 3" xfId="8137"/>
    <cellStyle name="Comma 8 3 3 2 3" xfId="8138"/>
    <cellStyle name="Comma 8 3 3 2 3 2" xfId="8139"/>
    <cellStyle name="Comma 8 3 3 2 3 3" xfId="8140"/>
    <cellStyle name="Comma 8 3 3 2 4" xfId="8141"/>
    <cellStyle name="Comma 8 3 3 2 5" xfId="8142"/>
    <cellStyle name="Comma 8 3 3 3" xfId="8143"/>
    <cellStyle name="Comma 8 3 3 3 2" xfId="8144"/>
    <cellStyle name="Comma 8 3 3 3 3" xfId="8145"/>
    <cellStyle name="Comma 8 3 3 4" xfId="8146"/>
    <cellStyle name="Comma 8 3 3 4 2" xfId="8147"/>
    <cellStyle name="Comma 8 3 3 4 3" xfId="8148"/>
    <cellStyle name="Comma 8 3 3 5" xfId="8149"/>
    <cellStyle name="Comma 8 3 3 6" xfId="8150"/>
    <cellStyle name="Comma 8 3 4" xfId="8151"/>
    <cellStyle name="Comma 8 3 4 2" xfId="8152"/>
    <cellStyle name="Comma 8 3 4 2 2" xfId="8153"/>
    <cellStyle name="Comma 8 3 4 2 3" xfId="8154"/>
    <cellStyle name="Comma 8 3 4 3" xfId="8155"/>
    <cellStyle name="Comma 8 3 4 3 2" xfId="8156"/>
    <cellStyle name="Comma 8 3 4 3 3" xfId="8157"/>
    <cellStyle name="Comma 8 3 4 4" xfId="8158"/>
    <cellStyle name="Comma 8 3 4 5" xfId="8159"/>
    <cellStyle name="Comma 8 3 5" xfId="8160"/>
    <cellStyle name="Comma 8 3 5 2" xfId="8161"/>
    <cellStyle name="Comma 8 3 5 3" xfId="8162"/>
    <cellStyle name="Comma 8 3 6" xfId="8163"/>
    <cellStyle name="Comma 8 3 6 2" xfId="8164"/>
    <cellStyle name="Comma 8 3 6 3" xfId="8165"/>
    <cellStyle name="Comma 8 3 7" xfId="8166"/>
    <cellStyle name="Comma 8 3 8" xfId="8167"/>
    <cellStyle name="Comma 8 4" xfId="669"/>
    <cellStyle name="Comma 8 4 2" xfId="8168"/>
    <cellStyle name="Comma 8 4 2 2" xfId="8169"/>
    <cellStyle name="Comma 8 4 2 2 2" xfId="8170"/>
    <cellStyle name="Comma 8 4 2 2 2 2" xfId="8171"/>
    <cellStyle name="Comma 8 4 2 2 2 3" xfId="8172"/>
    <cellStyle name="Comma 8 4 2 2 3" xfId="8173"/>
    <cellStyle name="Comma 8 4 2 2 3 2" xfId="8174"/>
    <cellStyle name="Comma 8 4 2 2 3 3" xfId="8175"/>
    <cellStyle name="Comma 8 4 2 2 4" xfId="8176"/>
    <cellStyle name="Comma 8 4 2 2 5" xfId="8177"/>
    <cellStyle name="Comma 8 4 2 3" xfId="8178"/>
    <cellStyle name="Comma 8 4 2 3 2" xfId="8179"/>
    <cellStyle name="Comma 8 4 2 3 3" xfId="8180"/>
    <cellStyle name="Comma 8 4 2 4" xfId="8181"/>
    <cellStyle name="Comma 8 4 2 4 2" xfId="8182"/>
    <cellStyle name="Comma 8 4 2 4 3" xfId="8183"/>
    <cellStyle name="Comma 8 4 2 5" xfId="8184"/>
    <cellStyle name="Comma 8 4 2 6" xfId="8185"/>
    <cellStyle name="Comma 8 4 3" xfId="8186"/>
    <cellStyle name="Comma 8 4 3 2" xfId="8187"/>
    <cellStyle name="Comma 8 4 3 2 2" xfId="8188"/>
    <cellStyle name="Comma 8 4 3 2 3" xfId="8189"/>
    <cellStyle name="Comma 8 4 3 3" xfId="8190"/>
    <cellStyle name="Comma 8 4 3 3 2" xfId="8191"/>
    <cellStyle name="Comma 8 4 3 3 3" xfId="8192"/>
    <cellStyle name="Comma 8 4 3 4" xfId="8193"/>
    <cellStyle name="Comma 8 4 3 5" xfId="8194"/>
    <cellStyle name="Comma 8 4 4" xfId="8195"/>
    <cellStyle name="Comma 8 4 4 2" xfId="8196"/>
    <cellStyle name="Comma 8 4 4 3" xfId="8197"/>
    <cellStyle name="Comma 8 4 5" xfId="8198"/>
    <cellStyle name="Comma 8 4 5 2" xfId="8199"/>
    <cellStyle name="Comma 8 4 5 3" xfId="8200"/>
    <cellStyle name="Comma 8 4 6" xfId="8201"/>
    <cellStyle name="Comma 8 4 7" xfId="8202"/>
    <cellStyle name="Comma 8 5" xfId="8203"/>
    <cellStyle name="Comma 8 5 2" xfId="8204"/>
    <cellStyle name="Comma 8 5 2 2" xfId="8205"/>
    <cellStyle name="Comma 8 5 2 2 2" xfId="8206"/>
    <cellStyle name="Comma 8 5 2 2 3" xfId="8207"/>
    <cellStyle name="Comma 8 5 2 3" xfId="8208"/>
    <cellStyle name="Comma 8 5 2 3 2" xfId="8209"/>
    <cellStyle name="Comma 8 5 2 3 3" xfId="8210"/>
    <cellStyle name="Comma 8 5 2 4" xfId="8211"/>
    <cellStyle name="Comma 8 5 2 5" xfId="8212"/>
    <cellStyle name="Comma 8 5 3" xfId="8213"/>
    <cellStyle name="Comma 8 5 3 2" xfId="8214"/>
    <cellStyle name="Comma 8 5 3 3" xfId="8215"/>
    <cellStyle name="Comma 8 5 4" xfId="8216"/>
    <cellStyle name="Comma 8 5 4 2" xfId="8217"/>
    <cellStyle name="Comma 8 5 4 3" xfId="8218"/>
    <cellStyle name="Comma 8 5 5" xfId="8219"/>
    <cellStyle name="Comma 8 5 6" xfId="8220"/>
    <cellStyle name="Comma 8 6" xfId="8221"/>
    <cellStyle name="Comma 8 6 2" xfId="8222"/>
    <cellStyle name="Comma 8 6 2 2" xfId="8223"/>
    <cellStyle name="Comma 8 6 2 3" xfId="8224"/>
    <cellStyle name="Comma 8 6 3" xfId="8225"/>
    <cellStyle name="Comma 8 6 3 2" xfId="8226"/>
    <cellStyle name="Comma 8 6 3 3" xfId="8227"/>
    <cellStyle name="Comma 8 6 4" xfId="8228"/>
    <cellStyle name="Comma 8 6 5" xfId="8229"/>
    <cellStyle name="Comma 8 7" xfId="8230"/>
    <cellStyle name="Comma 8 7 2" xfId="8231"/>
    <cellStyle name="Comma 8 7 3" xfId="8232"/>
    <cellStyle name="Comma 8 8" xfId="8233"/>
    <cellStyle name="Comma 8 8 2" xfId="8234"/>
    <cellStyle name="Comma 8 8 3" xfId="8235"/>
    <cellStyle name="Comma 8 9" xfId="8236"/>
    <cellStyle name="Comma 9" xfId="182"/>
    <cellStyle name="Comma 9 2" xfId="670"/>
    <cellStyle name="Comma(2)" xfId="183"/>
    <cellStyle name="Comma(2) 2" xfId="8237"/>
    <cellStyle name="Comma0" xfId="184"/>
    <cellStyle name="Comma0 - Style2" xfId="185"/>
    <cellStyle name="Comma1 - Style1" xfId="186"/>
    <cellStyle name="Comments" xfId="187"/>
    <cellStyle name="Currency" xfId="2" builtinId="4"/>
    <cellStyle name="Currency 10" xfId="188"/>
    <cellStyle name="Currency 10 2" xfId="671"/>
    <cellStyle name="Currency 10 2 2" xfId="8238"/>
    <cellStyle name="Currency 10 2 2 2" xfId="8239"/>
    <cellStyle name="Currency 10 2 2 2 2" xfId="8240"/>
    <cellStyle name="Currency 10 2 2 2 2 2" xfId="8241"/>
    <cellStyle name="Currency 10 2 2 2 2 3" xfId="8242"/>
    <cellStyle name="Currency 10 2 2 2 3" xfId="8243"/>
    <cellStyle name="Currency 10 2 2 2 3 2" xfId="8244"/>
    <cellStyle name="Currency 10 2 2 2 3 3" xfId="8245"/>
    <cellStyle name="Currency 10 2 2 2 4" xfId="8246"/>
    <cellStyle name="Currency 10 2 2 2 5" xfId="8247"/>
    <cellStyle name="Currency 10 2 2 3" xfId="8248"/>
    <cellStyle name="Currency 10 2 2 3 2" xfId="8249"/>
    <cellStyle name="Currency 10 2 2 3 3" xfId="8250"/>
    <cellStyle name="Currency 10 2 2 4" xfId="8251"/>
    <cellStyle name="Currency 10 2 2 4 2" xfId="8252"/>
    <cellStyle name="Currency 10 2 2 4 3" xfId="8253"/>
    <cellStyle name="Currency 10 2 2 5" xfId="8254"/>
    <cellStyle name="Currency 10 2 2 6" xfId="8255"/>
    <cellStyle name="Currency 10 2 3" xfId="8256"/>
    <cellStyle name="Currency 10 2 3 2" xfId="8257"/>
    <cellStyle name="Currency 10 2 3 2 2" xfId="8258"/>
    <cellStyle name="Currency 10 2 3 2 3" xfId="8259"/>
    <cellStyle name="Currency 10 2 3 3" xfId="8260"/>
    <cellStyle name="Currency 10 2 3 3 2" xfId="8261"/>
    <cellStyle name="Currency 10 2 3 3 3" xfId="8262"/>
    <cellStyle name="Currency 10 2 3 4" xfId="8263"/>
    <cellStyle name="Currency 10 2 3 5" xfId="8264"/>
    <cellStyle name="Currency 10 2 4" xfId="8265"/>
    <cellStyle name="Currency 10 2 4 2" xfId="8266"/>
    <cellStyle name="Currency 10 2 4 3" xfId="8267"/>
    <cellStyle name="Currency 10 2 5" xfId="8268"/>
    <cellStyle name="Currency 10 2 5 2" xfId="8269"/>
    <cellStyle name="Currency 10 2 5 3" xfId="8270"/>
    <cellStyle name="Currency 10 2 6" xfId="8271"/>
    <cellStyle name="Currency 10 2 7" xfId="8272"/>
    <cellStyle name="Currency 10 3" xfId="1403"/>
    <cellStyle name="Currency 10 4" xfId="8273"/>
    <cellStyle name="Currency 10 5" xfId="8274"/>
    <cellStyle name="Currency 11" xfId="189"/>
    <cellStyle name="Currency 11 2" xfId="672"/>
    <cellStyle name="Currency 11 2 2" xfId="8275"/>
    <cellStyle name="Currency 11 3" xfId="1404"/>
    <cellStyle name="Currency 11 4" xfId="8276"/>
    <cellStyle name="Currency 11 5" xfId="8277"/>
    <cellStyle name="Currency 11 6" xfId="8278"/>
    <cellStyle name="Currency 12" xfId="190"/>
    <cellStyle name="Currency 12 2" xfId="673"/>
    <cellStyle name="Currency 12 2 2" xfId="8279"/>
    <cellStyle name="Currency 12 3" xfId="8280"/>
    <cellStyle name="Currency 12 4" xfId="21506"/>
    <cellStyle name="Currency 13" xfId="674"/>
    <cellStyle name="Currency 14" xfId="675"/>
    <cellStyle name="Currency 14 2" xfId="8281"/>
    <cellStyle name="Currency 15" xfId="676"/>
    <cellStyle name="Currency 16" xfId="677"/>
    <cellStyle name="Currency 17" xfId="1405"/>
    <cellStyle name="Currency 18" xfId="1292"/>
    <cellStyle name="Currency 19" xfId="8282"/>
    <cellStyle name="Currency 2" xfId="17"/>
    <cellStyle name="Currency 2 2" xfId="191"/>
    <cellStyle name="Currency 2 2 2" xfId="192"/>
    <cellStyle name="Currency 2 2 2 2" xfId="1406"/>
    <cellStyle name="Currency 2 2 2 2 2" xfId="8283"/>
    <cellStyle name="Currency 2 2 2 3" xfId="1407"/>
    <cellStyle name="Currency 2 2 2 4" xfId="1408"/>
    <cellStyle name="Currency 2 2 2 5" xfId="1409"/>
    <cellStyle name="Currency 2 2 2 6" xfId="1410"/>
    <cellStyle name="Currency 2 2 3" xfId="678"/>
    <cellStyle name="Currency 2 2 3 2" xfId="679"/>
    <cellStyle name="Currency 2 2 3 3" xfId="1411"/>
    <cellStyle name="Currency 2 2 3 3 2" xfId="8284"/>
    <cellStyle name="Currency 2 2 3 4" xfId="21507"/>
    <cellStyle name="Currency 2 2 4" xfId="680"/>
    <cellStyle name="Currency 2 2 4 2" xfId="1412"/>
    <cellStyle name="Currency 2 2 4 2 2" xfId="8285"/>
    <cellStyle name="Currency 2 2 4 3" xfId="1413"/>
    <cellStyle name="Currency 2 2 5" xfId="1414"/>
    <cellStyle name="Currency 2 2 5 2" xfId="8286"/>
    <cellStyle name="Currency 2 2 6" xfId="1415"/>
    <cellStyle name="Currency 2 2 7" xfId="1416"/>
    <cellStyle name="Currency 2 2 7 2" xfId="8287"/>
    <cellStyle name="Currency 2 2 8" xfId="1417"/>
    <cellStyle name="Currency 2 3" xfId="193"/>
    <cellStyle name="Currency 2 3 2" xfId="194"/>
    <cellStyle name="Currency 2 3 2 2" xfId="1418"/>
    <cellStyle name="Currency 2 3 2 3" xfId="1419"/>
    <cellStyle name="Currency 2 3 2 4" xfId="1420"/>
    <cellStyle name="Currency 2 3 2 5" xfId="1421"/>
    <cellStyle name="Currency 2 3 2 6" xfId="1422"/>
    <cellStyle name="Currency 2 3 2 7" xfId="8288"/>
    <cellStyle name="Currency 2 3 3" xfId="195"/>
    <cellStyle name="Currency 2 3 3 2" xfId="1423"/>
    <cellStyle name="Currency 2 3 3 2 2" xfId="8289"/>
    <cellStyle name="Currency 2 3 3 2 3" xfId="8290"/>
    <cellStyle name="Currency 2 3 3 3" xfId="1424"/>
    <cellStyle name="Currency 2 3 3 4" xfId="1425"/>
    <cellStyle name="Currency 2 3 3 5" xfId="8291"/>
    <cellStyle name="Currency 2 3 4" xfId="1426"/>
    <cellStyle name="Currency 2 3 4 2" xfId="1427"/>
    <cellStyle name="Currency 2 3 4 3" xfId="1428"/>
    <cellStyle name="Currency 2 3 4 4" xfId="8292"/>
    <cellStyle name="Currency 2 3 5" xfId="1429"/>
    <cellStyle name="Currency 2 3 6" xfId="1430"/>
    <cellStyle name="Currency 2 3 7" xfId="1431"/>
    <cellStyle name="Currency 2 3 8" xfId="8293"/>
    <cellStyle name="Currency 2 4" xfId="196"/>
    <cellStyle name="Currency 2 4 10" xfId="21508"/>
    <cellStyle name="Currency 2 4 2" xfId="681"/>
    <cellStyle name="Currency 2 4 2 2" xfId="1432"/>
    <cellStyle name="Currency 2 4 2 3" xfId="1433"/>
    <cellStyle name="Currency 2 4 2 4" xfId="1434"/>
    <cellStyle name="Currency 2 4 2 5" xfId="1435"/>
    <cellStyle name="Currency 2 4 2 6" xfId="21509"/>
    <cellStyle name="Currency 2 4 3" xfId="682"/>
    <cellStyle name="Currency 2 4 3 2" xfId="1436"/>
    <cellStyle name="Currency 2 4 3 3" xfId="1437"/>
    <cellStyle name="Currency 2 4 4" xfId="683"/>
    <cellStyle name="Currency 2 4 4 2" xfId="1438"/>
    <cellStyle name="Currency 2 4 4 3" xfId="1439"/>
    <cellStyle name="Currency 2 4 5" xfId="1440"/>
    <cellStyle name="Currency 2 4 6" xfId="1441"/>
    <cellStyle name="Currency 2 4 7" xfId="1442"/>
    <cellStyle name="Currency 2 4 8" xfId="8294"/>
    <cellStyle name="Currency 2 4 9" xfId="21510"/>
    <cellStyle name="Currency 2 5" xfId="684"/>
    <cellStyle name="Currency 2 5 2" xfId="685"/>
    <cellStyle name="Currency 2 5 3" xfId="8295"/>
    <cellStyle name="Currency 2 5 4" xfId="21511"/>
    <cellStyle name="Currency 2 6" xfId="197"/>
    <cellStyle name="Currency 2 6 2" xfId="198"/>
    <cellStyle name="Currency 2 6 3" xfId="686"/>
    <cellStyle name="Currency 2 7" xfId="687"/>
    <cellStyle name="Currency 3" xfId="18"/>
    <cellStyle name="Currency 3 10" xfId="8296"/>
    <cellStyle name="Currency 3 11" xfId="8297"/>
    <cellStyle name="Currency 3 2" xfId="199"/>
    <cellStyle name="Currency 3 2 2" xfId="688"/>
    <cellStyle name="Currency 3 2 2 2" xfId="689"/>
    <cellStyle name="Currency 3 2 2 2 2" xfId="690"/>
    <cellStyle name="Currency 3 2 2 2 2 2" xfId="8298"/>
    <cellStyle name="Currency 3 2 2 2 2 2 2" xfId="8299"/>
    <cellStyle name="Currency 3 2 2 2 2 2 2 2" xfId="8300"/>
    <cellStyle name="Currency 3 2 2 2 2 2 2 3" xfId="8301"/>
    <cellStyle name="Currency 3 2 2 2 2 2 3" xfId="8302"/>
    <cellStyle name="Currency 3 2 2 2 2 2 3 2" xfId="8303"/>
    <cellStyle name="Currency 3 2 2 2 2 2 3 3" xfId="8304"/>
    <cellStyle name="Currency 3 2 2 2 2 2 4" xfId="8305"/>
    <cellStyle name="Currency 3 2 2 2 2 2 5" xfId="8306"/>
    <cellStyle name="Currency 3 2 2 2 2 3" xfId="8307"/>
    <cellStyle name="Currency 3 2 2 2 2 3 2" xfId="8308"/>
    <cellStyle name="Currency 3 2 2 2 2 3 3" xfId="8309"/>
    <cellStyle name="Currency 3 2 2 2 2 4" xfId="8310"/>
    <cellStyle name="Currency 3 2 2 2 2 4 2" xfId="8311"/>
    <cellStyle name="Currency 3 2 2 2 2 4 3" xfId="8312"/>
    <cellStyle name="Currency 3 2 2 2 2 5" xfId="8313"/>
    <cellStyle name="Currency 3 2 2 2 2 6" xfId="8314"/>
    <cellStyle name="Currency 3 2 2 2 3" xfId="1443"/>
    <cellStyle name="Currency 3 2 2 2 3 2" xfId="8315"/>
    <cellStyle name="Currency 3 2 2 2 3 2 2" xfId="8316"/>
    <cellStyle name="Currency 3 2 2 2 3 2 3" xfId="8317"/>
    <cellStyle name="Currency 3 2 2 2 3 3" xfId="8318"/>
    <cellStyle name="Currency 3 2 2 2 3 3 2" xfId="8319"/>
    <cellStyle name="Currency 3 2 2 2 3 3 3" xfId="8320"/>
    <cellStyle name="Currency 3 2 2 2 3 4" xfId="8321"/>
    <cellStyle name="Currency 3 2 2 2 3 5" xfId="8322"/>
    <cellStyle name="Currency 3 2 2 2 4" xfId="8323"/>
    <cellStyle name="Currency 3 2 2 2 4 2" xfId="8324"/>
    <cellStyle name="Currency 3 2 2 2 4 3" xfId="8325"/>
    <cellStyle name="Currency 3 2 2 2 5" xfId="8326"/>
    <cellStyle name="Currency 3 2 2 2 5 2" xfId="8327"/>
    <cellStyle name="Currency 3 2 2 2 5 3" xfId="8328"/>
    <cellStyle name="Currency 3 2 2 2 6" xfId="8329"/>
    <cellStyle name="Currency 3 2 2 2 7" xfId="8330"/>
    <cellStyle name="Currency 3 2 2 3" xfId="691"/>
    <cellStyle name="Currency 3 2 2 3 2" xfId="1444"/>
    <cellStyle name="Currency 3 2 2 3 2 2" xfId="8331"/>
    <cellStyle name="Currency 3 2 2 3 2 2 2" xfId="8332"/>
    <cellStyle name="Currency 3 2 2 3 2 2 3" xfId="8333"/>
    <cellStyle name="Currency 3 2 2 3 2 3" xfId="8334"/>
    <cellStyle name="Currency 3 2 2 3 2 3 2" xfId="8335"/>
    <cellStyle name="Currency 3 2 2 3 2 3 3" xfId="8336"/>
    <cellStyle name="Currency 3 2 2 3 2 4" xfId="8337"/>
    <cellStyle name="Currency 3 2 2 3 2 5" xfId="8338"/>
    <cellStyle name="Currency 3 2 2 3 3" xfId="1445"/>
    <cellStyle name="Currency 3 2 2 3 3 2" xfId="8339"/>
    <cellStyle name="Currency 3 2 2 3 3 3" xfId="8340"/>
    <cellStyle name="Currency 3 2 2 3 4" xfId="8341"/>
    <cellStyle name="Currency 3 2 2 3 4 2" xfId="8342"/>
    <cellStyle name="Currency 3 2 2 3 4 3" xfId="8343"/>
    <cellStyle name="Currency 3 2 2 3 5" xfId="8344"/>
    <cellStyle name="Currency 3 2 2 3 6" xfId="8345"/>
    <cellStyle name="Currency 3 2 2 4" xfId="1446"/>
    <cellStyle name="Currency 3 2 2 4 2" xfId="8346"/>
    <cellStyle name="Currency 3 2 2 4 2 2" xfId="8347"/>
    <cellStyle name="Currency 3 2 2 4 2 3" xfId="8348"/>
    <cellStyle name="Currency 3 2 2 4 3" xfId="8349"/>
    <cellStyle name="Currency 3 2 2 4 3 2" xfId="8350"/>
    <cellStyle name="Currency 3 2 2 4 3 3" xfId="8351"/>
    <cellStyle name="Currency 3 2 2 4 4" xfId="8352"/>
    <cellStyle name="Currency 3 2 2 4 5" xfId="8353"/>
    <cellStyle name="Currency 3 2 2 5" xfId="1447"/>
    <cellStyle name="Currency 3 2 2 5 2" xfId="8354"/>
    <cellStyle name="Currency 3 2 2 5 3" xfId="8355"/>
    <cellStyle name="Currency 3 2 2 6" xfId="8356"/>
    <cellStyle name="Currency 3 2 2 6 2" xfId="8357"/>
    <cellStyle name="Currency 3 2 2 6 3" xfId="8358"/>
    <cellStyle name="Currency 3 2 2 7" xfId="8359"/>
    <cellStyle name="Currency 3 2 2 8" xfId="8360"/>
    <cellStyle name="Currency 3 2 3" xfId="692"/>
    <cellStyle name="Currency 3 2 3 2" xfId="693"/>
    <cellStyle name="Currency 3 2 3 2 2" xfId="8361"/>
    <cellStyle name="Currency 3 2 3 2 2 2" xfId="8362"/>
    <cellStyle name="Currency 3 2 3 2 2 2 2" xfId="8363"/>
    <cellStyle name="Currency 3 2 3 2 2 2 3" xfId="8364"/>
    <cellStyle name="Currency 3 2 3 2 2 3" xfId="8365"/>
    <cellStyle name="Currency 3 2 3 2 2 3 2" xfId="8366"/>
    <cellStyle name="Currency 3 2 3 2 2 3 3" xfId="8367"/>
    <cellStyle name="Currency 3 2 3 2 2 4" xfId="8368"/>
    <cellStyle name="Currency 3 2 3 2 2 5" xfId="8369"/>
    <cellStyle name="Currency 3 2 3 2 3" xfId="8370"/>
    <cellStyle name="Currency 3 2 3 2 3 2" xfId="8371"/>
    <cellStyle name="Currency 3 2 3 2 3 3" xfId="8372"/>
    <cellStyle name="Currency 3 2 3 2 4" xfId="8373"/>
    <cellStyle name="Currency 3 2 3 2 4 2" xfId="8374"/>
    <cellStyle name="Currency 3 2 3 2 4 3" xfId="8375"/>
    <cellStyle name="Currency 3 2 3 2 5" xfId="8376"/>
    <cellStyle name="Currency 3 2 3 2 6" xfId="8377"/>
    <cellStyle name="Currency 3 2 3 3" xfId="1448"/>
    <cellStyle name="Currency 3 2 3 3 2" xfId="8378"/>
    <cellStyle name="Currency 3 2 3 3 2 2" xfId="8379"/>
    <cellStyle name="Currency 3 2 3 3 2 3" xfId="8380"/>
    <cellStyle name="Currency 3 2 3 3 3" xfId="8381"/>
    <cellStyle name="Currency 3 2 3 3 3 2" xfId="8382"/>
    <cellStyle name="Currency 3 2 3 3 3 3" xfId="8383"/>
    <cellStyle name="Currency 3 2 3 3 4" xfId="8384"/>
    <cellStyle name="Currency 3 2 3 3 5" xfId="8385"/>
    <cellStyle name="Currency 3 2 3 4" xfId="1449"/>
    <cellStyle name="Currency 3 2 3 4 2" xfId="8386"/>
    <cellStyle name="Currency 3 2 3 4 3" xfId="8387"/>
    <cellStyle name="Currency 3 2 3 5" xfId="1450"/>
    <cellStyle name="Currency 3 2 3 5 2" xfId="8388"/>
    <cellStyle name="Currency 3 2 3 5 3" xfId="8389"/>
    <cellStyle name="Currency 3 2 3 6" xfId="8390"/>
    <cellStyle name="Currency 3 2 3 7" xfId="8391"/>
    <cellStyle name="Currency 3 2 4" xfId="694"/>
    <cellStyle name="Currency 3 2 4 2" xfId="1451"/>
    <cellStyle name="Currency 3 2 4 2 2" xfId="8392"/>
    <cellStyle name="Currency 3 2 4 2 2 2" xfId="8393"/>
    <cellStyle name="Currency 3 2 4 2 2 3" xfId="8394"/>
    <cellStyle name="Currency 3 2 4 2 3" xfId="8395"/>
    <cellStyle name="Currency 3 2 4 2 3 2" xfId="8396"/>
    <cellStyle name="Currency 3 2 4 2 3 3" xfId="8397"/>
    <cellStyle name="Currency 3 2 4 2 4" xfId="8398"/>
    <cellStyle name="Currency 3 2 4 2 5" xfId="8399"/>
    <cellStyle name="Currency 3 2 4 3" xfId="1452"/>
    <cellStyle name="Currency 3 2 4 3 2" xfId="8400"/>
    <cellStyle name="Currency 3 2 4 3 3" xfId="8401"/>
    <cellStyle name="Currency 3 2 4 4" xfId="8402"/>
    <cellStyle name="Currency 3 2 4 4 2" xfId="8403"/>
    <cellStyle name="Currency 3 2 4 4 3" xfId="8404"/>
    <cellStyle name="Currency 3 2 4 5" xfId="8405"/>
    <cellStyle name="Currency 3 2 4 6" xfId="8406"/>
    <cellStyle name="Currency 3 2 5" xfId="1453"/>
    <cellStyle name="Currency 3 2 5 2" xfId="1454"/>
    <cellStyle name="Currency 3 2 5 2 2" xfId="8407"/>
    <cellStyle name="Currency 3 2 5 2 3" xfId="8408"/>
    <cellStyle name="Currency 3 2 5 3" xfId="1455"/>
    <cellStyle name="Currency 3 2 5 3 2" xfId="8409"/>
    <cellStyle name="Currency 3 2 5 3 3" xfId="8410"/>
    <cellStyle name="Currency 3 2 5 4" xfId="8411"/>
    <cellStyle name="Currency 3 2 5 5" xfId="8412"/>
    <cellStyle name="Currency 3 2 6" xfId="1456"/>
    <cellStyle name="Currency 3 2 6 2" xfId="8413"/>
    <cellStyle name="Currency 3 2 6 3" xfId="8414"/>
    <cellStyle name="Currency 3 2 7" xfId="1457"/>
    <cellStyle name="Currency 3 2 7 2" xfId="8415"/>
    <cellStyle name="Currency 3 2 7 3" xfId="8416"/>
    <cellStyle name="Currency 3 2 8" xfId="1458"/>
    <cellStyle name="Currency 3 2 9" xfId="8417"/>
    <cellStyle name="Currency 3 3" xfId="200"/>
    <cellStyle name="Currency 3 3 2" xfId="695"/>
    <cellStyle name="Currency 3 3 2 2" xfId="696"/>
    <cellStyle name="Currency 3 3 2 2 2" xfId="8418"/>
    <cellStyle name="Currency 3 3 2 2 2 2" xfId="8419"/>
    <cellStyle name="Currency 3 3 2 2 2 2 2" xfId="8420"/>
    <cellStyle name="Currency 3 3 2 2 2 2 3" xfId="8421"/>
    <cellStyle name="Currency 3 3 2 2 2 3" xfId="8422"/>
    <cellStyle name="Currency 3 3 2 2 2 3 2" xfId="8423"/>
    <cellStyle name="Currency 3 3 2 2 2 3 3" xfId="8424"/>
    <cellStyle name="Currency 3 3 2 2 2 4" xfId="8425"/>
    <cellStyle name="Currency 3 3 2 2 2 5" xfId="8426"/>
    <cellStyle name="Currency 3 3 2 2 3" xfId="8427"/>
    <cellStyle name="Currency 3 3 2 2 3 2" xfId="8428"/>
    <cellStyle name="Currency 3 3 2 2 3 3" xfId="8429"/>
    <cellStyle name="Currency 3 3 2 2 4" xfId="8430"/>
    <cellStyle name="Currency 3 3 2 2 4 2" xfId="8431"/>
    <cellStyle name="Currency 3 3 2 2 4 3" xfId="8432"/>
    <cellStyle name="Currency 3 3 2 2 5" xfId="8433"/>
    <cellStyle name="Currency 3 3 2 2 6" xfId="8434"/>
    <cellStyle name="Currency 3 3 2 3" xfId="8435"/>
    <cellStyle name="Currency 3 3 2 3 2" xfId="8436"/>
    <cellStyle name="Currency 3 3 2 3 2 2" xfId="8437"/>
    <cellStyle name="Currency 3 3 2 3 2 3" xfId="8438"/>
    <cellStyle name="Currency 3 3 2 3 3" xfId="8439"/>
    <cellStyle name="Currency 3 3 2 3 3 2" xfId="8440"/>
    <cellStyle name="Currency 3 3 2 3 3 3" xfId="8441"/>
    <cellStyle name="Currency 3 3 2 3 4" xfId="8442"/>
    <cellStyle name="Currency 3 3 2 3 5" xfId="8443"/>
    <cellStyle name="Currency 3 3 2 3 6" xfId="8444"/>
    <cellStyle name="Currency 3 3 2 4" xfId="8445"/>
    <cellStyle name="Currency 3 3 2 4 2" xfId="8446"/>
    <cellStyle name="Currency 3 3 2 4 3" xfId="8447"/>
    <cellStyle name="Currency 3 3 2 5" xfId="8448"/>
    <cellStyle name="Currency 3 3 2 5 2" xfId="8449"/>
    <cellStyle name="Currency 3 3 2 5 3" xfId="8450"/>
    <cellStyle name="Currency 3 3 2 6" xfId="8451"/>
    <cellStyle name="Currency 3 3 2 7" xfId="8452"/>
    <cellStyle name="Currency 3 3 3" xfId="697"/>
    <cellStyle name="Currency 3 3 3 2" xfId="8453"/>
    <cellStyle name="Currency 3 3 3 2 2" xfId="8454"/>
    <cellStyle name="Currency 3 3 3 2 2 2" xfId="8455"/>
    <cellStyle name="Currency 3 3 3 2 2 3" xfId="8456"/>
    <cellStyle name="Currency 3 3 3 2 3" xfId="8457"/>
    <cellStyle name="Currency 3 3 3 2 3 2" xfId="8458"/>
    <cellStyle name="Currency 3 3 3 2 3 3" xfId="8459"/>
    <cellStyle name="Currency 3 3 3 2 4" xfId="8460"/>
    <cellStyle name="Currency 3 3 3 2 5" xfId="8461"/>
    <cellStyle name="Currency 3 3 3 3" xfId="8462"/>
    <cellStyle name="Currency 3 3 3 3 2" xfId="8463"/>
    <cellStyle name="Currency 3 3 3 3 3" xfId="8464"/>
    <cellStyle name="Currency 3 3 3 4" xfId="8465"/>
    <cellStyle name="Currency 3 3 3 4 2" xfId="8466"/>
    <cellStyle name="Currency 3 3 3 4 3" xfId="8467"/>
    <cellStyle name="Currency 3 3 3 5" xfId="8468"/>
    <cellStyle name="Currency 3 3 3 6" xfId="8469"/>
    <cellStyle name="Currency 3 3 4" xfId="698"/>
    <cellStyle name="Currency 3 3 4 2" xfId="8470"/>
    <cellStyle name="Currency 3 3 4 2 2" xfId="8471"/>
    <cellStyle name="Currency 3 3 4 2 3" xfId="8472"/>
    <cellStyle name="Currency 3 3 4 3" xfId="8473"/>
    <cellStyle name="Currency 3 3 4 3 2" xfId="8474"/>
    <cellStyle name="Currency 3 3 4 3 3" xfId="8475"/>
    <cellStyle name="Currency 3 3 4 4" xfId="8476"/>
    <cellStyle name="Currency 3 3 4 5" xfId="8477"/>
    <cellStyle name="Currency 3 3 5" xfId="8478"/>
    <cellStyle name="Currency 3 3 5 2" xfId="8479"/>
    <cellStyle name="Currency 3 3 5 3" xfId="8480"/>
    <cellStyle name="Currency 3 3 6" xfId="8481"/>
    <cellStyle name="Currency 3 3 6 2" xfId="8482"/>
    <cellStyle name="Currency 3 3 6 3" xfId="8483"/>
    <cellStyle name="Currency 3 3 7" xfId="8484"/>
    <cellStyle name="Currency 3 3 8" xfId="8485"/>
    <cellStyle name="Currency 3 4" xfId="201"/>
    <cellStyle name="Currency 3 4 2" xfId="699"/>
    <cellStyle name="Currency 3 4 2 2" xfId="8486"/>
    <cellStyle name="Currency 3 4 2 2 2" xfId="8487"/>
    <cellStyle name="Currency 3 4 2 2 2 2" xfId="8488"/>
    <cellStyle name="Currency 3 4 2 2 2 2 2" xfId="8489"/>
    <cellStyle name="Currency 3 4 2 2 2 2 3" xfId="8490"/>
    <cellStyle name="Currency 3 4 2 2 2 3" xfId="8491"/>
    <cellStyle name="Currency 3 4 2 2 2 3 2" xfId="8492"/>
    <cellStyle name="Currency 3 4 2 2 2 3 3" xfId="8493"/>
    <cellStyle name="Currency 3 4 2 2 2 4" xfId="8494"/>
    <cellStyle name="Currency 3 4 2 2 2 5" xfId="8495"/>
    <cellStyle name="Currency 3 4 2 2 3" xfId="8496"/>
    <cellStyle name="Currency 3 4 2 2 3 2" xfId="8497"/>
    <cellStyle name="Currency 3 4 2 2 3 3" xfId="8498"/>
    <cellStyle name="Currency 3 4 2 2 4" xfId="8499"/>
    <cellStyle name="Currency 3 4 2 2 4 2" xfId="8500"/>
    <cellStyle name="Currency 3 4 2 2 4 3" xfId="8501"/>
    <cellStyle name="Currency 3 4 2 2 5" xfId="8502"/>
    <cellStyle name="Currency 3 4 2 2 6" xfId="8503"/>
    <cellStyle name="Currency 3 4 2 3" xfId="8504"/>
    <cellStyle name="Currency 3 4 2 3 2" xfId="8505"/>
    <cellStyle name="Currency 3 4 2 3 2 2" xfId="8506"/>
    <cellStyle name="Currency 3 4 2 3 2 3" xfId="8507"/>
    <cellStyle name="Currency 3 4 2 3 3" xfId="8508"/>
    <cellStyle name="Currency 3 4 2 3 3 2" xfId="8509"/>
    <cellStyle name="Currency 3 4 2 3 3 3" xfId="8510"/>
    <cellStyle name="Currency 3 4 2 3 4" xfId="8511"/>
    <cellStyle name="Currency 3 4 2 3 5" xfId="8512"/>
    <cellStyle name="Currency 3 4 2 4" xfId="8513"/>
    <cellStyle name="Currency 3 4 2 4 2" xfId="8514"/>
    <cellStyle name="Currency 3 4 2 4 3" xfId="8515"/>
    <cellStyle name="Currency 3 4 2 5" xfId="8516"/>
    <cellStyle name="Currency 3 4 2 5 2" xfId="8517"/>
    <cellStyle name="Currency 3 4 2 5 3" xfId="8518"/>
    <cellStyle name="Currency 3 4 2 6" xfId="8519"/>
    <cellStyle name="Currency 3 4 2 7" xfId="8520"/>
    <cellStyle name="Currency 3 4 3" xfId="1459"/>
    <cellStyle name="Currency 3 4 3 2" xfId="8521"/>
    <cellStyle name="Currency 3 4 3 2 2" xfId="8522"/>
    <cellStyle name="Currency 3 4 3 2 2 2" xfId="8523"/>
    <cellStyle name="Currency 3 4 3 2 2 3" xfId="8524"/>
    <cellStyle name="Currency 3 4 3 2 3" xfId="8525"/>
    <cellStyle name="Currency 3 4 3 2 3 2" xfId="8526"/>
    <cellStyle name="Currency 3 4 3 2 3 3" xfId="8527"/>
    <cellStyle name="Currency 3 4 3 2 4" xfId="8528"/>
    <cellStyle name="Currency 3 4 3 2 5" xfId="8529"/>
    <cellStyle name="Currency 3 4 3 3" xfId="8530"/>
    <cellStyle name="Currency 3 4 3 3 2" xfId="8531"/>
    <cellStyle name="Currency 3 4 3 3 3" xfId="8532"/>
    <cellStyle name="Currency 3 4 3 4" xfId="8533"/>
    <cellStyle name="Currency 3 4 3 4 2" xfId="8534"/>
    <cellStyle name="Currency 3 4 3 4 3" xfId="8535"/>
    <cellStyle name="Currency 3 4 3 5" xfId="8536"/>
    <cellStyle name="Currency 3 4 3 6" xfId="8537"/>
    <cellStyle name="Currency 3 4 4" xfId="1460"/>
    <cellStyle name="Currency 3 4 4 2" xfId="8538"/>
    <cellStyle name="Currency 3 4 4 2 2" xfId="8539"/>
    <cellStyle name="Currency 3 4 4 2 3" xfId="8540"/>
    <cellStyle name="Currency 3 4 4 3" xfId="8541"/>
    <cellStyle name="Currency 3 4 4 3 2" xfId="8542"/>
    <cellStyle name="Currency 3 4 4 3 3" xfId="8543"/>
    <cellStyle name="Currency 3 4 4 4" xfId="8544"/>
    <cellStyle name="Currency 3 4 4 5" xfId="8545"/>
    <cellStyle name="Currency 3 4 5" xfId="1461"/>
    <cellStyle name="Currency 3 4 5 2" xfId="8546"/>
    <cellStyle name="Currency 3 4 5 3" xfId="8547"/>
    <cellStyle name="Currency 3 4 6" xfId="1462"/>
    <cellStyle name="Currency 3 4 6 2" xfId="8548"/>
    <cellStyle name="Currency 3 4 6 3" xfId="8549"/>
    <cellStyle name="Currency 3 4 7" xfId="8550"/>
    <cellStyle name="Currency 3 4 8" xfId="8551"/>
    <cellStyle name="Currency 3 5" xfId="700"/>
    <cellStyle name="Currency 3 5 2" xfId="1463"/>
    <cellStyle name="Currency 3 5 2 2" xfId="8552"/>
    <cellStyle name="Currency 3 5 2 2 2" xfId="8553"/>
    <cellStyle name="Currency 3 5 2 2 2 2" xfId="8554"/>
    <cellStyle name="Currency 3 5 2 2 2 3" xfId="8555"/>
    <cellStyle name="Currency 3 5 2 2 3" xfId="8556"/>
    <cellStyle name="Currency 3 5 2 2 3 2" xfId="8557"/>
    <cellStyle name="Currency 3 5 2 2 3 3" xfId="8558"/>
    <cellStyle name="Currency 3 5 2 2 4" xfId="8559"/>
    <cellStyle name="Currency 3 5 2 2 5" xfId="8560"/>
    <cellStyle name="Currency 3 5 2 2 6" xfId="8561"/>
    <cellStyle name="Currency 3 5 2 3" xfId="8562"/>
    <cellStyle name="Currency 3 5 2 3 2" xfId="8563"/>
    <cellStyle name="Currency 3 5 2 3 3" xfId="8564"/>
    <cellStyle name="Currency 3 5 2 4" xfId="8565"/>
    <cellStyle name="Currency 3 5 2 4 2" xfId="8566"/>
    <cellStyle name="Currency 3 5 2 4 3" xfId="8567"/>
    <cellStyle name="Currency 3 5 2 5" xfId="8568"/>
    <cellStyle name="Currency 3 5 2 6" xfId="8569"/>
    <cellStyle name="Currency 3 5 3" xfId="1464"/>
    <cellStyle name="Currency 3 5 3 2" xfId="8570"/>
    <cellStyle name="Currency 3 5 3 2 2" xfId="8571"/>
    <cellStyle name="Currency 3 5 3 2 3" xfId="8572"/>
    <cellStyle name="Currency 3 5 3 3" xfId="8573"/>
    <cellStyle name="Currency 3 5 3 3 2" xfId="8574"/>
    <cellStyle name="Currency 3 5 3 3 3" xfId="8575"/>
    <cellStyle name="Currency 3 5 3 4" xfId="8576"/>
    <cellStyle name="Currency 3 5 3 5" xfId="8577"/>
    <cellStyle name="Currency 3 5 4" xfId="8578"/>
    <cellStyle name="Currency 3 5 4 2" xfId="8579"/>
    <cellStyle name="Currency 3 5 4 3" xfId="8580"/>
    <cellStyle name="Currency 3 5 5" xfId="8581"/>
    <cellStyle name="Currency 3 5 5 2" xfId="8582"/>
    <cellStyle name="Currency 3 5 5 3" xfId="8583"/>
    <cellStyle name="Currency 3 5 6" xfId="8584"/>
    <cellStyle name="Currency 3 5 7" xfId="8585"/>
    <cellStyle name="Currency 3 6" xfId="1465"/>
    <cellStyle name="Currency 3 6 2" xfId="1466"/>
    <cellStyle name="Currency 3 6 2 2" xfId="8586"/>
    <cellStyle name="Currency 3 6 2 2 2" xfId="8587"/>
    <cellStyle name="Currency 3 6 2 2 3" xfId="8588"/>
    <cellStyle name="Currency 3 6 2 3" xfId="8589"/>
    <cellStyle name="Currency 3 6 2 3 2" xfId="8590"/>
    <cellStyle name="Currency 3 6 2 3 3" xfId="8591"/>
    <cellStyle name="Currency 3 6 2 4" xfId="8592"/>
    <cellStyle name="Currency 3 6 2 5" xfId="8593"/>
    <cellStyle name="Currency 3 6 3" xfId="1467"/>
    <cellStyle name="Currency 3 6 3 2" xfId="8594"/>
    <cellStyle name="Currency 3 6 3 3" xfId="8595"/>
    <cellStyle name="Currency 3 6 4" xfId="8596"/>
    <cellStyle name="Currency 3 6 4 2" xfId="8597"/>
    <cellStyle name="Currency 3 6 4 3" xfId="8598"/>
    <cellStyle name="Currency 3 6 5" xfId="8599"/>
    <cellStyle name="Currency 3 6 6" xfId="8600"/>
    <cellStyle name="Currency 3 7" xfId="1468"/>
    <cellStyle name="Currency 3 7 2" xfId="8601"/>
    <cellStyle name="Currency 3 7 2 2" xfId="8602"/>
    <cellStyle name="Currency 3 7 2 3" xfId="8603"/>
    <cellStyle name="Currency 3 7 3" xfId="8604"/>
    <cellStyle name="Currency 3 7 3 2" xfId="8605"/>
    <cellStyle name="Currency 3 7 3 3" xfId="8606"/>
    <cellStyle name="Currency 3 7 4" xfId="8607"/>
    <cellStyle name="Currency 3 7 5" xfId="8608"/>
    <cellStyle name="Currency 3 8" xfId="1469"/>
    <cellStyle name="Currency 3 8 2" xfId="8609"/>
    <cellStyle name="Currency 3 8 3" xfId="8610"/>
    <cellStyle name="Currency 3 9" xfId="1470"/>
    <cellStyle name="Currency 3 9 2" xfId="8611"/>
    <cellStyle name="Currency 3 9 3" xfId="8612"/>
    <cellStyle name="Currency 3_31000" xfId="8613"/>
    <cellStyle name="Currency 4" xfId="202"/>
    <cellStyle name="Currency 4 10" xfId="8614"/>
    <cellStyle name="Currency 4 11" xfId="8615"/>
    <cellStyle name="Currency 4 2" xfId="203"/>
    <cellStyle name="Currency 4 2 2" xfId="701"/>
    <cellStyle name="Currency 4 2 2 2" xfId="702"/>
    <cellStyle name="Currency 4 2 2 2 2" xfId="703"/>
    <cellStyle name="Currency 4 2 2 2 2 2" xfId="8616"/>
    <cellStyle name="Currency 4 2 2 2 2 2 2" xfId="8617"/>
    <cellStyle name="Currency 4 2 2 2 2 2 2 2" xfId="8618"/>
    <cellStyle name="Currency 4 2 2 2 2 2 2 3" xfId="8619"/>
    <cellStyle name="Currency 4 2 2 2 2 2 3" xfId="8620"/>
    <cellStyle name="Currency 4 2 2 2 2 2 3 2" xfId="8621"/>
    <cellStyle name="Currency 4 2 2 2 2 2 3 3" xfId="8622"/>
    <cellStyle name="Currency 4 2 2 2 2 2 4" xfId="8623"/>
    <cellStyle name="Currency 4 2 2 2 2 2 5" xfId="8624"/>
    <cellStyle name="Currency 4 2 2 2 2 3" xfId="8625"/>
    <cellStyle name="Currency 4 2 2 2 2 3 2" xfId="8626"/>
    <cellStyle name="Currency 4 2 2 2 2 3 3" xfId="8627"/>
    <cellStyle name="Currency 4 2 2 2 2 4" xfId="8628"/>
    <cellStyle name="Currency 4 2 2 2 2 4 2" xfId="8629"/>
    <cellStyle name="Currency 4 2 2 2 2 4 3" xfId="8630"/>
    <cellStyle name="Currency 4 2 2 2 2 5" xfId="8631"/>
    <cellStyle name="Currency 4 2 2 2 2 6" xfId="8632"/>
    <cellStyle name="Currency 4 2 2 2 3" xfId="8633"/>
    <cellStyle name="Currency 4 2 2 2 3 2" xfId="8634"/>
    <cellStyle name="Currency 4 2 2 2 3 2 2" xfId="8635"/>
    <cellStyle name="Currency 4 2 2 2 3 2 3" xfId="8636"/>
    <cellStyle name="Currency 4 2 2 2 3 3" xfId="8637"/>
    <cellStyle name="Currency 4 2 2 2 3 3 2" xfId="8638"/>
    <cellStyle name="Currency 4 2 2 2 3 3 3" xfId="8639"/>
    <cellStyle name="Currency 4 2 2 2 3 4" xfId="8640"/>
    <cellStyle name="Currency 4 2 2 2 3 5" xfId="8641"/>
    <cellStyle name="Currency 4 2 2 2 4" xfId="8642"/>
    <cellStyle name="Currency 4 2 2 2 4 2" xfId="8643"/>
    <cellStyle name="Currency 4 2 2 2 4 3" xfId="8644"/>
    <cellStyle name="Currency 4 2 2 2 5" xfId="8645"/>
    <cellStyle name="Currency 4 2 2 2 5 2" xfId="8646"/>
    <cellStyle name="Currency 4 2 2 2 5 3" xfId="8647"/>
    <cellStyle name="Currency 4 2 2 2 6" xfId="8648"/>
    <cellStyle name="Currency 4 2 2 2 7" xfId="8649"/>
    <cellStyle name="Currency 4 2 2 3" xfId="704"/>
    <cellStyle name="Currency 4 2 2 3 2" xfId="8650"/>
    <cellStyle name="Currency 4 2 2 3 2 2" xfId="8651"/>
    <cellStyle name="Currency 4 2 2 3 2 2 2" xfId="8652"/>
    <cellStyle name="Currency 4 2 2 3 2 2 3" xfId="8653"/>
    <cellStyle name="Currency 4 2 2 3 2 3" xfId="8654"/>
    <cellStyle name="Currency 4 2 2 3 2 3 2" xfId="8655"/>
    <cellStyle name="Currency 4 2 2 3 2 3 3" xfId="8656"/>
    <cellStyle name="Currency 4 2 2 3 2 4" xfId="8657"/>
    <cellStyle name="Currency 4 2 2 3 2 5" xfId="8658"/>
    <cellStyle name="Currency 4 2 2 3 3" xfId="8659"/>
    <cellStyle name="Currency 4 2 2 3 3 2" xfId="8660"/>
    <cellStyle name="Currency 4 2 2 3 3 3" xfId="8661"/>
    <cellStyle name="Currency 4 2 2 3 4" xfId="8662"/>
    <cellStyle name="Currency 4 2 2 3 4 2" xfId="8663"/>
    <cellStyle name="Currency 4 2 2 3 4 3" xfId="8664"/>
    <cellStyle name="Currency 4 2 2 3 5" xfId="8665"/>
    <cellStyle name="Currency 4 2 2 3 6" xfId="8666"/>
    <cellStyle name="Currency 4 2 2 4" xfId="8667"/>
    <cellStyle name="Currency 4 2 2 4 2" xfId="8668"/>
    <cellStyle name="Currency 4 2 2 4 2 2" xfId="8669"/>
    <cellStyle name="Currency 4 2 2 4 2 3" xfId="8670"/>
    <cellStyle name="Currency 4 2 2 4 3" xfId="8671"/>
    <cellStyle name="Currency 4 2 2 4 3 2" xfId="8672"/>
    <cellStyle name="Currency 4 2 2 4 3 3" xfId="8673"/>
    <cellStyle name="Currency 4 2 2 4 4" xfId="8674"/>
    <cellStyle name="Currency 4 2 2 4 5" xfId="8675"/>
    <cellStyle name="Currency 4 2 2 5" xfId="8676"/>
    <cellStyle name="Currency 4 2 2 5 2" xfId="8677"/>
    <cellStyle name="Currency 4 2 2 5 3" xfId="8678"/>
    <cellStyle name="Currency 4 2 2 6" xfId="8679"/>
    <cellStyle name="Currency 4 2 2 6 2" xfId="8680"/>
    <cellStyle name="Currency 4 2 2 6 3" xfId="8681"/>
    <cellStyle name="Currency 4 2 2 7" xfId="8682"/>
    <cellStyle name="Currency 4 2 2 8" xfId="8683"/>
    <cellStyle name="Currency 4 2 3" xfId="705"/>
    <cellStyle name="Currency 4 2 3 2" xfId="706"/>
    <cellStyle name="Currency 4 2 3 2 2" xfId="8684"/>
    <cellStyle name="Currency 4 2 3 2 2 2" xfId="8685"/>
    <cellStyle name="Currency 4 2 3 2 2 2 2" xfId="8686"/>
    <cellStyle name="Currency 4 2 3 2 2 2 3" xfId="8687"/>
    <cellStyle name="Currency 4 2 3 2 2 3" xfId="8688"/>
    <cellStyle name="Currency 4 2 3 2 2 3 2" xfId="8689"/>
    <cellStyle name="Currency 4 2 3 2 2 3 3" xfId="8690"/>
    <cellStyle name="Currency 4 2 3 2 2 4" xfId="8691"/>
    <cellStyle name="Currency 4 2 3 2 2 5" xfId="8692"/>
    <cellStyle name="Currency 4 2 3 2 3" xfId="8693"/>
    <cellStyle name="Currency 4 2 3 2 3 2" xfId="8694"/>
    <cellStyle name="Currency 4 2 3 2 3 3" xfId="8695"/>
    <cellStyle name="Currency 4 2 3 2 4" xfId="8696"/>
    <cellStyle name="Currency 4 2 3 2 4 2" xfId="8697"/>
    <cellStyle name="Currency 4 2 3 2 4 3" xfId="8698"/>
    <cellStyle name="Currency 4 2 3 2 5" xfId="8699"/>
    <cellStyle name="Currency 4 2 3 2 6" xfId="8700"/>
    <cellStyle name="Currency 4 2 3 3" xfId="8701"/>
    <cellStyle name="Currency 4 2 3 3 2" xfId="8702"/>
    <cellStyle name="Currency 4 2 3 3 2 2" xfId="8703"/>
    <cellStyle name="Currency 4 2 3 3 2 3" xfId="8704"/>
    <cellStyle name="Currency 4 2 3 3 3" xfId="8705"/>
    <cellStyle name="Currency 4 2 3 3 3 2" xfId="8706"/>
    <cellStyle name="Currency 4 2 3 3 3 3" xfId="8707"/>
    <cellStyle name="Currency 4 2 3 3 4" xfId="8708"/>
    <cellStyle name="Currency 4 2 3 3 5" xfId="8709"/>
    <cellStyle name="Currency 4 2 3 4" xfId="8710"/>
    <cellStyle name="Currency 4 2 3 4 2" xfId="8711"/>
    <cellStyle name="Currency 4 2 3 4 3" xfId="8712"/>
    <cellStyle name="Currency 4 2 3 5" xfId="8713"/>
    <cellStyle name="Currency 4 2 3 5 2" xfId="8714"/>
    <cellStyle name="Currency 4 2 3 5 3" xfId="8715"/>
    <cellStyle name="Currency 4 2 3 6" xfId="8716"/>
    <cellStyle name="Currency 4 2 3 7" xfId="8717"/>
    <cellStyle name="Currency 4 2 4" xfId="707"/>
    <cellStyle name="Currency 4 2 4 2" xfId="8718"/>
    <cellStyle name="Currency 4 2 4 2 2" xfId="8719"/>
    <cellStyle name="Currency 4 2 4 2 2 2" xfId="8720"/>
    <cellStyle name="Currency 4 2 4 2 2 3" xfId="8721"/>
    <cellStyle name="Currency 4 2 4 2 3" xfId="8722"/>
    <cellStyle name="Currency 4 2 4 2 3 2" xfId="8723"/>
    <cellStyle name="Currency 4 2 4 2 3 3" xfId="8724"/>
    <cellStyle name="Currency 4 2 4 2 4" xfId="8725"/>
    <cellStyle name="Currency 4 2 4 2 5" xfId="8726"/>
    <cellStyle name="Currency 4 2 4 3" xfId="8727"/>
    <cellStyle name="Currency 4 2 4 3 2" xfId="8728"/>
    <cellStyle name="Currency 4 2 4 3 3" xfId="8729"/>
    <cellStyle name="Currency 4 2 4 4" xfId="8730"/>
    <cellStyle name="Currency 4 2 4 4 2" xfId="8731"/>
    <cellStyle name="Currency 4 2 4 4 3" xfId="8732"/>
    <cellStyle name="Currency 4 2 4 5" xfId="8733"/>
    <cellStyle name="Currency 4 2 4 6" xfId="8734"/>
    <cellStyle name="Currency 4 2 5" xfId="8735"/>
    <cellStyle name="Currency 4 2 5 2" xfId="8736"/>
    <cellStyle name="Currency 4 2 5 2 2" xfId="8737"/>
    <cellStyle name="Currency 4 2 5 2 3" xfId="8738"/>
    <cellStyle name="Currency 4 2 5 3" xfId="8739"/>
    <cellStyle name="Currency 4 2 5 3 2" xfId="8740"/>
    <cellStyle name="Currency 4 2 5 3 3" xfId="8741"/>
    <cellStyle name="Currency 4 2 5 4" xfId="8742"/>
    <cellStyle name="Currency 4 2 5 5" xfId="8743"/>
    <cellStyle name="Currency 4 2 6" xfId="8744"/>
    <cellStyle name="Currency 4 2 6 2" xfId="8745"/>
    <cellStyle name="Currency 4 2 6 3" xfId="8746"/>
    <cellStyle name="Currency 4 2 7" xfId="8747"/>
    <cellStyle name="Currency 4 2 7 2" xfId="8748"/>
    <cellStyle name="Currency 4 2 7 3" xfId="8749"/>
    <cellStyle name="Currency 4 2 8" xfId="8750"/>
    <cellStyle name="Currency 4 2 9" xfId="8751"/>
    <cellStyle name="Currency 4 3" xfId="421"/>
    <cellStyle name="Currency 4 3 2" xfId="708"/>
    <cellStyle name="Currency 4 3 2 2" xfId="709"/>
    <cellStyle name="Currency 4 3 2 2 2" xfId="8752"/>
    <cellStyle name="Currency 4 3 2 2 2 2" xfId="8753"/>
    <cellStyle name="Currency 4 3 2 2 2 2 2" xfId="8754"/>
    <cellStyle name="Currency 4 3 2 2 2 2 3" xfId="8755"/>
    <cellStyle name="Currency 4 3 2 2 2 3" xfId="8756"/>
    <cellStyle name="Currency 4 3 2 2 2 3 2" xfId="8757"/>
    <cellStyle name="Currency 4 3 2 2 2 3 3" xfId="8758"/>
    <cellStyle name="Currency 4 3 2 2 2 4" xfId="8759"/>
    <cellStyle name="Currency 4 3 2 2 2 5" xfId="8760"/>
    <cellStyle name="Currency 4 3 2 2 3" xfId="8761"/>
    <cellStyle name="Currency 4 3 2 2 3 2" xfId="8762"/>
    <cellStyle name="Currency 4 3 2 2 3 3" xfId="8763"/>
    <cellStyle name="Currency 4 3 2 2 4" xfId="8764"/>
    <cellStyle name="Currency 4 3 2 2 4 2" xfId="8765"/>
    <cellStyle name="Currency 4 3 2 2 4 3" xfId="8766"/>
    <cellStyle name="Currency 4 3 2 2 5" xfId="8767"/>
    <cellStyle name="Currency 4 3 2 2 6" xfId="8768"/>
    <cellStyle name="Currency 4 3 2 3" xfId="8769"/>
    <cellStyle name="Currency 4 3 2 3 2" xfId="8770"/>
    <cellStyle name="Currency 4 3 2 3 2 2" xfId="8771"/>
    <cellStyle name="Currency 4 3 2 3 2 3" xfId="8772"/>
    <cellStyle name="Currency 4 3 2 3 3" xfId="8773"/>
    <cellStyle name="Currency 4 3 2 3 3 2" xfId="8774"/>
    <cellStyle name="Currency 4 3 2 3 3 3" xfId="8775"/>
    <cellStyle name="Currency 4 3 2 3 4" xfId="8776"/>
    <cellStyle name="Currency 4 3 2 3 5" xfId="8777"/>
    <cellStyle name="Currency 4 3 2 4" xfId="8778"/>
    <cellStyle name="Currency 4 3 2 4 2" xfId="8779"/>
    <cellStyle name="Currency 4 3 2 4 3" xfId="8780"/>
    <cellStyle name="Currency 4 3 2 5" xfId="8781"/>
    <cellStyle name="Currency 4 3 2 5 2" xfId="8782"/>
    <cellStyle name="Currency 4 3 2 5 3" xfId="8783"/>
    <cellStyle name="Currency 4 3 2 6" xfId="8784"/>
    <cellStyle name="Currency 4 3 2 7" xfId="8785"/>
    <cellStyle name="Currency 4 3 3" xfId="710"/>
    <cellStyle name="Currency 4 3 3 2" xfId="8786"/>
    <cellStyle name="Currency 4 3 3 2 2" xfId="8787"/>
    <cellStyle name="Currency 4 3 3 2 2 2" xfId="8788"/>
    <cellStyle name="Currency 4 3 3 2 2 3" xfId="8789"/>
    <cellStyle name="Currency 4 3 3 2 3" xfId="8790"/>
    <cellStyle name="Currency 4 3 3 2 3 2" xfId="8791"/>
    <cellStyle name="Currency 4 3 3 2 3 3" xfId="8792"/>
    <cellStyle name="Currency 4 3 3 2 4" xfId="8793"/>
    <cellStyle name="Currency 4 3 3 2 5" xfId="8794"/>
    <cellStyle name="Currency 4 3 3 3" xfId="8795"/>
    <cellStyle name="Currency 4 3 3 3 2" xfId="8796"/>
    <cellStyle name="Currency 4 3 3 3 3" xfId="8797"/>
    <cellStyle name="Currency 4 3 3 4" xfId="8798"/>
    <cellStyle name="Currency 4 3 3 4 2" xfId="8799"/>
    <cellStyle name="Currency 4 3 3 4 3" xfId="8800"/>
    <cellStyle name="Currency 4 3 3 5" xfId="8801"/>
    <cellStyle name="Currency 4 3 3 6" xfId="8802"/>
    <cellStyle name="Currency 4 3 4" xfId="1471"/>
    <cellStyle name="Currency 4 3 4 2" xfId="8803"/>
    <cellStyle name="Currency 4 3 4 2 2" xfId="8804"/>
    <cellStyle name="Currency 4 3 4 2 3" xfId="8805"/>
    <cellStyle name="Currency 4 3 4 3" xfId="8806"/>
    <cellStyle name="Currency 4 3 4 3 2" xfId="8807"/>
    <cellStyle name="Currency 4 3 4 3 3" xfId="8808"/>
    <cellStyle name="Currency 4 3 4 4" xfId="8809"/>
    <cellStyle name="Currency 4 3 4 5" xfId="8810"/>
    <cellStyle name="Currency 4 3 5" xfId="8811"/>
    <cellStyle name="Currency 4 3 5 2" xfId="8812"/>
    <cellStyle name="Currency 4 3 5 3" xfId="8813"/>
    <cellStyle name="Currency 4 3 5 4" xfId="8814"/>
    <cellStyle name="Currency 4 3 6" xfId="8815"/>
    <cellStyle name="Currency 4 3 6 2" xfId="8816"/>
    <cellStyle name="Currency 4 3 6 3" xfId="8817"/>
    <cellStyle name="Currency 4 3 7" xfId="8818"/>
    <cellStyle name="Currency 4 3 8" xfId="8819"/>
    <cellStyle name="Currency 4 4" xfId="711"/>
    <cellStyle name="Currency 4 4 2" xfId="712"/>
    <cellStyle name="Currency 4 4 2 2" xfId="8820"/>
    <cellStyle name="Currency 4 4 2 2 2" xfId="8821"/>
    <cellStyle name="Currency 4 4 2 2 2 2" xfId="8822"/>
    <cellStyle name="Currency 4 4 2 2 2 2 2" xfId="8823"/>
    <cellStyle name="Currency 4 4 2 2 2 2 3" xfId="8824"/>
    <cellStyle name="Currency 4 4 2 2 2 3" xfId="8825"/>
    <cellStyle name="Currency 4 4 2 2 2 3 2" xfId="8826"/>
    <cellStyle name="Currency 4 4 2 2 2 3 3" xfId="8827"/>
    <cellStyle name="Currency 4 4 2 2 2 4" xfId="8828"/>
    <cellStyle name="Currency 4 4 2 2 2 5" xfId="8829"/>
    <cellStyle name="Currency 4 4 2 2 3" xfId="8830"/>
    <cellStyle name="Currency 4 4 2 2 3 2" xfId="8831"/>
    <cellStyle name="Currency 4 4 2 2 3 3" xfId="8832"/>
    <cellStyle name="Currency 4 4 2 2 4" xfId="8833"/>
    <cellStyle name="Currency 4 4 2 2 4 2" xfId="8834"/>
    <cellStyle name="Currency 4 4 2 2 4 3" xfId="8835"/>
    <cellStyle name="Currency 4 4 2 2 5" xfId="8836"/>
    <cellStyle name="Currency 4 4 2 2 6" xfId="8837"/>
    <cellStyle name="Currency 4 4 2 3" xfId="8838"/>
    <cellStyle name="Currency 4 4 2 3 2" xfId="8839"/>
    <cellStyle name="Currency 4 4 2 3 2 2" xfId="8840"/>
    <cellStyle name="Currency 4 4 2 3 2 3" xfId="8841"/>
    <cellStyle name="Currency 4 4 2 3 3" xfId="8842"/>
    <cellStyle name="Currency 4 4 2 3 3 2" xfId="8843"/>
    <cellStyle name="Currency 4 4 2 3 3 3" xfId="8844"/>
    <cellStyle name="Currency 4 4 2 3 4" xfId="8845"/>
    <cellStyle name="Currency 4 4 2 3 5" xfId="8846"/>
    <cellStyle name="Currency 4 4 2 4" xfId="8847"/>
    <cellStyle name="Currency 4 4 2 4 2" xfId="8848"/>
    <cellStyle name="Currency 4 4 2 4 3" xfId="8849"/>
    <cellStyle name="Currency 4 4 2 5" xfId="8850"/>
    <cellStyle name="Currency 4 4 2 5 2" xfId="8851"/>
    <cellStyle name="Currency 4 4 2 5 3" xfId="8852"/>
    <cellStyle name="Currency 4 4 2 6" xfId="8853"/>
    <cellStyle name="Currency 4 4 2 7" xfId="8854"/>
    <cellStyle name="Currency 4 4 3" xfId="8855"/>
    <cellStyle name="Currency 4 4 3 2" xfId="8856"/>
    <cellStyle name="Currency 4 4 3 2 2" xfId="8857"/>
    <cellStyle name="Currency 4 4 3 2 2 2" xfId="8858"/>
    <cellStyle name="Currency 4 4 3 2 2 3" xfId="8859"/>
    <cellStyle name="Currency 4 4 3 2 3" xfId="8860"/>
    <cellStyle name="Currency 4 4 3 2 3 2" xfId="8861"/>
    <cellStyle name="Currency 4 4 3 2 3 3" xfId="8862"/>
    <cellStyle name="Currency 4 4 3 2 4" xfId="8863"/>
    <cellStyle name="Currency 4 4 3 2 5" xfId="8864"/>
    <cellStyle name="Currency 4 4 3 3" xfId="8865"/>
    <cellStyle name="Currency 4 4 3 3 2" xfId="8866"/>
    <cellStyle name="Currency 4 4 3 3 3" xfId="8867"/>
    <cellStyle name="Currency 4 4 3 4" xfId="8868"/>
    <cellStyle name="Currency 4 4 3 4 2" xfId="8869"/>
    <cellStyle name="Currency 4 4 3 4 3" xfId="8870"/>
    <cellStyle name="Currency 4 4 3 5" xfId="8871"/>
    <cellStyle name="Currency 4 4 3 6" xfId="8872"/>
    <cellStyle name="Currency 4 4 4" xfId="8873"/>
    <cellStyle name="Currency 4 4 4 2" xfId="8874"/>
    <cellStyle name="Currency 4 4 4 2 2" xfId="8875"/>
    <cellStyle name="Currency 4 4 4 2 3" xfId="8876"/>
    <cellStyle name="Currency 4 4 4 3" xfId="8877"/>
    <cellStyle name="Currency 4 4 4 3 2" xfId="8878"/>
    <cellStyle name="Currency 4 4 4 3 3" xfId="8879"/>
    <cellStyle name="Currency 4 4 4 4" xfId="8880"/>
    <cellStyle name="Currency 4 4 4 5" xfId="8881"/>
    <cellStyle name="Currency 4 4 5" xfId="8882"/>
    <cellStyle name="Currency 4 4 5 2" xfId="8883"/>
    <cellStyle name="Currency 4 4 5 3" xfId="8884"/>
    <cellStyle name="Currency 4 4 6" xfId="8885"/>
    <cellStyle name="Currency 4 4 6 2" xfId="8886"/>
    <cellStyle name="Currency 4 4 6 3" xfId="8887"/>
    <cellStyle name="Currency 4 4 7" xfId="8888"/>
    <cellStyle name="Currency 4 4 8" xfId="8889"/>
    <cellStyle name="Currency 4 5" xfId="713"/>
    <cellStyle name="Currency 4 5 2" xfId="1472"/>
    <cellStyle name="Currency 4 5 2 2" xfId="8890"/>
    <cellStyle name="Currency 4 5 2 2 2" xfId="8891"/>
    <cellStyle name="Currency 4 5 2 2 2 2" xfId="8892"/>
    <cellStyle name="Currency 4 5 2 2 2 3" xfId="8893"/>
    <cellStyle name="Currency 4 5 2 2 3" xfId="8894"/>
    <cellStyle name="Currency 4 5 2 2 3 2" xfId="8895"/>
    <cellStyle name="Currency 4 5 2 2 3 3" xfId="8896"/>
    <cellStyle name="Currency 4 5 2 2 4" xfId="8897"/>
    <cellStyle name="Currency 4 5 2 2 5" xfId="8898"/>
    <cellStyle name="Currency 4 5 2 3" xfId="8899"/>
    <cellStyle name="Currency 4 5 2 3 2" xfId="8900"/>
    <cellStyle name="Currency 4 5 2 3 3" xfId="8901"/>
    <cellStyle name="Currency 4 5 2 4" xfId="8902"/>
    <cellStyle name="Currency 4 5 2 4 2" xfId="8903"/>
    <cellStyle name="Currency 4 5 2 4 3" xfId="8904"/>
    <cellStyle name="Currency 4 5 2 5" xfId="8905"/>
    <cellStyle name="Currency 4 5 2 6" xfId="8906"/>
    <cellStyle name="Currency 4 5 3" xfId="8907"/>
    <cellStyle name="Currency 4 5 3 2" xfId="8908"/>
    <cellStyle name="Currency 4 5 3 2 2" xfId="8909"/>
    <cellStyle name="Currency 4 5 3 2 3" xfId="8910"/>
    <cellStyle name="Currency 4 5 3 3" xfId="8911"/>
    <cellStyle name="Currency 4 5 3 3 2" xfId="8912"/>
    <cellStyle name="Currency 4 5 3 3 3" xfId="8913"/>
    <cellStyle name="Currency 4 5 3 4" xfId="8914"/>
    <cellStyle name="Currency 4 5 3 5" xfId="8915"/>
    <cellStyle name="Currency 4 5 4" xfId="8916"/>
    <cellStyle name="Currency 4 5 4 2" xfId="8917"/>
    <cellStyle name="Currency 4 5 4 3" xfId="8918"/>
    <cellStyle name="Currency 4 5 5" xfId="8919"/>
    <cellStyle name="Currency 4 5 5 2" xfId="8920"/>
    <cellStyle name="Currency 4 5 5 3" xfId="8921"/>
    <cellStyle name="Currency 4 5 6" xfId="8922"/>
    <cellStyle name="Currency 4 5 7" xfId="8923"/>
    <cellStyle name="Currency 4 6" xfId="1473"/>
    <cellStyle name="Currency 4 6 2" xfId="8924"/>
    <cellStyle name="Currency 4 6 2 2" xfId="8925"/>
    <cellStyle name="Currency 4 6 2 2 2" xfId="8926"/>
    <cellStyle name="Currency 4 6 2 2 3" xfId="8927"/>
    <cellStyle name="Currency 4 6 2 3" xfId="8928"/>
    <cellStyle name="Currency 4 6 2 3 2" xfId="8929"/>
    <cellStyle name="Currency 4 6 2 3 3" xfId="8930"/>
    <cellStyle name="Currency 4 6 2 4" xfId="8931"/>
    <cellStyle name="Currency 4 6 2 5" xfId="8932"/>
    <cellStyle name="Currency 4 6 3" xfId="8933"/>
    <cellStyle name="Currency 4 6 3 2" xfId="8934"/>
    <cellStyle name="Currency 4 6 3 3" xfId="8935"/>
    <cellStyle name="Currency 4 6 4" xfId="8936"/>
    <cellStyle name="Currency 4 6 4 2" xfId="8937"/>
    <cellStyle name="Currency 4 6 4 3" xfId="8938"/>
    <cellStyle name="Currency 4 6 5" xfId="8939"/>
    <cellStyle name="Currency 4 6 6" xfId="8940"/>
    <cellStyle name="Currency 4 6 7" xfId="8941"/>
    <cellStyle name="Currency 4 7" xfId="1474"/>
    <cellStyle name="Currency 4 7 2" xfId="8942"/>
    <cellStyle name="Currency 4 7 2 2" xfId="8943"/>
    <cellStyle name="Currency 4 7 2 3" xfId="8944"/>
    <cellStyle name="Currency 4 7 3" xfId="8945"/>
    <cellStyle name="Currency 4 7 3 2" xfId="8946"/>
    <cellStyle name="Currency 4 7 3 3" xfId="8947"/>
    <cellStyle name="Currency 4 7 4" xfId="8948"/>
    <cellStyle name="Currency 4 7 5" xfId="8949"/>
    <cellStyle name="Currency 4 8" xfId="1475"/>
    <cellStyle name="Currency 4 8 2" xfId="8950"/>
    <cellStyle name="Currency 4 8 3" xfId="8951"/>
    <cellStyle name="Currency 4 9" xfId="8952"/>
    <cellStyle name="Currency 4 9 2" xfId="8953"/>
    <cellStyle name="Currency 4 9 3" xfId="8954"/>
    <cellStyle name="Currency 4 9 4" xfId="8955"/>
    <cellStyle name="Currency 5" xfId="204"/>
    <cellStyle name="Currency 5 10" xfId="8956"/>
    <cellStyle name="Currency 5 2" xfId="205"/>
    <cellStyle name="Currency 5 2 2" xfId="714"/>
    <cellStyle name="Currency 5 2 2 2" xfId="715"/>
    <cellStyle name="Currency 5 2 2 2 2" xfId="8957"/>
    <cellStyle name="Currency 5 2 2 2 2 2" xfId="8958"/>
    <cellStyle name="Currency 5 2 2 2 2 2 2" xfId="8959"/>
    <cellStyle name="Currency 5 2 2 2 2 2 3" xfId="8960"/>
    <cellStyle name="Currency 5 2 2 2 2 3" xfId="8961"/>
    <cellStyle name="Currency 5 2 2 2 2 3 2" xfId="8962"/>
    <cellStyle name="Currency 5 2 2 2 2 3 3" xfId="8963"/>
    <cellStyle name="Currency 5 2 2 2 2 4" xfId="8964"/>
    <cellStyle name="Currency 5 2 2 2 2 5" xfId="8965"/>
    <cellStyle name="Currency 5 2 2 2 3" xfId="8966"/>
    <cellStyle name="Currency 5 2 2 2 3 2" xfId="8967"/>
    <cellStyle name="Currency 5 2 2 2 3 3" xfId="8968"/>
    <cellStyle name="Currency 5 2 2 2 4" xfId="8969"/>
    <cellStyle name="Currency 5 2 2 2 4 2" xfId="8970"/>
    <cellStyle name="Currency 5 2 2 2 4 3" xfId="8971"/>
    <cellStyle name="Currency 5 2 2 2 5" xfId="8972"/>
    <cellStyle name="Currency 5 2 2 2 6" xfId="8973"/>
    <cellStyle name="Currency 5 2 2 3" xfId="8974"/>
    <cellStyle name="Currency 5 2 2 3 2" xfId="8975"/>
    <cellStyle name="Currency 5 2 2 3 2 2" xfId="8976"/>
    <cellStyle name="Currency 5 2 2 3 2 3" xfId="8977"/>
    <cellStyle name="Currency 5 2 2 3 3" xfId="8978"/>
    <cellStyle name="Currency 5 2 2 3 3 2" xfId="8979"/>
    <cellStyle name="Currency 5 2 2 3 3 3" xfId="8980"/>
    <cellStyle name="Currency 5 2 2 3 4" xfId="8981"/>
    <cellStyle name="Currency 5 2 2 3 5" xfId="8982"/>
    <cellStyle name="Currency 5 2 2 4" xfId="8983"/>
    <cellStyle name="Currency 5 2 2 4 2" xfId="8984"/>
    <cellStyle name="Currency 5 2 2 4 3" xfId="8985"/>
    <cellStyle name="Currency 5 2 2 5" xfId="8986"/>
    <cellStyle name="Currency 5 2 2 5 2" xfId="8987"/>
    <cellStyle name="Currency 5 2 2 5 3" xfId="8988"/>
    <cellStyle name="Currency 5 2 2 6" xfId="8989"/>
    <cellStyle name="Currency 5 2 2 7" xfId="8990"/>
    <cellStyle name="Currency 5 2 3" xfId="716"/>
    <cellStyle name="Currency 5 2 3 2" xfId="8991"/>
    <cellStyle name="Currency 5 2 3 2 2" xfId="8992"/>
    <cellStyle name="Currency 5 2 3 2 2 2" xfId="8993"/>
    <cellStyle name="Currency 5 2 3 2 2 3" xfId="8994"/>
    <cellStyle name="Currency 5 2 3 2 3" xfId="8995"/>
    <cellStyle name="Currency 5 2 3 2 3 2" xfId="8996"/>
    <cellStyle name="Currency 5 2 3 2 3 3" xfId="8997"/>
    <cellStyle name="Currency 5 2 3 2 4" xfId="8998"/>
    <cellStyle name="Currency 5 2 3 2 5" xfId="8999"/>
    <cellStyle name="Currency 5 2 3 3" xfId="9000"/>
    <cellStyle name="Currency 5 2 3 3 2" xfId="9001"/>
    <cellStyle name="Currency 5 2 3 3 3" xfId="9002"/>
    <cellStyle name="Currency 5 2 3 4" xfId="9003"/>
    <cellStyle name="Currency 5 2 3 4 2" xfId="9004"/>
    <cellStyle name="Currency 5 2 3 4 3" xfId="9005"/>
    <cellStyle name="Currency 5 2 3 5" xfId="9006"/>
    <cellStyle name="Currency 5 2 3 6" xfId="9007"/>
    <cellStyle name="Currency 5 2 4" xfId="9008"/>
    <cellStyle name="Currency 5 2 4 2" xfId="9009"/>
    <cellStyle name="Currency 5 2 4 2 2" xfId="9010"/>
    <cellStyle name="Currency 5 2 4 2 3" xfId="9011"/>
    <cellStyle name="Currency 5 2 4 3" xfId="9012"/>
    <cellStyle name="Currency 5 2 4 3 2" xfId="9013"/>
    <cellStyle name="Currency 5 2 4 3 3" xfId="9014"/>
    <cellStyle name="Currency 5 2 4 4" xfId="9015"/>
    <cellStyle name="Currency 5 2 4 5" xfId="9016"/>
    <cellStyle name="Currency 5 2 4 6" xfId="9017"/>
    <cellStyle name="Currency 5 2 5" xfId="9018"/>
    <cellStyle name="Currency 5 2 5 2" xfId="9019"/>
    <cellStyle name="Currency 5 2 5 3" xfId="9020"/>
    <cellStyle name="Currency 5 2 6" xfId="9021"/>
    <cellStyle name="Currency 5 2 6 2" xfId="9022"/>
    <cellStyle name="Currency 5 2 6 3" xfId="9023"/>
    <cellStyle name="Currency 5 2 7" xfId="9024"/>
    <cellStyle name="Currency 5 2 8" xfId="9025"/>
    <cellStyle name="Currency 5 3" xfId="206"/>
    <cellStyle name="Currency 5 3 2" xfId="717"/>
    <cellStyle name="Currency 5 3 2 2" xfId="9026"/>
    <cellStyle name="Currency 5 3 2 2 2" xfId="9027"/>
    <cellStyle name="Currency 5 3 2 2 2 2" xfId="9028"/>
    <cellStyle name="Currency 5 3 2 2 2 2 2" xfId="9029"/>
    <cellStyle name="Currency 5 3 2 2 2 2 3" xfId="9030"/>
    <cellStyle name="Currency 5 3 2 2 2 3" xfId="9031"/>
    <cellStyle name="Currency 5 3 2 2 2 3 2" xfId="9032"/>
    <cellStyle name="Currency 5 3 2 2 2 3 3" xfId="9033"/>
    <cellStyle name="Currency 5 3 2 2 2 4" xfId="9034"/>
    <cellStyle name="Currency 5 3 2 2 2 5" xfId="9035"/>
    <cellStyle name="Currency 5 3 2 2 3" xfId="9036"/>
    <cellStyle name="Currency 5 3 2 2 3 2" xfId="9037"/>
    <cellStyle name="Currency 5 3 2 2 3 3" xfId="9038"/>
    <cellStyle name="Currency 5 3 2 2 4" xfId="9039"/>
    <cellStyle name="Currency 5 3 2 2 4 2" xfId="9040"/>
    <cellStyle name="Currency 5 3 2 2 4 3" xfId="9041"/>
    <cellStyle name="Currency 5 3 2 2 5" xfId="9042"/>
    <cellStyle name="Currency 5 3 2 2 6" xfId="9043"/>
    <cellStyle name="Currency 5 3 2 3" xfId="9044"/>
    <cellStyle name="Currency 5 3 2 3 2" xfId="9045"/>
    <cellStyle name="Currency 5 3 2 3 2 2" xfId="9046"/>
    <cellStyle name="Currency 5 3 2 3 2 3" xfId="9047"/>
    <cellStyle name="Currency 5 3 2 3 3" xfId="9048"/>
    <cellStyle name="Currency 5 3 2 3 3 2" xfId="9049"/>
    <cellStyle name="Currency 5 3 2 3 3 3" xfId="9050"/>
    <cellStyle name="Currency 5 3 2 3 4" xfId="9051"/>
    <cellStyle name="Currency 5 3 2 3 5" xfId="9052"/>
    <cellStyle name="Currency 5 3 2 4" xfId="9053"/>
    <cellStyle name="Currency 5 3 2 4 2" xfId="9054"/>
    <cellStyle name="Currency 5 3 2 4 3" xfId="9055"/>
    <cellStyle name="Currency 5 3 2 5" xfId="9056"/>
    <cellStyle name="Currency 5 3 2 5 2" xfId="9057"/>
    <cellStyle name="Currency 5 3 2 5 3" xfId="9058"/>
    <cellStyle name="Currency 5 3 2 6" xfId="9059"/>
    <cellStyle name="Currency 5 3 2 7" xfId="9060"/>
    <cellStyle name="Currency 5 3 3" xfId="1476"/>
    <cellStyle name="Currency 5 3 3 2" xfId="9061"/>
    <cellStyle name="Currency 5 3 3 2 2" xfId="9062"/>
    <cellStyle name="Currency 5 3 3 2 2 2" xfId="9063"/>
    <cellStyle name="Currency 5 3 3 2 2 3" xfId="9064"/>
    <cellStyle name="Currency 5 3 3 2 3" xfId="9065"/>
    <cellStyle name="Currency 5 3 3 2 3 2" xfId="9066"/>
    <cellStyle name="Currency 5 3 3 2 3 3" xfId="9067"/>
    <cellStyle name="Currency 5 3 3 2 4" xfId="9068"/>
    <cellStyle name="Currency 5 3 3 2 5" xfId="9069"/>
    <cellStyle name="Currency 5 3 3 3" xfId="9070"/>
    <cellStyle name="Currency 5 3 3 3 2" xfId="9071"/>
    <cellStyle name="Currency 5 3 3 3 3" xfId="9072"/>
    <cellStyle name="Currency 5 3 3 4" xfId="9073"/>
    <cellStyle name="Currency 5 3 3 4 2" xfId="9074"/>
    <cellStyle name="Currency 5 3 3 4 3" xfId="9075"/>
    <cellStyle name="Currency 5 3 3 5" xfId="9076"/>
    <cellStyle name="Currency 5 3 3 6" xfId="9077"/>
    <cellStyle name="Currency 5 3 4" xfId="9078"/>
    <cellStyle name="Currency 5 3 4 2" xfId="9079"/>
    <cellStyle name="Currency 5 3 4 2 2" xfId="9080"/>
    <cellStyle name="Currency 5 3 4 2 3" xfId="9081"/>
    <cellStyle name="Currency 5 3 4 3" xfId="9082"/>
    <cellStyle name="Currency 5 3 4 3 2" xfId="9083"/>
    <cellStyle name="Currency 5 3 4 3 3" xfId="9084"/>
    <cellStyle name="Currency 5 3 4 4" xfId="9085"/>
    <cellStyle name="Currency 5 3 4 5" xfId="9086"/>
    <cellStyle name="Currency 5 3 4 6" xfId="9087"/>
    <cellStyle name="Currency 5 3 5" xfId="9088"/>
    <cellStyle name="Currency 5 3 5 2" xfId="9089"/>
    <cellStyle name="Currency 5 3 5 3" xfId="9090"/>
    <cellStyle name="Currency 5 3 6" xfId="9091"/>
    <cellStyle name="Currency 5 3 6 2" xfId="9092"/>
    <cellStyle name="Currency 5 3 6 3" xfId="9093"/>
    <cellStyle name="Currency 5 3 7" xfId="9094"/>
    <cellStyle name="Currency 5 3 8" xfId="9095"/>
    <cellStyle name="Currency 5 4" xfId="718"/>
    <cellStyle name="Currency 5 4 2" xfId="9096"/>
    <cellStyle name="Currency 5 4 2 2" xfId="9097"/>
    <cellStyle name="Currency 5 4 2 2 2" xfId="9098"/>
    <cellStyle name="Currency 5 4 2 2 2 2" xfId="9099"/>
    <cellStyle name="Currency 5 4 2 2 2 3" xfId="9100"/>
    <cellStyle name="Currency 5 4 2 2 3" xfId="9101"/>
    <cellStyle name="Currency 5 4 2 2 3 2" xfId="9102"/>
    <cellStyle name="Currency 5 4 2 2 3 3" xfId="9103"/>
    <cellStyle name="Currency 5 4 2 2 4" xfId="9104"/>
    <cellStyle name="Currency 5 4 2 2 5" xfId="9105"/>
    <cellStyle name="Currency 5 4 2 3" xfId="9106"/>
    <cellStyle name="Currency 5 4 2 3 2" xfId="9107"/>
    <cellStyle name="Currency 5 4 2 3 3" xfId="9108"/>
    <cellStyle name="Currency 5 4 2 4" xfId="9109"/>
    <cellStyle name="Currency 5 4 2 4 2" xfId="9110"/>
    <cellStyle name="Currency 5 4 2 4 3" xfId="9111"/>
    <cellStyle name="Currency 5 4 2 5" xfId="9112"/>
    <cellStyle name="Currency 5 4 2 6" xfId="9113"/>
    <cellStyle name="Currency 5 4 3" xfId="9114"/>
    <cellStyle name="Currency 5 4 3 2" xfId="9115"/>
    <cellStyle name="Currency 5 4 3 2 2" xfId="9116"/>
    <cellStyle name="Currency 5 4 3 2 3" xfId="9117"/>
    <cellStyle name="Currency 5 4 3 3" xfId="9118"/>
    <cellStyle name="Currency 5 4 3 3 2" xfId="9119"/>
    <cellStyle name="Currency 5 4 3 3 3" xfId="9120"/>
    <cellStyle name="Currency 5 4 3 4" xfId="9121"/>
    <cellStyle name="Currency 5 4 3 5" xfId="9122"/>
    <cellStyle name="Currency 5 4 4" xfId="9123"/>
    <cellStyle name="Currency 5 4 4 2" xfId="9124"/>
    <cellStyle name="Currency 5 4 4 3" xfId="9125"/>
    <cellStyle name="Currency 5 4 5" xfId="9126"/>
    <cellStyle name="Currency 5 4 5 2" xfId="9127"/>
    <cellStyle name="Currency 5 4 5 3" xfId="9128"/>
    <cellStyle name="Currency 5 4 6" xfId="9129"/>
    <cellStyle name="Currency 5 4 7" xfId="9130"/>
    <cellStyle name="Currency 5 5" xfId="1477"/>
    <cellStyle name="Currency 5 5 2" xfId="9131"/>
    <cellStyle name="Currency 5 5 2 2" xfId="9132"/>
    <cellStyle name="Currency 5 5 2 2 2" xfId="9133"/>
    <cellStyle name="Currency 5 5 2 2 3" xfId="9134"/>
    <cellStyle name="Currency 5 5 2 3" xfId="9135"/>
    <cellStyle name="Currency 5 5 2 3 2" xfId="9136"/>
    <cellStyle name="Currency 5 5 2 3 3" xfId="9137"/>
    <cellStyle name="Currency 5 5 2 4" xfId="9138"/>
    <cellStyle name="Currency 5 5 2 5" xfId="9139"/>
    <cellStyle name="Currency 5 5 3" xfId="9140"/>
    <cellStyle name="Currency 5 5 3 2" xfId="9141"/>
    <cellStyle name="Currency 5 5 3 3" xfId="9142"/>
    <cellStyle name="Currency 5 5 4" xfId="9143"/>
    <cellStyle name="Currency 5 5 4 2" xfId="9144"/>
    <cellStyle name="Currency 5 5 4 3" xfId="9145"/>
    <cellStyle name="Currency 5 5 5" xfId="9146"/>
    <cellStyle name="Currency 5 5 6" xfId="9147"/>
    <cellStyle name="Currency 5 5 7" xfId="9148"/>
    <cellStyle name="Currency 5 6" xfId="9149"/>
    <cellStyle name="Currency 5 6 2" xfId="9150"/>
    <cellStyle name="Currency 5 6 2 2" xfId="9151"/>
    <cellStyle name="Currency 5 6 2 3" xfId="9152"/>
    <cellStyle name="Currency 5 6 3" xfId="9153"/>
    <cellStyle name="Currency 5 6 3 2" xfId="9154"/>
    <cellStyle name="Currency 5 6 3 3" xfId="9155"/>
    <cellStyle name="Currency 5 6 4" xfId="9156"/>
    <cellStyle name="Currency 5 6 5" xfId="9157"/>
    <cellStyle name="Currency 5 7" xfId="9158"/>
    <cellStyle name="Currency 5 7 2" xfId="9159"/>
    <cellStyle name="Currency 5 7 3" xfId="9160"/>
    <cellStyle name="Currency 5 8" xfId="9161"/>
    <cellStyle name="Currency 5 8 2" xfId="9162"/>
    <cellStyle name="Currency 5 8 3" xfId="9163"/>
    <cellStyle name="Currency 5 9" xfId="9164"/>
    <cellStyle name="Currency 6" xfId="207"/>
    <cellStyle name="Currency 6 2" xfId="433"/>
    <cellStyle name="Currency 6 3" xfId="1478"/>
    <cellStyle name="Currency 6 3 2" xfId="9165"/>
    <cellStyle name="Currency 6 4" xfId="1479"/>
    <cellStyle name="Currency 6 4 2" xfId="9166"/>
    <cellStyle name="Currency 7" xfId="208"/>
    <cellStyle name="Currency 7 2" xfId="434"/>
    <cellStyle name="Currency 8" xfId="209"/>
    <cellStyle name="Currency 8 2" xfId="719"/>
    <cellStyle name="Currency 8 2 2" xfId="720"/>
    <cellStyle name="Currency 8 2 2 2" xfId="721"/>
    <cellStyle name="Currency 8 2 2 2 2" xfId="9167"/>
    <cellStyle name="Currency 8 2 2 2 2 2" xfId="9168"/>
    <cellStyle name="Currency 8 2 2 2 2 2 2" xfId="9169"/>
    <cellStyle name="Currency 8 2 2 2 2 2 3" xfId="9170"/>
    <cellStyle name="Currency 8 2 2 2 2 3" xfId="9171"/>
    <cellStyle name="Currency 8 2 2 2 2 3 2" xfId="9172"/>
    <cellStyle name="Currency 8 2 2 2 2 3 3" xfId="9173"/>
    <cellStyle name="Currency 8 2 2 2 2 4" xfId="9174"/>
    <cellStyle name="Currency 8 2 2 2 2 5" xfId="9175"/>
    <cellStyle name="Currency 8 2 2 2 3" xfId="9176"/>
    <cellStyle name="Currency 8 2 2 2 3 2" xfId="9177"/>
    <cellStyle name="Currency 8 2 2 2 3 3" xfId="9178"/>
    <cellStyle name="Currency 8 2 2 2 4" xfId="9179"/>
    <cellStyle name="Currency 8 2 2 2 4 2" xfId="9180"/>
    <cellStyle name="Currency 8 2 2 2 4 3" xfId="9181"/>
    <cellStyle name="Currency 8 2 2 2 5" xfId="9182"/>
    <cellStyle name="Currency 8 2 2 2 6" xfId="9183"/>
    <cellStyle name="Currency 8 2 2 3" xfId="9184"/>
    <cellStyle name="Currency 8 2 2 3 2" xfId="9185"/>
    <cellStyle name="Currency 8 2 2 3 2 2" xfId="9186"/>
    <cellStyle name="Currency 8 2 2 3 2 3" xfId="9187"/>
    <cellStyle name="Currency 8 2 2 3 3" xfId="9188"/>
    <cellStyle name="Currency 8 2 2 3 3 2" xfId="9189"/>
    <cellStyle name="Currency 8 2 2 3 3 3" xfId="9190"/>
    <cellStyle name="Currency 8 2 2 3 4" xfId="9191"/>
    <cellStyle name="Currency 8 2 2 3 5" xfId="9192"/>
    <cellStyle name="Currency 8 2 2 4" xfId="9193"/>
    <cellStyle name="Currency 8 2 2 4 2" xfId="9194"/>
    <cellStyle name="Currency 8 2 2 4 3" xfId="9195"/>
    <cellStyle name="Currency 8 2 2 5" xfId="9196"/>
    <cellStyle name="Currency 8 2 2 5 2" xfId="9197"/>
    <cellStyle name="Currency 8 2 2 5 3" xfId="9198"/>
    <cellStyle name="Currency 8 2 2 6" xfId="9199"/>
    <cellStyle name="Currency 8 2 2 7" xfId="9200"/>
    <cellStyle name="Currency 8 2 3" xfId="722"/>
    <cellStyle name="Currency 8 2 3 2" xfId="9201"/>
    <cellStyle name="Currency 8 2 3 2 2" xfId="9202"/>
    <cellStyle name="Currency 8 2 3 2 2 2" xfId="9203"/>
    <cellStyle name="Currency 8 2 3 2 2 3" xfId="9204"/>
    <cellStyle name="Currency 8 2 3 2 3" xfId="9205"/>
    <cellStyle name="Currency 8 2 3 2 3 2" xfId="9206"/>
    <cellStyle name="Currency 8 2 3 2 3 3" xfId="9207"/>
    <cellStyle name="Currency 8 2 3 2 4" xfId="9208"/>
    <cellStyle name="Currency 8 2 3 2 5" xfId="9209"/>
    <cellStyle name="Currency 8 2 3 3" xfId="9210"/>
    <cellStyle name="Currency 8 2 3 3 2" xfId="9211"/>
    <cellStyle name="Currency 8 2 3 3 3" xfId="9212"/>
    <cellStyle name="Currency 8 2 3 4" xfId="9213"/>
    <cellStyle name="Currency 8 2 3 4 2" xfId="9214"/>
    <cellStyle name="Currency 8 2 3 4 3" xfId="9215"/>
    <cellStyle name="Currency 8 2 3 5" xfId="9216"/>
    <cellStyle name="Currency 8 2 3 6" xfId="9217"/>
    <cellStyle name="Currency 8 2 4" xfId="9218"/>
    <cellStyle name="Currency 8 2 4 2" xfId="9219"/>
    <cellStyle name="Currency 8 2 4 2 2" xfId="9220"/>
    <cellStyle name="Currency 8 2 4 2 3" xfId="9221"/>
    <cellStyle name="Currency 8 2 4 3" xfId="9222"/>
    <cellStyle name="Currency 8 2 4 3 2" xfId="9223"/>
    <cellStyle name="Currency 8 2 4 3 3" xfId="9224"/>
    <cellStyle name="Currency 8 2 4 4" xfId="9225"/>
    <cellStyle name="Currency 8 2 4 5" xfId="9226"/>
    <cellStyle name="Currency 8 2 5" xfId="9227"/>
    <cellStyle name="Currency 8 2 5 2" xfId="9228"/>
    <cellStyle name="Currency 8 2 5 3" xfId="9229"/>
    <cellStyle name="Currency 8 2 6" xfId="9230"/>
    <cellStyle name="Currency 8 2 6 2" xfId="9231"/>
    <cellStyle name="Currency 8 2 6 3" xfId="9232"/>
    <cellStyle name="Currency 8 2 7" xfId="9233"/>
    <cellStyle name="Currency 8 2 8" xfId="9234"/>
    <cellStyle name="Currency 8 3" xfId="723"/>
    <cellStyle name="Currency 8 3 2" xfId="724"/>
    <cellStyle name="Currency 8 3 2 2" xfId="9235"/>
    <cellStyle name="Currency 8 3 2 2 2" xfId="9236"/>
    <cellStyle name="Currency 8 3 2 2 2 2" xfId="9237"/>
    <cellStyle name="Currency 8 3 2 2 2 3" xfId="9238"/>
    <cellStyle name="Currency 8 3 2 2 3" xfId="9239"/>
    <cellStyle name="Currency 8 3 2 2 3 2" xfId="9240"/>
    <cellStyle name="Currency 8 3 2 2 3 3" xfId="9241"/>
    <cellStyle name="Currency 8 3 2 2 4" xfId="9242"/>
    <cellStyle name="Currency 8 3 2 2 5" xfId="9243"/>
    <cellStyle name="Currency 8 3 2 3" xfId="9244"/>
    <cellStyle name="Currency 8 3 2 3 2" xfId="9245"/>
    <cellStyle name="Currency 8 3 2 3 3" xfId="9246"/>
    <cellStyle name="Currency 8 3 2 4" xfId="9247"/>
    <cellStyle name="Currency 8 3 2 4 2" xfId="9248"/>
    <cellStyle name="Currency 8 3 2 4 3" xfId="9249"/>
    <cellStyle name="Currency 8 3 2 5" xfId="9250"/>
    <cellStyle name="Currency 8 3 2 6" xfId="9251"/>
    <cellStyle name="Currency 8 3 3" xfId="725"/>
    <cellStyle name="Currency 8 3 3 2" xfId="9252"/>
    <cellStyle name="Currency 8 3 3 2 2" xfId="9253"/>
    <cellStyle name="Currency 8 3 3 2 3" xfId="9254"/>
    <cellStyle name="Currency 8 3 3 3" xfId="9255"/>
    <cellStyle name="Currency 8 3 3 3 2" xfId="9256"/>
    <cellStyle name="Currency 8 3 3 3 3" xfId="9257"/>
    <cellStyle name="Currency 8 3 3 4" xfId="9258"/>
    <cellStyle name="Currency 8 3 3 5" xfId="9259"/>
    <cellStyle name="Currency 8 3 4" xfId="9260"/>
    <cellStyle name="Currency 8 3 4 2" xfId="9261"/>
    <cellStyle name="Currency 8 3 4 3" xfId="9262"/>
    <cellStyle name="Currency 8 3 5" xfId="9263"/>
    <cellStyle name="Currency 8 3 5 2" xfId="9264"/>
    <cellStyle name="Currency 8 3 5 3" xfId="9265"/>
    <cellStyle name="Currency 8 3 6" xfId="9266"/>
    <cellStyle name="Currency 8 3 7" xfId="9267"/>
    <cellStyle name="Currency 8 3 8" xfId="9268"/>
    <cellStyle name="Currency 8 4" xfId="726"/>
    <cellStyle name="Currency 8 4 2" xfId="9269"/>
    <cellStyle name="Currency 8 4 2 2" xfId="9270"/>
    <cellStyle name="Currency 8 4 2 2 2" xfId="9271"/>
    <cellStyle name="Currency 8 4 2 2 3" xfId="9272"/>
    <cellStyle name="Currency 8 4 2 3" xfId="9273"/>
    <cellStyle name="Currency 8 4 2 3 2" xfId="9274"/>
    <cellStyle name="Currency 8 4 2 3 3" xfId="9275"/>
    <cellStyle name="Currency 8 4 2 4" xfId="9276"/>
    <cellStyle name="Currency 8 4 2 5" xfId="9277"/>
    <cellStyle name="Currency 8 4 2 6" xfId="9278"/>
    <cellStyle name="Currency 8 4 3" xfId="9279"/>
    <cellStyle name="Currency 8 4 3 2" xfId="9280"/>
    <cellStyle name="Currency 8 4 3 3" xfId="9281"/>
    <cellStyle name="Currency 8 4 4" xfId="9282"/>
    <cellStyle name="Currency 8 4 4 2" xfId="9283"/>
    <cellStyle name="Currency 8 4 4 3" xfId="9284"/>
    <cellStyle name="Currency 8 4 5" xfId="9285"/>
    <cellStyle name="Currency 8 4 6" xfId="9286"/>
    <cellStyle name="Currency 8 5" xfId="9287"/>
    <cellStyle name="Currency 8 5 2" xfId="9288"/>
    <cellStyle name="Currency 8 5 2 2" xfId="9289"/>
    <cellStyle name="Currency 8 5 2 3" xfId="9290"/>
    <cellStyle name="Currency 8 5 3" xfId="9291"/>
    <cellStyle name="Currency 8 5 3 2" xfId="9292"/>
    <cellStyle name="Currency 8 5 3 3" xfId="9293"/>
    <cellStyle name="Currency 8 5 4" xfId="9294"/>
    <cellStyle name="Currency 8 5 5" xfId="9295"/>
    <cellStyle name="Currency 8 6" xfId="9296"/>
    <cellStyle name="Currency 8 6 2" xfId="9297"/>
    <cellStyle name="Currency 8 6 3" xfId="9298"/>
    <cellStyle name="Currency 8 7" xfId="9299"/>
    <cellStyle name="Currency 8 7 2" xfId="9300"/>
    <cellStyle name="Currency 8 7 3" xfId="9301"/>
    <cellStyle name="Currency 8 8" xfId="9302"/>
    <cellStyle name="Currency 8 9" xfId="9303"/>
    <cellStyle name="Currency 9" xfId="210"/>
    <cellStyle name="Currency 9 2" xfId="727"/>
    <cellStyle name="Currency 9 2 2" xfId="728"/>
    <cellStyle name="Currency 9 2 2 2" xfId="9304"/>
    <cellStyle name="Currency 9 2 2 2 2" xfId="9305"/>
    <cellStyle name="Currency 9 2 2 2 2 2" xfId="9306"/>
    <cellStyle name="Currency 9 2 2 2 2 3" xfId="9307"/>
    <cellStyle name="Currency 9 2 2 2 3" xfId="9308"/>
    <cellStyle name="Currency 9 2 2 2 3 2" xfId="9309"/>
    <cellStyle name="Currency 9 2 2 2 3 3" xfId="9310"/>
    <cellStyle name="Currency 9 2 2 2 4" xfId="9311"/>
    <cellStyle name="Currency 9 2 2 2 5" xfId="9312"/>
    <cellStyle name="Currency 9 2 2 3" xfId="9313"/>
    <cellStyle name="Currency 9 2 2 3 2" xfId="9314"/>
    <cellStyle name="Currency 9 2 2 3 3" xfId="9315"/>
    <cellStyle name="Currency 9 2 2 4" xfId="9316"/>
    <cellStyle name="Currency 9 2 2 4 2" xfId="9317"/>
    <cellStyle name="Currency 9 2 2 4 3" xfId="9318"/>
    <cellStyle name="Currency 9 2 2 5" xfId="9319"/>
    <cellStyle name="Currency 9 2 2 6" xfId="9320"/>
    <cellStyle name="Currency 9 2 3" xfId="9321"/>
    <cellStyle name="Currency 9 2 3 2" xfId="9322"/>
    <cellStyle name="Currency 9 2 3 2 2" xfId="9323"/>
    <cellStyle name="Currency 9 2 3 2 3" xfId="9324"/>
    <cellStyle name="Currency 9 2 3 3" xfId="9325"/>
    <cellStyle name="Currency 9 2 3 3 2" xfId="9326"/>
    <cellStyle name="Currency 9 2 3 3 3" xfId="9327"/>
    <cellStyle name="Currency 9 2 3 4" xfId="9328"/>
    <cellStyle name="Currency 9 2 3 5" xfId="9329"/>
    <cellStyle name="Currency 9 2 4" xfId="9330"/>
    <cellStyle name="Currency 9 2 4 2" xfId="9331"/>
    <cellStyle name="Currency 9 2 4 3" xfId="9332"/>
    <cellStyle name="Currency 9 2 5" xfId="9333"/>
    <cellStyle name="Currency 9 2 5 2" xfId="9334"/>
    <cellStyle name="Currency 9 2 5 3" xfId="9335"/>
    <cellStyle name="Currency 9 2 6" xfId="9336"/>
    <cellStyle name="Currency 9 2 7" xfId="9337"/>
    <cellStyle name="Currency 9 3" xfId="729"/>
    <cellStyle name="Currency 9 3 2" xfId="9338"/>
    <cellStyle name="Currency 9 3 2 2" xfId="9339"/>
    <cellStyle name="Currency 9 3 2 2 2" xfId="9340"/>
    <cellStyle name="Currency 9 3 2 2 3" xfId="9341"/>
    <cellStyle name="Currency 9 3 2 3" xfId="9342"/>
    <cellStyle name="Currency 9 3 2 3 2" xfId="9343"/>
    <cellStyle name="Currency 9 3 2 3 3" xfId="9344"/>
    <cellStyle name="Currency 9 3 2 4" xfId="9345"/>
    <cellStyle name="Currency 9 3 2 5" xfId="9346"/>
    <cellStyle name="Currency 9 3 2 6" xfId="9347"/>
    <cellStyle name="Currency 9 3 3" xfId="9348"/>
    <cellStyle name="Currency 9 3 3 2" xfId="9349"/>
    <cellStyle name="Currency 9 3 3 3" xfId="9350"/>
    <cellStyle name="Currency 9 3 4" xfId="9351"/>
    <cellStyle name="Currency 9 3 4 2" xfId="9352"/>
    <cellStyle name="Currency 9 3 4 3" xfId="9353"/>
    <cellStyle name="Currency 9 3 5" xfId="9354"/>
    <cellStyle name="Currency 9 3 6" xfId="9355"/>
    <cellStyle name="Currency 9 4" xfId="9356"/>
    <cellStyle name="Currency 9 4 2" xfId="9357"/>
    <cellStyle name="Currency 9 4 2 2" xfId="9358"/>
    <cellStyle name="Currency 9 4 2 3" xfId="9359"/>
    <cellStyle name="Currency 9 4 3" xfId="9360"/>
    <cellStyle name="Currency 9 4 3 2" xfId="9361"/>
    <cellStyle name="Currency 9 4 3 3" xfId="9362"/>
    <cellStyle name="Currency 9 4 4" xfId="9363"/>
    <cellStyle name="Currency 9 4 5" xfId="9364"/>
    <cellStyle name="Currency 9 5" xfId="9365"/>
    <cellStyle name="Currency 9 5 2" xfId="9366"/>
    <cellStyle name="Currency 9 5 3" xfId="9367"/>
    <cellStyle name="Currency 9 6" xfId="9368"/>
    <cellStyle name="Currency 9 6 2" xfId="9369"/>
    <cellStyle name="Currency 9 6 3" xfId="9370"/>
    <cellStyle name="Currency 9 7" xfId="9371"/>
    <cellStyle name="Currency 9 8" xfId="9372"/>
    <cellStyle name="Currency0" xfId="211"/>
    <cellStyle name="Custom - Style1" xfId="1480"/>
    <cellStyle name="Custom - Style8" xfId="1481"/>
    <cellStyle name="Data   - Style2" xfId="1482"/>
    <cellStyle name="Data   - Style2 10" xfId="9373"/>
    <cellStyle name="Data   - Style2 10 2" xfId="9374"/>
    <cellStyle name="Data   - Style2 10 3" xfId="9375"/>
    <cellStyle name="Data   - Style2 10 4" xfId="9376"/>
    <cellStyle name="Data   - Style2 10 5" xfId="9377"/>
    <cellStyle name="Data   - Style2 10 6" xfId="9378"/>
    <cellStyle name="Data   - Style2 10 7" xfId="9379"/>
    <cellStyle name="Data   - Style2 11" xfId="9380"/>
    <cellStyle name="Data   - Style2 12" xfId="9381"/>
    <cellStyle name="Data   - Style2 2" xfId="9382"/>
    <cellStyle name="Data   - Style2 2 2" xfId="9383"/>
    <cellStyle name="Data   - Style2 2 2 2" xfId="9384"/>
    <cellStyle name="Data   - Style2 2 2 2 2" xfId="9385"/>
    <cellStyle name="Data   - Style2 2 2 2 3" xfId="9386"/>
    <cellStyle name="Data   - Style2 2 2 2 4" xfId="9387"/>
    <cellStyle name="Data   - Style2 2 2 2 5" xfId="9388"/>
    <cellStyle name="Data   - Style2 2 2 2 6" xfId="9389"/>
    <cellStyle name="Data   - Style2 2 2 2 7" xfId="9390"/>
    <cellStyle name="Data   - Style2 2 2 3" xfId="9391"/>
    <cellStyle name="Data   - Style2 2 2 4" xfId="9392"/>
    <cellStyle name="Data   - Style2 2 2 5" xfId="9393"/>
    <cellStyle name="Data   - Style2 2 2 6" xfId="9394"/>
    <cellStyle name="Data   - Style2 2 2 7" xfId="9395"/>
    <cellStyle name="Data   - Style2 2 2 8" xfId="9396"/>
    <cellStyle name="Data   - Style2 2 3" xfId="9397"/>
    <cellStyle name="Data   - Style2 2 3 2" xfId="9398"/>
    <cellStyle name="Data   - Style2 2 3 2 2" xfId="9399"/>
    <cellStyle name="Data   - Style2 2 3 2 3" xfId="9400"/>
    <cellStyle name="Data   - Style2 2 3 2 4" xfId="9401"/>
    <cellStyle name="Data   - Style2 2 3 2 5" xfId="9402"/>
    <cellStyle name="Data   - Style2 2 3 2 6" xfId="9403"/>
    <cellStyle name="Data   - Style2 2 3 2 7" xfId="9404"/>
    <cellStyle name="Data   - Style2 2 3 3" xfId="9405"/>
    <cellStyle name="Data   - Style2 2 3 4" xfId="9406"/>
    <cellStyle name="Data   - Style2 2 3 5" xfId="9407"/>
    <cellStyle name="Data   - Style2 2 3 6" xfId="9408"/>
    <cellStyle name="Data   - Style2 2 3 7" xfId="9409"/>
    <cellStyle name="Data   - Style2 2 3 8" xfId="9410"/>
    <cellStyle name="Data   - Style2 2 4" xfId="9411"/>
    <cellStyle name="Data   - Style2 2 4 2" xfId="9412"/>
    <cellStyle name="Data   - Style2 2 4 2 2" xfId="9413"/>
    <cellStyle name="Data   - Style2 2 4 2 3" xfId="9414"/>
    <cellStyle name="Data   - Style2 2 4 2 4" xfId="9415"/>
    <cellStyle name="Data   - Style2 2 4 2 5" xfId="9416"/>
    <cellStyle name="Data   - Style2 2 4 2 6" xfId="9417"/>
    <cellStyle name="Data   - Style2 2 4 2 7" xfId="9418"/>
    <cellStyle name="Data   - Style2 2 4 3" xfId="9419"/>
    <cellStyle name="Data   - Style2 2 4 4" xfId="9420"/>
    <cellStyle name="Data   - Style2 2 4 5" xfId="9421"/>
    <cellStyle name="Data   - Style2 2 4 6" xfId="9422"/>
    <cellStyle name="Data   - Style2 2 4 7" xfId="9423"/>
    <cellStyle name="Data   - Style2 2 4 8" xfId="9424"/>
    <cellStyle name="Data   - Style2 2 5" xfId="9425"/>
    <cellStyle name="Data   - Style2 2 5 2" xfId="9426"/>
    <cellStyle name="Data   - Style2 2 5 2 2" xfId="9427"/>
    <cellStyle name="Data   - Style2 2 5 2 3" xfId="9428"/>
    <cellStyle name="Data   - Style2 2 5 2 4" xfId="9429"/>
    <cellStyle name="Data   - Style2 2 5 2 5" xfId="9430"/>
    <cellStyle name="Data   - Style2 2 5 2 6" xfId="9431"/>
    <cellStyle name="Data   - Style2 2 5 2 7" xfId="9432"/>
    <cellStyle name="Data   - Style2 2 5 3" xfId="9433"/>
    <cellStyle name="Data   - Style2 2 5 4" xfId="9434"/>
    <cellStyle name="Data   - Style2 2 5 5" xfId="9435"/>
    <cellStyle name="Data   - Style2 2 5 6" xfId="9436"/>
    <cellStyle name="Data   - Style2 2 5 7" xfId="9437"/>
    <cellStyle name="Data   - Style2 2 5 8" xfId="9438"/>
    <cellStyle name="Data   - Style2 2 6" xfId="9439"/>
    <cellStyle name="Data   - Style2 2 6 2" xfId="9440"/>
    <cellStyle name="Data   - Style2 2 6 3" xfId="9441"/>
    <cellStyle name="Data   - Style2 2 6 4" xfId="9442"/>
    <cellStyle name="Data   - Style2 2 6 5" xfId="9443"/>
    <cellStyle name="Data   - Style2 2 6 6" xfId="9444"/>
    <cellStyle name="Data   - Style2 2 6 7" xfId="9445"/>
    <cellStyle name="Data   - Style2 2 7" xfId="9446"/>
    <cellStyle name="Data   - Style2 2 8" xfId="9447"/>
    <cellStyle name="Data   - Style2 3" xfId="9448"/>
    <cellStyle name="Data   - Style2 3 2" xfId="9449"/>
    <cellStyle name="Data   - Style2 3 2 2" xfId="9450"/>
    <cellStyle name="Data   - Style2 3 2 2 2" xfId="9451"/>
    <cellStyle name="Data   - Style2 3 2 2 3" xfId="9452"/>
    <cellStyle name="Data   - Style2 3 2 2 4" xfId="9453"/>
    <cellStyle name="Data   - Style2 3 2 2 5" xfId="9454"/>
    <cellStyle name="Data   - Style2 3 2 2 6" xfId="9455"/>
    <cellStyle name="Data   - Style2 3 2 2 7" xfId="9456"/>
    <cellStyle name="Data   - Style2 3 2 3" xfId="9457"/>
    <cellStyle name="Data   - Style2 3 2 4" xfId="9458"/>
    <cellStyle name="Data   - Style2 3 2 5" xfId="9459"/>
    <cellStyle name="Data   - Style2 3 2 6" xfId="9460"/>
    <cellStyle name="Data   - Style2 3 2 7" xfId="9461"/>
    <cellStyle name="Data   - Style2 3 2 8" xfId="9462"/>
    <cellStyle name="Data   - Style2 3 3" xfId="9463"/>
    <cellStyle name="Data   - Style2 3 3 2" xfId="9464"/>
    <cellStyle name="Data   - Style2 3 3 2 2" xfId="9465"/>
    <cellStyle name="Data   - Style2 3 3 2 3" xfId="9466"/>
    <cellStyle name="Data   - Style2 3 3 2 4" xfId="9467"/>
    <cellStyle name="Data   - Style2 3 3 2 5" xfId="9468"/>
    <cellStyle name="Data   - Style2 3 3 2 6" xfId="9469"/>
    <cellStyle name="Data   - Style2 3 3 2 7" xfId="9470"/>
    <cellStyle name="Data   - Style2 3 3 3" xfId="9471"/>
    <cellStyle name="Data   - Style2 3 3 4" xfId="9472"/>
    <cellStyle name="Data   - Style2 3 3 5" xfId="9473"/>
    <cellStyle name="Data   - Style2 3 3 6" xfId="9474"/>
    <cellStyle name="Data   - Style2 3 3 7" xfId="9475"/>
    <cellStyle name="Data   - Style2 3 3 8" xfId="9476"/>
    <cellStyle name="Data   - Style2 3 4" xfId="9477"/>
    <cellStyle name="Data   - Style2 3 4 2" xfId="9478"/>
    <cellStyle name="Data   - Style2 3 4 2 2" xfId="9479"/>
    <cellStyle name="Data   - Style2 3 4 2 3" xfId="9480"/>
    <cellStyle name="Data   - Style2 3 4 2 4" xfId="9481"/>
    <cellStyle name="Data   - Style2 3 4 2 5" xfId="9482"/>
    <cellStyle name="Data   - Style2 3 4 2 6" xfId="9483"/>
    <cellStyle name="Data   - Style2 3 4 2 7" xfId="9484"/>
    <cellStyle name="Data   - Style2 3 4 3" xfId="9485"/>
    <cellStyle name="Data   - Style2 3 4 4" xfId="9486"/>
    <cellStyle name="Data   - Style2 3 4 5" xfId="9487"/>
    <cellStyle name="Data   - Style2 3 4 6" xfId="9488"/>
    <cellStyle name="Data   - Style2 3 4 7" xfId="9489"/>
    <cellStyle name="Data   - Style2 3 4 8" xfId="9490"/>
    <cellStyle name="Data   - Style2 3 5" xfId="9491"/>
    <cellStyle name="Data   - Style2 3 5 2" xfId="9492"/>
    <cellStyle name="Data   - Style2 3 5 2 2" xfId="9493"/>
    <cellStyle name="Data   - Style2 3 5 2 3" xfId="9494"/>
    <cellStyle name="Data   - Style2 3 5 2 4" xfId="9495"/>
    <cellStyle name="Data   - Style2 3 5 2 5" xfId="9496"/>
    <cellStyle name="Data   - Style2 3 5 2 6" xfId="9497"/>
    <cellStyle name="Data   - Style2 3 5 2 7" xfId="9498"/>
    <cellStyle name="Data   - Style2 3 5 3" xfId="9499"/>
    <cellStyle name="Data   - Style2 3 5 4" xfId="9500"/>
    <cellStyle name="Data   - Style2 3 5 5" xfId="9501"/>
    <cellStyle name="Data   - Style2 3 5 6" xfId="9502"/>
    <cellStyle name="Data   - Style2 3 5 7" xfId="9503"/>
    <cellStyle name="Data   - Style2 3 5 8" xfId="9504"/>
    <cellStyle name="Data   - Style2 3 6" xfId="9505"/>
    <cellStyle name="Data   - Style2 3 6 2" xfId="9506"/>
    <cellStyle name="Data   - Style2 3 6 3" xfId="9507"/>
    <cellStyle name="Data   - Style2 3 6 4" xfId="9508"/>
    <cellStyle name="Data   - Style2 3 6 5" xfId="9509"/>
    <cellStyle name="Data   - Style2 3 6 6" xfId="9510"/>
    <cellStyle name="Data   - Style2 3 6 7" xfId="9511"/>
    <cellStyle name="Data   - Style2 3 7" xfId="9512"/>
    <cellStyle name="Data   - Style2 3 8" xfId="9513"/>
    <cellStyle name="Data   - Style2 4" xfId="9514"/>
    <cellStyle name="Data   - Style2 4 2" xfId="9515"/>
    <cellStyle name="Data   - Style2 4 2 2" xfId="9516"/>
    <cellStyle name="Data   - Style2 4 2 2 2" xfId="9517"/>
    <cellStyle name="Data   - Style2 4 2 2 3" xfId="9518"/>
    <cellStyle name="Data   - Style2 4 2 2 4" xfId="9519"/>
    <cellStyle name="Data   - Style2 4 2 2 5" xfId="9520"/>
    <cellStyle name="Data   - Style2 4 2 2 6" xfId="9521"/>
    <cellStyle name="Data   - Style2 4 2 2 7" xfId="9522"/>
    <cellStyle name="Data   - Style2 4 2 3" xfId="9523"/>
    <cellStyle name="Data   - Style2 4 2 4" xfId="9524"/>
    <cellStyle name="Data   - Style2 4 2 5" xfId="9525"/>
    <cellStyle name="Data   - Style2 4 2 6" xfId="9526"/>
    <cellStyle name="Data   - Style2 4 2 7" xfId="9527"/>
    <cellStyle name="Data   - Style2 4 2 8" xfId="9528"/>
    <cellStyle name="Data   - Style2 4 3" xfId="9529"/>
    <cellStyle name="Data   - Style2 4 3 2" xfId="9530"/>
    <cellStyle name="Data   - Style2 4 3 2 2" xfId="9531"/>
    <cellStyle name="Data   - Style2 4 3 2 3" xfId="9532"/>
    <cellStyle name="Data   - Style2 4 3 2 4" xfId="9533"/>
    <cellStyle name="Data   - Style2 4 3 2 5" xfId="9534"/>
    <cellStyle name="Data   - Style2 4 3 2 6" xfId="9535"/>
    <cellStyle name="Data   - Style2 4 3 2 7" xfId="9536"/>
    <cellStyle name="Data   - Style2 4 3 3" xfId="9537"/>
    <cellStyle name="Data   - Style2 4 3 4" xfId="9538"/>
    <cellStyle name="Data   - Style2 4 3 5" xfId="9539"/>
    <cellStyle name="Data   - Style2 4 3 6" xfId="9540"/>
    <cellStyle name="Data   - Style2 4 3 7" xfId="9541"/>
    <cellStyle name="Data   - Style2 4 3 8" xfId="9542"/>
    <cellStyle name="Data   - Style2 4 4" xfId="9543"/>
    <cellStyle name="Data   - Style2 4 4 2" xfId="9544"/>
    <cellStyle name="Data   - Style2 4 4 2 2" xfId="9545"/>
    <cellStyle name="Data   - Style2 4 4 2 3" xfId="9546"/>
    <cellStyle name="Data   - Style2 4 4 2 4" xfId="9547"/>
    <cellStyle name="Data   - Style2 4 4 2 5" xfId="9548"/>
    <cellStyle name="Data   - Style2 4 4 2 6" xfId="9549"/>
    <cellStyle name="Data   - Style2 4 4 2 7" xfId="9550"/>
    <cellStyle name="Data   - Style2 4 4 3" xfId="9551"/>
    <cellStyle name="Data   - Style2 4 4 4" xfId="9552"/>
    <cellStyle name="Data   - Style2 4 4 5" xfId="9553"/>
    <cellStyle name="Data   - Style2 4 4 6" xfId="9554"/>
    <cellStyle name="Data   - Style2 4 4 7" xfId="9555"/>
    <cellStyle name="Data   - Style2 4 4 8" xfId="9556"/>
    <cellStyle name="Data   - Style2 4 5" xfId="9557"/>
    <cellStyle name="Data   - Style2 4 5 2" xfId="9558"/>
    <cellStyle name="Data   - Style2 4 5 2 2" xfId="9559"/>
    <cellStyle name="Data   - Style2 4 5 2 3" xfId="9560"/>
    <cellStyle name="Data   - Style2 4 5 2 4" xfId="9561"/>
    <cellStyle name="Data   - Style2 4 5 2 5" xfId="9562"/>
    <cellStyle name="Data   - Style2 4 5 2 6" xfId="9563"/>
    <cellStyle name="Data   - Style2 4 5 2 7" xfId="9564"/>
    <cellStyle name="Data   - Style2 4 5 3" xfId="9565"/>
    <cellStyle name="Data   - Style2 4 5 4" xfId="9566"/>
    <cellStyle name="Data   - Style2 4 5 5" xfId="9567"/>
    <cellStyle name="Data   - Style2 4 5 6" xfId="9568"/>
    <cellStyle name="Data   - Style2 4 5 7" xfId="9569"/>
    <cellStyle name="Data   - Style2 4 5 8" xfId="9570"/>
    <cellStyle name="Data   - Style2 4 6" xfId="9571"/>
    <cellStyle name="Data   - Style2 4 6 2" xfId="9572"/>
    <cellStyle name="Data   - Style2 4 6 3" xfId="9573"/>
    <cellStyle name="Data   - Style2 4 6 4" xfId="9574"/>
    <cellStyle name="Data   - Style2 4 6 5" xfId="9575"/>
    <cellStyle name="Data   - Style2 4 6 6" xfId="9576"/>
    <cellStyle name="Data   - Style2 4 6 7" xfId="9577"/>
    <cellStyle name="Data   - Style2 4 7" xfId="9578"/>
    <cellStyle name="Data   - Style2 4 8" xfId="9579"/>
    <cellStyle name="Data   - Style2 5" xfId="9580"/>
    <cellStyle name="Data   - Style2 5 2" xfId="9581"/>
    <cellStyle name="Data   - Style2 5 2 2" xfId="9582"/>
    <cellStyle name="Data   - Style2 5 2 2 2" xfId="9583"/>
    <cellStyle name="Data   - Style2 5 2 2 3" xfId="9584"/>
    <cellStyle name="Data   - Style2 5 2 2 4" xfId="9585"/>
    <cellStyle name="Data   - Style2 5 2 2 5" xfId="9586"/>
    <cellStyle name="Data   - Style2 5 2 2 6" xfId="9587"/>
    <cellStyle name="Data   - Style2 5 2 2 7" xfId="9588"/>
    <cellStyle name="Data   - Style2 5 2 3" xfId="9589"/>
    <cellStyle name="Data   - Style2 5 2 4" xfId="9590"/>
    <cellStyle name="Data   - Style2 5 2 5" xfId="9591"/>
    <cellStyle name="Data   - Style2 5 2 6" xfId="9592"/>
    <cellStyle name="Data   - Style2 5 2 7" xfId="9593"/>
    <cellStyle name="Data   - Style2 5 2 8" xfId="9594"/>
    <cellStyle name="Data   - Style2 5 3" xfId="9595"/>
    <cellStyle name="Data   - Style2 5 3 2" xfId="9596"/>
    <cellStyle name="Data   - Style2 5 3 2 2" xfId="9597"/>
    <cellStyle name="Data   - Style2 5 3 2 3" xfId="9598"/>
    <cellStyle name="Data   - Style2 5 3 2 4" xfId="9599"/>
    <cellStyle name="Data   - Style2 5 3 2 5" xfId="9600"/>
    <cellStyle name="Data   - Style2 5 3 2 6" xfId="9601"/>
    <cellStyle name="Data   - Style2 5 3 2 7" xfId="9602"/>
    <cellStyle name="Data   - Style2 5 3 3" xfId="9603"/>
    <cellStyle name="Data   - Style2 5 3 4" xfId="9604"/>
    <cellStyle name="Data   - Style2 5 3 5" xfId="9605"/>
    <cellStyle name="Data   - Style2 5 3 6" xfId="9606"/>
    <cellStyle name="Data   - Style2 5 3 7" xfId="9607"/>
    <cellStyle name="Data   - Style2 5 3 8" xfId="9608"/>
    <cellStyle name="Data   - Style2 5 4" xfId="9609"/>
    <cellStyle name="Data   - Style2 5 4 2" xfId="9610"/>
    <cellStyle name="Data   - Style2 5 4 2 2" xfId="9611"/>
    <cellStyle name="Data   - Style2 5 4 2 3" xfId="9612"/>
    <cellStyle name="Data   - Style2 5 4 2 4" xfId="9613"/>
    <cellStyle name="Data   - Style2 5 4 2 5" xfId="9614"/>
    <cellStyle name="Data   - Style2 5 4 2 6" xfId="9615"/>
    <cellStyle name="Data   - Style2 5 4 2 7" xfId="9616"/>
    <cellStyle name="Data   - Style2 5 4 3" xfId="9617"/>
    <cellStyle name="Data   - Style2 5 4 4" xfId="9618"/>
    <cellStyle name="Data   - Style2 5 4 5" xfId="9619"/>
    <cellStyle name="Data   - Style2 5 4 6" xfId="9620"/>
    <cellStyle name="Data   - Style2 5 4 7" xfId="9621"/>
    <cellStyle name="Data   - Style2 5 4 8" xfId="9622"/>
    <cellStyle name="Data   - Style2 5 5" xfId="9623"/>
    <cellStyle name="Data   - Style2 5 5 2" xfId="9624"/>
    <cellStyle name="Data   - Style2 5 5 2 2" xfId="9625"/>
    <cellStyle name="Data   - Style2 5 5 2 3" xfId="9626"/>
    <cellStyle name="Data   - Style2 5 5 2 4" xfId="9627"/>
    <cellStyle name="Data   - Style2 5 5 2 5" xfId="9628"/>
    <cellStyle name="Data   - Style2 5 5 2 6" xfId="9629"/>
    <cellStyle name="Data   - Style2 5 5 2 7" xfId="9630"/>
    <cellStyle name="Data   - Style2 5 5 3" xfId="9631"/>
    <cellStyle name="Data   - Style2 5 5 4" xfId="9632"/>
    <cellStyle name="Data   - Style2 5 5 5" xfId="9633"/>
    <cellStyle name="Data   - Style2 5 5 6" xfId="9634"/>
    <cellStyle name="Data   - Style2 5 5 7" xfId="9635"/>
    <cellStyle name="Data   - Style2 5 5 8" xfId="9636"/>
    <cellStyle name="Data   - Style2 5 6" xfId="9637"/>
    <cellStyle name="Data   - Style2 5 6 2" xfId="9638"/>
    <cellStyle name="Data   - Style2 5 6 3" xfId="9639"/>
    <cellStyle name="Data   - Style2 5 6 4" xfId="9640"/>
    <cellStyle name="Data   - Style2 5 6 5" xfId="9641"/>
    <cellStyle name="Data   - Style2 5 6 6" xfId="9642"/>
    <cellStyle name="Data   - Style2 5 6 7" xfId="9643"/>
    <cellStyle name="Data   - Style2 5 7" xfId="9644"/>
    <cellStyle name="Data   - Style2 5 8" xfId="9645"/>
    <cellStyle name="Data   - Style2 6" xfId="9646"/>
    <cellStyle name="Data   - Style2 6 2" xfId="9647"/>
    <cellStyle name="Data   - Style2 6 2 2" xfId="9648"/>
    <cellStyle name="Data   - Style2 6 2 3" xfId="9649"/>
    <cellStyle name="Data   - Style2 6 2 4" xfId="9650"/>
    <cellStyle name="Data   - Style2 6 2 5" xfId="9651"/>
    <cellStyle name="Data   - Style2 6 2 6" xfId="9652"/>
    <cellStyle name="Data   - Style2 6 2 7" xfId="9653"/>
    <cellStyle name="Data   - Style2 6 3" xfId="9654"/>
    <cellStyle name="Data   - Style2 6 4" xfId="9655"/>
    <cellStyle name="Data   - Style2 6 5" xfId="9656"/>
    <cellStyle name="Data   - Style2 6 6" xfId="9657"/>
    <cellStyle name="Data   - Style2 6 7" xfId="9658"/>
    <cellStyle name="Data   - Style2 6 8" xfId="9659"/>
    <cellStyle name="Data   - Style2 7" xfId="9660"/>
    <cellStyle name="Data   - Style2 7 2" xfId="9661"/>
    <cellStyle name="Data   - Style2 7 2 2" xfId="9662"/>
    <cellStyle name="Data   - Style2 7 2 3" xfId="9663"/>
    <cellStyle name="Data   - Style2 7 2 4" xfId="9664"/>
    <cellStyle name="Data   - Style2 7 2 5" xfId="9665"/>
    <cellStyle name="Data   - Style2 7 2 6" xfId="9666"/>
    <cellStyle name="Data   - Style2 7 2 7" xfId="9667"/>
    <cellStyle name="Data   - Style2 7 3" xfId="9668"/>
    <cellStyle name="Data   - Style2 7 4" xfId="9669"/>
    <cellStyle name="Data   - Style2 7 5" xfId="9670"/>
    <cellStyle name="Data   - Style2 7 6" xfId="9671"/>
    <cellStyle name="Data   - Style2 7 7" xfId="9672"/>
    <cellStyle name="Data   - Style2 7 8" xfId="9673"/>
    <cellStyle name="Data   - Style2 8" xfId="9674"/>
    <cellStyle name="Data   - Style2 8 2" xfId="9675"/>
    <cellStyle name="Data   - Style2 8 2 2" xfId="9676"/>
    <cellStyle name="Data   - Style2 8 2 3" xfId="9677"/>
    <cellStyle name="Data   - Style2 8 2 4" xfId="9678"/>
    <cellStyle name="Data   - Style2 8 2 5" xfId="9679"/>
    <cellStyle name="Data   - Style2 8 2 6" xfId="9680"/>
    <cellStyle name="Data   - Style2 8 2 7" xfId="9681"/>
    <cellStyle name="Data   - Style2 8 3" xfId="9682"/>
    <cellStyle name="Data   - Style2 8 4" xfId="9683"/>
    <cellStyle name="Data   - Style2 8 5" xfId="9684"/>
    <cellStyle name="Data   - Style2 8 6" xfId="9685"/>
    <cellStyle name="Data   - Style2 8 7" xfId="9686"/>
    <cellStyle name="Data   - Style2 8 8" xfId="9687"/>
    <cellStyle name="Data   - Style2 9" xfId="9688"/>
    <cellStyle name="Data   - Style2 9 2" xfId="9689"/>
    <cellStyle name="Data   - Style2 9 2 2" xfId="9690"/>
    <cellStyle name="Data   - Style2 9 2 3" xfId="9691"/>
    <cellStyle name="Data   - Style2 9 2 4" xfId="9692"/>
    <cellStyle name="Data   - Style2 9 2 5" xfId="9693"/>
    <cellStyle name="Data   - Style2 9 2 6" xfId="9694"/>
    <cellStyle name="Data   - Style2 9 2 7" xfId="9695"/>
    <cellStyle name="Data   - Style2 9 3" xfId="9696"/>
    <cellStyle name="Data   - Style2 9 4" xfId="9697"/>
    <cellStyle name="Data   - Style2 9 5" xfId="9698"/>
    <cellStyle name="Data   - Style2 9 6" xfId="9699"/>
    <cellStyle name="Data   - Style2 9 7" xfId="9700"/>
    <cellStyle name="Data   - Style2 9 8" xfId="9701"/>
    <cellStyle name="Data Enter" xfId="212"/>
    <cellStyle name="date" xfId="213"/>
    <cellStyle name="Euro" xfId="1483"/>
    <cellStyle name="Euro 2" xfId="1484"/>
    <cellStyle name="Explanatory Text 2" xfId="214"/>
    <cellStyle name="Explanatory Text 3" xfId="215"/>
    <cellStyle name="Explanatory Text 4" xfId="730"/>
    <cellStyle name="F9ReportControlStyle_ctpInquire" xfId="19"/>
    <cellStyle name="FactSheet" xfId="216"/>
    <cellStyle name="fish" xfId="217"/>
    <cellStyle name="Fixed" xfId="9702"/>
    <cellStyle name="Good 2" xfId="20"/>
    <cellStyle name="Good 2 2" xfId="731"/>
    <cellStyle name="Good 2 2 2" xfId="732"/>
    <cellStyle name="Good 2 2 3" xfId="21512"/>
    <cellStyle name="Good 2 3" xfId="733"/>
    <cellStyle name="Good 2 4" xfId="1485"/>
    <cellStyle name="Good 2 5" xfId="1486"/>
    <cellStyle name="Good 3" xfId="218"/>
    <cellStyle name="Good 3 2" xfId="734"/>
    <cellStyle name="Good 3 2 2" xfId="9703"/>
    <cellStyle name="Good 3 3" xfId="735"/>
    <cellStyle name="Good 3 3 2" xfId="9704"/>
    <cellStyle name="Good 4" xfId="62"/>
    <cellStyle name="Good 5" xfId="736"/>
    <cellStyle name="Heading 1 2" xfId="219"/>
    <cellStyle name="Heading 1 2 2" xfId="220"/>
    <cellStyle name="Heading 1 2 2 2" xfId="1487"/>
    <cellStyle name="Heading 1 2 2 3" xfId="9705"/>
    <cellStyle name="Heading 1 2 3" xfId="737"/>
    <cellStyle name="Heading 1 2 3 2" xfId="9706"/>
    <cellStyle name="Heading 1 2 4" xfId="738"/>
    <cellStyle name="Heading 1 2 4 2" xfId="9707"/>
    <cellStyle name="Heading 1 3" xfId="221"/>
    <cellStyle name="Heading 1 3 2" xfId="222"/>
    <cellStyle name="Heading 1 3 3" xfId="739"/>
    <cellStyle name="Heading 1 3 4" xfId="9708"/>
    <cellStyle name="Heading 1 4" xfId="740"/>
    <cellStyle name="Heading 1 4 2" xfId="741"/>
    <cellStyle name="Heading 1 4 3" xfId="9709"/>
    <cellStyle name="Heading 2 2" xfId="223"/>
    <cellStyle name="Heading 2 2 2" xfId="224"/>
    <cellStyle name="Heading 2 2 2 2" xfId="9710"/>
    <cellStyle name="Heading 2 2 3" xfId="742"/>
    <cellStyle name="Heading 2 2 4" xfId="743"/>
    <cellStyle name="Heading 2 2 4 2" xfId="21513"/>
    <cellStyle name="Heading 2 3" xfId="225"/>
    <cellStyle name="Heading 2 3 2" xfId="226"/>
    <cellStyle name="Heading 2 3 3" xfId="744"/>
    <cellStyle name="Heading 2 3 4" xfId="9711"/>
    <cellStyle name="Heading 2 4" xfId="745"/>
    <cellStyle name="Heading 2 4 2" xfId="746"/>
    <cellStyle name="Heading 2 4 3" xfId="9712"/>
    <cellStyle name="Heading 3 2" xfId="227"/>
    <cellStyle name="Heading 3 2 2" xfId="228"/>
    <cellStyle name="Heading 3 2 2 2" xfId="1488"/>
    <cellStyle name="Heading 3 2 2 3" xfId="9713"/>
    <cellStyle name="Heading 3 2 3" xfId="747"/>
    <cellStyle name="Heading 3 2 3 2" xfId="9714"/>
    <cellStyle name="Heading 3 2 4" xfId="748"/>
    <cellStyle name="Heading 3 2 4 2" xfId="9715"/>
    <cellStyle name="Heading 3 3" xfId="229"/>
    <cellStyle name="Heading 3 3 2" xfId="230"/>
    <cellStyle name="Heading 3 3 3" xfId="749"/>
    <cellStyle name="Heading 3 3 4" xfId="9716"/>
    <cellStyle name="Heading 3 4" xfId="750"/>
    <cellStyle name="Heading 3 4 2" xfId="751"/>
    <cellStyle name="Heading 3 4 3" xfId="9717"/>
    <cellStyle name="Heading 4 2" xfId="231"/>
    <cellStyle name="Heading 4 2 2" xfId="752"/>
    <cellStyle name="Heading 4 2 2 2" xfId="753"/>
    <cellStyle name="Heading 4 2 2 2 2" xfId="9718"/>
    <cellStyle name="Heading 4 2 2 3" xfId="21514"/>
    <cellStyle name="Heading 4 2 3" xfId="754"/>
    <cellStyle name="Heading 4 2 3 2" xfId="9719"/>
    <cellStyle name="Heading 4 3" xfId="232"/>
    <cellStyle name="Heading 4 3 2" xfId="755"/>
    <cellStyle name="Heading 4 3 2 2" xfId="9720"/>
    <cellStyle name="Heading 4 3 3" xfId="9721"/>
    <cellStyle name="Heading 4 4" xfId="756"/>
    <cellStyle name="Heading 4 4 2" xfId="9722"/>
    <cellStyle name="Hyperlink 2" xfId="21"/>
    <cellStyle name="Hyperlink 2 2" xfId="424"/>
    <cellStyle name="Hyperlink 2 2 2" xfId="757"/>
    <cellStyle name="Hyperlink 2 2 2 2" xfId="9723"/>
    <cellStyle name="Hyperlink 2 2 3" xfId="758"/>
    <cellStyle name="Hyperlink 2 2 4" xfId="759"/>
    <cellStyle name="Hyperlink 2 2 5" xfId="9724"/>
    <cellStyle name="Hyperlink 2 2 5 2" xfId="9725"/>
    <cellStyle name="Hyperlink 2 2 6" xfId="9726"/>
    <cellStyle name="Hyperlink 2 2 7" xfId="9727"/>
    <cellStyle name="Hyperlink 2 3" xfId="760"/>
    <cellStyle name="Hyperlink 2 3 2" xfId="9728"/>
    <cellStyle name="Hyperlink 2 3 3" xfId="21515"/>
    <cellStyle name="Hyperlink 2 4" xfId="1489"/>
    <cellStyle name="Hyperlink 2 4 2" xfId="9729"/>
    <cellStyle name="Hyperlink 3" xfId="233"/>
    <cellStyle name="Hyperlink 3 2" xfId="234"/>
    <cellStyle name="Hyperlink 3 2 2" xfId="761"/>
    <cellStyle name="Hyperlink 3 2 3" xfId="9730"/>
    <cellStyle name="Hyperlink 3 3" xfId="762"/>
    <cellStyle name="Hyperlink 3 3 2" xfId="9731"/>
    <cellStyle name="Hyperlink 3 4" xfId="9732"/>
    <cellStyle name="Hyperlink 4" xfId="1490"/>
    <cellStyle name="Hyperlink 4 2" xfId="9733"/>
    <cellStyle name="Hyperlink 4 2 2" xfId="9734"/>
    <cellStyle name="Hyperlink 4 3" xfId="21516"/>
    <cellStyle name="Hyperlink 5" xfId="1491"/>
    <cellStyle name="Input 2" xfId="235"/>
    <cellStyle name="Input 2 10" xfId="9735"/>
    <cellStyle name="Input 2 10 2" xfId="9736"/>
    <cellStyle name="Input 2 10 3" xfId="9737"/>
    <cellStyle name="Input 2 10 4" xfId="9738"/>
    <cellStyle name="Input 2 10 5" xfId="9739"/>
    <cellStyle name="Input 2 10 6" xfId="9740"/>
    <cellStyle name="Input 2 10 7" xfId="9741"/>
    <cellStyle name="Input 2 2" xfId="763"/>
    <cellStyle name="Input 2 2 10" xfId="9742"/>
    <cellStyle name="Input 2 2 11" xfId="9743"/>
    <cellStyle name="Input 2 2 12" xfId="9744"/>
    <cellStyle name="Input 2 2 2" xfId="764"/>
    <cellStyle name="Input 2 2 2 10" xfId="9745"/>
    <cellStyle name="Input 2 2 2 11" xfId="9746"/>
    <cellStyle name="Input 2 2 2 2" xfId="9747"/>
    <cellStyle name="Input 2 2 2 2 10" xfId="9748"/>
    <cellStyle name="Input 2 2 2 2 11" xfId="9749"/>
    <cellStyle name="Input 2 2 2 2 12" xfId="9750"/>
    <cellStyle name="Input 2 2 2 2 13" xfId="9751"/>
    <cellStyle name="Input 2 2 2 2 2" xfId="9752"/>
    <cellStyle name="Input 2 2 2 2 2 2" xfId="9753"/>
    <cellStyle name="Input 2 2 2 2 2 2 2" xfId="9754"/>
    <cellStyle name="Input 2 2 2 2 2 2 2 2" xfId="9755"/>
    <cellStyle name="Input 2 2 2 2 2 2 2 3" xfId="9756"/>
    <cellStyle name="Input 2 2 2 2 2 2 2 4" xfId="9757"/>
    <cellStyle name="Input 2 2 2 2 2 2 2 5" xfId="9758"/>
    <cellStyle name="Input 2 2 2 2 2 2 2 6" xfId="9759"/>
    <cellStyle name="Input 2 2 2 2 2 2 2 7" xfId="9760"/>
    <cellStyle name="Input 2 2 2 2 2 2 3" xfId="9761"/>
    <cellStyle name="Input 2 2 2 2 2 2 4" xfId="9762"/>
    <cellStyle name="Input 2 2 2 2 2 2 5" xfId="9763"/>
    <cellStyle name="Input 2 2 2 2 2 2 6" xfId="9764"/>
    <cellStyle name="Input 2 2 2 2 2 2 7" xfId="9765"/>
    <cellStyle name="Input 2 2 2 2 2 2 8" xfId="9766"/>
    <cellStyle name="Input 2 2 2 2 2 3" xfId="9767"/>
    <cellStyle name="Input 2 2 2 2 2 3 2" xfId="9768"/>
    <cellStyle name="Input 2 2 2 2 2 3 2 2" xfId="9769"/>
    <cellStyle name="Input 2 2 2 2 2 3 2 3" xfId="9770"/>
    <cellStyle name="Input 2 2 2 2 2 3 2 4" xfId="9771"/>
    <cellStyle name="Input 2 2 2 2 2 3 2 5" xfId="9772"/>
    <cellStyle name="Input 2 2 2 2 2 3 2 6" xfId="9773"/>
    <cellStyle name="Input 2 2 2 2 2 3 2 7" xfId="9774"/>
    <cellStyle name="Input 2 2 2 2 2 3 3" xfId="9775"/>
    <cellStyle name="Input 2 2 2 2 2 3 4" xfId="9776"/>
    <cellStyle name="Input 2 2 2 2 2 3 5" xfId="9777"/>
    <cellStyle name="Input 2 2 2 2 2 3 6" xfId="9778"/>
    <cellStyle name="Input 2 2 2 2 2 3 7" xfId="9779"/>
    <cellStyle name="Input 2 2 2 2 2 3 8" xfId="9780"/>
    <cellStyle name="Input 2 2 2 2 2 4" xfId="9781"/>
    <cellStyle name="Input 2 2 2 2 2 4 2" xfId="9782"/>
    <cellStyle name="Input 2 2 2 2 2 4 2 2" xfId="9783"/>
    <cellStyle name="Input 2 2 2 2 2 4 2 3" xfId="9784"/>
    <cellStyle name="Input 2 2 2 2 2 4 2 4" xfId="9785"/>
    <cellStyle name="Input 2 2 2 2 2 4 2 5" xfId="9786"/>
    <cellStyle name="Input 2 2 2 2 2 4 2 6" xfId="9787"/>
    <cellStyle name="Input 2 2 2 2 2 4 2 7" xfId="9788"/>
    <cellStyle name="Input 2 2 2 2 2 4 3" xfId="9789"/>
    <cellStyle name="Input 2 2 2 2 2 4 4" xfId="9790"/>
    <cellStyle name="Input 2 2 2 2 2 4 5" xfId="9791"/>
    <cellStyle name="Input 2 2 2 2 2 4 6" xfId="9792"/>
    <cellStyle name="Input 2 2 2 2 2 4 7" xfId="9793"/>
    <cellStyle name="Input 2 2 2 2 2 4 8" xfId="9794"/>
    <cellStyle name="Input 2 2 2 2 2 5" xfId="9795"/>
    <cellStyle name="Input 2 2 2 2 2 5 2" xfId="9796"/>
    <cellStyle name="Input 2 2 2 2 2 5 3" xfId="9797"/>
    <cellStyle name="Input 2 2 2 2 2 5 4" xfId="9798"/>
    <cellStyle name="Input 2 2 2 2 2 5 5" xfId="9799"/>
    <cellStyle name="Input 2 2 2 2 2 5 6" xfId="9800"/>
    <cellStyle name="Input 2 2 2 2 2 5 7" xfId="9801"/>
    <cellStyle name="Input 2 2 2 2 2 6" xfId="9802"/>
    <cellStyle name="Input 2 2 2 2 2 7" xfId="9803"/>
    <cellStyle name="Input 2 2 2 2 2 8" xfId="9804"/>
    <cellStyle name="Input 2 2 2 2 2 9" xfId="9805"/>
    <cellStyle name="Input 2 2 2 2 3" xfId="9806"/>
    <cellStyle name="Input 2 2 2 2 3 2" xfId="9807"/>
    <cellStyle name="Input 2 2 2 2 3 2 2" xfId="9808"/>
    <cellStyle name="Input 2 2 2 2 3 2 2 2" xfId="9809"/>
    <cellStyle name="Input 2 2 2 2 3 2 2 3" xfId="9810"/>
    <cellStyle name="Input 2 2 2 2 3 2 2 4" xfId="9811"/>
    <cellStyle name="Input 2 2 2 2 3 2 2 5" xfId="9812"/>
    <cellStyle name="Input 2 2 2 2 3 2 2 6" xfId="9813"/>
    <cellStyle name="Input 2 2 2 2 3 2 2 7" xfId="9814"/>
    <cellStyle name="Input 2 2 2 2 3 2 3" xfId="9815"/>
    <cellStyle name="Input 2 2 2 2 3 2 4" xfId="9816"/>
    <cellStyle name="Input 2 2 2 2 3 2 5" xfId="9817"/>
    <cellStyle name="Input 2 2 2 2 3 2 6" xfId="9818"/>
    <cellStyle name="Input 2 2 2 2 3 2 7" xfId="9819"/>
    <cellStyle name="Input 2 2 2 2 3 2 8" xfId="9820"/>
    <cellStyle name="Input 2 2 2 2 3 3" xfId="9821"/>
    <cellStyle name="Input 2 2 2 2 3 3 2" xfId="9822"/>
    <cellStyle name="Input 2 2 2 2 3 3 2 2" xfId="9823"/>
    <cellStyle name="Input 2 2 2 2 3 3 2 3" xfId="9824"/>
    <cellStyle name="Input 2 2 2 2 3 3 2 4" xfId="9825"/>
    <cellStyle name="Input 2 2 2 2 3 3 2 5" xfId="9826"/>
    <cellStyle name="Input 2 2 2 2 3 3 2 6" xfId="9827"/>
    <cellStyle name="Input 2 2 2 2 3 3 2 7" xfId="9828"/>
    <cellStyle name="Input 2 2 2 2 3 3 3" xfId="9829"/>
    <cellStyle name="Input 2 2 2 2 3 3 4" xfId="9830"/>
    <cellStyle name="Input 2 2 2 2 3 3 5" xfId="9831"/>
    <cellStyle name="Input 2 2 2 2 3 3 6" xfId="9832"/>
    <cellStyle name="Input 2 2 2 2 3 3 7" xfId="9833"/>
    <cellStyle name="Input 2 2 2 2 3 3 8" xfId="9834"/>
    <cellStyle name="Input 2 2 2 2 3 4" xfId="9835"/>
    <cellStyle name="Input 2 2 2 2 3 4 2" xfId="9836"/>
    <cellStyle name="Input 2 2 2 2 3 4 2 2" xfId="9837"/>
    <cellStyle name="Input 2 2 2 2 3 4 2 3" xfId="9838"/>
    <cellStyle name="Input 2 2 2 2 3 4 2 4" xfId="9839"/>
    <cellStyle name="Input 2 2 2 2 3 4 2 5" xfId="9840"/>
    <cellStyle name="Input 2 2 2 2 3 4 2 6" xfId="9841"/>
    <cellStyle name="Input 2 2 2 2 3 4 2 7" xfId="9842"/>
    <cellStyle name="Input 2 2 2 2 3 4 3" xfId="9843"/>
    <cellStyle name="Input 2 2 2 2 3 4 4" xfId="9844"/>
    <cellStyle name="Input 2 2 2 2 3 4 5" xfId="9845"/>
    <cellStyle name="Input 2 2 2 2 3 4 6" xfId="9846"/>
    <cellStyle name="Input 2 2 2 2 3 4 7" xfId="9847"/>
    <cellStyle name="Input 2 2 2 2 3 4 8" xfId="9848"/>
    <cellStyle name="Input 2 2 2 2 3 5" xfId="9849"/>
    <cellStyle name="Input 2 2 2 2 3 5 2" xfId="9850"/>
    <cellStyle name="Input 2 2 2 2 3 5 3" xfId="9851"/>
    <cellStyle name="Input 2 2 2 2 3 5 4" xfId="9852"/>
    <cellStyle name="Input 2 2 2 2 3 5 5" xfId="9853"/>
    <cellStyle name="Input 2 2 2 2 3 5 6" xfId="9854"/>
    <cellStyle name="Input 2 2 2 2 3 5 7" xfId="9855"/>
    <cellStyle name="Input 2 2 2 2 3 6" xfId="9856"/>
    <cellStyle name="Input 2 2 2 2 3 7" xfId="9857"/>
    <cellStyle name="Input 2 2 2 2 3 8" xfId="9858"/>
    <cellStyle name="Input 2 2 2 2 3 9" xfId="9859"/>
    <cellStyle name="Input 2 2 2 2 4" xfId="9860"/>
    <cellStyle name="Input 2 2 2 2 4 2" xfId="9861"/>
    <cellStyle name="Input 2 2 2 2 4 2 2" xfId="9862"/>
    <cellStyle name="Input 2 2 2 2 4 2 2 2" xfId="9863"/>
    <cellStyle name="Input 2 2 2 2 4 2 2 3" xfId="9864"/>
    <cellStyle name="Input 2 2 2 2 4 2 2 4" xfId="9865"/>
    <cellStyle name="Input 2 2 2 2 4 2 2 5" xfId="9866"/>
    <cellStyle name="Input 2 2 2 2 4 2 2 6" xfId="9867"/>
    <cellStyle name="Input 2 2 2 2 4 2 2 7" xfId="9868"/>
    <cellStyle name="Input 2 2 2 2 4 2 3" xfId="9869"/>
    <cellStyle name="Input 2 2 2 2 4 2 4" xfId="9870"/>
    <cellStyle name="Input 2 2 2 2 4 2 5" xfId="9871"/>
    <cellStyle name="Input 2 2 2 2 4 2 6" xfId="9872"/>
    <cellStyle name="Input 2 2 2 2 4 2 7" xfId="9873"/>
    <cellStyle name="Input 2 2 2 2 4 2 8" xfId="9874"/>
    <cellStyle name="Input 2 2 2 2 4 3" xfId="9875"/>
    <cellStyle name="Input 2 2 2 2 4 3 2" xfId="9876"/>
    <cellStyle name="Input 2 2 2 2 4 3 2 2" xfId="9877"/>
    <cellStyle name="Input 2 2 2 2 4 3 2 3" xfId="9878"/>
    <cellStyle name="Input 2 2 2 2 4 3 2 4" xfId="9879"/>
    <cellStyle name="Input 2 2 2 2 4 3 2 5" xfId="9880"/>
    <cellStyle name="Input 2 2 2 2 4 3 2 6" xfId="9881"/>
    <cellStyle name="Input 2 2 2 2 4 3 2 7" xfId="9882"/>
    <cellStyle name="Input 2 2 2 2 4 3 3" xfId="9883"/>
    <cellStyle name="Input 2 2 2 2 4 3 4" xfId="9884"/>
    <cellStyle name="Input 2 2 2 2 4 3 5" xfId="9885"/>
    <cellStyle name="Input 2 2 2 2 4 3 6" xfId="9886"/>
    <cellStyle name="Input 2 2 2 2 4 3 7" xfId="9887"/>
    <cellStyle name="Input 2 2 2 2 4 3 8" xfId="9888"/>
    <cellStyle name="Input 2 2 2 2 4 4" xfId="9889"/>
    <cellStyle name="Input 2 2 2 2 4 4 2" xfId="9890"/>
    <cellStyle name="Input 2 2 2 2 4 4 2 2" xfId="9891"/>
    <cellStyle name="Input 2 2 2 2 4 4 2 3" xfId="9892"/>
    <cellStyle name="Input 2 2 2 2 4 4 2 4" xfId="9893"/>
    <cellStyle name="Input 2 2 2 2 4 4 2 5" xfId="9894"/>
    <cellStyle name="Input 2 2 2 2 4 4 2 6" xfId="9895"/>
    <cellStyle name="Input 2 2 2 2 4 4 2 7" xfId="9896"/>
    <cellStyle name="Input 2 2 2 2 4 4 3" xfId="9897"/>
    <cellStyle name="Input 2 2 2 2 4 4 4" xfId="9898"/>
    <cellStyle name="Input 2 2 2 2 4 4 5" xfId="9899"/>
    <cellStyle name="Input 2 2 2 2 4 4 6" xfId="9900"/>
    <cellStyle name="Input 2 2 2 2 4 4 7" xfId="9901"/>
    <cellStyle name="Input 2 2 2 2 4 4 8" xfId="9902"/>
    <cellStyle name="Input 2 2 2 2 4 5" xfId="9903"/>
    <cellStyle name="Input 2 2 2 2 4 5 2" xfId="9904"/>
    <cellStyle name="Input 2 2 2 2 4 5 3" xfId="9905"/>
    <cellStyle name="Input 2 2 2 2 4 5 4" xfId="9906"/>
    <cellStyle name="Input 2 2 2 2 4 5 5" xfId="9907"/>
    <cellStyle name="Input 2 2 2 2 4 5 6" xfId="9908"/>
    <cellStyle name="Input 2 2 2 2 4 5 7" xfId="9909"/>
    <cellStyle name="Input 2 2 2 2 4 6" xfId="9910"/>
    <cellStyle name="Input 2 2 2 2 4 7" xfId="9911"/>
    <cellStyle name="Input 2 2 2 2 4 8" xfId="9912"/>
    <cellStyle name="Input 2 2 2 2 4 9" xfId="9913"/>
    <cellStyle name="Input 2 2 2 2 5" xfId="9914"/>
    <cellStyle name="Input 2 2 2 2 5 2" xfId="9915"/>
    <cellStyle name="Input 2 2 2 2 5 2 2" xfId="9916"/>
    <cellStyle name="Input 2 2 2 2 5 2 2 2" xfId="9917"/>
    <cellStyle name="Input 2 2 2 2 5 2 2 3" xfId="9918"/>
    <cellStyle name="Input 2 2 2 2 5 2 2 4" xfId="9919"/>
    <cellStyle name="Input 2 2 2 2 5 2 2 5" xfId="9920"/>
    <cellStyle name="Input 2 2 2 2 5 2 2 6" xfId="9921"/>
    <cellStyle name="Input 2 2 2 2 5 2 2 7" xfId="9922"/>
    <cellStyle name="Input 2 2 2 2 5 2 3" xfId="9923"/>
    <cellStyle name="Input 2 2 2 2 5 2 4" xfId="9924"/>
    <cellStyle name="Input 2 2 2 2 5 2 5" xfId="9925"/>
    <cellStyle name="Input 2 2 2 2 5 2 6" xfId="9926"/>
    <cellStyle name="Input 2 2 2 2 5 2 7" xfId="9927"/>
    <cellStyle name="Input 2 2 2 2 5 2 8" xfId="9928"/>
    <cellStyle name="Input 2 2 2 2 5 3" xfId="9929"/>
    <cellStyle name="Input 2 2 2 2 5 3 2" xfId="9930"/>
    <cellStyle name="Input 2 2 2 2 5 3 2 2" xfId="9931"/>
    <cellStyle name="Input 2 2 2 2 5 3 2 3" xfId="9932"/>
    <cellStyle name="Input 2 2 2 2 5 3 2 4" xfId="9933"/>
    <cellStyle name="Input 2 2 2 2 5 3 2 5" xfId="9934"/>
    <cellStyle name="Input 2 2 2 2 5 3 2 6" xfId="9935"/>
    <cellStyle name="Input 2 2 2 2 5 3 2 7" xfId="9936"/>
    <cellStyle name="Input 2 2 2 2 5 3 3" xfId="9937"/>
    <cellStyle name="Input 2 2 2 2 5 3 4" xfId="9938"/>
    <cellStyle name="Input 2 2 2 2 5 3 5" xfId="9939"/>
    <cellStyle name="Input 2 2 2 2 5 3 6" xfId="9940"/>
    <cellStyle name="Input 2 2 2 2 5 3 7" xfId="9941"/>
    <cellStyle name="Input 2 2 2 2 5 3 8" xfId="9942"/>
    <cellStyle name="Input 2 2 2 2 5 4" xfId="9943"/>
    <cellStyle name="Input 2 2 2 2 5 4 2" xfId="9944"/>
    <cellStyle name="Input 2 2 2 2 5 4 2 2" xfId="9945"/>
    <cellStyle name="Input 2 2 2 2 5 4 2 3" xfId="9946"/>
    <cellStyle name="Input 2 2 2 2 5 4 2 4" xfId="9947"/>
    <cellStyle name="Input 2 2 2 2 5 4 2 5" xfId="9948"/>
    <cellStyle name="Input 2 2 2 2 5 4 2 6" xfId="9949"/>
    <cellStyle name="Input 2 2 2 2 5 4 2 7" xfId="9950"/>
    <cellStyle name="Input 2 2 2 2 5 4 3" xfId="9951"/>
    <cellStyle name="Input 2 2 2 2 5 4 4" xfId="9952"/>
    <cellStyle name="Input 2 2 2 2 5 4 5" xfId="9953"/>
    <cellStyle name="Input 2 2 2 2 5 4 6" xfId="9954"/>
    <cellStyle name="Input 2 2 2 2 5 4 7" xfId="9955"/>
    <cellStyle name="Input 2 2 2 2 5 4 8" xfId="9956"/>
    <cellStyle name="Input 2 2 2 2 5 5" xfId="9957"/>
    <cellStyle name="Input 2 2 2 2 5 5 2" xfId="9958"/>
    <cellStyle name="Input 2 2 2 2 5 5 3" xfId="9959"/>
    <cellStyle name="Input 2 2 2 2 5 5 4" xfId="9960"/>
    <cellStyle name="Input 2 2 2 2 5 5 5" xfId="9961"/>
    <cellStyle name="Input 2 2 2 2 5 5 6" xfId="9962"/>
    <cellStyle name="Input 2 2 2 2 5 5 7" xfId="9963"/>
    <cellStyle name="Input 2 2 2 2 5 6" xfId="9964"/>
    <cellStyle name="Input 2 2 2 2 5 7" xfId="9965"/>
    <cellStyle name="Input 2 2 2 2 5 8" xfId="9966"/>
    <cellStyle name="Input 2 2 2 2 5 9" xfId="9967"/>
    <cellStyle name="Input 2 2 2 2 6" xfId="9968"/>
    <cellStyle name="Input 2 2 2 2 6 2" xfId="9969"/>
    <cellStyle name="Input 2 2 2 2 6 2 2" xfId="9970"/>
    <cellStyle name="Input 2 2 2 2 6 2 3" xfId="9971"/>
    <cellStyle name="Input 2 2 2 2 6 2 4" xfId="9972"/>
    <cellStyle name="Input 2 2 2 2 6 2 5" xfId="9973"/>
    <cellStyle name="Input 2 2 2 2 6 2 6" xfId="9974"/>
    <cellStyle name="Input 2 2 2 2 6 2 7" xfId="9975"/>
    <cellStyle name="Input 2 2 2 2 6 3" xfId="9976"/>
    <cellStyle name="Input 2 2 2 2 6 4" xfId="9977"/>
    <cellStyle name="Input 2 2 2 2 6 5" xfId="9978"/>
    <cellStyle name="Input 2 2 2 2 6 6" xfId="9979"/>
    <cellStyle name="Input 2 2 2 2 6 7" xfId="9980"/>
    <cellStyle name="Input 2 2 2 2 6 8" xfId="9981"/>
    <cellStyle name="Input 2 2 2 2 7" xfId="9982"/>
    <cellStyle name="Input 2 2 2 2 7 2" xfId="9983"/>
    <cellStyle name="Input 2 2 2 2 7 2 2" xfId="9984"/>
    <cellStyle name="Input 2 2 2 2 7 2 3" xfId="9985"/>
    <cellStyle name="Input 2 2 2 2 7 2 4" xfId="9986"/>
    <cellStyle name="Input 2 2 2 2 7 2 5" xfId="9987"/>
    <cellStyle name="Input 2 2 2 2 7 2 6" xfId="9988"/>
    <cellStyle name="Input 2 2 2 2 7 2 7" xfId="9989"/>
    <cellStyle name="Input 2 2 2 2 7 3" xfId="9990"/>
    <cellStyle name="Input 2 2 2 2 7 4" xfId="9991"/>
    <cellStyle name="Input 2 2 2 2 7 5" xfId="9992"/>
    <cellStyle name="Input 2 2 2 2 7 6" xfId="9993"/>
    <cellStyle name="Input 2 2 2 2 7 7" xfId="9994"/>
    <cellStyle name="Input 2 2 2 2 7 8" xfId="9995"/>
    <cellStyle name="Input 2 2 2 2 8" xfId="9996"/>
    <cellStyle name="Input 2 2 2 2 8 2" xfId="9997"/>
    <cellStyle name="Input 2 2 2 2 8 2 2" xfId="9998"/>
    <cellStyle name="Input 2 2 2 2 8 2 3" xfId="9999"/>
    <cellStyle name="Input 2 2 2 2 8 2 4" xfId="10000"/>
    <cellStyle name="Input 2 2 2 2 8 2 5" xfId="10001"/>
    <cellStyle name="Input 2 2 2 2 8 2 6" xfId="10002"/>
    <cellStyle name="Input 2 2 2 2 8 2 7" xfId="10003"/>
    <cellStyle name="Input 2 2 2 2 8 3" xfId="10004"/>
    <cellStyle name="Input 2 2 2 2 8 4" xfId="10005"/>
    <cellStyle name="Input 2 2 2 2 8 5" xfId="10006"/>
    <cellStyle name="Input 2 2 2 2 8 6" xfId="10007"/>
    <cellStyle name="Input 2 2 2 2 8 7" xfId="10008"/>
    <cellStyle name="Input 2 2 2 2 8 8" xfId="10009"/>
    <cellStyle name="Input 2 2 2 2 9" xfId="10010"/>
    <cellStyle name="Input 2 2 2 2 9 2" xfId="10011"/>
    <cellStyle name="Input 2 2 2 2 9 3" xfId="10012"/>
    <cellStyle name="Input 2 2 2 2 9 4" xfId="10013"/>
    <cellStyle name="Input 2 2 2 2 9 5" xfId="10014"/>
    <cellStyle name="Input 2 2 2 2 9 6" xfId="10015"/>
    <cellStyle name="Input 2 2 2 2 9 7" xfId="10016"/>
    <cellStyle name="Input 2 2 2 3" xfId="10017"/>
    <cellStyle name="Input 2 2 2 3 10" xfId="10018"/>
    <cellStyle name="Input 2 2 2 3 11" xfId="10019"/>
    <cellStyle name="Input 2 2 2 3 2" xfId="10020"/>
    <cellStyle name="Input 2 2 2 3 2 2" xfId="10021"/>
    <cellStyle name="Input 2 2 2 3 2 2 2" xfId="10022"/>
    <cellStyle name="Input 2 2 2 3 2 2 3" xfId="10023"/>
    <cellStyle name="Input 2 2 2 3 2 2 4" xfId="10024"/>
    <cellStyle name="Input 2 2 2 3 2 2 5" xfId="10025"/>
    <cellStyle name="Input 2 2 2 3 2 2 6" xfId="10026"/>
    <cellStyle name="Input 2 2 2 3 2 2 7" xfId="10027"/>
    <cellStyle name="Input 2 2 2 3 2 3" xfId="10028"/>
    <cellStyle name="Input 2 2 2 3 2 4" xfId="10029"/>
    <cellStyle name="Input 2 2 2 3 2 5" xfId="10030"/>
    <cellStyle name="Input 2 2 2 3 2 6" xfId="10031"/>
    <cellStyle name="Input 2 2 2 3 2 7" xfId="10032"/>
    <cellStyle name="Input 2 2 2 3 2 8" xfId="10033"/>
    <cellStyle name="Input 2 2 2 3 3" xfId="10034"/>
    <cellStyle name="Input 2 2 2 3 3 2" xfId="10035"/>
    <cellStyle name="Input 2 2 2 3 3 2 2" xfId="10036"/>
    <cellStyle name="Input 2 2 2 3 3 2 3" xfId="10037"/>
    <cellStyle name="Input 2 2 2 3 3 2 4" xfId="10038"/>
    <cellStyle name="Input 2 2 2 3 3 2 5" xfId="10039"/>
    <cellStyle name="Input 2 2 2 3 3 2 6" xfId="10040"/>
    <cellStyle name="Input 2 2 2 3 3 2 7" xfId="10041"/>
    <cellStyle name="Input 2 2 2 3 3 3" xfId="10042"/>
    <cellStyle name="Input 2 2 2 3 3 4" xfId="10043"/>
    <cellStyle name="Input 2 2 2 3 3 5" xfId="10044"/>
    <cellStyle name="Input 2 2 2 3 3 6" xfId="10045"/>
    <cellStyle name="Input 2 2 2 3 3 7" xfId="10046"/>
    <cellStyle name="Input 2 2 2 3 3 8" xfId="10047"/>
    <cellStyle name="Input 2 2 2 3 4" xfId="10048"/>
    <cellStyle name="Input 2 2 2 3 4 2" xfId="10049"/>
    <cellStyle name="Input 2 2 2 3 4 2 2" xfId="10050"/>
    <cellStyle name="Input 2 2 2 3 4 2 3" xfId="10051"/>
    <cellStyle name="Input 2 2 2 3 4 2 4" xfId="10052"/>
    <cellStyle name="Input 2 2 2 3 4 2 5" xfId="10053"/>
    <cellStyle name="Input 2 2 2 3 4 2 6" xfId="10054"/>
    <cellStyle name="Input 2 2 2 3 4 2 7" xfId="10055"/>
    <cellStyle name="Input 2 2 2 3 4 3" xfId="10056"/>
    <cellStyle name="Input 2 2 2 3 4 4" xfId="10057"/>
    <cellStyle name="Input 2 2 2 3 4 5" xfId="10058"/>
    <cellStyle name="Input 2 2 2 3 4 6" xfId="10059"/>
    <cellStyle name="Input 2 2 2 3 4 7" xfId="10060"/>
    <cellStyle name="Input 2 2 2 3 4 8" xfId="10061"/>
    <cellStyle name="Input 2 2 2 3 5" xfId="10062"/>
    <cellStyle name="Input 2 2 2 3 5 2" xfId="10063"/>
    <cellStyle name="Input 2 2 2 3 5 3" xfId="10064"/>
    <cellStyle name="Input 2 2 2 3 5 4" xfId="10065"/>
    <cellStyle name="Input 2 2 2 3 5 5" xfId="10066"/>
    <cellStyle name="Input 2 2 2 3 5 6" xfId="10067"/>
    <cellStyle name="Input 2 2 2 3 5 7" xfId="10068"/>
    <cellStyle name="Input 2 2 2 3 6" xfId="10069"/>
    <cellStyle name="Input 2 2 2 3 7" xfId="10070"/>
    <cellStyle name="Input 2 2 2 3 8" xfId="10071"/>
    <cellStyle name="Input 2 2 2 3 9" xfId="10072"/>
    <cellStyle name="Input 2 2 2 4" xfId="10073"/>
    <cellStyle name="Input 2 2 2 4 2" xfId="10074"/>
    <cellStyle name="Input 2 2 2 4 2 2" xfId="10075"/>
    <cellStyle name="Input 2 2 2 4 2 3" xfId="10076"/>
    <cellStyle name="Input 2 2 2 4 2 4" xfId="10077"/>
    <cellStyle name="Input 2 2 2 4 2 5" xfId="10078"/>
    <cellStyle name="Input 2 2 2 4 2 6" xfId="10079"/>
    <cellStyle name="Input 2 2 2 4 2 7" xfId="10080"/>
    <cellStyle name="Input 2 2 2 4 3" xfId="10081"/>
    <cellStyle name="Input 2 2 2 4 4" xfId="10082"/>
    <cellStyle name="Input 2 2 2 4 5" xfId="10083"/>
    <cellStyle name="Input 2 2 2 4 6" xfId="10084"/>
    <cellStyle name="Input 2 2 2 4 7" xfId="10085"/>
    <cellStyle name="Input 2 2 2 4 8" xfId="10086"/>
    <cellStyle name="Input 2 2 2 5" xfId="10087"/>
    <cellStyle name="Input 2 2 2 5 2" xfId="10088"/>
    <cellStyle name="Input 2 2 2 5 2 2" xfId="10089"/>
    <cellStyle name="Input 2 2 2 5 2 3" xfId="10090"/>
    <cellStyle name="Input 2 2 2 5 2 4" xfId="10091"/>
    <cellStyle name="Input 2 2 2 5 2 5" xfId="10092"/>
    <cellStyle name="Input 2 2 2 5 2 6" xfId="10093"/>
    <cellStyle name="Input 2 2 2 5 2 7" xfId="10094"/>
    <cellStyle name="Input 2 2 2 5 3" xfId="10095"/>
    <cellStyle name="Input 2 2 2 5 4" xfId="10096"/>
    <cellStyle name="Input 2 2 2 5 5" xfId="10097"/>
    <cellStyle name="Input 2 2 2 5 6" xfId="10098"/>
    <cellStyle name="Input 2 2 2 5 7" xfId="10099"/>
    <cellStyle name="Input 2 2 2 5 8" xfId="10100"/>
    <cellStyle name="Input 2 2 2 6" xfId="10101"/>
    <cellStyle name="Input 2 2 2 6 2" xfId="10102"/>
    <cellStyle name="Input 2 2 2 6 2 2" xfId="10103"/>
    <cellStyle name="Input 2 2 2 6 2 3" xfId="10104"/>
    <cellStyle name="Input 2 2 2 6 2 4" xfId="10105"/>
    <cellStyle name="Input 2 2 2 6 2 5" xfId="10106"/>
    <cellStyle name="Input 2 2 2 6 2 6" xfId="10107"/>
    <cellStyle name="Input 2 2 2 6 2 7" xfId="10108"/>
    <cellStyle name="Input 2 2 2 6 3" xfId="10109"/>
    <cellStyle name="Input 2 2 2 6 4" xfId="10110"/>
    <cellStyle name="Input 2 2 2 6 5" xfId="10111"/>
    <cellStyle name="Input 2 2 2 6 6" xfId="10112"/>
    <cellStyle name="Input 2 2 2 6 7" xfId="10113"/>
    <cellStyle name="Input 2 2 2 6 8" xfId="10114"/>
    <cellStyle name="Input 2 2 2 7" xfId="10115"/>
    <cellStyle name="Input 2 2 2 7 2" xfId="10116"/>
    <cellStyle name="Input 2 2 2 7 3" xfId="10117"/>
    <cellStyle name="Input 2 2 2 7 4" xfId="10118"/>
    <cellStyle name="Input 2 2 2 7 5" xfId="10119"/>
    <cellStyle name="Input 2 2 2 7 6" xfId="10120"/>
    <cellStyle name="Input 2 2 2 7 7" xfId="10121"/>
    <cellStyle name="Input 2 2 2 8" xfId="10122"/>
    <cellStyle name="Input 2 2 2 9" xfId="10123"/>
    <cellStyle name="Input 2 2 3" xfId="10124"/>
    <cellStyle name="Input 2 2 3 10" xfId="10125"/>
    <cellStyle name="Input 2 2 3 11" xfId="10126"/>
    <cellStyle name="Input 2 2 3 12" xfId="10127"/>
    <cellStyle name="Input 2 2 3 13" xfId="10128"/>
    <cellStyle name="Input 2 2 3 2" xfId="10129"/>
    <cellStyle name="Input 2 2 3 2 2" xfId="10130"/>
    <cellStyle name="Input 2 2 3 2 2 2" xfId="10131"/>
    <cellStyle name="Input 2 2 3 2 2 2 2" xfId="10132"/>
    <cellStyle name="Input 2 2 3 2 2 2 3" xfId="10133"/>
    <cellStyle name="Input 2 2 3 2 2 2 4" xfId="10134"/>
    <cellStyle name="Input 2 2 3 2 2 2 5" xfId="10135"/>
    <cellStyle name="Input 2 2 3 2 2 2 6" xfId="10136"/>
    <cellStyle name="Input 2 2 3 2 2 2 7" xfId="10137"/>
    <cellStyle name="Input 2 2 3 2 2 3" xfId="10138"/>
    <cellStyle name="Input 2 2 3 2 2 4" xfId="10139"/>
    <cellStyle name="Input 2 2 3 2 2 5" xfId="10140"/>
    <cellStyle name="Input 2 2 3 2 2 6" xfId="10141"/>
    <cellStyle name="Input 2 2 3 2 2 7" xfId="10142"/>
    <cellStyle name="Input 2 2 3 2 2 8" xfId="10143"/>
    <cellStyle name="Input 2 2 3 2 3" xfId="10144"/>
    <cellStyle name="Input 2 2 3 2 3 2" xfId="10145"/>
    <cellStyle name="Input 2 2 3 2 3 2 2" xfId="10146"/>
    <cellStyle name="Input 2 2 3 2 3 2 3" xfId="10147"/>
    <cellStyle name="Input 2 2 3 2 3 2 4" xfId="10148"/>
    <cellStyle name="Input 2 2 3 2 3 2 5" xfId="10149"/>
    <cellStyle name="Input 2 2 3 2 3 2 6" xfId="10150"/>
    <cellStyle name="Input 2 2 3 2 3 2 7" xfId="10151"/>
    <cellStyle name="Input 2 2 3 2 3 3" xfId="10152"/>
    <cellStyle name="Input 2 2 3 2 3 4" xfId="10153"/>
    <cellStyle name="Input 2 2 3 2 3 5" xfId="10154"/>
    <cellStyle name="Input 2 2 3 2 3 6" xfId="10155"/>
    <cellStyle name="Input 2 2 3 2 3 7" xfId="10156"/>
    <cellStyle name="Input 2 2 3 2 3 8" xfId="10157"/>
    <cellStyle name="Input 2 2 3 2 4" xfId="10158"/>
    <cellStyle name="Input 2 2 3 2 4 2" xfId="10159"/>
    <cellStyle name="Input 2 2 3 2 4 2 2" xfId="10160"/>
    <cellStyle name="Input 2 2 3 2 4 2 3" xfId="10161"/>
    <cellStyle name="Input 2 2 3 2 4 2 4" xfId="10162"/>
    <cellStyle name="Input 2 2 3 2 4 2 5" xfId="10163"/>
    <cellStyle name="Input 2 2 3 2 4 2 6" xfId="10164"/>
    <cellStyle name="Input 2 2 3 2 4 2 7" xfId="10165"/>
    <cellStyle name="Input 2 2 3 2 4 3" xfId="10166"/>
    <cellStyle name="Input 2 2 3 2 4 4" xfId="10167"/>
    <cellStyle name="Input 2 2 3 2 4 5" xfId="10168"/>
    <cellStyle name="Input 2 2 3 2 4 6" xfId="10169"/>
    <cellStyle name="Input 2 2 3 2 4 7" xfId="10170"/>
    <cellStyle name="Input 2 2 3 2 4 8" xfId="10171"/>
    <cellStyle name="Input 2 2 3 2 5" xfId="10172"/>
    <cellStyle name="Input 2 2 3 2 5 2" xfId="10173"/>
    <cellStyle name="Input 2 2 3 2 5 3" xfId="10174"/>
    <cellStyle name="Input 2 2 3 2 5 4" xfId="10175"/>
    <cellStyle name="Input 2 2 3 2 5 5" xfId="10176"/>
    <cellStyle name="Input 2 2 3 2 5 6" xfId="10177"/>
    <cellStyle name="Input 2 2 3 2 5 7" xfId="10178"/>
    <cellStyle name="Input 2 2 3 2 6" xfId="10179"/>
    <cellStyle name="Input 2 2 3 2 7" xfId="10180"/>
    <cellStyle name="Input 2 2 3 2 8" xfId="10181"/>
    <cellStyle name="Input 2 2 3 2 9" xfId="10182"/>
    <cellStyle name="Input 2 2 3 3" xfId="10183"/>
    <cellStyle name="Input 2 2 3 3 2" xfId="10184"/>
    <cellStyle name="Input 2 2 3 3 2 2" xfId="10185"/>
    <cellStyle name="Input 2 2 3 3 2 2 2" xfId="10186"/>
    <cellStyle name="Input 2 2 3 3 2 2 3" xfId="10187"/>
    <cellStyle name="Input 2 2 3 3 2 2 4" xfId="10188"/>
    <cellStyle name="Input 2 2 3 3 2 2 5" xfId="10189"/>
    <cellStyle name="Input 2 2 3 3 2 2 6" xfId="10190"/>
    <cellStyle name="Input 2 2 3 3 2 2 7" xfId="10191"/>
    <cellStyle name="Input 2 2 3 3 2 3" xfId="10192"/>
    <cellStyle name="Input 2 2 3 3 2 4" xfId="10193"/>
    <cellStyle name="Input 2 2 3 3 2 5" xfId="10194"/>
    <cellStyle name="Input 2 2 3 3 2 6" xfId="10195"/>
    <cellStyle name="Input 2 2 3 3 2 7" xfId="10196"/>
    <cellStyle name="Input 2 2 3 3 2 8" xfId="10197"/>
    <cellStyle name="Input 2 2 3 3 3" xfId="10198"/>
    <cellStyle name="Input 2 2 3 3 3 2" xfId="10199"/>
    <cellStyle name="Input 2 2 3 3 3 2 2" xfId="10200"/>
    <cellStyle name="Input 2 2 3 3 3 2 3" xfId="10201"/>
    <cellStyle name="Input 2 2 3 3 3 2 4" xfId="10202"/>
    <cellStyle name="Input 2 2 3 3 3 2 5" xfId="10203"/>
    <cellStyle name="Input 2 2 3 3 3 2 6" xfId="10204"/>
    <cellStyle name="Input 2 2 3 3 3 2 7" xfId="10205"/>
    <cellStyle name="Input 2 2 3 3 3 3" xfId="10206"/>
    <cellStyle name="Input 2 2 3 3 3 4" xfId="10207"/>
    <cellStyle name="Input 2 2 3 3 3 5" xfId="10208"/>
    <cellStyle name="Input 2 2 3 3 3 6" xfId="10209"/>
    <cellStyle name="Input 2 2 3 3 3 7" xfId="10210"/>
    <cellStyle name="Input 2 2 3 3 3 8" xfId="10211"/>
    <cellStyle name="Input 2 2 3 3 4" xfId="10212"/>
    <cellStyle name="Input 2 2 3 3 4 2" xfId="10213"/>
    <cellStyle name="Input 2 2 3 3 4 2 2" xfId="10214"/>
    <cellStyle name="Input 2 2 3 3 4 2 3" xfId="10215"/>
    <cellStyle name="Input 2 2 3 3 4 2 4" xfId="10216"/>
    <cellStyle name="Input 2 2 3 3 4 2 5" xfId="10217"/>
    <cellStyle name="Input 2 2 3 3 4 2 6" xfId="10218"/>
    <cellStyle name="Input 2 2 3 3 4 2 7" xfId="10219"/>
    <cellStyle name="Input 2 2 3 3 4 3" xfId="10220"/>
    <cellStyle name="Input 2 2 3 3 4 4" xfId="10221"/>
    <cellStyle name="Input 2 2 3 3 4 5" xfId="10222"/>
    <cellStyle name="Input 2 2 3 3 4 6" xfId="10223"/>
    <cellStyle name="Input 2 2 3 3 4 7" xfId="10224"/>
    <cellStyle name="Input 2 2 3 3 4 8" xfId="10225"/>
    <cellStyle name="Input 2 2 3 3 5" xfId="10226"/>
    <cellStyle name="Input 2 2 3 3 5 2" xfId="10227"/>
    <cellStyle name="Input 2 2 3 3 5 3" xfId="10228"/>
    <cellStyle name="Input 2 2 3 3 5 4" xfId="10229"/>
    <cellStyle name="Input 2 2 3 3 5 5" xfId="10230"/>
    <cellStyle name="Input 2 2 3 3 5 6" xfId="10231"/>
    <cellStyle name="Input 2 2 3 3 5 7" xfId="10232"/>
    <cellStyle name="Input 2 2 3 3 6" xfId="10233"/>
    <cellStyle name="Input 2 2 3 3 7" xfId="10234"/>
    <cellStyle name="Input 2 2 3 3 8" xfId="10235"/>
    <cellStyle name="Input 2 2 3 3 9" xfId="10236"/>
    <cellStyle name="Input 2 2 3 4" xfId="10237"/>
    <cellStyle name="Input 2 2 3 4 2" xfId="10238"/>
    <cellStyle name="Input 2 2 3 4 2 2" xfId="10239"/>
    <cellStyle name="Input 2 2 3 4 2 2 2" xfId="10240"/>
    <cellStyle name="Input 2 2 3 4 2 2 3" xfId="10241"/>
    <cellStyle name="Input 2 2 3 4 2 2 4" xfId="10242"/>
    <cellStyle name="Input 2 2 3 4 2 2 5" xfId="10243"/>
    <cellStyle name="Input 2 2 3 4 2 2 6" xfId="10244"/>
    <cellStyle name="Input 2 2 3 4 2 2 7" xfId="10245"/>
    <cellStyle name="Input 2 2 3 4 2 3" xfId="10246"/>
    <cellStyle name="Input 2 2 3 4 2 4" xfId="10247"/>
    <cellStyle name="Input 2 2 3 4 2 5" xfId="10248"/>
    <cellStyle name="Input 2 2 3 4 2 6" xfId="10249"/>
    <cellStyle name="Input 2 2 3 4 2 7" xfId="10250"/>
    <cellStyle name="Input 2 2 3 4 2 8" xfId="10251"/>
    <cellStyle name="Input 2 2 3 4 3" xfId="10252"/>
    <cellStyle name="Input 2 2 3 4 3 2" xfId="10253"/>
    <cellStyle name="Input 2 2 3 4 3 2 2" xfId="10254"/>
    <cellStyle name="Input 2 2 3 4 3 2 3" xfId="10255"/>
    <cellStyle name="Input 2 2 3 4 3 2 4" xfId="10256"/>
    <cellStyle name="Input 2 2 3 4 3 2 5" xfId="10257"/>
    <cellStyle name="Input 2 2 3 4 3 2 6" xfId="10258"/>
    <cellStyle name="Input 2 2 3 4 3 2 7" xfId="10259"/>
    <cellStyle name="Input 2 2 3 4 3 3" xfId="10260"/>
    <cellStyle name="Input 2 2 3 4 3 4" xfId="10261"/>
    <cellStyle name="Input 2 2 3 4 3 5" xfId="10262"/>
    <cellStyle name="Input 2 2 3 4 3 6" xfId="10263"/>
    <cellStyle name="Input 2 2 3 4 3 7" xfId="10264"/>
    <cellStyle name="Input 2 2 3 4 3 8" xfId="10265"/>
    <cellStyle name="Input 2 2 3 4 4" xfId="10266"/>
    <cellStyle name="Input 2 2 3 4 4 2" xfId="10267"/>
    <cellStyle name="Input 2 2 3 4 4 2 2" xfId="10268"/>
    <cellStyle name="Input 2 2 3 4 4 2 3" xfId="10269"/>
    <cellStyle name="Input 2 2 3 4 4 2 4" xfId="10270"/>
    <cellStyle name="Input 2 2 3 4 4 2 5" xfId="10271"/>
    <cellStyle name="Input 2 2 3 4 4 2 6" xfId="10272"/>
    <cellStyle name="Input 2 2 3 4 4 2 7" xfId="10273"/>
    <cellStyle name="Input 2 2 3 4 4 3" xfId="10274"/>
    <cellStyle name="Input 2 2 3 4 4 4" xfId="10275"/>
    <cellStyle name="Input 2 2 3 4 4 5" xfId="10276"/>
    <cellStyle name="Input 2 2 3 4 4 6" xfId="10277"/>
    <cellStyle name="Input 2 2 3 4 4 7" xfId="10278"/>
    <cellStyle name="Input 2 2 3 4 4 8" xfId="10279"/>
    <cellStyle name="Input 2 2 3 4 5" xfId="10280"/>
    <cellStyle name="Input 2 2 3 4 5 2" xfId="10281"/>
    <cellStyle name="Input 2 2 3 4 5 3" xfId="10282"/>
    <cellStyle name="Input 2 2 3 4 5 4" xfId="10283"/>
    <cellStyle name="Input 2 2 3 4 5 5" xfId="10284"/>
    <cellStyle name="Input 2 2 3 4 5 6" xfId="10285"/>
    <cellStyle name="Input 2 2 3 4 5 7" xfId="10286"/>
    <cellStyle name="Input 2 2 3 4 6" xfId="10287"/>
    <cellStyle name="Input 2 2 3 4 7" xfId="10288"/>
    <cellStyle name="Input 2 2 3 4 8" xfId="10289"/>
    <cellStyle name="Input 2 2 3 4 9" xfId="10290"/>
    <cellStyle name="Input 2 2 3 5" xfId="10291"/>
    <cellStyle name="Input 2 2 3 5 2" xfId="10292"/>
    <cellStyle name="Input 2 2 3 5 2 2" xfId="10293"/>
    <cellStyle name="Input 2 2 3 5 2 2 2" xfId="10294"/>
    <cellStyle name="Input 2 2 3 5 2 2 3" xfId="10295"/>
    <cellStyle name="Input 2 2 3 5 2 2 4" xfId="10296"/>
    <cellStyle name="Input 2 2 3 5 2 2 5" xfId="10297"/>
    <cellStyle name="Input 2 2 3 5 2 2 6" xfId="10298"/>
    <cellStyle name="Input 2 2 3 5 2 2 7" xfId="10299"/>
    <cellStyle name="Input 2 2 3 5 2 3" xfId="10300"/>
    <cellStyle name="Input 2 2 3 5 2 4" xfId="10301"/>
    <cellStyle name="Input 2 2 3 5 2 5" xfId="10302"/>
    <cellStyle name="Input 2 2 3 5 2 6" xfId="10303"/>
    <cellStyle name="Input 2 2 3 5 2 7" xfId="10304"/>
    <cellStyle name="Input 2 2 3 5 2 8" xfId="10305"/>
    <cellStyle name="Input 2 2 3 5 3" xfId="10306"/>
    <cellStyle name="Input 2 2 3 5 3 2" xfId="10307"/>
    <cellStyle name="Input 2 2 3 5 3 2 2" xfId="10308"/>
    <cellStyle name="Input 2 2 3 5 3 2 3" xfId="10309"/>
    <cellStyle name="Input 2 2 3 5 3 2 4" xfId="10310"/>
    <cellStyle name="Input 2 2 3 5 3 2 5" xfId="10311"/>
    <cellStyle name="Input 2 2 3 5 3 2 6" xfId="10312"/>
    <cellStyle name="Input 2 2 3 5 3 2 7" xfId="10313"/>
    <cellStyle name="Input 2 2 3 5 3 3" xfId="10314"/>
    <cellStyle name="Input 2 2 3 5 3 4" xfId="10315"/>
    <cellStyle name="Input 2 2 3 5 3 5" xfId="10316"/>
    <cellStyle name="Input 2 2 3 5 3 6" xfId="10317"/>
    <cellStyle name="Input 2 2 3 5 3 7" xfId="10318"/>
    <cellStyle name="Input 2 2 3 5 3 8" xfId="10319"/>
    <cellStyle name="Input 2 2 3 5 4" xfId="10320"/>
    <cellStyle name="Input 2 2 3 5 4 2" xfId="10321"/>
    <cellStyle name="Input 2 2 3 5 4 2 2" xfId="10322"/>
    <cellStyle name="Input 2 2 3 5 4 2 3" xfId="10323"/>
    <cellStyle name="Input 2 2 3 5 4 2 4" xfId="10324"/>
    <cellStyle name="Input 2 2 3 5 4 2 5" xfId="10325"/>
    <cellStyle name="Input 2 2 3 5 4 2 6" xfId="10326"/>
    <cellStyle name="Input 2 2 3 5 4 2 7" xfId="10327"/>
    <cellStyle name="Input 2 2 3 5 4 3" xfId="10328"/>
    <cellStyle name="Input 2 2 3 5 4 4" xfId="10329"/>
    <cellStyle name="Input 2 2 3 5 4 5" xfId="10330"/>
    <cellStyle name="Input 2 2 3 5 4 6" xfId="10331"/>
    <cellStyle name="Input 2 2 3 5 4 7" xfId="10332"/>
    <cellStyle name="Input 2 2 3 5 4 8" xfId="10333"/>
    <cellStyle name="Input 2 2 3 5 5" xfId="10334"/>
    <cellStyle name="Input 2 2 3 5 5 2" xfId="10335"/>
    <cellStyle name="Input 2 2 3 5 5 3" xfId="10336"/>
    <cellStyle name="Input 2 2 3 5 5 4" xfId="10337"/>
    <cellStyle name="Input 2 2 3 5 5 5" xfId="10338"/>
    <cellStyle name="Input 2 2 3 5 5 6" xfId="10339"/>
    <cellStyle name="Input 2 2 3 5 5 7" xfId="10340"/>
    <cellStyle name="Input 2 2 3 5 6" xfId="10341"/>
    <cellStyle name="Input 2 2 3 5 7" xfId="10342"/>
    <cellStyle name="Input 2 2 3 5 8" xfId="10343"/>
    <cellStyle name="Input 2 2 3 5 9" xfId="10344"/>
    <cellStyle name="Input 2 2 3 6" xfId="10345"/>
    <cellStyle name="Input 2 2 3 6 2" xfId="10346"/>
    <cellStyle name="Input 2 2 3 6 2 2" xfId="10347"/>
    <cellStyle name="Input 2 2 3 6 2 3" xfId="10348"/>
    <cellStyle name="Input 2 2 3 6 2 4" xfId="10349"/>
    <cellStyle name="Input 2 2 3 6 2 5" xfId="10350"/>
    <cellStyle name="Input 2 2 3 6 2 6" xfId="10351"/>
    <cellStyle name="Input 2 2 3 6 2 7" xfId="10352"/>
    <cellStyle name="Input 2 2 3 6 3" xfId="10353"/>
    <cellStyle name="Input 2 2 3 6 4" xfId="10354"/>
    <cellStyle name="Input 2 2 3 6 5" xfId="10355"/>
    <cellStyle name="Input 2 2 3 6 6" xfId="10356"/>
    <cellStyle name="Input 2 2 3 6 7" xfId="10357"/>
    <cellStyle name="Input 2 2 3 6 8" xfId="10358"/>
    <cellStyle name="Input 2 2 3 7" xfId="10359"/>
    <cellStyle name="Input 2 2 3 7 2" xfId="10360"/>
    <cellStyle name="Input 2 2 3 7 2 2" xfId="10361"/>
    <cellStyle name="Input 2 2 3 7 2 3" xfId="10362"/>
    <cellStyle name="Input 2 2 3 7 2 4" xfId="10363"/>
    <cellStyle name="Input 2 2 3 7 2 5" xfId="10364"/>
    <cellStyle name="Input 2 2 3 7 2 6" xfId="10365"/>
    <cellStyle name="Input 2 2 3 7 2 7" xfId="10366"/>
    <cellStyle name="Input 2 2 3 7 3" xfId="10367"/>
    <cellStyle name="Input 2 2 3 7 4" xfId="10368"/>
    <cellStyle name="Input 2 2 3 7 5" xfId="10369"/>
    <cellStyle name="Input 2 2 3 7 6" xfId="10370"/>
    <cellStyle name="Input 2 2 3 7 7" xfId="10371"/>
    <cellStyle name="Input 2 2 3 7 8" xfId="10372"/>
    <cellStyle name="Input 2 2 3 8" xfId="10373"/>
    <cellStyle name="Input 2 2 3 8 2" xfId="10374"/>
    <cellStyle name="Input 2 2 3 8 2 2" xfId="10375"/>
    <cellStyle name="Input 2 2 3 8 2 3" xfId="10376"/>
    <cellStyle name="Input 2 2 3 8 2 4" xfId="10377"/>
    <cellStyle name="Input 2 2 3 8 2 5" xfId="10378"/>
    <cellStyle name="Input 2 2 3 8 2 6" xfId="10379"/>
    <cellStyle name="Input 2 2 3 8 2 7" xfId="10380"/>
    <cellStyle name="Input 2 2 3 8 3" xfId="10381"/>
    <cellStyle name="Input 2 2 3 8 4" xfId="10382"/>
    <cellStyle name="Input 2 2 3 8 5" xfId="10383"/>
    <cellStyle name="Input 2 2 3 8 6" xfId="10384"/>
    <cellStyle name="Input 2 2 3 8 7" xfId="10385"/>
    <cellStyle name="Input 2 2 3 8 8" xfId="10386"/>
    <cellStyle name="Input 2 2 3 9" xfId="10387"/>
    <cellStyle name="Input 2 2 3 9 2" xfId="10388"/>
    <cellStyle name="Input 2 2 3 9 3" xfId="10389"/>
    <cellStyle name="Input 2 2 3 9 4" xfId="10390"/>
    <cellStyle name="Input 2 2 3 9 5" xfId="10391"/>
    <cellStyle name="Input 2 2 3 9 6" xfId="10392"/>
    <cellStyle name="Input 2 2 3 9 7" xfId="10393"/>
    <cellStyle name="Input 2 2 4" xfId="10394"/>
    <cellStyle name="Input 2 2 4 10" xfId="10395"/>
    <cellStyle name="Input 2 2 4 11" xfId="10396"/>
    <cellStyle name="Input 2 2 4 2" xfId="10397"/>
    <cellStyle name="Input 2 2 4 2 2" xfId="10398"/>
    <cellStyle name="Input 2 2 4 2 2 2" xfId="10399"/>
    <cellStyle name="Input 2 2 4 2 2 3" xfId="10400"/>
    <cellStyle name="Input 2 2 4 2 2 4" xfId="10401"/>
    <cellStyle name="Input 2 2 4 2 2 5" xfId="10402"/>
    <cellStyle name="Input 2 2 4 2 2 6" xfId="10403"/>
    <cellStyle name="Input 2 2 4 2 2 7" xfId="10404"/>
    <cellStyle name="Input 2 2 4 2 3" xfId="10405"/>
    <cellStyle name="Input 2 2 4 2 4" xfId="10406"/>
    <cellStyle name="Input 2 2 4 2 5" xfId="10407"/>
    <cellStyle name="Input 2 2 4 2 6" xfId="10408"/>
    <cellStyle name="Input 2 2 4 2 7" xfId="10409"/>
    <cellStyle name="Input 2 2 4 2 8" xfId="10410"/>
    <cellStyle name="Input 2 2 4 3" xfId="10411"/>
    <cellStyle name="Input 2 2 4 3 2" xfId="10412"/>
    <cellStyle name="Input 2 2 4 3 2 2" xfId="10413"/>
    <cellStyle name="Input 2 2 4 3 2 3" xfId="10414"/>
    <cellStyle name="Input 2 2 4 3 2 4" xfId="10415"/>
    <cellStyle name="Input 2 2 4 3 2 5" xfId="10416"/>
    <cellStyle name="Input 2 2 4 3 2 6" xfId="10417"/>
    <cellStyle name="Input 2 2 4 3 2 7" xfId="10418"/>
    <cellStyle name="Input 2 2 4 3 3" xfId="10419"/>
    <cellStyle name="Input 2 2 4 3 4" xfId="10420"/>
    <cellStyle name="Input 2 2 4 3 5" xfId="10421"/>
    <cellStyle name="Input 2 2 4 3 6" xfId="10422"/>
    <cellStyle name="Input 2 2 4 3 7" xfId="10423"/>
    <cellStyle name="Input 2 2 4 3 8" xfId="10424"/>
    <cellStyle name="Input 2 2 4 4" xfId="10425"/>
    <cellStyle name="Input 2 2 4 4 2" xfId="10426"/>
    <cellStyle name="Input 2 2 4 4 2 2" xfId="10427"/>
    <cellStyle name="Input 2 2 4 4 2 3" xfId="10428"/>
    <cellStyle name="Input 2 2 4 4 2 4" xfId="10429"/>
    <cellStyle name="Input 2 2 4 4 2 5" xfId="10430"/>
    <cellStyle name="Input 2 2 4 4 2 6" xfId="10431"/>
    <cellStyle name="Input 2 2 4 4 2 7" xfId="10432"/>
    <cellStyle name="Input 2 2 4 4 3" xfId="10433"/>
    <cellStyle name="Input 2 2 4 4 4" xfId="10434"/>
    <cellStyle name="Input 2 2 4 4 5" xfId="10435"/>
    <cellStyle name="Input 2 2 4 4 6" xfId="10436"/>
    <cellStyle name="Input 2 2 4 4 7" xfId="10437"/>
    <cellStyle name="Input 2 2 4 4 8" xfId="10438"/>
    <cellStyle name="Input 2 2 4 5" xfId="10439"/>
    <cellStyle name="Input 2 2 4 5 2" xfId="10440"/>
    <cellStyle name="Input 2 2 4 5 3" xfId="10441"/>
    <cellStyle name="Input 2 2 4 5 4" xfId="10442"/>
    <cellStyle name="Input 2 2 4 5 5" xfId="10443"/>
    <cellStyle name="Input 2 2 4 5 6" xfId="10444"/>
    <cellStyle name="Input 2 2 4 5 7" xfId="10445"/>
    <cellStyle name="Input 2 2 4 6" xfId="10446"/>
    <cellStyle name="Input 2 2 4 7" xfId="10447"/>
    <cellStyle name="Input 2 2 4 8" xfId="10448"/>
    <cellStyle name="Input 2 2 4 9" xfId="10449"/>
    <cellStyle name="Input 2 2 5" xfId="10450"/>
    <cellStyle name="Input 2 2 5 2" xfId="10451"/>
    <cellStyle name="Input 2 2 5 2 2" xfId="10452"/>
    <cellStyle name="Input 2 2 5 2 3" xfId="10453"/>
    <cellStyle name="Input 2 2 5 2 4" xfId="10454"/>
    <cellStyle name="Input 2 2 5 2 5" xfId="10455"/>
    <cellStyle name="Input 2 2 5 2 6" xfId="10456"/>
    <cellStyle name="Input 2 2 5 2 7" xfId="10457"/>
    <cellStyle name="Input 2 2 5 3" xfId="10458"/>
    <cellStyle name="Input 2 2 5 4" xfId="10459"/>
    <cellStyle name="Input 2 2 5 5" xfId="10460"/>
    <cellStyle name="Input 2 2 5 6" xfId="10461"/>
    <cellStyle name="Input 2 2 5 7" xfId="10462"/>
    <cellStyle name="Input 2 2 5 8" xfId="10463"/>
    <cellStyle name="Input 2 2 6" xfId="10464"/>
    <cellStyle name="Input 2 2 6 2" xfId="10465"/>
    <cellStyle name="Input 2 2 6 2 2" xfId="10466"/>
    <cellStyle name="Input 2 2 6 2 3" xfId="10467"/>
    <cellStyle name="Input 2 2 6 2 4" xfId="10468"/>
    <cellStyle name="Input 2 2 6 2 5" xfId="10469"/>
    <cellStyle name="Input 2 2 6 2 6" xfId="10470"/>
    <cellStyle name="Input 2 2 6 2 7" xfId="10471"/>
    <cellStyle name="Input 2 2 6 3" xfId="10472"/>
    <cellStyle name="Input 2 2 6 4" xfId="10473"/>
    <cellStyle name="Input 2 2 6 5" xfId="10474"/>
    <cellStyle name="Input 2 2 6 6" xfId="10475"/>
    <cellStyle name="Input 2 2 6 7" xfId="10476"/>
    <cellStyle name="Input 2 2 6 8" xfId="10477"/>
    <cellStyle name="Input 2 2 7" xfId="10478"/>
    <cellStyle name="Input 2 2 7 2" xfId="10479"/>
    <cellStyle name="Input 2 2 7 2 2" xfId="10480"/>
    <cellStyle name="Input 2 2 7 2 3" xfId="10481"/>
    <cellStyle name="Input 2 2 7 2 4" xfId="10482"/>
    <cellStyle name="Input 2 2 7 2 5" xfId="10483"/>
    <cellStyle name="Input 2 2 7 2 6" xfId="10484"/>
    <cellStyle name="Input 2 2 7 2 7" xfId="10485"/>
    <cellStyle name="Input 2 2 7 3" xfId="10486"/>
    <cellStyle name="Input 2 2 7 4" xfId="10487"/>
    <cellStyle name="Input 2 2 7 5" xfId="10488"/>
    <cellStyle name="Input 2 2 7 6" xfId="10489"/>
    <cellStyle name="Input 2 2 7 7" xfId="10490"/>
    <cellStyle name="Input 2 2 7 8" xfId="10491"/>
    <cellStyle name="Input 2 2 8" xfId="10492"/>
    <cellStyle name="Input 2 2 8 2" xfId="10493"/>
    <cellStyle name="Input 2 2 8 3" xfId="10494"/>
    <cellStyle name="Input 2 2 8 4" xfId="10495"/>
    <cellStyle name="Input 2 2 8 5" xfId="10496"/>
    <cellStyle name="Input 2 2 8 6" xfId="10497"/>
    <cellStyle name="Input 2 2 8 7" xfId="10498"/>
    <cellStyle name="Input 2 2 9" xfId="10499"/>
    <cellStyle name="Input 2 3" xfId="765"/>
    <cellStyle name="Input 2 3 10" xfId="10500"/>
    <cellStyle name="Input 2 3 11" xfId="10501"/>
    <cellStyle name="Input 2 3 2" xfId="10502"/>
    <cellStyle name="Input 2 3 2 10" xfId="10503"/>
    <cellStyle name="Input 2 3 2 11" xfId="10504"/>
    <cellStyle name="Input 2 3 2 12" xfId="10505"/>
    <cellStyle name="Input 2 3 2 13" xfId="10506"/>
    <cellStyle name="Input 2 3 2 2" xfId="10507"/>
    <cellStyle name="Input 2 3 2 2 2" xfId="10508"/>
    <cellStyle name="Input 2 3 2 2 2 2" xfId="10509"/>
    <cellStyle name="Input 2 3 2 2 2 2 2" xfId="10510"/>
    <cellStyle name="Input 2 3 2 2 2 2 3" xfId="10511"/>
    <cellStyle name="Input 2 3 2 2 2 2 4" xfId="10512"/>
    <cellStyle name="Input 2 3 2 2 2 2 5" xfId="10513"/>
    <cellStyle name="Input 2 3 2 2 2 2 6" xfId="10514"/>
    <cellStyle name="Input 2 3 2 2 2 2 7" xfId="10515"/>
    <cellStyle name="Input 2 3 2 2 2 3" xfId="10516"/>
    <cellStyle name="Input 2 3 2 2 2 4" xfId="10517"/>
    <cellStyle name="Input 2 3 2 2 2 5" xfId="10518"/>
    <cellStyle name="Input 2 3 2 2 2 6" xfId="10519"/>
    <cellStyle name="Input 2 3 2 2 2 7" xfId="10520"/>
    <cellStyle name="Input 2 3 2 2 2 8" xfId="10521"/>
    <cellStyle name="Input 2 3 2 2 3" xfId="10522"/>
    <cellStyle name="Input 2 3 2 2 3 2" xfId="10523"/>
    <cellStyle name="Input 2 3 2 2 3 2 2" xfId="10524"/>
    <cellStyle name="Input 2 3 2 2 3 2 3" xfId="10525"/>
    <cellStyle name="Input 2 3 2 2 3 2 4" xfId="10526"/>
    <cellStyle name="Input 2 3 2 2 3 2 5" xfId="10527"/>
    <cellStyle name="Input 2 3 2 2 3 2 6" xfId="10528"/>
    <cellStyle name="Input 2 3 2 2 3 2 7" xfId="10529"/>
    <cellStyle name="Input 2 3 2 2 3 3" xfId="10530"/>
    <cellStyle name="Input 2 3 2 2 3 4" xfId="10531"/>
    <cellStyle name="Input 2 3 2 2 3 5" xfId="10532"/>
    <cellStyle name="Input 2 3 2 2 3 6" xfId="10533"/>
    <cellStyle name="Input 2 3 2 2 3 7" xfId="10534"/>
    <cellStyle name="Input 2 3 2 2 3 8" xfId="10535"/>
    <cellStyle name="Input 2 3 2 2 4" xfId="10536"/>
    <cellStyle name="Input 2 3 2 2 4 2" xfId="10537"/>
    <cellStyle name="Input 2 3 2 2 4 2 2" xfId="10538"/>
    <cellStyle name="Input 2 3 2 2 4 2 3" xfId="10539"/>
    <cellStyle name="Input 2 3 2 2 4 2 4" xfId="10540"/>
    <cellStyle name="Input 2 3 2 2 4 2 5" xfId="10541"/>
    <cellStyle name="Input 2 3 2 2 4 2 6" xfId="10542"/>
    <cellStyle name="Input 2 3 2 2 4 2 7" xfId="10543"/>
    <cellStyle name="Input 2 3 2 2 4 3" xfId="10544"/>
    <cellStyle name="Input 2 3 2 2 4 4" xfId="10545"/>
    <cellStyle name="Input 2 3 2 2 4 5" xfId="10546"/>
    <cellStyle name="Input 2 3 2 2 4 6" xfId="10547"/>
    <cellStyle name="Input 2 3 2 2 4 7" xfId="10548"/>
    <cellStyle name="Input 2 3 2 2 4 8" xfId="10549"/>
    <cellStyle name="Input 2 3 2 2 5" xfId="10550"/>
    <cellStyle name="Input 2 3 2 2 5 2" xfId="10551"/>
    <cellStyle name="Input 2 3 2 2 5 3" xfId="10552"/>
    <cellStyle name="Input 2 3 2 2 5 4" xfId="10553"/>
    <cellStyle name="Input 2 3 2 2 5 5" xfId="10554"/>
    <cellStyle name="Input 2 3 2 2 5 6" xfId="10555"/>
    <cellStyle name="Input 2 3 2 2 5 7" xfId="10556"/>
    <cellStyle name="Input 2 3 2 2 6" xfId="10557"/>
    <cellStyle name="Input 2 3 2 2 7" xfId="10558"/>
    <cellStyle name="Input 2 3 2 2 8" xfId="10559"/>
    <cellStyle name="Input 2 3 2 2 9" xfId="10560"/>
    <cellStyle name="Input 2 3 2 3" xfId="10561"/>
    <cellStyle name="Input 2 3 2 3 2" xfId="10562"/>
    <cellStyle name="Input 2 3 2 3 2 2" xfId="10563"/>
    <cellStyle name="Input 2 3 2 3 2 2 2" xfId="10564"/>
    <cellStyle name="Input 2 3 2 3 2 2 3" xfId="10565"/>
    <cellStyle name="Input 2 3 2 3 2 2 4" xfId="10566"/>
    <cellStyle name="Input 2 3 2 3 2 2 5" xfId="10567"/>
    <cellStyle name="Input 2 3 2 3 2 2 6" xfId="10568"/>
    <cellStyle name="Input 2 3 2 3 2 2 7" xfId="10569"/>
    <cellStyle name="Input 2 3 2 3 2 3" xfId="10570"/>
    <cellStyle name="Input 2 3 2 3 2 4" xfId="10571"/>
    <cellStyle name="Input 2 3 2 3 2 5" xfId="10572"/>
    <cellStyle name="Input 2 3 2 3 2 6" xfId="10573"/>
    <cellStyle name="Input 2 3 2 3 2 7" xfId="10574"/>
    <cellStyle name="Input 2 3 2 3 2 8" xfId="10575"/>
    <cellStyle name="Input 2 3 2 3 3" xfId="10576"/>
    <cellStyle name="Input 2 3 2 3 3 2" xfId="10577"/>
    <cellStyle name="Input 2 3 2 3 3 2 2" xfId="10578"/>
    <cellStyle name="Input 2 3 2 3 3 2 3" xfId="10579"/>
    <cellStyle name="Input 2 3 2 3 3 2 4" xfId="10580"/>
    <cellStyle name="Input 2 3 2 3 3 2 5" xfId="10581"/>
    <cellStyle name="Input 2 3 2 3 3 2 6" xfId="10582"/>
    <cellStyle name="Input 2 3 2 3 3 2 7" xfId="10583"/>
    <cellStyle name="Input 2 3 2 3 3 3" xfId="10584"/>
    <cellStyle name="Input 2 3 2 3 3 4" xfId="10585"/>
    <cellStyle name="Input 2 3 2 3 3 5" xfId="10586"/>
    <cellStyle name="Input 2 3 2 3 3 6" xfId="10587"/>
    <cellStyle name="Input 2 3 2 3 3 7" xfId="10588"/>
    <cellStyle name="Input 2 3 2 3 3 8" xfId="10589"/>
    <cellStyle name="Input 2 3 2 3 4" xfId="10590"/>
    <cellStyle name="Input 2 3 2 3 4 2" xfId="10591"/>
    <cellStyle name="Input 2 3 2 3 4 2 2" xfId="10592"/>
    <cellStyle name="Input 2 3 2 3 4 2 3" xfId="10593"/>
    <cellStyle name="Input 2 3 2 3 4 2 4" xfId="10594"/>
    <cellStyle name="Input 2 3 2 3 4 2 5" xfId="10595"/>
    <cellStyle name="Input 2 3 2 3 4 2 6" xfId="10596"/>
    <cellStyle name="Input 2 3 2 3 4 2 7" xfId="10597"/>
    <cellStyle name="Input 2 3 2 3 4 3" xfId="10598"/>
    <cellStyle name="Input 2 3 2 3 4 4" xfId="10599"/>
    <cellStyle name="Input 2 3 2 3 4 5" xfId="10600"/>
    <cellStyle name="Input 2 3 2 3 4 6" xfId="10601"/>
    <cellStyle name="Input 2 3 2 3 4 7" xfId="10602"/>
    <cellStyle name="Input 2 3 2 3 4 8" xfId="10603"/>
    <cellStyle name="Input 2 3 2 3 5" xfId="10604"/>
    <cellStyle name="Input 2 3 2 3 5 2" xfId="10605"/>
    <cellStyle name="Input 2 3 2 3 5 3" xfId="10606"/>
    <cellStyle name="Input 2 3 2 3 5 4" xfId="10607"/>
    <cellStyle name="Input 2 3 2 3 5 5" xfId="10608"/>
    <cellStyle name="Input 2 3 2 3 5 6" xfId="10609"/>
    <cellStyle name="Input 2 3 2 3 5 7" xfId="10610"/>
    <cellStyle name="Input 2 3 2 3 6" xfId="10611"/>
    <cellStyle name="Input 2 3 2 3 7" xfId="10612"/>
    <cellStyle name="Input 2 3 2 3 8" xfId="10613"/>
    <cellStyle name="Input 2 3 2 3 9" xfId="10614"/>
    <cellStyle name="Input 2 3 2 4" xfId="10615"/>
    <cellStyle name="Input 2 3 2 4 2" xfId="10616"/>
    <cellStyle name="Input 2 3 2 4 2 2" xfId="10617"/>
    <cellStyle name="Input 2 3 2 4 2 2 2" xfId="10618"/>
    <cellStyle name="Input 2 3 2 4 2 2 3" xfId="10619"/>
    <cellStyle name="Input 2 3 2 4 2 2 4" xfId="10620"/>
    <cellStyle name="Input 2 3 2 4 2 2 5" xfId="10621"/>
    <cellStyle name="Input 2 3 2 4 2 2 6" xfId="10622"/>
    <cellStyle name="Input 2 3 2 4 2 2 7" xfId="10623"/>
    <cellStyle name="Input 2 3 2 4 2 3" xfId="10624"/>
    <cellStyle name="Input 2 3 2 4 2 4" xfId="10625"/>
    <cellStyle name="Input 2 3 2 4 2 5" xfId="10626"/>
    <cellStyle name="Input 2 3 2 4 2 6" xfId="10627"/>
    <cellStyle name="Input 2 3 2 4 2 7" xfId="10628"/>
    <cellStyle name="Input 2 3 2 4 2 8" xfId="10629"/>
    <cellStyle name="Input 2 3 2 4 3" xfId="10630"/>
    <cellStyle name="Input 2 3 2 4 3 2" xfId="10631"/>
    <cellStyle name="Input 2 3 2 4 3 2 2" xfId="10632"/>
    <cellStyle name="Input 2 3 2 4 3 2 3" xfId="10633"/>
    <cellStyle name="Input 2 3 2 4 3 2 4" xfId="10634"/>
    <cellStyle name="Input 2 3 2 4 3 2 5" xfId="10635"/>
    <cellStyle name="Input 2 3 2 4 3 2 6" xfId="10636"/>
    <cellStyle name="Input 2 3 2 4 3 2 7" xfId="10637"/>
    <cellStyle name="Input 2 3 2 4 3 3" xfId="10638"/>
    <cellStyle name="Input 2 3 2 4 3 4" xfId="10639"/>
    <cellStyle name="Input 2 3 2 4 3 5" xfId="10640"/>
    <cellStyle name="Input 2 3 2 4 3 6" xfId="10641"/>
    <cellStyle name="Input 2 3 2 4 3 7" xfId="10642"/>
    <cellStyle name="Input 2 3 2 4 3 8" xfId="10643"/>
    <cellStyle name="Input 2 3 2 4 4" xfId="10644"/>
    <cellStyle name="Input 2 3 2 4 4 2" xfId="10645"/>
    <cellStyle name="Input 2 3 2 4 4 2 2" xfId="10646"/>
    <cellStyle name="Input 2 3 2 4 4 2 3" xfId="10647"/>
    <cellStyle name="Input 2 3 2 4 4 2 4" xfId="10648"/>
    <cellStyle name="Input 2 3 2 4 4 2 5" xfId="10649"/>
    <cellStyle name="Input 2 3 2 4 4 2 6" xfId="10650"/>
    <cellStyle name="Input 2 3 2 4 4 2 7" xfId="10651"/>
    <cellStyle name="Input 2 3 2 4 4 3" xfId="10652"/>
    <cellStyle name="Input 2 3 2 4 4 4" xfId="10653"/>
    <cellStyle name="Input 2 3 2 4 4 5" xfId="10654"/>
    <cellStyle name="Input 2 3 2 4 4 6" xfId="10655"/>
    <cellStyle name="Input 2 3 2 4 4 7" xfId="10656"/>
    <cellStyle name="Input 2 3 2 4 4 8" xfId="10657"/>
    <cellStyle name="Input 2 3 2 4 5" xfId="10658"/>
    <cellStyle name="Input 2 3 2 4 5 2" xfId="10659"/>
    <cellStyle name="Input 2 3 2 4 5 3" xfId="10660"/>
    <cellStyle name="Input 2 3 2 4 5 4" xfId="10661"/>
    <cellStyle name="Input 2 3 2 4 5 5" xfId="10662"/>
    <cellStyle name="Input 2 3 2 4 5 6" xfId="10663"/>
    <cellStyle name="Input 2 3 2 4 5 7" xfId="10664"/>
    <cellStyle name="Input 2 3 2 4 6" xfId="10665"/>
    <cellStyle name="Input 2 3 2 4 7" xfId="10666"/>
    <cellStyle name="Input 2 3 2 4 8" xfId="10667"/>
    <cellStyle name="Input 2 3 2 4 9" xfId="10668"/>
    <cellStyle name="Input 2 3 2 5" xfId="10669"/>
    <cellStyle name="Input 2 3 2 5 2" xfId="10670"/>
    <cellStyle name="Input 2 3 2 5 2 2" xfId="10671"/>
    <cellStyle name="Input 2 3 2 5 2 2 2" xfId="10672"/>
    <cellStyle name="Input 2 3 2 5 2 2 3" xfId="10673"/>
    <cellStyle name="Input 2 3 2 5 2 2 4" xfId="10674"/>
    <cellStyle name="Input 2 3 2 5 2 2 5" xfId="10675"/>
    <cellStyle name="Input 2 3 2 5 2 2 6" xfId="10676"/>
    <cellStyle name="Input 2 3 2 5 2 2 7" xfId="10677"/>
    <cellStyle name="Input 2 3 2 5 2 3" xfId="10678"/>
    <cellStyle name="Input 2 3 2 5 2 4" xfId="10679"/>
    <cellStyle name="Input 2 3 2 5 2 5" xfId="10680"/>
    <cellStyle name="Input 2 3 2 5 2 6" xfId="10681"/>
    <cellStyle name="Input 2 3 2 5 2 7" xfId="10682"/>
    <cellStyle name="Input 2 3 2 5 2 8" xfId="10683"/>
    <cellStyle name="Input 2 3 2 5 3" xfId="10684"/>
    <cellStyle name="Input 2 3 2 5 3 2" xfId="10685"/>
    <cellStyle name="Input 2 3 2 5 3 2 2" xfId="10686"/>
    <cellStyle name="Input 2 3 2 5 3 2 3" xfId="10687"/>
    <cellStyle name="Input 2 3 2 5 3 2 4" xfId="10688"/>
    <cellStyle name="Input 2 3 2 5 3 2 5" xfId="10689"/>
    <cellStyle name="Input 2 3 2 5 3 2 6" xfId="10690"/>
    <cellStyle name="Input 2 3 2 5 3 2 7" xfId="10691"/>
    <cellStyle name="Input 2 3 2 5 3 3" xfId="10692"/>
    <cellStyle name="Input 2 3 2 5 3 4" xfId="10693"/>
    <cellStyle name="Input 2 3 2 5 3 5" xfId="10694"/>
    <cellStyle name="Input 2 3 2 5 3 6" xfId="10695"/>
    <cellStyle name="Input 2 3 2 5 3 7" xfId="10696"/>
    <cellStyle name="Input 2 3 2 5 3 8" xfId="10697"/>
    <cellStyle name="Input 2 3 2 5 4" xfId="10698"/>
    <cellStyle name="Input 2 3 2 5 4 2" xfId="10699"/>
    <cellStyle name="Input 2 3 2 5 4 2 2" xfId="10700"/>
    <cellStyle name="Input 2 3 2 5 4 2 3" xfId="10701"/>
    <cellStyle name="Input 2 3 2 5 4 2 4" xfId="10702"/>
    <cellStyle name="Input 2 3 2 5 4 2 5" xfId="10703"/>
    <cellStyle name="Input 2 3 2 5 4 2 6" xfId="10704"/>
    <cellStyle name="Input 2 3 2 5 4 2 7" xfId="10705"/>
    <cellStyle name="Input 2 3 2 5 4 3" xfId="10706"/>
    <cellStyle name="Input 2 3 2 5 4 4" xfId="10707"/>
    <cellStyle name="Input 2 3 2 5 4 5" xfId="10708"/>
    <cellStyle name="Input 2 3 2 5 4 6" xfId="10709"/>
    <cellStyle name="Input 2 3 2 5 4 7" xfId="10710"/>
    <cellStyle name="Input 2 3 2 5 4 8" xfId="10711"/>
    <cellStyle name="Input 2 3 2 5 5" xfId="10712"/>
    <cellStyle name="Input 2 3 2 5 5 2" xfId="10713"/>
    <cellStyle name="Input 2 3 2 5 5 3" xfId="10714"/>
    <cellStyle name="Input 2 3 2 5 5 4" xfId="10715"/>
    <cellStyle name="Input 2 3 2 5 5 5" xfId="10716"/>
    <cellStyle name="Input 2 3 2 5 5 6" xfId="10717"/>
    <cellStyle name="Input 2 3 2 5 5 7" xfId="10718"/>
    <cellStyle name="Input 2 3 2 5 6" xfId="10719"/>
    <cellStyle name="Input 2 3 2 5 7" xfId="10720"/>
    <cellStyle name="Input 2 3 2 5 8" xfId="10721"/>
    <cellStyle name="Input 2 3 2 5 9" xfId="10722"/>
    <cellStyle name="Input 2 3 2 6" xfId="10723"/>
    <cellStyle name="Input 2 3 2 6 2" xfId="10724"/>
    <cellStyle name="Input 2 3 2 6 2 2" xfId="10725"/>
    <cellStyle name="Input 2 3 2 6 2 3" xfId="10726"/>
    <cellStyle name="Input 2 3 2 6 2 4" xfId="10727"/>
    <cellStyle name="Input 2 3 2 6 2 5" xfId="10728"/>
    <cellStyle name="Input 2 3 2 6 2 6" xfId="10729"/>
    <cellStyle name="Input 2 3 2 6 2 7" xfId="10730"/>
    <cellStyle name="Input 2 3 2 6 3" xfId="10731"/>
    <cellStyle name="Input 2 3 2 6 4" xfId="10732"/>
    <cellStyle name="Input 2 3 2 6 5" xfId="10733"/>
    <cellStyle name="Input 2 3 2 6 6" xfId="10734"/>
    <cellStyle name="Input 2 3 2 6 7" xfId="10735"/>
    <cellStyle name="Input 2 3 2 6 8" xfId="10736"/>
    <cellStyle name="Input 2 3 2 7" xfId="10737"/>
    <cellStyle name="Input 2 3 2 7 2" xfId="10738"/>
    <cellStyle name="Input 2 3 2 7 2 2" xfId="10739"/>
    <cellStyle name="Input 2 3 2 7 2 3" xfId="10740"/>
    <cellStyle name="Input 2 3 2 7 2 4" xfId="10741"/>
    <cellStyle name="Input 2 3 2 7 2 5" xfId="10742"/>
    <cellStyle name="Input 2 3 2 7 2 6" xfId="10743"/>
    <cellStyle name="Input 2 3 2 7 2 7" xfId="10744"/>
    <cellStyle name="Input 2 3 2 7 3" xfId="10745"/>
    <cellStyle name="Input 2 3 2 7 4" xfId="10746"/>
    <cellStyle name="Input 2 3 2 7 5" xfId="10747"/>
    <cellStyle name="Input 2 3 2 7 6" xfId="10748"/>
    <cellStyle name="Input 2 3 2 7 7" xfId="10749"/>
    <cellStyle name="Input 2 3 2 7 8" xfId="10750"/>
    <cellStyle name="Input 2 3 2 8" xfId="10751"/>
    <cellStyle name="Input 2 3 2 8 2" xfId="10752"/>
    <cellStyle name="Input 2 3 2 8 2 2" xfId="10753"/>
    <cellStyle name="Input 2 3 2 8 2 3" xfId="10754"/>
    <cellStyle name="Input 2 3 2 8 2 4" xfId="10755"/>
    <cellStyle name="Input 2 3 2 8 2 5" xfId="10756"/>
    <cellStyle name="Input 2 3 2 8 2 6" xfId="10757"/>
    <cellStyle name="Input 2 3 2 8 2 7" xfId="10758"/>
    <cellStyle name="Input 2 3 2 8 3" xfId="10759"/>
    <cellStyle name="Input 2 3 2 8 4" xfId="10760"/>
    <cellStyle name="Input 2 3 2 8 5" xfId="10761"/>
    <cellStyle name="Input 2 3 2 8 6" xfId="10762"/>
    <cellStyle name="Input 2 3 2 8 7" xfId="10763"/>
    <cellStyle name="Input 2 3 2 8 8" xfId="10764"/>
    <cellStyle name="Input 2 3 2 9" xfId="10765"/>
    <cellStyle name="Input 2 3 2 9 2" xfId="10766"/>
    <cellStyle name="Input 2 3 2 9 3" xfId="10767"/>
    <cellStyle name="Input 2 3 2 9 4" xfId="10768"/>
    <cellStyle name="Input 2 3 2 9 5" xfId="10769"/>
    <cellStyle name="Input 2 3 2 9 6" xfId="10770"/>
    <cellStyle name="Input 2 3 2 9 7" xfId="10771"/>
    <cellStyle name="Input 2 3 3" xfId="10772"/>
    <cellStyle name="Input 2 3 3 10" xfId="10773"/>
    <cellStyle name="Input 2 3 3 11" xfId="10774"/>
    <cellStyle name="Input 2 3 3 2" xfId="10775"/>
    <cellStyle name="Input 2 3 3 2 2" xfId="10776"/>
    <cellStyle name="Input 2 3 3 2 2 2" xfId="10777"/>
    <cellStyle name="Input 2 3 3 2 2 3" xfId="10778"/>
    <cellStyle name="Input 2 3 3 2 2 4" xfId="10779"/>
    <cellStyle name="Input 2 3 3 2 2 5" xfId="10780"/>
    <cellStyle name="Input 2 3 3 2 2 6" xfId="10781"/>
    <cellStyle name="Input 2 3 3 2 2 7" xfId="10782"/>
    <cellStyle name="Input 2 3 3 2 3" xfId="10783"/>
    <cellStyle name="Input 2 3 3 2 4" xfId="10784"/>
    <cellStyle name="Input 2 3 3 2 5" xfId="10785"/>
    <cellStyle name="Input 2 3 3 2 6" xfId="10786"/>
    <cellStyle name="Input 2 3 3 2 7" xfId="10787"/>
    <cellStyle name="Input 2 3 3 2 8" xfId="10788"/>
    <cellStyle name="Input 2 3 3 3" xfId="10789"/>
    <cellStyle name="Input 2 3 3 3 2" xfId="10790"/>
    <cellStyle name="Input 2 3 3 3 2 2" xfId="10791"/>
    <cellStyle name="Input 2 3 3 3 2 3" xfId="10792"/>
    <cellStyle name="Input 2 3 3 3 2 4" xfId="10793"/>
    <cellStyle name="Input 2 3 3 3 2 5" xfId="10794"/>
    <cellStyle name="Input 2 3 3 3 2 6" xfId="10795"/>
    <cellStyle name="Input 2 3 3 3 2 7" xfId="10796"/>
    <cellStyle name="Input 2 3 3 3 3" xfId="10797"/>
    <cellStyle name="Input 2 3 3 3 4" xfId="10798"/>
    <cellStyle name="Input 2 3 3 3 5" xfId="10799"/>
    <cellStyle name="Input 2 3 3 3 6" xfId="10800"/>
    <cellStyle name="Input 2 3 3 3 7" xfId="10801"/>
    <cellStyle name="Input 2 3 3 3 8" xfId="10802"/>
    <cellStyle name="Input 2 3 3 4" xfId="10803"/>
    <cellStyle name="Input 2 3 3 4 2" xfId="10804"/>
    <cellStyle name="Input 2 3 3 4 2 2" xfId="10805"/>
    <cellStyle name="Input 2 3 3 4 2 3" xfId="10806"/>
    <cellStyle name="Input 2 3 3 4 2 4" xfId="10807"/>
    <cellStyle name="Input 2 3 3 4 2 5" xfId="10808"/>
    <cellStyle name="Input 2 3 3 4 2 6" xfId="10809"/>
    <cellStyle name="Input 2 3 3 4 2 7" xfId="10810"/>
    <cellStyle name="Input 2 3 3 4 3" xfId="10811"/>
    <cellStyle name="Input 2 3 3 4 4" xfId="10812"/>
    <cellStyle name="Input 2 3 3 4 5" xfId="10813"/>
    <cellStyle name="Input 2 3 3 4 6" xfId="10814"/>
    <cellStyle name="Input 2 3 3 4 7" xfId="10815"/>
    <cellStyle name="Input 2 3 3 4 8" xfId="10816"/>
    <cellStyle name="Input 2 3 3 5" xfId="10817"/>
    <cellStyle name="Input 2 3 3 5 2" xfId="10818"/>
    <cellStyle name="Input 2 3 3 5 3" xfId="10819"/>
    <cellStyle name="Input 2 3 3 5 4" xfId="10820"/>
    <cellStyle name="Input 2 3 3 5 5" xfId="10821"/>
    <cellStyle name="Input 2 3 3 5 6" xfId="10822"/>
    <cellStyle name="Input 2 3 3 5 7" xfId="10823"/>
    <cellStyle name="Input 2 3 3 6" xfId="10824"/>
    <cellStyle name="Input 2 3 3 7" xfId="10825"/>
    <cellStyle name="Input 2 3 3 8" xfId="10826"/>
    <cellStyle name="Input 2 3 3 9" xfId="10827"/>
    <cellStyle name="Input 2 3 4" xfId="10828"/>
    <cellStyle name="Input 2 3 4 2" xfId="10829"/>
    <cellStyle name="Input 2 3 4 2 2" xfId="10830"/>
    <cellStyle name="Input 2 3 4 2 3" xfId="10831"/>
    <cellStyle name="Input 2 3 4 2 4" xfId="10832"/>
    <cellStyle name="Input 2 3 4 2 5" xfId="10833"/>
    <cellStyle name="Input 2 3 4 2 6" xfId="10834"/>
    <cellStyle name="Input 2 3 4 2 7" xfId="10835"/>
    <cellStyle name="Input 2 3 4 3" xfId="10836"/>
    <cellStyle name="Input 2 3 4 4" xfId="10837"/>
    <cellStyle name="Input 2 3 4 5" xfId="10838"/>
    <cellStyle name="Input 2 3 4 6" xfId="10839"/>
    <cellStyle name="Input 2 3 4 7" xfId="10840"/>
    <cellStyle name="Input 2 3 4 8" xfId="10841"/>
    <cellStyle name="Input 2 3 5" xfId="10842"/>
    <cellStyle name="Input 2 3 5 2" xfId="10843"/>
    <cellStyle name="Input 2 3 5 2 2" xfId="10844"/>
    <cellStyle name="Input 2 3 5 2 3" xfId="10845"/>
    <cellStyle name="Input 2 3 5 2 4" xfId="10846"/>
    <cellStyle name="Input 2 3 5 2 5" xfId="10847"/>
    <cellStyle name="Input 2 3 5 2 6" xfId="10848"/>
    <cellStyle name="Input 2 3 5 2 7" xfId="10849"/>
    <cellStyle name="Input 2 3 5 3" xfId="10850"/>
    <cellStyle name="Input 2 3 5 4" xfId="10851"/>
    <cellStyle name="Input 2 3 5 5" xfId="10852"/>
    <cellStyle name="Input 2 3 5 6" xfId="10853"/>
    <cellStyle name="Input 2 3 5 7" xfId="10854"/>
    <cellStyle name="Input 2 3 5 8" xfId="10855"/>
    <cellStyle name="Input 2 3 6" xfId="10856"/>
    <cellStyle name="Input 2 3 6 2" xfId="10857"/>
    <cellStyle name="Input 2 3 6 2 2" xfId="10858"/>
    <cellStyle name="Input 2 3 6 2 3" xfId="10859"/>
    <cellStyle name="Input 2 3 6 2 4" xfId="10860"/>
    <cellStyle name="Input 2 3 6 2 5" xfId="10861"/>
    <cellStyle name="Input 2 3 6 2 6" xfId="10862"/>
    <cellStyle name="Input 2 3 6 2 7" xfId="10863"/>
    <cellStyle name="Input 2 3 6 3" xfId="10864"/>
    <cellStyle name="Input 2 3 6 4" xfId="10865"/>
    <cellStyle name="Input 2 3 6 5" xfId="10866"/>
    <cellStyle name="Input 2 3 6 6" xfId="10867"/>
    <cellStyle name="Input 2 3 6 7" xfId="10868"/>
    <cellStyle name="Input 2 3 6 8" xfId="10869"/>
    <cellStyle name="Input 2 3 7" xfId="10870"/>
    <cellStyle name="Input 2 3 7 2" xfId="10871"/>
    <cellStyle name="Input 2 3 7 3" xfId="10872"/>
    <cellStyle name="Input 2 3 7 4" xfId="10873"/>
    <cellStyle name="Input 2 3 7 5" xfId="10874"/>
    <cellStyle name="Input 2 3 7 6" xfId="10875"/>
    <cellStyle name="Input 2 3 7 7" xfId="10876"/>
    <cellStyle name="Input 2 3 8" xfId="10877"/>
    <cellStyle name="Input 2 3 9" xfId="10878"/>
    <cellStyle name="Input 2 4" xfId="10879"/>
    <cellStyle name="Input 2 4 10" xfId="10880"/>
    <cellStyle name="Input 2 4 11" xfId="10881"/>
    <cellStyle name="Input 2 4 12" xfId="10882"/>
    <cellStyle name="Input 2 4 13" xfId="10883"/>
    <cellStyle name="Input 2 4 2" xfId="10884"/>
    <cellStyle name="Input 2 4 2 2" xfId="10885"/>
    <cellStyle name="Input 2 4 2 2 2" xfId="10886"/>
    <cellStyle name="Input 2 4 2 2 2 2" xfId="10887"/>
    <cellStyle name="Input 2 4 2 2 2 3" xfId="10888"/>
    <cellStyle name="Input 2 4 2 2 2 4" xfId="10889"/>
    <cellStyle name="Input 2 4 2 2 2 5" xfId="10890"/>
    <cellStyle name="Input 2 4 2 2 2 6" xfId="10891"/>
    <cellStyle name="Input 2 4 2 2 2 7" xfId="10892"/>
    <cellStyle name="Input 2 4 2 2 3" xfId="10893"/>
    <cellStyle name="Input 2 4 2 2 4" xfId="10894"/>
    <cellStyle name="Input 2 4 2 2 5" xfId="10895"/>
    <cellStyle name="Input 2 4 2 2 6" xfId="10896"/>
    <cellStyle name="Input 2 4 2 2 7" xfId="10897"/>
    <cellStyle name="Input 2 4 2 2 8" xfId="10898"/>
    <cellStyle name="Input 2 4 2 3" xfId="10899"/>
    <cellStyle name="Input 2 4 2 3 2" xfId="10900"/>
    <cellStyle name="Input 2 4 2 3 2 2" xfId="10901"/>
    <cellStyle name="Input 2 4 2 3 2 3" xfId="10902"/>
    <cellStyle name="Input 2 4 2 3 2 4" xfId="10903"/>
    <cellStyle name="Input 2 4 2 3 2 5" xfId="10904"/>
    <cellStyle name="Input 2 4 2 3 2 6" xfId="10905"/>
    <cellStyle name="Input 2 4 2 3 2 7" xfId="10906"/>
    <cellStyle name="Input 2 4 2 3 3" xfId="10907"/>
    <cellStyle name="Input 2 4 2 3 4" xfId="10908"/>
    <cellStyle name="Input 2 4 2 3 5" xfId="10909"/>
    <cellStyle name="Input 2 4 2 3 6" xfId="10910"/>
    <cellStyle name="Input 2 4 2 3 7" xfId="10911"/>
    <cellStyle name="Input 2 4 2 3 8" xfId="10912"/>
    <cellStyle name="Input 2 4 2 4" xfId="10913"/>
    <cellStyle name="Input 2 4 2 4 2" xfId="10914"/>
    <cellStyle name="Input 2 4 2 4 2 2" xfId="10915"/>
    <cellStyle name="Input 2 4 2 4 2 3" xfId="10916"/>
    <cellStyle name="Input 2 4 2 4 2 4" xfId="10917"/>
    <cellStyle name="Input 2 4 2 4 2 5" xfId="10918"/>
    <cellStyle name="Input 2 4 2 4 2 6" xfId="10919"/>
    <cellStyle name="Input 2 4 2 4 2 7" xfId="10920"/>
    <cellStyle name="Input 2 4 2 4 3" xfId="10921"/>
    <cellStyle name="Input 2 4 2 4 4" xfId="10922"/>
    <cellStyle name="Input 2 4 2 4 5" xfId="10923"/>
    <cellStyle name="Input 2 4 2 4 6" xfId="10924"/>
    <cellStyle name="Input 2 4 2 4 7" xfId="10925"/>
    <cellStyle name="Input 2 4 2 4 8" xfId="10926"/>
    <cellStyle name="Input 2 4 2 5" xfId="10927"/>
    <cellStyle name="Input 2 4 2 5 2" xfId="10928"/>
    <cellStyle name="Input 2 4 2 5 3" xfId="10929"/>
    <cellStyle name="Input 2 4 2 5 4" xfId="10930"/>
    <cellStyle name="Input 2 4 2 5 5" xfId="10931"/>
    <cellStyle name="Input 2 4 2 5 6" xfId="10932"/>
    <cellStyle name="Input 2 4 2 5 7" xfId="10933"/>
    <cellStyle name="Input 2 4 2 6" xfId="10934"/>
    <cellStyle name="Input 2 4 2 7" xfId="10935"/>
    <cellStyle name="Input 2 4 2 8" xfId="10936"/>
    <cellStyle name="Input 2 4 2 9" xfId="10937"/>
    <cellStyle name="Input 2 4 3" xfId="10938"/>
    <cellStyle name="Input 2 4 3 2" xfId="10939"/>
    <cellStyle name="Input 2 4 3 2 2" xfId="10940"/>
    <cellStyle name="Input 2 4 3 2 2 2" xfId="10941"/>
    <cellStyle name="Input 2 4 3 2 2 3" xfId="10942"/>
    <cellStyle name="Input 2 4 3 2 2 4" xfId="10943"/>
    <cellStyle name="Input 2 4 3 2 2 5" xfId="10944"/>
    <cellStyle name="Input 2 4 3 2 2 6" xfId="10945"/>
    <cellStyle name="Input 2 4 3 2 2 7" xfId="10946"/>
    <cellStyle name="Input 2 4 3 2 3" xfId="10947"/>
    <cellStyle name="Input 2 4 3 2 4" xfId="10948"/>
    <cellStyle name="Input 2 4 3 2 5" xfId="10949"/>
    <cellStyle name="Input 2 4 3 2 6" xfId="10950"/>
    <cellStyle name="Input 2 4 3 2 7" xfId="10951"/>
    <cellStyle name="Input 2 4 3 2 8" xfId="10952"/>
    <cellStyle name="Input 2 4 3 3" xfId="10953"/>
    <cellStyle name="Input 2 4 3 3 2" xfId="10954"/>
    <cellStyle name="Input 2 4 3 3 2 2" xfId="10955"/>
    <cellStyle name="Input 2 4 3 3 2 3" xfId="10956"/>
    <cellStyle name="Input 2 4 3 3 2 4" xfId="10957"/>
    <cellStyle name="Input 2 4 3 3 2 5" xfId="10958"/>
    <cellStyle name="Input 2 4 3 3 2 6" xfId="10959"/>
    <cellStyle name="Input 2 4 3 3 2 7" xfId="10960"/>
    <cellStyle name="Input 2 4 3 3 3" xfId="10961"/>
    <cellStyle name="Input 2 4 3 3 4" xfId="10962"/>
    <cellStyle name="Input 2 4 3 3 5" xfId="10963"/>
    <cellStyle name="Input 2 4 3 3 6" xfId="10964"/>
    <cellStyle name="Input 2 4 3 3 7" xfId="10965"/>
    <cellStyle name="Input 2 4 3 3 8" xfId="10966"/>
    <cellStyle name="Input 2 4 3 4" xfId="10967"/>
    <cellStyle name="Input 2 4 3 4 2" xfId="10968"/>
    <cellStyle name="Input 2 4 3 4 2 2" xfId="10969"/>
    <cellStyle name="Input 2 4 3 4 2 3" xfId="10970"/>
    <cellStyle name="Input 2 4 3 4 2 4" xfId="10971"/>
    <cellStyle name="Input 2 4 3 4 2 5" xfId="10972"/>
    <cellStyle name="Input 2 4 3 4 2 6" xfId="10973"/>
    <cellStyle name="Input 2 4 3 4 2 7" xfId="10974"/>
    <cellStyle name="Input 2 4 3 4 3" xfId="10975"/>
    <cellStyle name="Input 2 4 3 4 4" xfId="10976"/>
    <cellStyle name="Input 2 4 3 4 5" xfId="10977"/>
    <cellStyle name="Input 2 4 3 4 6" xfId="10978"/>
    <cellStyle name="Input 2 4 3 4 7" xfId="10979"/>
    <cellStyle name="Input 2 4 3 4 8" xfId="10980"/>
    <cellStyle name="Input 2 4 3 5" xfId="10981"/>
    <cellStyle name="Input 2 4 3 5 2" xfId="10982"/>
    <cellStyle name="Input 2 4 3 5 3" xfId="10983"/>
    <cellStyle name="Input 2 4 3 5 4" xfId="10984"/>
    <cellStyle name="Input 2 4 3 5 5" xfId="10985"/>
    <cellStyle name="Input 2 4 3 5 6" xfId="10986"/>
    <cellStyle name="Input 2 4 3 5 7" xfId="10987"/>
    <cellStyle name="Input 2 4 3 6" xfId="10988"/>
    <cellStyle name="Input 2 4 3 7" xfId="10989"/>
    <cellStyle name="Input 2 4 3 8" xfId="10990"/>
    <cellStyle name="Input 2 4 3 9" xfId="10991"/>
    <cellStyle name="Input 2 4 4" xfId="10992"/>
    <cellStyle name="Input 2 4 4 2" xfId="10993"/>
    <cellStyle name="Input 2 4 4 2 2" xfId="10994"/>
    <cellStyle name="Input 2 4 4 2 2 2" xfId="10995"/>
    <cellStyle name="Input 2 4 4 2 2 3" xfId="10996"/>
    <cellStyle name="Input 2 4 4 2 2 4" xfId="10997"/>
    <cellStyle name="Input 2 4 4 2 2 5" xfId="10998"/>
    <cellStyle name="Input 2 4 4 2 2 6" xfId="10999"/>
    <cellStyle name="Input 2 4 4 2 2 7" xfId="11000"/>
    <cellStyle name="Input 2 4 4 2 3" xfId="11001"/>
    <cellStyle name="Input 2 4 4 2 4" xfId="11002"/>
    <cellStyle name="Input 2 4 4 2 5" xfId="11003"/>
    <cellStyle name="Input 2 4 4 2 6" xfId="11004"/>
    <cellStyle name="Input 2 4 4 2 7" xfId="11005"/>
    <cellStyle name="Input 2 4 4 2 8" xfId="11006"/>
    <cellStyle name="Input 2 4 4 3" xfId="11007"/>
    <cellStyle name="Input 2 4 4 3 2" xfId="11008"/>
    <cellStyle name="Input 2 4 4 3 2 2" xfId="11009"/>
    <cellStyle name="Input 2 4 4 3 2 3" xfId="11010"/>
    <cellStyle name="Input 2 4 4 3 2 4" xfId="11011"/>
    <cellStyle name="Input 2 4 4 3 2 5" xfId="11012"/>
    <cellStyle name="Input 2 4 4 3 2 6" xfId="11013"/>
    <cellStyle name="Input 2 4 4 3 2 7" xfId="11014"/>
    <cellStyle name="Input 2 4 4 3 3" xfId="11015"/>
    <cellStyle name="Input 2 4 4 3 4" xfId="11016"/>
    <cellStyle name="Input 2 4 4 3 5" xfId="11017"/>
    <cellStyle name="Input 2 4 4 3 6" xfId="11018"/>
    <cellStyle name="Input 2 4 4 3 7" xfId="11019"/>
    <cellStyle name="Input 2 4 4 3 8" xfId="11020"/>
    <cellStyle name="Input 2 4 4 4" xfId="11021"/>
    <cellStyle name="Input 2 4 4 4 2" xfId="11022"/>
    <cellStyle name="Input 2 4 4 4 2 2" xfId="11023"/>
    <cellStyle name="Input 2 4 4 4 2 3" xfId="11024"/>
    <cellStyle name="Input 2 4 4 4 2 4" xfId="11025"/>
    <cellStyle name="Input 2 4 4 4 2 5" xfId="11026"/>
    <cellStyle name="Input 2 4 4 4 2 6" xfId="11027"/>
    <cellStyle name="Input 2 4 4 4 2 7" xfId="11028"/>
    <cellStyle name="Input 2 4 4 4 3" xfId="11029"/>
    <cellStyle name="Input 2 4 4 4 4" xfId="11030"/>
    <cellStyle name="Input 2 4 4 4 5" xfId="11031"/>
    <cellStyle name="Input 2 4 4 4 6" xfId="11032"/>
    <cellStyle name="Input 2 4 4 4 7" xfId="11033"/>
    <cellStyle name="Input 2 4 4 4 8" xfId="11034"/>
    <cellStyle name="Input 2 4 4 5" xfId="11035"/>
    <cellStyle name="Input 2 4 4 5 2" xfId="11036"/>
    <cellStyle name="Input 2 4 4 5 3" xfId="11037"/>
    <cellStyle name="Input 2 4 4 5 4" xfId="11038"/>
    <cellStyle name="Input 2 4 4 5 5" xfId="11039"/>
    <cellStyle name="Input 2 4 4 5 6" xfId="11040"/>
    <cellStyle name="Input 2 4 4 5 7" xfId="11041"/>
    <cellStyle name="Input 2 4 4 6" xfId="11042"/>
    <cellStyle name="Input 2 4 4 7" xfId="11043"/>
    <cellStyle name="Input 2 4 4 8" xfId="11044"/>
    <cellStyle name="Input 2 4 4 9" xfId="11045"/>
    <cellStyle name="Input 2 4 5" xfId="11046"/>
    <cellStyle name="Input 2 4 5 2" xfId="11047"/>
    <cellStyle name="Input 2 4 5 2 2" xfId="11048"/>
    <cellStyle name="Input 2 4 5 2 2 2" xfId="11049"/>
    <cellStyle name="Input 2 4 5 2 2 3" xfId="11050"/>
    <cellStyle name="Input 2 4 5 2 2 4" xfId="11051"/>
    <cellStyle name="Input 2 4 5 2 2 5" xfId="11052"/>
    <cellStyle name="Input 2 4 5 2 2 6" xfId="11053"/>
    <cellStyle name="Input 2 4 5 2 2 7" xfId="11054"/>
    <cellStyle name="Input 2 4 5 2 3" xfId="11055"/>
    <cellStyle name="Input 2 4 5 2 4" xfId="11056"/>
    <cellStyle name="Input 2 4 5 2 5" xfId="11057"/>
    <cellStyle name="Input 2 4 5 2 6" xfId="11058"/>
    <cellStyle name="Input 2 4 5 2 7" xfId="11059"/>
    <cellStyle name="Input 2 4 5 2 8" xfId="11060"/>
    <cellStyle name="Input 2 4 5 3" xfId="11061"/>
    <cellStyle name="Input 2 4 5 3 2" xfId="11062"/>
    <cellStyle name="Input 2 4 5 3 2 2" xfId="11063"/>
    <cellStyle name="Input 2 4 5 3 2 3" xfId="11064"/>
    <cellStyle name="Input 2 4 5 3 2 4" xfId="11065"/>
    <cellStyle name="Input 2 4 5 3 2 5" xfId="11066"/>
    <cellStyle name="Input 2 4 5 3 2 6" xfId="11067"/>
    <cellStyle name="Input 2 4 5 3 2 7" xfId="11068"/>
    <cellStyle name="Input 2 4 5 3 3" xfId="11069"/>
    <cellStyle name="Input 2 4 5 3 4" xfId="11070"/>
    <cellStyle name="Input 2 4 5 3 5" xfId="11071"/>
    <cellStyle name="Input 2 4 5 3 6" xfId="11072"/>
    <cellStyle name="Input 2 4 5 3 7" xfId="11073"/>
    <cellStyle name="Input 2 4 5 3 8" xfId="11074"/>
    <cellStyle name="Input 2 4 5 4" xfId="11075"/>
    <cellStyle name="Input 2 4 5 4 2" xfId="11076"/>
    <cellStyle name="Input 2 4 5 4 2 2" xfId="11077"/>
    <cellStyle name="Input 2 4 5 4 2 3" xfId="11078"/>
    <cellStyle name="Input 2 4 5 4 2 4" xfId="11079"/>
    <cellStyle name="Input 2 4 5 4 2 5" xfId="11080"/>
    <cellStyle name="Input 2 4 5 4 2 6" xfId="11081"/>
    <cellStyle name="Input 2 4 5 4 2 7" xfId="11082"/>
    <cellStyle name="Input 2 4 5 4 3" xfId="11083"/>
    <cellStyle name="Input 2 4 5 4 4" xfId="11084"/>
    <cellStyle name="Input 2 4 5 4 5" xfId="11085"/>
    <cellStyle name="Input 2 4 5 4 6" xfId="11086"/>
    <cellStyle name="Input 2 4 5 4 7" xfId="11087"/>
    <cellStyle name="Input 2 4 5 4 8" xfId="11088"/>
    <cellStyle name="Input 2 4 5 5" xfId="11089"/>
    <cellStyle name="Input 2 4 5 5 2" xfId="11090"/>
    <cellStyle name="Input 2 4 5 5 3" xfId="11091"/>
    <cellStyle name="Input 2 4 5 5 4" xfId="11092"/>
    <cellStyle name="Input 2 4 5 5 5" xfId="11093"/>
    <cellStyle name="Input 2 4 5 5 6" xfId="11094"/>
    <cellStyle name="Input 2 4 5 5 7" xfId="11095"/>
    <cellStyle name="Input 2 4 5 6" xfId="11096"/>
    <cellStyle name="Input 2 4 5 7" xfId="11097"/>
    <cellStyle name="Input 2 4 5 8" xfId="11098"/>
    <cellStyle name="Input 2 4 5 9" xfId="11099"/>
    <cellStyle name="Input 2 4 6" xfId="11100"/>
    <cellStyle name="Input 2 4 6 2" xfId="11101"/>
    <cellStyle name="Input 2 4 6 2 2" xfId="11102"/>
    <cellStyle name="Input 2 4 6 2 3" xfId="11103"/>
    <cellStyle name="Input 2 4 6 2 4" xfId="11104"/>
    <cellStyle name="Input 2 4 6 2 5" xfId="11105"/>
    <cellStyle name="Input 2 4 6 2 6" xfId="11106"/>
    <cellStyle name="Input 2 4 6 2 7" xfId="11107"/>
    <cellStyle name="Input 2 4 6 3" xfId="11108"/>
    <cellStyle name="Input 2 4 6 4" xfId="11109"/>
    <cellStyle name="Input 2 4 6 5" xfId="11110"/>
    <cellStyle name="Input 2 4 6 6" xfId="11111"/>
    <cellStyle name="Input 2 4 6 7" xfId="11112"/>
    <cellStyle name="Input 2 4 6 8" xfId="11113"/>
    <cellStyle name="Input 2 4 7" xfId="11114"/>
    <cellStyle name="Input 2 4 7 2" xfId="11115"/>
    <cellStyle name="Input 2 4 7 2 2" xfId="11116"/>
    <cellStyle name="Input 2 4 7 2 3" xfId="11117"/>
    <cellStyle name="Input 2 4 7 2 4" xfId="11118"/>
    <cellStyle name="Input 2 4 7 2 5" xfId="11119"/>
    <cellStyle name="Input 2 4 7 2 6" xfId="11120"/>
    <cellStyle name="Input 2 4 7 2 7" xfId="11121"/>
    <cellStyle name="Input 2 4 7 3" xfId="11122"/>
    <cellStyle name="Input 2 4 7 4" xfId="11123"/>
    <cellStyle name="Input 2 4 7 5" xfId="11124"/>
    <cellStyle name="Input 2 4 7 6" xfId="11125"/>
    <cellStyle name="Input 2 4 7 7" xfId="11126"/>
    <cellStyle name="Input 2 4 7 8" xfId="11127"/>
    <cellStyle name="Input 2 4 8" xfId="11128"/>
    <cellStyle name="Input 2 4 8 2" xfId="11129"/>
    <cellStyle name="Input 2 4 8 2 2" xfId="11130"/>
    <cellStyle name="Input 2 4 8 2 3" xfId="11131"/>
    <cellStyle name="Input 2 4 8 2 4" xfId="11132"/>
    <cellStyle name="Input 2 4 8 2 5" xfId="11133"/>
    <cellStyle name="Input 2 4 8 2 6" xfId="11134"/>
    <cellStyle name="Input 2 4 8 2 7" xfId="11135"/>
    <cellStyle name="Input 2 4 8 3" xfId="11136"/>
    <cellStyle name="Input 2 4 8 4" xfId="11137"/>
    <cellStyle name="Input 2 4 8 5" xfId="11138"/>
    <cellStyle name="Input 2 4 8 6" xfId="11139"/>
    <cellStyle name="Input 2 4 8 7" xfId="11140"/>
    <cellStyle name="Input 2 4 8 8" xfId="11141"/>
    <cellStyle name="Input 2 4 9" xfId="11142"/>
    <cellStyle name="Input 2 4 9 2" xfId="11143"/>
    <cellStyle name="Input 2 4 9 3" xfId="11144"/>
    <cellStyle name="Input 2 4 9 4" xfId="11145"/>
    <cellStyle name="Input 2 4 9 5" xfId="11146"/>
    <cellStyle name="Input 2 4 9 6" xfId="11147"/>
    <cellStyle name="Input 2 4 9 7" xfId="11148"/>
    <cellStyle name="Input 2 5" xfId="11149"/>
    <cellStyle name="Input 2 5 10" xfId="11150"/>
    <cellStyle name="Input 2 5 11" xfId="11151"/>
    <cellStyle name="Input 2 5 2" xfId="11152"/>
    <cellStyle name="Input 2 5 2 2" xfId="11153"/>
    <cellStyle name="Input 2 5 2 2 2" xfId="11154"/>
    <cellStyle name="Input 2 5 2 2 3" xfId="11155"/>
    <cellStyle name="Input 2 5 2 2 4" xfId="11156"/>
    <cellStyle name="Input 2 5 2 2 5" xfId="11157"/>
    <cellStyle name="Input 2 5 2 2 6" xfId="11158"/>
    <cellStyle name="Input 2 5 2 2 7" xfId="11159"/>
    <cellStyle name="Input 2 5 2 3" xfId="11160"/>
    <cellStyle name="Input 2 5 2 4" xfId="11161"/>
    <cellStyle name="Input 2 5 2 5" xfId="11162"/>
    <cellStyle name="Input 2 5 2 6" xfId="11163"/>
    <cellStyle name="Input 2 5 2 7" xfId="11164"/>
    <cellStyle name="Input 2 5 2 8" xfId="11165"/>
    <cellStyle name="Input 2 5 3" xfId="11166"/>
    <cellStyle name="Input 2 5 3 2" xfId="11167"/>
    <cellStyle name="Input 2 5 3 2 2" xfId="11168"/>
    <cellStyle name="Input 2 5 3 2 3" xfId="11169"/>
    <cellStyle name="Input 2 5 3 2 4" xfId="11170"/>
    <cellStyle name="Input 2 5 3 2 5" xfId="11171"/>
    <cellStyle name="Input 2 5 3 2 6" xfId="11172"/>
    <cellStyle name="Input 2 5 3 2 7" xfId="11173"/>
    <cellStyle name="Input 2 5 3 3" xfId="11174"/>
    <cellStyle name="Input 2 5 3 4" xfId="11175"/>
    <cellStyle name="Input 2 5 3 5" xfId="11176"/>
    <cellStyle name="Input 2 5 3 6" xfId="11177"/>
    <cellStyle name="Input 2 5 3 7" xfId="11178"/>
    <cellStyle name="Input 2 5 3 8" xfId="11179"/>
    <cellStyle name="Input 2 5 4" xfId="11180"/>
    <cellStyle name="Input 2 5 4 2" xfId="11181"/>
    <cellStyle name="Input 2 5 4 2 2" xfId="11182"/>
    <cellStyle name="Input 2 5 4 2 3" xfId="11183"/>
    <cellStyle name="Input 2 5 4 2 4" xfId="11184"/>
    <cellStyle name="Input 2 5 4 2 5" xfId="11185"/>
    <cellStyle name="Input 2 5 4 2 6" xfId="11186"/>
    <cellStyle name="Input 2 5 4 2 7" xfId="11187"/>
    <cellStyle name="Input 2 5 4 3" xfId="11188"/>
    <cellStyle name="Input 2 5 4 4" xfId="11189"/>
    <cellStyle name="Input 2 5 4 5" xfId="11190"/>
    <cellStyle name="Input 2 5 4 6" xfId="11191"/>
    <cellStyle name="Input 2 5 4 7" xfId="11192"/>
    <cellStyle name="Input 2 5 4 8" xfId="11193"/>
    <cellStyle name="Input 2 5 5" xfId="11194"/>
    <cellStyle name="Input 2 5 5 2" xfId="11195"/>
    <cellStyle name="Input 2 5 5 3" xfId="11196"/>
    <cellStyle name="Input 2 5 5 4" xfId="11197"/>
    <cellStyle name="Input 2 5 5 5" xfId="11198"/>
    <cellStyle name="Input 2 5 5 6" xfId="11199"/>
    <cellStyle name="Input 2 5 5 7" xfId="11200"/>
    <cellStyle name="Input 2 5 6" xfId="11201"/>
    <cellStyle name="Input 2 5 7" xfId="11202"/>
    <cellStyle name="Input 2 5 8" xfId="11203"/>
    <cellStyle name="Input 2 5 9" xfId="11204"/>
    <cellStyle name="Input 2 6" xfId="11205"/>
    <cellStyle name="Input 2 6 2" xfId="11206"/>
    <cellStyle name="Input 2 6 2 2" xfId="11207"/>
    <cellStyle name="Input 2 6 2 3" xfId="11208"/>
    <cellStyle name="Input 2 6 2 4" xfId="11209"/>
    <cellStyle name="Input 2 6 2 5" xfId="11210"/>
    <cellStyle name="Input 2 6 2 6" xfId="11211"/>
    <cellStyle name="Input 2 6 2 7" xfId="11212"/>
    <cellStyle name="Input 2 6 3" xfId="11213"/>
    <cellStyle name="Input 2 6 4" xfId="11214"/>
    <cellStyle name="Input 2 6 5" xfId="11215"/>
    <cellStyle name="Input 2 6 6" xfId="11216"/>
    <cellStyle name="Input 2 6 7" xfId="11217"/>
    <cellStyle name="Input 2 6 8" xfId="11218"/>
    <cellStyle name="Input 2 7" xfId="11219"/>
    <cellStyle name="Input 2 7 2" xfId="11220"/>
    <cellStyle name="Input 2 7 2 2" xfId="11221"/>
    <cellStyle name="Input 2 7 2 3" xfId="11222"/>
    <cellStyle name="Input 2 7 2 4" xfId="11223"/>
    <cellStyle name="Input 2 7 2 5" xfId="11224"/>
    <cellStyle name="Input 2 7 2 6" xfId="11225"/>
    <cellStyle name="Input 2 7 2 7" xfId="11226"/>
    <cellStyle name="Input 2 7 3" xfId="11227"/>
    <cellStyle name="Input 2 7 4" xfId="11228"/>
    <cellStyle name="Input 2 7 5" xfId="11229"/>
    <cellStyle name="Input 2 7 6" xfId="11230"/>
    <cellStyle name="Input 2 7 7" xfId="11231"/>
    <cellStyle name="Input 2 7 8" xfId="11232"/>
    <cellStyle name="Input 2 8" xfId="11233"/>
    <cellStyle name="Input 2 8 2" xfId="11234"/>
    <cellStyle name="Input 2 8 2 2" xfId="11235"/>
    <cellStyle name="Input 2 8 2 3" xfId="11236"/>
    <cellStyle name="Input 2 8 2 4" xfId="11237"/>
    <cellStyle name="Input 2 8 2 5" xfId="11238"/>
    <cellStyle name="Input 2 8 2 6" xfId="11239"/>
    <cellStyle name="Input 2 8 2 7" xfId="11240"/>
    <cellStyle name="Input 2 8 3" xfId="11241"/>
    <cellStyle name="Input 2 8 4" xfId="11242"/>
    <cellStyle name="Input 2 8 5" xfId="11243"/>
    <cellStyle name="Input 2 8 6" xfId="11244"/>
    <cellStyle name="Input 2 8 7" xfId="11245"/>
    <cellStyle name="Input 2 8 8" xfId="11246"/>
    <cellStyle name="Input 2 9" xfId="11247"/>
    <cellStyle name="Input 2 9 2" xfId="11248"/>
    <cellStyle name="Input 2 9 3" xfId="11249"/>
    <cellStyle name="Input 2 9 4" xfId="11250"/>
    <cellStyle name="Input 2 9 5" xfId="11251"/>
    <cellStyle name="Input 2 9 6" xfId="11252"/>
    <cellStyle name="Input 2 9 7" xfId="11253"/>
    <cellStyle name="Input 3" xfId="236"/>
    <cellStyle name="Input 3 2" xfId="766"/>
    <cellStyle name="Input 3 2 10" xfId="11254"/>
    <cellStyle name="Input 3 2 11" xfId="11255"/>
    <cellStyle name="Input 3 2 2" xfId="11256"/>
    <cellStyle name="Input 3 2 2 10" xfId="11257"/>
    <cellStyle name="Input 3 2 2 11" xfId="11258"/>
    <cellStyle name="Input 3 2 2 12" xfId="11259"/>
    <cellStyle name="Input 3 2 2 13" xfId="11260"/>
    <cellStyle name="Input 3 2 2 2" xfId="11261"/>
    <cellStyle name="Input 3 2 2 2 2" xfId="11262"/>
    <cellStyle name="Input 3 2 2 2 2 2" xfId="11263"/>
    <cellStyle name="Input 3 2 2 2 2 2 2" xfId="11264"/>
    <cellStyle name="Input 3 2 2 2 2 2 3" xfId="11265"/>
    <cellStyle name="Input 3 2 2 2 2 2 4" xfId="11266"/>
    <cellStyle name="Input 3 2 2 2 2 2 5" xfId="11267"/>
    <cellStyle name="Input 3 2 2 2 2 2 6" xfId="11268"/>
    <cellStyle name="Input 3 2 2 2 2 2 7" xfId="11269"/>
    <cellStyle name="Input 3 2 2 2 2 3" xfId="11270"/>
    <cellStyle name="Input 3 2 2 2 2 4" xfId="11271"/>
    <cellStyle name="Input 3 2 2 2 2 5" xfId="11272"/>
    <cellStyle name="Input 3 2 2 2 2 6" xfId="11273"/>
    <cellStyle name="Input 3 2 2 2 2 7" xfId="11274"/>
    <cellStyle name="Input 3 2 2 2 2 8" xfId="11275"/>
    <cellStyle name="Input 3 2 2 2 3" xfId="11276"/>
    <cellStyle name="Input 3 2 2 2 3 2" xfId="11277"/>
    <cellStyle name="Input 3 2 2 2 3 2 2" xfId="11278"/>
    <cellStyle name="Input 3 2 2 2 3 2 3" xfId="11279"/>
    <cellStyle name="Input 3 2 2 2 3 2 4" xfId="11280"/>
    <cellStyle name="Input 3 2 2 2 3 2 5" xfId="11281"/>
    <cellStyle name="Input 3 2 2 2 3 2 6" xfId="11282"/>
    <cellStyle name="Input 3 2 2 2 3 2 7" xfId="11283"/>
    <cellStyle name="Input 3 2 2 2 3 3" xfId="11284"/>
    <cellStyle name="Input 3 2 2 2 3 4" xfId="11285"/>
    <cellStyle name="Input 3 2 2 2 3 5" xfId="11286"/>
    <cellStyle name="Input 3 2 2 2 3 6" xfId="11287"/>
    <cellStyle name="Input 3 2 2 2 3 7" xfId="11288"/>
    <cellStyle name="Input 3 2 2 2 3 8" xfId="11289"/>
    <cellStyle name="Input 3 2 2 2 4" xfId="11290"/>
    <cellStyle name="Input 3 2 2 2 4 2" xfId="11291"/>
    <cellStyle name="Input 3 2 2 2 4 2 2" xfId="11292"/>
    <cellStyle name="Input 3 2 2 2 4 2 3" xfId="11293"/>
    <cellStyle name="Input 3 2 2 2 4 2 4" xfId="11294"/>
    <cellStyle name="Input 3 2 2 2 4 2 5" xfId="11295"/>
    <cellStyle name="Input 3 2 2 2 4 2 6" xfId="11296"/>
    <cellStyle name="Input 3 2 2 2 4 2 7" xfId="11297"/>
    <cellStyle name="Input 3 2 2 2 4 3" xfId="11298"/>
    <cellStyle name="Input 3 2 2 2 4 4" xfId="11299"/>
    <cellStyle name="Input 3 2 2 2 4 5" xfId="11300"/>
    <cellStyle name="Input 3 2 2 2 4 6" xfId="11301"/>
    <cellStyle name="Input 3 2 2 2 4 7" xfId="11302"/>
    <cellStyle name="Input 3 2 2 2 4 8" xfId="11303"/>
    <cellStyle name="Input 3 2 2 2 5" xfId="11304"/>
    <cellStyle name="Input 3 2 2 2 5 2" xfId="11305"/>
    <cellStyle name="Input 3 2 2 2 5 3" xfId="11306"/>
    <cellStyle name="Input 3 2 2 2 5 4" xfId="11307"/>
    <cellStyle name="Input 3 2 2 2 5 5" xfId="11308"/>
    <cellStyle name="Input 3 2 2 2 5 6" xfId="11309"/>
    <cellStyle name="Input 3 2 2 2 5 7" xfId="11310"/>
    <cellStyle name="Input 3 2 2 2 6" xfId="11311"/>
    <cellStyle name="Input 3 2 2 2 7" xfId="11312"/>
    <cellStyle name="Input 3 2 2 2 8" xfId="11313"/>
    <cellStyle name="Input 3 2 2 2 9" xfId="11314"/>
    <cellStyle name="Input 3 2 2 3" xfId="11315"/>
    <cellStyle name="Input 3 2 2 3 2" xfId="11316"/>
    <cellStyle name="Input 3 2 2 3 2 2" xfId="11317"/>
    <cellStyle name="Input 3 2 2 3 2 2 2" xfId="11318"/>
    <cellStyle name="Input 3 2 2 3 2 2 3" xfId="11319"/>
    <cellStyle name="Input 3 2 2 3 2 2 4" xfId="11320"/>
    <cellStyle name="Input 3 2 2 3 2 2 5" xfId="11321"/>
    <cellStyle name="Input 3 2 2 3 2 2 6" xfId="11322"/>
    <cellStyle name="Input 3 2 2 3 2 2 7" xfId="11323"/>
    <cellStyle name="Input 3 2 2 3 2 3" xfId="11324"/>
    <cellStyle name="Input 3 2 2 3 2 4" xfId="11325"/>
    <cellStyle name="Input 3 2 2 3 2 5" xfId="11326"/>
    <cellStyle name="Input 3 2 2 3 2 6" xfId="11327"/>
    <cellStyle name="Input 3 2 2 3 2 7" xfId="11328"/>
    <cellStyle name="Input 3 2 2 3 2 8" xfId="11329"/>
    <cellStyle name="Input 3 2 2 3 3" xfId="11330"/>
    <cellStyle name="Input 3 2 2 3 3 2" xfId="11331"/>
    <cellStyle name="Input 3 2 2 3 3 2 2" xfId="11332"/>
    <cellStyle name="Input 3 2 2 3 3 2 3" xfId="11333"/>
    <cellStyle name="Input 3 2 2 3 3 2 4" xfId="11334"/>
    <cellStyle name="Input 3 2 2 3 3 2 5" xfId="11335"/>
    <cellStyle name="Input 3 2 2 3 3 2 6" xfId="11336"/>
    <cellStyle name="Input 3 2 2 3 3 2 7" xfId="11337"/>
    <cellStyle name="Input 3 2 2 3 3 3" xfId="11338"/>
    <cellStyle name="Input 3 2 2 3 3 4" xfId="11339"/>
    <cellStyle name="Input 3 2 2 3 3 5" xfId="11340"/>
    <cellStyle name="Input 3 2 2 3 3 6" xfId="11341"/>
    <cellStyle name="Input 3 2 2 3 3 7" xfId="11342"/>
    <cellStyle name="Input 3 2 2 3 3 8" xfId="11343"/>
    <cellStyle name="Input 3 2 2 3 4" xfId="11344"/>
    <cellStyle name="Input 3 2 2 3 4 2" xfId="11345"/>
    <cellStyle name="Input 3 2 2 3 4 2 2" xfId="11346"/>
    <cellStyle name="Input 3 2 2 3 4 2 3" xfId="11347"/>
    <cellStyle name="Input 3 2 2 3 4 2 4" xfId="11348"/>
    <cellStyle name="Input 3 2 2 3 4 2 5" xfId="11349"/>
    <cellStyle name="Input 3 2 2 3 4 2 6" xfId="11350"/>
    <cellStyle name="Input 3 2 2 3 4 2 7" xfId="11351"/>
    <cellStyle name="Input 3 2 2 3 4 3" xfId="11352"/>
    <cellStyle name="Input 3 2 2 3 4 4" xfId="11353"/>
    <cellStyle name="Input 3 2 2 3 4 5" xfId="11354"/>
    <cellStyle name="Input 3 2 2 3 4 6" xfId="11355"/>
    <cellStyle name="Input 3 2 2 3 4 7" xfId="11356"/>
    <cellStyle name="Input 3 2 2 3 4 8" xfId="11357"/>
    <cellStyle name="Input 3 2 2 3 5" xfId="11358"/>
    <cellStyle name="Input 3 2 2 3 5 2" xfId="11359"/>
    <cellStyle name="Input 3 2 2 3 5 3" xfId="11360"/>
    <cellStyle name="Input 3 2 2 3 5 4" xfId="11361"/>
    <cellStyle name="Input 3 2 2 3 5 5" xfId="11362"/>
    <cellStyle name="Input 3 2 2 3 5 6" xfId="11363"/>
    <cellStyle name="Input 3 2 2 3 5 7" xfId="11364"/>
    <cellStyle name="Input 3 2 2 3 6" xfId="11365"/>
    <cellStyle name="Input 3 2 2 3 7" xfId="11366"/>
    <cellStyle name="Input 3 2 2 3 8" xfId="11367"/>
    <cellStyle name="Input 3 2 2 3 9" xfId="11368"/>
    <cellStyle name="Input 3 2 2 4" xfId="11369"/>
    <cellStyle name="Input 3 2 2 4 2" xfId="11370"/>
    <cellStyle name="Input 3 2 2 4 2 2" xfId="11371"/>
    <cellStyle name="Input 3 2 2 4 2 2 2" xfId="11372"/>
    <cellStyle name="Input 3 2 2 4 2 2 3" xfId="11373"/>
    <cellStyle name="Input 3 2 2 4 2 2 4" xfId="11374"/>
    <cellStyle name="Input 3 2 2 4 2 2 5" xfId="11375"/>
    <cellStyle name="Input 3 2 2 4 2 2 6" xfId="11376"/>
    <cellStyle name="Input 3 2 2 4 2 2 7" xfId="11377"/>
    <cellStyle name="Input 3 2 2 4 2 3" xfId="11378"/>
    <cellStyle name="Input 3 2 2 4 2 4" xfId="11379"/>
    <cellStyle name="Input 3 2 2 4 2 5" xfId="11380"/>
    <cellStyle name="Input 3 2 2 4 2 6" xfId="11381"/>
    <cellStyle name="Input 3 2 2 4 2 7" xfId="11382"/>
    <cellStyle name="Input 3 2 2 4 2 8" xfId="11383"/>
    <cellStyle name="Input 3 2 2 4 3" xfId="11384"/>
    <cellStyle name="Input 3 2 2 4 3 2" xfId="11385"/>
    <cellStyle name="Input 3 2 2 4 3 2 2" xfId="11386"/>
    <cellStyle name="Input 3 2 2 4 3 2 3" xfId="11387"/>
    <cellStyle name="Input 3 2 2 4 3 2 4" xfId="11388"/>
    <cellStyle name="Input 3 2 2 4 3 2 5" xfId="11389"/>
    <cellStyle name="Input 3 2 2 4 3 2 6" xfId="11390"/>
    <cellStyle name="Input 3 2 2 4 3 2 7" xfId="11391"/>
    <cellStyle name="Input 3 2 2 4 3 3" xfId="11392"/>
    <cellStyle name="Input 3 2 2 4 3 4" xfId="11393"/>
    <cellStyle name="Input 3 2 2 4 3 5" xfId="11394"/>
    <cellStyle name="Input 3 2 2 4 3 6" xfId="11395"/>
    <cellStyle name="Input 3 2 2 4 3 7" xfId="11396"/>
    <cellStyle name="Input 3 2 2 4 3 8" xfId="11397"/>
    <cellStyle name="Input 3 2 2 4 4" xfId="11398"/>
    <cellStyle name="Input 3 2 2 4 4 2" xfId="11399"/>
    <cellStyle name="Input 3 2 2 4 4 2 2" xfId="11400"/>
    <cellStyle name="Input 3 2 2 4 4 2 3" xfId="11401"/>
    <cellStyle name="Input 3 2 2 4 4 2 4" xfId="11402"/>
    <cellStyle name="Input 3 2 2 4 4 2 5" xfId="11403"/>
    <cellStyle name="Input 3 2 2 4 4 2 6" xfId="11404"/>
    <cellStyle name="Input 3 2 2 4 4 2 7" xfId="11405"/>
    <cellStyle name="Input 3 2 2 4 4 3" xfId="11406"/>
    <cellStyle name="Input 3 2 2 4 4 4" xfId="11407"/>
    <cellStyle name="Input 3 2 2 4 4 5" xfId="11408"/>
    <cellStyle name="Input 3 2 2 4 4 6" xfId="11409"/>
    <cellStyle name="Input 3 2 2 4 4 7" xfId="11410"/>
    <cellStyle name="Input 3 2 2 4 4 8" xfId="11411"/>
    <cellStyle name="Input 3 2 2 4 5" xfId="11412"/>
    <cellStyle name="Input 3 2 2 4 5 2" xfId="11413"/>
    <cellStyle name="Input 3 2 2 4 5 3" xfId="11414"/>
    <cellStyle name="Input 3 2 2 4 5 4" xfId="11415"/>
    <cellStyle name="Input 3 2 2 4 5 5" xfId="11416"/>
    <cellStyle name="Input 3 2 2 4 5 6" xfId="11417"/>
    <cellStyle name="Input 3 2 2 4 5 7" xfId="11418"/>
    <cellStyle name="Input 3 2 2 4 6" xfId="11419"/>
    <cellStyle name="Input 3 2 2 4 7" xfId="11420"/>
    <cellStyle name="Input 3 2 2 4 8" xfId="11421"/>
    <cellStyle name="Input 3 2 2 4 9" xfId="11422"/>
    <cellStyle name="Input 3 2 2 5" xfId="11423"/>
    <cellStyle name="Input 3 2 2 5 2" xfId="11424"/>
    <cellStyle name="Input 3 2 2 5 2 2" xfId="11425"/>
    <cellStyle name="Input 3 2 2 5 2 2 2" xfId="11426"/>
    <cellStyle name="Input 3 2 2 5 2 2 3" xfId="11427"/>
    <cellStyle name="Input 3 2 2 5 2 2 4" xfId="11428"/>
    <cellStyle name="Input 3 2 2 5 2 2 5" xfId="11429"/>
    <cellStyle name="Input 3 2 2 5 2 2 6" xfId="11430"/>
    <cellStyle name="Input 3 2 2 5 2 2 7" xfId="11431"/>
    <cellStyle name="Input 3 2 2 5 2 3" xfId="11432"/>
    <cellStyle name="Input 3 2 2 5 2 4" xfId="11433"/>
    <cellStyle name="Input 3 2 2 5 2 5" xfId="11434"/>
    <cellStyle name="Input 3 2 2 5 2 6" xfId="11435"/>
    <cellStyle name="Input 3 2 2 5 2 7" xfId="11436"/>
    <cellStyle name="Input 3 2 2 5 2 8" xfId="11437"/>
    <cellStyle name="Input 3 2 2 5 3" xfId="11438"/>
    <cellStyle name="Input 3 2 2 5 3 2" xfId="11439"/>
    <cellStyle name="Input 3 2 2 5 3 2 2" xfId="11440"/>
    <cellStyle name="Input 3 2 2 5 3 2 3" xfId="11441"/>
    <cellStyle name="Input 3 2 2 5 3 2 4" xfId="11442"/>
    <cellStyle name="Input 3 2 2 5 3 2 5" xfId="11443"/>
    <cellStyle name="Input 3 2 2 5 3 2 6" xfId="11444"/>
    <cellStyle name="Input 3 2 2 5 3 2 7" xfId="11445"/>
    <cellStyle name="Input 3 2 2 5 3 3" xfId="11446"/>
    <cellStyle name="Input 3 2 2 5 3 4" xfId="11447"/>
    <cellStyle name="Input 3 2 2 5 3 5" xfId="11448"/>
    <cellStyle name="Input 3 2 2 5 3 6" xfId="11449"/>
    <cellStyle name="Input 3 2 2 5 3 7" xfId="11450"/>
    <cellStyle name="Input 3 2 2 5 3 8" xfId="11451"/>
    <cellStyle name="Input 3 2 2 5 4" xfId="11452"/>
    <cellStyle name="Input 3 2 2 5 4 2" xfId="11453"/>
    <cellStyle name="Input 3 2 2 5 4 2 2" xfId="11454"/>
    <cellStyle name="Input 3 2 2 5 4 2 3" xfId="11455"/>
    <cellStyle name="Input 3 2 2 5 4 2 4" xfId="11456"/>
    <cellStyle name="Input 3 2 2 5 4 2 5" xfId="11457"/>
    <cellStyle name="Input 3 2 2 5 4 2 6" xfId="11458"/>
    <cellStyle name="Input 3 2 2 5 4 2 7" xfId="11459"/>
    <cellStyle name="Input 3 2 2 5 4 3" xfId="11460"/>
    <cellStyle name="Input 3 2 2 5 4 4" xfId="11461"/>
    <cellStyle name="Input 3 2 2 5 4 5" xfId="11462"/>
    <cellStyle name="Input 3 2 2 5 4 6" xfId="11463"/>
    <cellStyle name="Input 3 2 2 5 4 7" xfId="11464"/>
    <cellStyle name="Input 3 2 2 5 4 8" xfId="11465"/>
    <cellStyle name="Input 3 2 2 5 5" xfId="11466"/>
    <cellStyle name="Input 3 2 2 5 5 2" xfId="11467"/>
    <cellStyle name="Input 3 2 2 5 5 3" xfId="11468"/>
    <cellStyle name="Input 3 2 2 5 5 4" xfId="11469"/>
    <cellStyle name="Input 3 2 2 5 5 5" xfId="11470"/>
    <cellStyle name="Input 3 2 2 5 5 6" xfId="11471"/>
    <cellStyle name="Input 3 2 2 5 5 7" xfId="11472"/>
    <cellStyle name="Input 3 2 2 5 6" xfId="11473"/>
    <cellStyle name="Input 3 2 2 5 7" xfId="11474"/>
    <cellStyle name="Input 3 2 2 5 8" xfId="11475"/>
    <cellStyle name="Input 3 2 2 5 9" xfId="11476"/>
    <cellStyle name="Input 3 2 2 6" xfId="11477"/>
    <cellStyle name="Input 3 2 2 6 2" xfId="11478"/>
    <cellStyle name="Input 3 2 2 6 2 2" xfId="11479"/>
    <cellStyle name="Input 3 2 2 6 2 3" xfId="11480"/>
    <cellStyle name="Input 3 2 2 6 2 4" xfId="11481"/>
    <cellStyle name="Input 3 2 2 6 2 5" xfId="11482"/>
    <cellStyle name="Input 3 2 2 6 2 6" xfId="11483"/>
    <cellStyle name="Input 3 2 2 6 2 7" xfId="11484"/>
    <cellStyle name="Input 3 2 2 6 3" xfId="11485"/>
    <cellStyle name="Input 3 2 2 6 4" xfId="11486"/>
    <cellStyle name="Input 3 2 2 6 5" xfId="11487"/>
    <cellStyle name="Input 3 2 2 6 6" xfId="11488"/>
    <cellStyle name="Input 3 2 2 6 7" xfId="11489"/>
    <cellStyle name="Input 3 2 2 6 8" xfId="11490"/>
    <cellStyle name="Input 3 2 2 7" xfId="11491"/>
    <cellStyle name="Input 3 2 2 7 2" xfId="11492"/>
    <cellStyle name="Input 3 2 2 7 2 2" xfId="11493"/>
    <cellStyle name="Input 3 2 2 7 2 3" xfId="11494"/>
    <cellStyle name="Input 3 2 2 7 2 4" xfId="11495"/>
    <cellStyle name="Input 3 2 2 7 2 5" xfId="11496"/>
    <cellStyle name="Input 3 2 2 7 2 6" xfId="11497"/>
    <cellStyle name="Input 3 2 2 7 2 7" xfId="11498"/>
    <cellStyle name="Input 3 2 2 7 3" xfId="11499"/>
    <cellStyle name="Input 3 2 2 7 4" xfId="11500"/>
    <cellStyle name="Input 3 2 2 7 5" xfId="11501"/>
    <cellStyle name="Input 3 2 2 7 6" xfId="11502"/>
    <cellStyle name="Input 3 2 2 7 7" xfId="11503"/>
    <cellStyle name="Input 3 2 2 7 8" xfId="11504"/>
    <cellStyle name="Input 3 2 2 8" xfId="11505"/>
    <cellStyle name="Input 3 2 2 8 2" xfId="11506"/>
    <cellStyle name="Input 3 2 2 8 2 2" xfId="11507"/>
    <cellStyle name="Input 3 2 2 8 2 3" xfId="11508"/>
    <cellStyle name="Input 3 2 2 8 2 4" xfId="11509"/>
    <cellStyle name="Input 3 2 2 8 2 5" xfId="11510"/>
    <cellStyle name="Input 3 2 2 8 2 6" xfId="11511"/>
    <cellStyle name="Input 3 2 2 8 2 7" xfId="11512"/>
    <cellStyle name="Input 3 2 2 8 3" xfId="11513"/>
    <cellStyle name="Input 3 2 2 8 4" xfId="11514"/>
    <cellStyle name="Input 3 2 2 8 5" xfId="11515"/>
    <cellStyle name="Input 3 2 2 8 6" xfId="11516"/>
    <cellStyle name="Input 3 2 2 8 7" xfId="11517"/>
    <cellStyle name="Input 3 2 2 8 8" xfId="11518"/>
    <cellStyle name="Input 3 2 2 9" xfId="11519"/>
    <cellStyle name="Input 3 2 2 9 2" xfId="11520"/>
    <cellStyle name="Input 3 2 2 9 3" xfId="11521"/>
    <cellStyle name="Input 3 2 2 9 4" xfId="11522"/>
    <cellStyle name="Input 3 2 2 9 5" xfId="11523"/>
    <cellStyle name="Input 3 2 2 9 6" xfId="11524"/>
    <cellStyle name="Input 3 2 2 9 7" xfId="11525"/>
    <cellStyle name="Input 3 2 3" xfId="11526"/>
    <cellStyle name="Input 3 2 3 10" xfId="11527"/>
    <cellStyle name="Input 3 2 3 11" xfId="11528"/>
    <cellStyle name="Input 3 2 3 2" xfId="11529"/>
    <cellStyle name="Input 3 2 3 2 2" xfId="11530"/>
    <cellStyle name="Input 3 2 3 2 2 2" xfId="11531"/>
    <cellStyle name="Input 3 2 3 2 2 3" xfId="11532"/>
    <cellStyle name="Input 3 2 3 2 2 4" xfId="11533"/>
    <cellStyle name="Input 3 2 3 2 2 5" xfId="11534"/>
    <cellStyle name="Input 3 2 3 2 2 6" xfId="11535"/>
    <cellStyle name="Input 3 2 3 2 2 7" xfId="11536"/>
    <cellStyle name="Input 3 2 3 2 3" xfId="11537"/>
    <cellStyle name="Input 3 2 3 2 4" xfId="11538"/>
    <cellStyle name="Input 3 2 3 2 5" xfId="11539"/>
    <cellStyle name="Input 3 2 3 2 6" xfId="11540"/>
    <cellStyle name="Input 3 2 3 2 7" xfId="11541"/>
    <cellStyle name="Input 3 2 3 2 8" xfId="11542"/>
    <cellStyle name="Input 3 2 3 3" xfId="11543"/>
    <cellStyle name="Input 3 2 3 3 2" xfId="11544"/>
    <cellStyle name="Input 3 2 3 3 2 2" xfId="11545"/>
    <cellStyle name="Input 3 2 3 3 2 3" xfId="11546"/>
    <cellStyle name="Input 3 2 3 3 2 4" xfId="11547"/>
    <cellStyle name="Input 3 2 3 3 2 5" xfId="11548"/>
    <cellStyle name="Input 3 2 3 3 2 6" xfId="11549"/>
    <cellStyle name="Input 3 2 3 3 2 7" xfId="11550"/>
    <cellStyle name="Input 3 2 3 3 3" xfId="11551"/>
    <cellStyle name="Input 3 2 3 3 4" xfId="11552"/>
    <cellStyle name="Input 3 2 3 3 5" xfId="11553"/>
    <cellStyle name="Input 3 2 3 3 6" xfId="11554"/>
    <cellStyle name="Input 3 2 3 3 7" xfId="11555"/>
    <cellStyle name="Input 3 2 3 3 8" xfId="11556"/>
    <cellStyle name="Input 3 2 3 4" xfId="11557"/>
    <cellStyle name="Input 3 2 3 4 2" xfId="11558"/>
    <cellStyle name="Input 3 2 3 4 2 2" xfId="11559"/>
    <cellStyle name="Input 3 2 3 4 2 3" xfId="11560"/>
    <cellStyle name="Input 3 2 3 4 2 4" xfId="11561"/>
    <cellStyle name="Input 3 2 3 4 2 5" xfId="11562"/>
    <cellStyle name="Input 3 2 3 4 2 6" xfId="11563"/>
    <cellStyle name="Input 3 2 3 4 2 7" xfId="11564"/>
    <cellStyle name="Input 3 2 3 4 3" xfId="11565"/>
    <cellStyle name="Input 3 2 3 4 4" xfId="11566"/>
    <cellStyle name="Input 3 2 3 4 5" xfId="11567"/>
    <cellStyle name="Input 3 2 3 4 6" xfId="11568"/>
    <cellStyle name="Input 3 2 3 4 7" xfId="11569"/>
    <cellStyle name="Input 3 2 3 4 8" xfId="11570"/>
    <cellStyle name="Input 3 2 3 5" xfId="11571"/>
    <cellStyle name="Input 3 2 3 5 2" xfId="11572"/>
    <cellStyle name="Input 3 2 3 5 3" xfId="11573"/>
    <cellStyle name="Input 3 2 3 5 4" xfId="11574"/>
    <cellStyle name="Input 3 2 3 5 5" xfId="11575"/>
    <cellStyle name="Input 3 2 3 5 6" xfId="11576"/>
    <cellStyle name="Input 3 2 3 5 7" xfId="11577"/>
    <cellStyle name="Input 3 2 3 6" xfId="11578"/>
    <cellStyle name="Input 3 2 3 7" xfId="11579"/>
    <cellStyle name="Input 3 2 3 8" xfId="11580"/>
    <cellStyle name="Input 3 2 3 9" xfId="11581"/>
    <cellStyle name="Input 3 2 4" xfId="11582"/>
    <cellStyle name="Input 3 2 4 2" xfId="11583"/>
    <cellStyle name="Input 3 2 4 2 2" xfId="11584"/>
    <cellStyle name="Input 3 2 4 2 3" xfId="11585"/>
    <cellStyle name="Input 3 2 4 2 4" xfId="11586"/>
    <cellStyle name="Input 3 2 4 2 5" xfId="11587"/>
    <cellStyle name="Input 3 2 4 2 6" xfId="11588"/>
    <cellStyle name="Input 3 2 4 2 7" xfId="11589"/>
    <cellStyle name="Input 3 2 4 3" xfId="11590"/>
    <cellStyle name="Input 3 2 4 4" xfId="11591"/>
    <cellStyle name="Input 3 2 4 5" xfId="11592"/>
    <cellStyle name="Input 3 2 4 6" xfId="11593"/>
    <cellStyle name="Input 3 2 4 7" xfId="11594"/>
    <cellStyle name="Input 3 2 4 8" xfId="11595"/>
    <cellStyle name="Input 3 2 5" xfId="11596"/>
    <cellStyle name="Input 3 2 5 2" xfId="11597"/>
    <cellStyle name="Input 3 2 5 2 2" xfId="11598"/>
    <cellStyle name="Input 3 2 5 2 3" xfId="11599"/>
    <cellStyle name="Input 3 2 5 2 4" xfId="11600"/>
    <cellStyle name="Input 3 2 5 2 5" xfId="11601"/>
    <cellStyle name="Input 3 2 5 2 6" xfId="11602"/>
    <cellStyle name="Input 3 2 5 2 7" xfId="11603"/>
    <cellStyle name="Input 3 2 5 3" xfId="11604"/>
    <cellStyle name="Input 3 2 5 4" xfId="11605"/>
    <cellStyle name="Input 3 2 5 5" xfId="11606"/>
    <cellStyle name="Input 3 2 5 6" xfId="11607"/>
    <cellStyle name="Input 3 2 5 7" xfId="11608"/>
    <cellStyle name="Input 3 2 5 8" xfId="11609"/>
    <cellStyle name="Input 3 2 6" xfId="11610"/>
    <cellStyle name="Input 3 2 6 2" xfId="11611"/>
    <cellStyle name="Input 3 2 6 2 2" xfId="11612"/>
    <cellStyle name="Input 3 2 6 2 3" xfId="11613"/>
    <cellStyle name="Input 3 2 6 2 4" xfId="11614"/>
    <cellStyle name="Input 3 2 6 2 5" xfId="11615"/>
    <cellStyle name="Input 3 2 6 2 6" xfId="11616"/>
    <cellStyle name="Input 3 2 6 2 7" xfId="11617"/>
    <cellStyle name="Input 3 2 6 3" xfId="11618"/>
    <cellStyle name="Input 3 2 6 4" xfId="11619"/>
    <cellStyle name="Input 3 2 6 5" xfId="11620"/>
    <cellStyle name="Input 3 2 6 6" xfId="11621"/>
    <cellStyle name="Input 3 2 6 7" xfId="11622"/>
    <cellStyle name="Input 3 2 6 8" xfId="11623"/>
    <cellStyle name="Input 3 2 7" xfId="11624"/>
    <cellStyle name="Input 3 2 7 2" xfId="11625"/>
    <cellStyle name="Input 3 2 7 3" xfId="11626"/>
    <cellStyle name="Input 3 2 7 4" xfId="11627"/>
    <cellStyle name="Input 3 2 7 5" xfId="11628"/>
    <cellStyle name="Input 3 2 7 6" xfId="11629"/>
    <cellStyle name="Input 3 2 7 7" xfId="11630"/>
    <cellStyle name="Input 3 2 8" xfId="11631"/>
    <cellStyle name="Input 3 2 9" xfId="11632"/>
    <cellStyle name="Input 3 3" xfId="2330"/>
    <cellStyle name="Input 3 3 10" xfId="11633"/>
    <cellStyle name="Input 3 3 11" xfId="11634"/>
    <cellStyle name="Input 3 3 12" xfId="11635"/>
    <cellStyle name="Input 3 3 13" xfId="11636"/>
    <cellStyle name="Input 3 3 2" xfId="11637"/>
    <cellStyle name="Input 3 3 2 2" xfId="11638"/>
    <cellStyle name="Input 3 3 2 2 2" xfId="11639"/>
    <cellStyle name="Input 3 3 2 2 2 2" xfId="11640"/>
    <cellStyle name="Input 3 3 2 2 2 3" xfId="11641"/>
    <cellStyle name="Input 3 3 2 2 2 4" xfId="11642"/>
    <cellStyle name="Input 3 3 2 2 2 5" xfId="11643"/>
    <cellStyle name="Input 3 3 2 2 2 6" xfId="11644"/>
    <cellStyle name="Input 3 3 2 2 2 7" xfId="11645"/>
    <cellStyle name="Input 3 3 2 2 3" xfId="11646"/>
    <cellStyle name="Input 3 3 2 2 4" xfId="11647"/>
    <cellStyle name="Input 3 3 2 2 5" xfId="11648"/>
    <cellStyle name="Input 3 3 2 2 6" xfId="11649"/>
    <cellStyle name="Input 3 3 2 2 7" xfId="11650"/>
    <cellStyle name="Input 3 3 2 2 8" xfId="11651"/>
    <cellStyle name="Input 3 3 2 3" xfId="11652"/>
    <cellStyle name="Input 3 3 2 3 2" xfId="11653"/>
    <cellStyle name="Input 3 3 2 3 2 2" xfId="11654"/>
    <cellStyle name="Input 3 3 2 3 2 3" xfId="11655"/>
    <cellStyle name="Input 3 3 2 3 2 4" xfId="11656"/>
    <cellStyle name="Input 3 3 2 3 2 5" xfId="11657"/>
    <cellStyle name="Input 3 3 2 3 2 6" xfId="11658"/>
    <cellStyle name="Input 3 3 2 3 2 7" xfId="11659"/>
    <cellStyle name="Input 3 3 2 3 3" xfId="11660"/>
    <cellStyle name="Input 3 3 2 3 4" xfId="11661"/>
    <cellStyle name="Input 3 3 2 3 5" xfId="11662"/>
    <cellStyle name="Input 3 3 2 3 6" xfId="11663"/>
    <cellStyle name="Input 3 3 2 3 7" xfId="11664"/>
    <cellStyle name="Input 3 3 2 3 8" xfId="11665"/>
    <cellStyle name="Input 3 3 2 4" xfId="11666"/>
    <cellStyle name="Input 3 3 2 4 2" xfId="11667"/>
    <cellStyle name="Input 3 3 2 4 2 2" xfId="11668"/>
    <cellStyle name="Input 3 3 2 4 2 3" xfId="11669"/>
    <cellStyle name="Input 3 3 2 4 2 4" xfId="11670"/>
    <cellStyle name="Input 3 3 2 4 2 5" xfId="11671"/>
    <cellStyle name="Input 3 3 2 4 2 6" xfId="11672"/>
    <cellStyle name="Input 3 3 2 4 2 7" xfId="11673"/>
    <cellStyle name="Input 3 3 2 4 3" xfId="11674"/>
    <cellStyle name="Input 3 3 2 4 4" xfId="11675"/>
    <cellStyle name="Input 3 3 2 4 5" xfId="11676"/>
    <cellStyle name="Input 3 3 2 4 6" xfId="11677"/>
    <cellStyle name="Input 3 3 2 4 7" xfId="11678"/>
    <cellStyle name="Input 3 3 2 4 8" xfId="11679"/>
    <cellStyle name="Input 3 3 2 5" xfId="11680"/>
    <cellStyle name="Input 3 3 2 5 2" xfId="11681"/>
    <cellStyle name="Input 3 3 2 5 3" xfId="11682"/>
    <cellStyle name="Input 3 3 2 5 4" xfId="11683"/>
    <cellStyle name="Input 3 3 2 5 5" xfId="11684"/>
    <cellStyle name="Input 3 3 2 5 6" xfId="11685"/>
    <cellStyle name="Input 3 3 2 5 7" xfId="11686"/>
    <cellStyle name="Input 3 3 2 6" xfId="11687"/>
    <cellStyle name="Input 3 3 2 7" xfId="11688"/>
    <cellStyle name="Input 3 3 2 8" xfId="11689"/>
    <cellStyle name="Input 3 3 2 9" xfId="11690"/>
    <cellStyle name="Input 3 3 3" xfId="11691"/>
    <cellStyle name="Input 3 3 3 2" xfId="11692"/>
    <cellStyle name="Input 3 3 3 2 2" xfId="11693"/>
    <cellStyle name="Input 3 3 3 2 2 2" xfId="11694"/>
    <cellStyle name="Input 3 3 3 2 2 3" xfId="11695"/>
    <cellStyle name="Input 3 3 3 2 2 4" xfId="11696"/>
    <cellStyle name="Input 3 3 3 2 2 5" xfId="11697"/>
    <cellStyle name="Input 3 3 3 2 2 6" xfId="11698"/>
    <cellStyle name="Input 3 3 3 2 2 7" xfId="11699"/>
    <cellStyle name="Input 3 3 3 2 3" xfId="11700"/>
    <cellStyle name="Input 3 3 3 2 4" xfId="11701"/>
    <cellStyle name="Input 3 3 3 2 5" xfId="11702"/>
    <cellStyle name="Input 3 3 3 2 6" xfId="11703"/>
    <cellStyle name="Input 3 3 3 2 7" xfId="11704"/>
    <cellStyle name="Input 3 3 3 2 8" xfId="11705"/>
    <cellStyle name="Input 3 3 3 3" xfId="11706"/>
    <cellStyle name="Input 3 3 3 3 2" xfId="11707"/>
    <cellStyle name="Input 3 3 3 3 2 2" xfId="11708"/>
    <cellStyle name="Input 3 3 3 3 2 3" xfId="11709"/>
    <cellStyle name="Input 3 3 3 3 2 4" xfId="11710"/>
    <cellStyle name="Input 3 3 3 3 2 5" xfId="11711"/>
    <cellStyle name="Input 3 3 3 3 2 6" xfId="11712"/>
    <cellStyle name="Input 3 3 3 3 2 7" xfId="11713"/>
    <cellStyle name="Input 3 3 3 3 3" xfId="11714"/>
    <cellStyle name="Input 3 3 3 3 4" xfId="11715"/>
    <cellStyle name="Input 3 3 3 3 5" xfId="11716"/>
    <cellStyle name="Input 3 3 3 3 6" xfId="11717"/>
    <cellStyle name="Input 3 3 3 3 7" xfId="11718"/>
    <cellStyle name="Input 3 3 3 3 8" xfId="11719"/>
    <cellStyle name="Input 3 3 3 4" xfId="11720"/>
    <cellStyle name="Input 3 3 3 4 2" xfId="11721"/>
    <cellStyle name="Input 3 3 3 4 2 2" xfId="11722"/>
    <cellStyle name="Input 3 3 3 4 2 3" xfId="11723"/>
    <cellStyle name="Input 3 3 3 4 2 4" xfId="11724"/>
    <cellStyle name="Input 3 3 3 4 2 5" xfId="11725"/>
    <cellStyle name="Input 3 3 3 4 2 6" xfId="11726"/>
    <cellStyle name="Input 3 3 3 4 2 7" xfId="11727"/>
    <cellStyle name="Input 3 3 3 4 3" xfId="11728"/>
    <cellStyle name="Input 3 3 3 4 4" xfId="11729"/>
    <cellStyle name="Input 3 3 3 4 5" xfId="11730"/>
    <cellStyle name="Input 3 3 3 4 6" xfId="11731"/>
    <cellStyle name="Input 3 3 3 4 7" xfId="11732"/>
    <cellStyle name="Input 3 3 3 4 8" xfId="11733"/>
    <cellStyle name="Input 3 3 3 5" xfId="11734"/>
    <cellStyle name="Input 3 3 3 5 2" xfId="11735"/>
    <cellStyle name="Input 3 3 3 5 3" xfId="11736"/>
    <cellStyle name="Input 3 3 3 5 4" xfId="11737"/>
    <cellStyle name="Input 3 3 3 5 5" xfId="11738"/>
    <cellStyle name="Input 3 3 3 5 6" xfId="11739"/>
    <cellStyle name="Input 3 3 3 5 7" xfId="11740"/>
    <cellStyle name="Input 3 3 3 6" xfId="11741"/>
    <cellStyle name="Input 3 3 3 7" xfId="11742"/>
    <cellStyle name="Input 3 3 3 8" xfId="11743"/>
    <cellStyle name="Input 3 3 3 9" xfId="11744"/>
    <cellStyle name="Input 3 3 4" xfId="11745"/>
    <cellStyle name="Input 3 3 4 2" xfId="11746"/>
    <cellStyle name="Input 3 3 4 2 2" xfId="11747"/>
    <cellStyle name="Input 3 3 4 2 2 2" xfId="11748"/>
    <cellStyle name="Input 3 3 4 2 2 3" xfId="11749"/>
    <cellStyle name="Input 3 3 4 2 2 4" xfId="11750"/>
    <cellStyle name="Input 3 3 4 2 2 5" xfId="11751"/>
    <cellStyle name="Input 3 3 4 2 2 6" xfId="11752"/>
    <cellStyle name="Input 3 3 4 2 2 7" xfId="11753"/>
    <cellStyle name="Input 3 3 4 2 3" xfId="11754"/>
    <cellStyle name="Input 3 3 4 2 4" xfId="11755"/>
    <cellStyle name="Input 3 3 4 2 5" xfId="11756"/>
    <cellStyle name="Input 3 3 4 2 6" xfId="11757"/>
    <cellStyle name="Input 3 3 4 2 7" xfId="11758"/>
    <cellStyle name="Input 3 3 4 2 8" xfId="11759"/>
    <cellStyle name="Input 3 3 4 3" xfId="11760"/>
    <cellStyle name="Input 3 3 4 3 2" xfId="11761"/>
    <cellStyle name="Input 3 3 4 3 2 2" xfId="11762"/>
    <cellStyle name="Input 3 3 4 3 2 3" xfId="11763"/>
    <cellStyle name="Input 3 3 4 3 2 4" xfId="11764"/>
    <cellStyle name="Input 3 3 4 3 2 5" xfId="11765"/>
    <cellStyle name="Input 3 3 4 3 2 6" xfId="11766"/>
    <cellStyle name="Input 3 3 4 3 2 7" xfId="11767"/>
    <cellStyle name="Input 3 3 4 3 3" xfId="11768"/>
    <cellStyle name="Input 3 3 4 3 4" xfId="11769"/>
    <cellStyle name="Input 3 3 4 3 5" xfId="11770"/>
    <cellStyle name="Input 3 3 4 3 6" xfId="11771"/>
    <cellStyle name="Input 3 3 4 3 7" xfId="11772"/>
    <cellStyle name="Input 3 3 4 3 8" xfId="11773"/>
    <cellStyle name="Input 3 3 4 4" xfId="11774"/>
    <cellStyle name="Input 3 3 4 4 2" xfId="11775"/>
    <cellStyle name="Input 3 3 4 4 2 2" xfId="11776"/>
    <cellStyle name="Input 3 3 4 4 2 3" xfId="11777"/>
    <cellStyle name="Input 3 3 4 4 2 4" xfId="11778"/>
    <cellStyle name="Input 3 3 4 4 2 5" xfId="11779"/>
    <cellStyle name="Input 3 3 4 4 2 6" xfId="11780"/>
    <cellStyle name="Input 3 3 4 4 2 7" xfId="11781"/>
    <cellStyle name="Input 3 3 4 4 3" xfId="11782"/>
    <cellStyle name="Input 3 3 4 4 4" xfId="11783"/>
    <cellStyle name="Input 3 3 4 4 5" xfId="11784"/>
    <cellStyle name="Input 3 3 4 4 6" xfId="11785"/>
    <cellStyle name="Input 3 3 4 4 7" xfId="11786"/>
    <cellStyle name="Input 3 3 4 4 8" xfId="11787"/>
    <cellStyle name="Input 3 3 4 5" xfId="11788"/>
    <cellStyle name="Input 3 3 4 5 2" xfId="11789"/>
    <cellStyle name="Input 3 3 4 5 3" xfId="11790"/>
    <cellStyle name="Input 3 3 4 5 4" xfId="11791"/>
    <cellStyle name="Input 3 3 4 5 5" xfId="11792"/>
    <cellStyle name="Input 3 3 4 5 6" xfId="11793"/>
    <cellStyle name="Input 3 3 4 5 7" xfId="11794"/>
    <cellStyle name="Input 3 3 4 6" xfId="11795"/>
    <cellStyle name="Input 3 3 4 7" xfId="11796"/>
    <cellStyle name="Input 3 3 4 8" xfId="11797"/>
    <cellStyle name="Input 3 3 4 9" xfId="11798"/>
    <cellStyle name="Input 3 3 5" xfId="11799"/>
    <cellStyle name="Input 3 3 5 2" xfId="11800"/>
    <cellStyle name="Input 3 3 5 2 2" xfId="11801"/>
    <cellStyle name="Input 3 3 5 2 2 2" xfId="11802"/>
    <cellStyle name="Input 3 3 5 2 2 3" xfId="11803"/>
    <cellStyle name="Input 3 3 5 2 2 4" xfId="11804"/>
    <cellStyle name="Input 3 3 5 2 2 5" xfId="11805"/>
    <cellStyle name="Input 3 3 5 2 2 6" xfId="11806"/>
    <cellStyle name="Input 3 3 5 2 2 7" xfId="11807"/>
    <cellStyle name="Input 3 3 5 2 3" xfId="11808"/>
    <cellStyle name="Input 3 3 5 2 4" xfId="11809"/>
    <cellStyle name="Input 3 3 5 2 5" xfId="11810"/>
    <cellStyle name="Input 3 3 5 2 6" xfId="11811"/>
    <cellStyle name="Input 3 3 5 2 7" xfId="11812"/>
    <cellStyle name="Input 3 3 5 2 8" xfId="11813"/>
    <cellStyle name="Input 3 3 5 3" xfId="11814"/>
    <cellStyle name="Input 3 3 5 3 2" xfId="11815"/>
    <cellStyle name="Input 3 3 5 3 2 2" xfId="11816"/>
    <cellStyle name="Input 3 3 5 3 2 3" xfId="11817"/>
    <cellStyle name="Input 3 3 5 3 2 4" xfId="11818"/>
    <cellStyle name="Input 3 3 5 3 2 5" xfId="11819"/>
    <cellStyle name="Input 3 3 5 3 2 6" xfId="11820"/>
    <cellStyle name="Input 3 3 5 3 2 7" xfId="11821"/>
    <cellStyle name="Input 3 3 5 3 3" xfId="11822"/>
    <cellStyle name="Input 3 3 5 3 4" xfId="11823"/>
    <cellStyle name="Input 3 3 5 3 5" xfId="11824"/>
    <cellStyle name="Input 3 3 5 3 6" xfId="11825"/>
    <cellStyle name="Input 3 3 5 3 7" xfId="11826"/>
    <cellStyle name="Input 3 3 5 3 8" xfId="11827"/>
    <cellStyle name="Input 3 3 5 4" xfId="11828"/>
    <cellStyle name="Input 3 3 5 4 2" xfId="11829"/>
    <cellStyle name="Input 3 3 5 4 2 2" xfId="11830"/>
    <cellStyle name="Input 3 3 5 4 2 3" xfId="11831"/>
    <cellStyle name="Input 3 3 5 4 2 4" xfId="11832"/>
    <cellStyle name="Input 3 3 5 4 2 5" xfId="11833"/>
    <cellStyle name="Input 3 3 5 4 2 6" xfId="11834"/>
    <cellStyle name="Input 3 3 5 4 2 7" xfId="11835"/>
    <cellStyle name="Input 3 3 5 4 3" xfId="11836"/>
    <cellStyle name="Input 3 3 5 4 4" xfId="11837"/>
    <cellStyle name="Input 3 3 5 4 5" xfId="11838"/>
    <cellStyle name="Input 3 3 5 4 6" xfId="11839"/>
    <cellStyle name="Input 3 3 5 4 7" xfId="11840"/>
    <cellStyle name="Input 3 3 5 4 8" xfId="11841"/>
    <cellStyle name="Input 3 3 5 5" xfId="11842"/>
    <cellStyle name="Input 3 3 5 5 2" xfId="11843"/>
    <cellStyle name="Input 3 3 5 5 3" xfId="11844"/>
    <cellStyle name="Input 3 3 5 5 4" xfId="11845"/>
    <cellStyle name="Input 3 3 5 5 5" xfId="11846"/>
    <cellStyle name="Input 3 3 5 5 6" xfId="11847"/>
    <cellStyle name="Input 3 3 5 5 7" xfId="11848"/>
    <cellStyle name="Input 3 3 5 6" xfId="11849"/>
    <cellStyle name="Input 3 3 5 7" xfId="11850"/>
    <cellStyle name="Input 3 3 5 8" xfId="11851"/>
    <cellStyle name="Input 3 3 5 9" xfId="11852"/>
    <cellStyle name="Input 3 3 6" xfId="11853"/>
    <cellStyle name="Input 3 3 6 2" xfId="11854"/>
    <cellStyle name="Input 3 3 6 2 2" xfId="11855"/>
    <cellStyle name="Input 3 3 6 2 3" xfId="11856"/>
    <cellStyle name="Input 3 3 6 2 4" xfId="11857"/>
    <cellStyle name="Input 3 3 6 2 5" xfId="11858"/>
    <cellStyle name="Input 3 3 6 2 6" xfId="11859"/>
    <cellStyle name="Input 3 3 6 2 7" xfId="11860"/>
    <cellStyle name="Input 3 3 6 3" xfId="11861"/>
    <cellStyle name="Input 3 3 6 4" xfId="11862"/>
    <cellStyle name="Input 3 3 6 5" xfId="11863"/>
    <cellStyle name="Input 3 3 6 6" xfId="11864"/>
    <cellStyle name="Input 3 3 6 7" xfId="11865"/>
    <cellStyle name="Input 3 3 6 8" xfId="11866"/>
    <cellStyle name="Input 3 3 7" xfId="11867"/>
    <cellStyle name="Input 3 3 7 2" xfId="11868"/>
    <cellStyle name="Input 3 3 7 2 2" xfId="11869"/>
    <cellStyle name="Input 3 3 7 2 3" xfId="11870"/>
    <cellStyle name="Input 3 3 7 2 4" xfId="11871"/>
    <cellStyle name="Input 3 3 7 2 5" xfId="11872"/>
    <cellStyle name="Input 3 3 7 2 6" xfId="11873"/>
    <cellStyle name="Input 3 3 7 2 7" xfId="11874"/>
    <cellStyle name="Input 3 3 7 3" xfId="11875"/>
    <cellStyle name="Input 3 3 7 4" xfId="11876"/>
    <cellStyle name="Input 3 3 7 5" xfId="11877"/>
    <cellStyle name="Input 3 3 7 6" xfId="11878"/>
    <cellStyle name="Input 3 3 7 7" xfId="11879"/>
    <cellStyle name="Input 3 3 7 8" xfId="11880"/>
    <cellStyle name="Input 3 3 8" xfId="11881"/>
    <cellStyle name="Input 3 3 8 2" xfId="11882"/>
    <cellStyle name="Input 3 3 8 2 2" xfId="11883"/>
    <cellStyle name="Input 3 3 8 2 3" xfId="11884"/>
    <cellStyle name="Input 3 3 8 2 4" xfId="11885"/>
    <cellStyle name="Input 3 3 8 2 5" xfId="11886"/>
    <cellStyle name="Input 3 3 8 2 6" xfId="11887"/>
    <cellStyle name="Input 3 3 8 2 7" xfId="11888"/>
    <cellStyle name="Input 3 3 8 3" xfId="11889"/>
    <cellStyle name="Input 3 3 8 4" xfId="11890"/>
    <cellStyle name="Input 3 3 8 5" xfId="11891"/>
    <cellStyle name="Input 3 3 8 6" xfId="11892"/>
    <cellStyle name="Input 3 3 8 7" xfId="11893"/>
    <cellStyle name="Input 3 3 8 8" xfId="11894"/>
    <cellStyle name="Input 3 3 9" xfId="11895"/>
    <cellStyle name="Input 3 3 9 2" xfId="11896"/>
    <cellStyle name="Input 3 3 9 3" xfId="11897"/>
    <cellStyle name="Input 3 3 9 4" xfId="11898"/>
    <cellStyle name="Input 3 3 9 5" xfId="11899"/>
    <cellStyle name="Input 3 3 9 6" xfId="11900"/>
    <cellStyle name="Input 3 3 9 7" xfId="11901"/>
    <cellStyle name="Input 3 4" xfId="11902"/>
    <cellStyle name="Input 3 4 10" xfId="11903"/>
    <cellStyle name="Input 3 4 11" xfId="11904"/>
    <cellStyle name="Input 3 4 12" xfId="11905"/>
    <cellStyle name="Input 3 4 13" xfId="11906"/>
    <cellStyle name="Input 3 4 2" xfId="11907"/>
    <cellStyle name="Input 3 4 2 2" xfId="11908"/>
    <cellStyle name="Input 3 4 2 2 2" xfId="11909"/>
    <cellStyle name="Input 3 4 2 2 2 2" xfId="11910"/>
    <cellStyle name="Input 3 4 2 2 2 3" xfId="11911"/>
    <cellStyle name="Input 3 4 2 2 2 4" xfId="11912"/>
    <cellStyle name="Input 3 4 2 2 2 5" xfId="11913"/>
    <cellStyle name="Input 3 4 2 2 2 6" xfId="11914"/>
    <cellStyle name="Input 3 4 2 2 2 7" xfId="11915"/>
    <cellStyle name="Input 3 4 2 2 3" xfId="11916"/>
    <cellStyle name="Input 3 4 2 2 4" xfId="11917"/>
    <cellStyle name="Input 3 4 2 2 5" xfId="11918"/>
    <cellStyle name="Input 3 4 2 2 6" xfId="11919"/>
    <cellStyle name="Input 3 4 2 2 7" xfId="11920"/>
    <cellStyle name="Input 3 4 2 2 8" xfId="11921"/>
    <cellStyle name="Input 3 4 2 3" xfId="11922"/>
    <cellStyle name="Input 3 4 2 3 2" xfId="11923"/>
    <cellStyle name="Input 3 4 2 3 2 2" xfId="11924"/>
    <cellStyle name="Input 3 4 2 3 2 3" xfId="11925"/>
    <cellStyle name="Input 3 4 2 3 2 4" xfId="11926"/>
    <cellStyle name="Input 3 4 2 3 2 5" xfId="11927"/>
    <cellStyle name="Input 3 4 2 3 2 6" xfId="11928"/>
    <cellStyle name="Input 3 4 2 3 2 7" xfId="11929"/>
    <cellStyle name="Input 3 4 2 3 3" xfId="11930"/>
    <cellStyle name="Input 3 4 2 3 4" xfId="11931"/>
    <cellStyle name="Input 3 4 2 3 5" xfId="11932"/>
    <cellStyle name="Input 3 4 2 3 6" xfId="11933"/>
    <cellStyle name="Input 3 4 2 3 7" xfId="11934"/>
    <cellStyle name="Input 3 4 2 3 8" xfId="11935"/>
    <cellStyle name="Input 3 4 2 4" xfId="11936"/>
    <cellStyle name="Input 3 4 2 4 2" xfId="11937"/>
    <cellStyle name="Input 3 4 2 4 2 2" xfId="11938"/>
    <cellStyle name="Input 3 4 2 4 2 3" xfId="11939"/>
    <cellStyle name="Input 3 4 2 4 2 4" xfId="11940"/>
    <cellStyle name="Input 3 4 2 4 2 5" xfId="11941"/>
    <cellStyle name="Input 3 4 2 4 2 6" xfId="11942"/>
    <cellStyle name="Input 3 4 2 4 2 7" xfId="11943"/>
    <cellStyle name="Input 3 4 2 4 3" xfId="11944"/>
    <cellStyle name="Input 3 4 2 4 4" xfId="11945"/>
    <cellStyle name="Input 3 4 2 4 5" xfId="11946"/>
    <cellStyle name="Input 3 4 2 4 6" xfId="11947"/>
    <cellStyle name="Input 3 4 2 4 7" xfId="11948"/>
    <cellStyle name="Input 3 4 2 4 8" xfId="11949"/>
    <cellStyle name="Input 3 4 2 5" xfId="11950"/>
    <cellStyle name="Input 3 4 2 5 2" xfId="11951"/>
    <cellStyle name="Input 3 4 2 5 3" xfId="11952"/>
    <cellStyle name="Input 3 4 2 5 4" xfId="11953"/>
    <cellStyle name="Input 3 4 2 5 5" xfId="11954"/>
    <cellStyle name="Input 3 4 2 5 6" xfId="11955"/>
    <cellStyle name="Input 3 4 2 5 7" xfId="11956"/>
    <cellStyle name="Input 3 4 2 6" xfId="11957"/>
    <cellStyle name="Input 3 4 2 7" xfId="11958"/>
    <cellStyle name="Input 3 4 2 8" xfId="11959"/>
    <cellStyle name="Input 3 4 2 9" xfId="11960"/>
    <cellStyle name="Input 3 4 3" xfId="11961"/>
    <cellStyle name="Input 3 4 3 2" xfId="11962"/>
    <cellStyle name="Input 3 4 3 2 2" xfId="11963"/>
    <cellStyle name="Input 3 4 3 2 2 2" xfId="11964"/>
    <cellStyle name="Input 3 4 3 2 2 3" xfId="11965"/>
    <cellStyle name="Input 3 4 3 2 2 4" xfId="11966"/>
    <cellStyle name="Input 3 4 3 2 2 5" xfId="11967"/>
    <cellStyle name="Input 3 4 3 2 2 6" xfId="11968"/>
    <cellStyle name="Input 3 4 3 2 2 7" xfId="11969"/>
    <cellStyle name="Input 3 4 3 2 3" xfId="11970"/>
    <cellStyle name="Input 3 4 3 2 4" xfId="11971"/>
    <cellStyle name="Input 3 4 3 2 5" xfId="11972"/>
    <cellStyle name="Input 3 4 3 2 6" xfId="11973"/>
    <cellStyle name="Input 3 4 3 2 7" xfId="11974"/>
    <cellStyle name="Input 3 4 3 2 8" xfId="11975"/>
    <cellStyle name="Input 3 4 3 3" xfId="11976"/>
    <cellStyle name="Input 3 4 3 3 2" xfId="11977"/>
    <cellStyle name="Input 3 4 3 3 2 2" xfId="11978"/>
    <cellStyle name="Input 3 4 3 3 2 3" xfId="11979"/>
    <cellStyle name="Input 3 4 3 3 2 4" xfId="11980"/>
    <cellStyle name="Input 3 4 3 3 2 5" xfId="11981"/>
    <cellStyle name="Input 3 4 3 3 2 6" xfId="11982"/>
    <cellStyle name="Input 3 4 3 3 2 7" xfId="11983"/>
    <cellStyle name="Input 3 4 3 3 3" xfId="11984"/>
    <cellStyle name="Input 3 4 3 3 4" xfId="11985"/>
    <cellStyle name="Input 3 4 3 3 5" xfId="11986"/>
    <cellStyle name="Input 3 4 3 3 6" xfId="11987"/>
    <cellStyle name="Input 3 4 3 3 7" xfId="11988"/>
    <cellStyle name="Input 3 4 3 3 8" xfId="11989"/>
    <cellStyle name="Input 3 4 3 4" xfId="11990"/>
    <cellStyle name="Input 3 4 3 4 2" xfId="11991"/>
    <cellStyle name="Input 3 4 3 4 2 2" xfId="11992"/>
    <cellStyle name="Input 3 4 3 4 2 3" xfId="11993"/>
    <cellStyle name="Input 3 4 3 4 2 4" xfId="11994"/>
    <cellStyle name="Input 3 4 3 4 2 5" xfId="11995"/>
    <cellStyle name="Input 3 4 3 4 2 6" xfId="11996"/>
    <cellStyle name="Input 3 4 3 4 2 7" xfId="11997"/>
    <cellStyle name="Input 3 4 3 4 3" xfId="11998"/>
    <cellStyle name="Input 3 4 3 4 4" xfId="11999"/>
    <cellStyle name="Input 3 4 3 4 5" xfId="12000"/>
    <cellStyle name="Input 3 4 3 4 6" xfId="12001"/>
    <cellStyle name="Input 3 4 3 4 7" xfId="12002"/>
    <cellStyle name="Input 3 4 3 4 8" xfId="12003"/>
    <cellStyle name="Input 3 4 3 5" xfId="12004"/>
    <cellStyle name="Input 3 4 3 5 2" xfId="12005"/>
    <cellStyle name="Input 3 4 3 5 3" xfId="12006"/>
    <cellStyle name="Input 3 4 3 5 4" xfId="12007"/>
    <cellStyle name="Input 3 4 3 5 5" xfId="12008"/>
    <cellStyle name="Input 3 4 3 5 6" xfId="12009"/>
    <cellStyle name="Input 3 4 3 5 7" xfId="12010"/>
    <cellStyle name="Input 3 4 3 6" xfId="12011"/>
    <cellStyle name="Input 3 4 3 7" xfId="12012"/>
    <cellStyle name="Input 3 4 3 8" xfId="12013"/>
    <cellStyle name="Input 3 4 3 9" xfId="12014"/>
    <cellStyle name="Input 3 4 4" xfId="12015"/>
    <cellStyle name="Input 3 4 4 2" xfId="12016"/>
    <cellStyle name="Input 3 4 4 2 2" xfId="12017"/>
    <cellStyle name="Input 3 4 4 2 2 2" xfId="12018"/>
    <cellStyle name="Input 3 4 4 2 2 3" xfId="12019"/>
    <cellStyle name="Input 3 4 4 2 2 4" xfId="12020"/>
    <cellStyle name="Input 3 4 4 2 2 5" xfId="12021"/>
    <cellStyle name="Input 3 4 4 2 2 6" xfId="12022"/>
    <cellStyle name="Input 3 4 4 2 2 7" xfId="12023"/>
    <cellStyle name="Input 3 4 4 2 3" xfId="12024"/>
    <cellStyle name="Input 3 4 4 2 4" xfId="12025"/>
    <cellStyle name="Input 3 4 4 2 5" xfId="12026"/>
    <cellStyle name="Input 3 4 4 2 6" xfId="12027"/>
    <cellStyle name="Input 3 4 4 2 7" xfId="12028"/>
    <cellStyle name="Input 3 4 4 2 8" xfId="12029"/>
    <cellStyle name="Input 3 4 4 3" xfId="12030"/>
    <cellStyle name="Input 3 4 4 3 2" xfId="12031"/>
    <cellStyle name="Input 3 4 4 3 2 2" xfId="12032"/>
    <cellStyle name="Input 3 4 4 3 2 3" xfId="12033"/>
    <cellStyle name="Input 3 4 4 3 2 4" xfId="12034"/>
    <cellStyle name="Input 3 4 4 3 2 5" xfId="12035"/>
    <cellStyle name="Input 3 4 4 3 2 6" xfId="12036"/>
    <cellStyle name="Input 3 4 4 3 2 7" xfId="12037"/>
    <cellStyle name="Input 3 4 4 3 3" xfId="12038"/>
    <cellStyle name="Input 3 4 4 3 4" xfId="12039"/>
    <cellStyle name="Input 3 4 4 3 5" xfId="12040"/>
    <cellStyle name="Input 3 4 4 3 6" xfId="12041"/>
    <cellStyle name="Input 3 4 4 3 7" xfId="12042"/>
    <cellStyle name="Input 3 4 4 3 8" xfId="12043"/>
    <cellStyle name="Input 3 4 4 4" xfId="12044"/>
    <cellStyle name="Input 3 4 4 4 2" xfId="12045"/>
    <cellStyle name="Input 3 4 4 4 2 2" xfId="12046"/>
    <cellStyle name="Input 3 4 4 4 2 3" xfId="12047"/>
    <cellStyle name="Input 3 4 4 4 2 4" xfId="12048"/>
    <cellStyle name="Input 3 4 4 4 2 5" xfId="12049"/>
    <cellStyle name="Input 3 4 4 4 2 6" xfId="12050"/>
    <cellStyle name="Input 3 4 4 4 2 7" xfId="12051"/>
    <cellStyle name="Input 3 4 4 4 3" xfId="12052"/>
    <cellStyle name="Input 3 4 4 4 4" xfId="12053"/>
    <cellStyle name="Input 3 4 4 4 5" xfId="12054"/>
    <cellStyle name="Input 3 4 4 4 6" xfId="12055"/>
    <cellStyle name="Input 3 4 4 4 7" xfId="12056"/>
    <cellStyle name="Input 3 4 4 4 8" xfId="12057"/>
    <cellStyle name="Input 3 4 4 5" xfId="12058"/>
    <cellStyle name="Input 3 4 4 5 2" xfId="12059"/>
    <cellStyle name="Input 3 4 4 5 3" xfId="12060"/>
    <cellStyle name="Input 3 4 4 5 4" xfId="12061"/>
    <cellStyle name="Input 3 4 4 5 5" xfId="12062"/>
    <cellStyle name="Input 3 4 4 5 6" xfId="12063"/>
    <cellStyle name="Input 3 4 4 5 7" xfId="12064"/>
    <cellStyle name="Input 3 4 4 6" xfId="12065"/>
    <cellStyle name="Input 3 4 4 7" xfId="12066"/>
    <cellStyle name="Input 3 4 4 8" xfId="12067"/>
    <cellStyle name="Input 3 4 4 9" xfId="12068"/>
    <cellStyle name="Input 3 4 5" xfId="12069"/>
    <cellStyle name="Input 3 4 5 2" xfId="12070"/>
    <cellStyle name="Input 3 4 5 2 2" xfId="12071"/>
    <cellStyle name="Input 3 4 5 2 2 2" xfId="12072"/>
    <cellStyle name="Input 3 4 5 2 2 3" xfId="12073"/>
    <cellStyle name="Input 3 4 5 2 2 4" xfId="12074"/>
    <cellStyle name="Input 3 4 5 2 2 5" xfId="12075"/>
    <cellStyle name="Input 3 4 5 2 2 6" xfId="12076"/>
    <cellStyle name="Input 3 4 5 2 2 7" xfId="12077"/>
    <cellStyle name="Input 3 4 5 2 3" xfId="12078"/>
    <cellStyle name="Input 3 4 5 2 4" xfId="12079"/>
    <cellStyle name="Input 3 4 5 2 5" xfId="12080"/>
    <cellStyle name="Input 3 4 5 2 6" xfId="12081"/>
    <cellStyle name="Input 3 4 5 2 7" xfId="12082"/>
    <cellStyle name="Input 3 4 5 2 8" xfId="12083"/>
    <cellStyle name="Input 3 4 5 3" xfId="12084"/>
    <cellStyle name="Input 3 4 5 3 2" xfId="12085"/>
    <cellStyle name="Input 3 4 5 3 2 2" xfId="12086"/>
    <cellStyle name="Input 3 4 5 3 2 3" xfId="12087"/>
    <cellStyle name="Input 3 4 5 3 2 4" xfId="12088"/>
    <cellStyle name="Input 3 4 5 3 2 5" xfId="12089"/>
    <cellStyle name="Input 3 4 5 3 2 6" xfId="12090"/>
    <cellStyle name="Input 3 4 5 3 2 7" xfId="12091"/>
    <cellStyle name="Input 3 4 5 3 3" xfId="12092"/>
    <cellStyle name="Input 3 4 5 3 4" xfId="12093"/>
    <cellStyle name="Input 3 4 5 3 5" xfId="12094"/>
    <cellStyle name="Input 3 4 5 3 6" xfId="12095"/>
    <cellStyle name="Input 3 4 5 3 7" xfId="12096"/>
    <cellStyle name="Input 3 4 5 3 8" xfId="12097"/>
    <cellStyle name="Input 3 4 5 4" xfId="12098"/>
    <cellStyle name="Input 3 4 5 4 2" xfId="12099"/>
    <cellStyle name="Input 3 4 5 4 2 2" xfId="12100"/>
    <cellStyle name="Input 3 4 5 4 2 3" xfId="12101"/>
    <cellStyle name="Input 3 4 5 4 2 4" xfId="12102"/>
    <cellStyle name="Input 3 4 5 4 2 5" xfId="12103"/>
    <cellStyle name="Input 3 4 5 4 2 6" xfId="12104"/>
    <cellStyle name="Input 3 4 5 4 2 7" xfId="12105"/>
    <cellStyle name="Input 3 4 5 4 3" xfId="12106"/>
    <cellStyle name="Input 3 4 5 4 4" xfId="12107"/>
    <cellStyle name="Input 3 4 5 4 5" xfId="12108"/>
    <cellStyle name="Input 3 4 5 4 6" xfId="12109"/>
    <cellStyle name="Input 3 4 5 4 7" xfId="12110"/>
    <cellStyle name="Input 3 4 5 4 8" xfId="12111"/>
    <cellStyle name="Input 3 4 5 5" xfId="12112"/>
    <cellStyle name="Input 3 4 5 5 2" xfId="12113"/>
    <cellStyle name="Input 3 4 5 5 3" xfId="12114"/>
    <cellStyle name="Input 3 4 5 5 4" xfId="12115"/>
    <cellStyle name="Input 3 4 5 5 5" xfId="12116"/>
    <cellStyle name="Input 3 4 5 5 6" xfId="12117"/>
    <cellStyle name="Input 3 4 5 5 7" xfId="12118"/>
    <cellStyle name="Input 3 4 5 6" xfId="12119"/>
    <cellStyle name="Input 3 4 5 7" xfId="12120"/>
    <cellStyle name="Input 3 4 5 8" xfId="12121"/>
    <cellStyle name="Input 3 4 5 9" xfId="12122"/>
    <cellStyle name="Input 3 4 6" xfId="12123"/>
    <cellStyle name="Input 3 4 6 2" xfId="12124"/>
    <cellStyle name="Input 3 4 6 2 2" xfId="12125"/>
    <cellStyle name="Input 3 4 6 2 3" xfId="12126"/>
    <cellStyle name="Input 3 4 6 2 4" xfId="12127"/>
    <cellStyle name="Input 3 4 6 2 5" xfId="12128"/>
    <cellStyle name="Input 3 4 6 2 6" xfId="12129"/>
    <cellStyle name="Input 3 4 6 2 7" xfId="12130"/>
    <cellStyle name="Input 3 4 6 3" xfId="12131"/>
    <cellStyle name="Input 3 4 6 4" xfId="12132"/>
    <cellStyle name="Input 3 4 6 5" xfId="12133"/>
    <cellStyle name="Input 3 4 6 6" xfId="12134"/>
    <cellStyle name="Input 3 4 6 7" xfId="12135"/>
    <cellStyle name="Input 3 4 6 8" xfId="12136"/>
    <cellStyle name="Input 3 4 7" xfId="12137"/>
    <cellStyle name="Input 3 4 7 2" xfId="12138"/>
    <cellStyle name="Input 3 4 7 2 2" xfId="12139"/>
    <cellStyle name="Input 3 4 7 2 3" xfId="12140"/>
    <cellStyle name="Input 3 4 7 2 4" xfId="12141"/>
    <cellStyle name="Input 3 4 7 2 5" xfId="12142"/>
    <cellStyle name="Input 3 4 7 2 6" xfId="12143"/>
    <cellStyle name="Input 3 4 7 2 7" xfId="12144"/>
    <cellStyle name="Input 3 4 7 3" xfId="12145"/>
    <cellStyle name="Input 3 4 7 4" xfId="12146"/>
    <cellStyle name="Input 3 4 7 5" xfId="12147"/>
    <cellStyle name="Input 3 4 7 6" xfId="12148"/>
    <cellStyle name="Input 3 4 7 7" xfId="12149"/>
    <cellStyle name="Input 3 4 7 8" xfId="12150"/>
    <cellStyle name="Input 3 4 8" xfId="12151"/>
    <cellStyle name="Input 3 4 8 2" xfId="12152"/>
    <cellStyle name="Input 3 4 8 2 2" xfId="12153"/>
    <cellStyle name="Input 3 4 8 2 3" xfId="12154"/>
    <cellStyle name="Input 3 4 8 2 4" xfId="12155"/>
    <cellStyle name="Input 3 4 8 2 5" xfId="12156"/>
    <cellStyle name="Input 3 4 8 2 6" xfId="12157"/>
    <cellStyle name="Input 3 4 8 2 7" xfId="12158"/>
    <cellStyle name="Input 3 4 8 3" xfId="12159"/>
    <cellStyle name="Input 3 4 8 4" xfId="12160"/>
    <cellStyle name="Input 3 4 8 5" xfId="12161"/>
    <cellStyle name="Input 3 4 8 6" xfId="12162"/>
    <cellStyle name="Input 3 4 8 7" xfId="12163"/>
    <cellStyle name="Input 3 4 8 8" xfId="12164"/>
    <cellStyle name="Input 3 4 9" xfId="12165"/>
    <cellStyle name="Input 3 4 9 2" xfId="12166"/>
    <cellStyle name="Input 3 4 9 3" xfId="12167"/>
    <cellStyle name="Input 3 4 9 4" xfId="12168"/>
    <cellStyle name="Input 3 4 9 5" xfId="12169"/>
    <cellStyle name="Input 3 4 9 6" xfId="12170"/>
    <cellStyle name="Input 3 4 9 7" xfId="12171"/>
    <cellStyle name="Input 3 5" xfId="12172"/>
    <cellStyle name="Input 3 5 2" xfId="12173"/>
    <cellStyle name="Input 3 5 2 2" xfId="12174"/>
    <cellStyle name="Input 3 5 2 3" xfId="12175"/>
    <cellStyle name="Input 3 5 2 4" xfId="12176"/>
    <cellStyle name="Input 3 5 2 5" xfId="12177"/>
    <cellStyle name="Input 3 5 2 6" xfId="12178"/>
    <cellStyle name="Input 3 5 2 7" xfId="12179"/>
    <cellStyle name="Input 3 5 3" xfId="12180"/>
    <cellStyle name="Input 3 5 4" xfId="12181"/>
    <cellStyle name="Input 3 5 5" xfId="12182"/>
    <cellStyle name="Input 3 5 6" xfId="12183"/>
    <cellStyle name="Input 3 5 7" xfId="12184"/>
    <cellStyle name="Input 3 5 8" xfId="12185"/>
    <cellStyle name="Input 3 6" xfId="12186"/>
    <cellStyle name="Input 3 6 2" xfId="12187"/>
    <cellStyle name="Input 3 6 2 2" xfId="12188"/>
    <cellStyle name="Input 3 6 2 3" xfId="12189"/>
    <cellStyle name="Input 3 6 2 4" xfId="12190"/>
    <cellStyle name="Input 3 6 2 5" xfId="12191"/>
    <cellStyle name="Input 3 6 2 6" xfId="12192"/>
    <cellStyle name="Input 3 6 2 7" xfId="12193"/>
    <cellStyle name="Input 3 6 3" xfId="12194"/>
    <cellStyle name="Input 3 6 4" xfId="12195"/>
    <cellStyle name="Input 3 6 5" xfId="12196"/>
    <cellStyle name="Input 3 6 6" xfId="12197"/>
    <cellStyle name="Input 3 6 7" xfId="12198"/>
    <cellStyle name="Input 3 6 8" xfId="12199"/>
    <cellStyle name="Input 3 7" xfId="12200"/>
    <cellStyle name="Input 3 7 2" xfId="12201"/>
    <cellStyle name="Input 3 7 2 2" xfId="12202"/>
    <cellStyle name="Input 3 7 2 3" xfId="12203"/>
    <cellStyle name="Input 3 7 2 4" xfId="12204"/>
    <cellStyle name="Input 3 7 2 5" xfId="12205"/>
    <cellStyle name="Input 3 7 2 6" xfId="12206"/>
    <cellStyle name="Input 3 7 2 7" xfId="12207"/>
    <cellStyle name="Input 3 7 3" xfId="12208"/>
    <cellStyle name="Input 3 7 4" xfId="12209"/>
    <cellStyle name="Input 3 7 5" xfId="12210"/>
    <cellStyle name="Input 3 7 6" xfId="12211"/>
    <cellStyle name="Input 3 7 7" xfId="12212"/>
    <cellStyle name="Input 3 7 8" xfId="12213"/>
    <cellStyle name="Input 3 8" xfId="12214"/>
    <cellStyle name="Input 3 8 2" xfId="12215"/>
    <cellStyle name="Input 3 8 3" xfId="12216"/>
    <cellStyle name="Input 3 8 4" xfId="12217"/>
    <cellStyle name="Input 3 8 5" xfId="12218"/>
    <cellStyle name="Input 3 8 6" xfId="12219"/>
    <cellStyle name="Input 3 8 7" xfId="12220"/>
    <cellStyle name="Input 3 9" xfId="12221"/>
    <cellStyle name="Input 3 9 2" xfId="12222"/>
    <cellStyle name="Input 3 9 3" xfId="12223"/>
    <cellStyle name="Input 3 9 4" xfId="12224"/>
    <cellStyle name="Input 3 9 5" xfId="12225"/>
    <cellStyle name="Input 3 9 6" xfId="12226"/>
    <cellStyle name="Input 3 9 7" xfId="12227"/>
    <cellStyle name="Input 4" xfId="767"/>
    <cellStyle name="Input 4 2" xfId="12228"/>
    <cellStyle name="input 5" xfId="12229"/>
    <cellStyle name="input 6" xfId="12230"/>
    <cellStyle name="input 7" xfId="12231"/>
    <cellStyle name="input 8" xfId="12232"/>
    <cellStyle name="input(0)" xfId="237"/>
    <cellStyle name="Input(2)" xfId="238"/>
    <cellStyle name="INT Paramter" xfId="12233"/>
    <cellStyle name="Labels" xfId="768"/>
    <cellStyle name="Labels - Style3" xfId="1492"/>
    <cellStyle name="Labels - Style3 10" xfId="12234"/>
    <cellStyle name="Labels - Style3 10 2" xfId="12235"/>
    <cellStyle name="Labels - Style3 10 3" xfId="12236"/>
    <cellStyle name="Labels - Style3 10 4" xfId="12237"/>
    <cellStyle name="Labels - Style3 10 5" xfId="12238"/>
    <cellStyle name="Labels - Style3 10 6" xfId="12239"/>
    <cellStyle name="Labels - Style3 10 7" xfId="12240"/>
    <cellStyle name="Labels - Style3 11" xfId="12241"/>
    <cellStyle name="Labels - Style3 12" xfId="12242"/>
    <cellStyle name="Labels - Style3 2" xfId="12243"/>
    <cellStyle name="Labels - Style3 2 2" xfId="12244"/>
    <cellStyle name="Labels - Style3 2 2 2" xfId="12245"/>
    <cellStyle name="Labels - Style3 2 2 2 2" xfId="12246"/>
    <cellStyle name="Labels - Style3 2 2 2 3" xfId="12247"/>
    <cellStyle name="Labels - Style3 2 2 2 4" xfId="12248"/>
    <cellStyle name="Labels - Style3 2 2 2 5" xfId="12249"/>
    <cellStyle name="Labels - Style3 2 2 2 6" xfId="12250"/>
    <cellStyle name="Labels - Style3 2 2 2 7" xfId="12251"/>
    <cellStyle name="Labels - Style3 2 2 3" xfId="12252"/>
    <cellStyle name="Labels - Style3 2 2 4" xfId="12253"/>
    <cellStyle name="Labels - Style3 2 2 5" xfId="12254"/>
    <cellStyle name="Labels - Style3 2 2 6" xfId="12255"/>
    <cellStyle name="Labels - Style3 2 2 7" xfId="12256"/>
    <cellStyle name="Labels - Style3 2 2 8" xfId="12257"/>
    <cellStyle name="Labels - Style3 2 3" xfId="12258"/>
    <cellStyle name="Labels - Style3 2 3 2" xfId="12259"/>
    <cellStyle name="Labels - Style3 2 3 2 2" xfId="12260"/>
    <cellStyle name="Labels - Style3 2 3 2 3" xfId="12261"/>
    <cellStyle name="Labels - Style3 2 3 2 4" xfId="12262"/>
    <cellStyle name="Labels - Style3 2 3 2 5" xfId="12263"/>
    <cellStyle name="Labels - Style3 2 3 2 6" xfId="12264"/>
    <cellStyle name="Labels - Style3 2 3 2 7" xfId="12265"/>
    <cellStyle name="Labels - Style3 2 3 3" xfId="12266"/>
    <cellStyle name="Labels - Style3 2 3 4" xfId="12267"/>
    <cellStyle name="Labels - Style3 2 3 5" xfId="12268"/>
    <cellStyle name="Labels - Style3 2 3 6" xfId="12269"/>
    <cellStyle name="Labels - Style3 2 3 7" xfId="12270"/>
    <cellStyle name="Labels - Style3 2 3 8" xfId="12271"/>
    <cellStyle name="Labels - Style3 2 4" xfId="12272"/>
    <cellStyle name="Labels - Style3 2 4 2" xfId="12273"/>
    <cellStyle name="Labels - Style3 2 4 2 2" xfId="12274"/>
    <cellStyle name="Labels - Style3 2 4 2 3" xfId="12275"/>
    <cellStyle name="Labels - Style3 2 4 2 4" xfId="12276"/>
    <cellStyle name="Labels - Style3 2 4 2 5" xfId="12277"/>
    <cellStyle name="Labels - Style3 2 4 2 6" xfId="12278"/>
    <cellStyle name="Labels - Style3 2 4 2 7" xfId="12279"/>
    <cellStyle name="Labels - Style3 2 4 3" xfId="12280"/>
    <cellStyle name="Labels - Style3 2 4 4" xfId="12281"/>
    <cellStyle name="Labels - Style3 2 4 5" xfId="12282"/>
    <cellStyle name="Labels - Style3 2 4 6" xfId="12283"/>
    <cellStyle name="Labels - Style3 2 4 7" xfId="12284"/>
    <cellStyle name="Labels - Style3 2 4 8" xfId="12285"/>
    <cellStyle name="Labels - Style3 2 5" xfId="12286"/>
    <cellStyle name="Labels - Style3 2 5 2" xfId="12287"/>
    <cellStyle name="Labels - Style3 2 5 2 2" xfId="12288"/>
    <cellStyle name="Labels - Style3 2 5 2 3" xfId="12289"/>
    <cellStyle name="Labels - Style3 2 5 2 4" xfId="12290"/>
    <cellStyle name="Labels - Style3 2 5 2 5" xfId="12291"/>
    <cellStyle name="Labels - Style3 2 5 2 6" xfId="12292"/>
    <cellStyle name="Labels - Style3 2 5 2 7" xfId="12293"/>
    <cellStyle name="Labels - Style3 2 5 3" xfId="12294"/>
    <cellStyle name="Labels - Style3 2 5 4" xfId="12295"/>
    <cellStyle name="Labels - Style3 2 5 5" xfId="12296"/>
    <cellStyle name="Labels - Style3 2 5 6" xfId="12297"/>
    <cellStyle name="Labels - Style3 2 5 7" xfId="12298"/>
    <cellStyle name="Labels - Style3 2 5 8" xfId="12299"/>
    <cellStyle name="Labels - Style3 2 6" xfId="12300"/>
    <cellStyle name="Labels - Style3 2 6 2" xfId="12301"/>
    <cellStyle name="Labels - Style3 2 6 3" xfId="12302"/>
    <cellStyle name="Labels - Style3 2 6 4" xfId="12303"/>
    <cellStyle name="Labels - Style3 2 6 5" xfId="12304"/>
    <cellStyle name="Labels - Style3 2 6 6" xfId="12305"/>
    <cellStyle name="Labels - Style3 2 6 7" xfId="12306"/>
    <cellStyle name="Labels - Style3 2 7" xfId="12307"/>
    <cellStyle name="Labels - Style3 2 8" xfId="12308"/>
    <cellStyle name="Labels - Style3 3" xfId="12309"/>
    <cellStyle name="Labels - Style3 3 2" xfId="12310"/>
    <cellStyle name="Labels - Style3 3 2 2" xfId="12311"/>
    <cellStyle name="Labels - Style3 3 2 2 2" xfId="12312"/>
    <cellStyle name="Labels - Style3 3 2 2 3" xfId="12313"/>
    <cellStyle name="Labels - Style3 3 2 2 4" xfId="12314"/>
    <cellStyle name="Labels - Style3 3 2 2 5" xfId="12315"/>
    <cellStyle name="Labels - Style3 3 2 2 6" xfId="12316"/>
    <cellStyle name="Labels - Style3 3 2 2 7" xfId="12317"/>
    <cellStyle name="Labels - Style3 3 2 3" xfId="12318"/>
    <cellStyle name="Labels - Style3 3 2 4" xfId="12319"/>
    <cellStyle name="Labels - Style3 3 2 5" xfId="12320"/>
    <cellStyle name="Labels - Style3 3 2 6" xfId="12321"/>
    <cellStyle name="Labels - Style3 3 2 7" xfId="12322"/>
    <cellStyle name="Labels - Style3 3 2 8" xfId="12323"/>
    <cellStyle name="Labels - Style3 3 3" xfId="12324"/>
    <cellStyle name="Labels - Style3 3 3 2" xfId="12325"/>
    <cellStyle name="Labels - Style3 3 3 2 2" xfId="12326"/>
    <cellStyle name="Labels - Style3 3 3 2 3" xfId="12327"/>
    <cellStyle name="Labels - Style3 3 3 2 4" xfId="12328"/>
    <cellStyle name="Labels - Style3 3 3 2 5" xfId="12329"/>
    <cellStyle name="Labels - Style3 3 3 2 6" xfId="12330"/>
    <cellStyle name="Labels - Style3 3 3 2 7" xfId="12331"/>
    <cellStyle name="Labels - Style3 3 3 3" xfId="12332"/>
    <cellStyle name="Labels - Style3 3 3 4" xfId="12333"/>
    <cellStyle name="Labels - Style3 3 3 5" xfId="12334"/>
    <cellStyle name="Labels - Style3 3 3 6" xfId="12335"/>
    <cellStyle name="Labels - Style3 3 3 7" xfId="12336"/>
    <cellStyle name="Labels - Style3 3 3 8" xfId="12337"/>
    <cellStyle name="Labels - Style3 3 4" xfId="12338"/>
    <cellStyle name="Labels - Style3 3 4 2" xfId="12339"/>
    <cellStyle name="Labels - Style3 3 4 2 2" xfId="12340"/>
    <cellStyle name="Labels - Style3 3 4 2 3" xfId="12341"/>
    <cellStyle name="Labels - Style3 3 4 2 4" xfId="12342"/>
    <cellStyle name="Labels - Style3 3 4 2 5" xfId="12343"/>
    <cellStyle name="Labels - Style3 3 4 2 6" xfId="12344"/>
    <cellStyle name="Labels - Style3 3 4 2 7" xfId="12345"/>
    <cellStyle name="Labels - Style3 3 4 3" xfId="12346"/>
    <cellStyle name="Labels - Style3 3 4 4" xfId="12347"/>
    <cellStyle name="Labels - Style3 3 4 5" xfId="12348"/>
    <cellStyle name="Labels - Style3 3 4 6" xfId="12349"/>
    <cellStyle name="Labels - Style3 3 4 7" xfId="12350"/>
    <cellStyle name="Labels - Style3 3 4 8" xfId="12351"/>
    <cellStyle name="Labels - Style3 3 5" xfId="12352"/>
    <cellStyle name="Labels - Style3 3 5 2" xfId="12353"/>
    <cellStyle name="Labels - Style3 3 5 2 2" xfId="12354"/>
    <cellStyle name="Labels - Style3 3 5 2 3" xfId="12355"/>
    <cellStyle name="Labels - Style3 3 5 2 4" xfId="12356"/>
    <cellStyle name="Labels - Style3 3 5 2 5" xfId="12357"/>
    <cellStyle name="Labels - Style3 3 5 2 6" xfId="12358"/>
    <cellStyle name="Labels - Style3 3 5 2 7" xfId="12359"/>
    <cellStyle name="Labels - Style3 3 5 3" xfId="12360"/>
    <cellStyle name="Labels - Style3 3 5 4" xfId="12361"/>
    <cellStyle name="Labels - Style3 3 5 5" xfId="12362"/>
    <cellStyle name="Labels - Style3 3 5 6" xfId="12363"/>
    <cellStyle name="Labels - Style3 3 5 7" xfId="12364"/>
    <cellStyle name="Labels - Style3 3 5 8" xfId="12365"/>
    <cellStyle name="Labels - Style3 3 6" xfId="12366"/>
    <cellStyle name="Labels - Style3 3 6 2" xfId="12367"/>
    <cellStyle name="Labels - Style3 3 6 3" xfId="12368"/>
    <cellStyle name="Labels - Style3 3 6 4" xfId="12369"/>
    <cellStyle name="Labels - Style3 3 6 5" xfId="12370"/>
    <cellStyle name="Labels - Style3 3 6 6" xfId="12371"/>
    <cellStyle name="Labels - Style3 3 6 7" xfId="12372"/>
    <cellStyle name="Labels - Style3 3 7" xfId="12373"/>
    <cellStyle name="Labels - Style3 3 8" xfId="12374"/>
    <cellStyle name="Labels - Style3 4" xfId="12375"/>
    <cellStyle name="Labels - Style3 4 2" xfId="12376"/>
    <cellStyle name="Labels - Style3 4 2 2" xfId="12377"/>
    <cellStyle name="Labels - Style3 4 2 2 2" xfId="12378"/>
    <cellStyle name="Labels - Style3 4 2 2 3" xfId="12379"/>
    <cellStyle name="Labels - Style3 4 2 2 4" xfId="12380"/>
    <cellStyle name="Labels - Style3 4 2 2 5" xfId="12381"/>
    <cellStyle name="Labels - Style3 4 2 2 6" xfId="12382"/>
    <cellStyle name="Labels - Style3 4 2 2 7" xfId="12383"/>
    <cellStyle name="Labels - Style3 4 2 3" xfId="12384"/>
    <cellStyle name="Labels - Style3 4 2 4" xfId="12385"/>
    <cellStyle name="Labels - Style3 4 2 5" xfId="12386"/>
    <cellStyle name="Labels - Style3 4 2 6" xfId="12387"/>
    <cellStyle name="Labels - Style3 4 2 7" xfId="12388"/>
    <cellStyle name="Labels - Style3 4 2 8" xfId="12389"/>
    <cellStyle name="Labels - Style3 4 3" xfId="12390"/>
    <cellStyle name="Labels - Style3 4 3 2" xfId="12391"/>
    <cellStyle name="Labels - Style3 4 3 2 2" xfId="12392"/>
    <cellStyle name="Labels - Style3 4 3 2 3" xfId="12393"/>
    <cellStyle name="Labels - Style3 4 3 2 4" xfId="12394"/>
    <cellStyle name="Labels - Style3 4 3 2 5" xfId="12395"/>
    <cellStyle name="Labels - Style3 4 3 2 6" xfId="12396"/>
    <cellStyle name="Labels - Style3 4 3 2 7" xfId="12397"/>
    <cellStyle name="Labels - Style3 4 3 3" xfId="12398"/>
    <cellStyle name="Labels - Style3 4 3 4" xfId="12399"/>
    <cellStyle name="Labels - Style3 4 3 5" xfId="12400"/>
    <cellStyle name="Labels - Style3 4 3 6" xfId="12401"/>
    <cellStyle name="Labels - Style3 4 3 7" xfId="12402"/>
    <cellStyle name="Labels - Style3 4 3 8" xfId="12403"/>
    <cellStyle name="Labels - Style3 4 4" xfId="12404"/>
    <cellStyle name="Labels - Style3 4 4 2" xfId="12405"/>
    <cellStyle name="Labels - Style3 4 4 2 2" xfId="12406"/>
    <cellStyle name="Labels - Style3 4 4 2 3" xfId="12407"/>
    <cellStyle name="Labels - Style3 4 4 2 4" xfId="12408"/>
    <cellStyle name="Labels - Style3 4 4 2 5" xfId="12409"/>
    <cellStyle name="Labels - Style3 4 4 2 6" xfId="12410"/>
    <cellStyle name="Labels - Style3 4 4 2 7" xfId="12411"/>
    <cellStyle name="Labels - Style3 4 4 3" xfId="12412"/>
    <cellStyle name="Labels - Style3 4 4 4" xfId="12413"/>
    <cellStyle name="Labels - Style3 4 4 5" xfId="12414"/>
    <cellStyle name="Labels - Style3 4 4 6" xfId="12415"/>
    <cellStyle name="Labels - Style3 4 4 7" xfId="12416"/>
    <cellStyle name="Labels - Style3 4 4 8" xfId="12417"/>
    <cellStyle name="Labels - Style3 4 5" xfId="12418"/>
    <cellStyle name="Labels - Style3 4 5 2" xfId="12419"/>
    <cellStyle name="Labels - Style3 4 5 2 2" xfId="12420"/>
    <cellStyle name="Labels - Style3 4 5 2 3" xfId="12421"/>
    <cellStyle name="Labels - Style3 4 5 2 4" xfId="12422"/>
    <cellStyle name="Labels - Style3 4 5 2 5" xfId="12423"/>
    <cellStyle name="Labels - Style3 4 5 2 6" xfId="12424"/>
    <cellStyle name="Labels - Style3 4 5 2 7" xfId="12425"/>
    <cellStyle name="Labels - Style3 4 5 3" xfId="12426"/>
    <cellStyle name="Labels - Style3 4 5 4" xfId="12427"/>
    <cellStyle name="Labels - Style3 4 5 5" xfId="12428"/>
    <cellStyle name="Labels - Style3 4 5 6" xfId="12429"/>
    <cellStyle name="Labels - Style3 4 5 7" xfId="12430"/>
    <cellStyle name="Labels - Style3 4 5 8" xfId="12431"/>
    <cellStyle name="Labels - Style3 4 6" xfId="12432"/>
    <cellStyle name="Labels - Style3 4 6 2" xfId="12433"/>
    <cellStyle name="Labels - Style3 4 6 3" xfId="12434"/>
    <cellStyle name="Labels - Style3 4 6 4" xfId="12435"/>
    <cellStyle name="Labels - Style3 4 6 5" xfId="12436"/>
    <cellStyle name="Labels - Style3 4 6 6" xfId="12437"/>
    <cellStyle name="Labels - Style3 4 6 7" xfId="12438"/>
    <cellStyle name="Labels - Style3 4 7" xfId="12439"/>
    <cellStyle name="Labels - Style3 4 8" xfId="12440"/>
    <cellStyle name="Labels - Style3 5" xfId="12441"/>
    <cellStyle name="Labels - Style3 5 2" xfId="12442"/>
    <cellStyle name="Labels - Style3 5 2 2" xfId="12443"/>
    <cellStyle name="Labels - Style3 5 2 2 2" xfId="12444"/>
    <cellStyle name="Labels - Style3 5 2 2 3" xfId="12445"/>
    <cellStyle name="Labels - Style3 5 2 2 4" xfId="12446"/>
    <cellStyle name="Labels - Style3 5 2 2 5" xfId="12447"/>
    <cellStyle name="Labels - Style3 5 2 2 6" xfId="12448"/>
    <cellStyle name="Labels - Style3 5 2 2 7" xfId="12449"/>
    <cellStyle name="Labels - Style3 5 2 3" xfId="12450"/>
    <cellStyle name="Labels - Style3 5 2 4" xfId="12451"/>
    <cellStyle name="Labels - Style3 5 2 5" xfId="12452"/>
    <cellStyle name="Labels - Style3 5 2 6" xfId="12453"/>
    <cellStyle name="Labels - Style3 5 2 7" xfId="12454"/>
    <cellStyle name="Labels - Style3 5 2 8" xfId="12455"/>
    <cellStyle name="Labels - Style3 5 3" xfId="12456"/>
    <cellStyle name="Labels - Style3 5 3 2" xfId="12457"/>
    <cellStyle name="Labels - Style3 5 3 2 2" xfId="12458"/>
    <cellStyle name="Labels - Style3 5 3 2 3" xfId="12459"/>
    <cellStyle name="Labels - Style3 5 3 2 4" xfId="12460"/>
    <cellStyle name="Labels - Style3 5 3 2 5" xfId="12461"/>
    <cellStyle name="Labels - Style3 5 3 2 6" xfId="12462"/>
    <cellStyle name="Labels - Style3 5 3 2 7" xfId="12463"/>
    <cellStyle name="Labels - Style3 5 3 3" xfId="12464"/>
    <cellStyle name="Labels - Style3 5 3 4" xfId="12465"/>
    <cellStyle name="Labels - Style3 5 3 5" xfId="12466"/>
    <cellStyle name="Labels - Style3 5 3 6" xfId="12467"/>
    <cellStyle name="Labels - Style3 5 3 7" xfId="12468"/>
    <cellStyle name="Labels - Style3 5 3 8" xfId="12469"/>
    <cellStyle name="Labels - Style3 5 4" xfId="12470"/>
    <cellStyle name="Labels - Style3 5 4 2" xfId="12471"/>
    <cellStyle name="Labels - Style3 5 4 2 2" xfId="12472"/>
    <cellStyle name="Labels - Style3 5 4 2 3" xfId="12473"/>
    <cellStyle name="Labels - Style3 5 4 2 4" xfId="12474"/>
    <cellStyle name="Labels - Style3 5 4 2 5" xfId="12475"/>
    <cellStyle name="Labels - Style3 5 4 2 6" xfId="12476"/>
    <cellStyle name="Labels - Style3 5 4 2 7" xfId="12477"/>
    <cellStyle name="Labels - Style3 5 4 3" xfId="12478"/>
    <cellStyle name="Labels - Style3 5 4 4" xfId="12479"/>
    <cellStyle name="Labels - Style3 5 4 5" xfId="12480"/>
    <cellStyle name="Labels - Style3 5 4 6" xfId="12481"/>
    <cellStyle name="Labels - Style3 5 4 7" xfId="12482"/>
    <cellStyle name="Labels - Style3 5 4 8" xfId="12483"/>
    <cellStyle name="Labels - Style3 5 5" xfId="12484"/>
    <cellStyle name="Labels - Style3 5 5 2" xfId="12485"/>
    <cellStyle name="Labels - Style3 5 5 2 2" xfId="12486"/>
    <cellStyle name="Labels - Style3 5 5 2 3" xfId="12487"/>
    <cellStyle name="Labels - Style3 5 5 2 4" xfId="12488"/>
    <cellStyle name="Labels - Style3 5 5 2 5" xfId="12489"/>
    <cellStyle name="Labels - Style3 5 5 2 6" xfId="12490"/>
    <cellStyle name="Labels - Style3 5 5 2 7" xfId="12491"/>
    <cellStyle name="Labels - Style3 5 5 3" xfId="12492"/>
    <cellStyle name="Labels - Style3 5 5 4" xfId="12493"/>
    <cellStyle name="Labels - Style3 5 5 5" xfId="12494"/>
    <cellStyle name="Labels - Style3 5 5 6" xfId="12495"/>
    <cellStyle name="Labels - Style3 5 5 7" xfId="12496"/>
    <cellStyle name="Labels - Style3 5 5 8" xfId="12497"/>
    <cellStyle name="Labels - Style3 5 6" xfId="12498"/>
    <cellStyle name="Labels - Style3 5 6 2" xfId="12499"/>
    <cellStyle name="Labels - Style3 5 6 3" xfId="12500"/>
    <cellStyle name="Labels - Style3 5 6 4" xfId="12501"/>
    <cellStyle name="Labels - Style3 5 6 5" xfId="12502"/>
    <cellStyle name="Labels - Style3 5 6 6" xfId="12503"/>
    <cellStyle name="Labels - Style3 5 6 7" xfId="12504"/>
    <cellStyle name="Labels - Style3 5 7" xfId="12505"/>
    <cellStyle name="Labels - Style3 5 8" xfId="12506"/>
    <cellStyle name="Labels - Style3 6" xfId="12507"/>
    <cellStyle name="Labels - Style3 6 2" xfId="12508"/>
    <cellStyle name="Labels - Style3 6 2 2" xfId="12509"/>
    <cellStyle name="Labels - Style3 6 2 3" xfId="12510"/>
    <cellStyle name="Labels - Style3 6 2 4" xfId="12511"/>
    <cellStyle name="Labels - Style3 6 2 5" xfId="12512"/>
    <cellStyle name="Labels - Style3 6 2 6" xfId="12513"/>
    <cellStyle name="Labels - Style3 6 2 7" xfId="12514"/>
    <cellStyle name="Labels - Style3 6 3" xfId="12515"/>
    <cellStyle name="Labels - Style3 6 4" xfId="12516"/>
    <cellStyle name="Labels - Style3 6 5" xfId="12517"/>
    <cellStyle name="Labels - Style3 6 6" xfId="12518"/>
    <cellStyle name="Labels - Style3 6 7" xfId="12519"/>
    <cellStyle name="Labels - Style3 6 8" xfId="12520"/>
    <cellStyle name="Labels - Style3 7" xfId="12521"/>
    <cellStyle name="Labels - Style3 7 2" xfId="12522"/>
    <cellStyle name="Labels - Style3 7 2 2" xfId="12523"/>
    <cellStyle name="Labels - Style3 7 2 3" xfId="12524"/>
    <cellStyle name="Labels - Style3 7 2 4" xfId="12525"/>
    <cellStyle name="Labels - Style3 7 2 5" xfId="12526"/>
    <cellStyle name="Labels - Style3 7 2 6" xfId="12527"/>
    <cellStyle name="Labels - Style3 7 2 7" xfId="12528"/>
    <cellStyle name="Labels - Style3 7 3" xfId="12529"/>
    <cellStyle name="Labels - Style3 7 4" xfId="12530"/>
    <cellStyle name="Labels - Style3 7 5" xfId="12531"/>
    <cellStyle name="Labels - Style3 7 6" xfId="12532"/>
    <cellStyle name="Labels - Style3 7 7" xfId="12533"/>
    <cellStyle name="Labels - Style3 7 8" xfId="12534"/>
    <cellStyle name="Labels - Style3 8" xfId="12535"/>
    <cellStyle name="Labels - Style3 8 2" xfId="12536"/>
    <cellStyle name="Labels - Style3 8 2 2" xfId="12537"/>
    <cellStyle name="Labels - Style3 8 2 3" xfId="12538"/>
    <cellStyle name="Labels - Style3 8 2 4" xfId="12539"/>
    <cellStyle name="Labels - Style3 8 2 5" xfId="12540"/>
    <cellStyle name="Labels - Style3 8 2 6" xfId="12541"/>
    <cellStyle name="Labels - Style3 8 2 7" xfId="12542"/>
    <cellStyle name="Labels - Style3 8 3" xfId="12543"/>
    <cellStyle name="Labels - Style3 8 4" xfId="12544"/>
    <cellStyle name="Labels - Style3 8 5" xfId="12545"/>
    <cellStyle name="Labels - Style3 8 6" xfId="12546"/>
    <cellStyle name="Labels - Style3 8 7" xfId="12547"/>
    <cellStyle name="Labels - Style3 8 8" xfId="12548"/>
    <cellStyle name="Labels - Style3 9" xfId="12549"/>
    <cellStyle name="Labels - Style3 9 2" xfId="12550"/>
    <cellStyle name="Labels - Style3 9 2 2" xfId="12551"/>
    <cellStyle name="Labels - Style3 9 2 3" xfId="12552"/>
    <cellStyle name="Labels - Style3 9 2 4" xfId="12553"/>
    <cellStyle name="Labels - Style3 9 2 5" xfId="12554"/>
    <cellStyle name="Labels - Style3 9 2 6" xfId="12555"/>
    <cellStyle name="Labels - Style3 9 2 7" xfId="12556"/>
    <cellStyle name="Labels - Style3 9 3" xfId="12557"/>
    <cellStyle name="Labels - Style3 9 4" xfId="12558"/>
    <cellStyle name="Labels - Style3 9 5" xfId="12559"/>
    <cellStyle name="Labels - Style3 9 6" xfId="12560"/>
    <cellStyle name="Labels - Style3 9 7" xfId="12561"/>
    <cellStyle name="Labels - Style3 9 8" xfId="12562"/>
    <cellStyle name="Labels 10" xfId="12563"/>
    <cellStyle name="Labels 10 2" xfId="12564"/>
    <cellStyle name="Labels 10 2 2" xfId="12565"/>
    <cellStyle name="Labels 10 2 3" xfId="12566"/>
    <cellStyle name="Labels 10 2 4" xfId="12567"/>
    <cellStyle name="Labels 10 2 5" xfId="12568"/>
    <cellStyle name="Labels 10 2 6" xfId="12569"/>
    <cellStyle name="Labels 10 2 7" xfId="12570"/>
    <cellStyle name="Labels 10 3" xfId="12571"/>
    <cellStyle name="Labels 10 4" xfId="12572"/>
    <cellStyle name="Labels 10 5" xfId="12573"/>
    <cellStyle name="Labels 10 6" xfId="12574"/>
    <cellStyle name="Labels 10 7" xfId="12575"/>
    <cellStyle name="Labels 10 8" xfId="12576"/>
    <cellStyle name="Labels 11" xfId="12577"/>
    <cellStyle name="Labels 11 2" xfId="12578"/>
    <cellStyle name="Labels 11 2 2" xfId="12579"/>
    <cellStyle name="Labels 11 2 3" xfId="12580"/>
    <cellStyle name="Labels 11 2 4" xfId="12581"/>
    <cellStyle name="Labels 11 2 5" xfId="12582"/>
    <cellStyle name="Labels 11 2 6" xfId="12583"/>
    <cellStyle name="Labels 11 2 7" xfId="12584"/>
    <cellStyle name="Labels 11 3" xfId="12585"/>
    <cellStyle name="Labels 11 4" xfId="12586"/>
    <cellStyle name="Labels 11 5" xfId="12587"/>
    <cellStyle name="Labels 11 6" xfId="12588"/>
    <cellStyle name="Labels 11 7" xfId="12589"/>
    <cellStyle name="Labels 11 8" xfId="12590"/>
    <cellStyle name="Labels 12" xfId="12591"/>
    <cellStyle name="Labels 12 2" xfId="12592"/>
    <cellStyle name="Labels 12 2 2" xfId="12593"/>
    <cellStyle name="Labels 12 2 3" xfId="12594"/>
    <cellStyle name="Labels 12 2 4" xfId="12595"/>
    <cellStyle name="Labels 12 2 5" xfId="12596"/>
    <cellStyle name="Labels 12 2 6" xfId="12597"/>
    <cellStyle name="Labels 12 2 7" xfId="12598"/>
    <cellStyle name="Labels 12 3" xfId="12599"/>
    <cellStyle name="Labels 12 4" xfId="12600"/>
    <cellStyle name="Labels 12 5" xfId="12601"/>
    <cellStyle name="Labels 12 6" xfId="12602"/>
    <cellStyle name="Labels 12 7" xfId="12603"/>
    <cellStyle name="Labels 12 8" xfId="12604"/>
    <cellStyle name="Labels 13" xfId="12605"/>
    <cellStyle name="Labels 13 2" xfId="12606"/>
    <cellStyle name="Labels 13 2 2" xfId="12607"/>
    <cellStyle name="Labels 13 2 3" xfId="12608"/>
    <cellStyle name="Labels 13 2 4" xfId="12609"/>
    <cellStyle name="Labels 13 2 5" xfId="12610"/>
    <cellStyle name="Labels 13 2 6" xfId="12611"/>
    <cellStyle name="Labels 13 2 7" xfId="12612"/>
    <cellStyle name="Labels 13 3" xfId="12613"/>
    <cellStyle name="Labels 13 4" xfId="12614"/>
    <cellStyle name="Labels 13 5" xfId="12615"/>
    <cellStyle name="Labels 13 6" xfId="12616"/>
    <cellStyle name="Labels 13 7" xfId="12617"/>
    <cellStyle name="Labels 13 8" xfId="12618"/>
    <cellStyle name="Labels 14" xfId="12619"/>
    <cellStyle name="Labels 14 2" xfId="12620"/>
    <cellStyle name="Labels 14 2 2" xfId="12621"/>
    <cellStyle name="Labels 14 2 3" xfId="12622"/>
    <cellStyle name="Labels 14 2 4" xfId="12623"/>
    <cellStyle name="Labels 14 2 5" xfId="12624"/>
    <cellStyle name="Labels 14 2 6" xfId="12625"/>
    <cellStyle name="Labels 14 2 7" xfId="12626"/>
    <cellStyle name="Labels 14 3" xfId="12627"/>
    <cellStyle name="Labels 14 4" xfId="12628"/>
    <cellStyle name="Labels 14 5" xfId="12629"/>
    <cellStyle name="Labels 14 6" xfId="12630"/>
    <cellStyle name="Labels 14 7" xfId="12631"/>
    <cellStyle name="Labels 14 8" xfId="12632"/>
    <cellStyle name="Labels 15" xfId="12633"/>
    <cellStyle name="Labels 15 2" xfId="12634"/>
    <cellStyle name="Labels 15 3" xfId="12635"/>
    <cellStyle name="Labels 15 4" xfId="12636"/>
    <cellStyle name="Labels 15 5" xfId="12637"/>
    <cellStyle name="Labels 15 6" xfId="12638"/>
    <cellStyle name="Labels 15 7" xfId="12639"/>
    <cellStyle name="Labels 16" xfId="12640"/>
    <cellStyle name="Labels 16 2" xfId="12641"/>
    <cellStyle name="Labels 16 3" xfId="12642"/>
    <cellStyle name="Labels 16 4" xfId="12643"/>
    <cellStyle name="Labels 16 5" xfId="12644"/>
    <cellStyle name="Labels 16 6" xfId="12645"/>
    <cellStyle name="Labels 16 7" xfId="12646"/>
    <cellStyle name="Labels 17" xfId="12647"/>
    <cellStyle name="Labels 17 2" xfId="12648"/>
    <cellStyle name="Labels 17 3" xfId="12649"/>
    <cellStyle name="Labels 17 4" xfId="12650"/>
    <cellStyle name="Labels 17 5" xfId="12651"/>
    <cellStyle name="Labels 17 6" xfId="12652"/>
    <cellStyle name="Labels 17 7" xfId="12653"/>
    <cellStyle name="Labels 18" xfId="12654"/>
    <cellStyle name="Labels 18 2" xfId="12655"/>
    <cellStyle name="Labels 18 3" xfId="12656"/>
    <cellStyle name="Labels 18 4" xfId="12657"/>
    <cellStyle name="Labels 18 5" xfId="12658"/>
    <cellStyle name="Labels 18 6" xfId="12659"/>
    <cellStyle name="Labels 18 7" xfId="12660"/>
    <cellStyle name="Labels 19" xfId="12661"/>
    <cellStyle name="Labels 2" xfId="12662"/>
    <cellStyle name="Labels 2 10" xfId="12663"/>
    <cellStyle name="Labels 2 2" xfId="12664"/>
    <cellStyle name="Labels 2 2 2" xfId="12665"/>
    <cellStyle name="Labels 2 2 2 2" xfId="12666"/>
    <cellStyle name="Labels 2 2 2 2 2" xfId="12667"/>
    <cellStyle name="Labels 2 2 2 2 3" xfId="12668"/>
    <cellStyle name="Labels 2 2 2 2 4" xfId="12669"/>
    <cellStyle name="Labels 2 2 2 2 5" xfId="12670"/>
    <cellStyle name="Labels 2 2 2 2 6" xfId="12671"/>
    <cellStyle name="Labels 2 2 2 2 7" xfId="12672"/>
    <cellStyle name="Labels 2 2 2 3" xfId="12673"/>
    <cellStyle name="Labels 2 2 2 4" xfId="12674"/>
    <cellStyle name="Labels 2 2 2 5" xfId="12675"/>
    <cellStyle name="Labels 2 2 2 6" xfId="12676"/>
    <cellStyle name="Labels 2 2 2 7" xfId="12677"/>
    <cellStyle name="Labels 2 2 2 8" xfId="12678"/>
    <cellStyle name="Labels 2 2 3" xfId="12679"/>
    <cellStyle name="Labels 2 2 3 2" xfId="12680"/>
    <cellStyle name="Labels 2 2 3 2 2" xfId="12681"/>
    <cellStyle name="Labels 2 2 3 2 3" xfId="12682"/>
    <cellStyle name="Labels 2 2 3 2 4" xfId="12683"/>
    <cellStyle name="Labels 2 2 3 2 5" xfId="12684"/>
    <cellStyle name="Labels 2 2 3 2 6" xfId="12685"/>
    <cellStyle name="Labels 2 2 3 2 7" xfId="12686"/>
    <cellStyle name="Labels 2 2 3 3" xfId="12687"/>
    <cellStyle name="Labels 2 2 3 4" xfId="12688"/>
    <cellStyle name="Labels 2 2 3 5" xfId="12689"/>
    <cellStyle name="Labels 2 2 3 6" xfId="12690"/>
    <cellStyle name="Labels 2 2 3 7" xfId="12691"/>
    <cellStyle name="Labels 2 2 3 8" xfId="12692"/>
    <cellStyle name="Labels 2 2 4" xfId="12693"/>
    <cellStyle name="Labels 2 2 4 2" xfId="12694"/>
    <cellStyle name="Labels 2 2 4 3" xfId="12695"/>
    <cellStyle name="Labels 2 2 4 4" xfId="12696"/>
    <cellStyle name="Labels 2 2 4 5" xfId="12697"/>
    <cellStyle name="Labels 2 2 4 6" xfId="12698"/>
    <cellStyle name="Labels 2 2 4 7" xfId="12699"/>
    <cellStyle name="Labels 2 2 5" xfId="12700"/>
    <cellStyle name="Labels 2 2 5 2" xfId="12701"/>
    <cellStyle name="Labels 2 2 5 3" xfId="12702"/>
    <cellStyle name="Labels 2 2 5 4" xfId="12703"/>
    <cellStyle name="Labels 2 2 5 5" xfId="12704"/>
    <cellStyle name="Labels 2 2 5 6" xfId="12705"/>
    <cellStyle name="Labels 2 2 5 7" xfId="12706"/>
    <cellStyle name="Labels 2 2 6" xfId="12707"/>
    <cellStyle name="Labels 2 2 7" xfId="12708"/>
    <cellStyle name="Labels 2 2 8" xfId="12709"/>
    <cellStyle name="Labels 2 2 9" xfId="12710"/>
    <cellStyle name="Labels 2 3" xfId="12711"/>
    <cellStyle name="Labels 2 3 2" xfId="12712"/>
    <cellStyle name="Labels 2 3 2 2" xfId="12713"/>
    <cellStyle name="Labels 2 3 2 3" xfId="12714"/>
    <cellStyle name="Labels 2 3 2 4" xfId="12715"/>
    <cellStyle name="Labels 2 3 2 5" xfId="12716"/>
    <cellStyle name="Labels 2 3 2 6" xfId="12717"/>
    <cellStyle name="Labels 2 3 2 7" xfId="12718"/>
    <cellStyle name="Labels 2 3 3" xfId="12719"/>
    <cellStyle name="Labels 2 3 4" xfId="12720"/>
    <cellStyle name="Labels 2 3 5" xfId="12721"/>
    <cellStyle name="Labels 2 3 6" xfId="12722"/>
    <cellStyle name="Labels 2 3 7" xfId="12723"/>
    <cellStyle name="Labels 2 3 8" xfId="12724"/>
    <cellStyle name="Labels 2 4" xfId="12725"/>
    <cellStyle name="Labels 2 4 2" xfId="12726"/>
    <cellStyle name="Labels 2 4 2 2" xfId="12727"/>
    <cellStyle name="Labels 2 4 2 3" xfId="12728"/>
    <cellStyle name="Labels 2 4 2 4" xfId="12729"/>
    <cellStyle name="Labels 2 4 2 5" xfId="12730"/>
    <cellStyle name="Labels 2 4 2 6" xfId="12731"/>
    <cellStyle name="Labels 2 4 2 7" xfId="12732"/>
    <cellStyle name="Labels 2 4 3" xfId="12733"/>
    <cellStyle name="Labels 2 4 4" xfId="12734"/>
    <cellStyle name="Labels 2 4 5" xfId="12735"/>
    <cellStyle name="Labels 2 4 6" xfId="12736"/>
    <cellStyle name="Labels 2 4 7" xfId="12737"/>
    <cellStyle name="Labels 2 4 8" xfId="12738"/>
    <cellStyle name="Labels 2 5" xfId="12739"/>
    <cellStyle name="Labels 2 5 2" xfId="12740"/>
    <cellStyle name="Labels 2 5 3" xfId="12741"/>
    <cellStyle name="Labels 2 5 4" xfId="12742"/>
    <cellStyle name="Labels 2 5 5" xfId="12743"/>
    <cellStyle name="Labels 2 5 6" xfId="12744"/>
    <cellStyle name="Labels 2 5 7" xfId="12745"/>
    <cellStyle name="Labels 2 6" xfId="12746"/>
    <cellStyle name="Labels 2 6 2" xfId="12747"/>
    <cellStyle name="Labels 2 6 3" xfId="12748"/>
    <cellStyle name="Labels 2 6 4" xfId="12749"/>
    <cellStyle name="Labels 2 6 5" xfId="12750"/>
    <cellStyle name="Labels 2 6 6" xfId="12751"/>
    <cellStyle name="Labels 2 6 7" xfId="12752"/>
    <cellStyle name="Labels 2 7" xfId="12753"/>
    <cellStyle name="Labels 2 8" xfId="12754"/>
    <cellStyle name="Labels 2 9" xfId="12755"/>
    <cellStyle name="Labels 20" xfId="12756"/>
    <cellStyle name="Labels 21" xfId="12757"/>
    <cellStyle name="Labels 22" xfId="12758"/>
    <cellStyle name="Labels 23" xfId="12759"/>
    <cellStyle name="Labels 24" xfId="12760"/>
    <cellStyle name="Labels 25" xfId="12761"/>
    <cellStyle name="Labels 26" xfId="12762"/>
    <cellStyle name="Labels 3" xfId="12763"/>
    <cellStyle name="Labels 3 2" xfId="12764"/>
    <cellStyle name="Labels 3 2 2" xfId="12765"/>
    <cellStyle name="Labels 3 2 2 2" xfId="12766"/>
    <cellStyle name="Labels 3 2 2 3" xfId="12767"/>
    <cellStyle name="Labels 3 2 2 4" xfId="12768"/>
    <cellStyle name="Labels 3 2 2 5" xfId="12769"/>
    <cellStyle name="Labels 3 2 2 6" xfId="12770"/>
    <cellStyle name="Labels 3 2 2 7" xfId="12771"/>
    <cellStyle name="Labels 3 2 3" xfId="12772"/>
    <cellStyle name="Labels 3 2 4" xfId="12773"/>
    <cellStyle name="Labels 3 2 5" xfId="12774"/>
    <cellStyle name="Labels 3 2 6" xfId="12775"/>
    <cellStyle name="Labels 3 2 7" xfId="12776"/>
    <cellStyle name="Labels 3 2 8" xfId="12777"/>
    <cellStyle name="Labels 3 3" xfId="12778"/>
    <cellStyle name="Labels 3 3 2" xfId="12779"/>
    <cellStyle name="Labels 3 3 2 2" xfId="12780"/>
    <cellStyle name="Labels 3 3 2 3" xfId="12781"/>
    <cellStyle name="Labels 3 3 2 4" xfId="12782"/>
    <cellStyle name="Labels 3 3 2 5" xfId="12783"/>
    <cellStyle name="Labels 3 3 2 6" xfId="12784"/>
    <cellStyle name="Labels 3 3 2 7" xfId="12785"/>
    <cellStyle name="Labels 3 3 3" xfId="12786"/>
    <cellStyle name="Labels 3 3 4" xfId="12787"/>
    <cellStyle name="Labels 3 3 5" xfId="12788"/>
    <cellStyle name="Labels 3 3 6" xfId="12789"/>
    <cellStyle name="Labels 3 3 7" xfId="12790"/>
    <cellStyle name="Labels 3 3 8" xfId="12791"/>
    <cellStyle name="Labels 3 4" xfId="12792"/>
    <cellStyle name="Labels 3 4 2" xfId="12793"/>
    <cellStyle name="Labels 3 4 3" xfId="12794"/>
    <cellStyle name="Labels 3 4 4" xfId="12795"/>
    <cellStyle name="Labels 3 4 5" xfId="12796"/>
    <cellStyle name="Labels 3 4 6" xfId="12797"/>
    <cellStyle name="Labels 3 4 7" xfId="12798"/>
    <cellStyle name="Labels 3 5" xfId="12799"/>
    <cellStyle name="Labels 3 5 2" xfId="12800"/>
    <cellStyle name="Labels 3 5 3" xfId="12801"/>
    <cellStyle name="Labels 3 5 4" xfId="12802"/>
    <cellStyle name="Labels 3 5 5" xfId="12803"/>
    <cellStyle name="Labels 3 5 6" xfId="12804"/>
    <cellStyle name="Labels 3 5 7" xfId="12805"/>
    <cellStyle name="Labels 3 6" xfId="12806"/>
    <cellStyle name="Labels 3 7" xfId="12807"/>
    <cellStyle name="Labels 3 8" xfId="12808"/>
    <cellStyle name="Labels 3 9" xfId="12809"/>
    <cellStyle name="Labels 4" xfId="12810"/>
    <cellStyle name="Labels 4 2" xfId="12811"/>
    <cellStyle name="Labels 4 2 2" xfId="12812"/>
    <cellStyle name="Labels 4 2 2 2" xfId="12813"/>
    <cellStyle name="Labels 4 2 2 3" xfId="12814"/>
    <cellStyle name="Labels 4 2 2 4" xfId="12815"/>
    <cellStyle name="Labels 4 2 2 5" xfId="12816"/>
    <cellStyle name="Labels 4 2 2 6" xfId="12817"/>
    <cellStyle name="Labels 4 2 2 7" xfId="12818"/>
    <cellStyle name="Labels 4 2 3" xfId="12819"/>
    <cellStyle name="Labels 4 2 4" xfId="12820"/>
    <cellStyle name="Labels 4 2 5" xfId="12821"/>
    <cellStyle name="Labels 4 2 6" xfId="12822"/>
    <cellStyle name="Labels 4 2 7" xfId="12823"/>
    <cellStyle name="Labels 4 2 8" xfId="12824"/>
    <cellStyle name="Labels 4 3" xfId="12825"/>
    <cellStyle name="Labels 4 3 2" xfId="12826"/>
    <cellStyle name="Labels 4 3 2 2" xfId="12827"/>
    <cellStyle name="Labels 4 3 2 3" xfId="12828"/>
    <cellStyle name="Labels 4 3 2 4" xfId="12829"/>
    <cellStyle name="Labels 4 3 2 5" xfId="12830"/>
    <cellStyle name="Labels 4 3 2 6" xfId="12831"/>
    <cellStyle name="Labels 4 3 2 7" xfId="12832"/>
    <cellStyle name="Labels 4 3 3" xfId="12833"/>
    <cellStyle name="Labels 4 3 4" xfId="12834"/>
    <cellStyle name="Labels 4 3 5" xfId="12835"/>
    <cellStyle name="Labels 4 3 6" xfId="12836"/>
    <cellStyle name="Labels 4 3 7" xfId="12837"/>
    <cellStyle name="Labels 4 3 8" xfId="12838"/>
    <cellStyle name="Labels 4 4" xfId="12839"/>
    <cellStyle name="Labels 4 4 2" xfId="12840"/>
    <cellStyle name="Labels 4 4 3" xfId="12841"/>
    <cellStyle name="Labels 4 4 4" xfId="12842"/>
    <cellStyle name="Labels 4 4 5" xfId="12843"/>
    <cellStyle name="Labels 4 4 6" xfId="12844"/>
    <cellStyle name="Labels 4 4 7" xfId="12845"/>
    <cellStyle name="Labels 4 5" xfId="12846"/>
    <cellStyle name="Labels 4 5 2" xfId="12847"/>
    <cellStyle name="Labels 4 5 3" xfId="12848"/>
    <cellStyle name="Labels 4 5 4" xfId="12849"/>
    <cellStyle name="Labels 4 5 5" xfId="12850"/>
    <cellStyle name="Labels 4 5 6" xfId="12851"/>
    <cellStyle name="Labels 4 5 7" xfId="12852"/>
    <cellStyle name="Labels 4 6" xfId="12853"/>
    <cellStyle name="Labels 4 7" xfId="12854"/>
    <cellStyle name="Labels 4 8" xfId="12855"/>
    <cellStyle name="Labels 4 9" xfId="12856"/>
    <cellStyle name="Labels 5" xfId="12857"/>
    <cellStyle name="Labels 5 2" xfId="12858"/>
    <cellStyle name="Labels 5 2 2" xfId="12859"/>
    <cellStyle name="Labels 5 2 2 2" xfId="12860"/>
    <cellStyle name="Labels 5 2 2 3" xfId="12861"/>
    <cellStyle name="Labels 5 2 2 4" xfId="12862"/>
    <cellStyle name="Labels 5 2 2 5" xfId="12863"/>
    <cellStyle name="Labels 5 2 2 6" xfId="12864"/>
    <cellStyle name="Labels 5 2 2 7" xfId="12865"/>
    <cellStyle name="Labels 5 2 3" xfId="12866"/>
    <cellStyle name="Labels 5 2 4" xfId="12867"/>
    <cellStyle name="Labels 5 2 5" xfId="12868"/>
    <cellStyle name="Labels 5 2 6" xfId="12869"/>
    <cellStyle name="Labels 5 2 7" xfId="12870"/>
    <cellStyle name="Labels 5 2 8" xfId="12871"/>
    <cellStyle name="Labels 5 3" xfId="12872"/>
    <cellStyle name="Labels 5 3 2" xfId="12873"/>
    <cellStyle name="Labels 5 3 2 2" xfId="12874"/>
    <cellStyle name="Labels 5 3 2 3" xfId="12875"/>
    <cellStyle name="Labels 5 3 2 4" xfId="12876"/>
    <cellStyle name="Labels 5 3 2 5" xfId="12877"/>
    <cellStyle name="Labels 5 3 2 6" xfId="12878"/>
    <cellStyle name="Labels 5 3 2 7" xfId="12879"/>
    <cellStyle name="Labels 5 3 3" xfId="12880"/>
    <cellStyle name="Labels 5 3 4" xfId="12881"/>
    <cellStyle name="Labels 5 3 5" xfId="12882"/>
    <cellStyle name="Labels 5 3 6" xfId="12883"/>
    <cellStyle name="Labels 5 3 7" xfId="12884"/>
    <cellStyle name="Labels 5 3 8" xfId="12885"/>
    <cellStyle name="Labels 5 4" xfId="12886"/>
    <cellStyle name="Labels 5 4 2" xfId="12887"/>
    <cellStyle name="Labels 5 4 3" xfId="12888"/>
    <cellStyle name="Labels 5 4 4" xfId="12889"/>
    <cellStyle name="Labels 5 4 5" xfId="12890"/>
    <cellStyle name="Labels 5 4 6" xfId="12891"/>
    <cellStyle name="Labels 5 4 7" xfId="12892"/>
    <cellStyle name="Labels 5 5" xfId="12893"/>
    <cellStyle name="Labels 5 5 2" xfId="12894"/>
    <cellStyle name="Labels 5 5 3" xfId="12895"/>
    <cellStyle name="Labels 5 5 4" xfId="12896"/>
    <cellStyle name="Labels 5 5 5" xfId="12897"/>
    <cellStyle name="Labels 5 5 6" xfId="12898"/>
    <cellStyle name="Labels 5 5 7" xfId="12899"/>
    <cellStyle name="Labels 5 6" xfId="12900"/>
    <cellStyle name="Labels 5 7" xfId="12901"/>
    <cellStyle name="Labels 5 8" xfId="12902"/>
    <cellStyle name="Labels 5 9" xfId="12903"/>
    <cellStyle name="Labels 6" xfId="12904"/>
    <cellStyle name="Labels 6 2" xfId="12905"/>
    <cellStyle name="Labels 6 2 2" xfId="12906"/>
    <cellStyle name="Labels 6 2 2 2" xfId="12907"/>
    <cellStyle name="Labels 6 2 2 3" xfId="12908"/>
    <cellStyle name="Labels 6 2 2 4" xfId="12909"/>
    <cellStyle name="Labels 6 2 2 5" xfId="12910"/>
    <cellStyle name="Labels 6 2 2 6" xfId="12911"/>
    <cellStyle name="Labels 6 2 2 7" xfId="12912"/>
    <cellStyle name="Labels 6 2 3" xfId="12913"/>
    <cellStyle name="Labels 6 2 4" xfId="12914"/>
    <cellStyle name="Labels 6 2 5" xfId="12915"/>
    <cellStyle name="Labels 6 2 6" xfId="12916"/>
    <cellStyle name="Labels 6 2 7" xfId="12917"/>
    <cellStyle name="Labels 6 2 8" xfId="12918"/>
    <cellStyle name="Labels 6 3" xfId="12919"/>
    <cellStyle name="Labels 6 3 2" xfId="12920"/>
    <cellStyle name="Labels 6 3 2 2" xfId="12921"/>
    <cellStyle name="Labels 6 3 2 3" xfId="12922"/>
    <cellStyle name="Labels 6 3 2 4" xfId="12923"/>
    <cellStyle name="Labels 6 3 2 5" xfId="12924"/>
    <cellStyle name="Labels 6 3 2 6" xfId="12925"/>
    <cellStyle name="Labels 6 3 2 7" xfId="12926"/>
    <cellStyle name="Labels 6 3 3" xfId="12927"/>
    <cellStyle name="Labels 6 3 4" xfId="12928"/>
    <cellStyle name="Labels 6 3 5" xfId="12929"/>
    <cellStyle name="Labels 6 3 6" xfId="12930"/>
    <cellStyle name="Labels 6 3 7" xfId="12931"/>
    <cellStyle name="Labels 6 3 8" xfId="12932"/>
    <cellStyle name="Labels 6 4" xfId="12933"/>
    <cellStyle name="Labels 6 4 2" xfId="12934"/>
    <cellStyle name="Labels 6 4 3" xfId="12935"/>
    <cellStyle name="Labels 6 4 4" xfId="12936"/>
    <cellStyle name="Labels 6 4 5" xfId="12937"/>
    <cellStyle name="Labels 6 4 6" xfId="12938"/>
    <cellStyle name="Labels 6 4 7" xfId="12939"/>
    <cellStyle name="Labels 6 5" xfId="12940"/>
    <cellStyle name="Labels 6 5 2" xfId="12941"/>
    <cellStyle name="Labels 6 5 3" xfId="12942"/>
    <cellStyle name="Labels 6 5 4" xfId="12943"/>
    <cellStyle name="Labels 6 5 5" xfId="12944"/>
    <cellStyle name="Labels 6 5 6" xfId="12945"/>
    <cellStyle name="Labels 6 5 7" xfId="12946"/>
    <cellStyle name="Labels 6 6" xfId="12947"/>
    <cellStyle name="Labels 6 7" xfId="12948"/>
    <cellStyle name="Labels 6 8" xfId="12949"/>
    <cellStyle name="Labels 6 9" xfId="12950"/>
    <cellStyle name="Labels 7" xfId="12951"/>
    <cellStyle name="Labels 7 2" xfId="12952"/>
    <cellStyle name="Labels 7 2 2" xfId="12953"/>
    <cellStyle name="Labels 7 2 2 2" xfId="12954"/>
    <cellStyle name="Labels 7 2 2 3" xfId="12955"/>
    <cellStyle name="Labels 7 2 2 4" xfId="12956"/>
    <cellStyle name="Labels 7 2 2 5" xfId="12957"/>
    <cellStyle name="Labels 7 2 2 6" xfId="12958"/>
    <cellStyle name="Labels 7 2 2 7" xfId="12959"/>
    <cellStyle name="Labels 7 2 3" xfId="12960"/>
    <cellStyle name="Labels 7 2 4" xfId="12961"/>
    <cellStyle name="Labels 7 2 5" xfId="12962"/>
    <cellStyle name="Labels 7 2 6" xfId="12963"/>
    <cellStyle name="Labels 7 2 7" xfId="12964"/>
    <cellStyle name="Labels 7 2 8" xfId="12965"/>
    <cellStyle name="Labels 7 3" xfId="12966"/>
    <cellStyle name="Labels 7 3 2" xfId="12967"/>
    <cellStyle name="Labels 7 3 2 2" xfId="12968"/>
    <cellStyle name="Labels 7 3 2 3" xfId="12969"/>
    <cellStyle name="Labels 7 3 2 4" xfId="12970"/>
    <cellStyle name="Labels 7 3 2 5" xfId="12971"/>
    <cellStyle name="Labels 7 3 2 6" xfId="12972"/>
    <cellStyle name="Labels 7 3 2 7" xfId="12973"/>
    <cellStyle name="Labels 7 3 3" xfId="12974"/>
    <cellStyle name="Labels 7 3 4" xfId="12975"/>
    <cellStyle name="Labels 7 3 5" xfId="12976"/>
    <cellStyle name="Labels 7 3 6" xfId="12977"/>
    <cellStyle name="Labels 7 3 7" xfId="12978"/>
    <cellStyle name="Labels 7 3 8" xfId="12979"/>
    <cellStyle name="Labels 7 4" xfId="12980"/>
    <cellStyle name="Labels 7 4 2" xfId="12981"/>
    <cellStyle name="Labels 7 4 3" xfId="12982"/>
    <cellStyle name="Labels 7 4 4" xfId="12983"/>
    <cellStyle name="Labels 7 4 5" xfId="12984"/>
    <cellStyle name="Labels 7 4 6" xfId="12985"/>
    <cellStyle name="Labels 7 4 7" xfId="12986"/>
    <cellStyle name="Labels 7 5" xfId="12987"/>
    <cellStyle name="Labels 7 5 2" xfId="12988"/>
    <cellStyle name="Labels 7 5 3" xfId="12989"/>
    <cellStyle name="Labels 7 5 4" xfId="12990"/>
    <cellStyle name="Labels 7 5 5" xfId="12991"/>
    <cellStyle name="Labels 7 5 6" xfId="12992"/>
    <cellStyle name="Labels 7 5 7" xfId="12993"/>
    <cellStyle name="Labels 7 6" xfId="12994"/>
    <cellStyle name="Labels 7 7" xfId="12995"/>
    <cellStyle name="Labels 7 8" xfId="12996"/>
    <cellStyle name="Labels 7 9" xfId="12997"/>
    <cellStyle name="Labels 8" xfId="12998"/>
    <cellStyle name="Labels 8 2" xfId="12999"/>
    <cellStyle name="Labels 8 2 2" xfId="13000"/>
    <cellStyle name="Labels 8 2 3" xfId="13001"/>
    <cellStyle name="Labels 8 2 4" xfId="13002"/>
    <cellStyle name="Labels 8 2 5" xfId="13003"/>
    <cellStyle name="Labels 8 2 6" xfId="13004"/>
    <cellStyle name="Labels 8 2 7" xfId="13005"/>
    <cellStyle name="Labels 8 3" xfId="13006"/>
    <cellStyle name="Labels 8 4" xfId="13007"/>
    <cellStyle name="Labels 8 5" xfId="13008"/>
    <cellStyle name="Labels 8 6" xfId="13009"/>
    <cellStyle name="Labels 8 7" xfId="13010"/>
    <cellStyle name="Labels 8 8" xfId="13011"/>
    <cellStyle name="Labels 9" xfId="13012"/>
    <cellStyle name="Labels 9 2" xfId="13013"/>
    <cellStyle name="Labels 9 2 2" xfId="13014"/>
    <cellStyle name="Labels 9 2 3" xfId="13015"/>
    <cellStyle name="Labels 9 2 4" xfId="13016"/>
    <cellStyle name="Labels 9 2 5" xfId="13017"/>
    <cellStyle name="Labels 9 2 6" xfId="13018"/>
    <cellStyle name="Labels 9 2 7" xfId="13019"/>
    <cellStyle name="Labels 9 3" xfId="13020"/>
    <cellStyle name="Labels 9 4" xfId="13021"/>
    <cellStyle name="Labels 9 5" xfId="13022"/>
    <cellStyle name="Labels 9 6" xfId="13023"/>
    <cellStyle name="Labels 9 7" xfId="13024"/>
    <cellStyle name="Labels 9 8" xfId="13025"/>
    <cellStyle name="Linked Cell 2" xfId="239"/>
    <cellStyle name="Linked Cell 2 2" xfId="240"/>
    <cellStyle name="Linked Cell 2 2 2" xfId="13026"/>
    <cellStyle name="Linked Cell 2 3" xfId="769"/>
    <cellStyle name="Linked Cell 2 4" xfId="770"/>
    <cellStyle name="Linked Cell 2 4 2" xfId="21517"/>
    <cellStyle name="Linked Cell 3" xfId="241"/>
    <cellStyle name="Linked Cell 3 2" xfId="771"/>
    <cellStyle name="Linked Cell 3 2 2" xfId="13027"/>
    <cellStyle name="Linked Cell 3 3" xfId="13028"/>
    <cellStyle name="Linked Cell 4" xfId="772"/>
    <cellStyle name="Neutral 2" xfId="242"/>
    <cellStyle name="Neutral 2 2" xfId="243"/>
    <cellStyle name="Neutral 2 2 2" xfId="1493"/>
    <cellStyle name="Neutral 2 2 3" xfId="13029"/>
    <cellStyle name="Neutral 2 3" xfId="773"/>
    <cellStyle name="Neutral 2 3 2" xfId="13030"/>
    <cellStyle name="Neutral 2 4" xfId="774"/>
    <cellStyle name="Neutral 2 4 2" xfId="13031"/>
    <cellStyle name="Neutral 3" xfId="244"/>
    <cellStyle name="Neutral 3 2" xfId="775"/>
    <cellStyle name="Neutral 3 2 2" xfId="13032"/>
    <cellStyle name="Neutral 3 3" xfId="13033"/>
    <cellStyle name="Neutral 4" xfId="776"/>
    <cellStyle name="Neutral 4 2" xfId="13034"/>
    <cellStyle name="New_normal" xfId="245"/>
    <cellStyle name="Normal" xfId="0" builtinId="0"/>
    <cellStyle name="Normal - Style1" xfId="22"/>
    <cellStyle name="Normal - Style2" xfId="23"/>
    <cellStyle name="Normal - Style3" xfId="24"/>
    <cellStyle name="Normal - Style4" xfId="25"/>
    <cellStyle name="Normal - Style5" xfId="26"/>
    <cellStyle name="Normal - Style6" xfId="1494"/>
    <cellStyle name="Normal - Style7" xfId="1495"/>
    <cellStyle name="Normal - Style8" xfId="1496"/>
    <cellStyle name="Normal 10" xfId="27"/>
    <cellStyle name="Normal 10 10" xfId="13035"/>
    <cellStyle name="Normal 10 10 2" xfId="21518"/>
    <cellStyle name="Normal 10 11" xfId="13036"/>
    <cellStyle name="Normal 10 2" xfId="28"/>
    <cellStyle name="Normal 10 2 2" xfId="246"/>
    <cellStyle name="Normal 10 2 2 2" xfId="777"/>
    <cellStyle name="Normal 10 2 2 2 2" xfId="778"/>
    <cellStyle name="Normal 10 2 2 2 2 2" xfId="13037"/>
    <cellStyle name="Normal 10 2 2 2 2 2 2" xfId="13038"/>
    <cellStyle name="Normal 10 2 2 2 2 2 2 2" xfId="13039"/>
    <cellStyle name="Normal 10 2 2 2 2 2 2 2 2" xfId="21519"/>
    <cellStyle name="Normal 10 2 2 2 2 2 2 3" xfId="13040"/>
    <cellStyle name="Normal 10 2 2 2 2 2 3" xfId="13041"/>
    <cellStyle name="Normal 10 2 2 2 2 2 3 2" xfId="13042"/>
    <cellStyle name="Normal 10 2 2 2 2 2 3 2 2" xfId="21520"/>
    <cellStyle name="Normal 10 2 2 2 2 2 3 3" xfId="13043"/>
    <cellStyle name="Normal 10 2 2 2 2 2 4" xfId="13044"/>
    <cellStyle name="Normal 10 2 2 2 2 2 4 2" xfId="21521"/>
    <cellStyle name="Normal 10 2 2 2 2 2 5" xfId="13045"/>
    <cellStyle name="Normal 10 2 2 2 2 3" xfId="13046"/>
    <cellStyle name="Normal 10 2 2 2 2 3 2" xfId="13047"/>
    <cellStyle name="Normal 10 2 2 2 2 3 2 2" xfId="21522"/>
    <cellStyle name="Normal 10 2 2 2 2 3 3" xfId="13048"/>
    <cellStyle name="Normal 10 2 2 2 2 4" xfId="13049"/>
    <cellStyle name="Normal 10 2 2 2 2 4 2" xfId="13050"/>
    <cellStyle name="Normal 10 2 2 2 2 4 2 2" xfId="21523"/>
    <cellStyle name="Normal 10 2 2 2 2 4 3" xfId="13051"/>
    <cellStyle name="Normal 10 2 2 2 2 5" xfId="13052"/>
    <cellStyle name="Normal 10 2 2 2 2 5 2" xfId="21524"/>
    <cellStyle name="Normal 10 2 2 2 2 6" xfId="13053"/>
    <cellStyle name="Normal 10 2 2 2 3" xfId="13054"/>
    <cellStyle name="Normal 10 2 2 2 3 2" xfId="13055"/>
    <cellStyle name="Normal 10 2 2 2 3 2 2" xfId="13056"/>
    <cellStyle name="Normal 10 2 2 2 3 2 2 2" xfId="21525"/>
    <cellStyle name="Normal 10 2 2 2 3 2 3" xfId="13057"/>
    <cellStyle name="Normal 10 2 2 2 3 3" xfId="13058"/>
    <cellStyle name="Normal 10 2 2 2 3 3 2" xfId="13059"/>
    <cellStyle name="Normal 10 2 2 2 3 3 2 2" xfId="21526"/>
    <cellStyle name="Normal 10 2 2 2 3 3 3" xfId="13060"/>
    <cellStyle name="Normal 10 2 2 2 3 4" xfId="13061"/>
    <cellStyle name="Normal 10 2 2 2 3 4 2" xfId="21527"/>
    <cellStyle name="Normal 10 2 2 2 3 5" xfId="13062"/>
    <cellStyle name="Normal 10 2 2 2 4" xfId="13063"/>
    <cellStyle name="Normal 10 2 2 2 4 2" xfId="13064"/>
    <cellStyle name="Normal 10 2 2 2 4 2 2" xfId="21528"/>
    <cellStyle name="Normal 10 2 2 2 4 3" xfId="13065"/>
    <cellStyle name="Normal 10 2 2 2 5" xfId="13066"/>
    <cellStyle name="Normal 10 2 2 2 5 2" xfId="13067"/>
    <cellStyle name="Normal 10 2 2 2 5 2 2" xfId="21529"/>
    <cellStyle name="Normal 10 2 2 2 5 3" xfId="13068"/>
    <cellStyle name="Normal 10 2 2 2 6" xfId="13069"/>
    <cellStyle name="Normal 10 2 2 2 6 2" xfId="21530"/>
    <cellStyle name="Normal 10 2 2 2 7" xfId="13070"/>
    <cellStyle name="Normal 10 2 2 3" xfId="779"/>
    <cellStyle name="Normal 10 2 2 3 2" xfId="13071"/>
    <cellStyle name="Normal 10 2 2 3 2 2" xfId="13072"/>
    <cellStyle name="Normal 10 2 2 3 2 2 2" xfId="13073"/>
    <cellStyle name="Normal 10 2 2 3 2 2 2 2" xfId="21531"/>
    <cellStyle name="Normal 10 2 2 3 2 2 3" xfId="13074"/>
    <cellStyle name="Normal 10 2 2 3 2 3" xfId="13075"/>
    <cellStyle name="Normal 10 2 2 3 2 3 2" xfId="13076"/>
    <cellStyle name="Normal 10 2 2 3 2 3 2 2" xfId="21532"/>
    <cellStyle name="Normal 10 2 2 3 2 3 3" xfId="13077"/>
    <cellStyle name="Normal 10 2 2 3 2 4" xfId="13078"/>
    <cellStyle name="Normal 10 2 2 3 2 4 2" xfId="21533"/>
    <cellStyle name="Normal 10 2 2 3 2 5" xfId="13079"/>
    <cellStyle name="Normal 10 2 2 3 3" xfId="13080"/>
    <cellStyle name="Normal 10 2 2 3 3 2" xfId="13081"/>
    <cellStyle name="Normal 10 2 2 3 3 2 2" xfId="21534"/>
    <cellStyle name="Normal 10 2 2 3 3 3" xfId="13082"/>
    <cellStyle name="Normal 10 2 2 3 4" xfId="13083"/>
    <cellStyle name="Normal 10 2 2 3 4 2" xfId="13084"/>
    <cellStyle name="Normal 10 2 2 3 4 2 2" xfId="21535"/>
    <cellStyle name="Normal 10 2 2 3 4 3" xfId="13085"/>
    <cellStyle name="Normal 10 2 2 3 5" xfId="13086"/>
    <cellStyle name="Normal 10 2 2 3 5 2" xfId="21536"/>
    <cellStyle name="Normal 10 2 2 3 6" xfId="13087"/>
    <cellStyle name="Normal 10 2 2 4" xfId="13088"/>
    <cellStyle name="Normal 10 2 2 4 2" xfId="13089"/>
    <cellStyle name="Normal 10 2 2 4 2 2" xfId="13090"/>
    <cellStyle name="Normal 10 2 2 4 2 2 2" xfId="21537"/>
    <cellStyle name="Normal 10 2 2 4 2 3" xfId="13091"/>
    <cellStyle name="Normal 10 2 2 4 3" xfId="13092"/>
    <cellStyle name="Normal 10 2 2 4 3 2" xfId="13093"/>
    <cellStyle name="Normal 10 2 2 4 3 2 2" xfId="21538"/>
    <cellStyle name="Normal 10 2 2 4 3 3" xfId="13094"/>
    <cellStyle name="Normal 10 2 2 4 4" xfId="13095"/>
    <cellStyle name="Normal 10 2 2 4 4 2" xfId="21539"/>
    <cellStyle name="Normal 10 2 2 4 5" xfId="13096"/>
    <cellStyle name="Normal 10 2 2 5" xfId="13097"/>
    <cellStyle name="Normal 10 2 2 5 2" xfId="13098"/>
    <cellStyle name="Normal 10 2 2 5 2 2" xfId="21540"/>
    <cellStyle name="Normal 10 2 2 5 3" xfId="13099"/>
    <cellStyle name="Normal 10 2 2 6" xfId="13100"/>
    <cellStyle name="Normal 10 2 2 6 2" xfId="13101"/>
    <cellStyle name="Normal 10 2 2 6 2 2" xfId="21541"/>
    <cellStyle name="Normal 10 2 2 6 3" xfId="13102"/>
    <cellStyle name="Normal 10 2 2 7" xfId="13103"/>
    <cellStyle name="Normal 10 2 2 7 2" xfId="21542"/>
    <cellStyle name="Normal 10 2 2 8" xfId="13104"/>
    <cellStyle name="Normal 10 2 3" xfId="247"/>
    <cellStyle name="Normal 10 2 3 2" xfId="780"/>
    <cellStyle name="Normal 10 2 3 2 2" xfId="13105"/>
    <cellStyle name="Normal 10 2 3 2 2 2" xfId="13106"/>
    <cellStyle name="Normal 10 2 3 2 2 2 2" xfId="13107"/>
    <cellStyle name="Normal 10 2 3 2 2 2 2 2" xfId="21543"/>
    <cellStyle name="Normal 10 2 3 2 2 2 3" xfId="13108"/>
    <cellStyle name="Normal 10 2 3 2 2 3" xfId="13109"/>
    <cellStyle name="Normal 10 2 3 2 2 3 2" xfId="13110"/>
    <cellStyle name="Normal 10 2 3 2 2 3 2 2" xfId="21544"/>
    <cellStyle name="Normal 10 2 3 2 2 3 3" xfId="13111"/>
    <cellStyle name="Normal 10 2 3 2 2 4" xfId="13112"/>
    <cellStyle name="Normal 10 2 3 2 2 4 2" xfId="21545"/>
    <cellStyle name="Normal 10 2 3 2 2 5" xfId="13113"/>
    <cellStyle name="Normal 10 2 3 2 3" xfId="13114"/>
    <cellStyle name="Normal 10 2 3 2 3 2" xfId="13115"/>
    <cellStyle name="Normal 10 2 3 2 3 2 2" xfId="21546"/>
    <cellStyle name="Normal 10 2 3 2 3 3" xfId="13116"/>
    <cellStyle name="Normal 10 2 3 2 4" xfId="13117"/>
    <cellStyle name="Normal 10 2 3 2 4 2" xfId="13118"/>
    <cellStyle name="Normal 10 2 3 2 4 2 2" xfId="21547"/>
    <cellStyle name="Normal 10 2 3 2 4 3" xfId="13119"/>
    <cellStyle name="Normal 10 2 3 2 5" xfId="13120"/>
    <cellStyle name="Normal 10 2 3 2 5 2" xfId="21548"/>
    <cellStyle name="Normal 10 2 3 2 6" xfId="13121"/>
    <cellStyle name="Normal 10 2 3 3" xfId="1497"/>
    <cellStyle name="Normal 10 2 3 3 2" xfId="13122"/>
    <cellStyle name="Normal 10 2 3 3 2 2" xfId="13123"/>
    <cellStyle name="Normal 10 2 3 3 2 2 2" xfId="21549"/>
    <cellStyle name="Normal 10 2 3 3 2 3" xfId="13124"/>
    <cellStyle name="Normal 10 2 3 3 3" xfId="13125"/>
    <cellStyle name="Normal 10 2 3 3 3 2" xfId="13126"/>
    <cellStyle name="Normal 10 2 3 3 3 2 2" xfId="21550"/>
    <cellStyle name="Normal 10 2 3 3 3 3" xfId="13127"/>
    <cellStyle name="Normal 10 2 3 3 4" xfId="13128"/>
    <cellStyle name="Normal 10 2 3 3 4 2" xfId="21551"/>
    <cellStyle name="Normal 10 2 3 3 5" xfId="13129"/>
    <cellStyle name="Normal 10 2 3 4" xfId="1498"/>
    <cellStyle name="Normal 10 2 3 4 2" xfId="13130"/>
    <cellStyle name="Normal 10 2 3 4 2 2" xfId="21552"/>
    <cellStyle name="Normal 10 2 3 4 3" xfId="13131"/>
    <cellStyle name="Normal 10 2 3 5" xfId="13132"/>
    <cellStyle name="Normal 10 2 3 5 2" xfId="13133"/>
    <cellStyle name="Normal 10 2 3 5 2 2" xfId="21553"/>
    <cellStyle name="Normal 10 2 3 5 3" xfId="13134"/>
    <cellStyle name="Normal 10 2 3 5 4" xfId="13135"/>
    <cellStyle name="Normal 10 2 3 6" xfId="13136"/>
    <cellStyle name="Normal 10 2 3 6 2" xfId="21554"/>
    <cellStyle name="Normal 10 2 3 7" xfId="13137"/>
    <cellStyle name="Normal 10 2 4" xfId="781"/>
    <cellStyle name="Normal 10 2 4 2" xfId="782"/>
    <cellStyle name="Normal 10 2 4 2 2" xfId="13138"/>
    <cellStyle name="Normal 10 2 4 2 2 2" xfId="13139"/>
    <cellStyle name="Normal 10 2 4 2 2 2 2" xfId="21555"/>
    <cellStyle name="Normal 10 2 4 2 2 3" xfId="13140"/>
    <cellStyle name="Normal 10 2 4 2 2 4" xfId="13141"/>
    <cellStyle name="Normal 10 2 4 2 3" xfId="13142"/>
    <cellStyle name="Normal 10 2 4 2 3 2" xfId="13143"/>
    <cellStyle name="Normal 10 2 4 2 3 2 2" xfId="21556"/>
    <cellStyle name="Normal 10 2 4 2 3 3" xfId="13144"/>
    <cellStyle name="Normal 10 2 4 2 4" xfId="13145"/>
    <cellStyle name="Normal 10 2 4 2 4 2" xfId="21557"/>
    <cellStyle name="Normal 10 2 4 2 5" xfId="13146"/>
    <cellStyle name="Normal 10 2 4 3" xfId="13147"/>
    <cellStyle name="Normal 10 2 4 3 2" xfId="13148"/>
    <cellStyle name="Normal 10 2 4 3 2 2" xfId="21558"/>
    <cellStyle name="Normal 10 2 4 3 3" xfId="13149"/>
    <cellStyle name="Normal 10 2 4 4" xfId="13150"/>
    <cellStyle name="Normal 10 2 4 4 2" xfId="13151"/>
    <cellStyle name="Normal 10 2 4 4 2 2" xfId="21559"/>
    <cellStyle name="Normal 10 2 4 4 3" xfId="13152"/>
    <cellStyle name="Normal 10 2 4 5" xfId="13153"/>
    <cellStyle name="Normal 10 2 4 5 2" xfId="21560"/>
    <cellStyle name="Normal 10 2 4 6" xfId="13154"/>
    <cellStyle name="Normal 10 2 5" xfId="783"/>
    <cellStyle name="Normal 10 2 5 2" xfId="13155"/>
    <cellStyle name="Normal 10 2 5 2 2" xfId="13156"/>
    <cellStyle name="Normal 10 2 5 2 2 2" xfId="21561"/>
    <cellStyle name="Normal 10 2 5 2 3" xfId="13157"/>
    <cellStyle name="Normal 10 2 5 3" xfId="13158"/>
    <cellStyle name="Normal 10 2 5 3 2" xfId="13159"/>
    <cellStyle name="Normal 10 2 5 3 2 2" xfId="21562"/>
    <cellStyle name="Normal 10 2 5 3 3" xfId="13160"/>
    <cellStyle name="Normal 10 2 5 4" xfId="13161"/>
    <cellStyle name="Normal 10 2 5 4 2" xfId="21563"/>
    <cellStyle name="Normal 10 2 5 5" xfId="13162"/>
    <cellStyle name="Normal 10 2 6" xfId="1499"/>
    <cellStyle name="Normal 10 2 6 2" xfId="13163"/>
    <cellStyle name="Normal 10 2 6 2 2" xfId="21564"/>
    <cellStyle name="Normal 10 2 6 3" xfId="13164"/>
    <cellStyle name="Normal 10 2 7" xfId="13165"/>
    <cellStyle name="Normal 10 2 7 2" xfId="13166"/>
    <cellStyle name="Normal 10 2 7 2 2" xfId="21565"/>
    <cellStyle name="Normal 10 2 7 3" xfId="13167"/>
    <cellStyle name="Normal 10 2 8" xfId="13168"/>
    <cellStyle name="Normal 10 2 8 2" xfId="21566"/>
    <cellStyle name="Normal 10 2 9" xfId="13169"/>
    <cellStyle name="Normal 10 3" xfId="29"/>
    <cellStyle name="Normal 10 3 2" xfId="784"/>
    <cellStyle name="Normal 10 3 2 2" xfId="785"/>
    <cellStyle name="Normal 10 3 2 2 2" xfId="13170"/>
    <cellStyle name="Normal 10 3 2 2 2 2" xfId="13171"/>
    <cellStyle name="Normal 10 3 2 2 2 2 2" xfId="13172"/>
    <cellStyle name="Normal 10 3 2 2 2 2 2 2" xfId="21567"/>
    <cellStyle name="Normal 10 3 2 2 2 2 3" xfId="13173"/>
    <cellStyle name="Normal 10 3 2 2 2 3" xfId="13174"/>
    <cellStyle name="Normal 10 3 2 2 2 3 2" xfId="13175"/>
    <cellStyle name="Normal 10 3 2 2 2 3 2 2" xfId="21568"/>
    <cellStyle name="Normal 10 3 2 2 2 3 3" xfId="13176"/>
    <cellStyle name="Normal 10 3 2 2 2 4" xfId="13177"/>
    <cellStyle name="Normal 10 3 2 2 2 4 2" xfId="21569"/>
    <cellStyle name="Normal 10 3 2 2 2 5" xfId="13178"/>
    <cellStyle name="Normal 10 3 2 2 3" xfId="13179"/>
    <cellStyle name="Normal 10 3 2 2 3 2" xfId="13180"/>
    <cellStyle name="Normal 10 3 2 2 3 2 2" xfId="21570"/>
    <cellStyle name="Normal 10 3 2 2 3 3" xfId="13181"/>
    <cellStyle name="Normal 10 3 2 2 4" xfId="13182"/>
    <cellStyle name="Normal 10 3 2 2 4 2" xfId="13183"/>
    <cellStyle name="Normal 10 3 2 2 4 2 2" xfId="21571"/>
    <cellStyle name="Normal 10 3 2 2 4 3" xfId="13184"/>
    <cellStyle name="Normal 10 3 2 2 5" xfId="13185"/>
    <cellStyle name="Normal 10 3 2 2 5 2" xfId="21572"/>
    <cellStyle name="Normal 10 3 2 2 6" xfId="13186"/>
    <cellStyle name="Normal 10 3 2 3" xfId="13187"/>
    <cellStyle name="Normal 10 3 2 3 2" xfId="13188"/>
    <cellStyle name="Normal 10 3 2 3 2 2" xfId="13189"/>
    <cellStyle name="Normal 10 3 2 3 2 2 2" xfId="21573"/>
    <cellStyle name="Normal 10 3 2 3 2 3" xfId="13190"/>
    <cellStyle name="Normal 10 3 2 3 3" xfId="13191"/>
    <cellStyle name="Normal 10 3 2 3 3 2" xfId="13192"/>
    <cellStyle name="Normal 10 3 2 3 3 2 2" xfId="21574"/>
    <cellStyle name="Normal 10 3 2 3 3 3" xfId="13193"/>
    <cellStyle name="Normal 10 3 2 3 4" xfId="13194"/>
    <cellStyle name="Normal 10 3 2 3 4 2" xfId="21575"/>
    <cellStyle name="Normal 10 3 2 3 5" xfId="13195"/>
    <cellStyle name="Normal 10 3 2 4" xfId="13196"/>
    <cellStyle name="Normal 10 3 2 4 2" xfId="13197"/>
    <cellStyle name="Normal 10 3 2 4 2 2" xfId="21576"/>
    <cellStyle name="Normal 10 3 2 4 3" xfId="13198"/>
    <cellStyle name="Normal 10 3 2 5" xfId="13199"/>
    <cellStyle name="Normal 10 3 2 5 2" xfId="13200"/>
    <cellStyle name="Normal 10 3 2 5 2 2" xfId="21577"/>
    <cellStyle name="Normal 10 3 2 5 3" xfId="13201"/>
    <cellStyle name="Normal 10 3 2 6" xfId="13202"/>
    <cellStyle name="Normal 10 3 2 6 2" xfId="21578"/>
    <cellStyle name="Normal 10 3 2 7" xfId="13203"/>
    <cellStyle name="Normal 10 3 2 8" xfId="21579"/>
    <cellStyle name="Normal 10 3 3" xfId="786"/>
    <cellStyle name="Normal 10 3 3 2" xfId="13204"/>
    <cellStyle name="Normal 10 3 3 2 2" xfId="13205"/>
    <cellStyle name="Normal 10 3 3 2 2 2" xfId="13206"/>
    <cellStyle name="Normal 10 3 3 2 2 2 2" xfId="21580"/>
    <cellStyle name="Normal 10 3 3 2 2 3" xfId="13207"/>
    <cellStyle name="Normal 10 3 3 2 3" xfId="13208"/>
    <cellStyle name="Normal 10 3 3 2 3 2" xfId="13209"/>
    <cellStyle name="Normal 10 3 3 2 3 2 2" xfId="21581"/>
    <cellStyle name="Normal 10 3 3 2 3 3" xfId="13210"/>
    <cellStyle name="Normal 10 3 3 2 4" xfId="13211"/>
    <cellStyle name="Normal 10 3 3 2 4 2" xfId="21582"/>
    <cellStyle name="Normal 10 3 3 2 5" xfId="13212"/>
    <cellStyle name="Normal 10 3 3 3" xfId="13213"/>
    <cellStyle name="Normal 10 3 3 3 2" xfId="13214"/>
    <cellStyle name="Normal 10 3 3 3 2 2" xfId="21583"/>
    <cellStyle name="Normal 10 3 3 3 3" xfId="13215"/>
    <cellStyle name="Normal 10 3 3 4" xfId="13216"/>
    <cellStyle name="Normal 10 3 3 4 2" xfId="13217"/>
    <cellStyle name="Normal 10 3 3 4 2 2" xfId="21584"/>
    <cellStyle name="Normal 10 3 3 4 3" xfId="13218"/>
    <cellStyle name="Normal 10 3 3 5" xfId="13219"/>
    <cellStyle name="Normal 10 3 3 5 2" xfId="21585"/>
    <cellStyle name="Normal 10 3 3 6" xfId="13220"/>
    <cellStyle name="Normal 10 3 4" xfId="1500"/>
    <cellStyle name="Normal 10 3 4 2" xfId="13221"/>
    <cellStyle name="Normal 10 3 4 2 2" xfId="13222"/>
    <cellStyle name="Normal 10 3 4 2 2 2" xfId="21586"/>
    <cellStyle name="Normal 10 3 4 2 3" xfId="13223"/>
    <cellStyle name="Normal 10 3 4 3" xfId="13224"/>
    <cellStyle name="Normal 10 3 4 3 2" xfId="13225"/>
    <cellStyle name="Normal 10 3 4 3 2 2" xfId="21587"/>
    <cellStyle name="Normal 10 3 4 3 3" xfId="13226"/>
    <cellStyle name="Normal 10 3 4 4" xfId="13227"/>
    <cellStyle name="Normal 10 3 4 4 2" xfId="21588"/>
    <cellStyle name="Normal 10 3 4 5" xfId="13228"/>
    <cellStyle name="Normal 10 3 5" xfId="1501"/>
    <cellStyle name="Normal 10 3 5 2" xfId="13229"/>
    <cellStyle name="Normal 10 3 5 2 2" xfId="21589"/>
    <cellStyle name="Normal 10 3 5 3" xfId="13230"/>
    <cellStyle name="Normal 10 3 6" xfId="1502"/>
    <cellStyle name="Normal 10 3 6 2" xfId="13231"/>
    <cellStyle name="Normal 10 3 6 2 2" xfId="21590"/>
    <cellStyle name="Normal 10 3 6 3" xfId="13232"/>
    <cellStyle name="Normal 10 3 7" xfId="13233"/>
    <cellStyle name="Normal 10 3 7 2" xfId="21591"/>
    <cellStyle name="Normal 10 3 8" xfId="13234"/>
    <cellStyle name="Normal 10 4" xfId="787"/>
    <cellStyle name="Normal 10 4 2" xfId="788"/>
    <cellStyle name="Normal 10 4 2 2" xfId="13235"/>
    <cellStyle name="Normal 10 4 2 2 2" xfId="13236"/>
    <cellStyle name="Normal 10 4 2 2 2 2" xfId="13237"/>
    <cellStyle name="Normal 10 4 2 2 2 2 2" xfId="13238"/>
    <cellStyle name="Normal 10 4 2 2 2 2 2 2" xfId="21592"/>
    <cellStyle name="Normal 10 4 2 2 2 2 3" xfId="13239"/>
    <cellStyle name="Normal 10 4 2 2 2 3" xfId="13240"/>
    <cellStyle name="Normal 10 4 2 2 2 3 2" xfId="13241"/>
    <cellStyle name="Normal 10 4 2 2 2 3 2 2" xfId="21593"/>
    <cellStyle name="Normal 10 4 2 2 2 3 3" xfId="13242"/>
    <cellStyle name="Normal 10 4 2 2 2 4" xfId="13243"/>
    <cellStyle name="Normal 10 4 2 2 2 4 2" xfId="21594"/>
    <cellStyle name="Normal 10 4 2 2 2 5" xfId="13244"/>
    <cellStyle name="Normal 10 4 2 2 3" xfId="13245"/>
    <cellStyle name="Normal 10 4 2 2 3 2" xfId="13246"/>
    <cellStyle name="Normal 10 4 2 2 3 2 2" xfId="21595"/>
    <cellStyle name="Normal 10 4 2 2 3 3" xfId="13247"/>
    <cellStyle name="Normal 10 4 2 2 4" xfId="13248"/>
    <cellStyle name="Normal 10 4 2 2 4 2" xfId="13249"/>
    <cellStyle name="Normal 10 4 2 2 4 2 2" xfId="21596"/>
    <cellStyle name="Normal 10 4 2 2 4 3" xfId="13250"/>
    <cellStyle name="Normal 10 4 2 2 5" xfId="13251"/>
    <cellStyle name="Normal 10 4 2 2 5 2" xfId="21597"/>
    <cellStyle name="Normal 10 4 2 2 6" xfId="13252"/>
    <cellStyle name="Normal 10 4 2 3" xfId="13253"/>
    <cellStyle name="Normal 10 4 2 3 2" xfId="13254"/>
    <cellStyle name="Normal 10 4 2 3 2 2" xfId="13255"/>
    <cellStyle name="Normal 10 4 2 3 2 2 2" xfId="21598"/>
    <cellStyle name="Normal 10 4 2 3 2 3" xfId="13256"/>
    <cellStyle name="Normal 10 4 2 3 3" xfId="13257"/>
    <cellStyle name="Normal 10 4 2 3 3 2" xfId="13258"/>
    <cellStyle name="Normal 10 4 2 3 3 2 2" xfId="21599"/>
    <cellStyle name="Normal 10 4 2 3 3 3" xfId="13259"/>
    <cellStyle name="Normal 10 4 2 3 4" xfId="13260"/>
    <cellStyle name="Normal 10 4 2 3 4 2" xfId="21600"/>
    <cellStyle name="Normal 10 4 2 3 5" xfId="13261"/>
    <cellStyle name="Normal 10 4 2 4" xfId="13262"/>
    <cellStyle name="Normal 10 4 2 4 2" xfId="13263"/>
    <cellStyle name="Normal 10 4 2 4 2 2" xfId="21601"/>
    <cellStyle name="Normal 10 4 2 4 3" xfId="13264"/>
    <cellStyle name="Normal 10 4 2 5" xfId="13265"/>
    <cellStyle name="Normal 10 4 2 5 2" xfId="13266"/>
    <cellStyle name="Normal 10 4 2 5 2 2" xfId="21602"/>
    <cellStyle name="Normal 10 4 2 5 3" xfId="13267"/>
    <cellStyle name="Normal 10 4 2 6" xfId="13268"/>
    <cellStyle name="Normal 10 4 2 6 2" xfId="21603"/>
    <cellStyle name="Normal 10 4 2 7" xfId="13269"/>
    <cellStyle name="Normal 10 4 3" xfId="1503"/>
    <cellStyle name="Normal 10 4 3 2" xfId="13270"/>
    <cellStyle name="Normal 10 4 3 2 2" xfId="13271"/>
    <cellStyle name="Normal 10 4 3 2 2 2" xfId="13272"/>
    <cellStyle name="Normal 10 4 3 2 2 2 2" xfId="21604"/>
    <cellStyle name="Normal 10 4 3 2 2 3" xfId="13273"/>
    <cellStyle name="Normal 10 4 3 2 3" xfId="13274"/>
    <cellStyle name="Normal 10 4 3 2 3 2" xfId="13275"/>
    <cellStyle name="Normal 10 4 3 2 3 2 2" xfId="21605"/>
    <cellStyle name="Normal 10 4 3 2 3 3" xfId="13276"/>
    <cellStyle name="Normal 10 4 3 2 4" xfId="13277"/>
    <cellStyle name="Normal 10 4 3 2 4 2" xfId="21606"/>
    <cellStyle name="Normal 10 4 3 2 5" xfId="13278"/>
    <cellStyle name="Normal 10 4 3 3" xfId="13279"/>
    <cellStyle name="Normal 10 4 3 3 2" xfId="13280"/>
    <cellStyle name="Normal 10 4 3 3 2 2" xfId="21607"/>
    <cellStyle name="Normal 10 4 3 3 3" xfId="13281"/>
    <cellStyle name="Normal 10 4 3 4" xfId="13282"/>
    <cellStyle name="Normal 10 4 3 4 2" xfId="13283"/>
    <cellStyle name="Normal 10 4 3 4 2 2" xfId="21608"/>
    <cellStyle name="Normal 10 4 3 4 3" xfId="13284"/>
    <cellStyle name="Normal 10 4 3 5" xfId="13285"/>
    <cellStyle name="Normal 10 4 3 5 2" xfId="21609"/>
    <cellStyle name="Normal 10 4 3 6" xfId="13286"/>
    <cellStyle name="Normal 10 4 4" xfId="13287"/>
    <cellStyle name="Normal 10 4 4 2" xfId="13288"/>
    <cellStyle name="Normal 10 4 4 2 2" xfId="13289"/>
    <cellStyle name="Normal 10 4 4 2 2 2" xfId="21610"/>
    <cellStyle name="Normal 10 4 4 2 3" xfId="13290"/>
    <cellStyle name="Normal 10 4 4 3" xfId="13291"/>
    <cellStyle name="Normal 10 4 4 3 2" xfId="13292"/>
    <cellStyle name="Normal 10 4 4 3 2 2" xfId="21611"/>
    <cellStyle name="Normal 10 4 4 3 3" xfId="13293"/>
    <cellStyle name="Normal 10 4 4 4" xfId="13294"/>
    <cellStyle name="Normal 10 4 4 4 2" xfId="21612"/>
    <cellStyle name="Normal 10 4 4 5" xfId="13295"/>
    <cellStyle name="Normal 10 4 5" xfId="13296"/>
    <cellStyle name="Normal 10 4 5 2" xfId="13297"/>
    <cellStyle name="Normal 10 4 5 2 2" xfId="21613"/>
    <cellStyle name="Normal 10 4 5 3" xfId="13298"/>
    <cellStyle name="Normal 10 4 6" xfId="13299"/>
    <cellStyle name="Normal 10 4 6 2" xfId="13300"/>
    <cellStyle name="Normal 10 4 6 2 2" xfId="21614"/>
    <cellStyle name="Normal 10 4 6 3" xfId="13301"/>
    <cellStyle name="Normal 10 4 7" xfId="13302"/>
    <cellStyle name="Normal 10 4 7 2" xfId="21615"/>
    <cellStyle name="Normal 10 4 8" xfId="13303"/>
    <cellStyle name="Normal 10 5" xfId="789"/>
    <cellStyle name="Normal 10 5 2" xfId="1504"/>
    <cellStyle name="Normal 10 5 2 2" xfId="13304"/>
    <cellStyle name="Normal 10 5 2 2 2" xfId="13305"/>
    <cellStyle name="Normal 10 5 2 2 2 2" xfId="13306"/>
    <cellStyle name="Normal 10 5 2 2 2 2 2" xfId="21616"/>
    <cellStyle name="Normal 10 5 2 2 2 3" xfId="13307"/>
    <cellStyle name="Normal 10 5 2 2 3" xfId="13308"/>
    <cellStyle name="Normal 10 5 2 2 3 2" xfId="13309"/>
    <cellStyle name="Normal 10 5 2 2 3 2 2" xfId="21617"/>
    <cellStyle name="Normal 10 5 2 2 3 3" xfId="13310"/>
    <cellStyle name="Normal 10 5 2 2 4" xfId="13311"/>
    <cellStyle name="Normal 10 5 2 2 4 2" xfId="21618"/>
    <cellStyle name="Normal 10 5 2 2 5" xfId="13312"/>
    <cellStyle name="Normal 10 5 2 3" xfId="13313"/>
    <cellStyle name="Normal 10 5 2 3 2" xfId="13314"/>
    <cellStyle name="Normal 10 5 2 3 2 2" xfId="21619"/>
    <cellStyle name="Normal 10 5 2 3 3" xfId="13315"/>
    <cellStyle name="Normal 10 5 2 4" xfId="13316"/>
    <cellStyle name="Normal 10 5 2 4 2" xfId="13317"/>
    <cellStyle name="Normal 10 5 2 4 2 2" xfId="21620"/>
    <cellStyle name="Normal 10 5 2 4 3" xfId="13318"/>
    <cellStyle name="Normal 10 5 2 5" xfId="13319"/>
    <cellStyle name="Normal 10 5 2 5 2" xfId="21621"/>
    <cellStyle name="Normal 10 5 2 6" xfId="13320"/>
    <cellStyle name="Normal 10 5 3" xfId="1505"/>
    <cellStyle name="Normal 10 5 3 2" xfId="13321"/>
    <cellStyle name="Normal 10 5 3 2 2" xfId="13322"/>
    <cellStyle name="Normal 10 5 3 2 2 2" xfId="21622"/>
    <cellStyle name="Normal 10 5 3 2 3" xfId="13323"/>
    <cellStyle name="Normal 10 5 3 3" xfId="13324"/>
    <cellStyle name="Normal 10 5 3 3 2" xfId="13325"/>
    <cellStyle name="Normal 10 5 3 3 2 2" xfId="21623"/>
    <cellStyle name="Normal 10 5 3 3 3" xfId="13326"/>
    <cellStyle name="Normal 10 5 3 4" xfId="13327"/>
    <cellStyle name="Normal 10 5 3 4 2" xfId="21624"/>
    <cellStyle name="Normal 10 5 3 5" xfId="13328"/>
    <cellStyle name="Normal 10 5 4" xfId="13329"/>
    <cellStyle name="Normal 10 5 4 2" xfId="13330"/>
    <cellStyle name="Normal 10 5 4 2 2" xfId="21625"/>
    <cellStyle name="Normal 10 5 4 3" xfId="13331"/>
    <cellStyle name="Normal 10 5 5" xfId="13332"/>
    <cellStyle name="Normal 10 5 5 2" xfId="13333"/>
    <cellStyle name="Normal 10 5 5 2 2" xfId="21626"/>
    <cellStyle name="Normal 10 5 5 3" xfId="13334"/>
    <cellStyle name="Normal 10 5 6" xfId="13335"/>
    <cellStyle name="Normal 10 5 6 2" xfId="21627"/>
    <cellStyle name="Normal 10 5 7" xfId="13336"/>
    <cellStyle name="Normal 10 6" xfId="1506"/>
    <cellStyle name="Normal 10 6 2" xfId="13337"/>
    <cellStyle name="Normal 10 6 2 2" xfId="13338"/>
    <cellStyle name="Normal 10 6 2 2 2" xfId="13339"/>
    <cellStyle name="Normal 10 6 2 2 2 2" xfId="21628"/>
    <cellStyle name="Normal 10 6 2 2 3" xfId="13340"/>
    <cellStyle name="Normal 10 6 2 3" xfId="13341"/>
    <cellStyle name="Normal 10 6 2 3 2" xfId="13342"/>
    <cellStyle name="Normal 10 6 2 3 2 2" xfId="21629"/>
    <cellStyle name="Normal 10 6 2 3 3" xfId="13343"/>
    <cellStyle name="Normal 10 6 2 4" xfId="13344"/>
    <cellStyle name="Normal 10 6 2 4 2" xfId="21630"/>
    <cellStyle name="Normal 10 6 2 5" xfId="13345"/>
    <cellStyle name="Normal 10 6 3" xfId="13346"/>
    <cellStyle name="Normal 10 6 3 2" xfId="13347"/>
    <cellStyle name="Normal 10 6 3 2 2" xfId="21631"/>
    <cellStyle name="Normal 10 6 3 3" xfId="13348"/>
    <cellStyle name="Normal 10 6 4" xfId="13349"/>
    <cellStyle name="Normal 10 6 4 2" xfId="13350"/>
    <cellStyle name="Normal 10 6 4 2 2" xfId="21632"/>
    <cellStyle name="Normal 10 6 4 3" xfId="13351"/>
    <cellStyle name="Normal 10 6 5" xfId="13352"/>
    <cellStyle name="Normal 10 6 5 2" xfId="21633"/>
    <cellStyle name="Normal 10 6 6" xfId="13353"/>
    <cellStyle name="Normal 10 7" xfId="1507"/>
    <cellStyle name="Normal 10 7 2" xfId="13354"/>
    <cellStyle name="Normal 10 7 2 2" xfId="13355"/>
    <cellStyle name="Normal 10 7 2 2 2" xfId="21634"/>
    <cellStyle name="Normal 10 7 2 3" xfId="13356"/>
    <cellStyle name="Normal 10 7 3" xfId="13357"/>
    <cellStyle name="Normal 10 7 3 2" xfId="13358"/>
    <cellStyle name="Normal 10 7 3 2 2" xfId="21635"/>
    <cellStyle name="Normal 10 7 3 3" xfId="13359"/>
    <cellStyle name="Normal 10 7 4" xfId="13360"/>
    <cellStyle name="Normal 10 7 4 2" xfId="21636"/>
    <cellStyle name="Normal 10 7 5" xfId="13361"/>
    <cellStyle name="Normal 10 8" xfId="1508"/>
    <cellStyle name="Normal 10 8 2" xfId="13362"/>
    <cellStyle name="Normal 10 8 2 2" xfId="21637"/>
    <cellStyle name="Normal 10 8 3" xfId="13363"/>
    <cellStyle name="Normal 10 9" xfId="1509"/>
    <cellStyle name="Normal 10 9 2" xfId="13364"/>
    <cellStyle name="Normal 10 9 2 2" xfId="21638"/>
    <cellStyle name="Normal 10 9 3" xfId="13365"/>
    <cellStyle name="Normal 10_2112 DF Schedule" xfId="248"/>
    <cellStyle name="Normal 100" xfId="249"/>
    <cellStyle name="Normal 100 2" xfId="790"/>
    <cellStyle name="Normal 100 2 2" xfId="21639"/>
    <cellStyle name="Normal 100 3" xfId="1510"/>
    <cellStyle name="Normal 101" xfId="250"/>
    <cellStyle name="Normal 101 2" xfId="791"/>
    <cellStyle name="Normal 101 2 2" xfId="21640"/>
    <cellStyle name="Normal 102" xfId="251"/>
    <cellStyle name="Normal 102 2" xfId="792"/>
    <cellStyle name="Normal 102 2 2" xfId="21641"/>
    <cellStyle name="Normal 103" xfId="252"/>
    <cellStyle name="Normal 103 2" xfId="793"/>
    <cellStyle name="Normal 103 2 2" xfId="21642"/>
    <cellStyle name="Normal 104" xfId="253"/>
    <cellStyle name="Normal 104 2" xfId="794"/>
    <cellStyle name="Normal 104 2 2" xfId="21643"/>
    <cellStyle name="Normal 105" xfId="254"/>
    <cellStyle name="Normal 105 2" xfId="795"/>
    <cellStyle name="Normal 105 2 2" xfId="21644"/>
    <cellStyle name="Normal 106" xfId="255"/>
    <cellStyle name="Normal 107" xfId="256"/>
    <cellStyle name="Normal 107 2" xfId="796"/>
    <cellStyle name="Normal 107 2 2" xfId="21645"/>
    <cellStyle name="Normal 108" xfId="257"/>
    <cellStyle name="Normal 108 2" xfId="797"/>
    <cellStyle name="Normal 108 2 2" xfId="21646"/>
    <cellStyle name="Normal 109" xfId="419"/>
    <cellStyle name="Normal 109 2" xfId="435"/>
    <cellStyle name="Normal 109 2 2" xfId="13366"/>
    <cellStyle name="Normal 109 3" xfId="798"/>
    <cellStyle name="Normal 109 3 2" xfId="21647"/>
    <cellStyle name="Normal 109 4" xfId="13367"/>
    <cellStyle name="Normal 11" xfId="30"/>
    <cellStyle name="Normal 11 10" xfId="1511"/>
    <cellStyle name="Normal 11 10 2" xfId="21648"/>
    <cellStyle name="Normal 11 11" xfId="1512"/>
    <cellStyle name="Normal 11 11 2" xfId="21649"/>
    <cellStyle name="Normal 11 12" xfId="1513"/>
    <cellStyle name="Normal 11 2" xfId="31"/>
    <cellStyle name="Normal 11 2 2" xfId="799"/>
    <cellStyle name="Normal 11 2 2 2" xfId="800"/>
    <cellStyle name="Normal 11 2 2 2 2" xfId="801"/>
    <cellStyle name="Normal 11 2 2 2 2 2" xfId="13368"/>
    <cellStyle name="Normal 11 2 2 2 2 2 2" xfId="13369"/>
    <cellStyle name="Normal 11 2 2 2 2 2 2 2" xfId="13370"/>
    <cellStyle name="Normal 11 2 2 2 2 2 2 2 2" xfId="21650"/>
    <cellStyle name="Normal 11 2 2 2 2 2 2 3" xfId="13371"/>
    <cellStyle name="Normal 11 2 2 2 2 2 3" xfId="13372"/>
    <cellStyle name="Normal 11 2 2 2 2 2 3 2" xfId="13373"/>
    <cellStyle name="Normal 11 2 2 2 2 2 3 2 2" xfId="21651"/>
    <cellStyle name="Normal 11 2 2 2 2 2 3 3" xfId="13374"/>
    <cellStyle name="Normal 11 2 2 2 2 2 4" xfId="13375"/>
    <cellStyle name="Normal 11 2 2 2 2 2 4 2" xfId="21652"/>
    <cellStyle name="Normal 11 2 2 2 2 2 5" xfId="13376"/>
    <cellStyle name="Normal 11 2 2 2 2 3" xfId="13377"/>
    <cellStyle name="Normal 11 2 2 2 2 3 2" xfId="13378"/>
    <cellStyle name="Normal 11 2 2 2 2 3 2 2" xfId="21653"/>
    <cellStyle name="Normal 11 2 2 2 2 3 3" xfId="13379"/>
    <cellStyle name="Normal 11 2 2 2 2 4" xfId="13380"/>
    <cellStyle name="Normal 11 2 2 2 2 4 2" xfId="13381"/>
    <cellStyle name="Normal 11 2 2 2 2 4 2 2" xfId="21654"/>
    <cellStyle name="Normal 11 2 2 2 2 4 3" xfId="13382"/>
    <cellStyle name="Normal 11 2 2 2 2 5" xfId="13383"/>
    <cellStyle name="Normal 11 2 2 2 2 5 2" xfId="21655"/>
    <cellStyle name="Normal 11 2 2 2 2 6" xfId="13384"/>
    <cellStyle name="Normal 11 2 2 2 3" xfId="13385"/>
    <cellStyle name="Normal 11 2 2 2 3 2" xfId="13386"/>
    <cellStyle name="Normal 11 2 2 2 3 2 2" xfId="13387"/>
    <cellStyle name="Normal 11 2 2 2 3 2 2 2" xfId="21656"/>
    <cellStyle name="Normal 11 2 2 2 3 2 3" xfId="13388"/>
    <cellStyle name="Normal 11 2 2 2 3 3" xfId="13389"/>
    <cellStyle name="Normal 11 2 2 2 3 3 2" xfId="13390"/>
    <cellStyle name="Normal 11 2 2 2 3 3 2 2" xfId="21657"/>
    <cellStyle name="Normal 11 2 2 2 3 3 3" xfId="13391"/>
    <cellStyle name="Normal 11 2 2 2 3 4" xfId="13392"/>
    <cellStyle name="Normal 11 2 2 2 3 4 2" xfId="21658"/>
    <cellStyle name="Normal 11 2 2 2 3 5" xfId="13393"/>
    <cellStyle name="Normal 11 2 2 2 4" xfId="13394"/>
    <cellStyle name="Normal 11 2 2 2 4 2" xfId="13395"/>
    <cellStyle name="Normal 11 2 2 2 4 2 2" xfId="21659"/>
    <cellStyle name="Normal 11 2 2 2 4 3" xfId="13396"/>
    <cellStyle name="Normal 11 2 2 2 5" xfId="13397"/>
    <cellStyle name="Normal 11 2 2 2 5 2" xfId="13398"/>
    <cellStyle name="Normal 11 2 2 2 5 2 2" xfId="21660"/>
    <cellStyle name="Normal 11 2 2 2 5 3" xfId="13399"/>
    <cellStyle name="Normal 11 2 2 2 6" xfId="13400"/>
    <cellStyle name="Normal 11 2 2 2 6 2" xfId="21661"/>
    <cellStyle name="Normal 11 2 2 2 7" xfId="13401"/>
    <cellStyle name="Normal 11 2 2 2 8" xfId="13402"/>
    <cellStyle name="Normal 11 2 2 3" xfId="802"/>
    <cellStyle name="Normal 11 2 2 3 2" xfId="13403"/>
    <cellStyle name="Normal 11 2 2 3 2 2" xfId="13404"/>
    <cellStyle name="Normal 11 2 2 3 2 2 2" xfId="13405"/>
    <cellStyle name="Normal 11 2 2 3 2 2 2 2" xfId="21662"/>
    <cellStyle name="Normal 11 2 2 3 2 2 3" xfId="13406"/>
    <cellStyle name="Normal 11 2 2 3 2 3" xfId="13407"/>
    <cellStyle name="Normal 11 2 2 3 2 3 2" xfId="13408"/>
    <cellStyle name="Normal 11 2 2 3 2 3 2 2" xfId="21663"/>
    <cellStyle name="Normal 11 2 2 3 2 3 3" xfId="13409"/>
    <cellStyle name="Normal 11 2 2 3 2 4" xfId="13410"/>
    <cellStyle name="Normal 11 2 2 3 2 4 2" xfId="21664"/>
    <cellStyle name="Normal 11 2 2 3 2 5" xfId="13411"/>
    <cellStyle name="Normal 11 2 2 3 3" xfId="13412"/>
    <cellStyle name="Normal 11 2 2 3 3 2" xfId="13413"/>
    <cellStyle name="Normal 11 2 2 3 3 2 2" xfId="21665"/>
    <cellStyle name="Normal 11 2 2 3 3 3" xfId="13414"/>
    <cellStyle name="Normal 11 2 2 3 4" xfId="13415"/>
    <cellStyle name="Normal 11 2 2 3 4 2" xfId="13416"/>
    <cellStyle name="Normal 11 2 2 3 4 2 2" xfId="21666"/>
    <cellStyle name="Normal 11 2 2 3 4 3" xfId="13417"/>
    <cellStyle name="Normal 11 2 2 3 5" xfId="13418"/>
    <cellStyle name="Normal 11 2 2 3 5 2" xfId="21667"/>
    <cellStyle name="Normal 11 2 2 3 6" xfId="13419"/>
    <cellStyle name="Normal 11 2 2 4" xfId="1514"/>
    <cellStyle name="Normal 11 2 2 4 2" xfId="13420"/>
    <cellStyle name="Normal 11 2 2 4 2 2" xfId="13421"/>
    <cellStyle name="Normal 11 2 2 4 2 2 2" xfId="21668"/>
    <cellStyle name="Normal 11 2 2 4 2 3" xfId="13422"/>
    <cellStyle name="Normal 11 2 2 4 3" xfId="13423"/>
    <cellStyle name="Normal 11 2 2 4 3 2" xfId="13424"/>
    <cellStyle name="Normal 11 2 2 4 3 2 2" xfId="21669"/>
    <cellStyle name="Normal 11 2 2 4 3 3" xfId="13425"/>
    <cellStyle name="Normal 11 2 2 4 4" xfId="13426"/>
    <cellStyle name="Normal 11 2 2 4 4 2" xfId="21670"/>
    <cellStyle name="Normal 11 2 2 4 5" xfId="13427"/>
    <cellStyle name="Normal 11 2 2 5" xfId="1515"/>
    <cellStyle name="Normal 11 2 2 5 2" xfId="13428"/>
    <cellStyle name="Normal 11 2 2 5 2 2" xfId="21671"/>
    <cellStyle name="Normal 11 2 2 5 3" xfId="13429"/>
    <cellStyle name="Normal 11 2 2 6" xfId="13430"/>
    <cellStyle name="Normal 11 2 2 6 2" xfId="13431"/>
    <cellStyle name="Normal 11 2 2 6 2 2" xfId="21672"/>
    <cellStyle name="Normal 11 2 2 6 3" xfId="13432"/>
    <cellStyle name="Normal 11 2 2 7" xfId="13433"/>
    <cellStyle name="Normal 11 2 2 7 2" xfId="21673"/>
    <cellStyle name="Normal 11 2 2 8" xfId="13434"/>
    <cellStyle name="Normal 11 2 3" xfId="803"/>
    <cellStyle name="Normal 11 2 3 2" xfId="804"/>
    <cellStyle name="Normal 11 2 3 2 2" xfId="13435"/>
    <cellStyle name="Normal 11 2 3 2 2 2" xfId="13436"/>
    <cellStyle name="Normal 11 2 3 2 2 2 2" xfId="13437"/>
    <cellStyle name="Normal 11 2 3 2 2 2 2 2" xfId="21674"/>
    <cellStyle name="Normal 11 2 3 2 2 2 3" xfId="13438"/>
    <cellStyle name="Normal 11 2 3 2 2 3" xfId="13439"/>
    <cellStyle name="Normal 11 2 3 2 2 3 2" xfId="13440"/>
    <cellStyle name="Normal 11 2 3 2 2 3 2 2" xfId="21675"/>
    <cellStyle name="Normal 11 2 3 2 2 3 3" xfId="13441"/>
    <cellStyle name="Normal 11 2 3 2 2 4" xfId="13442"/>
    <cellStyle name="Normal 11 2 3 2 2 4 2" xfId="21676"/>
    <cellStyle name="Normal 11 2 3 2 2 5" xfId="13443"/>
    <cellStyle name="Normal 11 2 3 2 3" xfId="13444"/>
    <cellStyle name="Normal 11 2 3 2 3 2" xfId="13445"/>
    <cellStyle name="Normal 11 2 3 2 3 2 2" xfId="21677"/>
    <cellStyle name="Normal 11 2 3 2 3 3" xfId="13446"/>
    <cellStyle name="Normal 11 2 3 2 4" xfId="13447"/>
    <cellStyle name="Normal 11 2 3 2 4 2" xfId="13448"/>
    <cellStyle name="Normal 11 2 3 2 4 2 2" xfId="21678"/>
    <cellStyle name="Normal 11 2 3 2 4 3" xfId="13449"/>
    <cellStyle name="Normal 11 2 3 2 5" xfId="13450"/>
    <cellStyle name="Normal 11 2 3 2 5 2" xfId="21679"/>
    <cellStyle name="Normal 11 2 3 2 6" xfId="13451"/>
    <cellStyle name="Normal 11 2 3 3" xfId="1516"/>
    <cellStyle name="Normal 11 2 3 3 2" xfId="13452"/>
    <cellStyle name="Normal 11 2 3 3 2 2" xfId="13453"/>
    <cellStyle name="Normal 11 2 3 3 2 2 2" xfId="21680"/>
    <cellStyle name="Normal 11 2 3 3 2 3" xfId="13454"/>
    <cellStyle name="Normal 11 2 3 3 3" xfId="13455"/>
    <cellStyle name="Normal 11 2 3 3 3 2" xfId="13456"/>
    <cellStyle name="Normal 11 2 3 3 3 2 2" xfId="21681"/>
    <cellStyle name="Normal 11 2 3 3 3 3" xfId="13457"/>
    <cellStyle name="Normal 11 2 3 3 4" xfId="13458"/>
    <cellStyle name="Normal 11 2 3 3 4 2" xfId="21682"/>
    <cellStyle name="Normal 11 2 3 3 5" xfId="13459"/>
    <cellStyle name="Normal 11 2 3 4" xfId="13460"/>
    <cellStyle name="Normal 11 2 3 4 2" xfId="13461"/>
    <cellStyle name="Normal 11 2 3 4 2 2" xfId="21683"/>
    <cellStyle name="Normal 11 2 3 4 3" xfId="13462"/>
    <cellStyle name="Normal 11 2 3 5" xfId="13463"/>
    <cellStyle name="Normal 11 2 3 5 2" xfId="13464"/>
    <cellStyle name="Normal 11 2 3 5 2 2" xfId="21684"/>
    <cellStyle name="Normal 11 2 3 5 3" xfId="13465"/>
    <cellStyle name="Normal 11 2 3 6" xfId="13466"/>
    <cellStyle name="Normal 11 2 3 6 2" xfId="21685"/>
    <cellStyle name="Normal 11 2 3 7" xfId="13467"/>
    <cellStyle name="Normal 11 2 4" xfId="805"/>
    <cellStyle name="Normal 11 2 4 2" xfId="1517"/>
    <cellStyle name="Normal 11 2 4 2 2" xfId="13468"/>
    <cellStyle name="Normal 11 2 4 2 2 2" xfId="13469"/>
    <cellStyle name="Normal 11 2 4 2 2 2 2" xfId="21686"/>
    <cellStyle name="Normal 11 2 4 2 2 3" xfId="13470"/>
    <cellStyle name="Normal 11 2 4 2 3" xfId="13471"/>
    <cellStyle name="Normal 11 2 4 2 3 2" xfId="13472"/>
    <cellStyle name="Normal 11 2 4 2 3 2 2" xfId="21687"/>
    <cellStyle name="Normal 11 2 4 2 3 3" xfId="13473"/>
    <cellStyle name="Normal 11 2 4 2 4" xfId="13474"/>
    <cellStyle name="Normal 11 2 4 2 4 2" xfId="21688"/>
    <cellStyle name="Normal 11 2 4 2 5" xfId="13475"/>
    <cellStyle name="Normal 11 2 4 3" xfId="1518"/>
    <cellStyle name="Normal 11 2 4 3 2" xfId="13476"/>
    <cellStyle name="Normal 11 2 4 3 2 2" xfId="21689"/>
    <cellStyle name="Normal 11 2 4 3 3" xfId="13477"/>
    <cellStyle name="Normal 11 2 4 4" xfId="13478"/>
    <cellStyle name="Normal 11 2 4 4 2" xfId="13479"/>
    <cellStyle name="Normal 11 2 4 4 2 2" xfId="21690"/>
    <cellStyle name="Normal 11 2 4 4 3" xfId="13480"/>
    <cellStyle name="Normal 11 2 4 5" xfId="13481"/>
    <cellStyle name="Normal 11 2 4 5 2" xfId="21691"/>
    <cellStyle name="Normal 11 2 4 6" xfId="13482"/>
    <cellStyle name="Normal 11 2 5" xfId="1519"/>
    <cellStyle name="Normal 11 2 5 2" xfId="13483"/>
    <cellStyle name="Normal 11 2 5 2 2" xfId="13484"/>
    <cellStyle name="Normal 11 2 5 2 2 2" xfId="21692"/>
    <cellStyle name="Normal 11 2 5 2 3" xfId="13485"/>
    <cellStyle name="Normal 11 2 5 3" xfId="13486"/>
    <cellStyle name="Normal 11 2 5 3 2" xfId="13487"/>
    <cellStyle name="Normal 11 2 5 3 2 2" xfId="21693"/>
    <cellStyle name="Normal 11 2 5 3 3" xfId="13488"/>
    <cellStyle name="Normal 11 2 5 4" xfId="13489"/>
    <cellStyle name="Normal 11 2 5 4 2" xfId="21694"/>
    <cellStyle name="Normal 11 2 5 5" xfId="13490"/>
    <cellStyle name="Normal 11 2 6" xfId="1520"/>
    <cellStyle name="Normal 11 2 6 2" xfId="13491"/>
    <cellStyle name="Normal 11 2 6 2 2" xfId="21695"/>
    <cellStyle name="Normal 11 2 6 3" xfId="13492"/>
    <cellStyle name="Normal 11 2 7" xfId="1521"/>
    <cellStyle name="Normal 11 2 7 2" xfId="13493"/>
    <cellStyle name="Normal 11 2 7 2 2" xfId="21696"/>
    <cellStyle name="Normal 11 2 7 3" xfId="13494"/>
    <cellStyle name="Normal 11 2 8" xfId="13495"/>
    <cellStyle name="Normal 11 2 8 2" xfId="21697"/>
    <cellStyle name="Normal 11 2 9" xfId="13496"/>
    <cellStyle name="Normal 11 3" xfId="806"/>
    <cellStyle name="Normal 11 3 2" xfId="807"/>
    <cellStyle name="Normal 11 3 2 2" xfId="808"/>
    <cellStyle name="Normal 11 3 2 2 2" xfId="13497"/>
    <cellStyle name="Normal 11 3 2 2 2 2" xfId="13498"/>
    <cellStyle name="Normal 11 3 2 2 2 2 2" xfId="13499"/>
    <cellStyle name="Normal 11 3 2 2 2 2 2 2" xfId="21698"/>
    <cellStyle name="Normal 11 3 2 2 2 2 3" xfId="13500"/>
    <cellStyle name="Normal 11 3 2 2 2 3" xfId="13501"/>
    <cellStyle name="Normal 11 3 2 2 2 3 2" xfId="13502"/>
    <cellStyle name="Normal 11 3 2 2 2 3 2 2" xfId="21699"/>
    <cellStyle name="Normal 11 3 2 2 2 3 3" xfId="13503"/>
    <cellStyle name="Normal 11 3 2 2 2 4" xfId="13504"/>
    <cellStyle name="Normal 11 3 2 2 2 4 2" xfId="21700"/>
    <cellStyle name="Normal 11 3 2 2 2 5" xfId="13505"/>
    <cellStyle name="Normal 11 3 2 2 3" xfId="13506"/>
    <cellStyle name="Normal 11 3 2 2 3 2" xfId="13507"/>
    <cellStyle name="Normal 11 3 2 2 3 2 2" xfId="21701"/>
    <cellStyle name="Normal 11 3 2 2 3 3" xfId="13508"/>
    <cellStyle name="Normal 11 3 2 2 4" xfId="13509"/>
    <cellStyle name="Normal 11 3 2 2 4 2" xfId="13510"/>
    <cellStyle name="Normal 11 3 2 2 4 2 2" xfId="21702"/>
    <cellStyle name="Normal 11 3 2 2 4 3" xfId="13511"/>
    <cellStyle name="Normal 11 3 2 2 5" xfId="13512"/>
    <cellStyle name="Normal 11 3 2 2 5 2" xfId="21703"/>
    <cellStyle name="Normal 11 3 2 2 6" xfId="13513"/>
    <cellStyle name="Normal 11 3 2 3" xfId="1522"/>
    <cellStyle name="Normal 11 3 2 3 2" xfId="13514"/>
    <cellStyle name="Normal 11 3 2 3 2 2" xfId="13515"/>
    <cellStyle name="Normal 11 3 2 3 2 2 2" xfId="21704"/>
    <cellStyle name="Normal 11 3 2 3 2 3" xfId="13516"/>
    <cellStyle name="Normal 11 3 2 3 3" xfId="13517"/>
    <cellStyle name="Normal 11 3 2 3 3 2" xfId="13518"/>
    <cellStyle name="Normal 11 3 2 3 3 2 2" xfId="21705"/>
    <cellStyle name="Normal 11 3 2 3 3 3" xfId="13519"/>
    <cellStyle name="Normal 11 3 2 3 4" xfId="13520"/>
    <cellStyle name="Normal 11 3 2 3 4 2" xfId="21706"/>
    <cellStyle name="Normal 11 3 2 3 5" xfId="13521"/>
    <cellStyle name="Normal 11 3 2 4" xfId="1523"/>
    <cellStyle name="Normal 11 3 2 4 2" xfId="13522"/>
    <cellStyle name="Normal 11 3 2 4 2 2" xfId="21707"/>
    <cellStyle name="Normal 11 3 2 4 3" xfId="13523"/>
    <cellStyle name="Normal 11 3 2 5" xfId="1524"/>
    <cellStyle name="Normal 11 3 2 5 2" xfId="13524"/>
    <cellStyle name="Normal 11 3 2 5 2 2" xfId="21708"/>
    <cellStyle name="Normal 11 3 2 5 3" xfId="13525"/>
    <cellStyle name="Normal 11 3 2 6" xfId="13526"/>
    <cellStyle name="Normal 11 3 2 6 2" xfId="21709"/>
    <cellStyle name="Normal 11 3 2 7" xfId="13527"/>
    <cellStyle name="Normal 11 3 3" xfId="809"/>
    <cellStyle name="Normal 11 3 3 2" xfId="1525"/>
    <cellStyle name="Normal 11 3 3 2 2" xfId="13528"/>
    <cellStyle name="Normal 11 3 3 2 2 2" xfId="13529"/>
    <cellStyle name="Normal 11 3 3 2 2 2 2" xfId="21710"/>
    <cellStyle name="Normal 11 3 3 2 2 3" xfId="13530"/>
    <cellStyle name="Normal 11 3 3 2 3" xfId="13531"/>
    <cellStyle name="Normal 11 3 3 2 3 2" xfId="13532"/>
    <cellStyle name="Normal 11 3 3 2 3 2 2" xfId="21711"/>
    <cellStyle name="Normal 11 3 3 2 3 3" xfId="13533"/>
    <cellStyle name="Normal 11 3 3 2 4" xfId="13534"/>
    <cellStyle name="Normal 11 3 3 2 4 2" xfId="21712"/>
    <cellStyle name="Normal 11 3 3 2 5" xfId="13535"/>
    <cellStyle name="Normal 11 3 3 3" xfId="1526"/>
    <cellStyle name="Normal 11 3 3 3 2" xfId="13536"/>
    <cellStyle name="Normal 11 3 3 3 2 2" xfId="21713"/>
    <cellStyle name="Normal 11 3 3 3 3" xfId="13537"/>
    <cellStyle name="Normal 11 3 3 4" xfId="13538"/>
    <cellStyle name="Normal 11 3 3 4 2" xfId="13539"/>
    <cellStyle name="Normal 11 3 3 4 2 2" xfId="21714"/>
    <cellStyle name="Normal 11 3 3 4 3" xfId="13540"/>
    <cellStyle name="Normal 11 3 3 5" xfId="13541"/>
    <cellStyle name="Normal 11 3 3 5 2" xfId="21715"/>
    <cellStyle name="Normal 11 3 3 6" xfId="13542"/>
    <cellStyle name="Normal 11 3 4" xfId="810"/>
    <cellStyle name="Normal 11 3 4 2" xfId="1527"/>
    <cellStyle name="Normal 11 3 4 2 2" xfId="13543"/>
    <cellStyle name="Normal 11 3 4 2 2 2" xfId="21716"/>
    <cellStyle name="Normal 11 3 4 2 3" xfId="13544"/>
    <cellStyle name="Normal 11 3 4 3" xfId="1528"/>
    <cellStyle name="Normal 11 3 4 3 2" xfId="13545"/>
    <cellStyle name="Normal 11 3 4 3 2 2" xfId="21717"/>
    <cellStyle name="Normal 11 3 4 3 3" xfId="13546"/>
    <cellStyle name="Normal 11 3 4 4" xfId="13547"/>
    <cellStyle name="Normal 11 3 4 4 2" xfId="21718"/>
    <cellStyle name="Normal 11 3 4 5" xfId="13548"/>
    <cellStyle name="Normal 11 3 5" xfId="1529"/>
    <cellStyle name="Normal 11 3 5 2" xfId="13549"/>
    <cellStyle name="Normal 11 3 5 2 2" xfId="21719"/>
    <cellStyle name="Normal 11 3 5 3" xfId="13550"/>
    <cellStyle name="Normal 11 3 6" xfId="1530"/>
    <cellStyle name="Normal 11 3 6 2" xfId="13551"/>
    <cellStyle name="Normal 11 3 6 2 2" xfId="21720"/>
    <cellStyle name="Normal 11 3 6 3" xfId="13552"/>
    <cellStyle name="Normal 11 3 7" xfId="13553"/>
    <cellStyle name="Normal 11 3 7 2" xfId="21721"/>
    <cellStyle name="Normal 11 3 8" xfId="13554"/>
    <cellStyle name="Normal 11 3 9" xfId="21722"/>
    <cellStyle name="Normal 11 4" xfId="811"/>
    <cellStyle name="Normal 11 4 2" xfId="812"/>
    <cellStyle name="Normal 11 4 2 2" xfId="1531"/>
    <cellStyle name="Normal 11 4 2 2 2" xfId="13555"/>
    <cellStyle name="Normal 11 4 2 2 2 2" xfId="13556"/>
    <cellStyle name="Normal 11 4 2 2 2 2 2" xfId="13557"/>
    <cellStyle name="Normal 11 4 2 2 2 2 2 2" xfId="21723"/>
    <cellStyle name="Normal 11 4 2 2 2 2 3" xfId="13558"/>
    <cellStyle name="Normal 11 4 2 2 2 3" xfId="13559"/>
    <cellStyle name="Normal 11 4 2 2 2 3 2" xfId="13560"/>
    <cellStyle name="Normal 11 4 2 2 2 3 2 2" xfId="21724"/>
    <cellStyle name="Normal 11 4 2 2 2 3 3" xfId="13561"/>
    <cellStyle name="Normal 11 4 2 2 2 4" xfId="13562"/>
    <cellStyle name="Normal 11 4 2 2 2 4 2" xfId="21725"/>
    <cellStyle name="Normal 11 4 2 2 2 5" xfId="13563"/>
    <cellStyle name="Normal 11 4 2 2 3" xfId="13564"/>
    <cellStyle name="Normal 11 4 2 2 3 2" xfId="13565"/>
    <cellStyle name="Normal 11 4 2 2 3 2 2" xfId="21726"/>
    <cellStyle name="Normal 11 4 2 2 3 3" xfId="13566"/>
    <cellStyle name="Normal 11 4 2 2 4" xfId="13567"/>
    <cellStyle name="Normal 11 4 2 2 4 2" xfId="13568"/>
    <cellStyle name="Normal 11 4 2 2 4 2 2" xfId="21727"/>
    <cellStyle name="Normal 11 4 2 2 4 3" xfId="13569"/>
    <cellStyle name="Normal 11 4 2 2 5" xfId="13570"/>
    <cellStyle name="Normal 11 4 2 2 5 2" xfId="21728"/>
    <cellStyle name="Normal 11 4 2 2 6" xfId="13571"/>
    <cellStyle name="Normal 11 4 2 3" xfId="1532"/>
    <cellStyle name="Normal 11 4 2 3 2" xfId="13572"/>
    <cellStyle name="Normal 11 4 2 3 2 2" xfId="13573"/>
    <cellStyle name="Normal 11 4 2 3 2 2 2" xfId="21729"/>
    <cellStyle name="Normal 11 4 2 3 2 3" xfId="13574"/>
    <cellStyle name="Normal 11 4 2 3 3" xfId="13575"/>
    <cellStyle name="Normal 11 4 2 3 3 2" xfId="13576"/>
    <cellStyle name="Normal 11 4 2 3 3 2 2" xfId="21730"/>
    <cellStyle name="Normal 11 4 2 3 3 3" xfId="13577"/>
    <cellStyle name="Normal 11 4 2 3 4" xfId="13578"/>
    <cellStyle name="Normal 11 4 2 3 4 2" xfId="21731"/>
    <cellStyle name="Normal 11 4 2 3 5" xfId="13579"/>
    <cellStyle name="Normal 11 4 2 4" xfId="1533"/>
    <cellStyle name="Normal 11 4 2 4 2" xfId="13580"/>
    <cellStyle name="Normal 11 4 2 4 2 2" xfId="21732"/>
    <cellStyle name="Normal 11 4 2 4 3" xfId="13581"/>
    <cellStyle name="Normal 11 4 2 5" xfId="1534"/>
    <cellStyle name="Normal 11 4 2 5 2" xfId="13582"/>
    <cellStyle name="Normal 11 4 2 5 2 2" xfId="21733"/>
    <cellStyle name="Normal 11 4 2 5 3" xfId="13583"/>
    <cellStyle name="Normal 11 4 2 6" xfId="13584"/>
    <cellStyle name="Normal 11 4 2 6 2" xfId="21734"/>
    <cellStyle name="Normal 11 4 2 7" xfId="13585"/>
    <cellStyle name="Normal 11 4 3" xfId="1535"/>
    <cellStyle name="Normal 11 4 3 2" xfId="1536"/>
    <cellStyle name="Normal 11 4 3 2 2" xfId="13586"/>
    <cellStyle name="Normal 11 4 3 2 2 2" xfId="13587"/>
    <cellStyle name="Normal 11 4 3 2 2 2 2" xfId="21735"/>
    <cellStyle name="Normal 11 4 3 2 2 3" xfId="13588"/>
    <cellStyle name="Normal 11 4 3 2 3" xfId="13589"/>
    <cellStyle name="Normal 11 4 3 2 3 2" xfId="13590"/>
    <cellStyle name="Normal 11 4 3 2 3 2 2" xfId="21736"/>
    <cellStyle name="Normal 11 4 3 2 3 3" xfId="13591"/>
    <cellStyle name="Normal 11 4 3 2 4" xfId="13592"/>
    <cellStyle name="Normal 11 4 3 2 4 2" xfId="21737"/>
    <cellStyle name="Normal 11 4 3 2 5" xfId="13593"/>
    <cellStyle name="Normal 11 4 3 3" xfId="1537"/>
    <cellStyle name="Normal 11 4 3 3 2" xfId="13594"/>
    <cellStyle name="Normal 11 4 3 3 2 2" xfId="21738"/>
    <cellStyle name="Normal 11 4 3 3 3" xfId="13595"/>
    <cellStyle name="Normal 11 4 3 4" xfId="13596"/>
    <cellStyle name="Normal 11 4 3 4 2" xfId="13597"/>
    <cellStyle name="Normal 11 4 3 4 2 2" xfId="21739"/>
    <cellStyle name="Normal 11 4 3 4 3" xfId="13598"/>
    <cellStyle name="Normal 11 4 3 5" xfId="13599"/>
    <cellStyle name="Normal 11 4 3 5 2" xfId="21740"/>
    <cellStyle name="Normal 11 4 3 6" xfId="13600"/>
    <cellStyle name="Normal 11 4 4" xfId="1538"/>
    <cellStyle name="Normal 11 4 4 2" xfId="1539"/>
    <cellStyle name="Normal 11 4 4 2 2" xfId="13601"/>
    <cellStyle name="Normal 11 4 4 2 2 2" xfId="21741"/>
    <cellStyle name="Normal 11 4 4 2 3" xfId="13602"/>
    <cellStyle name="Normal 11 4 4 3" xfId="1540"/>
    <cellStyle name="Normal 11 4 4 3 2" xfId="13603"/>
    <cellStyle name="Normal 11 4 4 3 2 2" xfId="21742"/>
    <cellStyle name="Normal 11 4 4 3 3" xfId="13604"/>
    <cellStyle name="Normal 11 4 4 4" xfId="13605"/>
    <cellStyle name="Normal 11 4 4 4 2" xfId="21743"/>
    <cellStyle name="Normal 11 4 4 5" xfId="13606"/>
    <cellStyle name="Normal 11 4 5" xfId="1541"/>
    <cellStyle name="Normal 11 4 5 2" xfId="13607"/>
    <cellStyle name="Normal 11 4 5 2 2" xfId="21744"/>
    <cellStyle name="Normal 11 4 5 3" xfId="13608"/>
    <cellStyle name="Normal 11 4 6" xfId="1542"/>
    <cellStyle name="Normal 11 4 6 2" xfId="13609"/>
    <cellStyle name="Normal 11 4 6 2 2" xfId="21745"/>
    <cellStyle name="Normal 11 4 6 3" xfId="13610"/>
    <cellStyle name="Normal 11 4 7" xfId="13611"/>
    <cellStyle name="Normal 11 4 7 2" xfId="21746"/>
    <cellStyle name="Normal 11 4 8" xfId="13612"/>
    <cellStyle name="Normal 11 5" xfId="813"/>
    <cellStyle name="Normal 11 5 10" xfId="1543"/>
    <cellStyle name="Normal 11 5 10 2" xfId="1544"/>
    <cellStyle name="Normal 11 5 10 2 2" xfId="21747"/>
    <cellStyle name="Normal 11 5 10 3" xfId="1545"/>
    <cellStyle name="Normal 11 5 10 3 2" xfId="21748"/>
    <cellStyle name="Normal 11 5 10 4" xfId="21749"/>
    <cellStyle name="Normal 11 5 11" xfId="1546"/>
    <cellStyle name="Normal 11 5 11 2" xfId="1547"/>
    <cellStyle name="Normal 11 5 11 2 2" xfId="21750"/>
    <cellStyle name="Normal 11 5 11 3" xfId="21751"/>
    <cellStyle name="Normal 11 5 12" xfId="1548"/>
    <cellStyle name="Normal 11 5 12 2" xfId="1549"/>
    <cellStyle name="Normal 11 5 12 2 2" xfId="21752"/>
    <cellStyle name="Normal 11 5 12 3" xfId="21753"/>
    <cellStyle name="Normal 11 5 13" xfId="1550"/>
    <cellStyle name="Normal 11 5 13 2" xfId="21754"/>
    <cellStyle name="Normal 11 5 14" xfId="1551"/>
    <cellStyle name="Normal 11 5 14 2" xfId="21755"/>
    <cellStyle name="Normal 11 5 15" xfId="1552"/>
    <cellStyle name="Normal 11 5 15 2" xfId="21756"/>
    <cellStyle name="Normal 11 5 16" xfId="1553"/>
    <cellStyle name="Normal 11 5 16 2" xfId="21757"/>
    <cellStyle name="Normal 11 5 17" xfId="1554"/>
    <cellStyle name="Normal 11 5 17 2" xfId="21758"/>
    <cellStyle name="Normal 11 5 18" xfId="1555"/>
    <cellStyle name="Normal 11 5 18 2" xfId="21759"/>
    <cellStyle name="Normal 11 5 19" xfId="1556"/>
    <cellStyle name="Normal 11 5 19 2" xfId="1557"/>
    <cellStyle name="Normal 11 5 19 2 2" xfId="21760"/>
    <cellStyle name="Normal 11 5 19 3" xfId="1558"/>
    <cellStyle name="Normal 11 5 19 3 2" xfId="21761"/>
    <cellStyle name="Normal 11 5 19 4" xfId="1559"/>
    <cellStyle name="Normal 11 5 19 4 2" xfId="21762"/>
    <cellStyle name="Normal 11 5 19 5" xfId="1560"/>
    <cellStyle name="Normal 11 5 19 5 2" xfId="21763"/>
    <cellStyle name="Normal 11 5 19 6" xfId="1561"/>
    <cellStyle name="Normal 11 5 19 6 2" xfId="21764"/>
    <cellStyle name="Normal 11 5 19 7" xfId="21765"/>
    <cellStyle name="Normal 11 5 2" xfId="1562"/>
    <cellStyle name="Normal 11 5 2 2" xfId="1563"/>
    <cellStyle name="Normal 11 5 2 2 2" xfId="1564"/>
    <cellStyle name="Normal 11 5 2 2 2 2" xfId="13613"/>
    <cellStyle name="Normal 11 5 2 2 2 2 2" xfId="21766"/>
    <cellStyle name="Normal 11 5 2 2 2 3" xfId="13614"/>
    <cellStyle name="Normal 11 5 2 2 3" xfId="1565"/>
    <cellStyle name="Normal 11 5 2 2 3 2" xfId="13615"/>
    <cellStyle name="Normal 11 5 2 2 3 2 2" xfId="21767"/>
    <cellStyle name="Normal 11 5 2 2 3 3" xfId="13616"/>
    <cellStyle name="Normal 11 5 2 2 4" xfId="1566"/>
    <cellStyle name="Normal 11 5 2 2 4 2" xfId="21768"/>
    <cellStyle name="Normal 11 5 2 2 5" xfId="1567"/>
    <cellStyle name="Normal 11 5 2 2 5 2" xfId="21769"/>
    <cellStyle name="Normal 11 5 2 2 6" xfId="21770"/>
    <cellStyle name="Normal 11 5 2 3" xfId="1568"/>
    <cellStyle name="Normal 11 5 2 3 2" xfId="1569"/>
    <cellStyle name="Normal 11 5 2 3 2 2" xfId="21771"/>
    <cellStyle name="Normal 11 5 2 3 3" xfId="1570"/>
    <cellStyle name="Normal 11 5 2 3 3 2" xfId="21772"/>
    <cellStyle name="Normal 11 5 2 3 4" xfId="21773"/>
    <cellStyle name="Normal 11 5 2 4" xfId="1571"/>
    <cellStyle name="Normal 11 5 2 4 2" xfId="1572"/>
    <cellStyle name="Normal 11 5 2 4 2 2" xfId="21774"/>
    <cellStyle name="Normal 11 5 2 4 3" xfId="1573"/>
    <cellStyle name="Normal 11 5 2 4 3 2" xfId="21775"/>
    <cellStyle name="Normal 11 5 2 4 4" xfId="21776"/>
    <cellStyle name="Normal 11 5 2 5" xfId="1574"/>
    <cellStyle name="Normal 11 5 2 5 2" xfId="21777"/>
    <cellStyle name="Normal 11 5 2 6" xfId="1575"/>
    <cellStyle name="Normal 11 5 2 6 2" xfId="21778"/>
    <cellStyle name="Normal 11 5 2 7" xfId="21779"/>
    <cellStyle name="Normal 11 5 20" xfId="1576"/>
    <cellStyle name="Normal 11 5 20 2" xfId="21780"/>
    <cellStyle name="Normal 11 5 21" xfId="1577"/>
    <cellStyle name="Normal 11 5 21 2" xfId="21781"/>
    <cellStyle name="Normal 11 5 22" xfId="1578"/>
    <cellStyle name="Normal 11 5 22 2" xfId="21782"/>
    <cellStyle name="Normal 11 5 23" xfId="1579"/>
    <cellStyle name="Normal 11 5 23 2" xfId="21783"/>
    <cellStyle name="Normal 11 5 24" xfId="1580"/>
    <cellStyle name="Normal 11 5 24 2" xfId="21784"/>
    <cellStyle name="Normal 11 5 25" xfId="1581"/>
    <cellStyle name="Normal 11 5 25 2" xfId="21785"/>
    <cellStyle name="Normal 11 5 26" xfId="1582"/>
    <cellStyle name="Normal 11 5 26 2" xfId="21786"/>
    <cellStyle name="Normal 11 5 27" xfId="1583"/>
    <cellStyle name="Normal 11 5 27 2" xfId="21787"/>
    <cellStyle name="Normal 11 5 28" xfId="1584"/>
    <cellStyle name="Normal 11 5 28 2" xfId="21788"/>
    <cellStyle name="Normal 11 5 29" xfId="21789"/>
    <cellStyle name="Normal 11 5 3" xfId="1585"/>
    <cellStyle name="Normal 11 5 3 2" xfId="1586"/>
    <cellStyle name="Normal 11 5 3 2 2" xfId="1587"/>
    <cellStyle name="Normal 11 5 3 2 2 2" xfId="1588"/>
    <cellStyle name="Normal 11 5 3 2 2 2 2" xfId="21790"/>
    <cellStyle name="Normal 11 5 3 2 2 3" xfId="1589"/>
    <cellStyle name="Normal 11 5 3 2 2 3 2" xfId="21791"/>
    <cellStyle name="Normal 11 5 3 2 2 4" xfId="21792"/>
    <cellStyle name="Normal 11 5 3 2 3" xfId="1590"/>
    <cellStyle name="Normal 11 5 3 2 3 2" xfId="1591"/>
    <cellStyle name="Normal 11 5 3 2 3 2 2" xfId="21793"/>
    <cellStyle name="Normal 11 5 3 2 3 3" xfId="1592"/>
    <cellStyle name="Normal 11 5 3 2 3 3 2" xfId="21794"/>
    <cellStyle name="Normal 11 5 3 2 3 4" xfId="21795"/>
    <cellStyle name="Normal 11 5 3 2 4" xfId="1593"/>
    <cellStyle name="Normal 11 5 3 2 4 2" xfId="21796"/>
    <cellStyle name="Normal 11 5 3 2 5" xfId="1594"/>
    <cellStyle name="Normal 11 5 3 2 5 2" xfId="21797"/>
    <cellStyle name="Normal 11 5 3 2 6" xfId="21798"/>
    <cellStyle name="Normal 11 5 3 3" xfId="1595"/>
    <cellStyle name="Normal 11 5 3 3 2" xfId="1596"/>
    <cellStyle name="Normal 11 5 3 3 2 2" xfId="21799"/>
    <cellStyle name="Normal 11 5 3 3 3" xfId="1597"/>
    <cellStyle name="Normal 11 5 3 3 3 2" xfId="21800"/>
    <cellStyle name="Normal 11 5 3 3 4" xfId="1598"/>
    <cellStyle name="Normal 11 5 3 3 4 2" xfId="21801"/>
    <cellStyle name="Normal 11 5 3 3 5" xfId="1599"/>
    <cellStyle name="Normal 11 5 3 3 5 2" xfId="21802"/>
    <cellStyle name="Normal 11 5 3 3 6" xfId="21803"/>
    <cellStyle name="Normal 11 5 3 4" xfId="1600"/>
    <cellStyle name="Normal 11 5 3 4 2" xfId="1601"/>
    <cellStyle name="Normal 11 5 3 4 2 2" xfId="21804"/>
    <cellStyle name="Normal 11 5 3 4 3" xfId="1602"/>
    <cellStyle name="Normal 11 5 3 4 3 2" xfId="21805"/>
    <cellStyle name="Normal 11 5 3 4 4" xfId="21806"/>
    <cellStyle name="Normal 11 5 3 5" xfId="1603"/>
    <cellStyle name="Normal 11 5 3 5 2" xfId="1604"/>
    <cellStyle name="Normal 11 5 3 5 2 2" xfId="21807"/>
    <cellStyle name="Normal 11 5 3 5 3" xfId="1605"/>
    <cellStyle name="Normal 11 5 3 5 3 2" xfId="21808"/>
    <cellStyle name="Normal 11 5 3 5 4" xfId="21809"/>
    <cellStyle name="Normal 11 5 3 6" xfId="1606"/>
    <cellStyle name="Normal 11 5 3 6 2" xfId="21810"/>
    <cellStyle name="Normal 11 5 3 7" xfId="1607"/>
    <cellStyle name="Normal 11 5 3 7 2" xfId="21811"/>
    <cellStyle name="Normal 11 5 3 8" xfId="21812"/>
    <cellStyle name="Normal 11 5 4" xfId="1608"/>
    <cellStyle name="Normal 11 5 4 2" xfId="1609"/>
    <cellStyle name="Normal 11 5 4 2 2" xfId="1610"/>
    <cellStyle name="Normal 11 5 4 2 2 2" xfId="21813"/>
    <cellStyle name="Normal 11 5 4 2 3" xfId="1611"/>
    <cellStyle name="Normal 11 5 4 2 3 2" xfId="21814"/>
    <cellStyle name="Normal 11 5 4 2 4" xfId="1612"/>
    <cellStyle name="Normal 11 5 4 2 4 2" xfId="21815"/>
    <cellStyle name="Normal 11 5 4 2 5" xfId="1613"/>
    <cellStyle name="Normal 11 5 4 2 5 2" xfId="21816"/>
    <cellStyle name="Normal 11 5 4 2 6" xfId="21817"/>
    <cellStyle name="Normal 11 5 4 3" xfId="1614"/>
    <cellStyle name="Normal 11 5 4 3 2" xfId="1615"/>
    <cellStyle name="Normal 11 5 4 3 2 2" xfId="21818"/>
    <cellStyle name="Normal 11 5 4 3 3" xfId="1616"/>
    <cellStyle name="Normal 11 5 4 3 3 2" xfId="21819"/>
    <cellStyle name="Normal 11 5 4 3 4" xfId="21820"/>
    <cellStyle name="Normal 11 5 4 4" xfId="1617"/>
    <cellStyle name="Normal 11 5 4 4 2" xfId="1618"/>
    <cellStyle name="Normal 11 5 4 4 2 2" xfId="21821"/>
    <cellStyle name="Normal 11 5 4 4 3" xfId="1619"/>
    <cellStyle name="Normal 11 5 4 4 3 2" xfId="21822"/>
    <cellStyle name="Normal 11 5 4 4 4" xfId="21823"/>
    <cellStyle name="Normal 11 5 4 5" xfId="1620"/>
    <cellStyle name="Normal 11 5 4 5 2" xfId="21824"/>
    <cellStyle name="Normal 11 5 4 6" xfId="1621"/>
    <cellStyle name="Normal 11 5 4 6 2" xfId="21825"/>
    <cellStyle name="Normal 11 5 4 7" xfId="21826"/>
    <cellStyle name="Normal 11 5 5" xfId="1622"/>
    <cellStyle name="Normal 11 5 5 2" xfId="1623"/>
    <cellStyle name="Normal 11 5 5 2 2" xfId="1624"/>
    <cellStyle name="Normal 11 5 5 2 2 2" xfId="21827"/>
    <cellStyle name="Normal 11 5 5 2 3" xfId="1625"/>
    <cellStyle name="Normal 11 5 5 2 3 2" xfId="21828"/>
    <cellStyle name="Normal 11 5 5 2 4" xfId="1626"/>
    <cellStyle name="Normal 11 5 5 2 4 2" xfId="21829"/>
    <cellStyle name="Normal 11 5 5 2 5" xfId="1627"/>
    <cellStyle name="Normal 11 5 5 2 5 2" xfId="21830"/>
    <cellStyle name="Normal 11 5 5 2 6" xfId="21831"/>
    <cellStyle name="Normal 11 5 5 3" xfId="1628"/>
    <cellStyle name="Normal 11 5 5 3 2" xfId="1629"/>
    <cellStyle name="Normal 11 5 5 3 2 2" xfId="21832"/>
    <cellStyle name="Normal 11 5 5 3 3" xfId="1630"/>
    <cellStyle name="Normal 11 5 5 3 3 2" xfId="21833"/>
    <cellStyle name="Normal 11 5 5 3 4" xfId="21834"/>
    <cellStyle name="Normal 11 5 5 4" xfId="1631"/>
    <cellStyle name="Normal 11 5 5 4 2" xfId="1632"/>
    <cellStyle name="Normal 11 5 5 4 2 2" xfId="21835"/>
    <cellStyle name="Normal 11 5 5 4 3" xfId="1633"/>
    <cellStyle name="Normal 11 5 5 4 3 2" xfId="21836"/>
    <cellStyle name="Normal 11 5 5 4 4" xfId="21837"/>
    <cellStyle name="Normal 11 5 5 5" xfId="1634"/>
    <cellStyle name="Normal 11 5 5 5 2" xfId="21838"/>
    <cellStyle name="Normal 11 5 5 6" xfId="1635"/>
    <cellStyle name="Normal 11 5 5 6 2" xfId="21839"/>
    <cellStyle name="Normal 11 5 5 7" xfId="21840"/>
    <cellStyle name="Normal 11 5 6" xfId="1636"/>
    <cellStyle name="Normal 11 5 6 2" xfId="1637"/>
    <cellStyle name="Normal 11 5 6 2 2" xfId="1638"/>
    <cellStyle name="Normal 11 5 6 2 2 2" xfId="21841"/>
    <cellStyle name="Normal 11 5 6 2 3" xfId="1639"/>
    <cellStyle name="Normal 11 5 6 2 3 2" xfId="21842"/>
    <cellStyle name="Normal 11 5 6 2 4" xfId="1640"/>
    <cellStyle name="Normal 11 5 6 2 4 2" xfId="21843"/>
    <cellStyle name="Normal 11 5 6 2 5" xfId="1641"/>
    <cellStyle name="Normal 11 5 6 2 5 2" xfId="21844"/>
    <cellStyle name="Normal 11 5 6 2 6" xfId="21845"/>
    <cellStyle name="Normal 11 5 6 3" xfId="1642"/>
    <cellStyle name="Normal 11 5 6 3 2" xfId="1643"/>
    <cellStyle name="Normal 11 5 6 3 2 2" xfId="21846"/>
    <cellStyle name="Normal 11 5 6 3 3" xfId="1644"/>
    <cellStyle name="Normal 11 5 6 3 3 2" xfId="21847"/>
    <cellStyle name="Normal 11 5 6 3 4" xfId="21848"/>
    <cellStyle name="Normal 11 5 6 4" xfId="1645"/>
    <cellStyle name="Normal 11 5 6 4 2" xfId="1646"/>
    <cellStyle name="Normal 11 5 6 4 2 2" xfId="21849"/>
    <cellStyle name="Normal 11 5 6 4 3" xfId="1647"/>
    <cellStyle name="Normal 11 5 6 4 3 2" xfId="21850"/>
    <cellStyle name="Normal 11 5 6 4 4" xfId="21851"/>
    <cellStyle name="Normal 11 5 6 5" xfId="1648"/>
    <cellStyle name="Normal 11 5 6 5 2" xfId="1649"/>
    <cellStyle name="Normal 11 5 6 5 2 2" xfId="21852"/>
    <cellStyle name="Normal 11 5 6 5 3" xfId="21853"/>
    <cellStyle name="Normal 11 5 6 6" xfId="1650"/>
    <cellStyle name="Normal 11 5 6 6 2" xfId="21854"/>
    <cellStyle name="Normal 11 5 6 7" xfId="1651"/>
    <cellStyle name="Normal 11 5 6 7 2" xfId="21855"/>
    <cellStyle name="Normal 11 5 6 8" xfId="21856"/>
    <cellStyle name="Normal 11 5 7" xfId="1652"/>
    <cellStyle name="Normal 11 5 7 2" xfId="1653"/>
    <cellStyle name="Normal 11 5 7 2 2" xfId="1654"/>
    <cellStyle name="Normal 11 5 7 2 2 2" xfId="21857"/>
    <cellStyle name="Normal 11 5 7 2 3" xfId="1655"/>
    <cellStyle name="Normal 11 5 7 2 3 2" xfId="21858"/>
    <cellStyle name="Normal 11 5 7 2 4" xfId="21859"/>
    <cellStyle name="Normal 11 5 7 3" xfId="1656"/>
    <cellStyle name="Normal 11 5 7 3 2" xfId="1657"/>
    <cellStyle name="Normal 11 5 7 3 2 2" xfId="21860"/>
    <cellStyle name="Normal 11 5 7 3 3" xfId="1658"/>
    <cellStyle name="Normal 11 5 7 3 3 2" xfId="21861"/>
    <cellStyle name="Normal 11 5 7 3 4" xfId="21862"/>
    <cellStyle name="Normal 11 5 7 4" xfId="1659"/>
    <cellStyle name="Normal 11 5 7 4 2" xfId="1660"/>
    <cellStyle name="Normal 11 5 7 4 2 2" xfId="21863"/>
    <cellStyle name="Normal 11 5 7 4 3" xfId="21864"/>
    <cellStyle name="Normal 11 5 7 5" xfId="1661"/>
    <cellStyle name="Normal 11 5 7 5 2" xfId="21865"/>
    <cellStyle name="Normal 11 5 7 6" xfId="1662"/>
    <cellStyle name="Normal 11 5 7 6 2" xfId="21866"/>
    <cellStyle name="Normal 11 5 7 7" xfId="21867"/>
    <cellStyle name="Normal 11 5 8" xfId="1663"/>
    <cellStyle name="Normal 11 5 8 2" xfId="1664"/>
    <cellStyle name="Normal 11 5 8 2 2" xfId="21868"/>
    <cellStyle name="Normal 11 5 8 3" xfId="1665"/>
    <cellStyle name="Normal 11 5 8 3 2" xfId="21869"/>
    <cellStyle name="Normal 11 5 8 4" xfId="1666"/>
    <cellStyle name="Normal 11 5 8 4 2" xfId="21870"/>
    <cellStyle name="Normal 11 5 8 5" xfId="1667"/>
    <cellStyle name="Normal 11 5 8 5 2" xfId="21871"/>
    <cellStyle name="Normal 11 5 8 6" xfId="21872"/>
    <cellStyle name="Normal 11 5 9" xfId="1668"/>
    <cellStyle name="Normal 11 5 9 2" xfId="1669"/>
    <cellStyle name="Normal 11 5 9 2 2" xfId="21873"/>
    <cellStyle name="Normal 11 5 9 3" xfId="1670"/>
    <cellStyle name="Normal 11 5 9 3 2" xfId="21874"/>
    <cellStyle name="Normal 11 5 9 4" xfId="21875"/>
    <cellStyle name="Normal 11 5_10070" xfId="1671"/>
    <cellStyle name="Normal 11 6" xfId="1672"/>
    <cellStyle name="Normal 11 6 2" xfId="1673"/>
    <cellStyle name="Normal 11 6 2 2" xfId="1674"/>
    <cellStyle name="Normal 11 6 2 2 2" xfId="13617"/>
    <cellStyle name="Normal 11 6 2 2 2 2" xfId="21876"/>
    <cellStyle name="Normal 11 6 2 2 3" xfId="13618"/>
    <cellStyle name="Normal 11 6 2 3" xfId="1675"/>
    <cellStyle name="Normal 11 6 2 3 2" xfId="13619"/>
    <cellStyle name="Normal 11 6 2 3 2 2" xfId="21877"/>
    <cellStyle name="Normal 11 6 2 3 3" xfId="13620"/>
    <cellStyle name="Normal 11 6 2 4" xfId="13621"/>
    <cellStyle name="Normal 11 6 2 4 2" xfId="21878"/>
    <cellStyle name="Normal 11 6 2 5" xfId="13622"/>
    <cellStyle name="Normal 11 6 3" xfId="1676"/>
    <cellStyle name="Normal 11 6 3 2" xfId="1677"/>
    <cellStyle name="Normal 11 6 3 2 2" xfId="21879"/>
    <cellStyle name="Normal 11 6 3 3" xfId="1678"/>
    <cellStyle name="Normal 11 6 3 3 2" xfId="21880"/>
    <cellStyle name="Normal 11 6 3 4" xfId="21881"/>
    <cellStyle name="Normal 11 6 4" xfId="1679"/>
    <cellStyle name="Normal 11 6 4 2" xfId="13623"/>
    <cellStyle name="Normal 11 6 4 2 2" xfId="21882"/>
    <cellStyle name="Normal 11 6 4 3" xfId="13624"/>
    <cellStyle name="Normal 11 6 5" xfId="1680"/>
    <cellStyle name="Normal 11 6 5 2" xfId="21883"/>
    <cellStyle name="Normal 11 6 6" xfId="13625"/>
    <cellStyle name="Normal 11 7" xfId="1681"/>
    <cellStyle name="Normal 11 7 2" xfId="1682"/>
    <cellStyle name="Normal 11 7 2 2" xfId="13626"/>
    <cellStyle name="Normal 11 7 2 2 2" xfId="21884"/>
    <cellStyle name="Normal 11 7 2 3" xfId="13627"/>
    <cellStyle name="Normal 11 7 3" xfId="1683"/>
    <cellStyle name="Normal 11 7 3 2" xfId="13628"/>
    <cellStyle name="Normal 11 7 3 2 2" xfId="21885"/>
    <cellStyle name="Normal 11 7 3 3" xfId="13629"/>
    <cellStyle name="Normal 11 7 4" xfId="1684"/>
    <cellStyle name="Normal 11 7 4 2" xfId="21886"/>
    <cellStyle name="Normal 11 7 5" xfId="1685"/>
    <cellStyle name="Normal 11 7 5 2" xfId="21887"/>
    <cellStyle name="Normal 11 7 6" xfId="21888"/>
    <cellStyle name="Normal 11 8" xfId="1686"/>
    <cellStyle name="Normal 11 8 2" xfId="1687"/>
    <cellStyle name="Normal 11 8 2 2" xfId="21889"/>
    <cellStyle name="Normal 11 8 3" xfId="1688"/>
    <cellStyle name="Normal 11 8 3 2" xfId="21890"/>
    <cellStyle name="Normal 11 8 4" xfId="21891"/>
    <cellStyle name="Normal 11 9" xfId="1689"/>
    <cellStyle name="Normal 11 9 2" xfId="13630"/>
    <cellStyle name="Normal 11 9 2 2" xfId="21892"/>
    <cellStyle name="Normal 11 9 3" xfId="13631"/>
    <cellStyle name="Normal 11_2112 2148 Reg Labor" xfId="13632"/>
    <cellStyle name="Normal 110" xfId="814"/>
    <cellStyle name="Normal 110 2" xfId="815"/>
    <cellStyle name="Normal 110 2 2" xfId="21893"/>
    <cellStyle name="Normal 111" xfId="816"/>
    <cellStyle name="Normal 111 2" xfId="817"/>
    <cellStyle name="Normal 111 2 2" xfId="21894"/>
    <cellStyle name="Normal 111 3" xfId="818"/>
    <cellStyle name="Normal 111 4" xfId="21895"/>
    <cellStyle name="Normal 112" xfId="819"/>
    <cellStyle name="Normal 112 2" xfId="820"/>
    <cellStyle name="Normal 112 2 2" xfId="21896"/>
    <cellStyle name="Normal 112 3" xfId="821"/>
    <cellStyle name="Normal 112 4" xfId="13633"/>
    <cellStyle name="Normal 113" xfId="822"/>
    <cellStyle name="Normal 113 2" xfId="823"/>
    <cellStyle name="Normal 113 3" xfId="824"/>
    <cellStyle name="Normal 113 3 2" xfId="21897"/>
    <cellStyle name="Normal 113 4" xfId="13634"/>
    <cellStyle name="Normal 113 5" xfId="21898"/>
    <cellStyle name="Normal 114" xfId="825"/>
    <cellStyle name="Normal 114 2" xfId="13635"/>
    <cellStyle name="Normal 114 2 2" xfId="21899"/>
    <cellStyle name="Normal 114 3" xfId="21900"/>
    <cellStyle name="Normal 115" xfId="826"/>
    <cellStyle name="Normal 115 2" xfId="21901"/>
    <cellStyle name="Normal 116" xfId="827"/>
    <cellStyle name="Normal 116 2" xfId="13636"/>
    <cellStyle name="Normal 117" xfId="828"/>
    <cellStyle name="Normal 117 2" xfId="829"/>
    <cellStyle name="Normal 117 3" xfId="21902"/>
    <cellStyle name="Normal 118" xfId="830"/>
    <cellStyle name="Normal 118 2" xfId="831"/>
    <cellStyle name="Normal 118 3" xfId="13637"/>
    <cellStyle name="Normal 119" xfId="832"/>
    <cellStyle name="Normal 119 2" xfId="21903"/>
    <cellStyle name="Normal 12" xfId="32"/>
    <cellStyle name="Normal 12 10" xfId="13638"/>
    <cellStyle name="Normal 12 10 2" xfId="21904"/>
    <cellStyle name="Normal 12 11" xfId="13639"/>
    <cellStyle name="Normal 12 2" xfId="258"/>
    <cellStyle name="Normal 12 2 2" xfId="833"/>
    <cellStyle name="Normal 12 2 2 2" xfId="834"/>
    <cellStyle name="Normal 12 2 2 2 2" xfId="835"/>
    <cellStyle name="Normal 12 2 2 2 2 2" xfId="13640"/>
    <cellStyle name="Normal 12 2 2 2 2 2 2" xfId="13641"/>
    <cellStyle name="Normal 12 2 2 2 2 2 2 2" xfId="13642"/>
    <cellStyle name="Normal 12 2 2 2 2 2 2 2 2" xfId="21905"/>
    <cellStyle name="Normal 12 2 2 2 2 2 2 3" xfId="13643"/>
    <cellStyle name="Normal 12 2 2 2 2 2 3" xfId="13644"/>
    <cellStyle name="Normal 12 2 2 2 2 2 3 2" xfId="13645"/>
    <cellStyle name="Normal 12 2 2 2 2 2 3 2 2" xfId="21906"/>
    <cellStyle name="Normal 12 2 2 2 2 2 3 3" xfId="13646"/>
    <cellStyle name="Normal 12 2 2 2 2 2 4" xfId="13647"/>
    <cellStyle name="Normal 12 2 2 2 2 2 4 2" xfId="21907"/>
    <cellStyle name="Normal 12 2 2 2 2 2 5" xfId="13648"/>
    <cellStyle name="Normal 12 2 2 2 2 3" xfId="13649"/>
    <cellStyle name="Normal 12 2 2 2 2 3 2" xfId="13650"/>
    <cellStyle name="Normal 12 2 2 2 2 3 2 2" xfId="21908"/>
    <cellStyle name="Normal 12 2 2 2 2 3 3" xfId="13651"/>
    <cellStyle name="Normal 12 2 2 2 2 4" xfId="13652"/>
    <cellStyle name="Normal 12 2 2 2 2 4 2" xfId="13653"/>
    <cellStyle name="Normal 12 2 2 2 2 4 2 2" xfId="21909"/>
    <cellStyle name="Normal 12 2 2 2 2 4 3" xfId="13654"/>
    <cellStyle name="Normal 12 2 2 2 2 5" xfId="13655"/>
    <cellStyle name="Normal 12 2 2 2 2 5 2" xfId="21910"/>
    <cellStyle name="Normal 12 2 2 2 2 6" xfId="13656"/>
    <cellStyle name="Normal 12 2 2 2 3" xfId="13657"/>
    <cellStyle name="Normal 12 2 2 2 3 2" xfId="13658"/>
    <cellStyle name="Normal 12 2 2 2 3 2 2" xfId="13659"/>
    <cellStyle name="Normal 12 2 2 2 3 2 2 2" xfId="21911"/>
    <cellStyle name="Normal 12 2 2 2 3 2 3" xfId="13660"/>
    <cellStyle name="Normal 12 2 2 2 3 3" xfId="13661"/>
    <cellStyle name="Normal 12 2 2 2 3 3 2" xfId="13662"/>
    <cellStyle name="Normal 12 2 2 2 3 3 2 2" xfId="21912"/>
    <cellStyle name="Normal 12 2 2 2 3 3 3" xfId="13663"/>
    <cellStyle name="Normal 12 2 2 2 3 4" xfId="13664"/>
    <cellStyle name="Normal 12 2 2 2 3 4 2" xfId="21913"/>
    <cellStyle name="Normal 12 2 2 2 3 5" xfId="13665"/>
    <cellStyle name="Normal 12 2 2 2 4" xfId="13666"/>
    <cellStyle name="Normal 12 2 2 2 4 2" xfId="13667"/>
    <cellStyle name="Normal 12 2 2 2 4 2 2" xfId="21914"/>
    <cellStyle name="Normal 12 2 2 2 4 3" xfId="13668"/>
    <cellStyle name="Normal 12 2 2 2 5" xfId="13669"/>
    <cellStyle name="Normal 12 2 2 2 5 2" xfId="13670"/>
    <cellStyle name="Normal 12 2 2 2 5 2 2" xfId="21915"/>
    <cellStyle name="Normal 12 2 2 2 5 3" xfId="13671"/>
    <cellStyle name="Normal 12 2 2 2 6" xfId="13672"/>
    <cellStyle name="Normal 12 2 2 2 6 2" xfId="21916"/>
    <cellStyle name="Normal 12 2 2 2 7" xfId="13673"/>
    <cellStyle name="Normal 12 2 2 2 8" xfId="13674"/>
    <cellStyle name="Normal 12 2 2 3" xfId="836"/>
    <cellStyle name="Normal 12 2 2 3 2" xfId="13675"/>
    <cellStyle name="Normal 12 2 2 3 2 2" xfId="13676"/>
    <cellStyle name="Normal 12 2 2 3 2 2 2" xfId="13677"/>
    <cellStyle name="Normal 12 2 2 3 2 2 2 2" xfId="21917"/>
    <cellStyle name="Normal 12 2 2 3 2 2 3" xfId="13678"/>
    <cellStyle name="Normal 12 2 2 3 2 3" xfId="13679"/>
    <cellStyle name="Normal 12 2 2 3 2 3 2" xfId="13680"/>
    <cellStyle name="Normal 12 2 2 3 2 3 2 2" xfId="21918"/>
    <cellStyle name="Normal 12 2 2 3 2 3 3" xfId="13681"/>
    <cellStyle name="Normal 12 2 2 3 2 4" xfId="13682"/>
    <cellStyle name="Normal 12 2 2 3 2 4 2" xfId="21919"/>
    <cellStyle name="Normal 12 2 2 3 2 5" xfId="13683"/>
    <cellStyle name="Normal 12 2 2 3 3" xfId="13684"/>
    <cellStyle name="Normal 12 2 2 3 3 2" xfId="13685"/>
    <cellStyle name="Normal 12 2 2 3 3 2 2" xfId="21920"/>
    <cellStyle name="Normal 12 2 2 3 3 3" xfId="13686"/>
    <cellStyle name="Normal 12 2 2 3 4" xfId="13687"/>
    <cellStyle name="Normal 12 2 2 3 4 2" xfId="13688"/>
    <cellStyle name="Normal 12 2 2 3 4 2 2" xfId="21921"/>
    <cellStyle name="Normal 12 2 2 3 4 3" xfId="13689"/>
    <cellStyle name="Normal 12 2 2 3 5" xfId="13690"/>
    <cellStyle name="Normal 12 2 2 3 5 2" xfId="21922"/>
    <cellStyle name="Normal 12 2 2 3 6" xfId="13691"/>
    <cellStyle name="Normal 12 2 2 4" xfId="13692"/>
    <cellStyle name="Normal 12 2 2 4 2" xfId="13693"/>
    <cellStyle name="Normal 12 2 2 4 2 2" xfId="13694"/>
    <cellStyle name="Normal 12 2 2 4 2 2 2" xfId="21923"/>
    <cellStyle name="Normal 12 2 2 4 2 3" xfId="13695"/>
    <cellStyle name="Normal 12 2 2 4 3" xfId="13696"/>
    <cellStyle name="Normal 12 2 2 4 3 2" xfId="13697"/>
    <cellStyle name="Normal 12 2 2 4 3 2 2" xfId="21924"/>
    <cellStyle name="Normal 12 2 2 4 3 3" xfId="13698"/>
    <cellStyle name="Normal 12 2 2 4 4" xfId="13699"/>
    <cellStyle name="Normal 12 2 2 4 4 2" xfId="21925"/>
    <cellStyle name="Normal 12 2 2 4 5" xfId="13700"/>
    <cellStyle name="Normal 12 2 2 5" xfId="13701"/>
    <cellStyle name="Normal 12 2 2 5 2" xfId="13702"/>
    <cellStyle name="Normal 12 2 2 5 2 2" xfId="21926"/>
    <cellStyle name="Normal 12 2 2 5 3" xfId="13703"/>
    <cellStyle name="Normal 12 2 2 6" xfId="13704"/>
    <cellStyle name="Normal 12 2 2 6 2" xfId="13705"/>
    <cellStyle name="Normal 12 2 2 6 2 2" xfId="21927"/>
    <cellStyle name="Normal 12 2 2 6 3" xfId="13706"/>
    <cellStyle name="Normal 12 2 2 7" xfId="13707"/>
    <cellStyle name="Normal 12 2 2 7 2" xfId="21928"/>
    <cellStyle name="Normal 12 2 2 8" xfId="13708"/>
    <cellStyle name="Normal 12 2 3" xfId="837"/>
    <cellStyle name="Normal 12 2 3 2" xfId="838"/>
    <cellStyle name="Normal 12 2 3 2 2" xfId="13709"/>
    <cellStyle name="Normal 12 2 3 2 2 2" xfId="13710"/>
    <cellStyle name="Normal 12 2 3 2 2 2 2" xfId="13711"/>
    <cellStyle name="Normal 12 2 3 2 2 2 2 2" xfId="21929"/>
    <cellStyle name="Normal 12 2 3 2 2 2 3" xfId="13712"/>
    <cellStyle name="Normal 12 2 3 2 2 3" xfId="13713"/>
    <cellStyle name="Normal 12 2 3 2 2 3 2" xfId="13714"/>
    <cellStyle name="Normal 12 2 3 2 2 3 2 2" xfId="21930"/>
    <cellStyle name="Normal 12 2 3 2 2 3 3" xfId="13715"/>
    <cellStyle name="Normal 12 2 3 2 2 4" xfId="13716"/>
    <cellStyle name="Normal 12 2 3 2 2 4 2" xfId="21931"/>
    <cellStyle name="Normal 12 2 3 2 2 5" xfId="13717"/>
    <cellStyle name="Normal 12 2 3 2 3" xfId="13718"/>
    <cellStyle name="Normal 12 2 3 2 3 2" xfId="13719"/>
    <cellStyle name="Normal 12 2 3 2 3 2 2" xfId="21932"/>
    <cellStyle name="Normal 12 2 3 2 3 3" xfId="13720"/>
    <cellStyle name="Normal 12 2 3 2 4" xfId="13721"/>
    <cellStyle name="Normal 12 2 3 2 4 2" xfId="13722"/>
    <cellStyle name="Normal 12 2 3 2 4 2 2" xfId="21933"/>
    <cellStyle name="Normal 12 2 3 2 4 3" xfId="13723"/>
    <cellStyle name="Normal 12 2 3 2 5" xfId="13724"/>
    <cellStyle name="Normal 12 2 3 2 5 2" xfId="21934"/>
    <cellStyle name="Normal 12 2 3 2 6" xfId="13725"/>
    <cellStyle name="Normal 12 2 3 3" xfId="13726"/>
    <cellStyle name="Normal 12 2 3 3 2" xfId="13727"/>
    <cellStyle name="Normal 12 2 3 3 2 2" xfId="13728"/>
    <cellStyle name="Normal 12 2 3 3 2 2 2" xfId="21935"/>
    <cellStyle name="Normal 12 2 3 3 2 3" xfId="13729"/>
    <cellStyle name="Normal 12 2 3 3 3" xfId="13730"/>
    <cellStyle name="Normal 12 2 3 3 3 2" xfId="13731"/>
    <cellStyle name="Normal 12 2 3 3 3 2 2" xfId="21936"/>
    <cellStyle name="Normal 12 2 3 3 3 3" xfId="13732"/>
    <cellStyle name="Normal 12 2 3 3 4" xfId="13733"/>
    <cellStyle name="Normal 12 2 3 3 4 2" xfId="21937"/>
    <cellStyle name="Normal 12 2 3 3 5" xfId="13734"/>
    <cellStyle name="Normal 12 2 3 4" xfId="13735"/>
    <cellStyle name="Normal 12 2 3 4 2" xfId="13736"/>
    <cellStyle name="Normal 12 2 3 4 2 2" xfId="21938"/>
    <cellStyle name="Normal 12 2 3 4 3" xfId="13737"/>
    <cellStyle name="Normal 12 2 3 5" xfId="13738"/>
    <cellStyle name="Normal 12 2 3 5 2" xfId="13739"/>
    <cellStyle name="Normal 12 2 3 5 2 2" xfId="21939"/>
    <cellStyle name="Normal 12 2 3 5 3" xfId="13740"/>
    <cellStyle name="Normal 12 2 3 6" xfId="13741"/>
    <cellStyle name="Normal 12 2 3 6 2" xfId="21940"/>
    <cellStyle name="Normal 12 2 3 7" xfId="13742"/>
    <cellStyle name="Normal 12 2 4" xfId="839"/>
    <cellStyle name="Normal 12 2 4 2" xfId="13743"/>
    <cellStyle name="Normal 12 2 4 2 2" xfId="13744"/>
    <cellStyle name="Normal 12 2 4 2 2 2" xfId="13745"/>
    <cellStyle name="Normal 12 2 4 2 2 2 2" xfId="21941"/>
    <cellStyle name="Normal 12 2 4 2 2 3" xfId="13746"/>
    <cellStyle name="Normal 12 2 4 2 3" xfId="13747"/>
    <cellStyle name="Normal 12 2 4 2 3 2" xfId="13748"/>
    <cellStyle name="Normal 12 2 4 2 3 2 2" xfId="21942"/>
    <cellStyle name="Normal 12 2 4 2 3 3" xfId="13749"/>
    <cellStyle name="Normal 12 2 4 2 4" xfId="13750"/>
    <cellStyle name="Normal 12 2 4 2 4 2" xfId="21943"/>
    <cellStyle name="Normal 12 2 4 2 5" xfId="13751"/>
    <cellStyle name="Normal 12 2 4 3" xfId="13752"/>
    <cellStyle name="Normal 12 2 4 3 2" xfId="13753"/>
    <cellStyle name="Normal 12 2 4 3 2 2" xfId="21944"/>
    <cellStyle name="Normal 12 2 4 3 3" xfId="13754"/>
    <cellStyle name="Normal 12 2 4 4" xfId="13755"/>
    <cellStyle name="Normal 12 2 4 4 2" xfId="13756"/>
    <cellStyle name="Normal 12 2 4 4 2 2" xfId="21945"/>
    <cellStyle name="Normal 12 2 4 4 3" xfId="13757"/>
    <cellStyle name="Normal 12 2 4 5" xfId="13758"/>
    <cellStyle name="Normal 12 2 4 5 2" xfId="21946"/>
    <cellStyle name="Normal 12 2 4 6" xfId="13759"/>
    <cellStyle name="Normal 12 2 5" xfId="13760"/>
    <cellStyle name="Normal 12 2 5 2" xfId="13761"/>
    <cellStyle name="Normal 12 2 5 2 2" xfId="13762"/>
    <cellStyle name="Normal 12 2 5 2 2 2" xfId="21947"/>
    <cellStyle name="Normal 12 2 5 2 3" xfId="13763"/>
    <cellStyle name="Normal 12 2 5 3" xfId="13764"/>
    <cellStyle name="Normal 12 2 5 3 2" xfId="13765"/>
    <cellStyle name="Normal 12 2 5 3 2 2" xfId="21948"/>
    <cellStyle name="Normal 12 2 5 3 3" xfId="13766"/>
    <cellStyle name="Normal 12 2 5 4" xfId="13767"/>
    <cellStyle name="Normal 12 2 5 4 2" xfId="21949"/>
    <cellStyle name="Normal 12 2 5 5" xfId="13768"/>
    <cellStyle name="Normal 12 2 5 6" xfId="13769"/>
    <cellStyle name="Normal 12 2 6" xfId="13770"/>
    <cellStyle name="Normal 12 2 6 2" xfId="13771"/>
    <cellStyle name="Normal 12 2 6 2 2" xfId="21950"/>
    <cellStyle name="Normal 12 2 6 3" xfId="13772"/>
    <cellStyle name="Normal 12 2 7" xfId="13773"/>
    <cellStyle name="Normal 12 2 7 2" xfId="13774"/>
    <cellStyle name="Normal 12 2 7 2 2" xfId="21951"/>
    <cellStyle name="Normal 12 2 7 3" xfId="13775"/>
    <cellStyle name="Normal 12 2 8" xfId="13776"/>
    <cellStyle name="Normal 12 2 8 2" xfId="21952"/>
    <cellStyle name="Normal 12 2 9" xfId="13777"/>
    <cellStyle name="Normal 12 3" xfId="840"/>
    <cellStyle name="Normal 12 3 2" xfId="841"/>
    <cellStyle name="Normal 12 3 2 2" xfId="842"/>
    <cellStyle name="Normal 12 3 2 2 2" xfId="13778"/>
    <cellStyle name="Normal 12 3 2 2 2 2" xfId="13779"/>
    <cellStyle name="Normal 12 3 2 2 2 2 2" xfId="13780"/>
    <cellStyle name="Normal 12 3 2 2 2 2 2 2" xfId="21953"/>
    <cellStyle name="Normal 12 3 2 2 2 2 3" xfId="13781"/>
    <cellStyle name="Normal 12 3 2 2 2 3" xfId="13782"/>
    <cellStyle name="Normal 12 3 2 2 2 3 2" xfId="13783"/>
    <cellStyle name="Normal 12 3 2 2 2 3 2 2" xfId="21954"/>
    <cellStyle name="Normal 12 3 2 2 2 3 3" xfId="13784"/>
    <cellStyle name="Normal 12 3 2 2 2 4" xfId="13785"/>
    <cellStyle name="Normal 12 3 2 2 2 4 2" xfId="21955"/>
    <cellStyle name="Normal 12 3 2 2 2 5" xfId="13786"/>
    <cellStyle name="Normal 12 3 2 2 3" xfId="13787"/>
    <cellStyle name="Normal 12 3 2 2 3 2" xfId="13788"/>
    <cellStyle name="Normal 12 3 2 2 3 2 2" xfId="21956"/>
    <cellStyle name="Normal 12 3 2 2 3 3" xfId="13789"/>
    <cellStyle name="Normal 12 3 2 2 4" xfId="13790"/>
    <cellStyle name="Normal 12 3 2 2 4 2" xfId="13791"/>
    <cellStyle name="Normal 12 3 2 2 4 2 2" xfId="21957"/>
    <cellStyle name="Normal 12 3 2 2 4 3" xfId="13792"/>
    <cellStyle name="Normal 12 3 2 2 5" xfId="13793"/>
    <cellStyle name="Normal 12 3 2 2 5 2" xfId="21958"/>
    <cellStyle name="Normal 12 3 2 2 6" xfId="13794"/>
    <cellStyle name="Normal 12 3 2 3" xfId="13795"/>
    <cellStyle name="Normal 12 3 2 3 2" xfId="13796"/>
    <cellStyle name="Normal 12 3 2 3 2 2" xfId="13797"/>
    <cellStyle name="Normal 12 3 2 3 2 2 2" xfId="21959"/>
    <cellStyle name="Normal 12 3 2 3 2 3" xfId="13798"/>
    <cellStyle name="Normal 12 3 2 3 3" xfId="13799"/>
    <cellStyle name="Normal 12 3 2 3 3 2" xfId="13800"/>
    <cellStyle name="Normal 12 3 2 3 3 2 2" xfId="21960"/>
    <cellStyle name="Normal 12 3 2 3 3 3" xfId="13801"/>
    <cellStyle name="Normal 12 3 2 3 4" xfId="13802"/>
    <cellStyle name="Normal 12 3 2 3 4 2" xfId="21961"/>
    <cellStyle name="Normal 12 3 2 3 5" xfId="13803"/>
    <cellStyle name="Normal 12 3 2 4" xfId="13804"/>
    <cellStyle name="Normal 12 3 2 4 2" xfId="13805"/>
    <cellStyle name="Normal 12 3 2 4 2 2" xfId="21962"/>
    <cellStyle name="Normal 12 3 2 4 3" xfId="13806"/>
    <cellStyle name="Normal 12 3 2 5" xfId="13807"/>
    <cellStyle name="Normal 12 3 2 5 2" xfId="13808"/>
    <cellStyle name="Normal 12 3 2 5 2 2" xfId="21963"/>
    <cellStyle name="Normal 12 3 2 5 3" xfId="13809"/>
    <cellStyle name="Normal 12 3 2 6" xfId="13810"/>
    <cellStyle name="Normal 12 3 2 6 2" xfId="21964"/>
    <cellStyle name="Normal 12 3 2 7" xfId="13811"/>
    <cellStyle name="Normal 12 3 3" xfId="843"/>
    <cellStyle name="Normal 12 3 3 2" xfId="13812"/>
    <cellStyle name="Normal 12 3 3 2 2" xfId="13813"/>
    <cellStyle name="Normal 12 3 3 2 2 2" xfId="13814"/>
    <cellStyle name="Normal 12 3 3 2 2 2 2" xfId="21965"/>
    <cellStyle name="Normal 12 3 3 2 2 3" xfId="13815"/>
    <cellStyle name="Normal 12 3 3 2 3" xfId="13816"/>
    <cellStyle name="Normal 12 3 3 2 3 2" xfId="13817"/>
    <cellStyle name="Normal 12 3 3 2 3 2 2" xfId="21966"/>
    <cellStyle name="Normal 12 3 3 2 3 3" xfId="13818"/>
    <cellStyle name="Normal 12 3 3 2 4" xfId="13819"/>
    <cellStyle name="Normal 12 3 3 2 4 2" xfId="21967"/>
    <cellStyle name="Normal 12 3 3 2 5" xfId="13820"/>
    <cellStyle name="Normal 12 3 3 3" xfId="13821"/>
    <cellStyle name="Normal 12 3 3 3 2" xfId="13822"/>
    <cellStyle name="Normal 12 3 3 3 2 2" xfId="21968"/>
    <cellStyle name="Normal 12 3 3 3 3" xfId="13823"/>
    <cellStyle name="Normal 12 3 3 4" xfId="13824"/>
    <cellStyle name="Normal 12 3 3 4 2" xfId="13825"/>
    <cellStyle name="Normal 12 3 3 4 2 2" xfId="21969"/>
    <cellStyle name="Normal 12 3 3 4 3" xfId="13826"/>
    <cellStyle name="Normal 12 3 3 5" xfId="13827"/>
    <cellStyle name="Normal 12 3 3 5 2" xfId="21970"/>
    <cellStyle name="Normal 12 3 3 6" xfId="13828"/>
    <cellStyle name="Normal 12 3 4" xfId="13829"/>
    <cellStyle name="Normal 12 3 4 2" xfId="13830"/>
    <cellStyle name="Normal 12 3 4 2 2" xfId="13831"/>
    <cellStyle name="Normal 12 3 4 2 2 2" xfId="21971"/>
    <cellStyle name="Normal 12 3 4 2 3" xfId="13832"/>
    <cellStyle name="Normal 12 3 4 3" xfId="13833"/>
    <cellStyle name="Normal 12 3 4 3 2" xfId="13834"/>
    <cellStyle name="Normal 12 3 4 3 2 2" xfId="21972"/>
    <cellStyle name="Normal 12 3 4 3 3" xfId="13835"/>
    <cellStyle name="Normal 12 3 4 4" xfId="13836"/>
    <cellStyle name="Normal 12 3 4 4 2" xfId="21973"/>
    <cellStyle name="Normal 12 3 4 5" xfId="13837"/>
    <cellStyle name="Normal 12 3 4 6" xfId="13838"/>
    <cellStyle name="Normal 12 3 5" xfId="13839"/>
    <cellStyle name="Normal 12 3 5 2" xfId="13840"/>
    <cellStyle name="Normal 12 3 5 2 2" xfId="21974"/>
    <cellStyle name="Normal 12 3 5 3" xfId="13841"/>
    <cellStyle name="Normal 12 3 6" xfId="13842"/>
    <cellStyle name="Normal 12 3 6 2" xfId="13843"/>
    <cellStyle name="Normal 12 3 6 2 2" xfId="21975"/>
    <cellStyle name="Normal 12 3 6 3" xfId="13844"/>
    <cellStyle name="Normal 12 3 7" xfId="13845"/>
    <cellStyle name="Normal 12 3 7 2" xfId="21976"/>
    <cellStyle name="Normal 12 3 8" xfId="13846"/>
    <cellStyle name="Normal 12 3 9" xfId="21977"/>
    <cellStyle name="Normal 12 4" xfId="844"/>
    <cellStyle name="Normal 12 4 2" xfId="845"/>
    <cellStyle name="Normal 12 4 2 2" xfId="13847"/>
    <cellStyle name="Normal 12 4 2 2 2" xfId="13848"/>
    <cellStyle name="Normal 12 4 2 2 2 2" xfId="13849"/>
    <cellStyle name="Normal 12 4 2 2 2 2 2" xfId="13850"/>
    <cellStyle name="Normal 12 4 2 2 2 2 2 2" xfId="21978"/>
    <cellStyle name="Normal 12 4 2 2 2 2 3" xfId="13851"/>
    <cellStyle name="Normal 12 4 2 2 2 3" xfId="13852"/>
    <cellStyle name="Normal 12 4 2 2 2 3 2" xfId="13853"/>
    <cellStyle name="Normal 12 4 2 2 2 3 2 2" xfId="21979"/>
    <cellStyle name="Normal 12 4 2 2 2 3 3" xfId="13854"/>
    <cellStyle name="Normal 12 4 2 2 2 4" xfId="13855"/>
    <cellStyle name="Normal 12 4 2 2 2 4 2" xfId="21980"/>
    <cellStyle name="Normal 12 4 2 2 2 5" xfId="13856"/>
    <cellStyle name="Normal 12 4 2 2 3" xfId="13857"/>
    <cellStyle name="Normal 12 4 2 2 3 2" xfId="13858"/>
    <cellStyle name="Normal 12 4 2 2 3 2 2" xfId="21981"/>
    <cellStyle name="Normal 12 4 2 2 3 3" xfId="13859"/>
    <cellStyle name="Normal 12 4 2 2 4" xfId="13860"/>
    <cellStyle name="Normal 12 4 2 2 4 2" xfId="13861"/>
    <cellStyle name="Normal 12 4 2 2 4 2 2" xfId="21982"/>
    <cellStyle name="Normal 12 4 2 2 4 3" xfId="13862"/>
    <cellStyle name="Normal 12 4 2 2 5" xfId="13863"/>
    <cellStyle name="Normal 12 4 2 2 5 2" xfId="21983"/>
    <cellStyle name="Normal 12 4 2 2 6" xfId="13864"/>
    <cellStyle name="Normal 12 4 2 3" xfId="13865"/>
    <cellStyle name="Normal 12 4 2 3 2" xfId="13866"/>
    <cellStyle name="Normal 12 4 2 3 2 2" xfId="13867"/>
    <cellStyle name="Normal 12 4 2 3 2 2 2" xfId="21984"/>
    <cellStyle name="Normal 12 4 2 3 2 3" xfId="13868"/>
    <cellStyle name="Normal 12 4 2 3 3" xfId="13869"/>
    <cellStyle name="Normal 12 4 2 3 3 2" xfId="13870"/>
    <cellStyle name="Normal 12 4 2 3 3 2 2" xfId="21985"/>
    <cellStyle name="Normal 12 4 2 3 3 3" xfId="13871"/>
    <cellStyle name="Normal 12 4 2 3 4" xfId="13872"/>
    <cellStyle name="Normal 12 4 2 3 4 2" xfId="21986"/>
    <cellStyle name="Normal 12 4 2 3 5" xfId="13873"/>
    <cellStyle name="Normal 12 4 2 4" xfId="13874"/>
    <cellStyle name="Normal 12 4 2 4 2" xfId="13875"/>
    <cellStyle name="Normal 12 4 2 4 2 2" xfId="21987"/>
    <cellStyle name="Normal 12 4 2 4 3" xfId="13876"/>
    <cellStyle name="Normal 12 4 2 5" xfId="13877"/>
    <cellStyle name="Normal 12 4 2 5 2" xfId="13878"/>
    <cellStyle name="Normal 12 4 2 5 2 2" xfId="21988"/>
    <cellStyle name="Normal 12 4 2 5 3" xfId="13879"/>
    <cellStyle name="Normal 12 4 2 6" xfId="13880"/>
    <cellStyle name="Normal 12 4 2 6 2" xfId="21989"/>
    <cellStyle name="Normal 12 4 2 7" xfId="13881"/>
    <cellStyle name="Normal 12 4 3" xfId="13882"/>
    <cellStyle name="Normal 12 4 3 2" xfId="13883"/>
    <cellStyle name="Normal 12 4 3 2 2" xfId="13884"/>
    <cellStyle name="Normal 12 4 3 2 2 2" xfId="13885"/>
    <cellStyle name="Normal 12 4 3 2 2 2 2" xfId="21990"/>
    <cellStyle name="Normal 12 4 3 2 2 3" xfId="13886"/>
    <cellStyle name="Normal 12 4 3 2 3" xfId="13887"/>
    <cellStyle name="Normal 12 4 3 2 3 2" xfId="13888"/>
    <cellStyle name="Normal 12 4 3 2 3 2 2" xfId="21991"/>
    <cellStyle name="Normal 12 4 3 2 3 3" xfId="13889"/>
    <cellStyle name="Normal 12 4 3 2 4" xfId="13890"/>
    <cellStyle name="Normal 12 4 3 2 4 2" xfId="21992"/>
    <cellStyle name="Normal 12 4 3 2 5" xfId="13891"/>
    <cellStyle name="Normal 12 4 3 3" xfId="13892"/>
    <cellStyle name="Normal 12 4 3 3 2" xfId="13893"/>
    <cellStyle name="Normal 12 4 3 3 2 2" xfId="21993"/>
    <cellStyle name="Normal 12 4 3 3 3" xfId="13894"/>
    <cellStyle name="Normal 12 4 3 4" xfId="13895"/>
    <cellStyle name="Normal 12 4 3 4 2" xfId="13896"/>
    <cellStyle name="Normal 12 4 3 4 2 2" xfId="21994"/>
    <cellStyle name="Normal 12 4 3 4 3" xfId="13897"/>
    <cellStyle name="Normal 12 4 3 5" xfId="13898"/>
    <cellStyle name="Normal 12 4 3 5 2" xfId="21995"/>
    <cellStyle name="Normal 12 4 3 6" xfId="13899"/>
    <cellStyle name="Normal 12 4 3 7" xfId="13900"/>
    <cellStyle name="Normal 12 4 4" xfId="13901"/>
    <cellStyle name="Normal 12 4 4 2" xfId="13902"/>
    <cellStyle name="Normal 12 4 4 2 2" xfId="13903"/>
    <cellStyle name="Normal 12 4 4 2 2 2" xfId="21996"/>
    <cellStyle name="Normal 12 4 4 2 3" xfId="13904"/>
    <cellStyle name="Normal 12 4 4 3" xfId="13905"/>
    <cellStyle name="Normal 12 4 4 3 2" xfId="13906"/>
    <cellStyle name="Normal 12 4 4 3 2 2" xfId="21997"/>
    <cellStyle name="Normal 12 4 4 3 3" xfId="13907"/>
    <cellStyle name="Normal 12 4 4 4" xfId="13908"/>
    <cellStyle name="Normal 12 4 4 4 2" xfId="21998"/>
    <cellStyle name="Normal 12 4 4 5" xfId="13909"/>
    <cellStyle name="Normal 12 4 5" xfId="13910"/>
    <cellStyle name="Normal 12 4 5 2" xfId="13911"/>
    <cellStyle name="Normal 12 4 5 2 2" xfId="21999"/>
    <cellStyle name="Normal 12 4 5 3" xfId="13912"/>
    <cellStyle name="Normal 12 4 6" xfId="13913"/>
    <cellStyle name="Normal 12 4 6 2" xfId="13914"/>
    <cellStyle name="Normal 12 4 6 2 2" xfId="22000"/>
    <cellStyle name="Normal 12 4 6 3" xfId="13915"/>
    <cellStyle name="Normal 12 4 7" xfId="13916"/>
    <cellStyle name="Normal 12 4 7 2" xfId="22001"/>
    <cellStyle name="Normal 12 4 8" xfId="13917"/>
    <cellStyle name="Normal 12 5" xfId="846"/>
    <cellStyle name="Normal 12 5 2" xfId="13918"/>
    <cellStyle name="Normal 12 5 2 2" xfId="13919"/>
    <cellStyle name="Normal 12 5 2 2 2" xfId="13920"/>
    <cellStyle name="Normal 12 5 2 2 2 2" xfId="13921"/>
    <cellStyle name="Normal 12 5 2 2 2 2 2" xfId="22002"/>
    <cellStyle name="Normal 12 5 2 2 2 3" xfId="13922"/>
    <cellStyle name="Normal 12 5 2 2 3" xfId="13923"/>
    <cellStyle name="Normal 12 5 2 2 3 2" xfId="13924"/>
    <cellStyle name="Normal 12 5 2 2 3 2 2" xfId="22003"/>
    <cellStyle name="Normal 12 5 2 2 3 3" xfId="13925"/>
    <cellStyle name="Normal 12 5 2 2 4" xfId="13926"/>
    <cellStyle name="Normal 12 5 2 2 4 2" xfId="22004"/>
    <cellStyle name="Normal 12 5 2 2 5" xfId="13927"/>
    <cellStyle name="Normal 12 5 2 3" xfId="13928"/>
    <cellStyle name="Normal 12 5 2 3 2" xfId="13929"/>
    <cellStyle name="Normal 12 5 2 3 2 2" xfId="22005"/>
    <cellStyle name="Normal 12 5 2 3 3" xfId="13930"/>
    <cellStyle name="Normal 12 5 2 4" xfId="13931"/>
    <cellStyle name="Normal 12 5 2 4 2" xfId="13932"/>
    <cellStyle name="Normal 12 5 2 4 2 2" xfId="22006"/>
    <cellStyle name="Normal 12 5 2 4 3" xfId="13933"/>
    <cellStyle name="Normal 12 5 2 5" xfId="13934"/>
    <cellStyle name="Normal 12 5 2 5 2" xfId="22007"/>
    <cellStyle name="Normal 12 5 2 6" xfId="13935"/>
    <cellStyle name="Normal 12 5 3" xfId="13936"/>
    <cellStyle name="Normal 12 5 3 2" xfId="13937"/>
    <cellStyle name="Normal 12 5 3 2 2" xfId="13938"/>
    <cellStyle name="Normal 12 5 3 2 2 2" xfId="22008"/>
    <cellStyle name="Normal 12 5 3 2 3" xfId="13939"/>
    <cellStyle name="Normal 12 5 3 3" xfId="13940"/>
    <cellStyle name="Normal 12 5 3 3 2" xfId="13941"/>
    <cellStyle name="Normal 12 5 3 3 2 2" xfId="22009"/>
    <cellStyle name="Normal 12 5 3 3 3" xfId="13942"/>
    <cellStyle name="Normal 12 5 3 4" xfId="13943"/>
    <cellStyle name="Normal 12 5 3 4 2" xfId="22010"/>
    <cellStyle name="Normal 12 5 3 5" xfId="13944"/>
    <cellStyle name="Normal 12 5 4" xfId="13945"/>
    <cellStyle name="Normal 12 5 4 2" xfId="13946"/>
    <cellStyle name="Normal 12 5 4 2 2" xfId="22011"/>
    <cellStyle name="Normal 12 5 4 3" xfId="13947"/>
    <cellStyle name="Normal 12 5 5" xfId="13948"/>
    <cellStyle name="Normal 12 5 5 2" xfId="13949"/>
    <cellStyle name="Normal 12 5 5 2 2" xfId="22012"/>
    <cellStyle name="Normal 12 5 5 3" xfId="13950"/>
    <cellStyle name="Normal 12 5 6" xfId="13951"/>
    <cellStyle name="Normal 12 5 6 2" xfId="22013"/>
    <cellStyle name="Normal 12 5 7" xfId="13952"/>
    <cellStyle name="Normal 12 6" xfId="847"/>
    <cellStyle name="Normal 12 6 2" xfId="13953"/>
    <cellStyle name="Normal 12 6 2 2" xfId="13954"/>
    <cellStyle name="Normal 12 6 2 2 2" xfId="13955"/>
    <cellStyle name="Normal 12 6 2 2 2 2" xfId="22014"/>
    <cellStyle name="Normal 12 6 2 2 3" xfId="13956"/>
    <cellStyle name="Normal 12 6 2 3" xfId="13957"/>
    <cellStyle name="Normal 12 6 2 3 2" xfId="13958"/>
    <cellStyle name="Normal 12 6 2 3 2 2" xfId="22015"/>
    <cellStyle name="Normal 12 6 2 3 3" xfId="13959"/>
    <cellStyle name="Normal 12 6 2 4" xfId="13960"/>
    <cellStyle name="Normal 12 6 2 4 2" xfId="22016"/>
    <cellStyle name="Normal 12 6 2 5" xfId="13961"/>
    <cellStyle name="Normal 12 6 3" xfId="13962"/>
    <cellStyle name="Normal 12 6 3 2" xfId="13963"/>
    <cellStyle name="Normal 12 6 3 2 2" xfId="22017"/>
    <cellStyle name="Normal 12 6 3 3" xfId="13964"/>
    <cellStyle name="Normal 12 6 4" xfId="13965"/>
    <cellStyle name="Normal 12 6 4 2" xfId="13966"/>
    <cellStyle name="Normal 12 6 4 2 2" xfId="22018"/>
    <cellStyle name="Normal 12 6 4 3" xfId="13967"/>
    <cellStyle name="Normal 12 6 5" xfId="13968"/>
    <cellStyle name="Normal 12 6 5 2" xfId="22019"/>
    <cellStyle name="Normal 12 6 6" xfId="13969"/>
    <cellStyle name="Normal 12 6 7" xfId="22020"/>
    <cellStyle name="Normal 12 7" xfId="848"/>
    <cellStyle name="Normal 12 7 2" xfId="13970"/>
    <cellStyle name="Normal 12 7 2 2" xfId="13971"/>
    <cellStyle name="Normal 12 7 2 2 2" xfId="22021"/>
    <cellStyle name="Normal 12 7 2 3" xfId="13972"/>
    <cellStyle name="Normal 12 7 2 4" xfId="13973"/>
    <cellStyle name="Normal 12 7 3" xfId="13974"/>
    <cellStyle name="Normal 12 7 3 2" xfId="13975"/>
    <cellStyle name="Normal 12 7 3 2 2" xfId="22022"/>
    <cellStyle name="Normal 12 7 3 3" xfId="13976"/>
    <cellStyle name="Normal 12 7 4" xfId="13977"/>
    <cellStyle name="Normal 12 7 4 2" xfId="22023"/>
    <cellStyle name="Normal 12 7 5" xfId="13978"/>
    <cellStyle name="Normal 12 8" xfId="13979"/>
    <cellStyle name="Normal 12 8 2" xfId="13980"/>
    <cellStyle name="Normal 12 8 2 2" xfId="22024"/>
    <cellStyle name="Normal 12 8 3" xfId="13981"/>
    <cellStyle name="Normal 12 9" xfId="13982"/>
    <cellStyle name="Normal 12 9 2" xfId="13983"/>
    <cellStyle name="Normal 12 9 2 2" xfId="22025"/>
    <cellStyle name="Normal 12 9 3" xfId="13984"/>
    <cellStyle name="Normal 12_2112 2148 Reg Labor" xfId="13985"/>
    <cellStyle name="Normal 120" xfId="849"/>
    <cellStyle name="Normal 120 2" xfId="13986"/>
    <cellStyle name="Normal 121" xfId="850"/>
    <cellStyle name="Normal 121 2" xfId="22026"/>
    <cellStyle name="Normal 122" xfId="851"/>
    <cellStyle name="Normal 122 2" xfId="22027"/>
    <cellStyle name="Normal 123" xfId="852"/>
    <cellStyle name="Normal 123 2" xfId="22028"/>
    <cellStyle name="Normal 124" xfId="853"/>
    <cellStyle name="Normal 124 2" xfId="22029"/>
    <cellStyle name="Normal 125" xfId="439"/>
    <cellStyle name="Normal 125 2" xfId="22030"/>
    <cellStyle name="Normal 126" xfId="443"/>
    <cellStyle name="Normal 126 2" xfId="22031"/>
    <cellStyle name="Normal 127" xfId="441"/>
    <cellStyle name="Normal 127 2" xfId="22032"/>
    <cellStyle name="Normal 128" xfId="2335"/>
    <cellStyle name="Normal 128 2" xfId="13987"/>
    <cellStyle name="Normal 128 3" xfId="22033"/>
    <cellStyle name="Normal 129" xfId="13988"/>
    <cellStyle name="Normal 129 2" xfId="13989"/>
    <cellStyle name="Normal 13" xfId="33"/>
    <cellStyle name="Normal 13 10" xfId="13990"/>
    <cellStyle name="Normal 13 10 2" xfId="22034"/>
    <cellStyle name="Normal 13 11" xfId="13991"/>
    <cellStyle name="Normal 13 12" xfId="22035"/>
    <cellStyle name="Normal 13 2" xfId="259"/>
    <cellStyle name="Normal 13 2 2" xfId="854"/>
    <cellStyle name="Normal 13 2 2 2" xfId="855"/>
    <cellStyle name="Normal 13 2 2 2 2" xfId="856"/>
    <cellStyle name="Normal 13 2 2 2 2 2" xfId="13992"/>
    <cellStyle name="Normal 13 2 2 2 2 2 2" xfId="13993"/>
    <cellStyle name="Normal 13 2 2 2 2 2 2 2" xfId="13994"/>
    <cellStyle name="Normal 13 2 2 2 2 2 2 2 2" xfId="22036"/>
    <cellStyle name="Normal 13 2 2 2 2 2 2 3" xfId="13995"/>
    <cellStyle name="Normal 13 2 2 2 2 2 3" xfId="13996"/>
    <cellStyle name="Normal 13 2 2 2 2 2 3 2" xfId="13997"/>
    <cellStyle name="Normal 13 2 2 2 2 2 3 2 2" xfId="22037"/>
    <cellStyle name="Normal 13 2 2 2 2 2 3 3" xfId="13998"/>
    <cellStyle name="Normal 13 2 2 2 2 2 4" xfId="13999"/>
    <cellStyle name="Normal 13 2 2 2 2 2 4 2" xfId="22038"/>
    <cellStyle name="Normal 13 2 2 2 2 2 5" xfId="14000"/>
    <cellStyle name="Normal 13 2 2 2 2 3" xfId="14001"/>
    <cellStyle name="Normal 13 2 2 2 2 3 2" xfId="14002"/>
    <cellStyle name="Normal 13 2 2 2 2 3 2 2" xfId="22039"/>
    <cellStyle name="Normal 13 2 2 2 2 3 3" xfId="14003"/>
    <cellStyle name="Normal 13 2 2 2 2 4" xfId="14004"/>
    <cellStyle name="Normal 13 2 2 2 2 4 2" xfId="14005"/>
    <cellStyle name="Normal 13 2 2 2 2 4 2 2" xfId="22040"/>
    <cellStyle name="Normal 13 2 2 2 2 4 3" xfId="14006"/>
    <cellStyle name="Normal 13 2 2 2 2 5" xfId="14007"/>
    <cellStyle name="Normal 13 2 2 2 2 5 2" xfId="22041"/>
    <cellStyle name="Normal 13 2 2 2 2 6" xfId="14008"/>
    <cellStyle name="Normal 13 2 2 2 3" xfId="14009"/>
    <cellStyle name="Normal 13 2 2 2 3 2" xfId="14010"/>
    <cellStyle name="Normal 13 2 2 2 3 2 2" xfId="14011"/>
    <cellStyle name="Normal 13 2 2 2 3 2 2 2" xfId="22042"/>
    <cellStyle name="Normal 13 2 2 2 3 2 3" xfId="14012"/>
    <cellStyle name="Normal 13 2 2 2 3 3" xfId="14013"/>
    <cellStyle name="Normal 13 2 2 2 3 3 2" xfId="14014"/>
    <cellStyle name="Normal 13 2 2 2 3 3 2 2" xfId="22043"/>
    <cellStyle name="Normal 13 2 2 2 3 3 3" xfId="14015"/>
    <cellStyle name="Normal 13 2 2 2 3 4" xfId="14016"/>
    <cellStyle name="Normal 13 2 2 2 3 4 2" xfId="22044"/>
    <cellStyle name="Normal 13 2 2 2 3 5" xfId="14017"/>
    <cellStyle name="Normal 13 2 2 2 4" xfId="14018"/>
    <cellStyle name="Normal 13 2 2 2 4 2" xfId="14019"/>
    <cellStyle name="Normal 13 2 2 2 4 2 2" xfId="22045"/>
    <cellStyle name="Normal 13 2 2 2 4 3" xfId="14020"/>
    <cellStyle name="Normal 13 2 2 2 5" xfId="14021"/>
    <cellStyle name="Normal 13 2 2 2 5 2" xfId="14022"/>
    <cellStyle name="Normal 13 2 2 2 5 2 2" xfId="22046"/>
    <cellStyle name="Normal 13 2 2 2 5 3" xfId="14023"/>
    <cellStyle name="Normal 13 2 2 2 6" xfId="14024"/>
    <cellStyle name="Normal 13 2 2 2 6 2" xfId="22047"/>
    <cellStyle name="Normal 13 2 2 2 7" xfId="14025"/>
    <cellStyle name="Normal 13 2 2 2 8" xfId="14026"/>
    <cellStyle name="Normal 13 2 2 3" xfId="857"/>
    <cellStyle name="Normal 13 2 2 3 2" xfId="14027"/>
    <cellStyle name="Normal 13 2 2 3 2 2" xfId="14028"/>
    <cellStyle name="Normal 13 2 2 3 2 2 2" xfId="14029"/>
    <cellStyle name="Normal 13 2 2 3 2 2 2 2" xfId="22048"/>
    <cellStyle name="Normal 13 2 2 3 2 2 3" xfId="14030"/>
    <cellStyle name="Normal 13 2 2 3 2 3" xfId="14031"/>
    <cellStyle name="Normal 13 2 2 3 2 3 2" xfId="14032"/>
    <cellStyle name="Normal 13 2 2 3 2 3 2 2" xfId="22049"/>
    <cellStyle name="Normal 13 2 2 3 2 3 3" xfId="14033"/>
    <cellStyle name="Normal 13 2 2 3 2 4" xfId="14034"/>
    <cellStyle name="Normal 13 2 2 3 2 4 2" xfId="22050"/>
    <cellStyle name="Normal 13 2 2 3 2 5" xfId="14035"/>
    <cellStyle name="Normal 13 2 2 3 2 6" xfId="14036"/>
    <cellStyle name="Normal 13 2 2 3 3" xfId="14037"/>
    <cellStyle name="Normal 13 2 2 3 3 2" xfId="14038"/>
    <cellStyle name="Normal 13 2 2 3 3 2 2" xfId="22051"/>
    <cellStyle name="Normal 13 2 2 3 3 3" xfId="14039"/>
    <cellStyle name="Normal 13 2 2 3 4" xfId="14040"/>
    <cellStyle name="Normal 13 2 2 3 4 2" xfId="14041"/>
    <cellStyle name="Normal 13 2 2 3 4 2 2" xfId="22052"/>
    <cellStyle name="Normal 13 2 2 3 4 3" xfId="14042"/>
    <cellStyle name="Normal 13 2 2 3 5" xfId="14043"/>
    <cellStyle name="Normal 13 2 2 3 5 2" xfId="22053"/>
    <cellStyle name="Normal 13 2 2 3 6" xfId="14044"/>
    <cellStyle name="Normal 13 2 2 4" xfId="14045"/>
    <cellStyle name="Normal 13 2 2 4 2" xfId="14046"/>
    <cellStyle name="Normal 13 2 2 4 2 2" xfId="14047"/>
    <cellStyle name="Normal 13 2 2 4 2 2 2" xfId="22054"/>
    <cellStyle name="Normal 13 2 2 4 2 3" xfId="14048"/>
    <cellStyle name="Normal 13 2 2 4 3" xfId="14049"/>
    <cellStyle name="Normal 13 2 2 4 3 2" xfId="14050"/>
    <cellStyle name="Normal 13 2 2 4 3 2 2" xfId="22055"/>
    <cellStyle name="Normal 13 2 2 4 3 3" xfId="14051"/>
    <cellStyle name="Normal 13 2 2 4 4" xfId="14052"/>
    <cellStyle name="Normal 13 2 2 4 4 2" xfId="22056"/>
    <cellStyle name="Normal 13 2 2 4 5" xfId="14053"/>
    <cellStyle name="Normal 13 2 2 5" xfId="14054"/>
    <cellStyle name="Normal 13 2 2 5 2" xfId="14055"/>
    <cellStyle name="Normal 13 2 2 5 2 2" xfId="22057"/>
    <cellStyle name="Normal 13 2 2 5 3" xfId="14056"/>
    <cellStyle name="Normal 13 2 2 6" xfId="14057"/>
    <cellStyle name="Normal 13 2 2 6 2" xfId="14058"/>
    <cellStyle name="Normal 13 2 2 6 2 2" xfId="22058"/>
    <cellStyle name="Normal 13 2 2 6 3" xfId="14059"/>
    <cellStyle name="Normal 13 2 2 7" xfId="14060"/>
    <cellStyle name="Normal 13 2 2 7 2" xfId="22059"/>
    <cellStyle name="Normal 13 2 2 8" xfId="14061"/>
    <cellStyle name="Normal 13 2 2 9" xfId="22060"/>
    <cellStyle name="Normal 13 2 3" xfId="858"/>
    <cellStyle name="Normal 13 2 3 2" xfId="859"/>
    <cellStyle name="Normal 13 2 3 2 2" xfId="14062"/>
    <cellStyle name="Normal 13 2 3 2 2 2" xfId="14063"/>
    <cellStyle name="Normal 13 2 3 2 2 2 2" xfId="14064"/>
    <cellStyle name="Normal 13 2 3 2 2 2 2 2" xfId="22061"/>
    <cellStyle name="Normal 13 2 3 2 2 2 3" xfId="14065"/>
    <cellStyle name="Normal 13 2 3 2 2 3" xfId="14066"/>
    <cellStyle name="Normal 13 2 3 2 2 3 2" xfId="14067"/>
    <cellStyle name="Normal 13 2 3 2 2 3 2 2" xfId="22062"/>
    <cellStyle name="Normal 13 2 3 2 2 3 3" xfId="14068"/>
    <cellStyle name="Normal 13 2 3 2 2 4" xfId="14069"/>
    <cellStyle name="Normal 13 2 3 2 2 4 2" xfId="22063"/>
    <cellStyle name="Normal 13 2 3 2 2 5" xfId="14070"/>
    <cellStyle name="Normal 13 2 3 2 3" xfId="14071"/>
    <cellStyle name="Normal 13 2 3 2 3 2" xfId="14072"/>
    <cellStyle name="Normal 13 2 3 2 3 2 2" xfId="22064"/>
    <cellStyle name="Normal 13 2 3 2 3 3" xfId="14073"/>
    <cellStyle name="Normal 13 2 3 2 4" xfId="14074"/>
    <cellStyle name="Normal 13 2 3 2 4 2" xfId="14075"/>
    <cellStyle name="Normal 13 2 3 2 4 2 2" xfId="22065"/>
    <cellStyle name="Normal 13 2 3 2 4 3" xfId="14076"/>
    <cellStyle name="Normal 13 2 3 2 5" xfId="14077"/>
    <cellStyle name="Normal 13 2 3 2 5 2" xfId="22066"/>
    <cellStyle name="Normal 13 2 3 2 6" xfId="14078"/>
    <cellStyle name="Normal 13 2 3 3" xfId="14079"/>
    <cellStyle name="Normal 13 2 3 3 2" xfId="14080"/>
    <cellStyle name="Normal 13 2 3 3 2 2" xfId="14081"/>
    <cellStyle name="Normal 13 2 3 3 2 2 2" xfId="22067"/>
    <cellStyle name="Normal 13 2 3 3 2 3" xfId="14082"/>
    <cellStyle name="Normal 13 2 3 3 3" xfId="14083"/>
    <cellStyle name="Normal 13 2 3 3 3 2" xfId="14084"/>
    <cellStyle name="Normal 13 2 3 3 3 2 2" xfId="22068"/>
    <cellStyle name="Normal 13 2 3 3 3 3" xfId="14085"/>
    <cellStyle name="Normal 13 2 3 3 4" xfId="14086"/>
    <cellStyle name="Normal 13 2 3 3 4 2" xfId="22069"/>
    <cellStyle name="Normal 13 2 3 3 5" xfId="14087"/>
    <cellStyle name="Normal 13 2 3 4" xfId="14088"/>
    <cellStyle name="Normal 13 2 3 4 2" xfId="14089"/>
    <cellStyle name="Normal 13 2 3 4 2 2" xfId="22070"/>
    <cellStyle name="Normal 13 2 3 4 3" xfId="14090"/>
    <cellStyle name="Normal 13 2 3 5" xfId="14091"/>
    <cellStyle name="Normal 13 2 3 5 2" xfId="14092"/>
    <cellStyle name="Normal 13 2 3 5 2 2" xfId="22071"/>
    <cellStyle name="Normal 13 2 3 5 3" xfId="14093"/>
    <cellStyle name="Normal 13 2 3 6" xfId="14094"/>
    <cellStyle name="Normal 13 2 3 6 2" xfId="22072"/>
    <cellStyle name="Normal 13 2 3 7" xfId="14095"/>
    <cellStyle name="Normal 13 2 3 8" xfId="22073"/>
    <cellStyle name="Normal 13 2 4" xfId="860"/>
    <cellStyle name="Normal 13 2 4 2" xfId="14096"/>
    <cellStyle name="Normal 13 2 4 2 2" xfId="14097"/>
    <cellStyle name="Normal 13 2 4 2 2 2" xfId="14098"/>
    <cellStyle name="Normal 13 2 4 2 2 2 2" xfId="22074"/>
    <cellStyle name="Normal 13 2 4 2 2 3" xfId="14099"/>
    <cellStyle name="Normal 13 2 4 2 3" xfId="14100"/>
    <cellStyle name="Normal 13 2 4 2 3 2" xfId="14101"/>
    <cellStyle name="Normal 13 2 4 2 3 2 2" xfId="22075"/>
    <cellStyle name="Normal 13 2 4 2 3 3" xfId="14102"/>
    <cellStyle name="Normal 13 2 4 2 4" xfId="14103"/>
    <cellStyle name="Normal 13 2 4 2 4 2" xfId="22076"/>
    <cellStyle name="Normal 13 2 4 2 5" xfId="14104"/>
    <cellStyle name="Normal 13 2 4 3" xfId="14105"/>
    <cellStyle name="Normal 13 2 4 3 2" xfId="14106"/>
    <cellStyle name="Normal 13 2 4 3 2 2" xfId="22077"/>
    <cellStyle name="Normal 13 2 4 3 3" xfId="14107"/>
    <cellStyle name="Normal 13 2 4 4" xfId="14108"/>
    <cellStyle name="Normal 13 2 4 4 2" xfId="14109"/>
    <cellStyle name="Normal 13 2 4 4 2 2" xfId="22078"/>
    <cellStyle name="Normal 13 2 4 4 3" xfId="14110"/>
    <cellStyle name="Normal 13 2 4 5" xfId="14111"/>
    <cellStyle name="Normal 13 2 4 5 2" xfId="22079"/>
    <cellStyle name="Normal 13 2 4 6" xfId="14112"/>
    <cellStyle name="Normal 13 2 5" xfId="14113"/>
    <cellStyle name="Normal 13 2 5 2" xfId="14114"/>
    <cellStyle name="Normal 13 2 5 2 2" xfId="14115"/>
    <cellStyle name="Normal 13 2 5 2 2 2" xfId="22080"/>
    <cellStyle name="Normal 13 2 5 2 3" xfId="14116"/>
    <cellStyle name="Normal 13 2 5 3" xfId="14117"/>
    <cellStyle name="Normal 13 2 5 3 2" xfId="14118"/>
    <cellStyle name="Normal 13 2 5 3 2 2" xfId="22081"/>
    <cellStyle name="Normal 13 2 5 3 3" xfId="14119"/>
    <cellStyle name="Normal 13 2 5 4" xfId="14120"/>
    <cellStyle name="Normal 13 2 5 4 2" xfId="22082"/>
    <cellStyle name="Normal 13 2 5 5" xfId="14121"/>
    <cellStyle name="Normal 13 2 5 6" xfId="14122"/>
    <cellStyle name="Normal 13 2 6" xfId="14123"/>
    <cellStyle name="Normal 13 2 6 2" xfId="14124"/>
    <cellStyle name="Normal 13 2 6 2 2" xfId="22083"/>
    <cellStyle name="Normal 13 2 6 3" xfId="14125"/>
    <cellStyle name="Normal 13 2 7" xfId="14126"/>
    <cellStyle name="Normal 13 2 7 2" xfId="14127"/>
    <cellStyle name="Normal 13 2 7 2 2" xfId="22084"/>
    <cellStyle name="Normal 13 2 7 3" xfId="14128"/>
    <cellStyle name="Normal 13 2 8" xfId="14129"/>
    <cellStyle name="Normal 13 2 8 2" xfId="22085"/>
    <cellStyle name="Normal 13 2 9" xfId="14130"/>
    <cellStyle name="Normal 13 3" xfId="861"/>
    <cellStyle name="Normal 13 3 2" xfId="862"/>
    <cellStyle name="Normal 13 3 2 2" xfId="863"/>
    <cellStyle name="Normal 13 3 2 2 2" xfId="14131"/>
    <cellStyle name="Normal 13 3 2 2 2 2" xfId="14132"/>
    <cellStyle name="Normal 13 3 2 2 2 2 2" xfId="14133"/>
    <cellStyle name="Normal 13 3 2 2 2 2 2 2" xfId="22086"/>
    <cellStyle name="Normal 13 3 2 2 2 2 3" xfId="14134"/>
    <cellStyle name="Normal 13 3 2 2 2 3" xfId="14135"/>
    <cellStyle name="Normal 13 3 2 2 2 3 2" xfId="14136"/>
    <cellStyle name="Normal 13 3 2 2 2 3 2 2" xfId="22087"/>
    <cellStyle name="Normal 13 3 2 2 2 3 3" xfId="14137"/>
    <cellStyle name="Normal 13 3 2 2 2 4" xfId="14138"/>
    <cellStyle name="Normal 13 3 2 2 2 4 2" xfId="22088"/>
    <cellStyle name="Normal 13 3 2 2 2 5" xfId="14139"/>
    <cellStyle name="Normal 13 3 2 2 3" xfId="14140"/>
    <cellStyle name="Normal 13 3 2 2 3 2" xfId="14141"/>
    <cellStyle name="Normal 13 3 2 2 3 2 2" xfId="22089"/>
    <cellStyle name="Normal 13 3 2 2 3 3" xfId="14142"/>
    <cellStyle name="Normal 13 3 2 2 4" xfId="14143"/>
    <cellStyle name="Normal 13 3 2 2 4 2" xfId="14144"/>
    <cellStyle name="Normal 13 3 2 2 4 2 2" xfId="22090"/>
    <cellStyle name="Normal 13 3 2 2 4 3" xfId="14145"/>
    <cellStyle name="Normal 13 3 2 2 5" xfId="14146"/>
    <cellStyle name="Normal 13 3 2 2 5 2" xfId="22091"/>
    <cellStyle name="Normal 13 3 2 2 6" xfId="14147"/>
    <cellStyle name="Normal 13 3 2 3" xfId="14148"/>
    <cellStyle name="Normal 13 3 2 3 2" xfId="14149"/>
    <cellStyle name="Normal 13 3 2 3 2 2" xfId="14150"/>
    <cellStyle name="Normal 13 3 2 3 2 2 2" xfId="22092"/>
    <cellStyle name="Normal 13 3 2 3 2 3" xfId="14151"/>
    <cellStyle name="Normal 13 3 2 3 3" xfId="14152"/>
    <cellStyle name="Normal 13 3 2 3 3 2" xfId="14153"/>
    <cellStyle name="Normal 13 3 2 3 3 2 2" xfId="22093"/>
    <cellStyle name="Normal 13 3 2 3 3 3" xfId="14154"/>
    <cellStyle name="Normal 13 3 2 3 4" xfId="14155"/>
    <cellStyle name="Normal 13 3 2 3 4 2" xfId="22094"/>
    <cellStyle name="Normal 13 3 2 3 5" xfId="14156"/>
    <cellStyle name="Normal 13 3 2 4" xfId="14157"/>
    <cellStyle name="Normal 13 3 2 4 2" xfId="14158"/>
    <cellStyle name="Normal 13 3 2 4 2 2" xfId="22095"/>
    <cellStyle name="Normal 13 3 2 4 3" xfId="14159"/>
    <cellStyle name="Normal 13 3 2 5" xfId="14160"/>
    <cellStyle name="Normal 13 3 2 5 2" xfId="14161"/>
    <cellStyle name="Normal 13 3 2 5 2 2" xfId="22096"/>
    <cellStyle name="Normal 13 3 2 5 3" xfId="14162"/>
    <cellStyle name="Normal 13 3 2 6" xfId="14163"/>
    <cellStyle name="Normal 13 3 2 6 2" xfId="22097"/>
    <cellStyle name="Normal 13 3 2 7" xfId="14164"/>
    <cellStyle name="Normal 13 3 3" xfId="864"/>
    <cellStyle name="Normal 13 3 3 2" xfId="14165"/>
    <cellStyle name="Normal 13 3 3 2 2" xfId="14166"/>
    <cellStyle name="Normal 13 3 3 2 2 2" xfId="14167"/>
    <cellStyle name="Normal 13 3 3 2 2 2 2" xfId="22098"/>
    <cellStyle name="Normal 13 3 3 2 2 3" xfId="14168"/>
    <cellStyle name="Normal 13 3 3 2 3" xfId="14169"/>
    <cellStyle name="Normal 13 3 3 2 3 2" xfId="14170"/>
    <cellStyle name="Normal 13 3 3 2 3 2 2" xfId="22099"/>
    <cellStyle name="Normal 13 3 3 2 3 3" xfId="14171"/>
    <cellStyle name="Normal 13 3 3 2 4" xfId="14172"/>
    <cellStyle name="Normal 13 3 3 2 4 2" xfId="22100"/>
    <cellStyle name="Normal 13 3 3 2 5" xfId="14173"/>
    <cellStyle name="Normal 13 3 3 3" xfId="14174"/>
    <cellStyle name="Normal 13 3 3 3 2" xfId="14175"/>
    <cellStyle name="Normal 13 3 3 3 2 2" xfId="22101"/>
    <cellStyle name="Normal 13 3 3 3 3" xfId="14176"/>
    <cellStyle name="Normal 13 3 3 4" xfId="14177"/>
    <cellStyle name="Normal 13 3 3 4 2" xfId="14178"/>
    <cellStyle name="Normal 13 3 3 4 2 2" xfId="22102"/>
    <cellStyle name="Normal 13 3 3 4 3" xfId="14179"/>
    <cellStyle name="Normal 13 3 3 5" xfId="14180"/>
    <cellStyle name="Normal 13 3 3 5 2" xfId="22103"/>
    <cellStyle name="Normal 13 3 3 6" xfId="14181"/>
    <cellStyle name="Normal 13 3 4" xfId="14182"/>
    <cellStyle name="Normal 13 3 4 2" xfId="14183"/>
    <cellStyle name="Normal 13 3 4 2 2" xfId="14184"/>
    <cellStyle name="Normal 13 3 4 2 2 2" xfId="22104"/>
    <cellStyle name="Normal 13 3 4 2 3" xfId="14185"/>
    <cellStyle name="Normal 13 3 4 3" xfId="14186"/>
    <cellStyle name="Normal 13 3 4 3 2" xfId="14187"/>
    <cellStyle name="Normal 13 3 4 3 2 2" xfId="22105"/>
    <cellStyle name="Normal 13 3 4 3 3" xfId="14188"/>
    <cellStyle name="Normal 13 3 4 4" xfId="14189"/>
    <cellStyle name="Normal 13 3 4 4 2" xfId="22106"/>
    <cellStyle name="Normal 13 3 4 5" xfId="14190"/>
    <cellStyle name="Normal 13 3 4 6" xfId="14191"/>
    <cellStyle name="Normal 13 3 5" xfId="14192"/>
    <cellStyle name="Normal 13 3 5 2" xfId="14193"/>
    <cellStyle name="Normal 13 3 5 2 2" xfId="22107"/>
    <cellStyle name="Normal 13 3 5 3" xfId="14194"/>
    <cellStyle name="Normal 13 3 6" xfId="14195"/>
    <cellStyle name="Normal 13 3 6 2" xfId="14196"/>
    <cellStyle name="Normal 13 3 6 2 2" xfId="22108"/>
    <cellStyle name="Normal 13 3 6 3" xfId="14197"/>
    <cellStyle name="Normal 13 3 7" xfId="14198"/>
    <cellStyle name="Normal 13 3 7 2" xfId="22109"/>
    <cellStyle name="Normal 13 3 8" xfId="14199"/>
    <cellStyle name="Normal 13 3 9" xfId="22110"/>
    <cellStyle name="Normal 13 4" xfId="865"/>
    <cellStyle name="Normal 13 4 2" xfId="866"/>
    <cellStyle name="Normal 13 4 2 2" xfId="14200"/>
    <cellStyle name="Normal 13 4 2 2 2" xfId="14201"/>
    <cellStyle name="Normal 13 4 2 2 2 2" xfId="14202"/>
    <cellStyle name="Normal 13 4 2 2 2 2 2" xfId="14203"/>
    <cellStyle name="Normal 13 4 2 2 2 2 2 2" xfId="22111"/>
    <cellStyle name="Normal 13 4 2 2 2 2 3" xfId="14204"/>
    <cellStyle name="Normal 13 4 2 2 2 3" xfId="14205"/>
    <cellStyle name="Normal 13 4 2 2 2 3 2" xfId="14206"/>
    <cellStyle name="Normal 13 4 2 2 2 3 2 2" xfId="22112"/>
    <cellStyle name="Normal 13 4 2 2 2 3 3" xfId="14207"/>
    <cellStyle name="Normal 13 4 2 2 2 4" xfId="14208"/>
    <cellStyle name="Normal 13 4 2 2 2 4 2" xfId="22113"/>
    <cellStyle name="Normal 13 4 2 2 2 5" xfId="14209"/>
    <cellStyle name="Normal 13 4 2 2 3" xfId="14210"/>
    <cellStyle name="Normal 13 4 2 2 3 2" xfId="14211"/>
    <cellStyle name="Normal 13 4 2 2 3 2 2" xfId="22114"/>
    <cellStyle name="Normal 13 4 2 2 3 3" xfId="14212"/>
    <cellStyle name="Normal 13 4 2 2 4" xfId="14213"/>
    <cellStyle name="Normal 13 4 2 2 4 2" xfId="14214"/>
    <cellStyle name="Normal 13 4 2 2 4 2 2" xfId="22115"/>
    <cellStyle name="Normal 13 4 2 2 4 3" xfId="14215"/>
    <cellStyle name="Normal 13 4 2 2 5" xfId="14216"/>
    <cellStyle name="Normal 13 4 2 2 5 2" xfId="22116"/>
    <cellStyle name="Normal 13 4 2 2 6" xfId="14217"/>
    <cellStyle name="Normal 13 4 2 3" xfId="14218"/>
    <cellStyle name="Normal 13 4 2 3 2" xfId="14219"/>
    <cellStyle name="Normal 13 4 2 3 2 2" xfId="14220"/>
    <cellStyle name="Normal 13 4 2 3 2 2 2" xfId="22117"/>
    <cellStyle name="Normal 13 4 2 3 2 3" xfId="14221"/>
    <cellStyle name="Normal 13 4 2 3 3" xfId="14222"/>
    <cellStyle name="Normal 13 4 2 3 3 2" xfId="14223"/>
    <cellStyle name="Normal 13 4 2 3 3 2 2" xfId="22118"/>
    <cellStyle name="Normal 13 4 2 3 3 3" xfId="14224"/>
    <cellStyle name="Normal 13 4 2 3 4" xfId="14225"/>
    <cellStyle name="Normal 13 4 2 3 4 2" xfId="22119"/>
    <cellStyle name="Normal 13 4 2 3 5" xfId="14226"/>
    <cellStyle name="Normal 13 4 2 4" xfId="14227"/>
    <cellStyle name="Normal 13 4 2 4 2" xfId="14228"/>
    <cellStyle name="Normal 13 4 2 4 2 2" xfId="22120"/>
    <cellStyle name="Normal 13 4 2 4 3" xfId="14229"/>
    <cellStyle name="Normal 13 4 2 5" xfId="14230"/>
    <cellStyle name="Normal 13 4 2 5 2" xfId="14231"/>
    <cellStyle name="Normal 13 4 2 5 2 2" xfId="22121"/>
    <cellStyle name="Normal 13 4 2 5 3" xfId="14232"/>
    <cellStyle name="Normal 13 4 2 6" xfId="14233"/>
    <cellStyle name="Normal 13 4 2 6 2" xfId="22122"/>
    <cellStyle name="Normal 13 4 2 7" xfId="14234"/>
    <cellStyle name="Normal 13 4 3" xfId="14235"/>
    <cellStyle name="Normal 13 4 3 2" xfId="14236"/>
    <cellStyle name="Normal 13 4 3 2 2" xfId="14237"/>
    <cellStyle name="Normal 13 4 3 2 2 2" xfId="14238"/>
    <cellStyle name="Normal 13 4 3 2 2 2 2" xfId="22123"/>
    <cellStyle name="Normal 13 4 3 2 2 3" xfId="14239"/>
    <cellStyle name="Normal 13 4 3 2 3" xfId="14240"/>
    <cellStyle name="Normal 13 4 3 2 3 2" xfId="14241"/>
    <cellStyle name="Normal 13 4 3 2 3 2 2" xfId="22124"/>
    <cellStyle name="Normal 13 4 3 2 3 3" xfId="14242"/>
    <cellStyle name="Normal 13 4 3 2 4" xfId="14243"/>
    <cellStyle name="Normal 13 4 3 2 4 2" xfId="22125"/>
    <cellStyle name="Normal 13 4 3 2 5" xfId="14244"/>
    <cellStyle name="Normal 13 4 3 3" xfId="14245"/>
    <cellStyle name="Normal 13 4 3 3 2" xfId="14246"/>
    <cellStyle name="Normal 13 4 3 3 2 2" xfId="22126"/>
    <cellStyle name="Normal 13 4 3 3 3" xfId="14247"/>
    <cellStyle name="Normal 13 4 3 4" xfId="14248"/>
    <cellStyle name="Normal 13 4 3 4 2" xfId="14249"/>
    <cellStyle name="Normal 13 4 3 4 2 2" xfId="22127"/>
    <cellStyle name="Normal 13 4 3 4 3" xfId="14250"/>
    <cellStyle name="Normal 13 4 3 5" xfId="14251"/>
    <cellStyle name="Normal 13 4 3 5 2" xfId="22128"/>
    <cellStyle name="Normal 13 4 3 6" xfId="14252"/>
    <cellStyle name="Normal 13 4 3 7" xfId="14253"/>
    <cellStyle name="Normal 13 4 4" xfId="14254"/>
    <cellStyle name="Normal 13 4 4 2" xfId="14255"/>
    <cellStyle name="Normal 13 4 4 2 2" xfId="14256"/>
    <cellStyle name="Normal 13 4 4 2 2 2" xfId="22129"/>
    <cellStyle name="Normal 13 4 4 2 3" xfId="14257"/>
    <cellStyle name="Normal 13 4 4 3" xfId="14258"/>
    <cellStyle name="Normal 13 4 4 3 2" xfId="14259"/>
    <cellStyle name="Normal 13 4 4 3 2 2" xfId="22130"/>
    <cellStyle name="Normal 13 4 4 3 3" xfId="14260"/>
    <cellStyle name="Normal 13 4 4 4" xfId="14261"/>
    <cellStyle name="Normal 13 4 4 4 2" xfId="22131"/>
    <cellStyle name="Normal 13 4 4 5" xfId="14262"/>
    <cellStyle name="Normal 13 4 5" xfId="14263"/>
    <cellStyle name="Normal 13 4 5 2" xfId="14264"/>
    <cellStyle name="Normal 13 4 5 2 2" xfId="22132"/>
    <cellStyle name="Normal 13 4 5 3" xfId="14265"/>
    <cellStyle name="Normal 13 4 6" xfId="14266"/>
    <cellStyle name="Normal 13 4 6 2" xfId="14267"/>
    <cellStyle name="Normal 13 4 6 2 2" xfId="22133"/>
    <cellStyle name="Normal 13 4 6 3" xfId="14268"/>
    <cellStyle name="Normal 13 4 7" xfId="14269"/>
    <cellStyle name="Normal 13 4 7 2" xfId="22134"/>
    <cellStyle name="Normal 13 4 8" xfId="14270"/>
    <cellStyle name="Normal 13 5" xfId="867"/>
    <cellStyle name="Normal 13 5 2" xfId="14271"/>
    <cellStyle name="Normal 13 5 2 2" xfId="14272"/>
    <cellStyle name="Normal 13 5 2 2 2" xfId="14273"/>
    <cellStyle name="Normal 13 5 2 2 2 2" xfId="14274"/>
    <cellStyle name="Normal 13 5 2 2 2 2 2" xfId="22135"/>
    <cellStyle name="Normal 13 5 2 2 2 3" xfId="14275"/>
    <cellStyle name="Normal 13 5 2 2 3" xfId="14276"/>
    <cellStyle name="Normal 13 5 2 2 3 2" xfId="14277"/>
    <cellStyle name="Normal 13 5 2 2 3 2 2" xfId="22136"/>
    <cellStyle name="Normal 13 5 2 2 3 3" xfId="14278"/>
    <cellStyle name="Normal 13 5 2 2 4" xfId="14279"/>
    <cellStyle name="Normal 13 5 2 2 4 2" xfId="22137"/>
    <cellStyle name="Normal 13 5 2 2 5" xfId="14280"/>
    <cellStyle name="Normal 13 5 2 3" xfId="14281"/>
    <cellStyle name="Normal 13 5 2 3 2" xfId="14282"/>
    <cellStyle name="Normal 13 5 2 3 2 2" xfId="22138"/>
    <cellStyle name="Normal 13 5 2 3 3" xfId="14283"/>
    <cellStyle name="Normal 13 5 2 4" xfId="14284"/>
    <cellStyle name="Normal 13 5 2 4 2" xfId="14285"/>
    <cellStyle name="Normal 13 5 2 4 2 2" xfId="22139"/>
    <cellStyle name="Normal 13 5 2 4 3" xfId="14286"/>
    <cellStyle name="Normal 13 5 2 5" xfId="14287"/>
    <cellStyle name="Normal 13 5 2 5 2" xfId="22140"/>
    <cellStyle name="Normal 13 5 2 6" xfId="14288"/>
    <cellStyle name="Normal 13 5 3" xfId="14289"/>
    <cellStyle name="Normal 13 5 3 2" xfId="14290"/>
    <cellStyle name="Normal 13 5 3 2 2" xfId="14291"/>
    <cellStyle name="Normal 13 5 3 2 2 2" xfId="22141"/>
    <cellStyle name="Normal 13 5 3 2 3" xfId="14292"/>
    <cellStyle name="Normal 13 5 3 3" xfId="14293"/>
    <cellStyle name="Normal 13 5 3 3 2" xfId="14294"/>
    <cellStyle name="Normal 13 5 3 3 2 2" xfId="22142"/>
    <cellStyle name="Normal 13 5 3 3 3" xfId="14295"/>
    <cellStyle name="Normal 13 5 3 4" xfId="14296"/>
    <cellStyle name="Normal 13 5 3 4 2" xfId="22143"/>
    <cellStyle name="Normal 13 5 3 5" xfId="14297"/>
    <cellStyle name="Normal 13 5 4" xfId="14298"/>
    <cellStyle name="Normal 13 5 4 2" xfId="14299"/>
    <cellStyle name="Normal 13 5 4 2 2" xfId="22144"/>
    <cellStyle name="Normal 13 5 4 3" xfId="14300"/>
    <cellStyle name="Normal 13 5 5" xfId="14301"/>
    <cellStyle name="Normal 13 5 5 2" xfId="14302"/>
    <cellStyle name="Normal 13 5 5 2 2" xfId="22145"/>
    <cellStyle name="Normal 13 5 5 3" xfId="14303"/>
    <cellStyle name="Normal 13 5 6" xfId="14304"/>
    <cellStyle name="Normal 13 5 6 2" xfId="22146"/>
    <cellStyle name="Normal 13 5 7" xfId="14305"/>
    <cellStyle name="Normal 13 6" xfId="868"/>
    <cellStyle name="Normal 13 6 2" xfId="14306"/>
    <cellStyle name="Normal 13 6 2 2" xfId="14307"/>
    <cellStyle name="Normal 13 6 2 2 2" xfId="14308"/>
    <cellStyle name="Normal 13 6 2 2 2 2" xfId="22147"/>
    <cellStyle name="Normal 13 6 2 2 3" xfId="14309"/>
    <cellStyle name="Normal 13 6 2 3" xfId="14310"/>
    <cellStyle name="Normal 13 6 2 3 2" xfId="14311"/>
    <cellStyle name="Normal 13 6 2 3 2 2" xfId="22148"/>
    <cellStyle name="Normal 13 6 2 3 3" xfId="14312"/>
    <cellStyle name="Normal 13 6 2 4" xfId="14313"/>
    <cellStyle name="Normal 13 6 2 4 2" xfId="22149"/>
    <cellStyle name="Normal 13 6 2 5" xfId="14314"/>
    <cellStyle name="Normal 13 6 2 6" xfId="14315"/>
    <cellStyle name="Normal 13 6 3" xfId="14316"/>
    <cellStyle name="Normal 13 6 3 2" xfId="14317"/>
    <cellStyle name="Normal 13 6 3 2 2" xfId="22150"/>
    <cellStyle name="Normal 13 6 3 3" xfId="14318"/>
    <cellStyle name="Normal 13 6 4" xfId="14319"/>
    <cellStyle name="Normal 13 6 4 2" xfId="14320"/>
    <cellStyle name="Normal 13 6 4 2 2" xfId="22151"/>
    <cellStyle name="Normal 13 6 4 3" xfId="14321"/>
    <cellStyle name="Normal 13 6 5" xfId="14322"/>
    <cellStyle name="Normal 13 6 5 2" xfId="22152"/>
    <cellStyle name="Normal 13 6 6" xfId="14323"/>
    <cellStyle name="Normal 13 6 7" xfId="22153"/>
    <cellStyle name="Normal 13 7" xfId="869"/>
    <cellStyle name="Normal 13 7 2" xfId="14324"/>
    <cellStyle name="Normal 13 7 2 2" xfId="14325"/>
    <cellStyle name="Normal 13 7 2 2 2" xfId="22154"/>
    <cellStyle name="Normal 13 7 2 3" xfId="14326"/>
    <cellStyle name="Normal 13 7 2 4" xfId="14327"/>
    <cellStyle name="Normal 13 7 3" xfId="14328"/>
    <cellStyle name="Normal 13 7 3 2" xfId="14329"/>
    <cellStyle name="Normal 13 7 3 2 2" xfId="22155"/>
    <cellStyle name="Normal 13 7 3 3" xfId="14330"/>
    <cellStyle name="Normal 13 7 4" xfId="14331"/>
    <cellStyle name="Normal 13 7 4 2" xfId="22156"/>
    <cellStyle name="Normal 13 7 5" xfId="14332"/>
    <cellStyle name="Normal 13 8" xfId="14333"/>
    <cellStyle name="Normal 13 8 2" xfId="14334"/>
    <cellStyle name="Normal 13 8 2 2" xfId="22157"/>
    <cellStyle name="Normal 13 8 3" xfId="14335"/>
    <cellStyle name="Normal 13 8 4" xfId="14336"/>
    <cellStyle name="Normal 13 9" xfId="14337"/>
    <cellStyle name="Normal 13 9 2" xfId="14338"/>
    <cellStyle name="Normal 13 9 2 2" xfId="22158"/>
    <cellStyle name="Normal 13 9 3" xfId="14339"/>
    <cellStyle name="Normal 13 9 4" xfId="14340"/>
    <cellStyle name="Normal 13_2112 2148 Reg Labor" xfId="14341"/>
    <cellStyle name="Normal 130" xfId="14342"/>
    <cellStyle name="Normal 130 2" xfId="14343"/>
    <cellStyle name="Normal 130 3" xfId="14344"/>
    <cellStyle name="Normal 131" xfId="14345"/>
    <cellStyle name="Normal 131 2" xfId="14346"/>
    <cellStyle name="Normal 132" xfId="14347"/>
    <cellStyle name="Normal 132 2" xfId="14348"/>
    <cellStyle name="Normal 133" xfId="14349"/>
    <cellStyle name="Normal 133 2" xfId="14350"/>
    <cellStyle name="Normal 134" xfId="14351"/>
    <cellStyle name="Normal 134 2" xfId="14352"/>
    <cellStyle name="Normal 135" xfId="14353"/>
    <cellStyle name="Normal 135 2" xfId="14354"/>
    <cellStyle name="Normal 136" xfId="14355"/>
    <cellStyle name="Normal 137" xfId="14356"/>
    <cellStyle name="Normal 138" xfId="14357"/>
    <cellStyle name="Normal 139" xfId="14358"/>
    <cellStyle name="Normal 14" xfId="34"/>
    <cellStyle name="Normal 14 10" xfId="14359"/>
    <cellStyle name="Normal 14 11" xfId="2344"/>
    <cellStyle name="Normal 14 2" xfId="260"/>
    <cellStyle name="Normal 14 2 2" xfId="870"/>
    <cellStyle name="Normal 14 2 2 2" xfId="871"/>
    <cellStyle name="Normal 14 2 2 2 2" xfId="14360"/>
    <cellStyle name="Normal 14 2 2 2 2 2" xfId="14361"/>
    <cellStyle name="Normal 14 2 2 2 2 2 2" xfId="14362"/>
    <cellStyle name="Normal 14 2 2 2 2 2 2 2" xfId="22159"/>
    <cellStyle name="Normal 14 2 2 2 2 2 3" xfId="14363"/>
    <cellStyle name="Normal 14 2 2 2 2 3" xfId="14364"/>
    <cellStyle name="Normal 14 2 2 2 2 3 2" xfId="14365"/>
    <cellStyle name="Normal 14 2 2 2 2 3 2 2" xfId="22160"/>
    <cellStyle name="Normal 14 2 2 2 2 3 3" xfId="14366"/>
    <cellStyle name="Normal 14 2 2 2 2 4" xfId="14367"/>
    <cellStyle name="Normal 14 2 2 2 2 4 2" xfId="22161"/>
    <cellStyle name="Normal 14 2 2 2 2 5" xfId="14368"/>
    <cellStyle name="Normal 14 2 2 2 2 6" xfId="14369"/>
    <cellStyle name="Normal 14 2 2 2 3" xfId="14370"/>
    <cellStyle name="Normal 14 2 2 2 3 2" xfId="14371"/>
    <cellStyle name="Normal 14 2 2 2 3 2 2" xfId="22162"/>
    <cellStyle name="Normal 14 2 2 2 3 3" xfId="14372"/>
    <cellStyle name="Normal 14 2 2 2 4" xfId="14373"/>
    <cellStyle name="Normal 14 2 2 2 4 2" xfId="14374"/>
    <cellStyle name="Normal 14 2 2 2 4 2 2" xfId="22163"/>
    <cellStyle name="Normal 14 2 2 2 4 3" xfId="14375"/>
    <cellStyle name="Normal 14 2 2 2 5" xfId="14376"/>
    <cellStyle name="Normal 14 2 2 2 5 2" xfId="22164"/>
    <cellStyle name="Normal 14 2 2 2 6" xfId="14377"/>
    <cellStyle name="Normal 14 2 2 3" xfId="14378"/>
    <cellStyle name="Normal 14 2 2 3 2" xfId="14379"/>
    <cellStyle name="Normal 14 2 2 3 2 2" xfId="14380"/>
    <cellStyle name="Normal 14 2 2 3 2 2 2" xfId="22165"/>
    <cellStyle name="Normal 14 2 2 3 2 3" xfId="14381"/>
    <cellStyle name="Normal 14 2 2 3 3" xfId="14382"/>
    <cellStyle name="Normal 14 2 2 3 3 2" xfId="14383"/>
    <cellStyle name="Normal 14 2 2 3 3 2 2" xfId="22166"/>
    <cellStyle name="Normal 14 2 2 3 3 3" xfId="14384"/>
    <cellStyle name="Normal 14 2 2 3 4" xfId="14385"/>
    <cellStyle name="Normal 14 2 2 3 4 2" xfId="22167"/>
    <cellStyle name="Normal 14 2 2 3 5" xfId="14386"/>
    <cellStyle name="Normal 14 2 2 4" xfId="14387"/>
    <cellStyle name="Normal 14 2 2 4 2" xfId="14388"/>
    <cellStyle name="Normal 14 2 2 4 2 2" xfId="22168"/>
    <cellStyle name="Normal 14 2 2 4 3" xfId="14389"/>
    <cellStyle name="Normal 14 2 2 5" xfId="14390"/>
    <cellStyle name="Normal 14 2 2 5 2" xfId="14391"/>
    <cellStyle name="Normal 14 2 2 5 2 2" xfId="22169"/>
    <cellStyle name="Normal 14 2 2 5 3" xfId="14392"/>
    <cellStyle name="Normal 14 2 2 6" xfId="14393"/>
    <cellStyle name="Normal 14 2 2 6 2" xfId="22170"/>
    <cellStyle name="Normal 14 2 2 7" xfId="14394"/>
    <cellStyle name="Normal 14 2 2 8" xfId="22171"/>
    <cellStyle name="Normal 14 2 3" xfId="872"/>
    <cellStyle name="Normal 14 2 3 2" xfId="14395"/>
    <cellStyle name="Normal 14 2 3 2 2" xfId="14396"/>
    <cellStyle name="Normal 14 2 3 2 2 2" xfId="14397"/>
    <cellStyle name="Normal 14 2 3 2 2 2 2" xfId="22172"/>
    <cellStyle name="Normal 14 2 3 2 2 3" xfId="14398"/>
    <cellStyle name="Normal 14 2 3 2 3" xfId="14399"/>
    <cellStyle name="Normal 14 2 3 2 3 2" xfId="14400"/>
    <cellStyle name="Normal 14 2 3 2 3 2 2" xfId="22173"/>
    <cellStyle name="Normal 14 2 3 2 3 3" xfId="14401"/>
    <cellStyle name="Normal 14 2 3 2 4" xfId="14402"/>
    <cellStyle name="Normal 14 2 3 2 4 2" xfId="22174"/>
    <cellStyle name="Normal 14 2 3 2 5" xfId="14403"/>
    <cellStyle name="Normal 14 2 3 3" xfId="14404"/>
    <cellStyle name="Normal 14 2 3 3 2" xfId="14405"/>
    <cellStyle name="Normal 14 2 3 3 2 2" xfId="22175"/>
    <cellStyle name="Normal 14 2 3 3 3" xfId="14406"/>
    <cellStyle name="Normal 14 2 3 4" xfId="14407"/>
    <cellStyle name="Normal 14 2 3 4 2" xfId="14408"/>
    <cellStyle name="Normal 14 2 3 4 2 2" xfId="22176"/>
    <cellStyle name="Normal 14 2 3 4 3" xfId="14409"/>
    <cellStyle name="Normal 14 2 3 5" xfId="14410"/>
    <cellStyle name="Normal 14 2 3 5 2" xfId="22177"/>
    <cellStyle name="Normal 14 2 3 6" xfId="14411"/>
    <cellStyle name="Normal 14 2 3 7" xfId="22178"/>
    <cellStyle name="Normal 14 2 4" xfId="14412"/>
    <cellStyle name="Normal 14 2 4 2" xfId="14413"/>
    <cellStyle name="Normal 14 2 4 2 2" xfId="14414"/>
    <cellStyle name="Normal 14 2 4 2 2 2" xfId="22179"/>
    <cellStyle name="Normal 14 2 4 2 3" xfId="14415"/>
    <cellStyle name="Normal 14 2 4 3" xfId="14416"/>
    <cellStyle name="Normal 14 2 4 3 2" xfId="14417"/>
    <cellStyle name="Normal 14 2 4 3 2 2" xfId="22180"/>
    <cellStyle name="Normal 14 2 4 3 3" xfId="14418"/>
    <cellStyle name="Normal 14 2 4 4" xfId="14419"/>
    <cellStyle name="Normal 14 2 4 4 2" xfId="22181"/>
    <cellStyle name="Normal 14 2 4 5" xfId="14420"/>
    <cellStyle name="Normal 14 2 5" xfId="14421"/>
    <cellStyle name="Normal 14 2 5 2" xfId="14422"/>
    <cellStyle name="Normal 14 2 5 2 2" xfId="22182"/>
    <cellStyle name="Normal 14 2 5 3" xfId="14423"/>
    <cellStyle name="Normal 14 2 6" xfId="14424"/>
    <cellStyle name="Normal 14 2 6 2" xfId="14425"/>
    <cellStyle name="Normal 14 2 6 2 2" xfId="22183"/>
    <cellStyle name="Normal 14 2 6 3" xfId="14426"/>
    <cellStyle name="Normal 14 2 7" xfId="14427"/>
    <cellStyle name="Normal 14 2 7 2" xfId="22184"/>
    <cellStyle name="Normal 14 2 8" xfId="14428"/>
    <cellStyle name="Normal 14 3" xfId="873"/>
    <cellStyle name="Normal 14 3 10" xfId="22185"/>
    <cellStyle name="Normal 14 3 2" xfId="874"/>
    <cellStyle name="Normal 14 3 2 2" xfId="14429"/>
    <cellStyle name="Normal 14 3 2 2 2" xfId="14430"/>
    <cellStyle name="Normal 14 3 2 2 2 2" xfId="14431"/>
    <cellStyle name="Normal 14 3 2 2 2 2 2" xfId="14432"/>
    <cellStyle name="Normal 14 3 2 2 2 2 2 2" xfId="22186"/>
    <cellStyle name="Normal 14 3 2 2 2 2 3" xfId="14433"/>
    <cellStyle name="Normal 14 3 2 2 2 3" xfId="14434"/>
    <cellStyle name="Normal 14 3 2 2 2 3 2" xfId="14435"/>
    <cellStyle name="Normal 14 3 2 2 2 3 2 2" xfId="22187"/>
    <cellStyle name="Normal 14 3 2 2 2 3 3" xfId="14436"/>
    <cellStyle name="Normal 14 3 2 2 2 4" xfId="14437"/>
    <cellStyle name="Normal 14 3 2 2 2 4 2" xfId="22188"/>
    <cellStyle name="Normal 14 3 2 2 2 5" xfId="14438"/>
    <cellStyle name="Normal 14 3 2 2 3" xfId="14439"/>
    <cellStyle name="Normal 14 3 2 2 3 2" xfId="14440"/>
    <cellStyle name="Normal 14 3 2 2 3 2 2" xfId="22189"/>
    <cellStyle name="Normal 14 3 2 2 3 3" xfId="14441"/>
    <cellStyle name="Normal 14 3 2 2 4" xfId="14442"/>
    <cellStyle name="Normal 14 3 2 2 4 2" xfId="14443"/>
    <cellStyle name="Normal 14 3 2 2 4 2 2" xfId="22190"/>
    <cellStyle name="Normal 14 3 2 2 4 3" xfId="14444"/>
    <cellStyle name="Normal 14 3 2 2 5" xfId="14445"/>
    <cellStyle name="Normal 14 3 2 2 5 2" xfId="22191"/>
    <cellStyle name="Normal 14 3 2 2 6" xfId="14446"/>
    <cellStyle name="Normal 14 3 2 3" xfId="14447"/>
    <cellStyle name="Normal 14 3 2 3 2" xfId="14448"/>
    <cellStyle name="Normal 14 3 2 3 2 2" xfId="14449"/>
    <cellStyle name="Normal 14 3 2 3 2 2 2" xfId="22192"/>
    <cellStyle name="Normal 14 3 2 3 2 3" xfId="14450"/>
    <cellStyle name="Normal 14 3 2 3 3" xfId="14451"/>
    <cellStyle name="Normal 14 3 2 3 3 2" xfId="14452"/>
    <cellStyle name="Normal 14 3 2 3 3 2 2" xfId="22193"/>
    <cellStyle name="Normal 14 3 2 3 3 3" xfId="14453"/>
    <cellStyle name="Normal 14 3 2 3 4" xfId="14454"/>
    <cellStyle name="Normal 14 3 2 3 4 2" xfId="22194"/>
    <cellStyle name="Normal 14 3 2 3 5" xfId="14455"/>
    <cellStyle name="Normal 14 3 2 4" xfId="14456"/>
    <cellStyle name="Normal 14 3 2 4 2" xfId="14457"/>
    <cellStyle name="Normal 14 3 2 4 2 2" xfId="22195"/>
    <cellStyle name="Normal 14 3 2 4 3" xfId="14458"/>
    <cellStyle name="Normal 14 3 2 5" xfId="14459"/>
    <cellStyle name="Normal 14 3 2 5 2" xfId="14460"/>
    <cellStyle name="Normal 14 3 2 5 2 2" xfId="22196"/>
    <cellStyle name="Normal 14 3 2 5 3" xfId="14461"/>
    <cellStyle name="Normal 14 3 2 6" xfId="14462"/>
    <cellStyle name="Normal 14 3 2 6 2" xfId="22197"/>
    <cellStyle name="Normal 14 3 2 7" xfId="14463"/>
    <cellStyle name="Normal 14 3 3" xfId="14464"/>
    <cellStyle name="Normal 14 3 3 2" xfId="14465"/>
    <cellStyle name="Normal 14 3 3 2 2" xfId="14466"/>
    <cellStyle name="Normal 14 3 3 2 2 2" xfId="14467"/>
    <cellStyle name="Normal 14 3 3 2 2 2 2" xfId="22198"/>
    <cellStyle name="Normal 14 3 3 2 2 3" xfId="14468"/>
    <cellStyle name="Normal 14 3 3 2 3" xfId="14469"/>
    <cellStyle name="Normal 14 3 3 2 3 2" xfId="14470"/>
    <cellStyle name="Normal 14 3 3 2 3 2 2" xfId="22199"/>
    <cellStyle name="Normal 14 3 3 2 3 3" xfId="14471"/>
    <cellStyle name="Normal 14 3 3 2 4" xfId="14472"/>
    <cellStyle name="Normal 14 3 3 2 4 2" xfId="22200"/>
    <cellStyle name="Normal 14 3 3 2 5" xfId="14473"/>
    <cellStyle name="Normal 14 3 3 3" xfId="14474"/>
    <cellStyle name="Normal 14 3 3 3 2" xfId="14475"/>
    <cellStyle name="Normal 14 3 3 3 2 2" xfId="22201"/>
    <cellStyle name="Normal 14 3 3 3 3" xfId="14476"/>
    <cellStyle name="Normal 14 3 3 4" xfId="14477"/>
    <cellStyle name="Normal 14 3 3 4 2" xfId="14478"/>
    <cellStyle name="Normal 14 3 3 4 2 2" xfId="22202"/>
    <cellStyle name="Normal 14 3 3 4 3" xfId="14479"/>
    <cellStyle name="Normal 14 3 3 5" xfId="14480"/>
    <cellStyle name="Normal 14 3 3 5 2" xfId="22203"/>
    <cellStyle name="Normal 14 3 3 6" xfId="14481"/>
    <cellStyle name="Normal 14 3 4" xfId="14482"/>
    <cellStyle name="Normal 14 3 4 2" xfId="14483"/>
    <cellStyle name="Normal 14 3 4 2 2" xfId="14484"/>
    <cellStyle name="Normal 14 3 4 2 2 2" xfId="22204"/>
    <cellStyle name="Normal 14 3 4 2 3" xfId="14485"/>
    <cellStyle name="Normal 14 3 4 3" xfId="14486"/>
    <cellStyle name="Normal 14 3 4 3 2" xfId="14487"/>
    <cellStyle name="Normal 14 3 4 3 2 2" xfId="22205"/>
    <cellStyle name="Normal 14 3 4 3 3" xfId="14488"/>
    <cellStyle name="Normal 14 3 4 4" xfId="14489"/>
    <cellStyle name="Normal 14 3 4 4 2" xfId="22206"/>
    <cellStyle name="Normal 14 3 4 5" xfId="14490"/>
    <cellStyle name="Normal 14 3 5" xfId="14491"/>
    <cellStyle name="Normal 14 3 5 2" xfId="14492"/>
    <cellStyle name="Normal 14 3 5 2 2" xfId="22207"/>
    <cellStyle name="Normal 14 3 5 3" xfId="14493"/>
    <cellStyle name="Normal 14 3 6" xfId="14494"/>
    <cellStyle name="Normal 14 3 6 2" xfId="14495"/>
    <cellStyle name="Normal 14 3 6 2 2" xfId="22208"/>
    <cellStyle name="Normal 14 3 6 3" xfId="14496"/>
    <cellStyle name="Normal 14 3 7" xfId="14497"/>
    <cellStyle name="Normal 14 3 7 2" xfId="22209"/>
    <cellStyle name="Normal 14 3 8" xfId="14498"/>
    <cellStyle name="Normal 14 3 8 2" xfId="22210"/>
    <cellStyle name="Normal 14 3 9" xfId="22211"/>
    <cellStyle name="Normal 14 4" xfId="875"/>
    <cellStyle name="Normal 14 4 2" xfId="14499"/>
    <cellStyle name="Normal 14 4 2 2" xfId="14500"/>
    <cellStyle name="Normal 14 4 2 2 2" xfId="14501"/>
    <cellStyle name="Normal 14 4 2 2 2 2" xfId="14502"/>
    <cellStyle name="Normal 14 4 2 2 2 2 2" xfId="22212"/>
    <cellStyle name="Normal 14 4 2 2 2 3" xfId="14503"/>
    <cellStyle name="Normal 14 4 2 2 3" xfId="14504"/>
    <cellStyle name="Normal 14 4 2 2 3 2" xfId="14505"/>
    <cellStyle name="Normal 14 4 2 2 3 2 2" xfId="22213"/>
    <cellStyle name="Normal 14 4 2 2 3 3" xfId="14506"/>
    <cellStyle name="Normal 14 4 2 2 4" xfId="14507"/>
    <cellStyle name="Normal 14 4 2 2 4 2" xfId="22214"/>
    <cellStyle name="Normal 14 4 2 2 5" xfId="14508"/>
    <cellStyle name="Normal 14 4 2 3" xfId="14509"/>
    <cellStyle name="Normal 14 4 2 3 2" xfId="14510"/>
    <cellStyle name="Normal 14 4 2 3 2 2" xfId="22215"/>
    <cellStyle name="Normal 14 4 2 3 3" xfId="14511"/>
    <cellStyle name="Normal 14 4 2 4" xfId="14512"/>
    <cellStyle name="Normal 14 4 2 4 2" xfId="14513"/>
    <cellStyle name="Normal 14 4 2 4 2 2" xfId="22216"/>
    <cellStyle name="Normal 14 4 2 4 3" xfId="14514"/>
    <cellStyle name="Normal 14 4 2 5" xfId="14515"/>
    <cellStyle name="Normal 14 4 2 5 2" xfId="22217"/>
    <cellStyle name="Normal 14 4 2 6" xfId="14516"/>
    <cellStyle name="Normal 14 4 2 7" xfId="14517"/>
    <cellStyle name="Normal 14 4 3" xfId="14518"/>
    <cellStyle name="Normal 14 4 3 2" xfId="14519"/>
    <cellStyle name="Normal 14 4 3 2 2" xfId="14520"/>
    <cellStyle name="Normal 14 4 3 2 2 2" xfId="22218"/>
    <cellStyle name="Normal 14 4 3 2 3" xfId="14521"/>
    <cellStyle name="Normal 14 4 3 3" xfId="14522"/>
    <cellStyle name="Normal 14 4 3 3 2" xfId="14523"/>
    <cellStyle name="Normal 14 4 3 3 2 2" xfId="22219"/>
    <cellStyle name="Normal 14 4 3 3 3" xfId="14524"/>
    <cellStyle name="Normal 14 4 3 4" xfId="14525"/>
    <cellStyle name="Normal 14 4 3 4 2" xfId="22220"/>
    <cellStyle name="Normal 14 4 3 5" xfId="14526"/>
    <cellStyle name="Normal 14 4 4" xfId="14527"/>
    <cellStyle name="Normal 14 4 4 2" xfId="14528"/>
    <cellStyle name="Normal 14 4 4 2 2" xfId="22221"/>
    <cellStyle name="Normal 14 4 4 3" xfId="14529"/>
    <cellStyle name="Normal 14 4 5" xfId="14530"/>
    <cellStyle name="Normal 14 4 5 2" xfId="14531"/>
    <cellStyle name="Normal 14 4 5 2 2" xfId="22222"/>
    <cellStyle name="Normal 14 4 5 3" xfId="14532"/>
    <cellStyle name="Normal 14 4 6" xfId="14533"/>
    <cellStyle name="Normal 14 4 6 2" xfId="22223"/>
    <cellStyle name="Normal 14 4 7" xfId="14534"/>
    <cellStyle name="Normal 14 4 8" xfId="22224"/>
    <cellStyle name="Normal 14 5" xfId="876"/>
    <cellStyle name="Normal 14 5 2" xfId="14535"/>
    <cellStyle name="Normal 14 5 2 2" xfId="14536"/>
    <cellStyle name="Normal 14 5 2 2 2" xfId="14537"/>
    <cellStyle name="Normal 14 5 2 2 2 2" xfId="22225"/>
    <cellStyle name="Normal 14 5 2 2 3" xfId="14538"/>
    <cellStyle name="Normal 14 5 2 3" xfId="14539"/>
    <cellStyle name="Normal 14 5 2 3 2" xfId="14540"/>
    <cellStyle name="Normal 14 5 2 3 2 2" xfId="22226"/>
    <cellStyle name="Normal 14 5 2 3 3" xfId="14541"/>
    <cellStyle name="Normal 14 5 2 4" xfId="14542"/>
    <cellStyle name="Normal 14 5 2 4 2" xfId="22227"/>
    <cellStyle name="Normal 14 5 2 5" xfId="14543"/>
    <cellStyle name="Normal 14 5 2 6" xfId="14544"/>
    <cellStyle name="Normal 14 5 3" xfId="14545"/>
    <cellStyle name="Normal 14 5 3 2" xfId="14546"/>
    <cellStyle name="Normal 14 5 3 2 2" xfId="22228"/>
    <cellStyle name="Normal 14 5 3 3" xfId="14547"/>
    <cellStyle name="Normal 14 5 4" xfId="14548"/>
    <cellStyle name="Normal 14 5 4 2" xfId="14549"/>
    <cellStyle name="Normal 14 5 4 2 2" xfId="22229"/>
    <cellStyle name="Normal 14 5 4 3" xfId="14550"/>
    <cellStyle name="Normal 14 5 5" xfId="14551"/>
    <cellStyle name="Normal 14 5 5 2" xfId="22230"/>
    <cellStyle name="Normal 14 5 6" xfId="14552"/>
    <cellStyle name="Normal 14 5 7" xfId="22231"/>
    <cellStyle name="Normal 14 6" xfId="14553"/>
    <cellStyle name="Normal 14 6 2" xfId="14554"/>
    <cellStyle name="Normal 14 6 2 2" xfId="14555"/>
    <cellStyle name="Normal 14 6 2 2 2" xfId="22232"/>
    <cellStyle name="Normal 14 6 2 3" xfId="14556"/>
    <cellStyle name="Normal 14 6 3" xfId="14557"/>
    <cellStyle name="Normal 14 6 3 2" xfId="14558"/>
    <cellStyle name="Normal 14 6 3 2 2" xfId="22233"/>
    <cellStyle name="Normal 14 6 3 3" xfId="14559"/>
    <cellStyle name="Normal 14 6 4" xfId="14560"/>
    <cellStyle name="Normal 14 6 4 2" xfId="22234"/>
    <cellStyle name="Normal 14 6 5" xfId="14561"/>
    <cellStyle name="Normal 14 7" xfId="14562"/>
    <cellStyle name="Normal 14 7 2" xfId="14563"/>
    <cellStyle name="Normal 14 7 2 2" xfId="22235"/>
    <cellStyle name="Normal 14 7 3" xfId="14564"/>
    <cellStyle name="Normal 14 7 4" xfId="14565"/>
    <cellStyle name="Normal 14 8" xfId="14566"/>
    <cellStyle name="Normal 14 8 2" xfId="14567"/>
    <cellStyle name="Normal 14 8 2 2" xfId="22236"/>
    <cellStyle name="Normal 14 8 3" xfId="14568"/>
    <cellStyle name="Normal 14 9" xfId="14569"/>
    <cellStyle name="Normal 14 9 2" xfId="22237"/>
    <cellStyle name="Normal 14_2112 2148 Reg Labor" xfId="14570"/>
    <cellStyle name="Normal 140" xfId="14571"/>
    <cellStyle name="Normal 141" xfId="14572"/>
    <cellStyle name="Normal 142" xfId="14573"/>
    <cellStyle name="Normal 143" xfId="14574"/>
    <cellStyle name="Normal 144" xfId="22238"/>
    <cellStyle name="Normal 15" xfId="35"/>
    <cellStyle name="Normal 15 2" xfId="261"/>
    <cellStyle name="Normal 15 2 2" xfId="877"/>
    <cellStyle name="Normal 15 2 2 2" xfId="878"/>
    <cellStyle name="Normal 15 2 2 2 2" xfId="22239"/>
    <cellStyle name="Normal 15 2 2 3" xfId="14575"/>
    <cellStyle name="Normal 15 2 3" xfId="879"/>
    <cellStyle name="Normal 15 2 3 2" xfId="22240"/>
    <cellStyle name="Normal 15 2 4" xfId="14576"/>
    <cellStyle name="Normal 15 3" xfId="880"/>
    <cellStyle name="Normal 15 3 2" xfId="881"/>
    <cellStyle name="Normal 15 3 2 2" xfId="14577"/>
    <cellStyle name="Normal 15 3 3" xfId="14578"/>
    <cellStyle name="Normal 15 3 3 2" xfId="14579"/>
    <cellStyle name="Normal 15 3 4" xfId="22241"/>
    <cellStyle name="Normal 15 3 5" xfId="22242"/>
    <cellStyle name="Normal 15 4" xfId="882"/>
    <cellStyle name="Normal 15 4 2" xfId="14580"/>
    <cellStyle name="Normal 15 4 2 2" xfId="22243"/>
    <cellStyle name="Normal 15 4 3" xfId="22244"/>
    <cellStyle name="Normal 15 4 4" xfId="22245"/>
    <cellStyle name="Normal 15 5" xfId="883"/>
    <cellStyle name="Normal 15 5 2" xfId="14581"/>
    <cellStyle name="Normal 15 5 3" xfId="22246"/>
    <cellStyle name="Normal 15 6" xfId="14582"/>
    <cellStyle name="Normal 15 6 2" xfId="14583"/>
    <cellStyle name="Normal 15 7" xfId="14584"/>
    <cellStyle name="Normal 15 8" xfId="14585"/>
    <cellStyle name="Normal 15 9" xfId="14586"/>
    <cellStyle name="Normal 15_2112 2148 Reg Labor" xfId="14587"/>
    <cellStyle name="Normal 16" xfId="262"/>
    <cellStyle name="Normal 16 10" xfId="14588"/>
    <cellStyle name="Normal 16 11" xfId="22247"/>
    <cellStyle name="Normal 16 2" xfId="263"/>
    <cellStyle name="Normal 16 2 2" xfId="884"/>
    <cellStyle name="Normal 16 2 2 2" xfId="885"/>
    <cellStyle name="Normal 16 2 2 2 2" xfId="22248"/>
    <cellStyle name="Normal 16 2 2 3" xfId="14589"/>
    <cellStyle name="Normal 16 2 3" xfId="1690"/>
    <cellStyle name="Normal 16 2 3 2" xfId="22249"/>
    <cellStyle name="Normal 16 2 4" xfId="14590"/>
    <cellStyle name="Normal 16 3" xfId="886"/>
    <cellStyle name="Normal 16 3 10" xfId="22250"/>
    <cellStyle name="Normal 16 3 2" xfId="887"/>
    <cellStyle name="Normal 16 3 2 2" xfId="888"/>
    <cellStyle name="Normal 16 3 2 2 2" xfId="14591"/>
    <cellStyle name="Normal 16 3 2 2 2 2" xfId="14592"/>
    <cellStyle name="Normal 16 3 2 2 2 2 2" xfId="14593"/>
    <cellStyle name="Normal 16 3 2 2 2 2 2 2" xfId="22251"/>
    <cellStyle name="Normal 16 3 2 2 2 2 3" xfId="14594"/>
    <cellStyle name="Normal 16 3 2 2 2 3" xfId="14595"/>
    <cellStyle name="Normal 16 3 2 2 2 3 2" xfId="14596"/>
    <cellStyle name="Normal 16 3 2 2 2 3 2 2" xfId="22252"/>
    <cellStyle name="Normal 16 3 2 2 2 3 3" xfId="14597"/>
    <cellStyle name="Normal 16 3 2 2 2 4" xfId="14598"/>
    <cellStyle name="Normal 16 3 2 2 2 4 2" xfId="22253"/>
    <cellStyle name="Normal 16 3 2 2 2 5" xfId="14599"/>
    <cellStyle name="Normal 16 3 2 2 3" xfId="14600"/>
    <cellStyle name="Normal 16 3 2 2 3 2" xfId="14601"/>
    <cellStyle name="Normal 16 3 2 2 3 2 2" xfId="22254"/>
    <cellStyle name="Normal 16 3 2 2 3 3" xfId="14602"/>
    <cellStyle name="Normal 16 3 2 2 4" xfId="14603"/>
    <cellStyle name="Normal 16 3 2 2 4 2" xfId="14604"/>
    <cellStyle name="Normal 16 3 2 2 4 2 2" xfId="22255"/>
    <cellStyle name="Normal 16 3 2 2 4 3" xfId="14605"/>
    <cellStyle name="Normal 16 3 2 2 5" xfId="14606"/>
    <cellStyle name="Normal 16 3 2 2 5 2" xfId="22256"/>
    <cellStyle name="Normal 16 3 2 2 6" xfId="14607"/>
    <cellStyle name="Normal 16 3 2 3" xfId="14608"/>
    <cellStyle name="Normal 16 3 2 3 2" xfId="14609"/>
    <cellStyle name="Normal 16 3 2 3 2 2" xfId="14610"/>
    <cellStyle name="Normal 16 3 2 3 2 2 2" xfId="22257"/>
    <cellStyle name="Normal 16 3 2 3 2 3" xfId="14611"/>
    <cellStyle name="Normal 16 3 2 3 3" xfId="14612"/>
    <cellStyle name="Normal 16 3 2 3 3 2" xfId="14613"/>
    <cellStyle name="Normal 16 3 2 3 3 2 2" xfId="22258"/>
    <cellStyle name="Normal 16 3 2 3 3 3" xfId="14614"/>
    <cellStyle name="Normal 16 3 2 3 4" xfId="14615"/>
    <cellStyle name="Normal 16 3 2 3 4 2" xfId="22259"/>
    <cellStyle name="Normal 16 3 2 3 5" xfId="14616"/>
    <cellStyle name="Normal 16 3 2 4" xfId="14617"/>
    <cellStyle name="Normal 16 3 2 4 2" xfId="14618"/>
    <cellStyle name="Normal 16 3 2 4 2 2" xfId="22260"/>
    <cellStyle name="Normal 16 3 2 4 3" xfId="14619"/>
    <cellStyle name="Normal 16 3 2 5" xfId="14620"/>
    <cellStyle name="Normal 16 3 2 5 2" xfId="14621"/>
    <cellStyle name="Normal 16 3 2 5 2 2" xfId="22261"/>
    <cellStyle name="Normal 16 3 2 5 3" xfId="14622"/>
    <cellStyle name="Normal 16 3 2 6" xfId="14623"/>
    <cellStyle name="Normal 16 3 2 6 2" xfId="22262"/>
    <cellStyle name="Normal 16 3 2 7" xfId="14624"/>
    <cellStyle name="Normal 16 3 3" xfId="889"/>
    <cellStyle name="Normal 16 3 3 2" xfId="14625"/>
    <cellStyle name="Normal 16 3 3 2 2" xfId="14626"/>
    <cellStyle name="Normal 16 3 3 2 2 2" xfId="14627"/>
    <cellStyle name="Normal 16 3 3 2 2 2 2" xfId="22263"/>
    <cellStyle name="Normal 16 3 3 2 2 3" xfId="14628"/>
    <cellStyle name="Normal 16 3 3 2 3" xfId="14629"/>
    <cellStyle name="Normal 16 3 3 2 3 2" xfId="14630"/>
    <cellStyle name="Normal 16 3 3 2 3 2 2" xfId="22264"/>
    <cellStyle name="Normal 16 3 3 2 3 3" xfId="14631"/>
    <cellStyle name="Normal 16 3 3 2 4" xfId="14632"/>
    <cellStyle name="Normal 16 3 3 2 4 2" xfId="22265"/>
    <cellStyle name="Normal 16 3 3 2 5" xfId="14633"/>
    <cellStyle name="Normal 16 3 3 3" xfId="14634"/>
    <cellStyle name="Normal 16 3 3 3 2" xfId="14635"/>
    <cellStyle name="Normal 16 3 3 3 2 2" xfId="22266"/>
    <cellStyle name="Normal 16 3 3 3 3" xfId="14636"/>
    <cellStyle name="Normal 16 3 3 4" xfId="14637"/>
    <cellStyle name="Normal 16 3 3 4 2" xfId="14638"/>
    <cellStyle name="Normal 16 3 3 4 2 2" xfId="22267"/>
    <cellStyle name="Normal 16 3 3 4 3" xfId="14639"/>
    <cellStyle name="Normal 16 3 3 5" xfId="14640"/>
    <cellStyle name="Normal 16 3 3 5 2" xfId="22268"/>
    <cellStyle name="Normal 16 3 3 6" xfId="14641"/>
    <cellStyle name="Normal 16 3 4" xfId="14642"/>
    <cellStyle name="Normal 16 3 4 2" xfId="14643"/>
    <cellStyle name="Normal 16 3 4 2 2" xfId="14644"/>
    <cellStyle name="Normal 16 3 4 2 2 2" xfId="22269"/>
    <cellStyle name="Normal 16 3 4 2 3" xfId="14645"/>
    <cellStyle name="Normal 16 3 4 3" xfId="14646"/>
    <cellStyle name="Normal 16 3 4 3 2" xfId="14647"/>
    <cellStyle name="Normal 16 3 4 3 2 2" xfId="22270"/>
    <cellStyle name="Normal 16 3 4 3 3" xfId="14648"/>
    <cellStyle name="Normal 16 3 4 4" xfId="14649"/>
    <cellStyle name="Normal 16 3 4 4 2" xfId="22271"/>
    <cellStyle name="Normal 16 3 4 5" xfId="14650"/>
    <cellStyle name="Normal 16 3 4 6" xfId="14651"/>
    <cellStyle name="Normal 16 3 5" xfId="14652"/>
    <cellStyle name="Normal 16 3 5 2" xfId="14653"/>
    <cellStyle name="Normal 16 3 5 2 2" xfId="22272"/>
    <cellStyle name="Normal 16 3 5 3" xfId="14654"/>
    <cellStyle name="Normal 16 3 6" xfId="14655"/>
    <cellStyle name="Normal 16 3 6 2" xfId="14656"/>
    <cellStyle name="Normal 16 3 6 2 2" xfId="22273"/>
    <cellStyle name="Normal 16 3 6 3" xfId="14657"/>
    <cellStyle name="Normal 16 3 7" xfId="14658"/>
    <cellStyle name="Normal 16 3 7 2" xfId="22274"/>
    <cellStyle name="Normal 16 3 8" xfId="14659"/>
    <cellStyle name="Normal 16 3 8 2" xfId="22275"/>
    <cellStyle name="Normal 16 3 9" xfId="22276"/>
    <cellStyle name="Normal 16 4" xfId="890"/>
    <cellStyle name="Normal 16 4 2" xfId="891"/>
    <cellStyle name="Normal 16 4 2 2" xfId="14660"/>
    <cellStyle name="Normal 16 4 2 2 2" xfId="14661"/>
    <cellStyle name="Normal 16 4 2 2 2 2" xfId="14662"/>
    <cellStyle name="Normal 16 4 2 2 2 2 2" xfId="22277"/>
    <cellStyle name="Normal 16 4 2 2 2 3" xfId="14663"/>
    <cellStyle name="Normal 16 4 2 2 3" xfId="14664"/>
    <cellStyle name="Normal 16 4 2 2 3 2" xfId="14665"/>
    <cellStyle name="Normal 16 4 2 2 3 2 2" xfId="22278"/>
    <cellStyle name="Normal 16 4 2 2 3 3" xfId="14666"/>
    <cellStyle name="Normal 16 4 2 2 4" xfId="14667"/>
    <cellStyle name="Normal 16 4 2 2 4 2" xfId="22279"/>
    <cellStyle name="Normal 16 4 2 2 5" xfId="14668"/>
    <cellStyle name="Normal 16 4 2 3" xfId="14669"/>
    <cellStyle name="Normal 16 4 2 3 2" xfId="14670"/>
    <cellStyle name="Normal 16 4 2 3 2 2" xfId="22280"/>
    <cellStyle name="Normal 16 4 2 3 3" xfId="14671"/>
    <cellStyle name="Normal 16 4 2 4" xfId="14672"/>
    <cellStyle name="Normal 16 4 2 4 2" xfId="14673"/>
    <cellStyle name="Normal 16 4 2 4 2 2" xfId="22281"/>
    <cellStyle name="Normal 16 4 2 4 3" xfId="14674"/>
    <cellStyle name="Normal 16 4 2 5" xfId="14675"/>
    <cellStyle name="Normal 16 4 2 5 2" xfId="22282"/>
    <cellStyle name="Normal 16 4 2 6" xfId="14676"/>
    <cellStyle name="Normal 16 4 3" xfId="14677"/>
    <cellStyle name="Normal 16 4 3 2" xfId="14678"/>
    <cellStyle name="Normal 16 4 3 2 2" xfId="14679"/>
    <cellStyle name="Normal 16 4 3 2 2 2" xfId="22283"/>
    <cellStyle name="Normal 16 4 3 2 3" xfId="14680"/>
    <cellStyle name="Normal 16 4 3 3" xfId="14681"/>
    <cellStyle name="Normal 16 4 3 3 2" xfId="14682"/>
    <cellStyle name="Normal 16 4 3 3 2 2" xfId="22284"/>
    <cellStyle name="Normal 16 4 3 3 3" xfId="14683"/>
    <cellStyle name="Normal 16 4 3 4" xfId="14684"/>
    <cellStyle name="Normal 16 4 3 4 2" xfId="22285"/>
    <cellStyle name="Normal 16 4 3 5" xfId="14685"/>
    <cellStyle name="Normal 16 4 3 6" xfId="14686"/>
    <cellStyle name="Normal 16 4 4" xfId="14687"/>
    <cellStyle name="Normal 16 4 4 2" xfId="14688"/>
    <cellStyle name="Normal 16 4 4 2 2" xfId="22286"/>
    <cellStyle name="Normal 16 4 4 3" xfId="14689"/>
    <cellStyle name="Normal 16 4 5" xfId="14690"/>
    <cellStyle name="Normal 16 4 5 2" xfId="14691"/>
    <cellStyle name="Normal 16 4 5 2 2" xfId="22287"/>
    <cellStyle name="Normal 16 4 5 3" xfId="14692"/>
    <cellStyle name="Normal 16 4 6" xfId="14693"/>
    <cellStyle name="Normal 16 4 6 2" xfId="22288"/>
    <cellStyle name="Normal 16 4 7" xfId="14694"/>
    <cellStyle name="Normal 16 4 8" xfId="14695"/>
    <cellStyle name="Normal 16 5" xfId="892"/>
    <cellStyle name="Normal 16 5 2" xfId="14696"/>
    <cellStyle name="Normal 16 5 2 2" xfId="14697"/>
    <cellStyle name="Normal 16 5 2 2 2" xfId="14698"/>
    <cellStyle name="Normal 16 5 2 2 2 2" xfId="22289"/>
    <cellStyle name="Normal 16 5 2 2 3" xfId="14699"/>
    <cellStyle name="Normal 16 5 2 3" xfId="14700"/>
    <cellStyle name="Normal 16 5 2 3 2" xfId="14701"/>
    <cellStyle name="Normal 16 5 2 3 2 2" xfId="22290"/>
    <cellStyle name="Normal 16 5 2 3 3" xfId="14702"/>
    <cellStyle name="Normal 16 5 2 4" xfId="14703"/>
    <cellStyle name="Normal 16 5 2 4 2" xfId="22291"/>
    <cellStyle name="Normal 16 5 2 5" xfId="14704"/>
    <cellStyle name="Normal 16 5 3" xfId="14705"/>
    <cellStyle name="Normal 16 5 3 2" xfId="14706"/>
    <cellStyle name="Normal 16 5 3 2 2" xfId="22292"/>
    <cellStyle name="Normal 16 5 3 3" xfId="14707"/>
    <cellStyle name="Normal 16 5 4" xfId="14708"/>
    <cellStyle name="Normal 16 5 4 2" xfId="14709"/>
    <cellStyle name="Normal 16 5 4 2 2" xfId="22293"/>
    <cellStyle name="Normal 16 5 4 3" xfId="14710"/>
    <cellStyle name="Normal 16 5 5" xfId="14711"/>
    <cellStyle name="Normal 16 5 5 2" xfId="22294"/>
    <cellStyle name="Normal 16 5 6" xfId="14712"/>
    <cellStyle name="Normal 16 6" xfId="893"/>
    <cellStyle name="Normal 16 6 2" xfId="14713"/>
    <cellStyle name="Normal 16 6 2 2" xfId="14714"/>
    <cellStyle name="Normal 16 6 2 2 2" xfId="22295"/>
    <cellStyle name="Normal 16 6 2 3" xfId="14715"/>
    <cellStyle name="Normal 16 6 3" xfId="14716"/>
    <cellStyle name="Normal 16 6 3 2" xfId="14717"/>
    <cellStyle name="Normal 16 6 3 2 2" xfId="22296"/>
    <cellStyle name="Normal 16 6 3 3" xfId="14718"/>
    <cellStyle name="Normal 16 6 4" xfId="14719"/>
    <cellStyle name="Normal 16 6 4 2" xfId="22297"/>
    <cellStyle name="Normal 16 6 5" xfId="14720"/>
    <cellStyle name="Normal 16 7" xfId="14721"/>
    <cellStyle name="Normal 16 7 2" xfId="14722"/>
    <cellStyle name="Normal 16 7 2 2" xfId="22298"/>
    <cellStyle name="Normal 16 7 3" xfId="14723"/>
    <cellStyle name="Normal 16 8" xfId="14724"/>
    <cellStyle name="Normal 16 8 2" xfId="14725"/>
    <cellStyle name="Normal 16 8 2 2" xfId="22299"/>
    <cellStyle name="Normal 16 8 3" xfId="14726"/>
    <cellStyle name="Normal 16 9" xfId="14727"/>
    <cellStyle name="Normal 16 9 2" xfId="22300"/>
    <cellStyle name="Normal 16_2112 2148 Reg Labor" xfId="14728"/>
    <cellStyle name="Normal 17" xfId="264"/>
    <cellStyle name="Normal 17 2" xfId="265"/>
    <cellStyle name="Normal 17 2 2" xfId="894"/>
    <cellStyle name="Normal 17 2 2 2" xfId="895"/>
    <cellStyle name="Normal 17 2 2 2 2" xfId="22301"/>
    <cellStyle name="Normal 17 2 2 3" xfId="14729"/>
    <cellStyle name="Normal 17 2 3" xfId="1691"/>
    <cellStyle name="Normal 17 2 3 2" xfId="22302"/>
    <cellStyle name="Normal 17 2 4" xfId="14730"/>
    <cellStyle name="Normal 17 3" xfId="896"/>
    <cellStyle name="Normal 17 3 2" xfId="897"/>
    <cellStyle name="Normal 17 3 2 2" xfId="14731"/>
    <cellStyle name="Normal 17 3 3" xfId="14732"/>
    <cellStyle name="Normal 17 3 3 2" xfId="14733"/>
    <cellStyle name="Normal 17 3 4" xfId="22303"/>
    <cellStyle name="Normal 17 3 5" xfId="22304"/>
    <cellStyle name="Normal 17 4" xfId="898"/>
    <cellStyle name="Normal 17 4 2" xfId="14734"/>
    <cellStyle name="Normal 17 4 3" xfId="22305"/>
    <cellStyle name="Normal 17 5" xfId="14735"/>
    <cellStyle name="Normal 17 5 2" xfId="14736"/>
    <cellStyle name="Normal 17 6" xfId="14737"/>
    <cellStyle name="Normal 17_2112 2148 Reg Labor" xfId="14738"/>
    <cellStyle name="Normal 18" xfId="266"/>
    <cellStyle name="Normal 18 10" xfId="14739"/>
    <cellStyle name="Normal 18 10 2" xfId="22306"/>
    <cellStyle name="Normal 18 11" xfId="14740"/>
    <cellStyle name="Normal 18 12" xfId="22307"/>
    <cellStyle name="Normal 18 2" xfId="267"/>
    <cellStyle name="Normal 18 2 2" xfId="899"/>
    <cellStyle name="Normal 18 2 2 2" xfId="900"/>
    <cellStyle name="Normal 18 2 2 2 2" xfId="14741"/>
    <cellStyle name="Normal 18 2 2 2 2 2" xfId="14742"/>
    <cellStyle name="Normal 18 2 2 2 2 2 2" xfId="14743"/>
    <cellStyle name="Normal 18 2 2 2 2 2 2 2" xfId="22308"/>
    <cellStyle name="Normal 18 2 2 2 2 2 3" xfId="14744"/>
    <cellStyle name="Normal 18 2 2 2 2 3" xfId="14745"/>
    <cellStyle name="Normal 18 2 2 2 2 3 2" xfId="14746"/>
    <cellStyle name="Normal 18 2 2 2 2 3 2 2" xfId="22309"/>
    <cellStyle name="Normal 18 2 2 2 2 3 3" xfId="14747"/>
    <cellStyle name="Normal 18 2 2 2 2 4" xfId="14748"/>
    <cellStyle name="Normal 18 2 2 2 2 4 2" xfId="22310"/>
    <cellStyle name="Normal 18 2 2 2 2 5" xfId="14749"/>
    <cellStyle name="Normal 18 2 2 2 3" xfId="14750"/>
    <cellStyle name="Normal 18 2 2 2 3 2" xfId="14751"/>
    <cellStyle name="Normal 18 2 2 2 3 2 2" xfId="22311"/>
    <cellStyle name="Normal 18 2 2 2 3 3" xfId="14752"/>
    <cellStyle name="Normal 18 2 2 2 4" xfId="14753"/>
    <cellStyle name="Normal 18 2 2 2 4 2" xfId="14754"/>
    <cellStyle name="Normal 18 2 2 2 4 2 2" xfId="22312"/>
    <cellStyle name="Normal 18 2 2 2 4 3" xfId="14755"/>
    <cellStyle name="Normal 18 2 2 2 5" xfId="14756"/>
    <cellStyle name="Normal 18 2 2 2 5 2" xfId="22313"/>
    <cellStyle name="Normal 18 2 2 2 6" xfId="14757"/>
    <cellStyle name="Normal 18 2 2 3" xfId="14758"/>
    <cellStyle name="Normal 18 2 2 3 2" xfId="14759"/>
    <cellStyle name="Normal 18 2 2 3 2 2" xfId="14760"/>
    <cellStyle name="Normal 18 2 2 3 2 2 2" xfId="22314"/>
    <cellStyle name="Normal 18 2 2 3 2 3" xfId="14761"/>
    <cellStyle name="Normal 18 2 2 3 3" xfId="14762"/>
    <cellStyle name="Normal 18 2 2 3 3 2" xfId="14763"/>
    <cellStyle name="Normal 18 2 2 3 3 2 2" xfId="22315"/>
    <cellStyle name="Normal 18 2 2 3 3 3" xfId="14764"/>
    <cellStyle name="Normal 18 2 2 3 4" xfId="14765"/>
    <cellStyle name="Normal 18 2 2 3 4 2" xfId="22316"/>
    <cellStyle name="Normal 18 2 2 3 5" xfId="14766"/>
    <cellStyle name="Normal 18 2 2 4" xfId="14767"/>
    <cellStyle name="Normal 18 2 2 4 2" xfId="14768"/>
    <cellStyle name="Normal 18 2 2 4 2 2" xfId="22317"/>
    <cellStyle name="Normal 18 2 2 4 3" xfId="14769"/>
    <cellStyle name="Normal 18 2 2 5" xfId="14770"/>
    <cellStyle name="Normal 18 2 2 5 2" xfId="14771"/>
    <cellStyle name="Normal 18 2 2 5 2 2" xfId="22318"/>
    <cellStyle name="Normal 18 2 2 5 3" xfId="14772"/>
    <cellStyle name="Normal 18 2 2 6" xfId="14773"/>
    <cellStyle name="Normal 18 2 2 6 2" xfId="22319"/>
    <cellStyle name="Normal 18 2 2 7" xfId="14774"/>
    <cellStyle name="Normal 18 2 3" xfId="901"/>
    <cellStyle name="Normal 18 2 3 2" xfId="14775"/>
    <cellStyle name="Normal 18 2 3 2 2" xfId="14776"/>
    <cellStyle name="Normal 18 2 3 2 2 2" xfId="14777"/>
    <cellStyle name="Normal 18 2 3 2 2 2 2" xfId="22320"/>
    <cellStyle name="Normal 18 2 3 2 2 3" xfId="14778"/>
    <cellStyle name="Normal 18 2 3 2 3" xfId="14779"/>
    <cellStyle name="Normal 18 2 3 2 3 2" xfId="14780"/>
    <cellStyle name="Normal 18 2 3 2 3 2 2" xfId="22321"/>
    <cellStyle name="Normal 18 2 3 2 3 3" xfId="14781"/>
    <cellStyle name="Normal 18 2 3 2 4" xfId="14782"/>
    <cellStyle name="Normal 18 2 3 2 4 2" xfId="22322"/>
    <cellStyle name="Normal 18 2 3 2 5" xfId="14783"/>
    <cellStyle name="Normal 18 2 3 3" xfId="14784"/>
    <cellStyle name="Normal 18 2 3 3 2" xfId="14785"/>
    <cellStyle name="Normal 18 2 3 3 2 2" xfId="22323"/>
    <cellStyle name="Normal 18 2 3 3 3" xfId="14786"/>
    <cellStyle name="Normal 18 2 3 4" xfId="14787"/>
    <cellStyle name="Normal 18 2 3 4 2" xfId="14788"/>
    <cellStyle name="Normal 18 2 3 4 2 2" xfId="22324"/>
    <cellStyle name="Normal 18 2 3 4 3" xfId="14789"/>
    <cellStyle name="Normal 18 2 3 5" xfId="14790"/>
    <cellStyle name="Normal 18 2 3 5 2" xfId="22325"/>
    <cellStyle name="Normal 18 2 3 6" xfId="14791"/>
    <cellStyle name="Normal 18 2 4" xfId="14792"/>
    <cellStyle name="Normal 18 2 4 2" xfId="14793"/>
    <cellStyle name="Normal 18 2 4 2 2" xfId="14794"/>
    <cellStyle name="Normal 18 2 4 2 2 2" xfId="22326"/>
    <cellStyle name="Normal 18 2 4 2 3" xfId="14795"/>
    <cellStyle name="Normal 18 2 4 3" xfId="14796"/>
    <cellStyle name="Normal 18 2 4 3 2" xfId="14797"/>
    <cellStyle name="Normal 18 2 4 3 2 2" xfId="22327"/>
    <cellStyle name="Normal 18 2 4 3 3" xfId="14798"/>
    <cellStyle name="Normal 18 2 4 4" xfId="14799"/>
    <cellStyle name="Normal 18 2 4 4 2" xfId="22328"/>
    <cellStyle name="Normal 18 2 4 5" xfId="14800"/>
    <cellStyle name="Normal 18 2 4 6" xfId="14801"/>
    <cellStyle name="Normal 18 2 5" xfId="14802"/>
    <cellStyle name="Normal 18 2 5 2" xfId="14803"/>
    <cellStyle name="Normal 18 2 5 2 2" xfId="22329"/>
    <cellStyle name="Normal 18 2 5 3" xfId="14804"/>
    <cellStyle name="Normal 18 2 6" xfId="14805"/>
    <cellStyle name="Normal 18 2 6 2" xfId="14806"/>
    <cellStyle name="Normal 18 2 6 2 2" xfId="22330"/>
    <cellStyle name="Normal 18 2 6 3" xfId="14807"/>
    <cellStyle name="Normal 18 2 7" xfId="14808"/>
    <cellStyle name="Normal 18 2 7 2" xfId="22331"/>
    <cellStyle name="Normal 18 2 8" xfId="14809"/>
    <cellStyle name="Normal 18 3" xfId="902"/>
    <cellStyle name="Normal 18 3 10" xfId="22332"/>
    <cellStyle name="Normal 18 3 2" xfId="903"/>
    <cellStyle name="Normal 18 3 2 2" xfId="904"/>
    <cellStyle name="Normal 18 3 2 2 2" xfId="14810"/>
    <cellStyle name="Normal 18 3 2 2 2 2" xfId="14811"/>
    <cellStyle name="Normal 18 3 2 2 2 2 2" xfId="14812"/>
    <cellStyle name="Normal 18 3 2 2 2 2 2 2" xfId="22333"/>
    <cellStyle name="Normal 18 3 2 2 2 2 3" xfId="14813"/>
    <cellStyle name="Normal 18 3 2 2 2 3" xfId="14814"/>
    <cellStyle name="Normal 18 3 2 2 2 3 2" xfId="14815"/>
    <cellStyle name="Normal 18 3 2 2 2 3 2 2" xfId="22334"/>
    <cellStyle name="Normal 18 3 2 2 2 3 3" xfId="14816"/>
    <cellStyle name="Normal 18 3 2 2 2 4" xfId="14817"/>
    <cellStyle name="Normal 18 3 2 2 2 4 2" xfId="22335"/>
    <cellStyle name="Normal 18 3 2 2 2 5" xfId="14818"/>
    <cellStyle name="Normal 18 3 2 2 3" xfId="14819"/>
    <cellStyle name="Normal 18 3 2 2 3 2" xfId="14820"/>
    <cellStyle name="Normal 18 3 2 2 3 2 2" xfId="22336"/>
    <cellStyle name="Normal 18 3 2 2 3 3" xfId="14821"/>
    <cellStyle name="Normal 18 3 2 2 4" xfId="14822"/>
    <cellStyle name="Normal 18 3 2 2 4 2" xfId="14823"/>
    <cellStyle name="Normal 18 3 2 2 4 2 2" xfId="22337"/>
    <cellStyle name="Normal 18 3 2 2 4 3" xfId="14824"/>
    <cellStyle name="Normal 18 3 2 2 5" xfId="14825"/>
    <cellStyle name="Normal 18 3 2 2 5 2" xfId="22338"/>
    <cellStyle name="Normal 18 3 2 2 6" xfId="14826"/>
    <cellStyle name="Normal 18 3 2 3" xfId="14827"/>
    <cellStyle name="Normal 18 3 2 3 2" xfId="14828"/>
    <cellStyle name="Normal 18 3 2 3 2 2" xfId="14829"/>
    <cellStyle name="Normal 18 3 2 3 2 2 2" xfId="22339"/>
    <cellStyle name="Normal 18 3 2 3 2 3" xfId="14830"/>
    <cellStyle name="Normal 18 3 2 3 3" xfId="14831"/>
    <cellStyle name="Normal 18 3 2 3 3 2" xfId="14832"/>
    <cellStyle name="Normal 18 3 2 3 3 2 2" xfId="22340"/>
    <cellStyle name="Normal 18 3 2 3 3 3" xfId="14833"/>
    <cellStyle name="Normal 18 3 2 3 4" xfId="14834"/>
    <cellStyle name="Normal 18 3 2 3 4 2" xfId="22341"/>
    <cellStyle name="Normal 18 3 2 3 5" xfId="14835"/>
    <cellStyle name="Normal 18 3 2 4" xfId="14836"/>
    <cellStyle name="Normal 18 3 2 4 2" xfId="14837"/>
    <cellStyle name="Normal 18 3 2 4 2 2" xfId="22342"/>
    <cellStyle name="Normal 18 3 2 4 3" xfId="14838"/>
    <cellStyle name="Normal 18 3 2 5" xfId="14839"/>
    <cellStyle name="Normal 18 3 2 5 2" xfId="14840"/>
    <cellStyle name="Normal 18 3 2 5 2 2" xfId="22343"/>
    <cellStyle name="Normal 18 3 2 5 3" xfId="14841"/>
    <cellStyle name="Normal 18 3 2 6" xfId="14842"/>
    <cellStyle name="Normal 18 3 2 6 2" xfId="22344"/>
    <cellStyle name="Normal 18 3 2 7" xfId="14843"/>
    <cellStyle name="Normal 18 3 3" xfId="905"/>
    <cellStyle name="Normal 18 3 3 2" xfId="14844"/>
    <cellStyle name="Normal 18 3 3 2 2" xfId="14845"/>
    <cellStyle name="Normal 18 3 3 2 2 2" xfId="14846"/>
    <cellStyle name="Normal 18 3 3 2 2 2 2" xfId="22345"/>
    <cellStyle name="Normal 18 3 3 2 2 3" xfId="14847"/>
    <cellStyle name="Normal 18 3 3 2 3" xfId="14848"/>
    <cellStyle name="Normal 18 3 3 2 3 2" xfId="14849"/>
    <cellStyle name="Normal 18 3 3 2 3 2 2" xfId="22346"/>
    <cellStyle name="Normal 18 3 3 2 3 3" xfId="14850"/>
    <cellStyle name="Normal 18 3 3 2 4" xfId="14851"/>
    <cellStyle name="Normal 18 3 3 2 4 2" xfId="22347"/>
    <cellStyle name="Normal 18 3 3 2 5" xfId="14852"/>
    <cellStyle name="Normal 18 3 3 3" xfId="14853"/>
    <cellStyle name="Normal 18 3 3 3 2" xfId="14854"/>
    <cellStyle name="Normal 18 3 3 3 2 2" xfId="22348"/>
    <cellStyle name="Normal 18 3 3 3 3" xfId="14855"/>
    <cellStyle name="Normal 18 3 3 4" xfId="14856"/>
    <cellStyle name="Normal 18 3 3 4 2" xfId="14857"/>
    <cellStyle name="Normal 18 3 3 4 2 2" xfId="22349"/>
    <cellStyle name="Normal 18 3 3 4 3" xfId="14858"/>
    <cellStyle name="Normal 18 3 3 5" xfId="14859"/>
    <cellStyle name="Normal 18 3 3 5 2" xfId="22350"/>
    <cellStyle name="Normal 18 3 3 6" xfId="14860"/>
    <cellStyle name="Normal 18 3 4" xfId="14861"/>
    <cellStyle name="Normal 18 3 4 2" xfId="14862"/>
    <cellStyle name="Normal 18 3 4 2 2" xfId="14863"/>
    <cellStyle name="Normal 18 3 4 2 2 2" xfId="22351"/>
    <cellStyle name="Normal 18 3 4 2 3" xfId="14864"/>
    <cellStyle name="Normal 18 3 4 3" xfId="14865"/>
    <cellStyle name="Normal 18 3 4 3 2" xfId="14866"/>
    <cellStyle name="Normal 18 3 4 3 2 2" xfId="22352"/>
    <cellStyle name="Normal 18 3 4 3 3" xfId="14867"/>
    <cellStyle name="Normal 18 3 4 4" xfId="14868"/>
    <cellStyle name="Normal 18 3 4 4 2" xfId="22353"/>
    <cellStyle name="Normal 18 3 4 5" xfId="14869"/>
    <cellStyle name="Normal 18 3 4 6" xfId="14870"/>
    <cellStyle name="Normal 18 3 5" xfId="14871"/>
    <cellStyle name="Normal 18 3 5 2" xfId="14872"/>
    <cellStyle name="Normal 18 3 5 2 2" xfId="22354"/>
    <cellStyle name="Normal 18 3 5 3" xfId="14873"/>
    <cellStyle name="Normal 18 3 6" xfId="14874"/>
    <cellStyle name="Normal 18 3 6 2" xfId="14875"/>
    <cellStyle name="Normal 18 3 6 2 2" xfId="22355"/>
    <cellStyle name="Normal 18 3 6 3" xfId="14876"/>
    <cellStyle name="Normal 18 3 7" xfId="14877"/>
    <cellStyle name="Normal 18 3 7 2" xfId="22356"/>
    <cellStyle name="Normal 18 3 8" xfId="14878"/>
    <cellStyle name="Normal 18 3 8 2" xfId="22357"/>
    <cellStyle name="Normal 18 3 9" xfId="22358"/>
    <cellStyle name="Normal 18 4" xfId="906"/>
    <cellStyle name="Normal 18 4 2" xfId="907"/>
    <cellStyle name="Normal 18 4 2 2" xfId="22359"/>
    <cellStyle name="Normal 18 4 3" xfId="14879"/>
    <cellStyle name="Normal 18 4 4" xfId="22360"/>
    <cellStyle name="Normal 18 5" xfId="908"/>
    <cellStyle name="Normal 18 5 2" xfId="909"/>
    <cellStyle name="Normal 18 5 2 2" xfId="14880"/>
    <cellStyle name="Normal 18 5 2 2 2" xfId="14881"/>
    <cellStyle name="Normal 18 5 2 2 2 2" xfId="14882"/>
    <cellStyle name="Normal 18 5 2 2 2 2 2" xfId="22361"/>
    <cellStyle name="Normal 18 5 2 2 2 3" xfId="14883"/>
    <cellStyle name="Normal 18 5 2 2 3" xfId="14884"/>
    <cellStyle name="Normal 18 5 2 2 3 2" xfId="14885"/>
    <cellStyle name="Normal 18 5 2 2 3 2 2" xfId="22362"/>
    <cellStyle name="Normal 18 5 2 2 3 3" xfId="14886"/>
    <cellStyle name="Normal 18 5 2 2 4" xfId="14887"/>
    <cellStyle name="Normal 18 5 2 2 4 2" xfId="22363"/>
    <cellStyle name="Normal 18 5 2 2 5" xfId="14888"/>
    <cellStyle name="Normal 18 5 2 3" xfId="14889"/>
    <cellStyle name="Normal 18 5 2 3 2" xfId="14890"/>
    <cellStyle name="Normal 18 5 2 3 2 2" xfId="22364"/>
    <cellStyle name="Normal 18 5 2 3 3" xfId="14891"/>
    <cellStyle name="Normal 18 5 2 4" xfId="14892"/>
    <cellStyle name="Normal 18 5 2 4 2" xfId="14893"/>
    <cellStyle name="Normal 18 5 2 4 2 2" xfId="22365"/>
    <cellStyle name="Normal 18 5 2 4 3" xfId="14894"/>
    <cellStyle name="Normal 18 5 2 5" xfId="14895"/>
    <cellStyle name="Normal 18 5 2 5 2" xfId="22366"/>
    <cellStyle name="Normal 18 5 2 6" xfId="14896"/>
    <cellStyle name="Normal 18 5 3" xfId="14897"/>
    <cellStyle name="Normal 18 5 3 2" xfId="14898"/>
    <cellStyle name="Normal 18 5 3 2 2" xfId="14899"/>
    <cellStyle name="Normal 18 5 3 2 2 2" xfId="22367"/>
    <cellStyle name="Normal 18 5 3 2 3" xfId="14900"/>
    <cellStyle name="Normal 18 5 3 3" xfId="14901"/>
    <cellStyle name="Normal 18 5 3 3 2" xfId="14902"/>
    <cellStyle name="Normal 18 5 3 3 2 2" xfId="22368"/>
    <cellStyle name="Normal 18 5 3 3 3" xfId="14903"/>
    <cellStyle name="Normal 18 5 3 4" xfId="14904"/>
    <cellStyle name="Normal 18 5 3 4 2" xfId="22369"/>
    <cellStyle name="Normal 18 5 3 5" xfId="14905"/>
    <cellStyle name="Normal 18 5 4" xfId="14906"/>
    <cellStyle name="Normal 18 5 4 2" xfId="14907"/>
    <cellStyle name="Normal 18 5 4 2 2" xfId="22370"/>
    <cellStyle name="Normal 18 5 4 3" xfId="14908"/>
    <cellStyle name="Normal 18 5 5" xfId="14909"/>
    <cellStyle name="Normal 18 5 5 2" xfId="14910"/>
    <cellStyle name="Normal 18 5 5 2 2" xfId="22371"/>
    <cellStyle name="Normal 18 5 5 3" xfId="14911"/>
    <cellStyle name="Normal 18 5 6" xfId="14912"/>
    <cellStyle name="Normal 18 5 6 2" xfId="22372"/>
    <cellStyle name="Normal 18 5 7" xfId="14913"/>
    <cellStyle name="Normal 18 6" xfId="910"/>
    <cellStyle name="Normal 18 6 2" xfId="14914"/>
    <cellStyle name="Normal 18 6 2 2" xfId="14915"/>
    <cellStyle name="Normal 18 6 2 2 2" xfId="14916"/>
    <cellStyle name="Normal 18 6 2 2 2 2" xfId="22373"/>
    <cellStyle name="Normal 18 6 2 2 3" xfId="14917"/>
    <cellStyle name="Normal 18 6 2 3" xfId="14918"/>
    <cellStyle name="Normal 18 6 2 3 2" xfId="14919"/>
    <cellStyle name="Normal 18 6 2 3 2 2" xfId="22374"/>
    <cellStyle name="Normal 18 6 2 3 3" xfId="14920"/>
    <cellStyle name="Normal 18 6 2 4" xfId="14921"/>
    <cellStyle name="Normal 18 6 2 4 2" xfId="22375"/>
    <cellStyle name="Normal 18 6 2 5" xfId="14922"/>
    <cellStyle name="Normal 18 6 3" xfId="14923"/>
    <cellStyle name="Normal 18 6 3 2" xfId="14924"/>
    <cellStyle name="Normal 18 6 3 2 2" xfId="22376"/>
    <cellStyle name="Normal 18 6 3 3" xfId="14925"/>
    <cellStyle name="Normal 18 6 4" xfId="14926"/>
    <cellStyle name="Normal 18 6 4 2" xfId="14927"/>
    <cellStyle name="Normal 18 6 4 2 2" xfId="22377"/>
    <cellStyle name="Normal 18 6 4 3" xfId="14928"/>
    <cellStyle name="Normal 18 6 5" xfId="14929"/>
    <cellStyle name="Normal 18 6 5 2" xfId="22378"/>
    <cellStyle name="Normal 18 6 6" xfId="14930"/>
    <cellStyle name="Normal 18 7" xfId="911"/>
    <cellStyle name="Normal 18 7 2" xfId="14931"/>
    <cellStyle name="Normal 18 7 2 2" xfId="14932"/>
    <cellStyle name="Normal 18 7 2 2 2" xfId="22379"/>
    <cellStyle name="Normal 18 7 2 3" xfId="14933"/>
    <cellStyle name="Normal 18 7 3" xfId="14934"/>
    <cellStyle name="Normal 18 7 3 2" xfId="14935"/>
    <cellStyle name="Normal 18 7 3 2 2" xfId="22380"/>
    <cellStyle name="Normal 18 7 3 3" xfId="14936"/>
    <cellStyle name="Normal 18 7 4" xfId="14937"/>
    <cellStyle name="Normal 18 7 4 2" xfId="22381"/>
    <cellStyle name="Normal 18 7 5" xfId="14938"/>
    <cellStyle name="Normal 18 8" xfId="14939"/>
    <cellStyle name="Normal 18 8 2" xfId="14940"/>
    <cellStyle name="Normal 18 8 2 2" xfId="22382"/>
    <cellStyle name="Normal 18 8 3" xfId="14941"/>
    <cellStyle name="Normal 18 9" xfId="14942"/>
    <cellStyle name="Normal 18 9 2" xfId="14943"/>
    <cellStyle name="Normal 18 9 2 2" xfId="22383"/>
    <cellStyle name="Normal 18 9 3" xfId="14944"/>
    <cellStyle name="Normal 18_2112 2148 Reg Labor" xfId="14945"/>
    <cellStyle name="Normal 19" xfId="268"/>
    <cellStyle name="Normal 19 2" xfId="269"/>
    <cellStyle name="Normal 19 2 2" xfId="912"/>
    <cellStyle name="Normal 19 2 2 2" xfId="22384"/>
    <cellStyle name="Normal 19 2 3" xfId="1692"/>
    <cellStyle name="Normal 19 2 3 2" xfId="22385"/>
    <cellStyle name="Normal 19 2 4" xfId="14946"/>
    <cellStyle name="Normal 19 3" xfId="913"/>
    <cellStyle name="Normal 19 3 2" xfId="914"/>
    <cellStyle name="Normal 19 3 2 2" xfId="14947"/>
    <cellStyle name="Normal 19 3 3" xfId="14948"/>
    <cellStyle name="Normal 19 3 3 2" xfId="14949"/>
    <cellStyle name="Normal 19 3 4" xfId="22386"/>
    <cellStyle name="Normal 19 3 5" xfId="22387"/>
    <cellStyle name="Normal 19 4" xfId="915"/>
    <cellStyle name="Normal 19 4 2" xfId="14950"/>
    <cellStyle name="Normal 19 4 3" xfId="22388"/>
    <cellStyle name="Normal 19 5" xfId="1693"/>
    <cellStyle name="Normal 19 5 2" xfId="14951"/>
    <cellStyle name="Normal 19 6" xfId="1694"/>
    <cellStyle name="Normal 19 6 2" xfId="22389"/>
    <cellStyle name="Normal 19 7" xfId="14952"/>
    <cellStyle name="Normal 19 8" xfId="22390"/>
    <cellStyle name="Normal 19_2112 2148 Reg Labor" xfId="14953"/>
    <cellStyle name="Normal 2" xfId="7"/>
    <cellStyle name="Normal 2 10" xfId="270"/>
    <cellStyle name="Normal 2 10 2" xfId="1695"/>
    <cellStyle name="Normal 2 10 2 2" xfId="14954"/>
    <cellStyle name="Normal 2 10 2 2 2" xfId="22391"/>
    <cellStyle name="Normal 2 10 2 3" xfId="22392"/>
    <cellStyle name="Normal 2 10 3" xfId="1696"/>
    <cellStyle name="Normal 2 10 3 2" xfId="22393"/>
    <cellStyle name="Normal 2 10 4" xfId="1697"/>
    <cellStyle name="Normal 2 10 4 2" xfId="22394"/>
    <cellStyle name="Normal 2 10 5" xfId="14955"/>
    <cellStyle name="Normal 2 10 5 2" xfId="22395"/>
    <cellStyle name="Normal 2 10 6" xfId="14956"/>
    <cellStyle name="Normal 2 10 7" xfId="22396"/>
    <cellStyle name="Normal 2 11" xfId="271"/>
    <cellStyle name="Normal 2 11 2" xfId="436"/>
    <cellStyle name="Normal 2 11 2 2" xfId="22397"/>
    <cellStyle name="Normal 2 11 3" xfId="14957"/>
    <cellStyle name="Normal 2 11 3 2" xfId="22398"/>
    <cellStyle name="Normal 2 11 4" xfId="22399"/>
    <cellStyle name="Normal 2 11 5" xfId="22400"/>
    <cellStyle name="Normal 2 12" xfId="916"/>
    <cellStyle name="Normal 2 12 2" xfId="14958"/>
    <cellStyle name="Normal 2 12 2 2" xfId="14959"/>
    <cellStyle name="Normal 2 12 3" xfId="22401"/>
    <cellStyle name="Normal 2 13" xfId="1698"/>
    <cellStyle name="Normal 2 13 2" xfId="22402"/>
    <cellStyle name="Normal 2 14" xfId="1699"/>
    <cellStyle name="Normal 2 14 2" xfId="22403"/>
    <cellStyle name="Normal 2 15" xfId="1700"/>
    <cellStyle name="Normal 2 15 2" xfId="22404"/>
    <cellStyle name="Normal 2 16" xfId="1701"/>
    <cellStyle name="Normal 2 16 2" xfId="22405"/>
    <cellStyle name="Normal 2 17" xfId="1702"/>
    <cellStyle name="Normal 2 17 2" xfId="22406"/>
    <cellStyle name="Normal 2 18" xfId="14960"/>
    <cellStyle name="Normal 2 19" xfId="22407"/>
    <cellStyle name="Normal 2 2" xfId="36"/>
    <cellStyle name="Normal 2 2 10" xfId="1703"/>
    <cellStyle name="Normal 2 2 10 2" xfId="22408"/>
    <cellStyle name="Normal 2 2 11" xfId="1704"/>
    <cellStyle name="Normal 2 2 11 2" xfId="22409"/>
    <cellStyle name="Normal 2 2 12" xfId="14961"/>
    <cellStyle name="Normal 2 2 13" xfId="2343"/>
    <cellStyle name="Normal 2 2 2" xfId="37"/>
    <cellStyle name="Normal 2 2 2 10" xfId="14962"/>
    <cellStyle name="Normal 2 2 2 11" xfId="22410"/>
    <cellStyle name="Normal 2 2 2 2" xfId="272"/>
    <cellStyle name="Normal 2 2 2 2 2" xfId="1705"/>
    <cellStyle name="Normal 2 2 2 2 2 2" xfId="1706"/>
    <cellStyle name="Normal 2 2 2 2 2 2 2" xfId="1707"/>
    <cellStyle name="Normal 2 2 2 2 2 2 2 2" xfId="22411"/>
    <cellStyle name="Normal 2 2 2 2 2 2 3" xfId="1708"/>
    <cellStyle name="Normal 2 2 2 2 2 2 3 2" xfId="22412"/>
    <cellStyle name="Normal 2 2 2 2 2 2 4" xfId="22413"/>
    <cellStyle name="Normal 2 2 2 2 2 3" xfId="1709"/>
    <cellStyle name="Normal 2 2 2 2 2 3 2" xfId="1710"/>
    <cellStyle name="Normal 2 2 2 2 2 3 2 2" xfId="22414"/>
    <cellStyle name="Normal 2 2 2 2 2 3 3" xfId="1711"/>
    <cellStyle name="Normal 2 2 2 2 2 3 3 2" xfId="22415"/>
    <cellStyle name="Normal 2 2 2 2 2 3 4" xfId="22416"/>
    <cellStyle name="Normal 2 2 2 2 2 4" xfId="1712"/>
    <cellStyle name="Normal 2 2 2 2 2 4 2" xfId="22417"/>
    <cellStyle name="Normal 2 2 2 2 2 5" xfId="1713"/>
    <cellStyle name="Normal 2 2 2 2 2 5 2" xfId="22418"/>
    <cellStyle name="Normal 2 2 2 2 2 6" xfId="2345"/>
    <cellStyle name="Normal 2 2 2 2 3" xfId="1714"/>
    <cellStyle name="Normal 2 2 2 2 3 2" xfId="1715"/>
    <cellStyle name="Normal 2 2 2 2 3 2 2" xfId="22419"/>
    <cellStyle name="Normal 2 2 2 2 3 3" xfId="1716"/>
    <cellStyle name="Normal 2 2 2 2 3 3 2" xfId="22420"/>
    <cellStyle name="Normal 2 2 2 2 3 4" xfId="1717"/>
    <cellStyle name="Normal 2 2 2 2 3 4 2" xfId="22421"/>
    <cellStyle name="Normal 2 2 2 2 3 5" xfId="1718"/>
    <cellStyle name="Normal 2 2 2 2 3 5 2" xfId="22422"/>
    <cellStyle name="Normal 2 2 2 2 3 6" xfId="22423"/>
    <cellStyle name="Normal 2 2 2 2 4" xfId="1719"/>
    <cellStyle name="Normal 2 2 2 2 4 2" xfId="1720"/>
    <cellStyle name="Normal 2 2 2 2 4 2 2" xfId="22424"/>
    <cellStyle name="Normal 2 2 2 2 4 3" xfId="1721"/>
    <cellStyle name="Normal 2 2 2 2 4 3 2" xfId="22425"/>
    <cellStyle name="Normal 2 2 2 2 4 4" xfId="22426"/>
    <cellStyle name="Normal 2 2 2 2 5" xfId="1722"/>
    <cellStyle name="Normal 2 2 2 2 5 2" xfId="1723"/>
    <cellStyle name="Normal 2 2 2 2 5 2 2" xfId="22427"/>
    <cellStyle name="Normal 2 2 2 2 5 3" xfId="1724"/>
    <cellStyle name="Normal 2 2 2 2 5 3 2" xfId="22428"/>
    <cellStyle name="Normal 2 2 2 2 5 4" xfId="22429"/>
    <cellStyle name="Normal 2 2 2 2 6" xfId="1725"/>
    <cellStyle name="Normal 2 2 2 2 6 2" xfId="22430"/>
    <cellStyle name="Normal 2 2 2 2 7" xfId="1726"/>
    <cellStyle name="Normal 2 2 2 2 7 2" xfId="22431"/>
    <cellStyle name="Normal 2 2 2 2 8" xfId="22432"/>
    <cellStyle name="Normal 2 2 2 2 9" xfId="22433"/>
    <cellStyle name="Normal 2 2 2 2_District-Division Listing" xfId="21449"/>
    <cellStyle name="Normal 2 2 2 3" xfId="1727"/>
    <cellStyle name="Normal 2 2 2 3 2" xfId="1728"/>
    <cellStyle name="Normal 2 2 2 3 2 2" xfId="1729"/>
    <cellStyle name="Normal 2 2 2 3 2 2 2" xfId="22434"/>
    <cellStyle name="Normal 2 2 2 3 2 3" xfId="1730"/>
    <cellStyle name="Normal 2 2 2 3 2 3 2" xfId="22435"/>
    <cellStyle name="Normal 2 2 2 3 2 4" xfId="22436"/>
    <cellStyle name="Normal 2 2 2 3 3" xfId="1731"/>
    <cellStyle name="Normal 2 2 2 3 3 2" xfId="1732"/>
    <cellStyle name="Normal 2 2 2 3 3 2 2" xfId="22437"/>
    <cellStyle name="Normal 2 2 2 3 3 3" xfId="1733"/>
    <cellStyle name="Normal 2 2 2 3 3 3 2" xfId="22438"/>
    <cellStyle name="Normal 2 2 2 3 3 4" xfId="22439"/>
    <cellStyle name="Normal 2 2 2 3 4" xfId="1734"/>
    <cellStyle name="Normal 2 2 2 3 4 2" xfId="22440"/>
    <cellStyle name="Normal 2 2 2 3 5" xfId="1735"/>
    <cellStyle name="Normal 2 2 2 3 5 2" xfId="22441"/>
    <cellStyle name="Normal 2 2 2 3 6" xfId="22442"/>
    <cellStyle name="Normal 2 2 2 4" xfId="1736"/>
    <cellStyle name="Normal 2 2 2 4 2" xfId="1737"/>
    <cellStyle name="Normal 2 2 2 4 2 2" xfId="22443"/>
    <cellStyle name="Normal 2 2 2 4 3" xfId="1738"/>
    <cellStyle name="Normal 2 2 2 4 3 2" xfId="22444"/>
    <cellStyle name="Normal 2 2 2 4 4" xfId="1739"/>
    <cellStyle name="Normal 2 2 2 4 4 2" xfId="22445"/>
    <cellStyle name="Normal 2 2 2 4 5" xfId="1740"/>
    <cellStyle name="Normal 2 2 2 4 5 2" xfId="22446"/>
    <cellStyle name="Normal 2 2 2 4 6" xfId="22447"/>
    <cellStyle name="Normal 2 2 2 5" xfId="1741"/>
    <cellStyle name="Normal 2 2 2 5 2" xfId="1742"/>
    <cellStyle name="Normal 2 2 2 5 2 2" xfId="22448"/>
    <cellStyle name="Normal 2 2 2 5 3" xfId="1743"/>
    <cellStyle name="Normal 2 2 2 5 3 2" xfId="22449"/>
    <cellStyle name="Normal 2 2 2 5 4" xfId="22450"/>
    <cellStyle name="Normal 2 2 2 6" xfId="1744"/>
    <cellStyle name="Normal 2 2 2 6 2" xfId="1745"/>
    <cellStyle name="Normal 2 2 2 6 2 2" xfId="22451"/>
    <cellStyle name="Normal 2 2 2 6 3" xfId="1746"/>
    <cellStyle name="Normal 2 2 2 6 3 2" xfId="22452"/>
    <cellStyle name="Normal 2 2 2 6 4" xfId="22453"/>
    <cellStyle name="Normal 2 2 2 7" xfId="1747"/>
    <cellStyle name="Normal 2 2 2 7 2" xfId="22454"/>
    <cellStyle name="Normal 2 2 2 8" xfId="1748"/>
    <cellStyle name="Normal 2 2 2 8 2" xfId="22455"/>
    <cellStyle name="Normal 2 2 2 9" xfId="1749"/>
    <cellStyle name="Normal 2 2 2 9 2" xfId="22456"/>
    <cellStyle name="Normal 2 2 2_13008" xfId="14963"/>
    <cellStyle name="Normal 2 2 3" xfId="273"/>
    <cellStyle name="Normal 2 2 3 2" xfId="1750"/>
    <cellStyle name="Normal 2 2 3 2 2" xfId="1751"/>
    <cellStyle name="Normal 2 2 3 2 2 2" xfId="1752"/>
    <cellStyle name="Normal 2 2 3 2 2 2 2" xfId="22457"/>
    <cellStyle name="Normal 2 2 3 2 2 3" xfId="1753"/>
    <cellStyle name="Normal 2 2 3 2 2 3 2" xfId="22458"/>
    <cellStyle name="Normal 2 2 3 2 2 4" xfId="22459"/>
    <cellStyle name="Normal 2 2 3 2 3" xfId="1754"/>
    <cellStyle name="Normal 2 2 3 2 3 2" xfId="1755"/>
    <cellStyle name="Normal 2 2 3 2 3 2 2" xfId="22460"/>
    <cellStyle name="Normal 2 2 3 2 3 3" xfId="1756"/>
    <cellStyle name="Normal 2 2 3 2 3 3 2" xfId="22461"/>
    <cellStyle name="Normal 2 2 3 2 3 4" xfId="22462"/>
    <cellStyle name="Normal 2 2 3 2 4" xfId="1757"/>
    <cellStyle name="Normal 2 2 3 2 4 2" xfId="22463"/>
    <cellStyle name="Normal 2 2 3 2 5" xfId="1758"/>
    <cellStyle name="Normal 2 2 3 2 5 2" xfId="22464"/>
    <cellStyle name="Normal 2 2 3 2 6" xfId="14964"/>
    <cellStyle name="Normal 2 2 3 3" xfId="1759"/>
    <cellStyle name="Normal 2 2 3 3 2" xfId="1760"/>
    <cellStyle name="Normal 2 2 3 3 2 2" xfId="22465"/>
    <cellStyle name="Normal 2 2 3 3 3" xfId="1761"/>
    <cellStyle name="Normal 2 2 3 3 3 2" xfId="22466"/>
    <cellStyle name="Normal 2 2 3 3 4" xfId="1762"/>
    <cellStyle name="Normal 2 2 3 3 4 2" xfId="22467"/>
    <cellStyle name="Normal 2 2 3 3 5" xfId="1763"/>
    <cellStyle name="Normal 2 2 3 3 5 2" xfId="22468"/>
    <cellStyle name="Normal 2 2 3 3 6" xfId="14965"/>
    <cellStyle name="Normal 2 2 3 4" xfId="1764"/>
    <cellStyle name="Normal 2 2 3 4 2" xfId="1765"/>
    <cellStyle name="Normal 2 2 3 4 2 2" xfId="22469"/>
    <cellStyle name="Normal 2 2 3 4 3" xfId="1766"/>
    <cellStyle name="Normal 2 2 3 4 3 2" xfId="22470"/>
    <cellStyle name="Normal 2 2 3 4 4" xfId="22471"/>
    <cellStyle name="Normal 2 2 3 5" xfId="1767"/>
    <cellStyle name="Normal 2 2 3 5 2" xfId="1768"/>
    <cellStyle name="Normal 2 2 3 5 2 2" xfId="22472"/>
    <cellStyle name="Normal 2 2 3 5 3" xfId="1769"/>
    <cellStyle name="Normal 2 2 3 5 3 2" xfId="22473"/>
    <cellStyle name="Normal 2 2 3 5 4" xfId="22474"/>
    <cellStyle name="Normal 2 2 3 6" xfId="1770"/>
    <cellStyle name="Normal 2 2 3 6 2" xfId="22475"/>
    <cellStyle name="Normal 2 2 3 7" xfId="1771"/>
    <cellStyle name="Normal 2 2 3 7 2" xfId="22476"/>
    <cellStyle name="Normal 2 2 3 8" xfId="14966"/>
    <cellStyle name="Normal 2 2 3 9" xfId="22477"/>
    <cellStyle name="Normal 2 2 4" xfId="917"/>
    <cellStyle name="Normal 2 2 4 2" xfId="1772"/>
    <cellStyle name="Normal 2 2 4 2 2" xfId="1773"/>
    <cellStyle name="Normal 2 2 4 2 2 2" xfId="22478"/>
    <cellStyle name="Normal 2 2 4 2 3" xfId="1774"/>
    <cellStyle name="Normal 2 2 4 2 3 2" xfId="22479"/>
    <cellStyle name="Normal 2 2 4 2 4" xfId="22480"/>
    <cellStyle name="Normal 2 2 4 3" xfId="1775"/>
    <cellStyle name="Normal 2 2 4 3 2" xfId="1776"/>
    <cellStyle name="Normal 2 2 4 3 2 2" xfId="22481"/>
    <cellStyle name="Normal 2 2 4 3 3" xfId="1777"/>
    <cellStyle name="Normal 2 2 4 3 3 2" xfId="22482"/>
    <cellStyle name="Normal 2 2 4 3 4" xfId="22483"/>
    <cellStyle name="Normal 2 2 4 4" xfId="1778"/>
    <cellStyle name="Normal 2 2 4 4 2" xfId="22484"/>
    <cellStyle name="Normal 2 2 4 5" xfId="1779"/>
    <cellStyle name="Normal 2 2 4 5 2" xfId="22485"/>
    <cellStyle name="Normal 2 2 4 6" xfId="22486"/>
    <cellStyle name="Normal 2 2 4 7" xfId="22487"/>
    <cellStyle name="Normal 2 2 5" xfId="918"/>
    <cellStyle name="Normal 2 2 5 2" xfId="1780"/>
    <cellStyle name="Normal 2 2 5 2 2" xfId="22488"/>
    <cellStyle name="Normal 2 2 5 3" xfId="1781"/>
    <cellStyle name="Normal 2 2 5 3 2" xfId="22489"/>
    <cellStyle name="Normal 2 2 5 4" xfId="1782"/>
    <cellStyle name="Normal 2 2 5 4 2" xfId="22490"/>
    <cellStyle name="Normal 2 2 5 5" xfId="1783"/>
    <cellStyle name="Normal 2 2 5 5 2" xfId="22491"/>
    <cellStyle name="Normal 2 2 5 6" xfId="14967"/>
    <cellStyle name="Normal 2 2 6" xfId="919"/>
    <cellStyle name="Normal 2 2 6 2" xfId="1784"/>
    <cellStyle name="Normal 2 2 6 2 2" xfId="22492"/>
    <cellStyle name="Normal 2 2 6 3" xfId="1785"/>
    <cellStyle name="Normal 2 2 6 3 2" xfId="22493"/>
    <cellStyle name="Normal 2 2 6 4" xfId="22494"/>
    <cellStyle name="Normal 2 2 7" xfId="920"/>
    <cellStyle name="Normal 2 2 7 2" xfId="1786"/>
    <cellStyle name="Normal 2 2 7 2 2" xfId="22495"/>
    <cellStyle name="Normal 2 2 7 3" xfId="1787"/>
    <cellStyle name="Normal 2 2 7 3 2" xfId="22496"/>
    <cellStyle name="Normal 2 2 7 4" xfId="22497"/>
    <cellStyle name="Normal 2 2 8" xfId="921"/>
    <cellStyle name="Normal 2 2 8 2" xfId="22498"/>
    <cellStyle name="Normal 2 2 9" xfId="1788"/>
    <cellStyle name="Normal 2 2 9 2" xfId="22499"/>
    <cellStyle name="Normal 2 2_10051" xfId="1789"/>
    <cellStyle name="Normal 2 20" xfId="22500"/>
    <cellStyle name="Normal 2 21" xfId="22501"/>
    <cellStyle name="Normal 2 22" xfId="22502"/>
    <cellStyle name="Normal 2 23" xfId="22503"/>
    <cellStyle name="Normal 2 24" xfId="22504"/>
    <cellStyle name="Normal 2 25" xfId="22505"/>
    <cellStyle name="Normal 2 3" xfId="38"/>
    <cellStyle name="Normal 2 3 2" xfId="39"/>
    <cellStyle name="Normal 2 3 2 2" xfId="922"/>
    <cellStyle name="Normal 2 3 2 2 2" xfId="22506"/>
    <cellStyle name="Normal 2 3 2 3" xfId="923"/>
    <cellStyle name="Normal 2 3 2 3 2" xfId="22507"/>
    <cellStyle name="Normal 2 3 2 4" xfId="14968"/>
    <cellStyle name="Normal 2 3 2 5" xfId="22508"/>
    <cellStyle name="Normal 2 3 2_Active emp List" xfId="1790"/>
    <cellStyle name="Normal 2 3 3" xfId="274"/>
    <cellStyle name="Normal 2 3 3 2" xfId="924"/>
    <cellStyle name="Normal 2 3 3 2 2" xfId="925"/>
    <cellStyle name="Normal 2 3 3 2 2 2" xfId="22509"/>
    <cellStyle name="Normal 2 3 3 2 3" xfId="22510"/>
    <cellStyle name="Normal 2 3 3 2 4" xfId="22511"/>
    <cellStyle name="Normal 2 3 3 3" xfId="926"/>
    <cellStyle name="Normal 2 3 3 3 2" xfId="22512"/>
    <cellStyle name="Normal 2 3 3 4" xfId="14969"/>
    <cellStyle name="Normal 2 3 3 5" xfId="22513"/>
    <cellStyle name="Normal 2 3 4" xfId="927"/>
    <cellStyle name="Normal 2 3 4 2" xfId="928"/>
    <cellStyle name="Normal 2 3 4 2 2" xfId="22514"/>
    <cellStyle name="Normal 2 3 4 3" xfId="14970"/>
    <cellStyle name="Normal 2 3 4 4" xfId="22515"/>
    <cellStyle name="Normal 2 3 5" xfId="929"/>
    <cellStyle name="Normal 2 3 5 2" xfId="22516"/>
    <cellStyle name="Normal 2 3 6" xfId="14971"/>
    <cellStyle name="Normal 2 3 6 2" xfId="14972"/>
    <cellStyle name="Normal 2 3 7" xfId="14973"/>
    <cellStyle name="Normal 2 3 8" xfId="22517"/>
    <cellStyle name="Normal 2 3_2012 TV Budget" xfId="1791"/>
    <cellStyle name="Normal 2 4" xfId="40"/>
    <cellStyle name="Normal 2 4 2" xfId="930"/>
    <cellStyle name="Normal 2 4 2 2" xfId="931"/>
    <cellStyle name="Normal 2 4 2 2 2" xfId="14974"/>
    <cellStyle name="Normal 2 4 2 2 2 2" xfId="14975"/>
    <cellStyle name="Normal 2 4 2 2 3" xfId="22518"/>
    <cellStyle name="Normal 2 4 2 3" xfId="1792"/>
    <cellStyle name="Normal 2 4 2 3 2" xfId="14976"/>
    <cellStyle name="Normal 2 4 2 4" xfId="1793"/>
    <cellStyle name="Normal 2 4 2 4 2" xfId="22519"/>
    <cellStyle name="Normal 2 4 2 5" xfId="1794"/>
    <cellStyle name="Normal 2 4 2 5 2" xfId="22520"/>
    <cellStyle name="Normal 2 4 2 6" xfId="14977"/>
    <cellStyle name="Normal 2 4 2 6 2" xfId="22521"/>
    <cellStyle name="Normal 2 4 2 7" xfId="22522"/>
    <cellStyle name="Normal 2 4 2 8" xfId="22523"/>
    <cellStyle name="Normal 2 4 3" xfId="932"/>
    <cellStyle name="Normal 2 4 3 2" xfId="933"/>
    <cellStyle name="Normal 2 4 3 2 2" xfId="22524"/>
    <cellStyle name="Normal 2 4 3 3" xfId="1795"/>
    <cellStyle name="Normal 2 4 3 3 2" xfId="22525"/>
    <cellStyle name="Normal 2 4 3 4" xfId="22526"/>
    <cellStyle name="Normal 2 4 4" xfId="1796"/>
    <cellStyle name="Normal 2 4 4 2" xfId="1797"/>
    <cellStyle name="Normal 2 4 4 2 2" xfId="22527"/>
    <cellStyle name="Normal 2 4 4 3" xfId="1798"/>
    <cellStyle name="Normal 2 4 4 3 2" xfId="22528"/>
    <cellStyle name="Normal 2 4 4 4" xfId="22529"/>
    <cellStyle name="Normal 2 4 5" xfId="1799"/>
    <cellStyle name="Normal 2 4 5 2" xfId="22530"/>
    <cellStyle name="Normal 2 4 6" xfId="1800"/>
    <cellStyle name="Normal 2 4 6 2" xfId="22531"/>
    <cellStyle name="Normal 2 4 7" xfId="14978"/>
    <cellStyle name="Normal 2 4 8" xfId="22532"/>
    <cellStyle name="Normal 2 5" xfId="41"/>
    <cellStyle name="Normal 2 5 2" xfId="934"/>
    <cellStyle name="Normal 2 5 2 2" xfId="22533"/>
    <cellStyle name="Normal 2 5 3" xfId="935"/>
    <cellStyle name="Normal 2 5 3 2" xfId="22534"/>
    <cellStyle name="Normal 2 5 4" xfId="14979"/>
    <cellStyle name="Normal 2 5 5" xfId="22535"/>
    <cellStyle name="Normal 2 6" xfId="275"/>
    <cellStyle name="Normal 2 6 2" xfId="936"/>
    <cellStyle name="Normal 2 6 2 2" xfId="937"/>
    <cellStyle name="Normal 2 6 2 2 2" xfId="22536"/>
    <cellStyle name="Normal 2 6 2 3" xfId="14980"/>
    <cellStyle name="Normal 2 6 3" xfId="938"/>
    <cellStyle name="Normal 2 6 3 2" xfId="22537"/>
    <cellStyle name="Normal 2 6 4" xfId="1801"/>
    <cellStyle name="Normal 2 6 4 2" xfId="22538"/>
    <cellStyle name="Normal 2 6 5" xfId="14981"/>
    <cellStyle name="Normal 2 6 5 2" xfId="22539"/>
    <cellStyle name="Normal 2 6 6" xfId="22540"/>
    <cellStyle name="Normal 2 6 7" xfId="22541"/>
    <cellStyle name="Normal 2 7" xfId="276"/>
    <cellStyle name="Normal 2 7 2" xfId="939"/>
    <cellStyle name="Normal 2 7 2 2" xfId="22542"/>
    <cellStyle name="Normal 2 7 3" xfId="1802"/>
    <cellStyle name="Normal 2 7 3 2" xfId="22543"/>
    <cellStyle name="Normal 2 7 4" xfId="1803"/>
    <cellStyle name="Normal 2 7 4 2" xfId="22544"/>
    <cellStyle name="Normal 2 7 5" xfId="14982"/>
    <cellStyle name="Normal 2 7 5 2" xfId="22545"/>
    <cellStyle name="Normal 2 7 6" xfId="22546"/>
    <cellStyle name="Normal 2 7 7" xfId="22547"/>
    <cellStyle name="Normal 2 8" xfId="277"/>
    <cellStyle name="Normal 2 8 2" xfId="1804"/>
    <cellStyle name="Normal 2 8 2 2" xfId="14983"/>
    <cellStyle name="Normal 2 8 2 2 2" xfId="22548"/>
    <cellStyle name="Normal 2 8 2 3" xfId="22549"/>
    <cellStyle name="Normal 2 8 3" xfId="1805"/>
    <cellStyle name="Normal 2 8 3 2" xfId="22550"/>
    <cellStyle name="Normal 2 8 4" xfId="1806"/>
    <cellStyle name="Normal 2 8 4 2" xfId="22551"/>
    <cellStyle name="Normal 2 8 5" xfId="14984"/>
    <cellStyle name="Normal 2 8 5 2" xfId="22552"/>
    <cellStyle name="Normal 2 8 6" xfId="14985"/>
    <cellStyle name="Normal 2 8 7" xfId="22553"/>
    <cellStyle name="Normal 2 9" xfId="278"/>
    <cellStyle name="Normal 2 9 2" xfId="437"/>
    <cellStyle name="Normal 2 9 2 2" xfId="22554"/>
    <cellStyle name="Normal 2 9 3" xfId="1807"/>
    <cellStyle name="Normal 2 9 3 2" xfId="22555"/>
    <cellStyle name="Normal 2 9 4" xfId="1808"/>
    <cellStyle name="Normal 2 9 4 2" xfId="22556"/>
    <cellStyle name="Normal 2 9 5" xfId="14986"/>
    <cellStyle name="Normal 2 9 5 2" xfId="22557"/>
    <cellStyle name="Normal 2 9 6" xfId="22558"/>
    <cellStyle name="Normal 2 9 7" xfId="22559"/>
    <cellStyle name="Normal 2_2009 Regulated Price Out" xfId="279"/>
    <cellStyle name="Normal 20" xfId="280"/>
    <cellStyle name="Normal 20 2" xfId="940"/>
    <cellStyle name="Normal 20 2 2" xfId="941"/>
    <cellStyle name="Normal 20 2 2 2" xfId="22560"/>
    <cellStyle name="Normal 20 2 3" xfId="942"/>
    <cellStyle name="Normal 20 2 3 2" xfId="22561"/>
    <cellStyle name="Normal 20 2 4" xfId="14987"/>
    <cellStyle name="Normal 20 2 4 2" xfId="14988"/>
    <cellStyle name="Normal 20 2 5" xfId="22562"/>
    <cellStyle name="Normal 20 2 6" xfId="22563"/>
    <cellStyle name="Normal 20 3" xfId="943"/>
    <cellStyle name="Normal 20 3 2" xfId="14989"/>
    <cellStyle name="Normal 20 3 3" xfId="14990"/>
    <cellStyle name="Normal 20 4" xfId="944"/>
    <cellStyle name="Normal 20 4 2" xfId="945"/>
    <cellStyle name="Normal 20 4 2 2" xfId="14991"/>
    <cellStyle name="Normal 20 4 3" xfId="22564"/>
    <cellStyle name="Normal 20 5" xfId="946"/>
    <cellStyle name="Normal 20 5 2" xfId="14992"/>
    <cellStyle name="Normal 20 5 3" xfId="22565"/>
    <cellStyle name="Normal 20 6" xfId="947"/>
    <cellStyle name="Normal 20 6 2" xfId="22566"/>
    <cellStyle name="Normal 20 7" xfId="14993"/>
    <cellStyle name="Normal 20 7 2" xfId="22567"/>
    <cellStyle name="Normal 20 8" xfId="22568"/>
    <cellStyle name="Normal 20 9" xfId="22569"/>
    <cellStyle name="Normal 20_2112 2148 Reg Labor" xfId="14994"/>
    <cellStyle name="Normal 21" xfId="281"/>
    <cellStyle name="Normal 21 2" xfId="420"/>
    <cellStyle name="Normal 21 2 2" xfId="948"/>
    <cellStyle name="Normal 21 2 2 2" xfId="14995"/>
    <cellStyle name="Normal 21 2 3" xfId="14996"/>
    <cellStyle name="Normal 21 2 3 2" xfId="14997"/>
    <cellStyle name="Normal 21 2 4" xfId="14998"/>
    <cellStyle name="Normal 21 2 4 2" xfId="22570"/>
    <cellStyle name="Normal 21 2 5" xfId="22571"/>
    <cellStyle name="Normal 21 2 6" xfId="22572"/>
    <cellStyle name="Normal 21 3" xfId="949"/>
    <cellStyle name="Normal 21 3 2" xfId="950"/>
    <cellStyle name="Normal 21 3 2 2" xfId="14999"/>
    <cellStyle name="Normal 21 3 3" xfId="22573"/>
    <cellStyle name="Normal 21 4" xfId="951"/>
    <cellStyle name="Normal 21 4 2" xfId="15000"/>
    <cellStyle name="Normal 21 4 3" xfId="22574"/>
    <cellStyle name="Normal 21 5" xfId="1809"/>
    <cellStyle name="Normal 21 5 2" xfId="22575"/>
    <cellStyle name="Normal 21 6" xfId="15001"/>
    <cellStyle name="Normal 21 7" xfId="22576"/>
    <cellStyle name="Normal 22" xfId="282"/>
    <cellStyle name="Normal 22 2" xfId="952"/>
    <cellStyle name="Normal 22 2 2" xfId="953"/>
    <cellStyle name="Normal 22 2 2 2" xfId="15002"/>
    <cellStyle name="Normal 22 2 3" xfId="15003"/>
    <cellStyle name="Normal 22 2 3 2" xfId="15004"/>
    <cellStyle name="Normal 22 2 4" xfId="22577"/>
    <cellStyle name="Normal 22 2 5" xfId="22578"/>
    <cellStyle name="Normal 22 3" xfId="954"/>
    <cellStyle name="Normal 22 3 2" xfId="955"/>
    <cellStyle name="Normal 22 3 2 2" xfId="15005"/>
    <cellStyle name="Normal 22 3 3" xfId="22579"/>
    <cellStyle name="Normal 22 4" xfId="956"/>
    <cellStyle name="Normal 22 4 2" xfId="15006"/>
    <cellStyle name="Normal 22 4 3" xfId="22580"/>
    <cellStyle name="Normal 22 5" xfId="1810"/>
    <cellStyle name="Normal 22 5 2" xfId="15007"/>
    <cellStyle name="Normal 22 6" xfId="15008"/>
    <cellStyle name="Normal 22 7" xfId="22581"/>
    <cellStyle name="Normal 23" xfId="283"/>
    <cellStyle name="Normal 23 2" xfId="957"/>
    <cellStyle name="Normal 23 2 2" xfId="958"/>
    <cellStyle name="Normal 23 2 2 2" xfId="15009"/>
    <cellStyle name="Normal 23 2 3" xfId="959"/>
    <cellStyle name="Normal 23 2 3 2" xfId="22582"/>
    <cellStyle name="Normal 23 2 4" xfId="22583"/>
    <cellStyle name="Normal 23 2 5" xfId="22584"/>
    <cellStyle name="Normal 23 3" xfId="960"/>
    <cellStyle name="Normal 23 3 2" xfId="961"/>
    <cellStyle name="Normal 23 3 2 2" xfId="15010"/>
    <cellStyle name="Normal 23 3 3" xfId="962"/>
    <cellStyle name="Normal 23 3 3 2" xfId="15011"/>
    <cellStyle name="Normal 23 3 4" xfId="22585"/>
    <cellStyle name="Normal 23 4" xfId="963"/>
    <cellStyle name="Normal 23 4 2" xfId="15012"/>
    <cellStyle name="Normal 23 4 3" xfId="22586"/>
    <cellStyle name="Normal 23 5" xfId="22587"/>
    <cellStyle name="Normal 23 6" xfId="22588"/>
    <cellStyle name="Normal 24" xfId="284"/>
    <cellStyle name="Normal 24 2" xfId="964"/>
    <cellStyle name="Normal 24 2 2" xfId="965"/>
    <cellStyle name="Normal 24 2 2 2" xfId="15013"/>
    <cellStyle name="Normal 24 2 3" xfId="966"/>
    <cellStyle name="Normal 24 2 3 2" xfId="22589"/>
    <cellStyle name="Normal 24 2 4" xfId="15014"/>
    <cellStyle name="Normal 24 2 5" xfId="22590"/>
    <cellStyle name="Normal 24 3" xfId="967"/>
    <cellStyle name="Normal 24 3 2" xfId="968"/>
    <cellStyle name="Normal 24 3 2 2" xfId="15015"/>
    <cellStyle name="Normal 24 3 3" xfId="22591"/>
    <cellStyle name="Normal 24 4" xfId="969"/>
    <cellStyle name="Normal 24 4 2" xfId="15016"/>
    <cellStyle name="Normal 24 4 3" xfId="22592"/>
    <cellStyle name="Normal 24 5" xfId="1811"/>
    <cellStyle name="Normal 24 5 2" xfId="22593"/>
    <cellStyle name="Normal 24 6" xfId="22594"/>
    <cellStyle name="Normal 24 7" xfId="22595"/>
    <cellStyle name="Normal 25" xfId="285"/>
    <cellStyle name="Normal 25 2" xfId="970"/>
    <cellStyle name="Normal 25 2 2" xfId="971"/>
    <cellStyle name="Normal 25 2 2 2" xfId="15017"/>
    <cellStyle name="Normal 25 2 3" xfId="15018"/>
    <cellStyle name="Normal 25 2 3 2" xfId="22596"/>
    <cellStyle name="Normal 25 2 4" xfId="22597"/>
    <cellStyle name="Normal 25 3" xfId="972"/>
    <cellStyle name="Normal 25 3 2" xfId="15019"/>
    <cellStyle name="Normal 25 3 2 2" xfId="22598"/>
    <cellStyle name="Normal 25 3 3" xfId="22599"/>
    <cellStyle name="Normal 25 3 4" xfId="22600"/>
    <cellStyle name="Normal 25 4" xfId="973"/>
    <cellStyle name="Normal 25 4 2" xfId="15020"/>
    <cellStyle name="Normal 25 5" xfId="22601"/>
    <cellStyle name="Normal 25 6" xfId="22602"/>
    <cellStyle name="Normal 26" xfId="286"/>
    <cellStyle name="Normal 26 2" xfId="974"/>
    <cellStyle name="Normal 26 2 2" xfId="975"/>
    <cellStyle name="Normal 26 2 2 2" xfId="22603"/>
    <cellStyle name="Normal 26 2 3" xfId="15021"/>
    <cellStyle name="Normal 26 2 3 2" xfId="22604"/>
    <cellStyle name="Normal 26 2 4" xfId="22605"/>
    <cellStyle name="Normal 26 2 5" xfId="22606"/>
    <cellStyle name="Normal 26 3" xfId="976"/>
    <cellStyle name="Normal 26 3 2" xfId="15022"/>
    <cellStyle name="Normal 26 4" xfId="977"/>
    <cellStyle name="Normal 26 4 2" xfId="22607"/>
    <cellStyle name="Normal 26 5" xfId="22608"/>
    <cellStyle name="Normal 26 6" xfId="22609"/>
    <cellStyle name="Normal 27" xfId="42"/>
    <cellStyle name="Normal 27 2" xfId="978"/>
    <cellStyle name="Normal 27 2 2" xfId="979"/>
    <cellStyle name="Normal 27 2 2 2" xfId="980"/>
    <cellStyle name="Normal 27 2 2 2 2" xfId="22610"/>
    <cellStyle name="Normal 27 2 2 3" xfId="15023"/>
    <cellStyle name="Normal 27 2 3" xfId="15024"/>
    <cellStyle name="Normal 27 2 4" xfId="22611"/>
    <cellStyle name="Normal 27 3" xfId="981"/>
    <cellStyle name="Normal 27 3 2" xfId="982"/>
    <cellStyle name="Normal 27 3 2 2" xfId="22612"/>
    <cellStyle name="Normal 27 3 3" xfId="15025"/>
    <cellStyle name="Normal 27 3 3 2" xfId="22613"/>
    <cellStyle name="Normal 27 3 4" xfId="22614"/>
    <cellStyle name="Normal 27 3 5" xfId="22615"/>
    <cellStyle name="Normal 27 4" xfId="983"/>
    <cellStyle name="Normal 27 4 2" xfId="15026"/>
    <cellStyle name="Normal 27 4 3" xfId="22616"/>
    <cellStyle name="Normal 27 5" xfId="984"/>
    <cellStyle name="Normal 27 5 2" xfId="22617"/>
    <cellStyle name="Normal 27 6" xfId="22618"/>
    <cellStyle name="Normal 27 7" xfId="22619"/>
    <cellStyle name="Normal 28" xfId="287"/>
    <cellStyle name="Normal 28 2" xfId="985"/>
    <cellStyle name="Normal 28 2 2" xfId="986"/>
    <cellStyle name="Normal 28 2 2 2" xfId="15027"/>
    <cellStyle name="Normal 28 2 3" xfId="15028"/>
    <cellStyle name="Normal 28 2 3 2" xfId="22620"/>
    <cellStyle name="Normal 28 2 4" xfId="22621"/>
    <cellStyle name="Normal 28 3" xfId="987"/>
    <cellStyle name="Normal 28 3 2" xfId="22622"/>
    <cellStyle name="Normal 28 4" xfId="988"/>
    <cellStyle name="Normal 28 4 2" xfId="22623"/>
    <cellStyle name="Normal 28 5" xfId="22624"/>
    <cellStyle name="Normal 28 6" xfId="22625"/>
    <cellStyle name="Normal 29" xfId="288"/>
    <cellStyle name="Normal 29 2" xfId="989"/>
    <cellStyle name="Normal 29 2 2" xfId="15029"/>
    <cellStyle name="Normal 29 2 2 2" xfId="15030"/>
    <cellStyle name="Normal 29 2 3" xfId="22626"/>
    <cellStyle name="Normal 29 3" xfId="990"/>
    <cellStyle name="Normal 29 3 2" xfId="22627"/>
    <cellStyle name="Normal 29 4" xfId="991"/>
    <cellStyle name="Normal 29 4 2" xfId="22628"/>
    <cellStyle name="Normal 29 5" xfId="22629"/>
    <cellStyle name="Normal 29 6" xfId="22630"/>
    <cellStyle name="Normal 3" xfId="43"/>
    <cellStyle name="Normal 3 10" xfId="22631"/>
    <cellStyle name="Normal 3 11" xfId="22632"/>
    <cellStyle name="Normal 3 2" xfId="44"/>
    <cellStyle name="Normal 3 2 10" xfId="22633"/>
    <cellStyle name="Normal 3 2 2" xfId="289"/>
    <cellStyle name="Normal 3 2 2 2" xfId="992"/>
    <cellStyle name="Normal 3 2 2 2 2" xfId="993"/>
    <cellStyle name="Normal 3 2 2 2 2 2" xfId="15031"/>
    <cellStyle name="Normal 3 2 2 2 2 2 2" xfId="22634"/>
    <cellStyle name="Normal 3 2 2 2 2 3" xfId="15032"/>
    <cellStyle name="Normal 3 2 2 2 3" xfId="1812"/>
    <cellStyle name="Normal 3 2 2 2 3 2" xfId="15033"/>
    <cellStyle name="Normal 3 2 2 2 3 2 2" xfId="22635"/>
    <cellStyle name="Normal 3 2 2 2 3 3" xfId="15034"/>
    <cellStyle name="Normal 3 2 2 2 4" xfId="15035"/>
    <cellStyle name="Normal 3 2 2 2 4 2" xfId="22636"/>
    <cellStyle name="Normal 3 2 2 2 5" xfId="15036"/>
    <cellStyle name="Normal 3 2 2 3" xfId="1813"/>
    <cellStyle name="Normal 3 2 2 3 2" xfId="1814"/>
    <cellStyle name="Normal 3 2 2 3 2 2" xfId="22637"/>
    <cellStyle name="Normal 3 2 2 3 3" xfId="1815"/>
    <cellStyle name="Normal 3 2 2 3 3 2" xfId="22638"/>
    <cellStyle name="Normal 3 2 2 3 4" xfId="22639"/>
    <cellStyle name="Normal 3 2 2 4" xfId="1816"/>
    <cellStyle name="Normal 3 2 2 4 2" xfId="15037"/>
    <cellStyle name="Normal 3 2 2 4 2 2" xfId="22640"/>
    <cellStyle name="Normal 3 2 2 4 3" xfId="15038"/>
    <cellStyle name="Normal 3 2 2 5" xfId="1817"/>
    <cellStyle name="Normal 3 2 2 5 2" xfId="22641"/>
    <cellStyle name="Normal 3 2 2 6" xfId="1818"/>
    <cellStyle name="Normal 3 2 2 6 2" xfId="22642"/>
    <cellStyle name="Normal 3 2 2 7" xfId="15039"/>
    <cellStyle name="Normal 3 2 2 7 2" xfId="22643"/>
    <cellStyle name="Normal 3 2 2 8" xfId="22644"/>
    <cellStyle name="Normal 3 2 2 9" xfId="22645"/>
    <cellStyle name="Normal 3 2 3" xfId="994"/>
    <cellStyle name="Normal 3 2 3 2" xfId="995"/>
    <cellStyle name="Normal 3 2 3 2 2" xfId="15040"/>
    <cellStyle name="Normal 3 2 3 2 2 2" xfId="22646"/>
    <cellStyle name="Normal 3 2 3 2 3" xfId="15041"/>
    <cellStyle name="Normal 3 2 3 3" xfId="1819"/>
    <cellStyle name="Normal 3 2 3 3 2" xfId="15042"/>
    <cellStyle name="Normal 3 2 3 3 2 2" xfId="22647"/>
    <cellStyle name="Normal 3 2 3 3 3" xfId="15043"/>
    <cellStyle name="Normal 3 2 3 4" xfId="1820"/>
    <cellStyle name="Normal 3 2 3 4 2" xfId="22648"/>
    <cellStyle name="Normal 3 2 3 5" xfId="1821"/>
    <cellStyle name="Normal 3 2 3 5 2" xfId="22649"/>
    <cellStyle name="Normal 3 2 3 6" xfId="15044"/>
    <cellStyle name="Normal 3 2 4" xfId="1822"/>
    <cellStyle name="Normal 3 2 4 2" xfId="1823"/>
    <cellStyle name="Normal 3 2 4 2 2" xfId="22650"/>
    <cellStyle name="Normal 3 2 4 3" xfId="1824"/>
    <cellStyle name="Normal 3 2 4 3 2" xfId="22651"/>
    <cellStyle name="Normal 3 2 4 4" xfId="15045"/>
    <cellStyle name="Normal 3 2 5" xfId="1825"/>
    <cellStyle name="Normal 3 2 5 2" xfId="1826"/>
    <cellStyle name="Normal 3 2 5 2 2" xfId="22652"/>
    <cellStyle name="Normal 3 2 5 3" xfId="1827"/>
    <cellStyle name="Normal 3 2 5 3 2" xfId="22653"/>
    <cellStyle name="Normal 3 2 5 4" xfId="22654"/>
    <cellStyle name="Normal 3 2 6" xfId="1828"/>
    <cellStyle name="Normal 3 2 6 2" xfId="22655"/>
    <cellStyle name="Normal 3 2 7" xfId="1829"/>
    <cellStyle name="Normal 3 2 7 2" xfId="22656"/>
    <cellStyle name="Normal 3 2 8" xfId="1830"/>
    <cellStyle name="Normal 3 2 8 2" xfId="22657"/>
    <cellStyle name="Normal 3 2 9" xfId="15046"/>
    <cellStyle name="Normal 3 3" xfId="290"/>
    <cellStyle name="Normal 3 3 2" xfId="996"/>
    <cellStyle name="Normal 3 3 2 2" xfId="997"/>
    <cellStyle name="Normal 3 3 2 2 2" xfId="22658"/>
    <cellStyle name="Normal 3 3 2 3" xfId="15047"/>
    <cellStyle name="Normal 3 3 2 4" xfId="22659"/>
    <cellStyle name="Normal 3 3 3" xfId="998"/>
    <cellStyle name="Normal 3 3 3 2" xfId="15048"/>
    <cellStyle name="Normal 3 3 3 2 2" xfId="22660"/>
    <cellStyle name="Normal 3 3 3 3" xfId="22661"/>
    <cellStyle name="Normal 3 3 4" xfId="999"/>
    <cellStyle name="Normal 3 3 4 2" xfId="15049"/>
    <cellStyle name="Normal 3 3 4 2 2" xfId="22662"/>
    <cellStyle name="Normal 3 3 4 3" xfId="22663"/>
    <cellStyle name="Normal 3 3 5" xfId="15050"/>
    <cellStyle name="Normal 3 3 5 2" xfId="22664"/>
    <cellStyle name="Normal 3 3 6" xfId="22665"/>
    <cellStyle name="Normal 3 4" xfId="291"/>
    <cellStyle name="Normal 3 4 2" xfId="1000"/>
    <cellStyle name="Normal 3 4 2 2" xfId="15051"/>
    <cellStyle name="Normal 3 4 3" xfId="1001"/>
    <cellStyle name="Normal 3 4 3 2" xfId="22666"/>
    <cellStyle name="Normal 3 4 4" xfId="15052"/>
    <cellStyle name="Normal 3 4 4 2" xfId="22667"/>
    <cellStyle name="Normal 3 4 5" xfId="22668"/>
    <cellStyle name="Normal 3 4 6" xfId="22669"/>
    <cellStyle name="Normal 3 5" xfId="1002"/>
    <cellStyle name="Normal 3 5 2" xfId="1831"/>
    <cellStyle name="Normal 3 5 2 2" xfId="22670"/>
    <cellStyle name="Normal 3 5 3" xfId="22671"/>
    <cellStyle name="Normal 3 5 4" xfId="22672"/>
    <cellStyle name="Normal 3 6" xfId="15053"/>
    <cellStyle name="Normal 3 6 2" xfId="22673"/>
    <cellStyle name="Normal 3 7" xfId="15054"/>
    <cellStyle name="Normal 3 7 2" xfId="22674"/>
    <cellStyle name="Normal 3 8" xfId="15055"/>
    <cellStyle name="Normal 3 9" xfId="22675"/>
    <cellStyle name="Normal 3_10051" xfId="1832"/>
    <cellStyle name="Normal 30" xfId="292"/>
    <cellStyle name="Normal 30 2" xfId="1003"/>
    <cellStyle name="Normal 30 2 2" xfId="15056"/>
    <cellStyle name="Normal 30 3" xfId="1004"/>
    <cellStyle name="Normal 30 3 2" xfId="22676"/>
    <cellStyle name="Normal 30 4" xfId="1005"/>
    <cellStyle name="Normal 30 4 2" xfId="22677"/>
    <cellStyle name="Normal 30 5" xfId="22678"/>
    <cellStyle name="Normal 30 6" xfId="22679"/>
    <cellStyle name="Normal 31" xfId="45"/>
    <cellStyle name="Normal 31 10" xfId="22680"/>
    <cellStyle name="Normal 31 2" xfId="1006"/>
    <cellStyle name="Normal 31 2 2" xfId="1007"/>
    <cellStyle name="Normal 31 2 2 2" xfId="1008"/>
    <cellStyle name="Normal 31 2 2 2 2" xfId="15057"/>
    <cellStyle name="Normal 31 2 2 2 2 2" xfId="15058"/>
    <cellStyle name="Normal 31 2 2 2 2 2 2" xfId="15059"/>
    <cellStyle name="Normal 31 2 2 2 2 2 2 2" xfId="22681"/>
    <cellStyle name="Normal 31 2 2 2 2 2 3" xfId="15060"/>
    <cellStyle name="Normal 31 2 2 2 2 3" xfId="15061"/>
    <cellStyle name="Normal 31 2 2 2 2 3 2" xfId="15062"/>
    <cellStyle name="Normal 31 2 2 2 2 3 2 2" xfId="22682"/>
    <cellStyle name="Normal 31 2 2 2 2 3 3" xfId="15063"/>
    <cellStyle name="Normal 31 2 2 2 2 4" xfId="15064"/>
    <cellStyle name="Normal 31 2 2 2 2 4 2" xfId="22683"/>
    <cellStyle name="Normal 31 2 2 2 2 5" xfId="15065"/>
    <cellStyle name="Normal 31 2 2 2 3" xfId="15066"/>
    <cellStyle name="Normal 31 2 2 2 3 2" xfId="15067"/>
    <cellStyle name="Normal 31 2 2 2 3 2 2" xfId="22684"/>
    <cellStyle name="Normal 31 2 2 2 3 3" xfId="15068"/>
    <cellStyle name="Normal 31 2 2 2 4" xfId="15069"/>
    <cellStyle name="Normal 31 2 2 2 4 2" xfId="15070"/>
    <cellStyle name="Normal 31 2 2 2 4 2 2" xfId="22685"/>
    <cellStyle name="Normal 31 2 2 2 4 3" xfId="15071"/>
    <cellStyle name="Normal 31 2 2 2 5" xfId="15072"/>
    <cellStyle name="Normal 31 2 2 2 5 2" xfId="22686"/>
    <cellStyle name="Normal 31 2 2 2 6" xfId="15073"/>
    <cellStyle name="Normal 31 2 2 3" xfId="15074"/>
    <cellStyle name="Normal 31 2 2 3 2" xfId="15075"/>
    <cellStyle name="Normal 31 2 2 3 2 2" xfId="15076"/>
    <cellStyle name="Normal 31 2 2 3 2 2 2" xfId="22687"/>
    <cellStyle name="Normal 31 2 2 3 2 3" xfId="15077"/>
    <cellStyle name="Normal 31 2 2 3 3" xfId="15078"/>
    <cellStyle name="Normal 31 2 2 3 3 2" xfId="15079"/>
    <cellStyle name="Normal 31 2 2 3 3 2 2" xfId="22688"/>
    <cellStyle name="Normal 31 2 2 3 3 3" xfId="15080"/>
    <cellStyle name="Normal 31 2 2 3 4" xfId="15081"/>
    <cellStyle name="Normal 31 2 2 3 4 2" xfId="22689"/>
    <cellStyle name="Normal 31 2 2 3 5" xfId="15082"/>
    <cellStyle name="Normal 31 2 2 4" xfId="15083"/>
    <cellStyle name="Normal 31 2 2 4 2" xfId="15084"/>
    <cellStyle name="Normal 31 2 2 4 2 2" xfId="22690"/>
    <cellStyle name="Normal 31 2 2 4 3" xfId="15085"/>
    <cellStyle name="Normal 31 2 2 5" xfId="15086"/>
    <cellStyle name="Normal 31 2 2 5 2" xfId="15087"/>
    <cellStyle name="Normal 31 2 2 5 2 2" xfId="22691"/>
    <cellStyle name="Normal 31 2 2 5 3" xfId="15088"/>
    <cellStyle name="Normal 31 2 2 6" xfId="15089"/>
    <cellStyle name="Normal 31 2 2 6 2" xfId="22692"/>
    <cellStyle name="Normal 31 2 2 7" xfId="15090"/>
    <cellStyle name="Normal 31 2 2 8" xfId="15091"/>
    <cellStyle name="Normal 31 2 3" xfId="1009"/>
    <cellStyle name="Normal 31 2 3 2" xfId="15092"/>
    <cellStyle name="Normal 31 2 3 2 2" xfId="15093"/>
    <cellStyle name="Normal 31 2 3 2 2 2" xfId="15094"/>
    <cellStyle name="Normal 31 2 3 2 2 2 2" xfId="22693"/>
    <cellStyle name="Normal 31 2 3 2 2 3" xfId="15095"/>
    <cellStyle name="Normal 31 2 3 2 3" xfId="15096"/>
    <cellStyle name="Normal 31 2 3 2 3 2" xfId="15097"/>
    <cellStyle name="Normal 31 2 3 2 3 2 2" xfId="22694"/>
    <cellStyle name="Normal 31 2 3 2 3 3" xfId="15098"/>
    <cellStyle name="Normal 31 2 3 2 4" xfId="15099"/>
    <cellStyle name="Normal 31 2 3 2 4 2" xfId="22695"/>
    <cellStyle name="Normal 31 2 3 2 5" xfId="15100"/>
    <cellStyle name="Normal 31 2 3 3" xfId="15101"/>
    <cellStyle name="Normal 31 2 3 3 2" xfId="15102"/>
    <cellStyle name="Normal 31 2 3 3 2 2" xfId="22696"/>
    <cellStyle name="Normal 31 2 3 3 3" xfId="15103"/>
    <cellStyle name="Normal 31 2 3 4" xfId="15104"/>
    <cellStyle name="Normal 31 2 3 4 2" xfId="15105"/>
    <cellStyle name="Normal 31 2 3 4 2 2" xfId="22697"/>
    <cellStyle name="Normal 31 2 3 4 3" xfId="15106"/>
    <cellStyle name="Normal 31 2 3 5" xfId="15107"/>
    <cellStyle name="Normal 31 2 3 5 2" xfId="22698"/>
    <cellStyle name="Normal 31 2 3 6" xfId="15108"/>
    <cellStyle name="Normal 31 2 4" xfId="15109"/>
    <cellStyle name="Normal 31 2 4 2" xfId="15110"/>
    <cellStyle name="Normal 31 2 4 2 2" xfId="15111"/>
    <cellStyle name="Normal 31 2 4 2 2 2" xfId="22699"/>
    <cellStyle name="Normal 31 2 4 2 3" xfId="15112"/>
    <cellStyle name="Normal 31 2 4 3" xfId="15113"/>
    <cellStyle name="Normal 31 2 4 3 2" xfId="15114"/>
    <cellStyle name="Normal 31 2 4 3 2 2" xfId="22700"/>
    <cellStyle name="Normal 31 2 4 3 3" xfId="15115"/>
    <cellStyle name="Normal 31 2 4 4" xfId="15116"/>
    <cellStyle name="Normal 31 2 4 4 2" xfId="22701"/>
    <cellStyle name="Normal 31 2 4 5" xfId="15117"/>
    <cellStyle name="Normal 31 2 5" xfId="15118"/>
    <cellStyle name="Normal 31 2 5 2" xfId="15119"/>
    <cellStyle name="Normal 31 2 5 2 2" xfId="22702"/>
    <cellStyle name="Normal 31 2 5 3" xfId="15120"/>
    <cellStyle name="Normal 31 2 6" xfId="15121"/>
    <cellStyle name="Normal 31 2 6 2" xfId="15122"/>
    <cellStyle name="Normal 31 2 6 2 2" xfId="22703"/>
    <cellStyle name="Normal 31 2 6 3" xfId="15123"/>
    <cellStyle name="Normal 31 2 7" xfId="15124"/>
    <cellStyle name="Normal 31 2 7 2" xfId="22704"/>
    <cellStyle name="Normal 31 2 8" xfId="15125"/>
    <cellStyle name="Normal 31 2 9" xfId="22705"/>
    <cellStyle name="Normal 31 3" xfId="1010"/>
    <cellStyle name="Normal 31 3 2" xfId="1011"/>
    <cellStyle name="Normal 31 3 2 2" xfId="15126"/>
    <cellStyle name="Normal 31 3 2 2 2" xfId="15127"/>
    <cellStyle name="Normal 31 3 2 2 2 2" xfId="15128"/>
    <cellStyle name="Normal 31 3 2 2 2 2 2" xfId="22706"/>
    <cellStyle name="Normal 31 3 2 2 2 3" xfId="15129"/>
    <cellStyle name="Normal 31 3 2 2 3" xfId="15130"/>
    <cellStyle name="Normal 31 3 2 2 3 2" xfId="15131"/>
    <cellStyle name="Normal 31 3 2 2 3 2 2" xfId="22707"/>
    <cellStyle name="Normal 31 3 2 2 3 3" xfId="15132"/>
    <cellStyle name="Normal 31 3 2 2 4" xfId="15133"/>
    <cellStyle name="Normal 31 3 2 2 4 2" xfId="22708"/>
    <cellStyle name="Normal 31 3 2 2 5" xfId="15134"/>
    <cellStyle name="Normal 31 3 2 3" xfId="15135"/>
    <cellStyle name="Normal 31 3 2 3 2" xfId="15136"/>
    <cellStyle name="Normal 31 3 2 3 2 2" xfId="22709"/>
    <cellStyle name="Normal 31 3 2 3 3" xfId="15137"/>
    <cellStyle name="Normal 31 3 2 4" xfId="15138"/>
    <cellStyle name="Normal 31 3 2 4 2" xfId="15139"/>
    <cellStyle name="Normal 31 3 2 4 2 2" xfId="22710"/>
    <cellStyle name="Normal 31 3 2 4 3" xfId="15140"/>
    <cellStyle name="Normal 31 3 2 5" xfId="15141"/>
    <cellStyle name="Normal 31 3 2 5 2" xfId="22711"/>
    <cellStyle name="Normal 31 3 2 6" xfId="15142"/>
    <cellStyle name="Normal 31 3 3" xfId="1012"/>
    <cellStyle name="Normal 31 3 3 2" xfId="15143"/>
    <cellStyle name="Normal 31 3 3 2 2" xfId="15144"/>
    <cellStyle name="Normal 31 3 3 2 2 2" xfId="22712"/>
    <cellStyle name="Normal 31 3 3 2 3" xfId="15145"/>
    <cellStyle name="Normal 31 3 3 3" xfId="15146"/>
    <cellStyle name="Normal 31 3 3 3 2" xfId="15147"/>
    <cellStyle name="Normal 31 3 3 3 2 2" xfId="22713"/>
    <cellStyle name="Normal 31 3 3 3 3" xfId="15148"/>
    <cellStyle name="Normal 31 3 3 4" xfId="15149"/>
    <cellStyle name="Normal 31 3 3 4 2" xfId="22714"/>
    <cellStyle name="Normal 31 3 3 5" xfId="15150"/>
    <cellStyle name="Normal 31 3 4" xfId="15151"/>
    <cellStyle name="Normal 31 3 4 2" xfId="15152"/>
    <cellStyle name="Normal 31 3 4 2 2" xfId="22715"/>
    <cellStyle name="Normal 31 3 4 3" xfId="15153"/>
    <cellStyle name="Normal 31 3 4 4" xfId="15154"/>
    <cellStyle name="Normal 31 3 5" xfId="15155"/>
    <cellStyle name="Normal 31 3 5 2" xfId="15156"/>
    <cellStyle name="Normal 31 3 5 2 2" xfId="22716"/>
    <cellStyle name="Normal 31 3 5 3" xfId="15157"/>
    <cellStyle name="Normal 31 3 6" xfId="15158"/>
    <cellStyle name="Normal 31 3 6 2" xfId="22717"/>
    <cellStyle name="Normal 31 3 7" xfId="15159"/>
    <cellStyle name="Normal 31 4" xfId="1013"/>
    <cellStyle name="Normal 31 4 2" xfId="1014"/>
    <cellStyle name="Normal 31 4 2 2" xfId="15160"/>
    <cellStyle name="Normal 31 4 2 2 2" xfId="15161"/>
    <cellStyle name="Normal 31 4 2 2 2 2" xfId="22718"/>
    <cellStyle name="Normal 31 4 2 2 3" xfId="15162"/>
    <cellStyle name="Normal 31 4 2 3" xfId="15163"/>
    <cellStyle name="Normal 31 4 2 3 2" xfId="15164"/>
    <cellStyle name="Normal 31 4 2 3 2 2" xfId="22719"/>
    <cellStyle name="Normal 31 4 2 3 3" xfId="15165"/>
    <cellStyle name="Normal 31 4 2 4" xfId="15166"/>
    <cellStyle name="Normal 31 4 2 4 2" xfId="22720"/>
    <cellStyle name="Normal 31 4 2 5" xfId="15167"/>
    <cellStyle name="Normal 31 4 3" xfId="15168"/>
    <cellStyle name="Normal 31 4 3 2" xfId="15169"/>
    <cellStyle name="Normal 31 4 3 2 2" xfId="22721"/>
    <cellStyle name="Normal 31 4 3 3" xfId="15170"/>
    <cellStyle name="Normal 31 4 4" xfId="15171"/>
    <cellStyle name="Normal 31 4 4 2" xfId="15172"/>
    <cellStyle name="Normal 31 4 4 2 2" xfId="22722"/>
    <cellStyle name="Normal 31 4 4 3" xfId="15173"/>
    <cellStyle name="Normal 31 4 5" xfId="15174"/>
    <cellStyle name="Normal 31 4 5 2" xfId="22723"/>
    <cellStyle name="Normal 31 4 6" xfId="15175"/>
    <cellStyle name="Normal 31 4 7" xfId="15176"/>
    <cellStyle name="Normal 31 5" xfId="15177"/>
    <cellStyle name="Normal 31 5 2" xfId="15178"/>
    <cellStyle name="Normal 31 5 2 2" xfId="15179"/>
    <cellStyle name="Normal 31 5 2 2 2" xfId="22724"/>
    <cellStyle name="Normal 31 5 2 3" xfId="15180"/>
    <cellStyle name="Normal 31 5 3" xfId="15181"/>
    <cellStyle name="Normal 31 5 3 2" xfId="15182"/>
    <cellStyle name="Normal 31 5 3 2 2" xfId="22725"/>
    <cellStyle name="Normal 31 5 3 3" xfId="15183"/>
    <cellStyle name="Normal 31 5 4" xfId="15184"/>
    <cellStyle name="Normal 31 5 4 2" xfId="22726"/>
    <cellStyle name="Normal 31 5 5" xfId="15185"/>
    <cellStyle name="Normal 31 6" xfId="15186"/>
    <cellStyle name="Normal 31 6 2" xfId="15187"/>
    <cellStyle name="Normal 31 6 2 2" xfId="22727"/>
    <cellStyle name="Normal 31 6 3" xfId="15188"/>
    <cellStyle name="Normal 31 7" xfId="15189"/>
    <cellStyle name="Normal 31 7 2" xfId="15190"/>
    <cellStyle name="Normal 31 7 2 2" xfId="22728"/>
    <cellStyle name="Normal 31 7 3" xfId="15191"/>
    <cellStyle name="Normal 31 8" xfId="15192"/>
    <cellStyle name="Normal 31 8 2" xfId="22729"/>
    <cellStyle name="Normal 31 9" xfId="15193"/>
    <cellStyle name="Normal 32" xfId="293"/>
    <cellStyle name="Normal 32 10" xfId="22730"/>
    <cellStyle name="Normal 32 2" xfId="1015"/>
    <cellStyle name="Normal 32 2 2" xfId="1016"/>
    <cellStyle name="Normal 32 2 2 2" xfId="1017"/>
    <cellStyle name="Normal 32 2 2 2 2" xfId="15194"/>
    <cellStyle name="Normal 32 2 2 2 2 2" xfId="15195"/>
    <cellStyle name="Normal 32 2 2 2 2 2 2" xfId="15196"/>
    <cellStyle name="Normal 32 2 2 2 2 2 2 2" xfId="22731"/>
    <cellStyle name="Normal 32 2 2 2 2 2 3" xfId="15197"/>
    <cellStyle name="Normal 32 2 2 2 2 3" xfId="15198"/>
    <cellStyle name="Normal 32 2 2 2 2 3 2" xfId="15199"/>
    <cellStyle name="Normal 32 2 2 2 2 3 2 2" xfId="22732"/>
    <cellStyle name="Normal 32 2 2 2 2 3 3" xfId="15200"/>
    <cellStyle name="Normal 32 2 2 2 2 4" xfId="15201"/>
    <cellStyle name="Normal 32 2 2 2 2 4 2" xfId="22733"/>
    <cellStyle name="Normal 32 2 2 2 2 5" xfId="15202"/>
    <cellStyle name="Normal 32 2 2 2 3" xfId="15203"/>
    <cellStyle name="Normal 32 2 2 2 3 2" xfId="15204"/>
    <cellStyle name="Normal 32 2 2 2 3 2 2" xfId="22734"/>
    <cellStyle name="Normal 32 2 2 2 3 3" xfId="15205"/>
    <cellStyle name="Normal 32 2 2 2 4" xfId="15206"/>
    <cellStyle name="Normal 32 2 2 2 4 2" xfId="15207"/>
    <cellStyle name="Normal 32 2 2 2 4 2 2" xfId="22735"/>
    <cellStyle name="Normal 32 2 2 2 4 3" xfId="15208"/>
    <cellStyle name="Normal 32 2 2 2 5" xfId="15209"/>
    <cellStyle name="Normal 32 2 2 2 5 2" xfId="22736"/>
    <cellStyle name="Normal 32 2 2 2 6" xfId="15210"/>
    <cellStyle name="Normal 32 2 2 3" xfId="15211"/>
    <cellStyle name="Normal 32 2 2 3 2" xfId="15212"/>
    <cellStyle name="Normal 32 2 2 3 2 2" xfId="15213"/>
    <cellStyle name="Normal 32 2 2 3 2 2 2" xfId="22737"/>
    <cellStyle name="Normal 32 2 2 3 2 3" xfId="15214"/>
    <cellStyle name="Normal 32 2 2 3 3" xfId="15215"/>
    <cellStyle name="Normal 32 2 2 3 3 2" xfId="15216"/>
    <cellStyle name="Normal 32 2 2 3 3 2 2" xfId="22738"/>
    <cellStyle name="Normal 32 2 2 3 3 3" xfId="15217"/>
    <cellStyle name="Normal 32 2 2 3 4" xfId="15218"/>
    <cellStyle name="Normal 32 2 2 3 4 2" xfId="22739"/>
    <cellStyle name="Normal 32 2 2 3 5" xfId="15219"/>
    <cellStyle name="Normal 32 2 2 4" xfId="15220"/>
    <cellStyle name="Normal 32 2 2 4 2" xfId="15221"/>
    <cellStyle name="Normal 32 2 2 4 2 2" xfId="22740"/>
    <cellStyle name="Normal 32 2 2 4 3" xfId="15222"/>
    <cellStyle name="Normal 32 2 2 5" xfId="15223"/>
    <cellStyle name="Normal 32 2 2 5 2" xfId="15224"/>
    <cellStyle name="Normal 32 2 2 5 2 2" xfId="22741"/>
    <cellStyle name="Normal 32 2 2 5 3" xfId="15225"/>
    <cellStyle name="Normal 32 2 2 6" xfId="15226"/>
    <cellStyle name="Normal 32 2 2 6 2" xfId="22742"/>
    <cellStyle name="Normal 32 2 2 7" xfId="15227"/>
    <cellStyle name="Normal 32 2 3" xfId="1018"/>
    <cellStyle name="Normal 32 2 3 2" xfId="15228"/>
    <cellStyle name="Normal 32 2 3 2 2" xfId="15229"/>
    <cellStyle name="Normal 32 2 3 2 2 2" xfId="15230"/>
    <cellStyle name="Normal 32 2 3 2 2 2 2" xfId="22743"/>
    <cellStyle name="Normal 32 2 3 2 2 3" xfId="15231"/>
    <cellStyle name="Normal 32 2 3 2 3" xfId="15232"/>
    <cellStyle name="Normal 32 2 3 2 3 2" xfId="15233"/>
    <cellStyle name="Normal 32 2 3 2 3 2 2" xfId="22744"/>
    <cellStyle name="Normal 32 2 3 2 3 3" xfId="15234"/>
    <cellStyle name="Normal 32 2 3 2 4" xfId="15235"/>
    <cellStyle name="Normal 32 2 3 2 4 2" xfId="22745"/>
    <cellStyle name="Normal 32 2 3 2 5" xfId="15236"/>
    <cellStyle name="Normal 32 2 3 3" xfId="15237"/>
    <cellStyle name="Normal 32 2 3 3 2" xfId="15238"/>
    <cellStyle name="Normal 32 2 3 3 2 2" xfId="22746"/>
    <cellStyle name="Normal 32 2 3 3 3" xfId="15239"/>
    <cellStyle name="Normal 32 2 3 4" xfId="15240"/>
    <cellStyle name="Normal 32 2 3 4 2" xfId="15241"/>
    <cellStyle name="Normal 32 2 3 4 2 2" xfId="22747"/>
    <cellStyle name="Normal 32 2 3 4 3" xfId="15242"/>
    <cellStyle name="Normal 32 2 3 5" xfId="15243"/>
    <cellStyle name="Normal 32 2 3 5 2" xfId="22748"/>
    <cellStyle name="Normal 32 2 3 6" xfId="15244"/>
    <cellStyle name="Normal 32 2 4" xfId="15245"/>
    <cellStyle name="Normal 32 2 4 2" xfId="15246"/>
    <cellStyle name="Normal 32 2 4 2 2" xfId="15247"/>
    <cellStyle name="Normal 32 2 4 2 2 2" xfId="22749"/>
    <cellStyle name="Normal 32 2 4 2 3" xfId="15248"/>
    <cellStyle name="Normal 32 2 4 3" xfId="15249"/>
    <cellStyle name="Normal 32 2 4 3 2" xfId="15250"/>
    <cellStyle name="Normal 32 2 4 3 2 2" xfId="22750"/>
    <cellStyle name="Normal 32 2 4 3 3" xfId="15251"/>
    <cellStyle name="Normal 32 2 4 4" xfId="15252"/>
    <cellStyle name="Normal 32 2 4 4 2" xfId="22751"/>
    <cellStyle name="Normal 32 2 4 5" xfId="15253"/>
    <cellStyle name="Normal 32 2 5" xfId="15254"/>
    <cellStyle name="Normal 32 2 5 2" xfId="15255"/>
    <cellStyle name="Normal 32 2 5 2 2" xfId="22752"/>
    <cellStyle name="Normal 32 2 5 3" xfId="15256"/>
    <cellStyle name="Normal 32 2 6" xfId="15257"/>
    <cellStyle name="Normal 32 2 6 2" xfId="15258"/>
    <cellStyle name="Normal 32 2 6 2 2" xfId="22753"/>
    <cellStyle name="Normal 32 2 6 3" xfId="15259"/>
    <cellStyle name="Normal 32 2 7" xfId="15260"/>
    <cellStyle name="Normal 32 2 7 2" xfId="22754"/>
    <cellStyle name="Normal 32 2 8" xfId="15261"/>
    <cellStyle name="Normal 32 3" xfId="1019"/>
    <cellStyle name="Normal 32 3 2" xfId="1020"/>
    <cellStyle name="Normal 32 3 2 2" xfId="15262"/>
    <cellStyle name="Normal 32 3 2 2 2" xfId="15263"/>
    <cellStyle name="Normal 32 3 2 2 2 2" xfId="15264"/>
    <cellStyle name="Normal 32 3 2 2 2 2 2" xfId="22755"/>
    <cellStyle name="Normal 32 3 2 2 2 3" xfId="15265"/>
    <cellStyle name="Normal 32 3 2 2 3" xfId="15266"/>
    <cellStyle name="Normal 32 3 2 2 3 2" xfId="15267"/>
    <cellStyle name="Normal 32 3 2 2 3 2 2" xfId="22756"/>
    <cellStyle name="Normal 32 3 2 2 3 3" xfId="15268"/>
    <cellStyle name="Normal 32 3 2 2 4" xfId="15269"/>
    <cellStyle name="Normal 32 3 2 2 4 2" xfId="22757"/>
    <cellStyle name="Normal 32 3 2 2 5" xfId="15270"/>
    <cellStyle name="Normal 32 3 2 3" xfId="15271"/>
    <cellStyle name="Normal 32 3 2 3 2" xfId="15272"/>
    <cellStyle name="Normal 32 3 2 3 2 2" xfId="22758"/>
    <cellStyle name="Normal 32 3 2 3 3" xfId="15273"/>
    <cellStyle name="Normal 32 3 2 4" xfId="15274"/>
    <cellStyle name="Normal 32 3 2 4 2" xfId="15275"/>
    <cellStyle name="Normal 32 3 2 4 2 2" xfId="22759"/>
    <cellStyle name="Normal 32 3 2 4 3" xfId="15276"/>
    <cellStyle name="Normal 32 3 2 5" xfId="15277"/>
    <cellStyle name="Normal 32 3 2 5 2" xfId="22760"/>
    <cellStyle name="Normal 32 3 2 6" xfId="15278"/>
    <cellStyle name="Normal 32 3 3" xfId="15279"/>
    <cellStyle name="Normal 32 3 3 2" xfId="15280"/>
    <cellStyle name="Normal 32 3 3 2 2" xfId="15281"/>
    <cellStyle name="Normal 32 3 3 2 2 2" xfId="22761"/>
    <cellStyle name="Normal 32 3 3 2 3" xfId="15282"/>
    <cellStyle name="Normal 32 3 3 3" xfId="15283"/>
    <cellStyle name="Normal 32 3 3 3 2" xfId="15284"/>
    <cellStyle name="Normal 32 3 3 3 2 2" xfId="22762"/>
    <cellStyle name="Normal 32 3 3 3 3" xfId="15285"/>
    <cellStyle name="Normal 32 3 3 4" xfId="15286"/>
    <cellStyle name="Normal 32 3 3 4 2" xfId="22763"/>
    <cellStyle name="Normal 32 3 3 5" xfId="15287"/>
    <cellStyle name="Normal 32 3 4" xfId="15288"/>
    <cellStyle name="Normal 32 3 4 2" xfId="15289"/>
    <cellStyle name="Normal 32 3 4 2 2" xfId="22764"/>
    <cellStyle name="Normal 32 3 4 3" xfId="15290"/>
    <cellStyle name="Normal 32 3 5" xfId="15291"/>
    <cellStyle name="Normal 32 3 5 2" xfId="15292"/>
    <cellStyle name="Normal 32 3 5 2 2" xfId="22765"/>
    <cellStyle name="Normal 32 3 5 3" xfId="15293"/>
    <cellStyle name="Normal 32 3 6" xfId="15294"/>
    <cellStyle name="Normal 32 3 6 2" xfId="22766"/>
    <cellStyle name="Normal 32 3 7" xfId="15295"/>
    <cellStyle name="Normal 32 3 8" xfId="15296"/>
    <cellStyle name="Normal 32 4" xfId="1021"/>
    <cellStyle name="Normal 32 4 2" xfId="1022"/>
    <cellStyle name="Normal 32 4 2 2" xfId="15297"/>
    <cellStyle name="Normal 32 4 2 2 2" xfId="15298"/>
    <cellStyle name="Normal 32 4 2 2 2 2" xfId="22767"/>
    <cellStyle name="Normal 32 4 2 2 3" xfId="15299"/>
    <cellStyle name="Normal 32 4 2 3" xfId="15300"/>
    <cellStyle name="Normal 32 4 2 3 2" xfId="15301"/>
    <cellStyle name="Normal 32 4 2 3 2 2" xfId="22768"/>
    <cellStyle name="Normal 32 4 2 3 3" xfId="15302"/>
    <cellStyle name="Normal 32 4 2 4" xfId="15303"/>
    <cellStyle name="Normal 32 4 2 4 2" xfId="22769"/>
    <cellStyle name="Normal 32 4 2 5" xfId="15304"/>
    <cellStyle name="Normal 32 4 3" xfId="15305"/>
    <cellStyle name="Normal 32 4 3 2" xfId="15306"/>
    <cellStyle name="Normal 32 4 3 2 2" xfId="22770"/>
    <cellStyle name="Normal 32 4 3 3" xfId="15307"/>
    <cellStyle name="Normal 32 4 4" xfId="15308"/>
    <cellStyle name="Normal 32 4 4 2" xfId="15309"/>
    <cellStyle name="Normal 32 4 4 2 2" xfId="22771"/>
    <cellStyle name="Normal 32 4 4 3" xfId="15310"/>
    <cellStyle name="Normal 32 4 5" xfId="15311"/>
    <cellStyle name="Normal 32 4 5 2" xfId="22772"/>
    <cellStyle name="Normal 32 4 6" xfId="15312"/>
    <cellStyle name="Normal 32 4 7" xfId="15313"/>
    <cellStyle name="Normal 32 5" xfId="15314"/>
    <cellStyle name="Normal 32 5 2" xfId="15315"/>
    <cellStyle name="Normal 32 5 2 2" xfId="15316"/>
    <cellStyle name="Normal 32 5 2 2 2" xfId="22773"/>
    <cellStyle name="Normal 32 5 2 3" xfId="15317"/>
    <cellStyle name="Normal 32 5 3" xfId="15318"/>
    <cellStyle name="Normal 32 5 3 2" xfId="15319"/>
    <cellStyle name="Normal 32 5 3 2 2" xfId="22774"/>
    <cellStyle name="Normal 32 5 3 3" xfId="15320"/>
    <cellStyle name="Normal 32 5 4" xfId="15321"/>
    <cellStyle name="Normal 32 5 4 2" xfId="22775"/>
    <cellStyle name="Normal 32 5 5" xfId="15322"/>
    <cellStyle name="Normal 32 6" xfId="15323"/>
    <cellStyle name="Normal 32 6 2" xfId="15324"/>
    <cellStyle name="Normal 32 6 2 2" xfId="22776"/>
    <cellStyle name="Normal 32 6 3" xfId="15325"/>
    <cellStyle name="Normal 32 7" xfId="15326"/>
    <cellStyle name="Normal 32 7 2" xfId="15327"/>
    <cellStyle name="Normal 32 7 2 2" xfId="22777"/>
    <cellStyle name="Normal 32 7 3" xfId="15328"/>
    <cellStyle name="Normal 32 8" xfId="15329"/>
    <cellStyle name="Normal 32 8 2" xfId="22778"/>
    <cellStyle name="Normal 32 9" xfId="15330"/>
    <cellStyle name="Normal 33" xfId="294"/>
    <cellStyle name="Normal 33 2" xfId="1023"/>
    <cellStyle name="Normal 33 2 2" xfId="15331"/>
    <cellStyle name="Normal 33 3" xfId="1024"/>
    <cellStyle name="Normal 33 3 2" xfId="22779"/>
    <cellStyle name="Normal 33 4" xfId="15332"/>
    <cellStyle name="Normal 33 5" xfId="22780"/>
    <cellStyle name="Normal 33 6" xfId="22781"/>
    <cellStyle name="Normal 34" xfId="295"/>
    <cellStyle name="Normal 34 2" xfId="1025"/>
    <cellStyle name="Normal 34 2 2" xfId="15333"/>
    <cellStyle name="Normal 34 3" xfId="1026"/>
    <cellStyle name="Normal 34 3 2" xfId="22782"/>
    <cellStyle name="Normal 34 4" xfId="22783"/>
    <cellStyle name="Normal 34 5" xfId="22784"/>
    <cellStyle name="Normal 34 6" xfId="22785"/>
    <cellStyle name="Normal 35" xfId="296"/>
    <cellStyle name="Normal 35 2" xfId="1027"/>
    <cellStyle name="Normal 35 2 2" xfId="1028"/>
    <cellStyle name="Normal 35 2 2 2" xfId="15334"/>
    <cellStyle name="Normal 35 2 2 2 2" xfId="15335"/>
    <cellStyle name="Normal 35 2 2 2 2 2" xfId="15336"/>
    <cellStyle name="Normal 35 2 2 2 2 2 2" xfId="22786"/>
    <cellStyle name="Normal 35 2 2 2 2 3" xfId="15337"/>
    <cellStyle name="Normal 35 2 2 2 3" xfId="15338"/>
    <cellStyle name="Normal 35 2 2 2 3 2" xfId="15339"/>
    <cellStyle name="Normal 35 2 2 2 3 2 2" xfId="22787"/>
    <cellStyle name="Normal 35 2 2 2 3 3" xfId="15340"/>
    <cellStyle name="Normal 35 2 2 2 4" xfId="15341"/>
    <cellStyle name="Normal 35 2 2 2 4 2" xfId="22788"/>
    <cellStyle name="Normal 35 2 2 2 5" xfId="15342"/>
    <cellStyle name="Normal 35 2 2 3" xfId="15343"/>
    <cellStyle name="Normal 35 2 2 3 2" xfId="15344"/>
    <cellStyle name="Normal 35 2 2 3 2 2" xfId="22789"/>
    <cellStyle name="Normal 35 2 2 3 3" xfId="15345"/>
    <cellStyle name="Normal 35 2 2 4" xfId="15346"/>
    <cellStyle name="Normal 35 2 2 4 2" xfId="15347"/>
    <cellStyle name="Normal 35 2 2 4 2 2" xfId="22790"/>
    <cellStyle name="Normal 35 2 2 4 3" xfId="15348"/>
    <cellStyle name="Normal 35 2 2 5" xfId="15349"/>
    <cellStyle name="Normal 35 2 2 5 2" xfId="22791"/>
    <cellStyle name="Normal 35 2 2 6" xfId="15350"/>
    <cellStyle name="Normal 35 2 3" xfId="15351"/>
    <cellStyle name="Normal 35 2 3 2" xfId="15352"/>
    <cellStyle name="Normal 35 2 3 2 2" xfId="15353"/>
    <cellStyle name="Normal 35 2 3 2 2 2" xfId="22792"/>
    <cellStyle name="Normal 35 2 3 2 3" xfId="15354"/>
    <cellStyle name="Normal 35 2 3 3" xfId="15355"/>
    <cellStyle name="Normal 35 2 3 3 2" xfId="15356"/>
    <cellStyle name="Normal 35 2 3 3 2 2" xfId="22793"/>
    <cellStyle name="Normal 35 2 3 3 3" xfId="15357"/>
    <cellStyle name="Normal 35 2 3 4" xfId="15358"/>
    <cellStyle name="Normal 35 2 3 4 2" xfId="22794"/>
    <cellStyle name="Normal 35 2 3 5" xfId="15359"/>
    <cellStyle name="Normal 35 2 3 6" xfId="15360"/>
    <cellStyle name="Normal 35 2 4" xfId="15361"/>
    <cellStyle name="Normal 35 2 4 2" xfId="15362"/>
    <cellStyle name="Normal 35 2 4 2 2" xfId="22795"/>
    <cellStyle name="Normal 35 2 4 3" xfId="15363"/>
    <cellStyle name="Normal 35 2 5" xfId="15364"/>
    <cellStyle name="Normal 35 2 5 2" xfId="15365"/>
    <cellStyle name="Normal 35 2 5 2 2" xfId="22796"/>
    <cellStyle name="Normal 35 2 5 3" xfId="15366"/>
    <cellStyle name="Normal 35 2 6" xfId="15367"/>
    <cellStyle name="Normal 35 2 6 2" xfId="22797"/>
    <cellStyle name="Normal 35 2 7" xfId="15368"/>
    <cellStyle name="Normal 35 2 8" xfId="15369"/>
    <cellStyle name="Normal 35 3" xfId="1029"/>
    <cellStyle name="Normal 35 3 2" xfId="1030"/>
    <cellStyle name="Normal 35 3 2 2" xfId="15370"/>
    <cellStyle name="Normal 35 3 2 2 2" xfId="15371"/>
    <cellStyle name="Normal 35 3 2 2 2 2" xfId="22798"/>
    <cellStyle name="Normal 35 3 2 2 3" xfId="15372"/>
    <cellStyle name="Normal 35 3 2 3" xfId="15373"/>
    <cellStyle name="Normal 35 3 2 3 2" xfId="15374"/>
    <cellStyle name="Normal 35 3 2 3 2 2" xfId="22799"/>
    <cellStyle name="Normal 35 3 2 3 3" xfId="15375"/>
    <cellStyle name="Normal 35 3 2 4" xfId="15376"/>
    <cellStyle name="Normal 35 3 2 4 2" xfId="22800"/>
    <cellStyle name="Normal 35 3 2 5" xfId="15377"/>
    <cellStyle name="Normal 35 3 3" xfId="15378"/>
    <cellStyle name="Normal 35 3 3 2" xfId="15379"/>
    <cellStyle name="Normal 35 3 3 2 2" xfId="22801"/>
    <cellStyle name="Normal 35 3 3 3" xfId="15380"/>
    <cellStyle name="Normal 35 3 4" xfId="15381"/>
    <cellStyle name="Normal 35 3 4 2" xfId="15382"/>
    <cellStyle name="Normal 35 3 4 2 2" xfId="22802"/>
    <cellStyle name="Normal 35 3 4 3" xfId="15383"/>
    <cellStyle name="Normal 35 3 5" xfId="15384"/>
    <cellStyle name="Normal 35 3 5 2" xfId="22803"/>
    <cellStyle name="Normal 35 3 6" xfId="15385"/>
    <cellStyle name="Normal 35 3 7" xfId="15386"/>
    <cellStyle name="Normal 35 4" xfId="15387"/>
    <cellStyle name="Normal 35 4 2" xfId="15388"/>
    <cellStyle name="Normal 35 4 2 2" xfId="15389"/>
    <cellStyle name="Normal 35 4 2 2 2" xfId="22804"/>
    <cellStyle name="Normal 35 4 2 3" xfId="15390"/>
    <cellStyle name="Normal 35 4 3" xfId="15391"/>
    <cellStyle name="Normal 35 4 3 2" xfId="15392"/>
    <cellStyle name="Normal 35 4 3 2 2" xfId="22805"/>
    <cellStyle name="Normal 35 4 3 3" xfId="15393"/>
    <cellStyle name="Normal 35 4 4" xfId="15394"/>
    <cellStyle name="Normal 35 4 4 2" xfId="22806"/>
    <cellStyle name="Normal 35 4 5" xfId="15395"/>
    <cellStyle name="Normal 35 5" xfId="15396"/>
    <cellStyle name="Normal 35 5 2" xfId="15397"/>
    <cellStyle name="Normal 35 5 2 2" xfId="22807"/>
    <cellStyle name="Normal 35 5 3" xfId="15398"/>
    <cellStyle name="Normal 35 6" xfId="15399"/>
    <cellStyle name="Normal 35 6 2" xfId="15400"/>
    <cellStyle name="Normal 35 6 2 2" xfId="22808"/>
    <cellStyle name="Normal 35 6 3" xfId="15401"/>
    <cellStyle name="Normal 35 7" xfId="15402"/>
    <cellStyle name="Normal 35 7 2" xfId="22809"/>
    <cellStyle name="Normal 35 8" xfId="15403"/>
    <cellStyle name="Normal 35 9" xfId="22810"/>
    <cellStyle name="Normal 36" xfId="297"/>
    <cellStyle name="Normal 36 2" xfId="1031"/>
    <cellStyle name="Normal 36 2 2" xfId="1032"/>
    <cellStyle name="Normal 36 2 2 2" xfId="15404"/>
    <cellStyle name="Normal 36 2 2 2 2" xfId="15405"/>
    <cellStyle name="Normal 36 2 2 2 2 2" xfId="15406"/>
    <cellStyle name="Normal 36 2 2 2 2 2 2" xfId="22811"/>
    <cellStyle name="Normal 36 2 2 2 2 3" xfId="15407"/>
    <cellStyle name="Normal 36 2 2 2 3" xfId="15408"/>
    <cellStyle name="Normal 36 2 2 2 3 2" xfId="15409"/>
    <cellStyle name="Normal 36 2 2 2 3 2 2" xfId="22812"/>
    <cellStyle name="Normal 36 2 2 2 3 3" xfId="15410"/>
    <cellStyle name="Normal 36 2 2 2 4" xfId="15411"/>
    <cellStyle name="Normal 36 2 2 2 4 2" xfId="22813"/>
    <cellStyle name="Normal 36 2 2 2 5" xfId="15412"/>
    <cellStyle name="Normal 36 2 2 3" xfId="15413"/>
    <cellStyle name="Normal 36 2 2 3 2" xfId="15414"/>
    <cellStyle name="Normal 36 2 2 3 2 2" xfId="22814"/>
    <cellStyle name="Normal 36 2 2 3 3" xfId="15415"/>
    <cellStyle name="Normal 36 2 2 4" xfId="15416"/>
    <cellStyle name="Normal 36 2 2 4 2" xfId="15417"/>
    <cellStyle name="Normal 36 2 2 4 2 2" xfId="22815"/>
    <cellStyle name="Normal 36 2 2 4 3" xfId="15418"/>
    <cellStyle name="Normal 36 2 2 5" xfId="15419"/>
    <cellStyle name="Normal 36 2 2 5 2" xfId="22816"/>
    <cellStyle name="Normal 36 2 2 6" xfId="15420"/>
    <cellStyle name="Normal 36 2 3" xfId="15421"/>
    <cellStyle name="Normal 36 2 3 2" xfId="15422"/>
    <cellStyle name="Normal 36 2 3 2 2" xfId="15423"/>
    <cellStyle name="Normal 36 2 3 2 2 2" xfId="22817"/>
    <cellStyle name="Normal 36 2 3 2 3" xfId="15424"/>
    <cellStyle name="Normal 36 2 3 3" xfId="15425"/>
    <cellStyle name="Normal 36 2 3 3 2" xfId="15426"/>
    <cellStyle name="Normal 36 2 3 3 2 2" xfId="22818"/>
    <cellStyle name="Normal 36 2 3 3 3" xfId="15427"/>
    <cellStyle name="Normal 36 2 3 4" xfId="15428"/>
    <cellStyle name="Normal 36 2 3 4 2" xfId="22819"/>
    <cellStyle name="Normal 36 2 3 5" xfId="15429"/>
    <cellStyle name="Normal 36 2 3 6" xfId="15430"/>
    <cellStyle name="Normal 36 2 4" xfId="15431"/>
    <cellStyle name="Normal 36 2 4 2" xfId="15432"/>
    <cellStyle name="Normal 36 2 4 2 2" xfId="22820"/>
    <cellStyle name="Normal 36 2 4 3" xfId="15433"/>
    <cellStyle name="Normal 36 2 5" xfId="15434"/>
    <cellStyle name="Normal 36 2 5 2" xfId="15435"/>
    <cellStyle name="Normal 36 2 5 2 2" xfId="22821"/>
    <cellStyle name="Normal 36 2 5 3" xfId="15436"/>
    <cellStyle name="Normal 36 2 6" xfId="15437"/>
    <cellStyle name="Normal 36 2 6 2" xfId="22822"/>
    <cellStyle name="Normal 36 2 7" xfId="15438"/>
    <cellStyle name="Normal 36 2 8" xfId="15439"/>
    <cellStyle name="Normal 36 3" xfId="1033"/>
    <cellStyle name="Normal 36 3 2" xfId="15440"/>
    <cellStyle name="Normal 36 3 2 2" xfId="15441"/>
    <cellStyle name="Normal 36 3 2 2 2" xfId="15442"/>
    <cellStyle name="Normal 36 3 2 2 2 2" xfId="22823"/>
    <cellStyle name="Normal 36 3 2 2 3" xfId="15443"/>
    <cellStyle name="Normal 36 3 2 3" xfId="15444"/>
    <cellStyle name="Normal 36 3 2 3 2" xfId="15445"/>
    <cellStyle name="Normal 36 3 2 3 2 2" xfId="22824"/>
    <cellStyle name="Normal 36 3 2 3 3" xfId="15446"/>
    <cellStyle name="Normal 36 3 2 4" xfId="15447"/>
    <cellStyle name="Normal 36 3 2 4 2" xfId="22825"/>
    <cellStyle name="Normal 36 3 2 5" xfId="15448"/>
    <cellStyle name="Normal 36 3 3" xfId="15449"/>
    <cellStyle name="Normal 36 3 3 2" xfId="15450"/>
    <cellStyle name="Normal 36 3 3 2 2" xfId="22826"/>
    <cellStyle name="Normal 36 3 3 3" xfId="15451"/>
    <cellStyle name="Normal 36 3 4" xfId="15452"/>
    <cellStyle name="Normal 36 3 4 2" xfId="15453"/>
    <cellStyle name="Normal 36 3 4 2 2" xfId="22827"/>
    <cellStyle name="Normal 36 3 4 3" xfId="15454"/>
    <cellStyle name="Normal 36 3 5" xfId="15455"/>
    <cellStyle name="Normal 36 3 5 2" xfId="22828"/>
    <cellStyle name="Normal 36 3 6" xfId="15456"/>
    <cellStyle name="Normal 36 4" xfId="15457"/>
    <cellStyle name="Normal 36 4 2" xfId="15458"/>
    <cellStyle name="Normal 36 4 2 2" xfId="15459"/>
    <cellStyle name="Normal 36 4 2 2 2" xfId="22829"/>
    <cellStyle name="Normal 36 4 2 3" xfId="15460"/>
    <cellStyle name="Normal 36 4 3" xfId="15461"/>
    <cellStyle name="Normal 36 4 3 2" xfId="15462"/>
    <cellStyle name="Normal 36 4 3 2 2" xfId="22830"/>
    <cellStyle name="Normal 36 4 3 3" xfId="15463"/>
    <cellStyle name="Normal 36 4 4" xfId="15464"/>
    <cellStyle name="Normal 36 4 4 2" xfId="22831"/>
    <cellStyle name="Normal 36 4 5" xfId="15465"/>
    <cellStyle name="Normal 36 5" xfId="15466"/>
    <cellStyle name="Normal 36 5 2" xfId="15467"/>
    <cellStyle name="Normal 36 5 2 2" xfId="22832"/>
    <cellStyle name="Normal 36 5 3" xfId="15468"/>
    <cellStyle name="Normal 36 6" xfId="15469"/>
    <cellStyle name="Normal 36 6 2" xfId="15470"/>
    <cellStyle name="Normal 36 6 2 2" xfId="22833"/>
    <cellStyle name="Normal 36 6 3" xfId="15471"/>
    <cellStyle name="Normal 36 7" xfId="15472"/>
    <cellStyle name="Normal 36 7 2" xfId="22834"/>
    <cellStyle name="Normal 36 8" xfId="15473"/>
    <cellStyle name="Normal 36 9" xfId="22835"/>
    <cellStyle name="Normal 37" xfId="298"/>
    <cellStyle name="Normal 37 2" xfId="1034"/>
    <cellStyle name="Normal 37 2 2" xfId="1035"/>
    <cellStyle name="Normal 37 2 2 2" xfId="15474"/>
    <cellStyle name="Normal 37 2 2 2 2" xfId="15475"/>
    <cellStyle name="Normal 37 2 2 2 2 2" xfId="15476"/>
    <cellStyle name="Normal 37 2 2 2 2 2 2" xfId="22836"/>
    <cellStyle name="Normal 37 2 2 2 2 3" xfId="15477"/>
    <cellStyle name="Normal 37 2 2 2 3" xfId="15478"/>
    <cellStyle name="Normal 37 2 2 2 3 2" xfId="15479"/>
    <cellStyle name="Normal 37 2 2 2 3 2 2" xfId="22837"/>
    <cellStyle name="Normal 37 2 2 2 3 3" xfId="15480"/>
    <cellStyle name="Normal 37 2 2 2 4" xfId="15481"/>
    <cellStyle name="Normal 37 2 2 2 4 2" xfId="22838"/>
    <cellStyle name="Normal 37 2 2 2 5" xfId="15482"/>
    <cellStyle name="Normal 37 2 2 3" xfId="15483"/>
    <cellStyle name="Normal 37 2 2 3 2" xfId="15484"/>
    <cellStyle name="Normal 37 2 2 3 2 2" xfId="22839"/>
    <cellStyle name="Normal 37 2 2 3 3" xfId="15485"/>
    <cellStyle name="Normal 37 2 2 4" xfId="15486"/>
    <cellStyle name="Normal 37 2 2 4 2" xfId="15487"/>
    <cellStyle name="Normal 37 2 2 4 2 2" xfId="22840"/>
    <cellStyle name="Normal 37 2 2 4 3" xfId="15488"/>
    <cellStyle name="Normal 37 2 2 5" xfId="15489"/>
    <cellStyle name="Normal 37 2 2 5 2" xfId="22841"/>
    <cellStyle name="Normal 37 2 2 6" xfId="15490"/>
    <cellStyle name="Normal 37 2 3" xfId="15491"/>
    <cellStyle name="Normal 37 2 3 2" xfId="15492"/>
    <cellStyle name="Normal 37 2 3 2 2" xfId="15493"/>
    <cellStyle name="Normal 37 2 3 2 2 2" xfId="22842"/>
    <cellStyle name="Normal 37 2 3 2 3" xfId="15494"/>
    <cellStyle name="Normal 37 2 3 3" xfId="15495"/>
    <cellStyle name="Normal 37 2 3 3 2" xfId="15496"/>
    <cellStyle name="Normal 37 2 3 3 2 2" xfId="22843"/>
    <cellStyle name="Normal 37 2 3 3 3" xfId="15497"/>
    <cellStyle name="Normal 37 2 3 4" xfId="15498"/>
    <cellStyle name="Normal 37 2 3 4 2" xfId="22844"/>
    <cellStyle name="Normal 37 2 3 5" xfId="15499"/>
    <cellStyle name="Normal 37 2 4" xfId="15500"/>
    <cellStyle name="Normal 37 2 4 2" xfId="15501"/>
    <cellStyle name="Normal 37 2 4 2 2" xfId="22845"/>
    <cellStyle name="Normal 37 2 4 3" xfId="15502"/>
    <cellStyle name="Normal 37 2 5" xfId="15503"/>
    <cellStyle name="Normal 37 2 5 2" xfId="15504"/>
    <cellStyle name="Normal 37 2 5 2 2" xfId="22846"/>
    <cellStyle name="Normal 37 2 5 3" xfId="15505"/>
    <cellStyle name="Normal 37 2 6" xfId="15506"/>
    <cellStyle name="Normal 37 2 6 2" xfId="22847"/>
    <cellStyle name="Normal 37 2 7" xfId="15507"/>
    <cellStyle name="Normal 37 2 8" xfId="15508"/>
    <cellStyle name="Normal 37 3" xfId="1036"/>
    <cellStyle name="Normal 37 3 2" xfId="15509"/>
    <cellStyle name="Normal 37 3 2 2" xfId="15510"/>
    <cellStyle name="Normal 37 3 2 2 2" xfId="15511"/>
    <cellStyle name="Normal 37 3 2 2 2 2" xfId="22848"/>
    <cellStyle name="Normal 37 3 2 2 3" xfId="15512"/>
    <cellStyle name="Normal 37 3 2 3" xfId="15513"/>
    <cellStyle name="Normal 37 3 2 3 2" xfId="15514"/>
    <cellStyle name="Normal 37 3 2 3 2 2" xfId="22849"/>
    <cellStyle name="Normal 37 3 2 3 3" xfId="15515"/>
    <cellStyle name="Normal 37 3 2 4" xfId="15516"/>
    <cellStyle name="Normal 37 3 2 4 2" xfId="22850"/>
    <cellStyle name="Normal 37 3 2 5" xfId="15517"/>
    <cellStyle name="Normal 37 3 3" xfId="15518"/>
    <cellStyle name="Normal 37 3 3 2" xfId="15519"/>
    <cellStyle name="Normal 37 3 3 2 2" xfId="22851"/>
    <cellStyle name="Normal 37 3 3 3" xfId="15520"/>
    <cellStyle name="Normal 37 3 4" xfId="15521"/>
    <cellStyle name="Normal 37 3 4 2" xfId="15522"/>
    <cellStyle name="Normal 37 3 4 2 2" xfId="22852"/>
    <cellStyle name="Normal 37 3 4 3" xfId="15523"/>
    <cellStyle name="Normal 37 3 5" xfId="15524"/>
    <cellStyle name="Normal 37 3 5 2" xfId="22853"/>
    <cellStyle name="Normal 37 3 6" xfId="15525"/>
    <cellStyle name="Normal 37 4" xfId="15526"/>
    <cellStyle name="Normal 37 4 2" xfId="15527"/>
    <cellStyle name="Normal 37 4 2 2" xfId="15528"/>
    <cellStyle name="Normal 37 4 2 2 2" xfId="22854"/>
    <cellStyle name="Normal 37 4 2 3" xfId="15529"/>
    <cellStyle name="Normal 37 4 3" xfId="15530"/>
    <cellStyle name="Normal 37 4 3 2" xfId="15531"/>
    <cellStyle name="Normal 37 4 3 2 2" xfId="22855"/>
    <cellStyle name="Normal 37 4 3 3" xfId="15532"/>
    <cellStyle name="Normal 37 4 4" xfId="15533"/>
    <cellStyle name="Normal 37 4 4 2" xfId="22856"/>
    <cellStyle name="Normal 37 4 5" xfId="15534"/>
    <cellStyle name="Normal 37 5" xfId="15535"/>
    <cellStyle name="Normal 37 5 2" xfId="15536"/>
    <cellStyle name="Normal 37 5 2 2" xfId="22857"/>
    <cellStyle name="Normal 37 5 3" xfId="15537"/>
    <cellStyle name="Normal 37 6" xfId="15538"/>
    <cellStyle name="Normal 37 6 2" xfId="15539"/>
    <cellStyle name="Normal 37 6 2 2" xfId="22858"/>
    <cellStyle name="Normal 37 6 3" xfId="15540"/>
    <cellStyle name="Normal 37 7" xfId="15541"/>
    <cellStyle name="Normal 37 7 2" xfId="22859"/>
    <cellStyle name="Normal 37 8" xfId="15542"/>
    <cellStyle name="Normal 37 9" xfId="22860"/>
    <cellStyle name="Normal 38" xfId="299"/>
    <cellStyle name="Normal 38 2" xfId="1037"/>
    <cellStyle name="Normal 38 2 2" xfId="1038"/>
    <cellStyle name="Normal 38 2 2 2" xfId="15543"/>
    <cellStyle name="Normal 38 2 2 2 2" xfId="15544"/>
    <cellStyle name="Normal 38 2 2 2 2 2" xfId="15545"/>
    <cellStyle name="Normal 38 2 2 2 2 2 2" xfId="22861"/>
    <cellStyle name="Normal 38 2 2 2 2 3" xfId="15546"/>
    <cellStyle name="Normal 38 2 2 2 3" xfId="15547"/>
    <cellStyle name="Normal 38 2 2 2 3 2" xfId="15548"/>
    <cellStyle name="Normal 38 2 2 2 3 2 2" xfId="22862"/>
    <cellStyle name="Normal 38 2 2 2 3 3" xfId="15549"/>
    <cellStyle name="Normal 38 2 2 2 4" xfId="15550"/>
    <cellStyle name="Normal 38 2 2 2 4 2" xfId="22863"/>
    <cellStyle name="Normal 38 2 2 2 5" xfId="15551"/>
    <cellStyle name="Normal 38 2 2 3" xfId="15552"/>
    <cellStyle name="Normal 38 2 2 3 2" xfId="15553"/>
    <cellStyle name="Normal 38 2 2 3 2 2" xfId="22864"/>
    <cellStyle name="Normal 38 2 2 3 3" xfId="15554"/>
    <cellStyle name="Normal 38 2 2 4" xfId="15555"/>
    <cellStyle name="Normal 38 2 2 4 2" xfId="15556"/>
    <cellStyle name="Normal 38 2 2 4 2 2" xfId="22865"/>
    <cellStyle name="Normal 38 2 2 4 3" xfId="15557"/>
    <cellStyle name="Normal 38 2 2 5" xfId="15558"/>
    <cellStyle name="Normal 38 2 2 5 2" xfId="22866"/>
    <cellStyle name="Normal 38 2 2 6" xfId="15559"/>
    <cellStyle name="Normal 38 2 3" xfId="15560"/>
    <cellStyle name="Normal 38 2 3 2" xfId="15561"/>
    <cellStyle name="Normal 38 2 3 2 2" xfId="15562"/>
    <cellStyle name="Normal 38 2 3 2 2 2" xfId="22867"/>
    <cellStyle name="Normal 38 2 3 2 3" xfId="15563"/>
    <cellStyle name="Normal 38 2 3 3" xfId="15564"/>
    <cellStyle name="Normal 38 2 3 3 2" xfId="15565"/>
    <cellStyle name="Normal 38 2 3 3 2 2" xfId="22868"/>
    <cellStyle name="Normal 38 2 3 3 3" xfId="15566"/>
    <cellStyle name="Normal 38 2 3 4" xfId="15567"/>
    <cellStyle name="Normal 38 2 3 4 2" xfId="22869"/>
    <cellStyle name="Normal 38 2 3 5" xfId="15568"/>
    <cellStyle name="Normal 38 2 4" xfId="15569"/>
    <cellStyle name="Normal 38 2 4 2" xfId="15570"/>
    <cellStyle name="Normal 38 2 4 2 2" xfId="22870"/>
    <cellStyle name="Normal 38 2 4 3" xfId="15571"/>
    <cellStyle name="Normal 38 2 5" xfId="15572"/>
    <cellStyle name="Normal 38 2 5 2" xfId="15573"/>
    <cellStyle name="Normal 38 2 5 2 2" xfId="22871"/>
    <cellStyle name="Normal 38 2 5 3" xfId="15574"/>
    <cellStyle name="Normal 38 2 6" xfId="15575"/>
    <cellStyle name="Normal 38 2 6 2" xfId="22872"/>
    <cellStyle name="Normal 38 2 7" xfId="15576"/>
    <cellStyle name="Normal 38 2 8" xfId="15577"/>
    <cellStyle name="Normal 38 3" xfId="1039"/>
    <cellStyle name="Normal 38 3 2" xfId="15578"/>
    <cellStyle name="Normal 38 3 2 2" xfId="15579"/>
    <cellStyle name="Normal 38 3 2 2 2" xfId="15580"/>
    <cellStyle name="Normal 38 3 2 2 2 2" xfId="22873"/>
    <cellStyle name="Normal 38 3 2 2 3" xfId="15581"/>
    <cellStyle name="Normal 38 3 2 3" xfId="15582"/>
    <cellStyle name="Normal 38 3 2 3 2" xfId="15583"/>
    <cellStyle name="Normal 38 3 2 3 2 2" xfId="22874"/>
    <cellStyle name="Normal 38 3 2 3 3" xfId="15584"/>
    <cellStyle name="Normal 38 3 2 4" xfId="15585"/>
    <cellStyle name="Normal 38 3 2 4 2" xfId="22875"/>
    <cellStyle name="Normal 38 3 2 5" xfId="15586"/>
    <cellStyle name="Normal 38 3 3" xfId="15587"/>
    <cellStyle name="Normal 38 3 3 2" xfId="15588"/>
    <cellStyle name="Normal 38 3 3 2 2" xfId="22876"/>
    <cellStyle name="Normal 38 3 3 3" xfId="15589"/>
    <cellStyle name="Normal 38 3 4" xfId="15590"/>
    <cellStyle name="Normal 38 3 4 2" xfId="15591"/>
    <cellStyle name="Normal 38 3 4 2 2" xfId="22877"/>
    <cellStyle name="Normal 38 3 4 3" xfId="15592"/>
    <cellStyle name="Normal 38 3 5" xfId="15593"/>
    <cellStyle name="Normal 38 3 5 2" xfId="22878"/>
    <cellStyle name="Normal 38 3 6" xfId="15594"/>
    <cellStyle name="Normal 38 4" xfId="15595"/>
    <cellStyle name="Normal 38 4 2" xfId="15596"/>
    <cellStyle name="Normal 38 4 2 2" xfId="15597"/>
    <cellStyle name="Normal 38 4 2 2 2" xfId="22879"/>
    <cellStyle name="Normal 38 4 2 3" xfId="15598"/>
    <cellStyle name="Normal 38 4 3" xfId="15599"/>
    <cellStyle name="Normal 38 4 3 2" xfId="15600"/>
    <cellStyle name="Normal 38 4 3 2 2" xfId="22880"/>
    <cellStyle name="Normal 38 4 3 3" xfId="15601"/>
    <cellStyle name="Normal 38 4 4" xfId="15602"/>
    <cellStyle name="Normal 38 4 4 2" xfId="22881"/>
    <cellStyle name="Normal 38 4 5" xfId="15603"/>
    <cellStyle name="Normal 38 5" xfId="15604"/>
    <cellStyle name="Normal 38 5 2" xfId="15605"/>
    <cellStyle name="Normal 38 5 2 2" xfId="22882"/>
    <cellStyle name="Normal 38 5 3" xfId="15606"/>
    <cellStyle name="Normal 38 6" xfId="15607"/>
    <cellStyle name="Normal 38 6 2" xfId="15608"/>
    <cellStyle name="Normal 38 6 2 2" xfId="22883"/>
    <cellStyle name="Normal 38 6 3" xfId="15609"/>
    <cellStyle name="Normal 38 7" xfId="15610"/>
    <cellStyle name="Normal 38 7 2" xfId="22884"/>
    <cellStyle name="Normal 38 8" xfId="15611"/>
    <cellStyle name="Normal 38 9" xfId="22885"/>
    <cellStyle name="Normal 39" xfId="300"/>
    <cellStyle name="Normal 39 2" xfId="1040"/>
    <cellStyle name="Normal 39 2 2" xfId="1041"/>
    <cellStyle name="Normal 39 2 2 2" xfId="15612"/>
    <cellStyle name="Normal 39 2 2 2 2" xfId="15613"/>
    <cellStyle name="Normal 39 2 2 2 2 2" xfId="15614"/>
    <cellStyle name="Normal 39 2 2 2 2 2 2" xfId="22886"/>
    <cellStyle name="Normal 39 2 2 2 2 3" xfId="15615"/>
    <cellStyle name="Normal 39 2 2 2 3" xfId="15616"/>
    <cellStyle name="Normal 39 2 2 2 3 2" xfId="15617"/>
    <cellStyle name="Normal 39 2 2 2 3 2 2" xfId="22887"/>
    <cellStyle name="Normal 39 2 2 2 3 3" xfId="15618"/>
    <cellStyle name="Normal 39 2 2 2 4" xfId="15619"/>
    <cellStyle name="Normal 39 2 2 2 4 2" xfId="22888"/>
    <cellStyle name="Normal 39 2 2 2 5" xfId="15620"/>
    <cellStyle name="Normal 39 2 2 3" xfId="15621"/>
    <cellStyle name="Normal 39 2 2 3 2" xfId="15622"/>
    <cellStyle name="Normal 39 2 2 3 2 2" xfId="22889"/>
    <cellStyle name="Normal 39 2 2 3 3" xfId="15623"/>
    <cellStyle name="Normal 39 2 2 4" xfId="15624"/>
    <cellStyle name="Normal 39 2 2 4 2" xfId="15625"/>
    <cellStyle name="Normal 39 2 2 4 2 2" xfId="22890"/>
    <cellStyle name="Normal 39 2 2 4 3" xfId="15626"/>
    <cellStyle name="Normal 39 2 2 5" xfId="15627"/>
    <cellStyle name="Normal 39 2 2 5 2" xfId="22891"/>
    <cellStyle name="Normal 39 2 2 6" xfId="15628"/>
    <cellStyle name="Normal 39 2 3" xfId="15629"/>
    <cellStyle name="Normal 39 2 3 2" xfId="15630"/>
    <cellStyle name="Normal 39 2 3 2 2" xfId="15631"/>
    <cellStyle name="Normal 39 2 3 2 2 2" xfId="22892"/>
    <cellStyle name="Normal 39 2 3 2 3" xfId="15632"/>
    <cellStyle name="Normal 39 2 3 3" xfId="15633"/>
    <cellStyle name="Normal 39 2 3 3 2" xfId="15634"/>
    <cellStyle name="Normal 39 2 3 3 2 2" xfId="22893"/>
    <cellStyle name="Normal 39 2 3 3 3" xfId="15635"/>
    <cellStyle name="Normal 39 2 3 4" xfId="15636"/>
    <cellStyle name="Normal 39 2 3 4 2" xfId="22894"/>
    <cellStyle name="Normal 39 2 3 5" xfId="15637"/>
    <cellStyle name="Normal 39 2 4" xfId="15638"/>
    <cellStyle name="Normal 39 2 4 2" xfId="15639"/>
    <cellStyle name="Normal 39 2 4 2 2" xfId="22895"/>
    <cellStyle name="Normal 39 2 4 3" xfId="15640"/>
    <cellStyle name="Normal 39 2 5" xfId="15641"/>
    <cellStyle name="Normal 39 2 5 2" xfId="15642"/>
    <cellStyle name="Normal 39 2 5 2 2" xfId="22896"/>
    <cellStyle name="Normal 39 2 5 3" xfId="15643"/>
    <cellStyle name="Normal 39 2 6" xfId="15644"/>
    <cellStyle name="Normal 39 2 6 2" xfId="22897"/>
    <cellStyle name="Normal 39 2 7" xfId="15645"/>
    <cellStyle name="Normal 39 2 8" xfId="15646"/>
    <cellStyle name="Normal 39 3" xfId="1042"/>
    <cellStyle name="Normal 39 3 2" xfId="15647"/>
    <cellStyle name="Normal 39 3 2 2" xfId="15648"/>
    <cellStyle name="Normal 39 3 2 2 2" xfId="15649"/>
    <cellStyle name="Normal 39 3 2 2 2 2" xfId="22898"/>
    <cellStyle name="Normal 39 3 2 2 3" xfId="15650"/>
    <cellStyle name="Normal 39 3 2 3" xfId="15651"/>
    <cellStyle name="Normal 39 3 2 3 2" xfId="15652"/>
    <cellStyle name="Normal 39 3 2 3 2 2" xfId="22899"/>
    <cellStyle name="Normal 39 3 2 3 3" xfId="15653"/>
    <cellStyle name="Normal 39 3 2 4" xfId="15654"/>
    <cellStyle name="Normal 39 3 2 4 2" xfId="22900"/>
    <cellStyle name="Normal 39 3 2 5" xfId="15655"/>
    <cellStyle name="Normal 39 3 3" xfId="15656"/>
    <cellStyle name="Normal 39 3 3 2" xfId="15657"/>
    <cellStyle name="Normal 39 3 3 2 2" xfId="22901"/>
    <cellStyle name="Normal 39 3 3 3" xfId="15658"/>
    <cellStyle name="Normal 39 3 4" xfId="15659"/>
    <cellStyle name="Normal 39 3 4 2" xfId="15660"/>
    <cellStyle name="Normal 39 3 4 2 2" xfId="22902"/>
    <cellStyle name="Normal 39 3 4 3" xfId="15661"/>
    <cellStyle name="Normal 39 3 5" xfId="15662"/>
    <cellStyle name="Normal 39 3 5 2" xfId="22903"/>
    <cellStyle name="Normal 39 3 6" xfId="15663"/>
    <cellStyle name="Normal 39 4" xfId="15664"/>
    <cellStyle name="Normal 39 4 2" xfId="15665"/>
    <cellStyle name="Normal 39 4 2 2" xfId="15666"/>
    <cellStyle name="Normal 39 4 2 2 2" xfId="22904"/>
    <cellStyle name="Normal 39 4 2 3" xfId="15667"/>
    <cellStyle name="Normal 39 4 3" xfId="15668"/>
    <cellStyle name="Normal 39 4 3 2" xfId="15669"/>
    <cellStyle name="Normal 39 4 3 2 2" xfId="22905"/>
    <cellStyle name="Normal 39 4 3 3" xfId="15670"/>
    <cellStyle name="Normal 39 4 4" xfId="15671"/>
    <cellStyle name="Normal 39 4 4 2" xfId="22906"/>
    <cellStyle name="Normal 39 4 5" xfId="15672"/>
    <cellStyle name="Normal 39 5" xfId="15673"/>
    <cellStyle name="Normal 39 5 2" xfId="15674"/>
    <cellStyle name="Normal 39 5 2 2" xfId="22907"/>
    <cellStyle name="Normal 39 5 3" xfId="15675"/>
    <cellStyle name="Normal 39 6" xfId="15676"/>
    <cellStyle name="Normal 39 6 2" xfId="15677"/>
    <cellStyle name="Normal 39 6 2 2" xfId="22908"/>
    <cellStyle name="Normal 39 6 3" xfId="15678"/>
    <cellStyle name="Normal 39 7" xfId="15679"/>
    <cellStyle name="Normal 39 7 2" xfId="22909"/>
    <cellStyle name="Normal 39 8" xfId="15680"/>
    <cellStyle name="Normal 39 9" xfId="22910"/>
    <cellStyle name="Normal 4" xfId="46"/>
    <cellStyle name="Normal 4 2" xfId="47"/>
    <cellStyle name="Normal 4 2 2" xfId="1043"/>
    <cellStyle name="Normal 4 2 2 2" xfId="1044"/>
    <cellStyle name="Normal 4 2 2 2 2" xfId="15681"/>
    <cellStyle name="Normal 4 2 2 2 2 2" xfId="15682"/>
    <cellStyle name="Normal 4 2 2 2 2 2 2" xfId="22911"/>
    <cellStyle name="Normal 4 2 2 2 2 3" xfId="15683"/>
    <cellStyle name="Normal 4 2 2 2 3" xfId="15684"/>
    <cellStyle name="Normal 4 2 2 2 3 2" xfId="15685"/>
    <cellStyle name="Normal 4 2 2 2 3 2 2" xfId="22912"/>
    <cellStyle name="Normal 4 2 2 2 3 3" xfId="15686"/>
    <cellStyle name="Normal 4 2 2 2 4" xfId="15687"/>
    <cellStyle name="Normal 4 2 2 2 4 2" xfId="22913"/>
    <cellStyle name="Normal 4 2 2 2 5" xfId="15688"/>
    <cellStyle name="Normal 4 2 2 3" xfId="15689"/>
    <cellStyle name="Normal 4 2 2 3 2" xfId="15690"/>
    <cellStyle name="Normal 4 2 2 3 2 2" xfId="22914"/>
    <cellStyle name="Normal 4 2 2 3 3" xfId="15691"/>
    <cellStyle name="Normal 4 2 2 4" xfId="15692"/>
    <cellStyle name="Normal 4 2 2 4 2" xfId="15693"/>
    <cellStyle name="Normal 4 2 2 4 2 2" xfId="22915"/>
    <cellStyle name="Normal 4 2 2 4 3" xfId="15694"/>
    <cellStyle name="Normal 4 2 2 5" xfId="15695"/>
    <cellStyle name="Normal 4 2 2 5 2" xfId="22916"/>
    <cellStyle name="Normal 4 2 2 6" xfId="15696"/>
    <cellStyle name="Normal 4 2 2 7" xfId="22917"/>
    <cellStyle name="Normal 4 2 3" xfId="1045"/>
    <cellStyle name="Normal 4 2 3 2" xfId="15697"/>
    <cellStyle name="Normal 4 2 3 2 2" xfId="15698"/>
    <cellStyle name="Normal 4 2 3 2 2 2" xfId="22918"/>
    <cellStyle name="Normal 4 2 3 2 3" xfId="15699"/>
    <cellStyle name="Normal 4 2 3 2 4" xfId="15700"/>
    <cellStyle name="Normal 4 2 3 3" xfId="15701"/>
    <cellStyle name="Normal 4 2 3 3 2" xfId="15702"/>
    <cellStyle name="Normal 4 2 3 3 2 2" xfId="22919"/>
    <cellStyle name="Normal 4 2 3 3 3" xfId="15703"/>
    <cellStyle name="Normal 4 2 3 4" xfId="15704"/>
    <cellStyle name="Normal 4 2 3 4 2" xfId="22920"/>
    <cellStyle name="Normal 4 2 3 5" xfId="15705"/>
    <cellStyle name="Normal 4 2 4" xfId="1046"/>
    <cellStyle name="Normal 4 2 4 2" xfId="15706"/>
    <cellStyle name="Normal 4 2 4 2 2" xfId="22921"/>
    <cellStyle name="Normal 4 2 4 3" xfId="15707"/>
    <cellStyle name="Normal 4 2 5" xfId="15708"/>
    <cellStyle name="Normal 4 2 5 2" xfId="15709"/>
    <cellStyle name="Normal 4 2 5 2 2" xfId="22922"/>
    <cellStyle name="Normal 4 2 5 3" xfId="15710"/>
    <cellStyle name="Normal 4 2 6" xfId="15711"/>
    <cellStyle name="Normal 4 2 6 2" xfId="22923"/>
    <cellStyle name="Normal 4 2 7" xfId="15712"/>
    <cellStyle name="Normal 4 2 8" xfId="22924"/>
    <cellStyle name="Normal 4 3" xfId="48"/>
    <cellStyle name="Normal 4 3 2" xfId="1047"/>
    <cellStyle name="Normal 4 3 2 2" xfId="1048"/>
    <cellStyle name="Normal 4 3 2 2 2" xfId="15713"/>
    <cellStyle name="Normal 4 3 2 3" xfId="15714"/>
    <cellStyle name="Normal 4 3 2 3 2" xfId="22925"/>
    <cellStyle name="Normal 4 3 2 4" xfId="22926"/>
    <cellStyle name="Normal 4 3 2 5" xfId="22927"/>
    <cellStyle name="Normal 4 3 3" xfId="1049"/>
    <cellStyle name="Normal 4 3 3 2" xfId="22928"/>
    <cellStyle name="Normal 4 3 4" xfId="15715"/>
    <cellStyle name="Normal 4 3 4 2" xfId="22929"/>
    <cellStyle name="Normal 4 3 5" xfId="15716"/>
    <cellStyle name="Normal 4 3 5 2" xfId="22930"/>
    <cellStyle name="Normal 4 3 6" xfId="22931"/>
    <cellStyle name="Normal 4 3 7" xfId="22932"/>
    <cellStyle name="Normal 4 4" xfId="1050"/>
    <cellStyle name="Normal 4 4 2" xfId="1051"/>
    <cellStyle name="Normal 4 4 2 2" xfId="22933"/>
    <cellStyle name="Normal 4 4 3" xfId="15717"/>
    <cellStyle name="Normal 4 4 4" xfId="22934"/>
    <cellStyle name="Normal 4 5" xfId="1052"/>
    <cellStyle name="Normal 4 5 2" xfId="22935"/>
    <cellStyle name="Normal 4 6" xfId="15718"/>
    <cellStyle name="Normal 4 7" xfId="22936"/>
    <cellStyle name="Normal 4_2015 PULLS" xfId="15719"/>
    <cellStyle name="Normal 40" xfId="301"/>
    <cellStyle name="Normal 40 2" xfId="1053"/>
    <cellStyle name="Normal 40 2 2" xfId="1054"/>
    <cellStyle name="Normal 40 2 2 2" xfId="15720"/>
    <cellStyle name="Normal 40 2 2 2 2" xfId="15721"/>
    <cellStyle name="Normal 40 2 2 2 2 2" xfId="15722"/>
    <cellStyle name="Normal 40 2 2 2 2 2 2" xfId="22937"/>
    <cellStyle name="Normal 40 2 2 2 2 3" xfId="15723"/>
    <cellStyle name="Normal 40 2 2 2 3" xfId="15724"/>
    <cellStyle name="Normal 40 2 2 2 3 2" xfId="15725"/>
    <cellStyle name="Normal 40 2 2 2 3 2 2" xfId="22938"/>
    <cellStyle name="Normal 40 2 2 2 3 3" xfId="15726"/>
    <cellStyle name="Normal 40 2 2 2 4" xfId="15727"/>
    <cellStyle name="Normal 40 2 2 2 4 2" xfId="22939"/>
    <cellStyle name="Normal 40 2 2 2 5" xfId="15728"/>
    <cellStyle name="Normal 40 2 2 3" xfId="15729"/>
    <cellStyle name="Normal 40 2 2 3 2" xfId="15730"/>
    <cellStyle name="Normal 40 2 2 3 2 2" xfId="22940"/>
    <cellStyle name="Normal 40 2 2 3 3" xfId="15731"/>
    <cellStyle name="Normal 40 2 2 4" xfId="15732"/>
    <cellStyle name="Normal 40 2 2 4 2" xfId="15733"/>
    <cellStyle name="Normal 40 2 2 4 2 2" xfId="22941"/>
    <cellStyle name="Normal 40 2 2 4 3" xfId="15734"/>
    <cellStyle name="Normal 40 2 2 5" xfId="15735"/>
    <cellStyle name="Normal 40 2 2 5 2" xfId="22942"/>
    <cellStyle name="Normal 40 2 2 6" xfId="15736"/>
    <cellStyle name="Normal 40 2 3" xfId="15737"/>
    <cellStyle name="Normal 40 2 3 2" xfId="15738"/>
    <cellStyle name="Normal 40 2 3 2 2" xfId="15739"/>
    <cellStyle name="Normal 40 2 3 2 2 2" xfId="22943"/>
    <cellStyle name="Normal 40 2 3 2 3" xfId="15740"/>
    <cellStyle name="Normal 40 2 3 3" xfId="15741"/>
    <cellStyle name="Normal 40 2 3 3 2" xfId="15742"/>
    <cellStyle name="Normal 40 2 3 3 2 2" xfId="22944"/>
    <cellStyle name="Normal 40 2 3 3 3" xfId="15743"/>
    <cellStyle name="Normal 40 2 3 4" xfId="15744"/>
    <cellStyle name="Normal 40 2 3 4 2" xfId="22945"/>
    <cellStyle name="Normal 40 2 3 5" xfId="15745"/>
    <cellStyle name="Normal 40 2 4" xfId="15746"/>
    <cellStyle name="Normal 40 2 4 2" xfId="15747"/>
    <cellStyle name="Normal 40 2 4 2 2" xfId="22946"/>
    <cellStyle name="Normal 40 2 4 3" xfId="15748"/>
    <cellStyle name="Normal 40 2 5" xfId="15749"/>
    <cellStyle name="Normal 40 2 5 2" xfId="15750"/>
    <cellStyle name="Normal 40 2 5 2 2" xfId="22947"/>
    <cellStyle name="Normal 40 2 5 3" xfId="15751"/>
    <cellStyle name="Normal 40 2 6" xfId="15752"/>
    <cellStyle name="Normal 40 2 6 2" xfId="22948"/>
    <cellStyle name="Normal 40 2 7" xfId="15753"/>
    <cellStyle name="Normal 40 2 8" xfId="15754"/>
    <cellStyle name="Normal 40 3" xfId="1055"/>
    <cellStyle name="Normal 40 3 2" xfId="15755"/>
    <cellStyle name="Normal 40 3 2 2" xfId="15756"/>
    <cellStyle name="Normal 40 3 2 2 2" xfId="15757"/>
    <cellStyle name="Normal 40 3 2 2 2 2" xfId="22949"/>
    <cellStyle name="Normal 40 3 2 2 3" xfId="15758"/>
    <cellStyle name="Normal 40 3 2 3" xfId="15759"/>
    <cellStyle name="Normal 40 3 2 3 2" xfId="15760"/>
    <cellStyle name="Normal 40 3 2 3 2 2" xfId="22950"/>
    <cellStyle name="Normal 40 3 2 3 3" xfId="15761"/>
    <cellStyle name="Normal 40 3 2 4" xfId="15762"/>
    <cellStyle name="Normal 40 3 2 4 2" xfId="22951"/>
    <cellStyle name="Normal 40 3 2 5" xfId="15763"/>
    <cellStyle name="Normal 40 3 3" xfId="15764"/>
    <cellStyle name="Normal 40 3 3 2" xfId="15765"/>
    <cellStyle name="Normal 40 3 3 2 2" xfId="22952"/>
    <cellStyle name="Normal 40 3 3 3" xfId="15766"/>
    <cellStyle name="Normal 40 3 4" xfId="15767"/>
    <cellStyle name="Normal 40 3 4 2" xfId="15768"/>
    <cellStyle name="Normal 40 3 4 2 2" xfId="22953"/>
    <cellStyle name="Normal 40 3 4 3" xfId="15769"/>
    <cellStyle name="Normal 40 3 5" xfId="15770"/>
    <cellStyle name="Normal 40 3 5 2" xfId="22954"/>
    <cellStyle name="Normal 40 3 6" xfId="15771"/>
    <cellStyle name="Normal 40 4" xfId="15772"/>
    <cellStyle name="Normal 40 4 2" xfId="15773"/>
    <cellStyle name="Normal 40 4 2 2" xfId="15774"/>
    <cellStyle name="Normal 40 4 2 2 2" xfId="22955"/>
    <cellStyle name="Normal 40 4 2 3" xfId="15775"/>
    <cellStyle name="Normal 40 4 3" xfId="15776"/>
    <cellStyle name="Normal 40 4 3 2" xfId="15777"/>
    <cellStyle name="Normal 40 4 3 2 2" xfId="22956"/>
    <cellStyle name="Normal 40 4 3 3" xfId="15778"/>
    <cellStyle name="Normal 40 4 4" xfId="15779"/>
    <cellStyle name="Normal 40 4 4 2" xfId="22957"/>
    <cellStyle name="Normal 40 4 5" xfId="15780"/>
    <cellStyle name="Normal 40 5" xfId="15781"/>
    <cellStyle name="Normal 40 5 2" xfId="15782"/>
    <cellStyle name="Normal 40 5 2 2" xfId="22958"/>
    <cellStyle name="Normal 40 5 3" xfId="15783"/>
    <cellStyle name="Normal 40 6" xfId="15784"/>
    <cellStyle name="Normal 40 6 2" xfId="15785"/>
    <cellStyle name="Normal 40 6 2 2" xfId="22959"/>
    <cellStyle name="Normal 40 6 3" xfId="15786"/>
    <cellStyle name="Normal 40 7" xfId="15787"/>
    <cellStyle name="Normal 40 7 2" xfId="22960"/>
    <cellStyle name="Normal 40 8" xfId="15788"/>
    <cellStyle name="Normal 40 9" xfId="22961"/>
    <cellStyle name="Normal 41" xfId="302"/>
    <cellStyle name="Normal 41 2" xfId="1056"/>
    <cellStyle name="Normal 41 2 2" xfId="1057"/>
    <cellStyle name="Normal 41 2 2 2" xfId="15789"/>
    <cellStyle name="Normal 41 2 2 2 2" xfId="15790"/>
    <cellStyle name="Normal 41 2 2 2 2 2" xfId="15791"/>
    <cellStyle name="Normal 41 2 2 2 2 2 2" xfId="22962"/>
    <cellStyle name="Normal 41 2 2 2 2 3" xfId="15792"/>
    <cellStyle name="Normal 41 2 2 2 3" xfId="15793"/>
    <cellStyle name="Normal 41 2 2 2 3 2" xfId="15794"/>
    <cellStyle name="Normal 41 2 2 2 3 2 2" xfId="22963"/>
    <cellStyle name="Normal 41 2 2 2 3 3" xfId="15795"/>
    <cellStyle name="Normal 41 2 2 2 4" xfId="15796"/>
    <cellStyle name="Normal 41 2 2 2 4 2" xfId="22964"/>
    <cellStyle name="Normal 41 2 2 2 5" xfId="15797"/>
    <cellStyle name="Normal 41 2 2 3" xfId="15798"/>
    <cellStyle name="Normal 41 2 2 3 2" xfId="15799"/>
    <cellStyle name="Normal 41 2 2 3 2 2" xfId="22965"/>
    <cellStyle name="Normal 41 2 2 3 3" xfId="15800"/>
    <cellStyle name="Normal 41 2 2 4" xfId="15801"/>
    <cellStyle name="Normal 41 2 2 4 2" xfId="15802"/>
    <cellStyle name="Normal 41 2 2 4 2 2" xfId="22966"/>
    <cellStyle name="Normal 41 2 2 4 3" xfId="15803"/>
    <cellStyle name="Normal 41 2 2 5" xfId="15804"/>
    <cellStyle name="Normal 41 2 2 5 2" xfId="22967"/>
    <cellStyle name="Normal 41 2 2 6" xfId="15805"/>
    <cellStyle name="Normal 41 2 3" xfId="15806"/>
    <cellStyle name="Normal 41 2 3 2" xfId="15807"/>
    <cellStyle name="Normal 41 2 3 2 2" xfId="15808"/>
    <cellStyle name="Normal 41 2 3 2 2 2" xfId="22968"/>
    <cellStyle name="Normal 41 2 3 2 3" xfId="15809"/>
    <cellStyle name="Normal 41 2 3 3" xfId="15810"/>
    <cellStyle name="Normal 41 2 3 3 2" xfId="15811"/>
    <cellStyle name="Normal 41 2 3 3 2 2" xfId="22969"/>
    <cellStyle name="Normal 41 2 3 3 3" xfId="15812"/>
    <cellStyle name="Normal 41 2 3 4" xfId="15813"/>
    <cellStyle name="Normal 41 2 3 4 2" xfId="22970"/>
    <cellStyle name="Normal 41 2 3 5" xfId="15814"/>
    <cellStyle name="Normal 41 2 4" xfId="15815"/>
    <cellStyle name="Normal 41 2 4 2" xfId="15816"/>
    <cellStyle name="Normal 41 2 4 2 2" xfId="22971"/>
    <cellStyle name="Normal 41 2 4 3" xfId="15817"/>
    <cellStyle name="Normal 41 2 5" xfId="15818"/>
    <cellStyle name="Normal 41 2 5 2" xfId="15819"/>
    <cellStyle name="Normal 41 2 5 2 2" xfId="22972"/>
    <cellStyle name="Normal 41 2 5 3" xfId="15820"/>
    <cellStyle name="Normal 41 2 6" xfId="15821"/>
    <cellStyle name="Normal 41 2 6 2" xfId="22973"/>
    <cellStyle name="Normal 41 2 7" xfId="15822"/>
    <cellStyle name="Normal 41 2 8" xfId="15823"/>
    <cellStyle name="Normal 41 3" xfId="1058"/>
    <cellStyle name="Normal 41 3 2" xfId="15824"/>
    <cellStyle name="Normal 41 3 2 2" xfId="15825"/>
    <cellStyle name="Normal 41 3 2 2 2" xfId="15826"/>
    <cellStyle name="Normal 41 3 2 2 2 2" xfId="22974"/>
    <cellStyle name="Normal 41 3 2 2 3" xfId="15827"/>
    <cellStyle name="Normal 41 3 2 3" xfId="15828"/>
    <cellStyle name="Normal 41 3 2 3 2" xfId="15829"/>
    <cellStyle name="Normal 41 3 2 3 2 2" xfId="22975"/>
    <cellStyle name="Normal 41 3 2 3 3" xfId="15830"/>
    <cellStyle name="Normal 41 3 2 4" xfId="15831"/>
    <cellStyle name="Normal 41 3 2 4 2" xfId="22976"/>
    <cellStyle name="Normal 41 3 2 5" xfId="15832"/>
    <cellStyle name="Normal 41 3 3" xfId="15833"/>
    <cellStyle name="Normal 41 3 3 2" xfId="15834"/>
    <cellStyle name="Normal 41 3 3 2 2" xfId="22977"/>
    <cellStyle name="Normal 41 3 3 3" xfId="15835"/>
    <cellStyle name="Normal 41 3 4" xfId="15836"/>
    <cellStyle name="Normal 41 3 4 2" xfId="15837"/>
    <cellStyle name="Normal 41 3 4 2 2" xfId="22978"/>
    <cellStyle name="Normal 41 3 4 3" xfId="15838"/>
    <cellStyle name="Normal 41 3 5" xfId="15839"/>
    <cellStyle name="Normal 41 3 5 2" xfId="22979"/>
    <cellStyle name="Normal 41 3 6" xfId="15840"/>
    <cellStyle name="Normal 41 4" xfId="15841"/>
    <cellStyle name="Normal 41 4 2" xfId="15842"/>
    <cellStyle name="Normal 41 4 2 2" xfId="15843"/>
    <cellStyle name="Normal 41 4 2 2 2" xfId="22980"/>
    <cellStyle name="Normal 41 4 2 3" xfId="15844"/>
    <cellStyle name="Normal 41 4 3" xfId="15845"/>
    <cellStyle name="Normal 41 4 3 2" xfId="15846"/>
    <cellStyle name="Normal 41 4 3 2 2" xfId="22981"/>
    <cellStyle name="Normal 41 4 3 3" xfId="15847"/>
    <cellStyle name="Normal 41 4 4" xfId="15848"/>
    <cellStyle name="Normal 41 4 4 2" xfId="22982"/>
    <cellStyle name="Normal 41 4 5" xfId="15849"/>
    <cellStyle name="Normal 41 5" xfId="15850"/>
    <cellStyle name="Normal 41 5 2" xfId="15851"/>
    <cellStyle name="Normal 41 5 2 2" xfId="22983"/>
    <cellStyle name="Normal 41 5 3" xfId="15852"/>
    <cellStyle name="Normal 41 6" xfId="15853"/>
    <cellStyle name="Normal 41 6 2" xfId="15854"/>
    <cellStyle name="Normal 41 6 2 2" xfId="22984"/>
    <cellStyle name="Normal 41 6 3" xfId="15855"/>
    <cellStyle name="Normal 41 7" xfId="15856"/>
    <cellStyle name="Normal 41 7 2" xfId="22985"/>
    <cellStyle name="Normal 41 8" xfId="15857"/>
    <cellStyle name="Normal 41 9" xfId="22986"/>
    <cellStyle name="Normal 42" xfId="303"/>
    <cellStyle name="Normal 42 2" xfId="1059"/>
    <cellStyle name="Normal 42 2 2" xfId="22987"/>
    <cellStyle name="Normal 42 3" xfId="1060"/>
    <cellStyle name="Normal 42 3 2" xfId="22988"/>
    <cellStyle name="Normal 42 4" xfId="22989"/>
    <cellStyle name="Normal 42 5" xfId="22990"/>
    <cellStyle name="Normal 43" xfId="304"/>
    <cellStyle name="Normal 43 2" xfId="1061"/>
    <cellStyle name="Normal 43 2 2" xfId="15858"/>
    <cellStyle name="Normal 43 2 2 2" xfId="15859"/>
    <cellStyle name="Normal 43 2 2 2 2" xfId="15860"/>
    <cellStyle name="Normal 43 2 2 2 2 2" xfId="15861"/>
    <cellStyle name="Normal 43 2 2 2 2 2 2" xfId="22991"/>
    <cellStyle name="Normal 43 2 2 2 2 3" xfId="15862"/>
    <cellStyle name="Normal 43 2 2 2 3" xfId="15863"/>
    <cellStyle name="Normal 43 2 2 2 3 2" xfId="15864"/>
    <cellStyle name="Normal 43 2 2 2 3 2 2" xfId="22992"/>
    <cellStyle name="Normal 43 2 2 2 3 3" xfId="15865"/>
    <cellStyle name="Normal 43 2 2 2 4" xfId="15866"/>
    <cellStyle name="Normal 43 2 2 2 4 2" xfId="22993"/>
    <cellStyle name="Normal 43 2 2 2 5" xfId="15867"/>
    <cellStyle name="Normal 43 2 2 3" xfId="15868"/>
    <cellStyle name="Normal 43 2 2 3 2" xfId="15869"/>
    <cellStyle name="Normal 43 2 2 3 2 2" xfId="22994"/>
    <cellStyle name="Normal 43 2 2 3 3" xfId="15870"/>
    <cellStyle name="Normal 43 2 2 4" xfId="15871"/>
    <cellStyle name="Normal 43 2 2 4 2" xfId="15872"/>
    <cellStyle name="Normal 43 2 2 4 2 2" xfId="22995"/>
    <cellStyle name="Normal 43 2 2 4 3" xfId="15873"/>
    <cellStyle name="Normal 43 2 2 5" xfId="15874"/>
    <cellStyle name="Normal 43 2 2 5 2" xfId="22996"/>
    <cellStyle name="Normal 43 2 2 6" xfId="15875"/>
    <cellStyle name="Normal 43 2 3" xfId="15876"/>
    <cellStyle name="Normal 43 2 3 2" xfId="15877"/>
    <cellStyle name="Normal 43 2 3 2 2" xfId="15878"/>
    <cellStyle name="Normal 43 2 3 2 2 2" xfId="22997"/>
    <cellStyle name="Normal 43 2 3 2 3" xfId="15879"/>
    <cellStyle name="Normal 43 2 3 3" xfId="15880"/>
    <cellStyle name="Normal 43 2 3 3 2" xfId="15881"/>
    <cellStyle name="Normal 43 2 3 3 2 2" xfId="22998"/>
    <cellStyle name="Normal 43 2 3 3 3" xfId="15882"/>
    <cellStyle name="Normal 43 2 3 4" xfId="15883"/>
    <cellStyle name="Normal 43 2 3 4 2" xfId="22999"/>
    <cellStyle name="Normal 43 2 3 5" xfId="15884"/>
    <cellStyle name="Normal 43 2 4" xfId="15885"/>
    <cellStyle name="Normal 43 2 4 2" xfId="15886"/>
    <cellStyle name="Normal 43 2 4 2 2" xfId="23000"/>
    <cellStyle name="Normal 43 2 4 3" xfId="15887"/>
    <cellStyle name="Normal 43 2 5" xfId="15888"/>
    <cellStyle name="Normal 43 2 5 2" xfId="15889"/>
    <cellStyle name="Normal 43 2 5 2 2" xfId="23001"/>
    <cellStyle name="Normal 43 2 5 3" xfId="15890"/>
    <cellStyle name="Normal 43 2 6" xfId="15891"/>
    <cellStyle name="Normal 43 2 6 2" xfId="23002"/>
    <cellStyle name="Normal 43 2 7" xfId="15892"/>
    <cellStyle name="Normal 43 3" xfId="1062"/>
    <cellStyle name="Normal 43 3 2" xfId="23003"/>
    <cellStyle name="Normal 43 4" xfId="23004"/>
    <cellStyle name="Normal 43 5" xfId="23005"/>
    <cellStyle name="Normal 44" xfId="305"/>
    <cellStyle name="Normal 44 2" xfId="1063"/>
    <cellStyle name="Normal 44 2 2" xfId="1064"/>
    <cellStyle name="Normal 44 2 2 2" xfId="15893"/>
    <cellStyle name="Normal 44 2 2 2 2" xfId="15894"/>
    <cellStyle name="Normal 44 2 2 2 2 2" xfId="15895"/>
    <cellStyle name="Normal 44 2 2 2 2 2 2" xfId="23006"/>
    <cellStyle name="Normal 44 2 2 2 2 3" xfId="15896"/>
    <cellStyle name="Normal 44 2 2 2 3" xfId="15897"/>
    <cellStyle name="Normal 44 2 2 2 3 2" xfId="15898"/>
    <cellStyle name="Normal 44 2 2 2 3 2 2" xfId="23007"/>
    <cellStyle name="Normal 44 2 2 2 3 3" xfId="15899"/>
    <cellStyle name="Normal 44 2 2 2 4" xfId="15900"/>
    <cellStyle name="Normal 44 2 2 2 4 2" xfId="23008"/>
    <cellStyle name="Normal 44 2 2 2 5" xfId="15901"/>
    <cellStyle name="Normal 44 2 2 3" xfId="15902"/>
    <cellStyle name="Normal 44 2 2 3 2" xfId="15903"/>
    <cellStyle name="Normal 44 2 2 3 2 2" xfId="23009"/>
    <cellStyle name="Normal 44 2 2 3 3" xfId="15904"/>
    <cellStyle name="Normal 44 2 2 4" xfId="15905"/>
    <cellStyle name="Normal 44 2 2 4 2" xfId="15906"/>
    <cellStyle name="Normal 44 2 2 4 2 2" xfId="23010"/>
    <cellStyle name="Normal 44 2 2 4 3" xfId="15907"/>
    <cellStyle name="Normal 44 2 2 5" xfId="15908"/>
    <cellStyle name="Normal 44 2 2 5 2" xfId="23011"/>
    <cellStyle name="Normal 44 2 2 6" xfId="15909"/>
    <cellStyle name="Normal 44 2 3" xfId="15910"/>
    <cellStyle name="Normal 44 2 3 2" xfId="15911"/>
    <cellStyle name="Normal 44 2 3 2 2" xfId="15912"/>
    <cellStyle name="Normal 44 2 3 2 2 2" xfId="23012"/>
    <cellStyle name="Normal 44 2 3 2 3" xfId="15913"/>
    <cellStyle name="Normal 44 2 3 3" xfId="15914"/>
    <cellStyle name="Normal 44 2 3 3 2" xfId="15915"/>
    <cellStyle name="Normal 44 2 3 3 2 2" xfId="23013"/>
    <cellStyle name="Normal 44 2 3 3 3" xfId="15916"/>
    <cellStyle name="Normal 44 2 3 4" xfId="15917"/>
    <cellStyle name="Normal 44 2 3 4 2" xfId="23014"/>
    <cellStyle name="Normal 44 2 3 5" xfId="15918"/>
    <cellStyle name="Normal 44 2 4" xfId="15919"/>
    <cellStyle name="Normal 44 2 4 2" xfId="15920"/>
    <cellStyle name="Normal 44 2 4 2 2" xfId="23015"/>
    <cellStyle name="Normal 44 2 4 3" xfId="15921"/>
    <cellStyle name="Normal 44 2 5" xfId="15922"/>
    <cellStyle name="Normal 44 2 5 2" xfId="15923"/>
    <cellStyle name="Normal 44 2 5 2 2" xfId="23016"/>
    <cellStyle name="Normal 44 2 5 3" xfId="15924"/>
    <cellStyle name="Normal 44 2 6" xfId="15925"/>
    <cellStyle name="Normal 44 2 6 2" xfId="23017"/>
    <cellStyle name="Normal 44 2 7" xfId="15926"/>
    <cellStyle name="Normal 44 2 8" xfId="15927"/>
    <cellStyle name="Normal 44 3" xfId="1065"/>
    <cellStyle name="Normal 44 3 2" xfId="15928"/>
    <cellStyle name="Normal 44 3 2 2" xfId="15929"/>
    <cellStyle name="Normal 44 3 2 2 2" xfId="15930"/>
    <cellStyle name="Normal 44 3 2 2 2 2" xfId="23018"/>
    <cellStyle name="Normal 44 3 2 2 3" xfId="15931"/>
    <cellStyle name="Normal 44 3 2 3" xfId="15932"/>
    <cellStyle name="Normal 44 3 2 3 2" xfId="15933"/>
    <cellStyle name="Normal 44 3 2 3 2 2" xfId="23019"/>
    <cellStyle name="Normal 44 3 2 3 3" xfId="15934"/>
    <cellStyle name="Normal 44 3 2 4" xfId="15935"/>
    <cellStyle name="Normal 44 3 2 4 2" xfId="23020"/>
    <cellStyle name="Normal 44 3 2 5" xfId="15936"/>
    <cellStyle name="Normal 44 3 3" xfId="15937"/>
    <cellStyle name="Normal 44 3 3 2" xfId="15938"/>
    <cellStyle name="Normal 44 3 3 2 2" xfId="23021"/>
    <cellStyle name="Normal 44 3 3 3" xfId="15939"/>
    <cellStyle name="Normal 44 3 4" xfId="15940"/>
    <cellStyle name="Normal 44 3 4 2" xfId="15941"/>
    <cellStyle name="Normal 44 3 4 2 2" xfId="23022"/>
    <cellStyle name="Normal 44 3 4 3" xfId="15942"/>
    <cellStyle name="Normal 44 3 5" xfId="15943"/>
    <cellStyle name="Normal 44 3 5 2" xfId="23023"/>
    <cellStyle name="Normal 44 3 6" xfId="15944"/>
    <cellStyle name="Normal 44 4" xfId="1833"/>
    <cellStyle name="Normal 44 4 2" xfId="15945"/>
    <cellStyle name="Normal 44 4 2 2" xfId="15946"/>
    <cellStyle name="Normal 44 4 2 2 2" xfId="23024"/>
    <cellStyle name="Normal 44 4 2 3" xfId="15947"/>
    <cellStyle name="Normal 44 4 3" xfId="15948"/>
    <cellStyle name="Normal 44 4 3 2" xfId="15949"/>
    <cellStyle name="Normal 44 4 3 2 2" xfId="23025"/>
    <cellStyle name="Normal 44 4 3 3" xfId="15950"/>
    <cellStyle name="Normal 44 4 4" xfId="15951"/>
    <cellStyle name="Normal 44 4 4 2" xfId="23026"/>
    <cellStyle name="Normal 44 4 5" xfId="15952"/>
    <cellStyle name="Normal 44 5" xfId="15953"/>
    <cellStyle name="Normal 44 5 2" xfId="15954"/>
    <cellStyle name="Normal 44 5 2 2" xfId="23027"/>
    <cellStyle name="Normal 44 5 3" xfId="15955"/>
    <cellStyle name="Normal 44 6" xfId="15956"/>
    <cellStyle name="Normal 44 6 2" xfId="15957"/>
    <cellStyle name="Normal 44 6 2 2" xfId="23028"/>
    <cellStyle name="Normal 44 6 3" xfId="15958"/>
    <cellStyle name="Normal 44 7" xfId="15959"/>
    <cellStyle name="Normal 44 7 2" xfId="23029"/>
    <cellStyle name="Normal 44 8" xfId="15960"/>
    <cellStyle name="Normal 44 9" xfId="23030"/>
    <cellStyle name="Normal 45" xfId="306"/>
    <cellStyle name="Normal 45 2" xfId="1066"/>
    <cellStyle name="Normal 45 2 2" xfId="15961"/>
    <cellStyle name="Normal 45 2 2 2" xfId="15962"/>
    <cellStyle name="Normal 45 2 2 2 2" xfId="15963"/>
    <cellStyle name="Normal 45 2 2 2 2 2" xfId="15964"/>
    <cellStyle name="Normal 45 2 2 2 2 2 2" xfId="23031"/>
    <cellStyle name="Normal 45 2 2 2 2 3" xfId="15965"/>
    <cellStyle name="Normal 45 2 2 2 3" xfId="15966"/>
    <cellStyle name="Normal 45 2 2 2 3 2" xfId="15967"/>
    <cellStyle name="Normal 45 2 2 2 3 2 2" xfId="23032"/>
    <cellStyle name="Normal 45 2 2 2 3 3" xfId="15968"/>
    <cellStyle name="Normal 45 2 2 2 4" xfId="15969"/>
    <cellStyle name="Normal 45 2 2 2 4 2" xfId="23033"/>
    <cellStyle name="Normal 45 2 2 2 5" xfId="15970"/>
    <cellStyle name="Normal 45 2 2 3" xfId="15971"/>
    <cellStyle name="Normal 45 2 2 3 2" xfId="15972"/>
    <cellStyle name="Normal 45 2 2 3 2 2" xfId="23034"/>
    <cellStyle name="Normal 45 2 2 3 3" xfId="15973"/>
    <cellStyle name="Normal 45 2 2 4" xfId="15974"/>
    <cellStyle name="Normal 45 2 2 4 2" xfId="15975"/>
    <cellStyle name="Normal 45 2 2 4 2 2" xfId="23035"/>
    <cellStyle name="Normal 45 2 2 4 3" xfId="15976"/>
    <cellStyle name="Normal 45 2 2 5" xfId="15977"/>
    <cellStyle name="Normal 45 2 2 5 2" xfId="23036"/>
    <cellStyle name="Normal 45 2 2 6" xfId="15978"/>
    <cellStyle name="Normal 45 2 3" xfId="15979"/>
    <cellStyle name="Normal 45 2 3 2" xfId="15980"/>
    <cellStyle name="Normal 45 2 3 2 2" xfId="15981"/>
    <cellStyle name="Normal 45 2 3 2 2 2" xfId="23037"/>
    <cellStyle name="Normal 45 2 3 2 3" xfId="15982"/>
    <cellStyle name="Normal 45 2 3 3" xfId="15983"/>
    <cellStyle name="Normal 45 2 3 3 2" xfId="15984"/>
    <cellStyle name="Normal 45 2 3 3 2 2" xfId="23038"/>
    <cellStyle name="Normal 45 2 3 3 3" xfId="15985"/>
    <cellStyle name="Normal 45 2 3 4" xfId="15986"/>
    <cellStyle name="Normal 45 2 3 4 2" xfId="23039"/>
    <cellStyle name="Normal 45 2 3 5" xfId="15987"/>
    <cellStyle name="Normal 45 2 4" xfId="15988"/>
    <cellStyle name="Normal 45 2 4 2" xfId="15989"/>
    <cellStyle name="Normal 45 2 4 2 2" xfId="23040"/>
    <cellStyle name="Normal 45 2 4 3" xfId="15990"/>
    <cellStyle name="Normal 45 2 5" xfId="15991"/>
    <cellStyle name="Normal 45 2 5 2" xfId="15992"/>
    <cellStyle name="Normal 45 2 5 2 2" xfId="23041"/>
    <cellStyle name="Normal 45 2 5 3" xfId="15993"/>
    <cellStyle name="Normal 45 2 6" xfId="15994"/>
    <cellStyle name="Normal 45 2 6 2" xfId="23042"/>
    <cellStyle name="Normal 45 2 7" xfId="15995"/>
    <cellStyle name="Normal 45 3" xfId="1067"/>
    <cellStyle name="Normal 45 3 2" xfId="23043"/>
    <cellStyle name="Normal 45 4" xfId="23044"/>
    <cellStyle name="Normal 45 5" xfId="23045"/>
    <cellStyle name="Normal 46" xfId="307"/>
    <cellStyle name="Normal 46 2" xfId="1068"/>
    <cellStyle name="Normal 46 2 2" xfId="15996"/>
    <cellStyle name="Normal 46 2 2 2" xfId="15997"/>
    <cellStyle name="Normal 46 2 2 2 2" xfId="15998"/>
    <cellStyle name="Normal 46 2 2 2 2 2" xfId="15999"/>
    <cellStyle name="Normal 46 2 2 2 2 2 2" xfId="23046"/>
    <cellStyle name="Normal 46 2 2 2 2 3" xfId="16000"/>
    <cellStyle name="Normal 46 2 2 2 3" xfId="16001"/>
    <cellStyle name="Normal 46 2 2 2 3 2" xfId="16002"/>
    <cellStyle name="Normal 46 2 2 2 3 2 2" xfId="23047"/>
    <cellStyle name="Normal 46 2 2 2 3 3" xfId="16003"/>
    <cellStyle name="Normal 46 2 2 2 4" xfId="16004"/>
    <cellStyle name="Normal 46 2 2 2 4 2" xfId="23048"/>
    <cellStyle name="Normal 46 2 2 2 5" xfId="16005"/>
    <cellStyle name="Normal 46 2 2 3" xfId="16006"/>
    <cellStyle name="Normal 46 2 2 3 2" xfId="16007"/>
    <cellStyle name="Normal 46 2 2 3 2 2" xfId="23049"/>
    <cellStyle name="Normal 46 2 2 3 3" xfId="16008"/>
    <cellStyle name="Normal 46 2 2 4" xfId="16009"/>
    <cellStyle name="Normal 46 2 2 4 2" xfId="16010"/>
    <cellStyle name="Normal 46 2 2 4 2 2" xfId="23050"/>
    <cellStyle name="Normal 46 2 2 4 3" xfId="16011"/>
    <cellStyle name="Normal 46 2 2 5" xfId="16012"/>
    <cellStyle name="Normal 46 2 2 5 2" xfId="23051"/>
    <cellStyle name="Normal 46 2 2 6" xfId="16013"/>
    <cellStyle name="Normal 46 2 3" xfId="16014"/>
    <cellStyle name="Normal 46 2 3 2" xfId="16015"/>
    <cellStyle name="Normal 46 2 3 2 2" xfId="16016"/>
    <cellStyle name="Normal 46 2 3 2 2 2" xfId="23052"/>
    <cellStyle name="Normal 46 2 3 2 3" xfId="16017"/>
    <cellStyle name="Normal 46 2 3 3" xfId="16018"/>
    <cellStyle name="Normal 46 2 3 3 2" xfId="16019"/>
    <cellStyle name="Normal 46 2 3 3 2 2" xfId="23053"/>
    <cellStyle name="Normal 46 2 3 3 3" xfId="16020"/>
    <cellStyle name="Normal 46 2 3 4" xfId="16021"/>
    <cellStyle name="Normal 46 2 3 4 2" xfId="23054"/>
    <cellStyle name="Normal 46 2 3 5" xfId="16022"/>
    <cellStyle name="Normal 46 2 4" xfId="16023"/>
    <cellStyle name="Normal 46 2 4 2" xfId="16024"/>
    <cellStyle name="Normal 46 2 4 2 2" xfId="23055"/>
    <cellStyle name="Normal 46 2 4 3" xfId="16025"/>
    <cellStyle name="Normal 46 2 5" xfId="16026"/>
    <cellStyle name="Normal 46 2 5 2" xfId="16027"/>
    <cellStyle name="Normal 46 2 5 2 2" xfId="23056"/>
    <cellStyle name="Normal 46 2 5 3" xfId="16028"/>
    <cellStyle name="Normal 46 2 6" xfId="16029"/>
    <cellStyle name="Normal 46 2 6 2" xfId="23057"/>
    <cellStyle name="Normal 46 2 7" xfId="16030"/>
    <cellStyle name="Normal 46 3" xfId="1069"/>
    <cellStyle name="Normal 46 3 2" xfId="23058"/>
    <cellStyle name="Normal 46 4" xfId="23059"/>
    <cellStyle name="Normal 46 5" xfId="23060"/>
    <cellStyle name="Normal 47" xfId="308"/>
    <cellStyle name="Normal 47 2" xfId="1070"/>
    <cellStyle name="Normal 47 2 2" xfId="16031"/>
    <cellStyle name="Normal 47 2 2 2" xfId="16032"/>
    <cellStyle name="Normal 47 2 2 2 2" xfId="16033"/>
    <cellStyle name="Normal 47 2 2 2 2 2" xfId="16034"/>
    <cellStyle name="Normal 47 2 2 2 2 2 2" xfId="23061"/>
    <cellStyle name="Normal 47 2 2 2 2 3" xfId="16035"/>
    <cellStyle name="Normal 47 2 2 2 3" xfId="16036"/>
    <cellStyle name="Normal 47 2 2 2 3 2" xfId="16037"/>
    <cellStyle name="Normal 47 2 2 2 3 2 2" xfId="23062"/>
    <cellStyle name="Normal 47 2 2 2 3 3" xfId="16038"/>
    <cellStyle name="Normal 47 2 2 2 4" xfId="16039"/>
    <cellStyle name="Normal 47 2 2 2 4 2" xfId="23063"/>
    <cellStyle name="Normal 47 2 2 2 5" xfId="16040"/>
    <cellStyle name="Normal 47 2 2 3" xfId="16041"/>
    <cellStyle name="Normal 47 2 2 3 2" xfId="16042"/>
    <cellStyle name="Normal 47 2 2 3 2 2" xfId="23064"/>
    <cellStyle name="Normal 47 2 2 3 3" xfId="16043"/>
    <cellStyle name="Normal 47 2 2 4" xfId="16044"/>
    <cellStyle name="Normal 47 2 2 4 2" xfId="16045"/>
    <cellStyle name="Normal 47 2 2 4 2 2" xfId="23065"/>
    <cellStyle name="Normal 47 2 2 4 3" xfId="16046"/>
    <cellStyle name="Normal 47 2 2 5" xfId="16047"/>
    <cellStyle name="Normal 47 2 2 5 2" xfId="23066"/>
    <cellStyle name="Normal 47 2 2 6" xfId="16048"/>
    <cellStyle name="Normal 47 2 3" xfId="16049"/>
    <cellStyle name="Normal 47 2 3 2" xfId="16050"/>
    <cellStyle name="Normal 47 2 3 2 2" xfId="16051"/>
    <cellStyle name="Normal 47 2 3 2 2 2" xfId="23067"/>
    <cellStyle name="Normal 47 2 3 2 3" xfId="16052"/>
    <cellStyle name="Normal 47 2 3 3" xfId="16053"/>
    <cellStyle name="Normal 47 2 3 3 2" xfId="16054"/>
    <cellStyle name="Normal 47 2 3 3 2 2" xfId="23068"/>
    <cellStyle name="Normal 47 2 3 3 3" xfId="16055"/>
    <cellStyle name="Normal 47 2 3 4" xfId="16056"/>
    <cellStyle name="Normal 47 2 3 4 2" xfId="23069"/>
    <cellStyle name="Normal 47 2 3 5" xfId="16057"/>
    <cellStyle name="Normal 47 2 4" xfId="16058"/>
    <cellStyle name="Normal 47 2 4 2" xfId="16059"/>
    <cellStyle name="Normal 47 2 4 2 2" xfId="23070"/>
    <cellStyle name="Normal 47 2 4 3" xfId="16060"/>
    <cellStyle name="Normal 47 2 5" xfId="16061"/>
    <cellStyle name="Normal 47 2 5 2" xfId="16062"/>
    <cellStyle name="Normal 47 2 5 2 2" xfId="23071"/>
    <cellStyle name="Normal 47 2 5 3" xfId="16063"/>
    <cellStyle name="Normal 47 2 6" xfId="16064"/>
    <cellStyle name="Normal 47 2 6 2" xfId="23072"/>
    <cellStyle name="Normal 47 2 7" xfId="16065"/>
    <cellStyle name="Normal 47 3" xfId="1071"/>
    <cellStyle name="Normal 47 3 2" xfId="23073"/>
    <cellStyle name="Normal 47 4" xfId="23074"/>
    <cellStyle name="Normal 47 5" xfId="23075"/>
    <cellStyle name="Normal 48" xfId="309"/>
    <cellStyle name="Normal 48 2" xfId="1072"/>
    <cellStyle name="Normal 48 2 2" xfId="16066"/>
    <cellStyle name="Normal 48 2 2 2" xfId="16067"/>
    <cellStyle name="Normal 48 2 2 2 2" xfId="16068"/>
    <cellStyle name="Normal 48 2 2 2 2 2" xfId="16069"/>
    <cellStyle name="Normal 48 2 2 2 2 2 2" xfId="23076"/>
    <cellStyle name="Normal 48 2 2 2 2 3" xfId="16070"/>
    <cellStyle name="Normal 48 2 2 2 3" xfId="16071"/>
    <cellStyle name="Normal 48 2 2 2 3 2" xfId="16072"/>
    <cellStyle name="Normal 48 2 2 2 3 2 2" xfId="23077"/>
    <cellStyle name="Normal 48 2 2 2 3 3" xfId="16073"/>
    <cellStyle name="Normal 48 2 2 2 4" xfId="16074"/>
    <cellStyle name="Normal 48 2 2 2 4 2" xfId="23078"/>
    <cellStyle name="Normal 48 2 2 2 5" xfId="16075"/>
    <cellStyle name="Normal 48 2 2 3" xfId="16076"/>
    <cellStyle name="Normal 48 2 2 3 2" xfId="16077"/>
    <cellStyle name="Normal 48 2 2 3 2 2" xfId="23079"/>
    <cellStyle name="Normal 48 2 2 3 3" xfId="16078"/>
    <cellStyle name="Normal 48 2 2 4" xfId="16079"/>
    <cellStyle name="Normal 48 2 2 4 2" xfId="16080"/>
    <cellStyle name="Normal 48 2 2 4 2 2" xfId="23080"/>
    <cellStyle name="Normal 48 2 2 4 3" xfId="16081"/>
    <cellStyle name="Normal 48 2 2 5" xfId="16082"/>
    <cellStyle name="Normal 48 2 2 5 2" xfId="23081"/>
    <cellStyle name="Normal 48 2 2 6" xfId="16083"/>
    <cellStyle name="Normal 48 2 3" xfId="16084"/>
    <cellStyle name="Normal 48 2 3 2" xfId="16085"/>
    <cellStyle name="Normal 48 2 3 2 2" xfId="16086"/>
    <cellStyle name="Normal 48 2 3 2 2 2" xfId="23082"/>
    <cellStyle name="Normal 48 2 3 2 3" xfId="16087"/>
    <cellStyle name="Normal 48 2 3 3" xfId="16088"/>
    <cellStyle name="Normal 48 2 3 3 2" xfId="16089"/>
    <cellStyle name="Normal 48 2 3 3 2 2" xfId="23083"/>
    <cellStyle name="Normal 48 2 3 3 3" xfId="16090"/>
    <cellStyle name="Normal 48 2 3 4" xfId="16091"/>
    <cellStyle name="Normal 48 2 3 4 2" xfId="23084"/>
    <cellStyle name="Normal 48 2 3 5" xfId="16092"/>
    <cellStyle name="Normal 48 2 4" xfId="16093"/>
    <cellStyle name="Normal 48 2 4 2" xfId="16094"/>
    <cellStyle name="Normal 48 2 4 2 2" xfId="23085"/>
    <cellStyle name="Normal 48 2 4 3" xfId="16095"/>
    <cellStyle name="Normal 48 2 5" xfId="16096"/>
    <cellStyle name="Normal 48 2 5 2" xfId="16097"/>
    <cellStyle name="Normal 48 2 5 2 2" xfId="23086"/>
    <cellStyle name="Normal 48 2 5 3" xfId="16098"/>
    <cellStyle name="Normal 48 2 6" xfId="16099"/>
    <cellStyle name="Normal 48 2 6 2" xfId="23087"/>
    <cellStyle name="Normal 48 2 7" xfId="16100"/>
    <cellStyle name="Normal 48 3" xfId="1073"/>
    <cellStyle name="Normal 48 3 2" xfId="16101"/>
    <cellStyle name="Normal 48 3 2 2" xfId="16102"/>
    <cellStyle name="Normal 48 3 2 2 2" xfId="16103"/>
    <cellStyle name="Normal 48 3 2 2 2 2" xfId="23088"/>
    <cellStyle name="Normal 48 3 2 2 3" xfId="16104"/>
    <cellStyle name="Normal 48 3 2 3" xfId="16105"/>
    <cellStyle name="Normal 48 3 2 3 2" xfId="16106"/>
    <cellStyle name="Normal 48 3 2 3 2 2" xfId="23089"/>
    <cellStyle name="Normal 48 3 2 3 3" xfId="16107"/>
    <cellStyle name="Normal 48 3 2 4" xfId="16108"/>
    <cellStyle name="Normal 48 3 2 4 2" xfId="23090"/>
    <cellStyle name="Normal 48 3 2 5" xfId="16109"/>
    <cellStyle name="Normal 48 3 3" xfId="16110"/>
    <cellStyle name="Normal 48 3 3 2" xfId="16111"/>
    <cellStyle name="Normal 48 3 3 2 2" xfId="23091"/>
    <cellStyle name="Normal 48 3 3 3" xfId="16112"/>
    <cellStyle name="Normal 48 3 4" xfId="16113"/>
    <cellStyle name="Normal 48 3 4 2" xfId="16114"/>
    <cellStyle name="Normal 48 3 4 2 2" xfId="23092"/>
    <cellStyle name="Normal 48 3 4 3" xfId="16115"/>
    <cellStyle name="Normal 48 3 5" xfId="16116"/>
    <cellStyle name="Normal 48 3 5 2" xfId="23093"/>
    <cellStyle name="Normal 48 3 6" xfId="16117"/>
    <cellStyle name="Normal 48 4" xfId="16118"/>
    <cellStyle name="Normal 48 4 2" xfId="16119"/>
    <cellStyle name="Normal 48 4 2 2" xfId="16120"/>
    <cellStyle name="Normal 48 4 2 2 2" xfId="23094"/>
    <cellStyle name="Normal 48 4 2 3" xfId="16121"/>
    <cellStyle name="Normal 48 4 3" xfId="16122"/>
    <cellStyle name="Normal 48 4 3 2" xfId="16123"/>
    <cellStyle name="Normal 48 4 3 2 2" xfId="23095"/>
    <cellStyle name="Normal 48 4 3 3" xfId="16124"/>
    <cellStyle name="Normal 48 4 4" xfId="16125"/>
    <cellStyle name="Normal 48 4 4 2" xfId="23096"/>
    <cellStyle name="Normal 48 4 5" xfId="16126"/>
    <cellStyle name="Normal 48 5" xfId="16127"/>
    <cellStyle name="Normal 48 5 2" xfId="16128"/>
    <cellStyle name="Normal 48 5 2 2" xfId="23097"/>
    <cellStyle name="Normal 48 5 3" xfId="16129"/>
    <cellStyle name="Normal 48 6" xfId="16130"/>
    <cellStyle name="Normal 48 6 2" xfId="16131"/>
    <cellStyle name="Normal 48 6 2 2" xfId="23098"/>
    <cellStyle name="Normal 48 6 3" xfId="16132"/>
    <cellStyle name="Normal 48 7" xfId="16133"/>
    <cellStyle name="Normal 48 7 2" xfId="23099"/>
    <cellStyle name="Normal 48 8" xfId="16134"/>
    <cellStyle name="Normal 48 9" xfId="23100"/>
    <cellStyle name="Normal 49" xfId="310"/>
    <cellStyle name="Normal 49 2" xfId="1074"/>
    <cellStyle name="Normal 49 2 2" xfId="16135"/>
    <cellStyle name="Normal 49 2 2 2" xfId="16136"/>
    <cellStyle name="Normal 49 2 2 2 2" xfId="16137"/>
    <cellStyle name="Normal 49 2 2 2 2 2" xfId="16138"/>
    <cellStyle name="Normal 49 2 2 2 2 2 2" xfId="23101"/>
    <cellStyle name="Normal 49 2 2 2 2 3" xfId="16139"/>
    <cellStyle name="Normal 49 2 2 2 3" xfId="16140"/>
    <cellStyle name="Normal 49 2 2 2 3 2" xfId="16141"/>
    <cellStyle name="Normal 49 2 2 2 3 2 2" xfId="23102"/>
    <cellStyle name="Normal 49 2 2 2 3 3" xfId="16142"/>
    <cellStyle name="Normal 49 2 2 2 4" xfId="16143"/>
    <cellStyle name="Normal 49 2 2 2 4 2" xfId="23103"/>
    <cellStyle name="Normal 49 2 2 2 5" xfId="16144"/>
    <cellStyle name="Normal 49 2 2 3" xfId="16145"/>
    <cellStyle name="Normal 49 2 2 3 2" xfId="16146"/>
    <cellStyle name="Normal 49 2 2 3 2 2" xfId="23104"/>
    <cellStyle name="Normal 49 2 2 3 3" xfId="16147"/>
    <cellStyle name="Normal 49 2 2 4" xfId="16148"/>
    <cellStyle name="Normal 49 2 2 4 2" xfId="16149"/>
    <cellStyle name="Normal 49 2 2 4 2 2" xfId="23105"/>
    <cellStyle name="Normal 49 2 2 4 3" xfId="16150"/>
    <cellStyle name="Normal 49 2 2 5" xfId="16151"/>
    <cellStyle name="Normal 49 2 2 5 2" xfId="23106"/>
    <cellStyle name="Normal 49 2 2 6" xfId="16152"/>
    <cellStyle name="Normal 49 2 3" xfId="16153"/>
    <cellStyle name="Normal 49 2 3 2" xfId="16154"/>
    <cellStyle name="Normal 49 2 3 2 2" xfId="16155"/>
    <cellStyle name="Normal 49 2 3 2 2 2" xfId="23107"/>
    <cellStyle name="Normal 49 2 3 2 3" xfId="16156"/>
    <cellStyle name="Normal 49 2 3 3" xfId="16157"/>
    <cellStyle name="Normal 49 2 3 3 2" xfId="16158"/>
    <cellStyle name="Normal 49 2 3 3 2 2" xfId="23108"/>
    <cellStyle name="Normal 49 2 3 3 3" xfId="16159"/>
    <cellStyle name="Normal 49 2 3 4" xfId="16160"/>
    <cellStyle name="Normal 49 2 3 4 2" xfId="23109"/>
    <cellStyle name="Normal 49 2 3 5" xfId="16161"/>
    <cellStyle name="Normal 49 2 4" xfId="16162"/>
    <cellStyle name="Normal 49 2 4 2" xfId="16163"/>
    <cellStyle name="Normal 49 2 4 2 2" xfId="23110"/>
    <cellStyle name="Normal 49 2 4 3" xfId="16164"/>
    <cellStyle name="Normal 49 2 5" xfId="16165"/>
    <cellStyle name="Normal 49 2 5 2" xfId="16166"/>
    <cellStyle name="Normal 49 2 5 2 2" xfId="23111"/>
    <cellStyle name="Normal 49 2 5 3" xfId="16167"/>
    <cellStyle name="Normal 49 2 6" xfId="16168"/>
    <cellStyle name="Normal 49 2 6 2" xfId="23112"/>
    <cellStyle name="Normal 49 2 7" xfId="16169"/>
    <cellStyle name="Normal 49 3" xfId="1075"/>
    <cellStyle name="Normal 49 3 2" xfId="16170"/>
    <cellStyle name="Normal 49 3 2 2" xfId="16171"/>
    <cellStyle name="Normal 49 3 2 2 2" xfId="16172"/>
    <cellStyle name="Normal 49 3 2 2 2 2" xfId="23113"/>
    <cellStyle name="Normal 49 3 2 2 3" xfId="16173"/>
    <cellStyle name="Normal 49 3 2 3" xfId="16174"/>
    <cellStyle name="Normal 49 3 2 3 2" xfId="16175"/>
    <cellStyle name="Normal 49 3 2 3 2 2" xfId="23114"/>
    <cellStyle name="Normal 49 3 2 3 3" xfId="16176"/>
    <cellStyle name="Normal 49 3 2 4" xfId="16177"/>
    <cellStyle name="Normal 49 3 2 4 2" xfId="23115"/>
    <cellStyle name="Normal 49 3 2 5" xfId="16178"/>
    <cellStyle name="Normal 49 3 3" xfId="16179"/>
    <cellStyle name="Normal 49 3 3 2" xfId="16180"/>
    <cellStyle name="Normal 49 3 3 2 2" xfId="23116"/>
    <cellStyle name="Normal 49 3 3 3" xfId="16181"/>
    <cellStyle name="Normal 49 3 4" xfId="16182"/>
    <cellStyle name="Normal 49 3 4 2" xfId="16183"/>
    <cellStyle name="Normal 49 3 4 2 2" xfId="23117"/>
    <cellStyle name="Normal 49 3 4 3" xfId="16184"/>
    <cellStyle name="Normal 49 3 5" xfId="16185"/>
    <cellStyle name="Normal 49 3 5 2" xfId="23118"/>
    <cellStyle name="Normal 49 3 6" xfId="16186"/>
    <cellStyle name="Normal 49 4" xfId="16187"/>
    <cellStyle name="Normal 49 4 2" xfId="16188"/>
    <cellStyle name="Normal 49 4 2 2" xfId="16189"/>
    <cellStyle name="Normal 49 4 2 2 2" xfId="23119"/>
    <cellStyle name="Normal 49 4 2 3" xfId="16190"/>
    <cellStyle name="Normal 49 4 3" xfId="16191"/>
    <cellStyle name="Normal 49 4 3 2" xfId="16192"/>
    <cellStyle name="Normal 49 4 3 2 2" xfId="23120"/>
    <cellStyle name="Normal 49 4 3 3" xfId="16193"/>
    <cellStyle name="Normal 49 4 4" xfId="16194"/>
    <cellStyle name="Normal 49 4 4 2" xfId="23121"/>
    <cellStyle name="Normal 49 4 5" xfId="16195"/>
    <cellStyle name="Normal 49 5" xfId="16196"/>
    <cellStyle name="Normal 49 5 2" xfId="16197"/>
    <cellStyle name="Normal 49 5 2 2" xfId="23122"/>
    <cellStyle name="Normal 49 5 3" xfId="16198"/>
    <cellStyle name="Normal 49 6" xfId="16199"/>
    <cellStyle name="Normal 49 6 2" xfId="16200"/>
    <cellStyle name="Normal 49 6 2 2" xfId="23123"/>
    <cellStyle name="Normal 49 6 3" xfId="16201"/>
    <cellStyle name="Normal 49 7" xfId="16202"/>
    <cellStyle name="Normal 49 7 2" xfId="23124"/>
    <cellStyle name="Normal 49 8" xfId="16203"/>
    <cellStyle name="Normal 49 9" xfId="23125"/>
    <cellStyle name="Normal 5" xfId="49"/>
    <cellStyle name="Normal 5 10" xfId="1834"/>
    <cellStyle name="Normal 5 10 2" xfId="23126"/>
    <cellStyle name="Normal 5 11" xfId="16204"/>
    <cellStyle name="Normal 5 12" xfId="23127"/>
    <cellStyle name="Normal 5 2" xfId="50"/>
    <cellStyle name="Normal 5 2 10" xfId="1835"/>
    <cellStyle name="Normal 5 2 10 2" xfId="23128"/>
    <cellStyle name="Normal 5 2 11" xfId="1836"/>
    <cellStyle name="Normal 5 2 11 2" xfId="23129"/>
    <cellStyle name="Normal 5 2 12" xfId="16205"/>
    <cellStyle name="Normal 5 2 13" xfId="23130"/>
    <cellStyle name="Normal 5 2 2" xfId="1076"/>
    <cellStyle name="Normal 5 2 2 2" xfId="1077"/>
    <cellStyle name="Normal 5 2 2 2 2" xfId="1078"/>
    <cellStyle name="Normal 5 2 2 2 2 2" xfId="16206"/>
    <cellStyle name="Normal 5 2 2 2 2 2 2" xfId="16207"/>
    <cellStyle name="Normal 5 2 2 2 2 2 2 2" xfId="16208"/>
    <cellStyle name="Normal 5 2 2 2 2 2 2 2 2" xfId="23131"/>
    <cellStyle name="Normal 5 2 2 2 2 2 2 3" xfId="16209"/>
    <cellStyle name="Normal 5 2 2 2 2 2 3" xfId="16210"/>
    <cellStyle name="Normal 5 2 2 2 2 2 3 2" xfId="16211"/>
    <cellStyle name="Normal 5 2 2 2 2 2 3 2 2" xfId="23132"/>
    <cellStyle name="Normal 5 2 2 2 2 2 3 3" xfId="16212"/>
    <cellStyle name="Normal 5 2 2 2 2 2 4" xfId="16213"/>
    <cellStyle name="Normal 5 2 2 2 2 2 4 2" xfId="23133"/>
    <cellStyle name="Normal 5 2 2 2 2 2 5" xfId="16214"/>
    <cellStyle name="Normal 5 2 2 2 2 3" xfId="16215"/>
    <cellStyle name="Normal 5 2 2 2 2 3 2" xfId="16216"/>
    <cellStyle name="Normal 5 2 2 2 2 3 2 2" xfId="23134"/>
    <cellStyle name="Normal 5 2 2 2 2 3 3" xfId="16217"/>
    <cellStyle name="Normal 5 2 2 2 2 4" xfId="16218"/>
    <cellStyle name="Normal 5 2 2 2 2 4 2" xfId="16219"/>
    <cellStyle name="Normal 5 2 2 2 2 4 2 2" xfId="23135"/>
    <cellStyle name="Normal 5 2 2 2 2 4 3" xfId="16220"/>
    <cellStyle name="Normal 5 2 2 2 2 5" xfId="16221"/>
    <cellStyle name="Normal 5 2 2 2 2 5 2" xfId="23136"/>
    <cellStyle name="Normal 5 2 2 2 2 6" xfId="16222"/>
    <cellStyle name="Normal 5 2 2 2 3" xfId="1837"/>
    <cellStyle name="Normal 5 2 2 2 3 2" xfId="16223"/>
    <cellStyle name="Normal 5 2 2 2 3 2 2" xfId="16224"/>
    <cellStyle name="Normal 5 2 2 2 3 2 2 2" xfId="23137"/>
    <cellStyle name="Normal 5 2 2 2 3 2 3" xfId="16225"/>
    <cellStyle name="Normal 5 2 2 2 3 3" xfId="16226"/>
    <cellStyle name="Normal 5 2 2 2 3 3 2" xfId="16227"/>
    <cellStyle name="Normal 5 2 2 2 3 3 2 2" xfId="23138"/>
    <cellStyle name="Normal 5 2 2 2 3 3 3" xfId="16228"/>
    <cellStyle name="Normal 5 2 2 2 3 4" xfId="16229"/>
    <cellStyle name="Normal 5 2 2 2 3 4 2" xfId="23139"/>
    <cellStyle name="Normal 5 2 2 2 3 5" xfId="16230"/>
    <cellStyle name="Normal 5 2 2 2 4" xfId="1838"/>
    <cellStyle name="Normal 5 2 2 2 4 2" xfId="16231"/>
    <cellStyle name="Normal 5 2 2 2 4 2 2" xfId="23140"/>
    <cellStyle name="Normal 5 2 2 2 4 3" xfId="16232"/>
    <cellStyle name="Normal 5 2 2 2 5" xfId="1839"/>
    <cellStyle name="Normal 5 2 2 2 5 2" xfId="16233"/>
    <cellStyle name="Normal 5 2 2 2 5 2 2" xfId="23141"/>
    <cellStyle name="Normal 5 2 2 2 5 3" xfId="16234"/>
    <cellStyle name="Normal 5 2 2 2 6" xfId="16235"/>
    <cellStyle name="Normal 5 2 2 2 6 2" xfId="23142"/>
    <cellStyle name="Normal 5 2 2 2 7" xfId="16236"/>
    <cellStyle name="Normal 5 2 2 3" xfId="1079"/>
    <cellStyle name="Normal 5 2 2 3 2" xfId="1840"/>
    <cellStyle name="Normal 5 2 2 3 2 2" xfId="16237"/>
    <cellStyle name="Normal 5 2 2 3 2 2 2" xfId="16238"/>
    <cellStyle name="Normal 5 2 2 3 2 2 2 2" xfId="23143"/>
    <cellStyle name="Normal 5 2 2 3 2 2 3" xfId="16239"/>
    <cellStyle name="Normal 5 2 2 3 2 3" xfId="16240"/>
    <cellStyle name="Normal 5 2 2 3 2 3 2" xfId="16241"/>
    <cellStyle name="Normal 5 2 2 3 2 3 2 2" xfId="23144"/>
    <cellStyle name="Normal 5 2 2 3 2 3 3" xfId="16242"/>
    <cellStyle name="Normal 5 2 2 3 2 4" xfId="16243"/>
    <cellStyle name="Normal 5 2 2 3 2 4 2" xfId="23145"/>
    <cellStyle name="Normal 5 2 2 3 2 5" xfId="16244"/>
    <cellStyle name="Normal 5 2 2 3 3" xfId="1841"/>
    <cellStyle name="Normal 5 2 2 3 3 2" xfId="16245"/>
    <cellStyle name="Normal 5 2 2 3 3 2 2" xfId="23146"/>
    <cellStyle name="Normal 5 2 2 3 3 3" xfId="16246"/>
    <cellStyle name="Normal 5 2 2 3 4" xfId="16247"/>
    <cellStyle name="Normal 5 2 2 3 4 2" xfId="16248"/>
    <cellStyle name="Normal 5 2 2 3 4 2 2" xfId="23147"/>
    <cellStyle name="Normal 5 2 2 3 4 3" xfId="16249"/>
    <cellStyle name="Normal 5 2 2 3 5" xfId="16250"/>
    <cellStyle name="Normal 5 2 2 3 5 2" xfId="23148"/>
    <cellStyle name="Normal 5 2 2 3 6" xfId="16251"/>
    <cellStyle name="Normal 5 2 2 4" xfId="1842"/>
    <cellStyle name="Normal 5 2 2 4 2" xfId="1843"/>
    <cellStyle name="Normal 5 2 2 4 2 2" xfId="16252"/>
    <cellStyle name="Normal 5 2 2 4 2 2 2" xfId="23149"/>
    <cellStyle name="Normal 5 2 2 4 2 3" xfId="16253"/>
    <cellStyle name="Normal 5 2 2 4 3" xfId="1844"/>
    <cellStyle name="Normal 5 2 2 4 3 2" xfId="16254"/>
    <cellStyle name="Normal 5 2 2 4 3 2 2" xfId="23150"/>
    <cellStyle name="Normal 5 2 2 4 3 3" xfId="16255"/>
    <cellStyle name="Normal 5 2 2 4 4" xfId="16256"/>
    <cellStyle name="Normal 5 2 2 4 4 2" xfId="23151"/>
    <cellStyle name="Normal 5 2 2 4 5" xfId="16257"/>
    <cellStyle name="Normal 5 2 2 5" xfId="1845"/>
    <cellStyle name="Normal 5 2 2 5 2" xfId="16258"/>
    <cellStyle name="Normal 5 2 2 5 2 2" xfId="23152"/>
    <cellStyle name="Normal 5 2 2 5 3" xfId="16259"/>
    <cellStyle name="Normal 5 2 2 6" xfId="1846"/>
    <cellStyle name="Normal 5 2 2 6 2" xfId="16260"/>
    <cellStyle name="Normal 5 2 2 6 2 2" xfId="23153"/>
    <cellStyle name="Normal 5 2 2 6 3" xfId="16261"/>
    <cellStyle name="Normal 5 2 2 7" xfId="16262"/>
    <cellStyle name="Normal 5 2 2 7 2" xfId="23154"/>
    <cellStyle name="Normal 5 2 2 8" xfId="16263"/>
    <cellStyle name="Normal 5 2 3" xfId="1080"/>
    <cellStyle name="Normal 5 2 3 2" xfId="1081"/>
    <cellStyle name="Normal 5 2 3 2 2" xfId="1847"/>
    <cellStyle name="Normal 5 2 3 2 2 2" xfId="16264"/>
    <cellStyle name="Normal 5 2 3 2 2 2 2" xfId="16265"/>
    <cellStyle name="Normal 5 2 3 2 2 2 2 2" xfId="23155"/>
    <cellStyle name="Normal 5 2 3 2 2 2 3" xfId="16266"/>
    <cellStyle name="Normal 5 2 3 2 2 3" xfId="16267"/>
    <cellStyle name="Normal 5 2 3 2 2 3 2" xfId="16268"/>
    <cellStyle name="Normal 5 2 3 2 2 3 2 2" xfId="23156"/>
    <cellStyle name="Normal 5 2 3 2 2 3 3" xfId="16269"/>
    <cellStyle name="Normal 5 2 3 2 2 4" xfId="16270"/>
    <cellStyle name="Normal 5 2 3 2 2 4 2" xfId="23157"/>
    <cellStyle name="Normal 5 2 3 2 2 5" xfId="16271"/>
    <cellStyle name="Normal 5 2 3 2 3" xfId="1848"/>
    <cellStyle name="Normal 5 2 3 2 3 2" xfId="16272"/>
    <cellStyle name="Normal 5 2 3 2 3 2 2" xfId="23158"/>
    <cellStyle name="Normal 5 2 3 2 3 3" xfId="16273"/>
    <cellStyle name="Normal 5 2 3 2 4" xfId="1849"/>
    <cellStyle name="Normal 5 2 3 2 4 2" xfId="16274"/>
    <cellStyle name="Normal 5 2 3 2 4 2 2" xfId="23159"/>
    <cellStyle name="Normal 5 2 3 2 4 3" xfId="16275"/>
    <cellStyle name="Normal 5 2 3 2 5" xfId="1850"/>
    <cellStyle name="Normal 5 2 3 2 5 2" xfId="23160"/>
    <cellStyle name="Normal 5 2 3 2 6" xfId="16276"/>
    <cellStyle name="Normal 5 2 3 3" xfId="1851"/>
    <cellStyle name="Normal 5 2 3 3 2" xfId="1852"/>
    <cellStyle name="Normal 5 2 3 3 2 2" xfId="16277"/>
    <cellStyle name="Normal 5 2 3 3 2 2 2" xfId="23161"/>
    <cellStyle name="Normal 5 2 3 3 2 3" xfId="16278"/>
    <cellStyle name="Normal 5 2 3 3 3" xfId="1853"/>
    <cellStyle name="Normal 5 2 3 3 3 2" xfId="16279"/>
    <cellStyle name="Normal 5 2 3 3 3 2 2" xfId="23162"/>
    <cellStyle name="Normal 5 2 3 3 3 3" xfId="16280"/>
    <cellStyle name="Normal 5 2 3 3 4" xfId="16281"/>
    <cellStyle name="Normal 5 2 3 3 4 2" xfId="23163"/>
    <cellStyle name="Normal 5 2 3 3 5" xfId="16282"/>
    <cellStyle name="Normal 5 2 3 4" xfId="1854"/>
    <cellStyle name="Normal 5 2 3 4 2" xfId="1855"/>
    <cellStyle name="Normal 5 2 3 4 2 2" xfId="23164"/>
    <cellStyle name="Normal 5 2 3 4 3" xfId="1856"/>
    <cellStyle name="Normal 5 2 3 4 3 2" xfId="23165"/>
    <cellStyle name="Normal 5 2 3 4 4" xfId="23166"/>
    <cellStyle name="Normal 5 2 3 5" xfId="1857"/>
    <cellStyle name="Normal 5 2 3 5 2" xfId="16283"/>
    <cellStyle name="Normal 5 2 3 5 2 2" xfId="23167"/>
    <cellStyle name="Normal 5 2 3 5 3" xfId="16284"/>
    <cellStyle name="Normal 5 2 3 6" xfId="1858"/>
    <cellStyle name="Normal 5 2 3 6 2" xfId="23168"/>
    <cellStyle name="Normal 5 2 3 7" xfId="16285"/>
    <cellStyle name="Normal 5 2 4" xfId="1082"/>
    <cellStyle name="Normal 5 2 4 2" xfId="1859"/>
    <cellStyle name="Normal 5 2 4 2 2" xfId="1860"/>
    <cellStyle name="Normal 5 2 4 2 2 2" xfId="16286"/>
    <cellStyle name="Normal 5 2 4 2 2 2 2" xfId="23169"/>
    <cellStyle name="Normal 5 2 4 2 2 3" xfId="16287"/>
    <cellStyle name="Normal 5 2 4 2 3" xfId="1861"/>
    <cellStyle name="Normal 5 2 4 2 3 2" xfId="16288"/>
    <cellStyle name="Normal 5 2 4 2 3 2 2" xfId="23170"/>
    <cellStyle name="Normal 5 2 4 2 3 3" xfId="16289"/>
    <cellStyle name="Normal 5 2 4 2 4" xfId="1862"/>
    <cellStyle name="Normal 5 2 4 2 4 2" xfId="23171"/>
    <cellStyle name="Normal 5 2 4 2 5" xfId="1863"/>
    <cellStyle name="Normal 5 2 4 2 5 2" xfId="23172"/>
    <cellStyle name="Normal 5 2 4 2 6" xfId="23173"/>
    <cellStyle name="Normal 5 2 4 3" xfId="1864"/>
    <cellStyle name="Normal 5 2 4 3 2" xfId="1865"/>
    <cellStyle name="Normal 5 2 4 3 2 2" xfId="23174"/>
    <cellStyle name="Normal 5 2 4 3 3" xfId="1866"/>
    <cellStyle name="Normal 5 2 4 3 3 2" xfId="23175"/>
    <cellStyle name="Normal 5 2 4 3 4" xfId="23176"/>
    <cellStyle name="Normal 5 2 4 4" xfId="1867"/>
    <cellStyle name="Normal 5 2 4 4 2" xfId="1868"/>
    <cellStyle name="Normal 5 2 4 4 2 2" xfId="23177"/>
    <cellStyle name="Normal 5 2 4 4 3" xfId="1869"/>
    <cellStyle name="Normal 5 2 4 4 3 2" xfId="23178"/>
    <cellStyle name="Normal 5 2 4 4 4" xfId="23179"/>
    <cellStyle name="Normal 5 2 4 5" xfId="1870"/>
    <cellStyle name="Normal 5 2 4 5 2" xfId="23180"/>
    <cellStyle name="Normal 5 2 4 6" xfId="1871"/>
    <cellStyle name="Normal 5 2 4 6 2" xfId="23181"/>
    <cellStyle name="Normal 5 2 4 7" xfId="23182"/>
    <cellStyle name="Normal 5 2 5" xfId="1872"/>
    <cellStyle name="Normal 5 2 5 10" xfId="1873"/>
    <cellStyle name="Normal 5 2 5 10 2" xfId="1874"/>
    <cellStyle name="Normal 5 2 5 10 2 2" xfId="23183"/>
    <cellStyle name="Normal 5 2 5 10 3" xfId="1875"/>
    <cellStyle name="Normal 5 2 5 10 3 2" xfId="23184"/>
    <cellStyle name="Normal 5 2 5 10 4" xfId="23185"/>
    <cellStyle name="Normal 5 2 5 11" xfId="1876"/>
    <cellStyle name="Normal 5 2 5 11 2" xfId="1877"/>
    <cellStyle name="Normal 5 2 5 11 2 2" xfId="23186"/>
    <cellStyle name="Normal 5 2 5 11 3" xfId="23187"/>
    <cellStyle name="Normal 5 2 5 12" xfId="1878"/>
    <cellStyle name="Normal 5 2 5 12 2" xfId="1879"/>
    <cellStyle name="Normal 5 2 5 12 2 2" xfId="23188"/>
    <cellStyle name="Normal 5 2 5 12 3" xfId="23189"/>
    <cellStyle name="Normal 5 2 5 13" xfId="1880"/>
    <cellStyle name="Normal 5 2 5 13 2" xfId="23190"/>
    <cellStyle name="Normal 5 2 5 14" xfId="1881"/>
    <cellStyle name="Normal 5 2 5 14 2" xfId="23191"/>
    <cellStyle name="Normal 5 2 5 15" xfId="1882"/>
    <cellStyle name="Normal 5 2 5 15 2" xfId="23192"/>
    <cellStyle name="Normal 5 2 5 16" xfId="1883"/>
    <cellStyle name="Normal 5 2 5 16 2" xfId="23193"/>
    <cellStyle name="Normal 5 2 5 17" xfId="1884"/>
    <cellStyle name="Normal 5 2 5 17 2" xfId="23194"/>
    <cellStyle name="Normal 5 2 5 18" xfId="1885"/>
    <cellStyle name="Normal 5 2 5 18 2" xfId="23195"/>
    <cellStyle name="Normal 5 2 5 19" xfId="1886"/>
    <cellStyle name="Normal 5 2 5 19 2" xfId="1887"/>
    <cellStyle name="Normal 5 2 5 19 2 2" xfId="23196"/>
    <cellStyle name="Normal 5 2 5 19 3" xfId="1888"/>
    <cellStyle name="Normal 5 2 5 19 3 2" xfId="23197"/>
    <cellStyle name="Normal 5 2 5 19 4" xfId="1889"/>
    <cellStyle name="Normal 5 2 5 19 4 2" xfId="23198"/>
    <cellStyle name="Normal 5 2 5 19 5" xfId="1890"/>
    <cellStyle name="Normal 5 2 5 19 5 2" xfId="23199"/>
    <cellStyle name="Normal 5 2 5 19 6" xfId="1891"/>
    <cellStyle name="Normal 5 2 5 19 6 2" xfId="23200"/>
    <cellStyle name="Normal 5 2 5 19 7" xfId="1892"/>
    <cellStyle name="Normal 5 2 5 19 7 2" xfId="23201"/>
    <cellStyle name="Normal 5 2 5 19 8" xfId="23202"/>
    <cellStyle name="Normal 5 2 5 2" xfId="1893"/>
    <cellStyle name="Normal 5 2 5 2 2" xfId="1894"/>
    <cellStyle name="Normal 5 2 5 2 2 2" xfId="1895"/>
    <cellStyle name="Normal 5 2 5 2 2 2 2" xfId="23203"/>
    <cellStyle name="Normal 5 2 5 2 2 3" xfId="1896"/>
    <cellStyle name="Normal 5 2 5 2 2 3 2" xfId="23204"/>
    <cellStyle name="Normal 5 2 5 2 2 4" xfId="1897"/>
    <cellStyle name="Normal 5 2 5 2 2 4 2" xfId="23205"/>
    <cellStyle name="Normal 5 2 5 2 2 5" xfId="1898"/>
    <cellStyle name="Normal 5 2 5 2 2 5 2" xfId="23206"/>
    <cellStyle name="Normal 5 2 5 2 2 6" xfId="23207"/>
    <cellStyle name="Normal 5 2 5 2 3" xfId="1899"/>
    <cellStyle name="Normal 5 2 5 2 3 2" xfId="1900"/>
    <cellStyle name="Normal 5 2 5 2 3 2 2" xfId="23208"/>
    <cellStyle name="Normal 5 2 5 2 3 3" xfId="1901"/>
    <cellStyle name="Normal 5 2 5 2 3 3 2" xfId="23209"/>
    <cellStyle name="Normal 5 2 5 2 3 4" xfId="23210"/>
    <cellStyle name="Normal 5 2 5 2 4" xfId="1902"/>
    <cellStyle name="Normal 5 2 5 2 4 2" xfId="1903"/>
    <cellStyle name="Normal 5 2 5 2 4 2 2" xfId="23211"/>
    <cellStyle name="Normal 5 2 5 2 4 3" xfId="1904"/>
    <cellStyle name="Normal 5 2 5 2 4 3 2" xfId="23212"/>
    <cellStyle name="Normal 5 2 5 2 4 4" xfId="23213"/>
    <cellStyle name="Normal 5 2 5 2 5" xfId="1905"/>
    <cellStyle name="Normal 5 2 5 2 5 2" xfId="23214"/>
    <cellStyle name="Normal 5 2 5 2 6" xfId="1906"/>
    <cellStyle name="Normal 5 2 5 2 6 2" xfId="23215"/>
    <cellStyle name="Normal 5 2 5 2 7" xfId="23216"/>
    <cellStyle name="Normal 5 2 5 20" xfId="1907"/>
    <cellStyle name="Normal 5 2 5 20 2" xfId="23217"/>
    <cellStyle name="Normal 5 2 5 21" xfId="1908"/>
    <cellStyle name="Normal 5 2 5 21 2" xfId="23218"/>
    <cellStyle name="Normal 5 2 5 22" xfId="1909"/>
    <cellStyle name="Normal 5 2 5 22 2" xfId="23219"/>
    <cellStyle name="Normal 5 2 5 23" xfId="1910"/>
    <cellStyle name="Normal 5 2 5 23 2" xfId="23220"/>
    <cellStyle name="Normal 5 2 5 24" xfId="1911"/>
    <cellStyle name="Normal 5 2 5 24 2" xfId="23221"/>
    <cellStyle name="Normal 5 2 5 25" xfId="1912"/>
    <cellStyle name="Normal 5 2 5 25 2" xfId="23222"/>
    <cellStyle name="Normal 5 2 5 26" xfId="1913"/>
    <cellStyle name="Normal 5 2 5 26 2" xfId="23223"/>
    <cellStyle name="Normal 5 2 5 27" xfId="1914"/>
    <cellStyle name="Normal 5 2 5 27 2" xfId="23224"/>
    <cellStyle name="Normal 5 2 5 28" xfId="23225"/>
    <cellStyle name="Normal 5 2 5 3" xfId="1915"/>
    <cellStyle name="Normal 5 2 5 3 10" xfId="1916"/>
    <cellStyle name="Normal 5 2 5 3 10 2" xfId="23226"/>
    <cellStyle name="Normal 5 2 5 3 11" xfId="1917"/>
    <cellStyle name="Normal 5 2 5 3 11 2" xfId="23227"/>
    <cellStyle name="Normal 5 2 5 3 12" xfId="1918"/>
    <cellStyle name="Normal 5 2 5 3 12 2" xfId="23228"/>
    <cellStyle name="Normal 5 2 5 3 13" xfId="1919"/>
    <cellStyle name="Normal 5 2 5 3 13 2" xfId="23229"/>
    <cellStyle name="Normal 5 2 5 3 14" xfId="1920"/>
    <cellStyle name="Normal 5 2 5 3 14 2" xfId="23230"/>
    <cellStyle name="Normal 5 2 5 3 15" xfId="1921"/>
    <cellStyle name="Normal 5 2 5 3 15 2" xfId="23231"/>
    <cellStyle name="Normal 5 2 5 3 16" xfId="1922"/>
    <cellStyle name="Normal 5 2 5 3 16 2" xfId="23232"/>
    <cellStyle name="Normal 5 2 5 3 17" xfId="1923"/>
    <cellStyle name="Normal 5 2 5 3 17 2" xfId="23233"/>
    <cellStyle name="Normal 5 2 5 3 18" xfId="1924"/>
    <cellStyle name="Normal 5 2 5 3 18 2" xfId="23234"/>
    <cellStyle name="Normal 5 2 5 3 19" xfId="1925"/>
    <cellStyle name="Normal 5 2 5 3 19 2" xfId="23235"/>
    <cellStyle name="Normal 5 2 5 3 2" xfId="1926"/>
    <cellStyle name="Normal 5 2 5 3 2 2" xfId="1927"/>
    <cellStyle name="Normal 5 2 5 3 2 2 2" xfId="1928"/>
    <cellStyle name="Normal 5 2 5 3 2 2 2 2" xfId="23236"/>
    <cellStyle name="Normal 5 2 5 3 2 2 3" xfId="1929"/>
    <cellStyle name="Normal 5 2 5 3 2 2 3 2" xfId="23237"/>
    <cellStyle name="Normal 5 2 5 3 2 2 4" xfId="23238"/>
    <cellStyle name="Normal 5 2 5 3 2 3" xfId="1930"/>
    <cellStyle name="Normal 5 2 5 3 2 3 2" xfId="1931"/>
    <cellStyle name="Normal 5 2 5 3 2 3 2 2" xfId="23239"/>
    <cellStyle name="Normal 5 2 5 3 2 3 3" xfId="1932"/>
    <cellStyle name="Normal 5 2 5 3 2 3 3 2" xfId="23240"/>
    <cellStyle name="Normal 5 2 5 3 2 3 4" xfId="23241"/>
    <cellStyle name="Normal 5 2 5 3 2 4" xfId="1933"/>
    <cellStyle name="Normal 5 2 5 3 2 4 2" xfId="23242"/>
    <cellStyle name="Normal 5 2 5 3 2 5" xfId="1934"/>
    <cellStyle name="Normal 5 2 5 3 2 5 2" xfId="23243"/>
    <cellStyle name="Normal 5 2 5 3 2 6" xfId="23244"/>
    <cellStyle name="Normal 5 2 5 3 20" xfId="23245"/>
    <cellStyle name="Normal 5 2 5 3 3" xfId="1935"/>
    <cellStyle name="Normal 5 2 5 3 3 2" xfId="1936"/>
    <cellStyle name="Normal 5 2 5 3 3 2 2" xfId="23246"/>
    <cellStyle name="Normal 5 2 5 3 3 3" xfId="1937"/>
    <cellStyle name="Normal 5 2 5 3 3 3 2" xfId="23247"/>
    <cellStyle name="Normal 5 2 5 3 3 4" xfId="1938"/>
    <cellStyle name="Normal 5 2 5 3 3 4 2" xfId="23248"/>
    <cellStyle name="Normal 5 2 5 3 3 5" xfId="1939"/>
    <cellStyle name="Normal 5 2 5 3 3 5 2" xfId="23249"/>
    <cellStyle name="Normal 5 2 5 3 3 6" xfId="23250"/>
    <cellStyle name="Normal 5 2 5 3 4" xfId="1940"/>
    <cellStyle name="Normal 5 2 5 3 4 2" xfId="1941"/>
    <cellStyle name="Normal 5 2 5 3 4 2 2" xfId="23251"/>
    <cellStyle name="Normal 5 2 5 3 4 3" xfId="1942"/>
    <cellStyle name="Normal 5 2 5 3 4 3 2" xfId="23252"/>
    <cellStyle name="Normal 5 2 5 3 4 4" xfId="23253"/>
    <cellStyle name="Normal 5 2 5 3 5" xfId="1943"/>
    <cellStyle name="Normal 5 2 5 3 5 2" xfId="1944"/>
    <cellStyle name="Normal 5 2 5 3 5 2 2" xfId="23254"/>
    <cellStyle name="Normal 5 2 5 3 5 3" xfId="1945"/>
    <cellStyle name="Normal 5 2 5 3 5 3 2" xfId="23255"/>
    <cellStyle name="Normal 5 2 5 3 5 4" xfId="23256"/>
    <cellStyle name="Normal 5 2 5 3 6" xfId="1946"/>
    <cellStyle name="Normal 5 2 5 3 6 2" xfId="23257"/>
    <cellStyle name="Normal 5 2 5 3 7" xfId="1947"/>
    <cellStyle name="Normal 5 2 5 3 7 2" xfId="23258"/>
    <cellStyle name="Normal 5 2 5 3 8" xfId="1948"/>
    <cellStyle name="Normal 5 2 5 3 8 2" xfId="23259"/>
    <cellStyle name="Normal 5 2 5 3 9" xfId="1949"/>
    <cellStyle name="Normal 5 2 5 3 9 2" xfId="23260"/>
    <cellStyle name="Normal 5 2 5 4" xfId="1950"/>
    <cellStyle name="Normal 5 2 5 4 2" xfId="1951"/>
    <cellStyle name="Normal 5 2 5 4 2 2" xfId="1952"/>
    <cellStyle name="Normal 5 2 5 4 2 2 2" xfId="23261"/>
    <cellStyle name="Normal 5 2 5 4 2 3" xfId="1953"/>
    <cellStyle name="Normal 5 2 5 4 2 3 2" xfId="23262"/>
    <cellStyle name="Normal 5 2 5 4 2 4" xfId="1954"/>
    <cellStyle name="Normal 5 2 5 4 2 4 2" xfId="23263"/>
    <cellStyle name="Normal 5 2 5 4 2 5" xfId="1955"/>
    <cellStyle name="Normal 5 2 5 4 2 5 2" xfId="23264"/>
    <cellStyle name="Normal 5 2 5 4 2 6" xfId="23265"/>
    <cellStyle name="Normal 5 2 5 4 3" xfId="1956"/>
    <cellStyle name="Normal 5 2 5 4 3 2" xfId="1957"/>
    <cellStyle name="Normal 5 2 5 4 3 2 2" xfId="23266"/>
    <cellStyle name="Normal 5 2 5 4 3 3" xfId="1958"/>
    <cellStyle name="Normal 5 2 5 4 3 3 2" xfId="23267"/>
    <cellStyle name="Normal 5 2 5 4 3 4" xfId="23268"/>
    <cellStyle name="Normal 5 2 5 4 4" xfId="1959"/>
    <cellStyle name="Normal 5 2 5 4 4 2" xfId="1960"/>
    <cellStyle name="Normal 5 2 5 4 4 2 2" xfId="23269"/>
    <cellStyle name="Normal 5 2 5 4 4 3" xfId="1961"/>
    <cellStyle name="Normal 5 2 5 4 4 3 2" xfId="23270"/>
    <cellStyle name="Normal 5 2 5 4 4 4" xfId="23271"/>
    <cellStyle name="Normal 5 2 5 4 5" xfId="1962"/>
    <cellStyle name="Normal 5 2 5 4 5 2" xfId="23272"/>
    <cellStyle name="Normal 5 2 5 4 6" xfId="1963"/>
    <cellStyle name="Normal 5 2 5 4 6 2" xfId="23273"/>
    <cellStyle name="Normal 5 2 5 4 7" xfId="23274"/>
    <cellStyle name="Normal 5 2 5 5" xfId="1964"/>
    <cellStyle name="Normal 5 2 5 5 2" xfId="1965"/>
    <cellStyle name="Normal 5 2 5 5 2 2" xfId="1966"/>
    <cellStyle name="Normal 5 2 5 5 2 2 2" xfId="23275"/>
    <cellStyle name="Normal 5 2 5 5 2 3" xfId="1967"/>
    <cellStyle name="Normal 5 2 5 5 2 3 2" xfId="23276"/>
    <cellStyle name="Normal 5 2 5 5 2 4" xfId="1968"/>
    <cellStyle name="Normal 5 2 5 5 2 4 2" xfId="23277"/>
    <cellStyle name="Normal 5 2 5 5 2 5" xfId="1969"/>
    <cellStyle name="Normal 5 2 5 5 2 5 2" xfId="23278"/>
    <cellStyle name="Normal 5 2 5 5 2 6" xfId="23279"/>
    <cellStyle name="Normal 5 2 5 5 3" xfId="1970"/>
    <cellStyle name="Normal 5 2 5 5 3 2" xfId="1971"/>
    <cellStyle name="Normal 5 2 5 5 3 2 2" xfId="23280"/>
    <cellStyle name="Normal 5 2 5 5 3 3" xfId="1972"/>
    <cellStyle name="Normal 5 2 5 5 3 3 2" xfId="23281"/>
    <cellStyle name="Normal 5 2 5 5 3 4" xfId="23282"/>
    <cellStyle name="Normal 5 2 5 5 4" xfId="1973"/>
    <cellStyle name="Normal 5 2 5 5 4 2" xfId="1974"/>
    <cellStyle name="Normal 5 2 5 5 4 2 2" xfId="23283"/>
    <cellStyle name="Normal 5 2 5 5 4 3" xfId="1975"/>
    <cellStyle name="Normal 5 2 5 5 4 3 2" xfId="23284"/>
    <cellStyle name="Normal 5 2 5 5 4 4" xfId="23285"/>
    <cellStyle name="Normal 5 2 5 5 5" xfId="1976"/>
    <cellStyle name="Normal 5 2 5 5 5 2" xfId="23286"/>
    <cellStyle name="Normal 5 2 5 5 6" xfId="1977"/>
    <cellStyle name="Normal 5 2 5 5 6 2" xfId="23287"/>
    <cellStyle name="Normal 5 2 5 5 7" xfId="23288"/>
    <cellStyle name="Normal 5 2 5 6" xfId="1978"/>
    <cellStyle name="Normal 5 2 5 6 2" xfId="1979"/>
    <cellStyle name="Normal 5 2 5 6 2 2" xfId="1980"/>
    <cellStyle name="Normal 5 2 5 6 2 2 2" xfId="23289"/>
    <cellStyle name="Normal 5 2 5 6 2 3" xfId="1981"/>
    <cellStyle name="Normal 5 2 5 6 2 3 2" xfId="23290"/>
    <cellStyle name="Normal 5 2 5 6 2 4" xfId="1982"/>
    <cellStyle name="Normal 5 2 5 6 2 4 2" xfId="23291"/>
    <cellStyle name="Normal 5 2 5 6 2 5" xfId="1983"/>
    <cellStyle name="Normal 5 2 5 6 2 5 2" xfId="23292"/>
    <cellStyle name="Normal 5 2 5 6 2 6" xfId="23293"/>
    <cellStyle name="Normal 5 2 5 6 3" xfId="1984"/>
    <cellStyle name="Normal 5 2 5 6 3 2" xfId="1985"/>
    <cellStyle name="Normal 5 2 5 6 3 2 2" xfId="23294"/>
    <cellStyle name="Normal 5 2 5 6 3 3" xfId="1986"/>
    <cellStyle name="Normal 5 2 5 6 3 3 2" xfId="23295"/>
    <cellStyle name="Normal 5 2 5 6 3 4" xfId="23296"/>
    <cellStyle name="Normal 5 2 5 6 4" xfId="1987"/>
    <cellStyle name="Normal 5 2 5 6 4 2" xfId="1988"/>
    <cellStyle name="Normal 5 2 5 6 4 2 2" xfId="23297"/>
    <cellStyle name="Normal 5 2 5 6 4 3" xfId="1989"/>
    <cellStyle name="Normal 5 2 5 6 4 3 2" xfId="23298"/>
    <cellStyle name="Normal 5 2 5 6 4 4" xfId="23299"/>
    <cellStyle name="Normal 5 2 5 6 5" xfId="1990"/>
    <cellStyle name="Normal 5 2 5 6 5 2" xfId="23300"/>
    <cellStyle name="Normal 5 2 5 6 6" xfId="1991"/>
    <cellStyle name="Normal 5 2 5 6 6 2" xfId="23301"/>
    <cellStyle name="Normal 5 2 5 6 7" xfId="23302"/>
    <cellStyle name="Normal 5 2 5 7" xfId="1992"/>
    <cellStyle name="Normal 5 2 5 7 2" xfId="1993"/>
    <cellStyle name="Normal 5 2 5 7 2 2" xfId="1994"/>
    <cellStyle name="Normal 5 2 5 7 2 2 2" xfId="23303"/>
    <cellStyle name="Normal 5 2 5 7 2 3" xfId="1995"/>
    <cellStyle name="Normal 5 2 5 7 2 3 2" xfId="23304"/>
    <cellStyle name="Normal 5 2 5 7 2 4" xfId="23305"/>
    <cellStyle name="Normal 5 2 5 7 3" xfId="1996"/>
    <cellStyle name="Normal 5 2 5 7 3 2" xfId="1997"/>
    <cellStyle name="Normal 5 2 5 7 3 2 2" xfId="23306"/>
    <cellStyle name="Normal 5 2 5 7 3 3" xfId="1998"/>
    <cellStyle name="Normal 5 2 5 7 3 3 2" xfId="23307"/>
    <cellStyle name="Normal 5 2 5 7 3 4" xfId="23308"/>
    <cellStyle name="Normal 5 2 5 7 4" xfId="1999"/>
    <cellStyle name="Normal 5 2 5 7 4 2" xfId="2000"/>
    <cellStyle name="Normal 5 2 5 7 4 2 2" xfId="23309"/>
    <cellStyle name="Normal 5 2 5 7 4 3" xfId="23310"/>
    <cellStyle name="Normal 5 2 5 7 5" xfId="2001"/>
    <cellStyle name="Normal 5 2 5 7 5 2" xfId="23311"/>
    <cellStyle name="Normal 5 2 5 7 6" xfId="2002"/>
    <cellStyle name="Normal 5 2 5 7 6 2" xfId="23312"/>
    <cellStyle name="Normal 5 2 5 7 7" xfId="23313"/>
    <cellStyle name="Normal 5 2 5 8" xfId="2003"/>
    <cellStyle name="Normal 5 2 5 8 2" xfId="2004"/>
    <cellStyle name="Normal 5 2 5 8 2 2" xfId="23314"/>
    <cellStyle name="Normal 5 2 5 8 3" xfId="2005"/>
    <cellStyle name="Normal 5 2 5 8 3 2" xfId="23315"/>
    <cellStyle name="Normal 5 2 5 8 4" xfId="2006"/>
    <cellStyle name="Normal 5 2 5 8 4 2" xfId="23316"/>
    <cellStyle name="Normal 5 2 5 8 5" xfId="2007"/>
    <cellStyle name="Normal 5 2 5 8 5 2" xfId="23317"/>
    <cellStyle name="Normal 5 2 5 8 6" xfId="23318"/>
    <cellStyle name="Normal 5 2 5 9" xfId="2008"/>
    <cellStyle name="Normal 5 2 5 9 2" xfId="2009"/>
    <cellStyle name="Normal 5 2 5 9 2 2" xfId="23319"/>
    <cellStyle name="Normal 5 2 5 9 3" xfId="2010"/>
    <cellStyle name="Normal 5 2 5 9 3 2" xfId="23320"/>
    <cellStyle name="Normal 5 2 5 9 4" xfId="23321"/>
    <cellStyle name="Normal 5 2 5_10070" xfId="2011"/>
    <cellStyle name="Normal 5 2 6" xfId="2012"/>
    <cellStyle name="Normal 5 2 6 2" xfId="2013"/>
    <cellStyle name="Normal 5 2 6 2 2" xfId="2014"/>
    <cellStyle name="Normal 5 2 6 2 2 2" xfId="23322"/>
    <cellStyle name="Normal 5 2 6 2 3" xfId="2015"/>
    <cellStyle name="Normal 5 2 6 2 3 2" xfId="23323"/>
    <cellStyle name="Normal 5 2 6 2 4" xfId="23324"/>
    <cellStyle name="Normal 5 2 6 3" xfId="2016"/>
    <cellStyle name="Normal 5 2 6 3 2" xfId="2017"/>
    <cellStyle name="Normal 5 2 6 3 2 2" xfId="23325"/>
    <cellStyle name="Normal 5 2 6 3 3" xfId="2018"/>
    <cellStyle name="Normal 5 2 6 3 3 2" xfId="23326"/>
    <cellStyle name="Normal 5 2 6 3 4" xfId="23327"/>
    <cellStyle name="Normal 5 2 6 4" xfId="2019"/>
    <cellStyle name="Normal 5 2 6 4 2" xfId="23328"/>
    <cellStyle name="Normal 5 2 6 5" xfId="2020"/>
    <cellStyle name="Normal 5 2 6 5 2" xfId="23329"/>
    <cellStyle name="Normal 5 2 6 6" xfId="23330"/>
    <cellStyle name="Normal 5 2 7" xfId="2021"/>
    <cellStyle name="Normal 5 2 7 2" xfId="2022"/>
    <cellStyle name="Normal 5 2 7 2 2" xfId="23331"/>
    <cellStyle name="Normal 5 2 7 3" xfId="2023"/>
    <cellStyle name="Normal 5 2 7 3 2" xfId="23332"/>
    <cellStyle name="Normal 5 2 7 4" xfId="2024"/>
    <cellStyle name="Normal 5 2 7 4 2" xfId="23333"/>
    <cellStyle name="Normal 5 2 7 5" xfId="2025"/>
    <cellStyle name="Normal 5 2 7 5 2" xfId="23334"/>
    <cellStyle name="Normal 5 2 7 6" xfId="23335"/>
    <cellStyle name="Normal 5 2 8" xfId="2026"/>
    <cellStyle name="Normal 5 2 8 2" xfId="23336"/>
    <cellStyle name="Normal 5 2 9" xfId="2027"/>
    <cellStyle name="Normal 5 2 9 2" xfId="23337"/>
    <cellStyle name="Normal 5 2_TV" xfId="16290"/>
    <cellStyle name="Normal 5 3" xfId="51"/>
    <cellStyle name="Normal 5 3 2" xfId="1083"/>
    <cellStyle name="Normal 5 3 2 2" xfId="1084"/>
    <cellStyle name="Normal 5 3 2 2 2" xfId="16291"/>
    <cellStyle name="Normal 5 3 2 2 2 2" xfId="16292"/>
    <cellStyle name="Normal 5 3 2 2 2 2 2" xfId="16293"/>
    <cellStyle name="Normal 5 3 2 2 2 2 2 2" xfId="23338"/>
    <cellStyle name="Normal 5 3 2 2 2 2 3" xfId="16294"/>
    <cellStyle name="Normal 5 3 2 2 2 3" xfId="16295"/>
    <cellStyle name="Normal 5 3 2 2 2 3 2" xfId="16296"/>
    <cellStyle name="Normal 5 3 2 2 2 3 2 2" xfId="23339"/>
    <cellStyle name="Normal 5 3 2 2 2 3 3" xfId="16297"/>
    <cellStyle name="Normal 5 3 2 2 2 4" xfId="16298"/>
    <cellStyle name="Normal 5 3 2 2 2 4 2" xfId="23340"/>
    <cellStyle name="Normal 5 3 2 2 2 5" xfId="16299"/>
    <cellStyle name="Normal 5 3 2 2 3" xfId="16300"/>
    <cellStyle name="Normal 5 3 2 2 3 2" xfId="16301"/>
    <cellStyle name="Normal 5 3 2 2 3 2 2" xfId="23341"/>
    <cellStyle name="Normal 5 3 2 2 3 3" xfId="16302"/>
    <cellStyle name="Normal 5 3 2 2 4" xfId="16303"/>
    <cellStyle name="Normal 5 3 2 2 4 2" xfId="16304"/>
    <cellStyle name="Normal 5 3 2 2 4 2 2" xfId="23342"/>
    <cellStyle name="Normal 5 3 2 2 4 3" xfId="16305"/>
    <cellStyle name="Normal 5 3 2 2 5" xfId="16306"/>
    <cellStyle name="Normal 5 3 2 2 5 2" xfId="23343"/>
    <cellStyle name="Normal 5 3 2 2 6" xfId="16307"/>
    <cellStyle name="Normal 5 3 2 3" xfId="2028"/>
    <cellStyle name="Normal 5 3 2 3 2" xfId="16308"/>
    <cellStyle name="Normal 5 3 2 3 2 2" xfId="16309"/>
    <cellStyle name="Normal 5 3 2 3 2 2 2" xfId="23344"/>
    <cellStyle name="Normal 5 3 2 3 2 3" xfId="16310"/>
    <cellStyle name="Normal 5 3 2 3 3" xfId="16311"/>
    <cellStyle name="Normal 5 3 2 3 3 2" xfId="16312"/>
    <cellStyle name="Normal 5 3 2 3 3 2 2" xfId="23345"/>
    <cellStyle name="Normal 5 3 2 3 3 3" xfId="16313"/>
    <cellStyle name="Normal 5 3 2 3 4" xfId="16314"/>
    <cellStyle name="Normal 5 3 2 3 4 2" xfId="23346"/>
    <cellStyle name="Normal 5 3 2 3 5" xfId="16315"/>
    <cellStyle name="Normal 5 3 2 4" xfId="16316"/>
    <cellStyle name="Normal 5 3 2 4 2" xfId="16317"/>
    <cellStyle name="Normal 5 3 2 4 2 2" xfId="23347"/>
    <cellStyle name="Normal 5 3 2 4 3" xfId="16318"/>
    <cellStyle name="Normal 5 3 2 5" xfId="16319"/>
    <cellStyle name="Normal 5 3 2 5 2" xfId="16320"/>
    <cellStyle name="Normal 5 3 2 5 2 2" xfId="23348"/>
    <cellStyle name="Normal 5 3 2 5 3" xfId="16321"/>
    <cellStyle name="Normal 5 3 2 6" xfId="16322"/>
    <cellStyle name="Normal 5 3 2 6 2" xfId="23349"/>
    <cellStyle name="Normal 5 3 2 7" xfId="16323"/>
    <cellStyle name="Normal 5 3 3" xfId="1085"/>
    <cellStyle name="Normal 5 3 3 2" xfId="2029"/>
    <cellStyle name="Normal 5 3 3 2 2" xfId="16324"/>
    <cellStyle name="Normal 5 3 3 2 2 2" xfId="16325"/>
    <cellStyle name="Normal 5 3 3 2 2 2 2" xfId="23350"/>
    <cellStyle name="Normal 5 3 3 2 2 3" xfId="16326"/>
    <cellStyle name="Normal 5 3 3 2 3" xfId="16327"/>
    <cellStyle name="Normal 5 3 3 2 3 2" xfId="16328"/>
    <cellStyle name="Normal 5 3 3 2 3 2 2" xfId="23351"/>
    <cellStyle name="Normal 5 3 3 2 3 3" xfId="16329"/>
    <cellStyle name="Normal 5 3 3 2 4" xfId="16330"/>
    <cellStyle name="Normal 5 3 3 2 4 2" xfId="23352"/>
    <cellStyle name="Normal 5 3 3 2 5" xfId="16331"/>
    <cellStyle name="Normal 5 3 3 3" xfId="2030"/>
    <cellStyle name="Normal 5 3 3 3 2" xfId="16332"/>
    <cellStyle name="Normal 5 3 3 3 2 2" xfId="23353"/>
    <cellStyle name="Normal 5 3 3 3 3" xfId="16333"/>
    <cellStyle name="Normal 5 3 3 4" xfId="16334"/>
    <cellStyle name="Normal 5 3 3 4 2" xfId="16335"/>
    <cellStyle name="Normal 5 3 3 4 2 2" xfId="23354"/>
    <cellStyle name="Normal 5 3 3 4 3" xfId="16336"/>
    <cellStyle name="Normal 5 3 3 5" xfId="16337"/>
    <cellStyle name="Normal 5 3 3 5 2" xfId="23355"/>
    <cellStyle name="Normal 5 3 3 6" xfId="16338"/>
    <cellStyle name="Normal 5 3 4" xfId="2031"/>
    <cellStyle name="Normal 5 3 4 2" xfId="16339"/>
    <cellStyle name="Normal 5 3 4 2 2" xfId="16340"/>
    <cellStyle name="Normal 5 3 4 2 2 2" xfId="23356"/>
    <cellStyle name="Normal 5 3 4 2 3" xfId="16341"/>
    <cellStyle name="Normal 5 3 4 3" xfId="16342"/>
    <cellStyle name="Normal 5 3 4 3 2" xfId="16343"/>
    <cellStyle name="Normal 5 3 4 3 2 2" xfId="23357"/>
    <cellStyle name="Normal 5 3 4 3 3" xfId="16344"/>
    <cellStyle name="Normal 5 3 4 4" xfId="16345"/>
    <cellStyle name="Normal 5 3 4 4 2" xfId="23358"/>
    <cellStyle name="Normal 5 3 4 5" xfId="16346"/>
    <cellStyle name="Normal 5 3 5" xfId="2032"/>
    <cellStyle name="Normal 5 3 5 2" xfId="16347"/>
    <cellStyle name="Normal 5 3 5 2 2" xfId="23359"/>
    <cellStyle name="Normal 5 3 5 3" xfId="16348"/>
    <cellStyle name="Normal 5 3 6" xfId="16349"/>
    <cellStyle name="Normal 5 3 6 2" xfId="16350"/>
    <cellStyle name="Normal 5 3 6 2 2" xfId="23360"/>
    <cellStyle name="Normal 5 3 6 3" xfId="16351"/>
    <cellStyle name="Normal 5 3 7" xfId="16352"/>
    <cellStyle name="Normal 5 3 7 2" xfId="23361"/>
    <cellStyle name="Normal 5 3 8" xfId="16353"/>
    <cellStyle name="Normal 5 3 9" xfId="23362"/>
    <cellStyle name="Normal 5 4" xfId="1086"/>
    <cellStyle name="Normal 5 4 2" xfId="1087"/>
    <cellStyle name="Normal 5 4 2 2" xfId="16354"/>
    <cellStyle name="Normal 5 4 2 2 2" xfId="16355"/>
    <cellStyle name="Normal 5 4 2 2 2 2" xfId="16356"/>
    <cellStyle name="Normal 5 4 2 2 2 2 2" xfId="16357"/>
    <cellStyle name="Normal 5 4 2 2 2 2 2 2" xfId="23363"/>
    <cellStyle name="Normal 5 4 2 2 2 2 3" xfId="16358"/>
    <cellStyle name="Normal 5 4 2 2 2 3" xfId="16359"/>
    <cellStyle name="Normal 5 4 2 2 2 3 2" xfId="16360"/>
    <cellStyle name="Normal 5 4 2 2 2 3 2 2" xfId="23364"/>
    <cellStyle name="Normal 5 4 2 2 2 3 3" xfId="16361"/>
    <cellStyle name="Normal 5 4 2 2 2 4" xfId="16362"/>
    <cellStyle name="Normal 5 4 2 2 2 4 2" xfId="23365"/>
    <cellStyle name="Normal 5 4 2 2 2 5" xfId="16363"/>
    <cellStyle name="Normal 5 4 2 2 3" xfId="16364"/>
    <cellStyle name="Normal 5 4 2 2 3 2" xfId="16365"/>
    <cellStyle name="Normal 5 4 2 2 3 2 2" xfId="23366"/>
    <cellStyle name="Normal 5 4 2 2 3 3" xfId="16366"/>
    <cellStyle name="Normal 5 4 2 2 4" xfId="16367"/>
    <cellStyle name="Normal 5 4 2 2 4 2" xfId="16368"/>
    <cellStyle name="Normal 5 4 2 2 4 2 2" xfId="23367"/>
    <cellStyle name="Normal 5 4 2 2 4 3" xfId="16369"/>
    <cellStyle name="Normal 5 4 2 2 5" xfId="16370"/>
    <cellStyle name="Normal 5 4 2 2 5 2" xfId="23368"/>
    <cellStyle name="Normal 5 4 2 2 6" xfId="16371"/>
    <cellStyle name="Normal 5 4 2 3" xfId="16372"/>
    <cellStyle name="Normal 5 4 2 3 2" xfId="16373"/>
    <cellStyle name="Normal 5 4 2 3 2 2" xfId="16374"/>
    <cellStyle name="Normal 5 4 2 3 2 2 2" xfId="23369"/>
    <cellStyle name="Normal 5 4 2 3 2 3" xfId="16375"/>
    <cellStyle name="Normal 5 4 2 3 3" xfId="16376"/>
    <cellStyle name="Normal 5 4 2 3 3 2" xfId="16377"/>
    <cellStyle name="Normal 5 4 2 3 3 2 2" xfId="23370"/>
    <cellStyle name="Normal 5 4 2 3 3 3" xfId="16378"/>
    <cellStyle name="Normal 5 4 2 3 4" xfId="16379"/>
    <cellStyle name="Normal 5 4 2 3 4 2" xfId="23371"/>
    <cellStyle name="Normal 5 4 2 3 5" xfId="16380"/>
    <cellStyle name="Normal 5 4 2 4" xfId="16381"/>
    <cellStyle name="Normal 5 4 2 4 2" xfId="16382"/>
    <cellStyle name="Normal 5 4 2 4 2 2" xfId="23372"/>
    <cellStyle name="Normal 5 4 2 4 3" xfId="16383"/>
    <cellStyle name="Normal 5 4 2 5" xfId="16384"/>
    <cellStyle name="Normal 5 4 2 5 2" xfId="16385"/>
    <cellStyle name="Normal 5 4 2 5 2 2" xfId="23373"/>
    <cellStyle name="Normal 5 4 2 5 3" xfId="16386"/>
    <cellStyle name="Normal 5 4 2 6" xfId="16387"/>
    <cellStyle name="Normal 5 4 2 6 2" xfId="23374"/>
    <cellStyle name="Normal 5 4 2 7" xfId="16388"/>
    <cellStyle name="Normal 5 4 3" xfId="2033"/>
    <cellStyle name="Normal 5 4 3 2" xfId="16389"/>
    <cellStyle name="Normal 5 4 3 2 2" xfId="16390"/>
    <cellStyle name="Normal 5 4 3 2 2 2" xfId="16391"/>
    <cellStyle name="Normal 5 4 3 2 2 2 2" xfId="23375"/>
    <cellStyle name="Normal 5 4 3 2 2 3" xfId="16392"/>
    <cellStyle name="Normal 5 4 3 2 3" xfId="16393"/>
    <cellStyle name="Normal 5 4 3 2 3 2" xfId="16394"/>
    <cellStyle name="Normal 5 4 3 2 3 2 2" xfId="23376"/>
    <cellStyle name="Normal 5 4 3 2 3 3" xfId="16395"/>
    <cellStyle name="Normal 5 4 3 2 4" xfId="16396"/>
    <cellStyle name="Normal 5 4 3 2 4 2" xfId="23377"/>
    <cellStyle name="Normal 5 4 3 2 5" xfId="16397"/>
    <cellStyle name="Normal 5 4 3 3" xfId="16398"/>
    <cellStyle name="Normal 5 4 3 3 2" xfId="16399"/>
    <cellStyle name="Normal 5 4 3 3 2 2" xfId="23378"/>
    <cellStyle name="Normal 5 4 3 3 3" xfId="16400"/>
    <cellStyle name="Normal 5 4 3 4" xfId="16401"/>
    <cellStyle name="Normal 5 4 3 4 2" xfId="16402"/>
    <cellStyle name="Normal 5 4 3 4 2 2" xfId="23379"/>
    <cellStyle name="Normal 5 4 3 4 3" xfId="16403"/>
    <cellStyle name="Normal 5 4 3 5" xfId="16404"/>
    <cellStyle name="Normal 5 4 3 5 2" xfId="23380"/>
    <cellStyle name="Normal 5 4 3 6" xfId="16405"/>
    <cellStyle name="Normal 5 4 4" xfId="2034"/>
    <cellStyle name="Normal 5 4 4 2" xfId="16406"/>
    <cellStyle name="Normal 5 4 4 2 2" xfId="16407"/>
    <cellStyle name="Normal 5 4 4 2 2 2" xfId="23381"/>
    <cellStyle name="Normal 5 4 4 2 3" xfId="16408"/>
    <cellStyle name="Normal 5 4 4 3" xfId="16409"/>
    <cellStyle name="Normal 5 4 4 3 2" xfId="16410"/>
    <cellStyle name="Normal 5 4 4 3 2 2" xfId="23382"/>
    <cellStyle name="Normal 5 4 4 3 3" xfId="16411"/>
    <cellStyle name="Normal 5 4 4 4" xfId="16412"/>
    <cellStyle name="Normal 5 4 4 4 2" xfId="23383"/>
    <cellStyle name="Normal 5 4 4 5" xfId="16413"/>
    <cellStyle name="Normal 5 4 5" xfId="2035"/>
    <cellStyle name="Normal 5 4 5 2" xfId="16414"/>
    <cellStyle name="Normal 5 4 5 2 2" xfId="23384"/>
    <cellStyle name="Normal 5 4 5 3" xfId="16415"/>
    <cellStyle name="Normal 5 4 6" xfId="2036"/>
    <cellStyle name="Normal 5 4 6 2" xfId="16416"/>
    <cellStyle name="Normal 5 4 6 2 2" xfId="23385"/>
    <cellStyle name="Normal 5 4 6 3" xfId="16417"/>
    <cellStyle name="Normal 5 4 7" xfId="16418"/>
    <cellStyle name="Normal 5 4 7 2" xfId="23386"/>
    <cellStyle name="Normal 5 4 8" xfId="16419"/>
    <cellStyle name="Normal 5 4 9" xfId="23387"/>
    <cellStyle name="Normal 5 5" xfId="1088"/>
    <cellStyle name="Normal 5 5 2" xfId="2037"/>
    <cellStyle name="Normal 5 5 2 2" xfId="16420"/>
    <cellStyle name="Normal 5 5 2 2 2" xfId="16421"/>
    <cellStyle name="Normal 5 5 2 2 2 2" xfId="16422"/>
    <cellStyle name="Normal 5 5 2 2 2 2 2" xfId="23388"/>
    <cellStyle name="Normal 5 5 2 2 2 3" xfId="16423"/>
    <cellStyle name="Normal 5 5 2 2 3" xfId="16424"/>
    <cellStyle name="Normal 5 5 2 2 3 2" xfId="16425"/>
    <cellStyle name="Normal 5 5 2 2 3 2 2" xfId="23389"/>
    <cellStyle name="Normal 5 5 2 2 3 3" xfId="16426"/>
    <cellStyle name="Normal 5 5 2 2 4" xfId="16427"/>
    <cellStyle name="Normal 5 5 2 2 4 2" xfId="23390"/>
    <cellStyle name="Normal 5 5 2 2 5" xfId="16428"/>
    <cellStyle name="Normal 5 5 2 3" xfId="16429"/>
    <cellStyle name="Normal 5 5 2 3 2" xfId="16430"/>
    <cellStyle name="Normal 5 5 2 3 2 2" xfId="23391"/>
    <cellStyle name="Normal 5 5 2 3 3" xfId="16431"/>
    <cellStyle name="Normal 5 5 2 4" xfId="16432"/>
    <cellStyle name="Normal 5 5 2 4 2" xfId="16433"/>
    <cellStyle name="Normal 5 5 2 4 2 2" xfId="23392"/>
    <cellStyle name="Normal 5 5 2 4 3" xfId="16434"/>
    <cellStyle name="Normal 5 5 2 5" xfId="16435"/>
    <cellStyle name="Normal 5 5 2 5 2" xfId="23393"/>
    <cellStyle name="Normal 5 5 2 6" xfId="16436"/>
    <cellStyle name="Normal 5 5 3" xfId="2038"/>
    <cellStyle name="Normal 5 5 3 2" xfId="16437"/>
    <cellStyle name="Normal 5 5 3 2 2" xfId="16438"/>
    <cellStyle name="Normal 5 5 3 2 2 2" xfId="23394"/>
    <cellStyle name="Normal 5 5 3 2 3" xfId="16439"/>
    <cellStyle name="Normal 5 5 3 3" xfId="16440"/>
    <cellStyle name="Normal 5 5 3 3 2" xfId="16441"/>
    <cellStyle name="Normal 5 5 3 3 2 2" xfId="23395"/>
    <cellStyle name="Normal 5 5 3 3 3" xfId="16442"/>
    <cellStyle name="Normal 5 5 3 4" xfId="16443"/>
    <cellStyle name="Normal 5 5 3 4 2" xfId="23396"/>
    <cellStyle name="Normal 5 5 3 5" xfId="16444"/>
    <cellStyle name="Normal 5 5 4" xfId="16445"/>
    <cellStyle name="Normal 5 5 4 2" xfId="16446"/>
    <cellStyle name="Normal 5 5 4 2 2" xfId="23397"/>
    <cellStyle name="Normal 5 5 4 3" xfId="16447"/>
    <cellStyle name="Normal 5 5 4 4" xfId="16448"/>
    <cellStyle name="Normal 5 5 5" xfId="16449"/>
    <cellStyle name="Normal 5 5 5 2" xfId="16450"/>
    <cellStyle name="Normal 5 5 5 2 2" xfId="23398"/>
    <cellStyle name="Normal 5 5 5 3" xfId="16451"/>
    <cellStyle name="Normal 5 5 6" xfId="16452"/>
    <cellStyle name="Normal 5 5 6 2" xfId="23399"/>
    <cellStyle name="Normal 5 5 7" xfId="16453"/>
    <cellStyle name="Normal 5 6" xfId="2039"/>
    <cellStyle name="Normal 5 6 2" xfId="16454"/>
    <cellStyle name="Normal 5 6 2 2" xfId="16455"/>
    <cellStyle name="Normal 5 6 2 2 2" xfId="16456"/>
    <cellStyle name="Normal 5 6 2 2 2 2" xfId="23400"/>
    <cellStyle name="Normal 5 6 2 2 3" xfId="16457"/>
    <cellStyle name="Normal 5 6 2 3" xfId="16458"/>
    <cellStyle name="Normal 5 6 2 3 2" xfId="16459"/>
    <cellStyle name="Normal 5 6 2 3 2 2" xfId="23401"/>
    <cellStyle name="Normal 5 6 2 3 3" xfId="16460"/>
    <cellStyle name="Normal 5 6 2 4" xfId="16461"/>
    <cellStyle name="Normal 5 6 2 4 2" xfId="23402"/>
    <cellStyle name="Normal 5 6 2 5" xfId="16462"/>
    <cellStyle name="Normal 5 6 3" xfId="16463"/>
    <cellStyle name="Normal 5 6 3 2" xfId="16464"/>
    <cellStyle name="Normal 5 6 3 2 2" xfId="23403"/>
    <cellStyle name="Normal 5 6 3 3" xfId="16465"/>
    <cellStyle name="Normal 5 6 4" xfId="16466"/>
    <cellStyle name="Normal 5 6 4 2" xfId="16467"/>
    <cellStyle name="Normal 5 6 4 2 2" xfId="23404"/>
    <cellStyle name="Normal 5 6 4 3" xfId="16468"/>
    <cellStyle name="Normal 5 6 5" xfId="16469"/>
    <cellStyle name="Normal 5 6 5 2" xfId="23405"/>
    <cellStyle name="Normal 5 6 6" xfId="16470"/>
    <cellStyle name="Normal 5 7" xfId="2040"/>
    <cellStyle name="Normal 5 7 2" xfId="16471"/>
    <cellStyle name="Normal 5 7 2 2" xfId="16472"/>
    <cellStyle name="Normal 5 7 2 2 2" xfId="23406"/>
    <cellStyle name="Normal 5 7 2 3" xfId="16473"/>
    <cellStyle name="Normal 5 7 3" xfId="16474"/>
    <cellStyle name="Normal 5 7 3 2" xfId="16475"/>
    <cellStyle name="Normal 5 7 3 2 2" xfId="23407"/>
    <cellStyle name="Normal 5 7 3 3" xfId="16476"/>
    <cellStyle name="Normal 5 7 4" xfId="16477"/>
    <cellStyle name="Normal 5 7 4 2" xfId="23408"/>
    <cellStyle name="Normal 5 7 5" xfId="16478"/>
    <cellStyle name="Normal 5 8" xfId="2041"/>
    <cellStyle name="Normal 5 8 2" xfId="16479"/>
    <cellStyle name="Normal 5 8 2 2" xfId="23409"/>
    <cellStyle name="Normal 5 8 3" xfId="16480"/>
    <cellStyle name="Normal 5 9" xfId="2042"/>
    <cellStyle name="Normal 5 9 2" xfId="16481"/>
    <cellStyle name="Normal 5 9 2 2" xfId="23410"/>
    <cellStyle name="Normal 5 9 3" xfId="16482"/>
    <cellStyle name="Normal 5_10051" xfId="2043"/>
    <cellStyle name="Normal 50" xfId="311"/>
    <cellStyle name="Normal 50 2" xfId="1089"/>
    <cellStyle name="Normal 50 2 2" xfId="16483"/>
    <cellStyle name="Normal 50 2 2 2" xfId="16484"/>
    <cellStyle name="Normal 50 2 2 2 2" xfId="16485"/>
    <cellStyle name="Normal 50 2 2 2 2 2" xfId="16486"/>
    <cellStyle name="Normal 50 2 2 2 2 2 2" xfId="23411"/>
    <cellStyle name="Normal 50 2 2 2 2 3" xfId="16487"/>
    <cellStyle name="Normal 50 2 2 2 3" xfId="16488"/>
    <cellStyle name="Normal 50 2 2 2 3 2" xfId="16489"/>
    <cellStyle name="Normal 50 2 2 2 3 2 2" xfId="23412"/>
    <cellStyle name="Normal 50 2 2 2 3 3" xfId="16490"/>
    <cellStyle name="Normal 50 2 2 2 4" xfId="16491"/>
    <cellStyle name="Normal 50 2 2 2 4 2" xfId="23413"/>
    <cellStyle name="Normal 50 2 2 2 5" xfId="16492"/>
    <cellStyle name="Normal 50 2 2 3" xfId="16493"/>
    <cellStyle name="Normal 50 2 2 3 2" xfId="16494"/>
    <cellStyle name="Normal 50 2 2 3 2 2" xfId="23414"/>
    <cellStyle name="Normal 50 2 2 3 3" xfId="16495"/>
    <cellStyle name="Normal 50 2 2 4" xfId="16496"/>
    <cellStyle name="Normal 50 2 2 4 2" xfId="16497"/>
    <cellStyle name="Normal 50 2 2 4 2 2" xfId="23415"/>
    <cellStyle name="Normal 50 2 2 4 3" xfId="16498"/>
    <cellStyle name="Normal 50 2 2 5" xfId="16499"/>
    <cellStyle name="Normal 50 2 2 5 2" xfId="23416"/>
    <cellStyle name="Normal 50 2 2 6" xfId="16500"/>
    <cellStyle name="Normal 50 2 3" xfId="16501"/>
    <cellStyle name="Normal 50 2 3 2" xfId="16502"/>
    <cellStyle name="Normal 50 2 3 2 2" xfId="16503"/>
    <cellStyle name="Normal 50 2 3 2 2 2" xfId="23417"/>
    <cellStyle name="Normal 50 2 3 2 3" xfId="16504"/>
    <cellStyle name="Normal 50 2 3 3" xfId="16505"/>
    <cellStyle name="Normal 50 2 3 3 2" xfId="16506"/>
    <cellStyle name="Normal 50 2 3 3 2 2" xfId="23418"/>
    <cellStyle name="Normal 50 2 3 3 3" xfId="16507"/>
    <cellStyle name="Normal 50 2 3 4" xfId="16508"/>
    <cellStyle name="Normal 50 2 3 4 2" xfId="23419"/>
    <cellStyle name="Normal 50 2 3 5" xfId="16509"/>
    <cellStyle name="Normal 50 2 4" xfId="16510"/>
    <cellStyle name="Normal 50 2 4 2" xfId="16511"/>
    <cellStyle name="Normal 50 2 4 2 2" xfId="23420"/>
    <cellStyle name="Normal 50 2 4 3" xfId="16512"/>
    <cellStyle name="Normal 50 2 5" xfId="16513"/>
    <cellStyle name="Normal 50 2 5 2" xfId="16514"/>
    <cellStyle name="Normal 50 2 5 2 2" xfId="23421"/>
    <cellStyle name="Normal 50 2 5 3" xfId="16515"/>
    <cellStyle name="Normal 50 2 6" xfId="16516"/>
    <cellStyle name="Normal 50 2 6 2" xfId="23422"/>
    <cellStyle name="Normal 50 2 7" xfId="16517"/>
    <cellStyle name="Normal 50 3" xfId="1090"/>
    <cellStyle name="Normal 50 3 2" xfId="16518"/>
    <cellStyle name="Normal 50 3 2 2" xfId="16519"/>
    <cellStyle name="Normal 50 3 2 2 2" xfId="16520"/>
    <cellStyle name="Normal 50 3 2 2 2 2" xfId="23423"/>
    <cellStyle name="Normal 50 3 2 2 3" xfId="16521"/>
    <cellStyle name="Normal 50 3 2 3" xfId="16522"/>
    <cellStyle name="Normal 50 3 2 3 2" xfId="16523"/>
    <cellStyle name="Normal 50 3 2 3 2 2" xfId="23424"/>
    <cellStyle name="Normal 50 3 2 3 3" xfId="16524"/>
    <cellStyle name="Normal 50 3 2 4" xfId="16525"/>
    <cellStyle name="Normal 50 3 2 4 2" xfId="23425"/>
    <cellStyle name="Normal 50 3 2 5" xfId="16526"/>
    <cellStyle name="Normal 50 3 3" xfId="16527"/>
    <cellStyle name="Normal 50 3 3 2" xfId="16528"/>
    <cellStyle name="Normal 50 3 3 2 2" xfId="23426"/>
    <cellStyle name="Normal 50 3 3 3" xfId="16529"/>
    <cellStyle name="Normal 50 3 4" xfId="16530"/>
    <cellStyle name="Normal 50 3 4 2" xfId="16531"/>
    <cellStyle name="Normal 50 3 4 2 2" xfId="23427"/>
    <cellStyle name="Normal 50 3 4 3" xfId="16532"/>
    <cellStyle name="Normal 50 3 5" xfId="16533"/>
    <cellStyle name="Normal 50 3 5 2" xfId="23428"/>
    <cellStyle name="Normal 50 3 6" xfId="16534"/>
    <cellStyle name="Normal 50 4" xfId="16535"/>
    <cellStyle name="Normal 50 4 2" xfId="16536"/>
    <cellStyle name="Normal 50 4 2 2" xfId="16537"/>
    <cellStyle name="Normal 50 4 2 2 2" xfId="23429"/>
    <cellStyle name="Normal 50 4 2 3" xfId="16538"/>
    <cellStyle name="Normal 50 4 3" xfId="16539"/>
    <cellStyle name="Normal 50 4 3 2" xfId="16540"/>
    <cellStyle name="Normal 50 4 3 2 2" xfId="23430"/>
    <cellStyle name="Normal 50 4 3 3" xfId="16541"/>
    <cellStyle name="Normal 50 4 4" xfId="16542"/>
    <cellStyle name="Normal 50 4 4 2" xfId="23431"/>
    <cellStyle name="Normal 50 4 5" xfId="16543"/>
    <cellStyle name="Normal 50 5" xfId="16544"/>
    <cellStyle name="Normal 50 5 2" xfId="16545"/>
    <cellStyle name="Normal 50 5 2 2" xfId="23432"/>
    <cellStyle name="Normal 50 5 3" xfId="16546"/>
    <cellStyle name="Normal 50 6" xfId="16547"/>
    <cellStyle name="Normal 50 6 2" xfId="16548"/>
    <cellStyle name="Normal 50 6 2 2" xfId="23433"/>
    <cellStyle name="Normal 50 6 3" xfId="16549"/>
    <cellStyle name="Normal 50 7" xfId="16550"/>
    <cellStyle name="Normal 50 7 2" xfId="23434"/>
    <cellStyle name="Normal 50 8" xfId="16551"/>
    <cellStyle name="Normal 50 9" xfId="23435"/>
    <cellStyle name="Normal 51" xfId="312"/>
    <cellStyle name="Normal 51 2" xfId="1091"/>
    <cellStyle name="Normal 51 2 2" xfId="16552"/>
    <cellStyle name="Normal 51 2 2 2" xfId="16553"/>
    <cellStyle name="Normal 51 2 2 2 2" xfId="16554"/>
    <cellStyle name="Normal 51 2 2 2 2 2" xfId="16555"/>
    <cellStyle name="Normal 51 2 2 2 2 2 2" xfId="23436"/>
    <cellStyle name="Normal 51 2 2 2 2 3" xfId="16556"/>
    <cellStyle name="Normal 51 2 2 2 3" xfId="16557"/>
    <cellStyle name="Normal 51 2 2 2 3 2" xfId="16558"/>
    <cellStyle name="Normal 51 2 2 2 3 2 2" xfId="23437"/>
    <cellStyle name="Normal 51 2 2 2 3 3" xfId="16559"/>
    <cellStyle name="Normal 51 2 2 2 4" xfId="16560"/>
    <cellStyle name="Normal 51 2 2 2 4 2" xfId="23438"/>
    <cellStyle name="Normal 51 2 2 2 5" xfId="16561"/>
    <cellStyle name="Normal 51 2 2 3" xfId="16562"/>
    <cellStyle name="Normal 51 2 2 3 2" xfId="16563"/>
    <cellStyle name="Normal 51 2 2 3 2 2" xfId="23439"/>
    <cellStyle name="Normal 51 2 2 3 3" xfId="16564"/>
    <cellStyle name="Normal 51 2 2 4" xfId="16565"/>
    <cellStyle name="Normal 51 2 2 4 2" xfId="16566"/>
    <cellStyle name="Normal 51 2 2 4 2 2" xfId="23440"/>
    <cellStyle name="Normal 51 2 2 4 3" xfId="16567"/>
    <cellStyle name="Normal 51 2 2 5" xfId="16568"/>
    <cellStyle name="Normal 51 2 2 5 2" xfId="23441"/>
    <cellStyle name="Normal 51 2 2 6" xfId="16569"/>
    <cellStyle name="Normal 51 2 3" xfId="16570"/>
    <cellStyle name="Normal 51 2 3 2" xfId="16571"/>
    <cellStyle name="Normal 51 2 3 2 2" xfId="16572"/>
    <cellStyle name="Normal 51 2 3 2 2 2" xfId="23442"/>
    <cellStyle name="Normal 51 2 3 2 3" xfId="16573"/>
    <cellStyle name="Normal 51 2 3 3" xfId="16574"/>
    <cellStyle name="Normal 51 2 3 3 2" xfId="16575"/>
    <cellStyle name="Normal 51 2 3 3 2 2" xfId="23443"/>
    <cellStyle name="Normal 51 2 3 3 3" xfId="16576"/>
    <cellStyle name="Normal 51 2 3 4" xfId="16577"/>
    <cellStyle name="Normal 51 2 3 4 2" xfId="23444"/>
    <cellStyle name="Normal 51 2 3 5" xfId="16578"/>
    <cellStyle name="Normal 51 2 4" xfId="16579"/>
    <cellStyle name="Normal 51 2 4 2" xfId="16580"/>
    <cellStyle name="Normal 51 2 4 2 2" xfId="23445"/>
    <cellStyle name="Normal 51 2 4 3" xfId="16581"/>
    <cellStyle name="Normal 51 2 5" xfId="16582"/>
    <cellStyle name="Normal 51 2 5 2" xfId="16583"/>
    <cellStyle name="Normal 51 2 5 2 2" xfId="23446"/>
    <cellStyle name="Normal 51 2 5 3" xfId="16584"/>
    <cellStyle name="Normal 51 2 6" xfId="16585"/>
    <cellStyle name="Normal 51 2 6 2" xfId="23447"/>
    <cellStyle name="Normal 51 2 7" xfId="16586"/>
    <cellStyle name="Normal 51 3" xfId="1092"/>
    <cellStyle name="Normal 51 3 2" xfId="16587"/>
    <cellStyle name="Normal 51 3 2 2" xfId="16588"/>
    <cellStyle name="Normal 51 3 2 2 2" xfId="16589"/>
    <cellStyle name="Normal 51 3 2 2 2 2" xfId="23448"/>
    <cellStyle name="Normal 51 3 2 2 3" xfId="16590"/>
    <cellStyle name="Normal 51 3 2 3" xfId="16591"/>
    <cellStyle name="Normal 51 3 2 3 2" xfId="16592"/>
    <cellStyle name="Normal 51 3 2 3 2 2" xfId="23449"/>
    <cellStyle name="Normal 51 3 2 3 3" xfId="16593"/>
    <cellStyle name="Normal 51 3 2 4" xfId="16594"/>
    <cellStyle name="Normal 51 3 2 4 2" xfId="23450"/>
    <cellStyle name="Normal 51 3 2 5" xfId="16595"/>
    <cellStyle name="Normal 51 3 3" xfId="16596"/>
    <cellStyle name="Normal 51 3 3 2" xfId="16597"/>
    <cellStyle name="Normal 51 3 3 2 2" xfId="23451"/>
    <cellStyle name="Normal 51 3 3 3" xfId="16598"/>
    <cellStyle name="Normal 51 3 4" xfId="16599"/>
    <cellStyle name="Normal 51 3 4 2" xfId="16600"/>
    <cellStyle name="Normal 51 3 4 2 2" xfId="23452"/>
    <cellStyle name="Normal 51 3 4 3" xfId="16601"/>
    <cellStyle name="Normal 51 3 5" xfId="16602"/>
    <cellStyle name="Normal 51 3 5 2" xfId="23453"/>
    <cellStyle name="Normal 51 3 6" xfId="16603"/>
    <cellStyle name="Normal 51 4" xfId="16604"/>
    <cellStyle name="Normal 51 4 2" xfId="16605"/>
    <cellStyle name="Normal 51 4 2 2" xfId="16606"/>
    <cellStyle name="Normal 51 4 2 2 2" xfId="23454"/>
    <cellStyle name="Normal 51 4 2 3" xfId="16607"/>
    <cellStyle name="Normal 51 4 3" xfId="16608"/>
    <cellStyle name="Normal 51 4 3 2" xfId="16609"/>
    <cellStyle name="Normal 51 4 3 2 2" xfId="23455"/>
    <cellStyle name="Normal 51 4 3 3" xfId="16610"/>
    <cellStyle name="Normal 51 4 4" xfId="16611"/>
    <cellStyle name="Normal 51 4 4 2" xfId="23456"/>
    <cellStyle name="Normal 51 4 5" xfId="16612"/>
    <cellStyle name="Normal 51 5" xfId="16613"/>
    <cellStyle name="Normal 51 5 2" xfId="16614"/>
    <cellStyle name="Normal 51 5 2 2" xfId="23457"/>
    <cellStyle name="Normal 51 5 3" xfId="16615"/>
    <cellStyle name="Normal 51 6" xfId="16616"/>
    <cellStyle name="Normal 51 6 2" xfId="16617"/>
    <cellStyle name="Normal 51 6 2 2" xfId="23458"/>
    <cellStyle name="Normal 51 6 3" xfId="16618"/>
    <cellStyle name="Normal 51 7" xfId="16619"/>
    <cellStyle name="Normal 51 7 2" xfId="23459"/>
    <cellStyle name="Normal 51 8" xfId="16620"/>
    <cellStyle name="Normal 51 9" xfId="23460"/>
    <cellStyle name="Normal 52" xfId="313"/>
    <cellStyle name="Normal 52 2" xfId="1093"/>
    <cellStyle name="Normal 52 2 2" xfId="16621"/>
    <cellStyle name="Normal 52 2 2 2" xfId="16622"/>
    <cellStyle name="Normal 52 2 2 2 2" xfId="16623"/>
    <cellStyle name="Normal 52 2 2 2 2 2" xfId="16624"/>
    <cellStyle name="Normal 52 2 2 2 2 2 2" xfId="23461"/>
    <cellStyle name="Normal 52 2 2 2 2 3" xfId="16625"/>
    <cellStyle name="Normal 52 2 2 2 3" xfId="16626"/>
    <cellStyle name="Normal 52 2 2 2 3 2" xfId="16627"/>
    <cellStyle name="Normal 52 2 2 2 3 2 2" xfId="23462"/>
    <cellStyle name="Normal 52 2 2 2 3 3" xfId="16628"/>
    <cellStyle name="Normal 52 2 2 2 4" xfId="16629"/>
    <cellStyle name="Normal 52 2 2 2 4 2" xfId="23463"/>
    <cellStyle name="Normal 52 2 2 2 5" xfId="16630"/>
    <cellStyle name="Normal 52 2 2 3" xfId="16631"/>
    <cellStyle name="Normal 52 2 2 3 2" xfId="16632"/>
    <cellStyle name="Normal 52 2 2 3 2 2" xfId="23464"/>
    <cellStyle name="Normal 52 2 2 3 3" xfId="16633"/>
    <cellStyle name="Normal 52 2 2 4" xfId="16634"/>
    <cellStyle name="Normal 52 2 2 4 2" xfId="16635"/>
    <cellStyle name="Normal 52 2 2 4 2 2" xfId="23465"/>
    <cellStyle name="Normal 52 2 2 4 3" xfId="16636"/>
    <cellStyle name="Normal 52 2 2 5" xfId="16637"/>
    <cellStyle name="Normal 52 2 2 5 2" xfId="23466"/>
    <cellStyle name="Normal 52 2 2 6" xfId="16638"/>
    <cellStyle name="Normal 52 2 3" xfId="16639"/>
    <cellStyle name="Normal 52 2 3 2" xfId="16640"/>
    <cellStyle name="Normal 52 2 3 2 2" xfId="16641"/>
    <cellStyle name="Normal 52 2 3 2 2 2" xfId="23467"/>
    <cellStyle name="Normal 52 2 3 2 3" xfId="16642"/>
    <cellStyle name="Normal 52 2 3 3" xfId="16643"/>
    <cellStyle name="Normal 52 2 3 3 2" xfId="16644"/>
    <cellStyle name="Normal 52 2 3 3 2 2" xfId="23468"/>
    <cellStyle name="Normal 52 2 3 3 3" xfId="16645"/>
    <cellStyle name="Normal 52 2 3 4" xfId="16646"/>
    <cellStyle name="Normal 52 2 3 4 2" xfId="23469"/>
    <cellStyle name="Normal 52 2 3 5" xfId="16647"/>
    <cellStyle name="Normal 52 2 4" xfId="16648"/>
    <cellStyle name="Normal 52 2 4 2" xfId="16649"/>
    <cellStyle name="Normal 52 2 4 2 2" xfId="23470"/>
    <cellStyle name="Normal 52 2 4 3" xfId="16650"/>
    <cellStyle name="Normal 52 2 5" xfId="16651"/>
    <cellStyle name="Normal 52 2 5 2" xfId="16652"/>
    <cellStyle name="Normal 52 2 5 2 2" xfId="23471"/>
    <cellStyle name="Normal 52 2 5 3" xfId="16653"/>
    <cellStyle name="Normal 52 2 6" xfId="16654"/>
    <cellStyle name="Normal 52 2 6 2" xfId="23472"/>
    <cellStyle name="Normal 52 2 7" xfId="16655"/>
    <cellStyle name="Normal 52 3" xfId="1094"/>
    <cellStyle name="Normal 52 3 2" xfId="16656"/>
    <cellStyle name="Normal 52 3 2 2" xfId="16657"/>
    <cellStyle name="Normal 52 3 2 2 2" xfId="16658"/>
    <cellStyle name="Normal 52 3 2 2 2 2" xfId="23473"/>
    <cellStyle name="Normal 52 3 2 2 3" xfId="16659"/>
    <cellStyle name="Normal 52 3 2 3" xfId="16660"/>
    <cellStyle name="Normal 52 3 2 3 2" xfId="16661"/>
    <cellStyle name="Normal 52 3 2 3 2 2" xfId="23474"/>
    <cellStyle name="Normal 52 3 2 3 3" xfId="16662"/>
    <cellStyle name="Normal 52 3 2 4" xfId="16663"/>
    <cellStyle name="Normal 52 3 2 4 2" xfId="23475"/>
    <cellStyle name="Normal 52 3 2 5" xfId="16664"/>
    <cellStyle name="Normal 52 3 3" xfId="16665"/>
    <cellStyle name="Normal 52 3 3 2" xfId="16666"/>
    <cellStyle name="Normal 52 3 3 2 2" xfId="23476"/>
    <cellStyle name="Normal 52 3 3 3" xfId="16667"/>
    <cellStyle name="Normal 52 3 4" xfId="16668"/>
    <cellStyle name="Normal 52 3 4 2" xfId="16669"/>
    <cellStyle name="Normal 52 3 4 2 2" xfId="23477"/>
    <cellStyle name="Normal 52 3 4 3" xfId="16670"/>
    <cellStyle name="Normal 52 3 5" xfId="16671"/>
    <cellStyle name="Normal 52 3 5 2" xfId="23478"/>
    <cellStyle name="Normal 52 3 6" xfId="16672"/>
    <cellStyle name="Normal 52 4" xfId="16673"/>
    <cellStyle name="Normal 52 4 2" xfId="16674"/>
    <cellStyle name="Normal 52 4 2 2" xfId="16675"/>
    <cellStyle name="Normal 52 4 2 2 2" xfId="23479"/>
    <cellStyle name="Normal 52 4 2 3" xfId="16676"/>
    <cellStyle name="Normal 52 4 3" xfId="16677"/>
    <cellStyle name="Normal 52 4 3 2" xfId="16678"/>
    <cellStyle name="Normal 52 4 3 2 2" xfId="23480"/>
    <cellStyle name="Normal 52 4 3 3" xfId="16679"/>
    <cellStyle name="Normal 52 4 4" xfId="16680"/>
    <cellStyle name="Normal 52 4 4 2" xfId="23481"/>
    <cellStyle name="Normal 52 4 5" xfId="16681"/>
    <cellStyle name="Normal 52 5" xfId="16682"/>
    <cellStyle name="Normal 52 5 2" xfId="16683"/>
    <cellStyle name="Normal 52 5 2 2" xfId="23482"/>
    <cellStyle name="Normal 52 5 3" xfId="16684"/>
    <cellStyle name="Normal 52 6" xfId="16685"/>
    <cellStyle name="Normal 52 6 2" xfId="16686"/>
    <cellStyle name="Normal 52 6 2 2" xfId="23483"/>
    <cellStyle name="Normal 52 6 3" xfId="16687"/>
    <cellStyle name="Normal 52 7" xfId="16688"/>
    <cellStyle name="Normal 52 7 2" xfId="23484"/>
    <cellStyle name="Normal 52 8" xfId="16689"/>
    <cellStyle name="Normal 52 9" xfId="23485"/>
    <cellStyle name="Normal 53" xfId="314"/>
    <cellStyle name="Normal 53 2" xfId="1095"/>
    <cellStyle name="Normal 53 2 2" xfId="16690"/>
    <cellStyle name="Normal 53 2 2 2" xfId="16691"/>
    <cellStyle name="Normal 53 2 2 2 2" xfId="16692"/>
    <cellStyle name="Normal 53 2 2 2 2 2" xfId="16693"/>
    <cellStyle name="Normal 53 2 2 2 2 2 2" xfId="23486"/>
    <cellStyle name="Normal 53 2 2 2 2 3" xfId="16694"/>
    <cellStyle name="Normal 53 2 2 2 3" xfId="16695"/>
    <cellStyle name="Normal 53 2 2 2 3 2" xfId="16696"/>
    <cellStyle name="Normal 53 2 2 2 3 2 2" xfId="23487"/>
    <cellStyle name="Normal 53 2 2 2 3 3" xfId="16697"/>
    <cellStyle name="Normal 53 2 2 2 4" xfId="16698"/>
    <cellStyle name="Normal 53 2 2 2 4 2" xfId="23488"/>
    <cellStyle name="Normal 53 2 2 2 5" xfId="16699"/>
    <cellStyle name="Normal 53 2 2 3" xfId="16700"/>
    <cellStyle name="Normal 53 2 2 3 2" xfId="16701"/>
    <cellStyle name="Normal 53 2 2 3 2 2" xfId="23489"/>
    <cellStyle name="Normal 53 2 2 3 3" xfId="16702"/>
    <cellStyle name="Normal 53 2 2 4" xfId="16703"/>
    <cellStyle name="Normal 53 2 2 4 2" xfId="16704"/>
    <cellStyle name="Normal 53 2 2 4 2 2" xfId="23490"/>
    <cellStyle name="Normal 53 2 2 4 3" xfId="16705"/>
    <cellStyle name="Normal 53 2 2 5" xfId="16706"/>
    <cellStyle name="Normal 53 2 2 5 2" xfId="23491"/>
    <cellStyle name="Normal 53 2 2 6" xfId="16707"/>
    <cellStyle name="Normal 53 2 3" xfId="16708"/>
    <cellStyle name="Normal 53 2 3 2" xfId="16709"/>
    <cellStyle name="Normal 53 2 3 2 2" xfId="16710"/>
    <cellStyle name="Normal 53 2 3 2 2 2" xfId="23492"/>
    <cellStyle name="Normal 53 2 3 2 3" xfId="16711"/>
    <cellStyle name="Normal 53 2 3 3" xfId="16712"/>
    <cellStyle name="Normal 53 2 3 3 2" xfId="16713"/>
    <cellStyle name="Normal 53 2 3 3 2 2" xfId="23493"/>
    <cellStyle name="Normal 53 2 3 3 3" xfId="16714"/>
    <cellStyle name="Normal 53 2 3 4" xfId="16715"/>
    <cellStyle name="Normal 53 2 3 4 2" xfId="23494"/>
    <cellStyle name="Normal 53 2 3 5" xfId="16716"/>
    <cellStyle name="Normal 53 2 4" xfId="16717"/>
    <cellStyle name="Normal 53 2 4 2" xfId="16718"/>
    <cellStyle name="Normal 53 2 4 2 2" xfId="23495"/>
    <cellStyle name="Normal 53 2 4 3" xfId="16719"/>
    <cellStyle name="Normal 53 2 5" xfId="16720"/>
    <cellStyle name="Normal 53 2 5 2" xfId="16721"/>
    <cellStyle name="Normal 53 2 5 2 2" xfId="23496"/>
    <cellStyle name="Normal 53 2 5 3" xfId="16722"/>
    <cellStyle name="Normal 53 2 6" xfId="16723"/>
    <cellStyle name="Normal 53 2 6 2" xfId="23497"/>
    <cellStyle name="Normal 53 2 7" xfId="16724"/>
    <cellStyle name="Normal 53 3" xfId="1096"/>
    <cellStyle name="Normal 53 3 2" xfId="16725"/>
    <cellStyle name="Normal 53 3 2 2" xfId="16726"/>
    <cellStyle name="Normal 53 3 2 2 2" xfId="16727"/>
    <cellStyle name="Normal 53 3 2 2 2 2" xfId="23498"/>
    <cellStyle name="Normal 53 3 2 2 3" xfId="16728"/>
    <cellStyle name="Normal 53 3 2 3" xfId="16729"/>
    <cellStyle name="Normal 53 3 2 3 2" xfId="16730"/>
    <cellStyle name="Normal 53 3 2 3 2 2" xfId="23499"/>
    <cellStyle name="Normal 53 3 2 3 3" xfId="16731"/>
    <cellStyle name="Normal 53 3 2 4" xfId="16732"/>
    <cellStyle name="Normal 53 3 2 4 2" xfId="23500"/>
    <cellStyle name="Normal 53 3 2 5" xfId="16733"/>
    <cellStyle name="Normal 53 3 3" xfId="16734"/>
    <cellStyle name="Normal 53 3 3 2" xfId="16735"/>
    <cellStyle name="Normal 53 3 3 2 2" xfId="23501"/>
    <cellStyle name="Normal 53 3 3 3" xfId="16736"/>
    <cellStyle name="Normal 53 3 4" xfId="16737"/>
    <cellStyle name="Normal 53 3 4 2" xfId="16738"/>
    <cellStyle name="Normal 53 3 4 2 2" xfId="23502"/>
    <cellStyle name="Normal 53 3 4 3" xfId="16739"/>
    <cellStyle name="Normal 53 3 5" xfId="16740"/>
    <cellStyle name="Normal 53 3 5 2" xfId="23503"/>
    <cellStyle name="Normal 53 3 6" xfId="16741"/>
    <cellStyle name="Normal 53 4" xfId="16742"/>
    <cellStyle name="Normal 53 4 2" xfId="16743"/>
    <cellStyle name="Normal 53 4 2 2" xfId="16744"/>
    <cellStyle name="Normal 53 4 2 2 2" xfId="23504"/>
    <cellStyle name="Normal 53 4 2 3" xfId="16745"/>
    <cellStyle name="Normal 53 4 3" xfId="16746"/>
    <cellStyle name="Normal 53 4 3 2" xfId="16747"/>
    <cellStyle name="Normal 53 4 3 2 2" xfId="23505"/>
    <cellStyle name="Normal 53 4 3 3" xfId="16748"/>
    <cellStyle name="Normal 53 4 4" xfId="16749"/>
    <cellStyle name="Normal 53 4 4 2" xfId="23506"/>
    <cellStyle name="Normal 53 4 5" xfId="16750"/>
    <cellStyle name="Normal 53 5" xfId="16751"/>
    <cellStyle name="Normal 53 5 2" xfId="16752"/>
    <cellStyle name="Normal 53 5 2 2" xfId="23507"/>
    <cellStyle name="Normal 53 5 3" xfId="16753"/>
    <cellStyle name="Normal 53 6" xfId="16754"/>
    <cellStyle name="Normal 53 6 2" xfId="16755"/>
    <cellStyle name="Normal 53 6 2 2" xfId="23508"/>
    <cellStyle name="Normal 53 6 3" xfId="16756"/>
    <cellStyle name="Normal 53 7" xfId="16757"/>
    <cellStyle name="Normal 53 7 2" xfId="23509"/>
    <cellStyle name="Normal 53 8" xfId="16758"/>
    <cellStyle name="Normal 53 9" xfId="23510"/>
    <cellStyle name="Normal 54" xfId="315"/>
    <cellStyle name="Normal 54 2" xfId="1097"/>
    <cellStyle name="Normal 54 2 2" xfId="16759"/>
    <cellStyle name="Normal 54 2 2 2" xfId="16760"/>
    <cellStyle name="Normal 54 2 2 2 2" xfId="16761"/>
    <cellStyle name="Normal 54 2 2 2 2 2" xfId="16762"/>
    <cellStyle name="Normal 54 2 2 2 2 2 2" xfId="23511"/>
    <cellStyle name="Normal 54 2 2 2 2 3" xfId="16763"/>
    <cellStyle name="Normal 54 2 2 2 3" xfId="16764"/>
    <cellStyle name="Normal 54 2 2 2 3 2" xfId="16765"/>
    <cellStyle name="Normal 54 2 2 2 3 2 2" xfId="23512"/>
    <cellStyle name="Normal 54 2 2 2 3 3" xfId="16766"/>
    <cellStyle name="Normal 54 2 2 2 4" xfId="16767"/>
    <cellStyle name="Normal 54 2 2 2 4 2" xfId="23513"/>
    <cellStyle name="Normal 54 2 2 2 5" xfId="16768"/>
    <cellStyle name="Normal 54 2 2 3" xfId="16769"/>
    <cellStyle name="Normal 54 2 2 3 2" xfId="16770"/>
    <cellStyle name="Normal 54 2 2 3 2 2" xfId="23514"/>
    <cellStyle name="Normal 54 2 2 3 3" xfId="16771"/>
    <cellStyle name="Normal 54 2 2 4" xfId="16772"/>
    <cellStyle name="Normal 54 2 2 4 2" xfId="16773"/>
    <cellStyle name="Normal 54 2 2 4 2 2" xfId="23515"/>
    <cellStyle name="Normal 54 2 2 4 3" xfId="16774"/>
    <cellStyle name="Normal 54 2 2 5" xfId="16775"/>
    <cellStyle name="Normal 54 2 2 5 2" xfId="23516"/>
    <cellStyle name="Normal 54 2 2 6" xfId="16776"/>
    <cellStyle name="Normal 54 2 3" xfId="16777"/>
    <cellStyle name="Normal 54 2 3 2" xfId="16778"/>
    <cellStyle name="Normal 54 2 3 2 2" xfId="16779"/>
    <cellStyle name="Normal 54 2 3 2 2 2" xfId="23517"/>
    <cellStyle name="Normal 54 2 3 2 3" xfId="16780"/>
    <cellStyle name="Normal 54 2 3 3" xfId="16781"/>
    <cellStyle name="Normal 54 2 3 3 2" xfId="16782"/>
    <cellStyle name="Normal 54 2 3 3 2 2" xfId="23518"/>
    <cellStyle name="Normal 54 2 3 3 3" xfId="16783"/>
    <cellStyle name="Normal 54 2 3 4" xfId="16784"/>
    <cellStyle name="Normal 54 2 3 4 2" xfId="23519"/>
    <cellStyle name="Normal 54 2 3 5" xfId="16785"/>
    <cellStyle name="Normal 54 2 4" xfId="16786"/>
    <cellStyle name="Normal 54 2 4 2" xfId="16787"/>
    <cellStyle name="Normal 54 2 4 2 2" xfId="23520"/>
    <cellStyle name="Normal 54 2 4 3" xfId="16788"/>
    <cellStyle name="Normal 54 2 5" xfId="16789"/>
    <cellStyle name="Normal 54 2 5 2" xfId="16790"/>
    <cellStyle name="Normal 54 2 5 2 2" xfId="23521"/>
    <cellStyle name="Normal 54 2 5 3" xfId="16791"/>
    <cellStyle name="Normal 54 2 6" xfId="16792"/>
    <cellStyle name="Normal 54 2 6 2" xfId="23522"/>
    <cellStyle name="Normal 54 2 7" xfId="16793"/>
    <cellStyle name="Normal 54 3" xfId="1098"/>
    <cellStyle name="Normal 54 3 2" xfId="16794"/>
    <cellStyle name="Normal 54 3 2 2" xfId="16795"/>
    <cellStyle name="Normal 54 3 2 2 2" xfId="16796"/>
    <cellStyle name="Normal 54 3 2 2 2 2" xfId="23523"/>
    <cellStyle name="Normal 54 3 2 2 3" xfId="16797"/>
    <cellStyle name="Normal 54 3 2 3" xfId="16798"/>
    <cellStyle name="Normal 54 3 2 3 2" xfId="16799"/>
    <cellStyle name="Normal 54 3 2 3 2 2" xfId="23524"/>
    <cellStyle name="Normal 54 3 2 3 3" xfId="16800"/>
    <cellStyle name="Normal 54 3 2 4" xfId="16801"/>
    <cellStyle name="Normal 54 3 2 4 2" xfId="23525"/>
    <cellStyle name="Normal 54 3 2 5" xfId="16802"/>
    <cellStyle name="Normal 54 3 3" xfId="16803"/>
    <cellStyle name="Normal 54 3 3 2" xfId="16804"/>
    <cellStyle name="Normal 54 3 3 2 2" xfId="23526"/>
    <cellStyle name="Normal 54 3 3 3" xfId="16805"/>
    <cellStyle name="Normal 54 3 4" xfId="16806"/>
    <cellStyle name="Normal 54 3 4 2" xfId="16807"/>
    <cellStyle name="Normal 54 3 4 2 2" xfId="23527"/>
    <cellStyle name="Normal 54 3 4 3" xfId="16808"/>
    <cellStyle name="Normal 54 3 5" xfId="16809"/>
    <cellStyle name="Normal 54 3 5 2" xfId="23528"/>
    <cellStyle name="Normal 54 3 6" xfId="16810"/>
    <cellStyle name="Normal 54 4" xfId="16811"/>
    <cellStyle name="Normal 54 4 2" xfId="16812"/>
    <cellStyle name="Normal 54 4 2 2" xfId="16813"/>
    <cellStyle name="Normal 54 4 2 2 2" xfId="23529"/>
    <cellStyle name="Normal 54 4 2 3" xfId="16814"/>
    <cellStyle name="Normal 54 4 3" xfId="16815"/>
    <cellStyle name="Normal 54 4 3 2" xfId="16816"/>
    <cellStyle name="Normal 54 4 3 2 2" xfId="23530"/>
    <cellStyle name="Normal 54 4 3 3" xfId="16817"/>
    <cellStyle name="Normal 54 4 4" xfId="16818"/>
    <cellStyle name="Normal 54 4 4 2" xfId="23531"/>
    <cellStyle name="Normal 54 4 5" xfId="16819"/>
    <cellStyle name="Normal 54 5" xfId="16820"/>
    <cellStyle name="Normal 54 5 2" xfId="16821"/>
    <cellStyle name="Normal 54 5 2 2" xfId="23532"/>
    <cellStyle name="Normal 54 5 3" xfId="16822"/>
    <cellStyle name="Normal 54 6" xfId="16823"/>
    <cellStyle name="Normal 54 6 2" xfId="16824"/>
    <cellStyle name="Normal 54 6 2 2" xfId="23533"/>
    <cellStyle name="Normal 54 6 3" xfId="16825"/>
    <cellStyle name="Normal 54 7" xfId="16826"/>
    <cellStyle name="Normal 54 7 2" xfId="23534"/>
    <cellStyle name="Normal 54 8" xfId="16827"/>
    <cellStyle name="Normal 54 9" xfId="23535"/>
    <cellStyle name="Normal 55" xfId="316"/>
    <cellStyle name="Normal 55 2" xfId="1099"/>
    <cellStyle name="Normal 55 2 2" xfId="16828"/>
    <cellStyle name="Normal 55 2 2 2" xfId="16829"/>
    <cellStyle name="Normal 55 2 2 2 2" xfId="16830"/>
    <cellStyle name="Normal 55 2 2 2 2 2" xfId="16831"/>
    <cellStyle name="Normal 55 2 2 2 2 2 2" xfId="23536"/>
    <cellStyle name="Normal 55 2 2 2 2 3" xfId="16832"/>
    <cellStyle name="Normal 55 2 2 2 3" xfId="16833"/>
    <cellStyle name="Normal 55 2 2 2 3 2" xfId="16834"/>
    <cellStyle name="Normal 55 2 2 2 3 2 2" xfId="23537"/>
    <cellStyle name="Normal 55 2 2 2 3 3" xfId="16835"/>
    <cellStyle name="Normal 55 2 2 2 4" xfId="16836"/>
    <cellStyle name="Normal 55 2 2 2 4 2" xfId="23538"/>
    <cellStyle name="Normal 55 2 2 2 5" xfId="16837"/>
    <cellStyle name="Normal 55 2 2 3" xfId="16838"/>
    <cellStyle name="Normal 55 2 2 3 2" xfId="16839"/>
    <cellStyle name="Normal 55 2 2 3 2 2" xfId="23539"/>
    <cellStyle name="Normal 55 2 2 3 3" xfId="16840"/>
    <cellStyle name="Normal 55 2 2 4" xfId="16841"/>
    <cellStyle name="Normal 55 2 2 4 2" xfId="16842"/>
    <cellStyle name="Normal 55 2 2 4 2 2" xfId="23540"/>
    <cellStyle name="Normal 55 2 2 4 3" xfId="16843"/>
    <cellStyle name="Normal 55 2 2 5" xfId="16844"/>
    <cellStyle name="Normal 55 2 2 5 2" xfId="23541"/>
    <cellStyle name="Normal 55 2 2 6" xfId="16845"/>
    <cellStyle name="Normal 55 2 3" xfId="16846"/>
    <cellStyle name="Normal 55 2 3 2" xfId="16847"/>
    <cellStyle name="Normal 55 2 3 2 2" xfId="16848"/>
    <cellStyle name="Normal 55 2 3 2 2 2" xfId="23542"/>
    <cellStyle name="Normal 55 2 3 2 3" xfId="16849"/>
    <cellStyle name="Normal 55 2 3 3" xfId="16850"/>
    <cellStyle name="Normal 55 2 3 3 2" xfId="16851"/>
    <cellStyle name="Normal 55 2 3 3 2 2" xfId="23543"/>
    <cellStyle name="Normal 55 2 3 3 3" xfId="16852"/>
    <cellStyle name="Normal 55 2 3 4" xfId="16853"/>
    <cellStyle name="Normal 55 2 3 4 2" xfId="23544"/>
    <cellStyle name="Normal 55 2 3 5" xfId="16854"/>
    <cellStyle name="Normal 55 2 4" xfId="16855"/>
    <cellStyle name="Normal 55 2 4 2" xfId="16856"/>
    <cellStyle name="Normal 55 2 4 2 2" xfId="23545"/>
    <cellStyle name="Normal 55 2 4 3" xfId="16857"/>
    <cellStyle name="Normal 55 2 5" xfId="16858"/>
    <cellStyle name="Normal 55 2 5 2" xfId="16859"/>
    <cellStyle name="Normal 55 2 5 2 2" xfId="23546"/>
    <cellStyle name="Normal 55 2 5 3" xfId="16860"/>
    <cellStyle name="Normal 55 2 6" xfId="16861"/>
    <cellStyle name="Normal 55 2 6 2" xfId="23547"/>
    <cellStyle name="Normal 55 2 7" xfId="16862"/>
    <cellStyle name="Normal 55 3" xfId="1100"/>
    <cellStyle name="Normal 55 3 2" xfId="16863"/>
    <cellStyle name="Normal 55 3 2 2" xfId="16864"/>
    <cellStyle name="Normal 55 3 2 2 2" xfId="16865"/>
    <cellStyle name="Normal 55 3 2 2 2 2" xfId="23548"/>
    <cellStyle name="Normal 55 3 2 2 3" xfId="16866"/>
    <cellStyle name="Normal 55 3 2 3" xfId="16867"/>
    <cellStyle name="Normal 55 3 2 3 2" xfId="16868"/>
    <cellStyle name="Normal 55 3 2 3 2 2" xfId="23549"/>
    <cellStyle name="Normal 55 3 2 3 3" xfId="16869"/>
    <cellStyle name="Normal 55 3 2 4" xfId="16870"/>
    <cellStyle name="Normal 55 3 2 4 2" xfId="23550"/>
    <cellStyle name="Normal 55 3 2 5" xfId="16871"/>
    <cellStyle name="Normal 55 3 3" xfId="16872"/>
    <cellStyle name="Normal 55 3 3 2" xfId="16873"/>
    <cellStyle name="Normal 55 3 3 2 2" xfId="23551"/>
    <cellStyle name="Normal 55 3 3 3" xfId="16874"/>
    <cellStyle name="Normal 55 3 4" xfId="16875"/>
    <cellStyle name="Normal 55 3 4 2" xfId="16876"/>
    <cellStyle name="Normal 55 3 4 2 2" xfId="23552"/>
    <cellStyle name="Normal 55 3 4 3" xfId="16877"/>
    <cellStyle name="Normal 55 3 5" xfId="16878"/>
    <cellStyle name="Normal 55 3 5 2" xfId="23553"/>
    <cellStyle name="Normal 55 3 6" xfId="16879"/>
    <cellStyle name="Normal 55 4" xfId="16880"/>
    <cellStyle name="Normal 55 4 2" xfId="16881"/>
    <cellStyle name="Normal 55 4 2 2" xfId="16882"/>
    <cellStyle name="Normal 55 4 2 2 2" xfId="23554"/>
    <cellStyle name="Normal 55 4 2 3" xfId="16883"/>
    <cellStyle name="Normal 55 4 3" xfId="16884"/>
    <cellStyle name="Normal 55 4 3 2" xfId="16885"/>
    <cellStyle name="Normal 55 4 3 2 2" xfId="23555"/>
    <cellStyle name="Normal 55 4 3 3" xfId="16886"/>
    <cellStyle name="Normal 55 4 4" xfId="16887"/>
    <cellStyle name="Normal 55 4 4 2" xfId="23556"/>
    <cellStyle name="Normal 55 4 5" xfId="16888"/>
    <cellStyle name="Normal 55 5" xfId="16889"/>
    <cellStyle name="Normal 55 5 2" xfId="16890"/>
    <cellStyle name="Normal 55 5 2 2" xfId="23557"/>
    <cellStyle name="Normal 55 5 3" xfId="16891"/>
    <cellStyle name="Normal 55 6" xfId="16892"/>
    <cellStyle name="Normal 55 6 2" xfId="16893"/>
    <cellStyle name="Normal 55 6 2 2" xfId="23558"/>
    <cellStyle name="Normal 55 6 3" xfId="16894"/>
    <cellStyle name="Normal 55 7" xfId="16895"/>
    <cellStyle name="Normal 55 7 2" xfId="23559"/>
    <cellStyle name="Normal 55 8" xfId="16896"/>
    <cellStyle name="Normal 55 9" xfId="23560"/>
    <cellStyle name="Normal 56" xfId="317"/>
    <cellStyle name="Normal 56 2" xfId="1101"/>
    <cellStyle name="Normal 56 2 2" xfId="16897"/>
    <cellStyle name="Normal 56 2 2 2" xfId="16898"/>
    <cellStyle name="Normal 56 2 2 2 2" xfId="16899"/>
    <cellStyle name="Normal 56 2 2 2 2 2" xfId="16900"/>
    <cellStyle name="Normal 56 2 2 2 2 2 2" xfId="23561"/>
    <cellStyle name="Normal 56 2 2 2 2 3" xfId="16901"/>
    <cellStyle name="Normal 56 2 2 2 3" xfId="16902"/>
    <cellStyle name="Normal 56 2 2 2 3 2" xfId="16903"/>
    <cellStyle name="Normal 56 2 2 2 3 2 2" xfId="23562"/>
    <cellStyle name="Normal 56 2 2 2 3 3" xfId="16904"/>
    <cellStyle name="Normal 56 2 2 2 4" xfId="16905"/>
    <cellStyle name="Normal 56 2 2 2 4 2" xfId="23563"/>
    <cellStyle name="Normal 56 2 2 2 5" xfId="16906"/>
    <cellStyle name="Normal 56 2 2 3" xfId="16907"/>
    <cellStyle name="Normal 56 2 2 3 2" xfId="16908"/>
    <cellStyle name="Normal 56 2 2 3 2 2" xfId="23564"/>
    <cellStyle name="Normal 56 2 2 3 3" xfId="16909"/>
    <cellStyle name="Normal 56 2 2 4" xfId="16910"/>
    <cellStyle name="Normal 56 2 2 4 2" xfId="16911"/>
    <cellStyle name="Normal 56 2 2 4 2 2" xfId="23565"/>
    <cellStyle name="Normal 56 2 2 4 3" xfId="16912"/>
    <cellStyle name="Normal 56 2 2 5" xfId="16913"/>
    <cellStyle name="Normal 56 2 2 5 2" xfId="23566"/>
    <cellStyle name="Normal 56 2 2 6" xfId="16914"/>
    <cellStyle name="Normal 56 2 3" xfId="16915"/>
    <cellStyle name="Normal 56 2 3 2" xfId="16916"/>
    <cellStyle name="Normal 56 2 3 2 2" xfId="16917"/>
    <cellStyle name="Normal 56 2 3 2 2 2" xfId="23567"/>
    <cellStyle name="Normal 56 2 3 2 3" xfId="16918"/>
    <cellStyle name="Normal 56 2 3 3" xfId="16919"/>
    <cellStyle name="Normal 56 2 3 3 2" xfId="16920"/>
    <cellStyle name="Normal 56 2 3 3 2 2" xfId="23568"/>
    <cellStyle name="Normal 56 2 3 3 3" xfId="16921"/>
    <cellStyle name="Normal 56 2 3 4" xfId="16922"/>
    <cellStyle name="Normal 56 2 3 4 2" xfId="23569"/>
    <cellStyle name="Normal 56 2 3 5" xfId="16923"/>
    <cellStyle name="Normal 56 2 4" xfId="16924"/>
    <cellStyle name="Normal 56 2 4 2" xfId="16925"/>
    <cellStyle name="Normal 56 2 4 2 2" xfId="23570"/>
    <cellStyle name="Normal 56 2 4 3" xfId="16926"/>
    <cellStyle name="Normal 56 2 5" xfId="16927"/>
    <cellStyle name="Normal 56 2 5 2" xfId="16928"/>
    <cellStyle name="Normal 56 2 5 2 2" xfId="23571"/>
    <cellStyle name="Normal 56 2 5 3" xfId="16929"/>
    <cellStyle name="Normal 56 2 6" xfId="16930"/>
    <cellStyle name="Normal 56 2 6 2" xfId="23572"/>
    <cellStyle name="Normal 56 2 7" xfId="16931"/>
    <cellStyle name="Normal 56 3" xfId="1102"/>
    <cellStyle name="Normal 56 3 2" xfId="16932"/>
    <cellStyle name="Normal 56 3 2 2" xfId="16933"/>
    <cellStyle name="Normal 56 3 2 2 2" xfId="16934"/>
    <cellStyle name="Normal 56 3 2 2 2 2" xfId="23573"/>
    <cellStyle name="Normal 56 3 2 2 3" xfId="16935"/>
    <cellStyle name="Normal 56 3 2 3" xfId="16936"/>
    <cellStyle name="Normal 56 3 2 3 2" xfId="16937"/>
    <cellStyle name="Normal 56 3 2 3 2 2" xfId="23574"/>
    <cellStyle name="Normal 56 3 2 3 3" xfId="16938"/>
    <cellStyle name="Normal 56 3 2 4" xfId="16939"/>
    <cellStyle name="Normal 56 3 2 4 2" xfId="23575"/>
    <cellStyle name="Normal 56 3 2 5" xfId="16940"/>
    <cellStyle name="Normal 56 3 3" xfId="16941"/>
    <cellStyle name="Normal 56 3 3 2" xfId="16942"/>
    <cellStyle name="Normal 56 3 3 2 2" xfId="23576"/>
    <cellStyle name="Normal 56 3 3 3" xfId="16943"/>
    <cellStyle name="Normal 56 3 4" xfId="16944"/>
    <cellStyle name="Normal 56 3 4 2" xfId="16945"/>
    <cellStyle name="Normal 56 3 4 2 2" xfId="23577"/>
    <cellStyle name="Normal 56 3 4 3" xfId="16946"/>
    <cellStyle name="Normal 56 3 5" xfId="16947"/>
    <cellStyle name="Normal 56 3 5 2" xfId="23578"/>
    <cellStyle name="Normal 56 3 6" xfId="16948"/>
    <cellStyle name="Normal 56 4" xfId="16949"/>
    <cellStyle name="Normal 56 4 2" xfId="16950"/>
    <cellStyle name="Normal 56 4 2 2" xfId="16951"/>
    <cellStyle name="Normal 56 4 2 2 2" xfId="23579"/>
    <cellStyle name="Normal 56 4 2 3" xfId="16952"/>
    <cellStyle name="Normal 56 4 3" xfId="16953"/>
    <cellStyle name="Normal 56 4 3 2" xfId="16954"/>
    <cellStyle name="Normal 56 4 3 2 2" xfId="23580"/>
    <cellStyle name="Normal 56 4 3 3" xfId="16955"/>
    <cellStyle name="Normal 56 4 4" xfId="16956"/>
    <cellStyle name="Normal 56 4 4 2" xfId="23581"/>
    <cellStyle name="Normal 56 4 5" xfId="16957"/>
    <cellStyle name="Normal 56 5" xfId="16958"/>
    <cellStyle name="Normal 56 5 2" xfId="16959"/>
    <cellStyle name="Normal 56 5 2 2" xfId="23582"/>
    <cellStyle name="Normal 56 5 3" xfId="16960"/>
    <cellStyle name="Normal 56 6" xfId="16961"/>
    <cellStyle name="Normal 56 6 2" xfId="16962"/>
    <cellStyle name="Normal 56 6 2 2" xfId="23583"/>
    <cellStyle name="Normal 56 6 3" xfId="16963"/>
    <cellStyle name="Normal 56 7" xfId="16964"/>
    <cellStyle name="Normal 56 7 2" xfId="23584"/>
    <cellStyle name="Normal 56 8" xfId="16965"/>
    <cellStyle name="Normal 56 9" xfId="23585"/>
    <cellStyle name="Normal 57" xfId="318"/>
    <cellStyle name="Normal 57 2" xfId="1103"/>
    <cellStyle name="Normal 57 2 2" xfId="16966"/>
    <cellStyle name="Normal 57 2 2 2" xfId="16967"/>
    <cellStyle name="Normal 57 2 2 2 2" xfId="16968"/>
    <cellStyle name="Normal 57 2 2 2 2 2" xfId="16969"/>
    <cellStyle name="Normal 57 2 2 2 2 2 2" xfId="23586"/>
    <cellStyle name="Normal 57 2 2 2 2 3" xfId="16970"/>
    <cellStyle name="Normal 57 2 2 2 3" xfId="16971"/>
    <cellStyle name="Normal 57 2 2 2 3 2" xfId="16972"/>
    <cellStyle name="Normal 57 2 2 2 3 2 2" xfId="23587"/>
    <cellStyle name="Normal 57 2 2 2 3 3" xfId="16973"/>
    <cellStyle name="Normal 57 2 2 2 4" xfId="16974"/>
    <cellStyle name="Normal 57 2 2 2 4 2" xfId="23588"/>
    <cellStyle name="Normal 57 2 2 2 5" xfId="16975"/>
    <cellStyle name="Normal 57 2 2 3" xfId="16976"/>
    <cellStyle name="Normal 57 2 2 3 2" xfId="16977"/>
    <cellStyle name="Normal 57 2 2 3 2 2" xfId="23589"/>
    <cellStyle name="Normal 57 2 2 3 3" xfId="16978"/>
    <cellStyle name="Normal 57 2 2 4" xfId="16979"/>
    <cellStyle name="Normal 57 2 2 4 2" xfId="16980"/>
    <cellStyle name="Normal 57 2 2 4 2 2" xfId="23590"/>
    <cellStyle name="Normal 57 2 2 4 3" xfId="16981"/>
    <cellStyle name="Normal 57 2 2 5" xfId="16982"/>
    <cellStyle name="Normal 57 2 2 5 2" xfId="23591"/>
    <cellStyle name="Normal 57 2 2 6" xfId="16983"/>
    <cellStyle name="Normal 57 2 3" xfId="16984"/>
    <cellStyle name="Normal 57 2 3 2" xfId="16985"/>
    <cellStyle name="Normal 57 2 3 2 2" xfId="16986"/>
    <cellStyle name="Normal 57 2 3 2 2 2" xfId="23592"/>
    <cellStyle name="Normal 57 2 3 2 3" xfId="16987"/>
    <cellStyle name="Normal 57 2 3 3" xfId="16988"/>
    <cellStyle name="Normal 57 2 3 3 2" xfId="16989"/>
    <cellStyle name="Normal 57 2 3 3 2 2" xfId="23593"/>
    <cellStyle name="Normal 57 2 3 3 3" xfId="16990"/>
    <cellStyle name="Normal 57 2 3 4" xfId="16991"/>
    <cellStyle name="Normal 57 2 3 4 2" xfId="23594"/>
    <cellStyle name="Normal 57 2 3 5" xfId="16992"/>
    <cellStyle name="Normal 57 2 4" xfId="16993"/>
    <cellStyle name="Normal 57 2 4 2" xfId="16994"/>
    <cellStyle name="Normal 57 2 4 2 2" xfId="23595"/>
    <cellStyle name="Normal 57 2 4 3" xfId="16995"/>
    <cellStyle name="Normal 57 2 5" xfId="16996"/>
    <cellStyle name="Normal 57 2 5 2" xfId="16997"/>
    <cellStyle name="Normal 57 2 5 2 2" xfId="23596"/>
    <cellStyle name="Normal 57 2 5 3" xfId="16998"/>
    <cellStyle name="Normal 57 2 6" xfId="16999"/>
    <cellStyle name="Normal 57 2 6 2" xfId="23597"/>
    <cellStyle name="Normal 57 2 7" xfId="17000"/>
    <cellStyle name="Normal 57 3" xfId="1104"/>
    <cellStyle name="Normal 57 3 2" xfId="17001"/>
    <cellStyle name="Normal 57 3 2 2" xfId="17002"/>
    <cellStyle name="Normal 57 3 2 2 2" xfId="17003"/>
    <cellStyle name="Normal 57 3 2 2 2 2" xfId="23598"/>
    <cellStyle name="Normal 57 3 2 2 3" xfId="17004"/>
    <cellStyle name="Normal 57 3 2 3" xfId="17005"/>
    <cellStyle name="Normal 57 3 2 3 2" xfId="17006"/>
    <cellStyle name="Normal 57 3 2 3 2 2" xfId="23599"/>
    <cellStyle name="Normal 57 3 2 3 3" xfId="17007"/>
    <cellStyle name="Normal 57 3 2 4" xfId="17008"/>
    <cellStyle name="Normal 57 3 2 4 2" xfId="23600"/>
    <cellStyle name="Normal 57 3 2 5" xfId="17009"/>
    <cellStyle name="Normal 57 3 3" xfId="17010"/>
    <cellStyle name="Normal 57 3 3 2" xfId="17011"/>
    <cellStyle name="Normal 57 3 3 2 2" xfId="23601"/>
    <cellStyle name="Normal 57 3 3 3" xfId="17012"/>
    <cellStyle name="Normal 57 3 4" xfId="17013"/>
    <cellStyle name="Normal 57 3 4 2" xfId="17014"/>
    <cellStyle name="Normal 57 3 4 2 2" xfId="23602"/>
    <cellStyle name="Normal 57 3 4 3" xfId="17015"/>
    <cellStyle name="Normal 57 3 5" xfId="17016"/>
    <cellStyle name="Normal 57 3 5 2" xfId="23603"/>
    <cellStyle name="Normal 57 3 6" xfId="17017"/>
    <cellStyle name="Normal 57 4" xfId="17018"/>
    <cellStyle name="Normal 57 4 2" xfId="17019"/>
    <cellStyle name="Normal 57 4 2 2" xfId="17020"/>
    <cellStyle name="Normal 57 4 2 2 2" xfId="23604"/>
    <cellStyle name="Normal 57 4 2 3" xfId="17021"/>
    <cellStyle name="Normal 57 4 3" xfId="17022"/>
    <cellStyle name="Normal 57 4 3 2" xfId="17023"/>
    <cellStyle name="Normal 57 4 3 2 2" xfId="23605"/>
    <cellStyle name="Normal 57 4 3 3" xfId="17024"/>
    <cellStyle name="Normal 57 4 4" xfId="17025"/>
    <cellStyle name="Normal 57 4 4 2" xfId="23606"/>
    <cellStyle name="Normal 57 4 5" xfId="17026"/>
    <cellStyle name="Normal 57 5" xfId="17027"/>
    <cellStyle name="Normal 57 5 2" xfId="17028"/>
    <cellStyle name="Normal 57 5 2 2" xfId="23607"/>
    <cellStyle name="Normal 57 5 3" xfId="17029"/>
    <cellStyle name="Normal 57 6" xfId="17030"/>
    <cellStyle name="Normal 57 6 2" xfId="17031"/>
    <cellStyle name="Normal 57 6 2 2" xfId="23608"/>
    <cellStyle name="Normal 57 6 3" xfId="17032"/>
    <cellStyle name="Normal 57 7" xfId="17033"/>
    <cellStyle name="Normal 57 7 2" xfId="23609"/>
    <cellStyle name="Normal 57 8" xfId="17034"/>
    <cellStyle name="Normal 57 9" xfId="23610"/>
    <cellStyle name="Normal 58" xfId="319"/>
    <cellStyle name="Normal 58 2" xfId="1105"/>
    <cellStyle name="Normal 58 2 2" xfId="17035"/>
    <cellStyle name="Normal 58 2 2 2" xfId="17036"/>
    <cellStyle name="Normal 58 2 2 2 2" xfId="17037"/>
    <cellStyle name="Normal 58 2 2 2 2 2" xfId="17038"/>
    <cellStyle name="Normal 58 2 2 2 2 2 2" xfId="23611"/>
    <cellStyle name="Normal 58 2 2 2 2 3" xfId="17039"/>
    <cellStyle name="Normal 58 2 2 2 3" xfId="17040"/>
    <cellStyle name="Normal 58 2 2 2 3 2" xfId="17041"/>
    <cellStyle name="Normal 58 2 2 2 3 2 2" xfId="23612"/>
    <cellStyle name="Normal 58 2 2 2 3 3" xfId="17042"/>
    <cellStyle name="Normal 58 2 2 2 4" xfId="17043"/>
    <cellStyle name="Normal 58 2 2 2 4 2" xfId="23613"/>
    <cellStyle name="Normal 58 2 2 2 5" xfId="17044"/>
    <cellStyle name="Normal 58 2 2 3" xfId="17045"/>
    <cellStyle name="Normal 58 2 2 3 2" xfId="17046"/>
    <cellStyle name="Normal 58 2 2 3 2 2" xfId="23614"/>
    <cellStyle name="Normal 58 2 2 3 3" xfId="17047"/>
    <cellStyle name="Normal 58 2 2 4" xfId="17048"/>
    <cellStyle name="Normal 58 2 2 4 2" xfId="17049"/>
    <cellStyle name="Normal 58 2 2 4 2 2" xfId="23615"/>
    <cellStyle name="Normal 58 2 2 4 3" xfId="17050"/>
    <cellStyle name="Normal 58 2 2 5" xfId="17051"/>
    <cellStyle name="Normal 58 2 2 5 2" xfId="23616"/>
    <cellStyle name="Normal 58 2 2 6" xfId="17052"/>
    <cellStyle name="Normal 58 2 3" xfId="17053"/>
    <cellStyle name="Normal 58 2 3 2" xfId="17054"/>
    <cellStyle name="Normal 58 2 3 2 2" xfId="17055"/>
    <cellStyle name="Normal 58 2 3 2 2 2" xfId="23617"/>
    <cellStyle name="Normal 58 2 3 2 3" xfId="17056"/>
    <cellStyle name="Normal 58 2 3 3" xfId="17057"/>
    <cellStyle name="Normal 58 2 3 3 2" xfId="17058"/>
    <cellStyle name="Normal 58 2 3 3 2 2" xfId="23618"/>
    <cellStyle name="Normal 58 2 3 3 3" xfId="17059"/>
    <cellStyle name="Normal 58 2 3 4" xfId="17060"/>
    <cellStyle name="Normal 58 2 3 4 2" xfId="23619"/>
    <cellStyle name="Normal 58 2 3 5" xfId="17061"/>
    <cellStyle name="Normal 58 2 4" xfId="17062"/>
    <cellStyle name="Normal 58 2 4 2" xfId="17063"/>
    <cellStyle name="Normal 58 2 4 2 2" xfId="23620"/>
    <cellStyle name="Normal 58 2 4 3" xfId="17064"/>
    <cellStyle name="Normal 58 2 5" xfId="17065"/>
    <cellStyle name="Normal 58 2 5 2" xfId="17066"/>
    <cellStyle name="Normal 58 2 5 2 2" xfId="23621"/>
    <cellStyle name="Normal 58 2 5 3" xfId="17067"/>
    <cellStyle name="Normal 58 2 6" xfId="17068"/>
    <cellStyle name="Normal 58 2 6 2" xfId="23622"/>
    <cellStyle name="Normal 58 2 7" xfId="17069"/>
    <cellStyle name="Normal 58 3" xfId="1106"/>
    <cellStyle name="Normal 58 3 2" xfId="17070"/>
    <cellStyle name="Normal 58 3 2 2" xfId="17071"/>
    <cellStyle name="Normal 58 3 2 2 2" xfId="17072"/>
    <cellStyle name="Normal 58 3 2 2 2 2" xfId="23623"/>
    <cellStyle name="Normal 58 3 2 2 3" xfId="17073"/>
    <cellStyle name="Normal 58 3 2 3" xfId="17074"/>
    <cellStyle name="Normal 58 3 2 3 2" xfId="17075"/>
    <cellStyle name="Normal 58 3 2 3 2 2" xfId="23624"/>
    <cellStyle name="Normal 58 3 2 3 3" xfId="17076"/>
    <cellStyle name="Normal 58 3 2 4" xfId="17077"/>
    <cellStyle name="Normal 58 3 2 4 2" xfId="23625"/>
    <cellStyle name="Normal 58 3 2 5" xfId="17078"/>
    <cellStyle name="Normal 58 3 3" xfId="17079"/>
    <cellStyle name="Normal 58 3 3 2" xfId="17080"/>
    <cellStyle name="Normal 58 3 3 2 2" xfId="23626"/>
    <cellStyle name="Normal 58 3 3 3" xfId="17081"/>
    <cellStyle name="Normal 58 3 4" xfId="17082"/>
    <cellStyle name="Normal 58 3 4 2" xfId="17083"/>
    <cellStyle name="Normal 58 3 4 2 2" xfId="23627"/>
    <cellStyle name="Normal 58 3 4 3" xfId="17084"/>
    <cellStyle name="Normal 58 3 5" xfId="17085"/>
    <cellStyle name="Normal 58 3 5 2" xfId="23628"/>
    <cellStyle name="Normal 58 3 6" xfId="17086"/>
    <cellStyle name="Normal 58 4" xfId="17087"/>
    <cellStyle name="Normal 58 4 2" xfId="17088"/>
    <cellStyle name="Normal 58 4 2 2" xfId="17089"/>
    <cellStyle name="Normal 58 4 2 2 2" xfId="23629"/>
    <cellStyle name="Normal 58 4 2 3" xfId="17090"/>
    <cellStyle name="Normal 58 4 3" xfId="17091"/>
    <cellStyle name="Normal 58 4 3 2" xfId="17092"/>
    <cellStyle name="Normal 58 4 3 2 2" xfId="23630"/>
    <cellStyle name="Normal 58 4 3 3" xfId="17093"/>
    <cellStyle name="Normal 58 4 4" xfId="17094"/>
    <cellStyle name="Normal 58 4 4 2" xfId="23631"/>
    <cellStyle name="Normal 58 4 5" xfId="17095"/>
    <cellStyle name="Normal 58 5" xfId="17096"/>
    <cellStyle name="Normal 58 5 2" xfId="17097"/>
    <cellStyle name="Normal 58 5 2 2" xfId="23632"/>
    <cellStyle name="Normal 58 5 3" xfId="17098"/>
    <cellStyle name="Normal 58 6" xfId="17099"/>
    <cellStyle name="Normal 58 6 2" xfId="17100"/>
    <cellStyle name="Normal 58 6 2 2" xfId="23633"/>
    <cellStyle name="Normal 58 6 3" xfId="17101"/>
    <cellStyle name="Normal 58 7" xfId="17102"/>
    <cellStyle name="Normal 58 7 2" xfId="23634"/>
    <cellStyle name="Normal 58 8" xfId="17103"/>
    <cellStyle name="Normal 58 9" xfId="23635"/>
    <cellStyle name="Normal 59" xfId="320"/>
    <cellStyle name="Normal 59 2" xfId="1107"/>
    <cellStyle name="Normal 59 2 2" xfId="17104"/>
    <cellStyle name="Normal 59 2 2 2" xfId="17105"/>
    <cellStyle name="Normal 59 2 2 2 2" xfId="17106"/>
    <cellStyle name="Normal 59 2 2 2 2 2" xfId="17107"/>
    <cellStyle name="Normal 59 2 2 2 2 2 2" xfId="23636"/>
    <cellStyle name="Normal 59 2 2 2 2 3" xfId="17108"/>
    <cellStyle name="Normal 59 2 2 2 3" xfId="17109"/>
    <cellStyle name="Normal 59 2 2 2 3 2" xfId="17110"/>
    <cellStyle name="Normal 59 2 2 2 3 2 2" xfId="23637"/>
    <cellStyle name="Normal 59 2 2 2 3 3" xfId="17111"/>
    <cellStyle name="Normal 59 2 2 2 4" xfId="17112"/>
    <cellStyle name="Normal 59 2 2 2 4 2" xfId="23638"/>
    <cellStyle name="Normal 59 2 2 2 5" xfId="17113"/>
    <cellStyle name="Normal 59 2 2 3" xfId="17114"/>
    <cellStyle name="Normal 59 2 2 3 2" xfId="17115"/>
    <cellStyle name="Normal 59 2 2 3 2 2" xfId="23639"/>
    <cellStyle name="Normal 59 2 2 3 3" xfId="17116"/>
    <cellStyle name="Normal 59 2 2 4" xfId="17117"/>
    <cellStyle name="Normal 59 2 2 4 2" xfId="17118"/>
    <cellStyle name="Normal 59 2 2 4 2 2" xfId="23640"/>
    <cellStyle name="Normal 59 2 2 4 3" xfId="17119"/>
    <cellStyle name="Normal 59 2 2 5" xfId="17120"/>
    <cellStyle name="Normal 59 2 2 5 2" xfId="23641"/>
    <cellStyle name="Normal 59 2 2 6" xfId="17121"/>
    <cellStyle name="Normal 59 2 3" xfId="17122"/>
    <cellStyle name="Normal 59 2 3 2" xfId="17123"/>
    <cellStyle name="Normal 59 2 3 2 2" xfId="17124"/>
    <cellStyle name="Normal 59 2 3 2 2 2" xfId="23642"/>
    <cellStyle name="Normal 59 2 3 2 3" xfId="17125"/>
    <cellStyle name="Normal 59 2 3 3" xfId="17126"/>
    <cellStyle name="Normal 59 2 3 3 2" xfId="17127"/>
    <cellStyle name="Normal 59 2 3 3 2 2" xfId="23643"/>
    <cellStyle name="Normal 59 2 3 3 3" xfId="17128"/>
    <cellStyle name="Normal 59 2 3 4" xfId="17129"/>
    <cellStyle name="Normal 59 2 3 4 2" xfId="23644"/>
    <cellStyle name="Normal 59 2 3 5" xfId="17130"/>
    <cellStyle name="Normal 59 2 4" xfId="17131"/>
    <cellStyle name="Normal 59 2 4 2" xfId="17132"/>
    <cellStyle name="Normal 59 2 4 2 2" xfId="23645"/>
    <cellStyle name="Normal 59 2 4 3" xfId="17133"/>
    <cellStyle name="Normal 59 2 5" xfId="17134"/>
    <cellStyle name="Normal 59 2 5 2" xfId="17135"/>
    <cellStyle name="Normal 59 2 5 2 2" xfId="23646"/>
    <cellStyle name="Normal 59 2 5 3" xfId="17136"/>
    <cellStyle name="Normal 59 2 6" xfId="17137"/>
    <cellStyle name="Normal 59 2 6 2" xfId="23647"/>
    <cellStyle name="Normal 59 2 7" xfId="17138"/>
    <cellStyle name="Normal 59 3" xfId="1108"/>
    <cellStyle name="Normal 59 3 2" xfId="17139"/>
    <cellStyle name="Normal 59 3 2 2" xfId="17140"/>
    <cellStyle name="Normal 59 3 2 2 2" xfId="17141"/>
    <cellStyle name="Normal 59 3 2 2 2 2" xfId="23648"/>
    <cellStyle name="Normal 59 3 2 2 3" xfId="17142"/>
    <cellStyle name="Normal 59 3 2 3" xfId="17143"/>
    <cellStyle name="Normal 59 3 2 3 2" xfId="17144"/>
    <cellStyle name="Normal 59 3 2 3 2 2" xfId="23649"/>
    <cellStyle name="Normal 59 3 2 3 3" xfId="17145"/>
    <cellStyle name="Normal 59 3 2 4" xfId="17146"/>
    <cellStyle name="Normal 59 3 2 4 2" xfId="23650"/>
    <cellStyle name="Normal 59 3 2 5" xfId="17147"/>
    <cellStyle name="Normal 59 3 3" xfId="17148"/>
    <cellStyle name="Normal 59 3 3 2" xfId="17149"/>
    <cellStyle name="Normal 59 3 3 2 2" xfId="23651"/>
    <cellStyle name="Normal 59 3 3 3" xfId="17150"/>
    <cellStyle name="Normal 59 3 4" xfId="17151"/>
    <cellStyle name="Normal 59 3 4 2" xfId="17152"/>
    <cellStyle name="Normal 59 3 4 2 2" xfId="23652"/>
    <cellStyle name="Normal 59 3 4 3" xfId="17153"/>
    <cellStyle name="Normal 59 3 5" xfId="17154"/>
    <cellStyle name="Normal 59 3 5 2" xfId="23653"/>
    <cellStyle name="Normal 59 3 6" xfId="17155"/>
    <cellStyle name="Normal 59 4" xfId="17156"/>
    <cellStyle name="Normal 59 4 2" xfId="17157"/>
    <cellStyle name="Normal 59 4 2 2" xfId="17158"/>
    <cellStyle name="Normal 59 4 2 2 2" xfId="23654"/>
    <cellStyle name="Normal 59 4 2 3" xfId="17159"/>
    <cellStyle name="Normal 59 4 3" xfId="17160"/>
    <cellStyle name="Normal 59 4 3 2" xfId="17161"/>
    <cellStyle name="Normal 59 4 3 2 2" xfId="23655"/>
    <cellStyle name="Normal 59 4 3 3" xfId="17162"/>
    <cellStyle name="Normal 59 4 4" xfId="17163"/>
    <cellStyle name="Normal 59 4 4 2" xfId="23656"/>
    <cellStyle name="Normal 59 4 5" xfId="17164"/>
    <cellStyle name="Normal 59 5" xfId="17165"/>
    <cellStyle name="Normal 59 5 2" xfId="17166"/>
    <cellStyle name="Normal 59 5 2 2" xfId="23657"/>
    <cellStyle name="Normal 59 5 3" xfId="17167"/>
    <cellStyle name="Normal 59 6" xfId="17168"/>
    <cellStyle name="Normal 59 6 2" xfId="17169"/>
    <cellStyle name="Normal 59 6 2 2" xfId="23658"/>
    <cellStyle name="Normal 59 6 3" xfId="17170"/>
    <cellStyle name="Normal 59 7" xfId="17171"/>
    <cellStyle name="Normal 59 7 2" xfId="23659"/>
    <cellStyle name="Normal 59 8" xfId="17172"/>
    <cellStyle name="Normal 59 9" xfId="23660"/>
    <cellStyle name="Normal 6" xfId="52"/>
    <cellStyle name="Normal 6 10" xfId="17173"/>
    <cellStyle name="Normal 6 10 2" xfId="23661"/>
    <cellStyle name="Normal 6 11" xfId="17174"/>
    <cellStyle name="Normal 6 12" xfId="23662"/>
    <cellStyle name="Normal 6 2" xfId="53"/>
    <cellStyle name="Normal 6 2 10" xfId="23663"/>
    <cellStyle name="Normal 6 2 2" xfId="1109"/>
    <cellStyle name="Normal 6 2 2 2" xfId="1110"/>
    <cellStyle name="Normal 6 2 2 2 2" xfId="1111"/>
    <cellStyle name="Normal 6 2 2 2 2 2" xfId="17175"/>
    <cellStyle name="Normal 6 2 2 2 2 2 2" xfId="17176"/>
    <cellStyle name="Normal 6 2 2 2 2 2 2 2" xfId="17177"/>
    <cellStyle name="Normal 6 2 2 2 2 2 2 2 2" xfId="23664"/>
    <cellStyle name="Normal 6 2 2 2 2 2 2 3" xfId="17178"/>
    <cellStyle name="Normal 6 2 2 2 2 2 3" xfId="17179"/>
    <cellStyle name="Normal 6 2 2 2 2 2 3 2" xfId="17180"/>
    <cellStyle name="Normal 6 2 2 2 2 2 3 2 2" xfId="23665"/>
    <cellStyle name="Normal 6 2 2 2 2 2 3 3" xfId="17181"/>
    <cellStyle name="Normal 6 2 2 2 2 2 4" xfId="17182"/>
    <cellStyle name="Normal 6 2 2 2 2 2 4 2" xfId="23666"/>
    <cellStyle name="Normal 6 2 2 2 2 2 5" xfId="17183"/>
    <cellStyle name="Normal 6 2 2 2 2 3" xfId="17184"/>
    <cellStyle name="Normal 6 2 2 2 2 3 2" xfId="17185"/>
    <cellStyle name="Normal 6 2 2 2 2 3 2 2" xfId="23667"/>
    <cellStyle name="Normal 6 2 2 2 2 3 3" xfId="17186"/>
    <cellStyle name="Normal 6 2 2 2 2 4" xfId="17187"/>
    <cellStyle name="Normal 6 2 2 2 2 4 2" xfId="17188"/>
    <cellStyle name="Normal 6 2 2 2 2 4 2 2" xfId="23668"/>
    <cellStyle name="Normal 6 2 2 2 2 4 3" xfId="17189"/>
    <cellStyle name="Normal 6 2 2 2 2 5" xfId="17190"/>
    <cellStyle name="Normal 6 2 2 2 2 5 2" xfId="23669"/>
    <cellStyle name="Normal 6 2 2 2 2 6" xfId="17191"/>
    <cellStyle name="Normal 6 2 2 2 3" xfId="17192"/>
    <cellStyle name="Normal 6 2 2 2 3 2" xfId="17193"/>
    <cellStyle name="Normal 6 2 2 2 3 2 2" xfId="17194"/>
    <cellStyle name="Normal 6 2 2 2 3 2 2 2" xfId="23670"/>
    <cellStyle name="Normal 6 2 2 2 3 2 3" xfId="17195"/>
    <cellStyle name="Normal 6 2 2 2 3 3" xfId="17196"/>
    <cellStyle name="Normal 6 2 2 2 3 3 2" xfId="17197"/>
    <cellStyle name="Normal 6 2 2 2 3 3 2 2" xfId="23671"/>
    <cellStyle name="Normal 6 2 2 2 3 3 3" xfId="17198"/>
    <cellStyle name="Normal 6 2 2 2 3 4" xfId="17199"/>
    <cellStyle name="Normal 6 2 2 2 3 4 2" xfId="23672"/>
    <cellStyle name="Normal 6 2 2 2 3 5" xfId="17200"/>
    <cellStyle name="Normal 6 2 2 2 4" xfId="17201"/>
    <cellStyle name="Normal 6 2 2 2 4 2" xfId="17202"/>
    <cellStyle name="Normal 6 2 2 2 4 2 2" xfId="23673"/>
    <cellStyle name="Normal 6 2 2 2 4 3" xfId="17203"/>
    <cellStyle name="Normal 6 2 2 2 5" xfId="17204"/>
    <cellStyle name="Normal 6 2 2 2 5 2" xfId="17205"/>
    <cellStyle name="Normal 6 2 2 2 5 2 2" xfId="23674"/>
    <cellStyle name="Normal 6 2 2 2 5 3" xfId="17206"/>
    <cellStyle name="Normal 6 2 2 2 6" xfId="17207"/>
    <cellStyle name="Normal 6 2 2 2 6 2" xfId="23675"/>
    <cellStyle name="Normal 6 2 2 2 7" xfId="17208"/>
    <cellStyle name="Normal 6 2 2 2 8" xfId="17209"/>
    <cellStyle name="Normal 6 2 2 3" xfId="1112"/>
    <cellStyle name="Normal 6 2 2 3 2" xfId="17210"/>
    <cellStyle name="Normal 6 2 2 3 2 2" xfId="17211"/>
    <cellStyle name="Normal 6 2 2 3 2 2 2" xfId="17212"/>
    <cellStyle name="Normal 6 2 2 3 2 2 2 2" xfId="23676"/>
    <cellStyle name="Normal 6 2 2 3 2 2 3" xfId="17213"/>
    <cellStyle name="Normal 6 2 2 3 2 3" xfId="17214"/>
    <cellStyle name="Normal 6 2 2 3 2 3 2" xfId="17215"/>
    <cellStyle name="Normal 6 2 2 3 2 3 2 2" xfId="23677"/>
    <cellStyle name="Normal 6 2 2 3 2 3 3" xfId="17216"/>
    <cellStyle name="Normal 6 2 2 3 2 4" xfId="17217"/>
    <cellStyle name="Normal 6 2 2 3 2 4 2" xfId="23678"/>
    <cellStyle name="Normal 6 2 2 3 2 5" xfId="17218"/>
    <cellStyle name="Normal 6 2 2 3 3" xfId="17219"/>
    <cellStyle name="Normal 6 2 2 3 3 2" xfId="17220"/>
    <cellStyle name="Normal 6 2 2 3 3 2 2" xfId="23679"/>
    <cellStyle name="Normal 6 2 2 3 3 3" xfId="17221"/>
    <cellStyle name="Normal 6 2 2 3 4" xfId="17222"/>
    <cellStyle name="Normal 6 2 2 3 4 2" xfId="17223"/>
    <cellStyle name="Normal 6 2 2 3 4 2 2" xfId="23680"/>
    <cellStyle name="Normal 6 2 2 3 4 3" xfId="17224"/>
    <cellStyle name="Normal 6 2 2 3 5" xfId="17225"/>
    <cellStyle name="Normal 6 2 2 3 5 2" xfId="23681"/>
    <cellStyle name="Normal 6 2 2 3 6" xfId="17226"/>
    <cellStyle name="Normal 6 2 2 4" xfId="17227"/>
    <cellStyle name="Normal 6 2 2 4 2" xfId="17228"/>
    <cellStyle name="Normal 6 2 2 4 2 2" xfId="17229"/>
    <cellStyle name="Normal 6 2 2 4 2 2 2" xfId="23682"/>
    <cellStyle name="Normal 6 2 2 4 2 3" xfId="17230"/>
    <cellStyle name="Normal 6 2 2 4 3" xfId="17231"/>
    <cellStyle name="Normal 6 2 2 4 3 2" xfId="17232"/>
    <cellStyle name="Normal 6 2 2 4 3 2 2" xfId="23683"/>
    <cellStyle name="Normal 6 2 2 4 3 3" xfId="17233"/>
    <cellStyle name="Normal 6 2 2 4 4" xfId="17234"/>
    <cellStyle name="Normal 6 2 2 4 4 2" xfId="23684"/>
    <cellStyle name="Normal 6 2 2 4 5" xfId="17235"/>
    <cellStyle name="Normal 6 2 2 5" xfId="17236"/>
    <cellStyle name="Normal 6 2 2 5 2" xfId="17237"/>
    <cellStyle name="Normal 6 2 2 5 2 2" xfId="23685"/>
    <cellStyle name="Normal 6 2 2 5 3" xfId="17238"/>
    <cellStyle name="Normal 6 2 2 6" xfId="17239"/>
    <cellStyle name="Normal 6 2 2 6 2" xfId="17240"/>
    <cellStyle name="Normal 6 2 2 6 2 2" xfId="23686"/>
    <cellStyle name="Normal 6 2 2 6 3" xfId="17241"/>
    <cellStyle name="Normal 6 2 2 7" xfId="17242"/>
    <cellStyle name="Normal 6 2 2 7 2" xfId="23687"/>
    <cellStyle name="Normal 6 2 2 8" xfId="17243"/>
    <cellStyle name="Normal 6 2 2 9" xfId="23688"/>
    <cellStyle name="Normal 6 2 3" xfId="1113"/>
    <cellStyle name="Normal 6 2 3 2" xfId="1114"/>
    <cellStyle name="Normal 6 2 3 2 2" xfId="17244"/>
    <cellStyle name="Normal 6 2 3 2 2 2" xfId="17245"/>
    <cellStyle name="Normal 6 2 3 2 2 2 2" xfId="17246"/>
    <cellStyle name="Normal 6 2 3 2 2 2 2 2" xfId="23689"/>
    <cellStyle name="Normal 6 2 3 2 2 2 3" xfId="17247"/>
    <cellStyle name="Normal 6 2 3 2 2 3" xfId="17248"/>
    <cellStyle name="Normal 6 2 3 2 2 3 2" xfId="17249"/>
    <cellStyle name="Normal 6 2 3 2 2 3 2 2" xfId="23690"/>
    <cellStyle name="Normal 6 2 3 2 2 3 3" xfId="17250"/>
    <cellStyle name="Normal 6 2 3 2 2 4" xfId="17251"/>
    <cellStyle name="Normal 6 2 3 2 2 4 2" xfId="23691"/>
    <cellStyle name="Normal 6 2 3 2 2 5" xfId="17252"/>
    <cellStyle name="Normal 6 2 3 2 3" xfId="17253"/>
    <cellStyle name="Normal 6 2 3 2 3 2" xfId="17254"/>
    <cellStyle name="Normal 6 2 3 2 3 2 2" xfId="23692"/>
    <cellStyle name="Normal 6 2 3 2 3 3" xfId="17255"/>
    <cellStyle name="Normal 6 2 3 2 4" xfId="17256"/>
    <cellStyle name="Normal 6 2 3 2 4 2" xfId="17257"/>
    <cellStyle name="Normal 6 2 3 2 4 2 2" xfId="23693"/>
    <cellStyle name="Normal 6 2 3 2 4 3" xfId="17258"/>
    <cellStyle name="Normal 6 2 3 2 5" xfId="17259"/>
    <cellStyle name="Normal 6 2 3 2 5 2" xfId="23694"/>
    <cellStyle name="Normal 6 2 3 2 6" xfId="17260"/>
    <cellStyle name="Normal 6 2 3 3" xfId="2044"/>
    <cellStyle name="Normal 6 2 3 3 2" xfId="17261"/>
    <cellStyle name="Normal 6 2 3 3 2 2" xfId="17262"/>
    <cellStyle name="Normal 6 2 3 3 2 2 2" xfId="23695"/>
    <cellStyle name="Normal 6 2 3 3 2 3" xfId="17263"/>
    <cellStyle name="Normal 6 2 3 3 3" xfId="17264"/>
    <cellStyle name="Normal 6 2 3 3 3 2" xfId="17265"/>
    <cellStyle name="Normal 6 2 3 3 3 2 2" xfId="23696"/>
    <cellStyle name="Normal 6 2 3 3 3 3" xfId="17266"/>
    <cellStyle name="Normal 6 2 3 3 4" xfId="17267"/>
    <cellStyle name="Normal 6 2 3 3 4 2" xfId="23697"/>
    <cellStyle name="Normal 6 2 3 3 5" xfId="17268"/>
    <cellStyle name="Normal 6 2 3 4" xfId="17269"/>
    <cellStyle name="Normal 6 2 3 4 2" xfId="17270"/>
    <cellStyle name="Normal 6 2 3 4 2 2" xfId="23698"/>
    <cellStyle name="Normal 6 2 3 4 3" xfId="17271"/>
    <cellStyle name="Normal 6 2 3 4 4" xfId="17272"/>
    <cellStyle name="Normal 6 2 3 5" xfId="17273"/>
    <cellStyle name="Normal 6 2 3 5 2" xfId="17274"/>
    <cellStyle name="Normal 6 2 3 5 2 2" xfId="23699"/>
    <cellStyle name="Normal 6 2 3 5 3" xfId="17275"/>
    <cellStyle name="Normal 6 2 3 6" xfId="17276"/>
    <cellStyle name="Normal 6 2 3 6 2" xfId="23700"/>
    <cellStyle name="Normal 6 2 3 7" xfId="17277"/>
    <cellStyle name="Normal 6 2 4" xfId="1115"/>
    <cellStyle name="Normal 6 2 4 2" xfId="17278"/>
    <cellStyle name="Normal 6 2 4 2 2" xfId="17279"/>
    <cellStyle name="Normal 6 2 4 2 2 2" xfId="17280"/>
    <cellStyle name="Normal 6 2 4 2 2 2 2" xfId="23701"/>
    <cellStyle name="Normal 6 2 4 2 2 3" xfId="17281"/>
    <cellStyle name="Normal 6 2 4 2 3" xfId="17282"/>
    <cellStyle name="Normal 6 2 4 2 3 2" xfId="17283"/>
    <cellStyle name="Normal 6 2 4 2 3 2 2" xfId="23702"/>
    <cellStyle name="Normal 6 2 4 2 3 3" xfId="17284"/>
    <cellStyle name="Normal 6 2 4 2 4" xfId="17285"/>
    <cellStyle name="Normal 6 2 4 2 4 2" xfId="23703"/>
    <cellStyle name="Normal 6 2 4 2 5" xfId="17286"/>
    <cellStyle name="Normal 6 2 4 3" xfId="17287"/>
    <cellStyle name="Normal 6 2 4 3 2" xfId="17288"/>
    <cellStyle name="Normal 6 2 4 3 2 2" xfId="23704"/>
    <cellStyle name="Normal 6 2 4 3 3" xfId="17289"/>
    <cellStyle name="Normal 6 2 4 4" xfId="17290"/>
    <cellStyle name="Normal 6 2 4 4 2" xfId="17291"/>
    <cellStyle name="Normal 6 2 4 4 2 2" xfId="23705"/>
    <cellStyle name="Normal 6 2 4 4 3" xfId="17292"/>
    <cellStyle name="Normal 6 2 4 5" xfId="17293"/>
    <cellStyle name="Normal 6 2 4 5 2" xfId="23706"/>
    <cellStyle name="Normal 6 2 4 6" xfId="17294"/>
    <cellStyle name="Normal 6 2 5" xfId="2045"/>
    <cellStyle name="Normal 6 2 5 2" xfId="17295"/>
    <cellStyle name="Normal 6 2 5 2 2" xfId="17296"/>
    <cellStyle name="Normal 6 2 5 2 2 2" xfId="23707"/>
    <cellStyle name="Normal 6 2 5 2 3" xfId="17297"/>
    <cellStyle name="Normal 6 2 5 3" xfId="17298"/>
    <cellStyle name="Normal 6 2 5 3 2" xfId="17299"/>
    <cellStyle name="Normal 6 2 5 3 2 2" xfId="23708"/>
    <cellStyle name="Normal 6 2 5 3 3" xfId="17300"/>
    <cellStyle name="Normal 6 2 5 4" xfId="17301"/>
    <cellStyle name="Normal 6 2 5 4 2" xfId="23709"/>
    <cellStyle name="Normal 6 2 5 5" xfId="17302"/>
    <cellStyle name="Normal 6 2 6" xfId="2046"/>
    <cellStyle name="Normal 6 2 6 2" xfId="17303"/>
    <cellStyle name="Normal 6 2 6 2 2" xfId="23710"/>
    <cellStyle name="Normal 6 2 6 3" xfId="17304"/>
    <cellStyle name="Normal 6 2 7" xfId="17305"/>
    <cellStyle name="Normal 6 2 7 2" xfId="17306"/>
    <cellStyle name="Normal 6 2 7 2 2" xfId="23711"/>
    <cellStyle name="Normal 6 2 7 3" xfId="17307"/>
    <cellStyle name="Normal 6 2 8" xfId="17308"/>
    <cellStyle name="Normal 6 2 8 2" xfId="23712"/>
    <cellStyle name="Normal 6 2 9" xfId="17309"/>
    <cellStyle name="Normal 6 3" xfId="1116"/>
    <cellStyle name="Normal 6 3 10" xfId="23713"/>
    <cellStyle name="Normal 6 3 2" xfId="1117"/>
    <cellStyle name="Normal 6 3 2 2" xfId="1118"/>
    <cellStyle name="Normal 6 3 2 2 2" xfId="17310"/>
    <cellStyle name="Normal 6 3 2 2 2 2" xfId="17311"/>
    <cellStyle name="Normal 6 3 2 2 2 2 2" xfId="17312"/>
    <cellStyle name="Normal 6 3 2 2 2 2 2 2" xfId="23714"/>
    <cellStyle name="Normal 6 3 2 2 2 2 3" xfId="17313"/>
    <cellStyle name="Normal 6 3 2 2 2 3" xfId="17314"/>
    <cellStyle name="Normal 6 3 2 2 2 3 2" xfId="17315"/>
    <cellStyle name="Normal 6 3 2 2 2 3 2 2" xfId="23715"/>
    <cellStyle name="Normal 6 3 2 2 2 3 3" xfId="17316"/>
    <cellStyle name="Normal 6 3 2 2 2 4" xfId="17317"/>
    <cellStyle name="Normal 6 3 2 2 2 4 2" xfId="23716"/>
    <cellStyle name="Normal 6 3 2 2 2 5" xfId="17318"/>
    <cellStyle name="Normal 6 3 2 2 3" xfId="17319"/>
    <cellStyle name="Normal 6 3 2 2 3 2" xfId="17320"/>
    <cellStyle name="Normal 6 3 2 2 3 2 2" xfId="23717"/>
    <cellStyle name="Normal 6 3 2 2 3 3" xfId="17321"/>
    <cellStyle name="Normal 6 3 2 2 4" xfId="17322"/>
    <cellStyle name="Normal 6 3 2 2 4 2" xfId="17323"/>
    <cellStyle name="Normal 6 3 2 2 4 2 2" xfId="23718"/>
    <cellStyle name="Normal 6 3 2 2 4 3" xfId="17324"/>
    <cellStyle name="Normal 6 3 2 2 5" xfId="17325"/>
    <cellStyle name="Normal 6 3 2 2 5 2" xfId="23719"/>
    <cellStyle name="Normal 6 3 2 2 6" xfId="17326"/>
    <cellStyle name="Normal 6 3 2 3" xfId="17327"/>
    <cellStyle name="Normal 6 3 2 3 2" xfId="17328"/>
    <cellStyle name="Normal 6 3 2 3 2 2" xfId="17329"/>
    <cellStyle name="Normal 6 3 2 3 2 2 2" xfId="23720"/>
    <cellStyle name="Normal 6 3 2 3 2 3" xfId="17330"/>
    <cellStyle name="Normal 6 3 2 3 3" xfId="17331"/>
    <cellStyle name="Normal 6 3 2 3 3 2" xfId="17332"/>
    <cellStyle name="Normal 6 3 2 3 3 2 2" xfId="23721"/>
    <cellStyle name="Normal 6 3 2 3 3 3" xfId="17333"/>
    <cellStyle name="Normal 6 3 2 3 4" xfId="17334"/>
    <cellStyle name="Normal 6 3 2 3 4 2" xfId="23722"/>
    <cellStyle name="Normal 6 3 2 3 5" xfId="17335"/>
    <cellStyle name="Normal 6 3 2 4" xfId="17336"/>
    <cellStyle name="Normal 6 3 2 4 2" xfId="17337"/>
    <cellStyle name="Normal 6 3 2 4 2 2" xfId="23723"/>
    <cellStyle name="Normal 6 3 2 4 3" xfId="17338"/>
    <cellStyle name="Normal 6 3 2 5" xfId="17339"/>
    <cellStyle name="Normal 6 3 2 5 2" xfId="17340"/>
    <cellStyle name="Normal 6 3 2 5 2 2" xfId="23724"/>
    <cellStyle name="Normal 6 3 2 5 3" xfId="17341"/>
    <cellStyle name="Normal 6 3 2 6" xfId="17342"/>
    <cellStyle name="Normal 6 3 2 6 2" xfId="23725"/>
    <cellStyle name="Normal 6 3 2 7" xfId="17343"/>
    <cellStyle name="Normal 6 3 2 8" xfId="23726"/>
    <cellStyle name="Normal 6 3 3" xfId="1119"/>
    <cellStyle name="Normal 6 3 3 2" xfId="17344"/>
    <cellStyle name="Normal 6 3 3 2 2" xfId="17345"/>
    <cellStyle name="Normal 6 3 3 2 2 2" xfId="17346"/>
    <cellStyle name="Normal 6 3 3 2 2 2 2" xfId="23727"/>
    <cellStyle name="Normal 6 3 3 2 2 3" xfId="17347"/>
    <cellStyle name="Normal 6 3 3 2 3" xfId="17348"/>
    <cellStyle name="Normal 6 3 3 2 3 2" xfId="17349"/>
    <cellStyle name="Normal 6 3 3 2 3 2 2" xfId="23728"/>
    <cellStyle name="Normal 6 3 3 2 3 3" xfId="17350"/>
    <cellStyle name="Normal 6 3 3 2 4" xfId="17351"/>
    <cellStyle name="Normal 6 3 3 2 4 2" xfId="23729"/>
    <cellStyle name="Normal 6 3 3 2 5" xfId="17352"/>
    <cellStyle name="Normal 6 3 3 3" xfId="17353"/>
    <cellStyle name="Normal 6 3 3 3 2" xfId="17354"/>
    <cellStyle name="Normal 6 3 3 3 2 2" xfId="23730"/>
    <cellStyle name="Normal 6 3 3 3 3" xfId="17355"/>
    <cellStyle name="Normal 6 3 3 4" xfId="17356"/>
    <cellStyle name="Normal 6 3 3 4 2" xfId="17357"/>
    <cellStyle name="Normal 6 3 3 4 2 2" xfId="23731"/>
    <cellStyle name="Normal 6 3 3 4 3" xfId="17358"/>
    <cellStyle name="Normal 6 3 3 5" xfId="17359"/>
    <cellStyle name="Normal 6 3 3 5 2" xfId="23732"/>
    <cellStyle name="Normal 6 3 3 6" xfId="17360"/>
    <cellStyle name="Normal 6 3 4" xfId="1120"/>
    <cellStyle name="Normal 6 3 4 2" xfId="17361"/>
    <cellStyle name="Normal 6 3 4 2 2" xfId="17362"/>
    <cellStyle name="Normal 6 3 4 2 2 2" xfId="23733"/>
    <cellStyle name="Normal 6 3 4 2 3" xfId="17363"/>
    <cellStyle name="Normal 6 3 4 3" xfId="17364"/>
    <cellStyle name="Normal 6 3 4 3 2" xfId="17365"/>
    <cellStyle name="Normal 6 3 4 3 2 2" xfId="23734"/>
    <cellStyle name="Normal 6 3 4 3 3" xfId="17366"/>
    <cellStyle name="Normal 6 3 4 4" xfId="17367"/>
    <cellStyle name="Normal 6 3 4 4 2" xfId="23735"/>
    <cellStyle name="Normal 6 3 4 5" xfId="17368"/>
    <cellStyle name="Normal 6 3 5" xfId="2047"/>
    <cellStyle name="Normal 6 3 5 2" xfId="17369"/>
    <cellStyle name="Normal 6 3 5 2 2" xfId="23736"/>
    <cellStyle name="Normal 6 3 5 3" xfId="17370"/>
    <cellStyle name="Normal 6 3 6" xfId="17371"/>
    <cellStyle name="Normal 6 3 6 2" xfId="17372"/>
    <cellStyle name="Normal 6 3 6 2 2" xfId="23737"/>
    <cellStyle name="Normal 6 3 6 3" xfId="17373"/>
    <cellStyle name="Normal 6 3 7" xfId="17374"/>
    <cellStyle name="Normal 6 3 7 2" xfId="23738"/>
    <cellStyle name="Normal 6 3 8" xfId="17375"/>
    <cellStyle name="Normal 6 3 8 2" xfId="23739"/>
    <cellStyle name="Normal 6 3 9" xfId="23740"/>
    <cellStyle name="Normal 6 4" xfId="1121"/>
    <cellStyle name="Normal 6 4 2" xfId="1122"/>
    <cellStyle name="Normal 6 4 2 2" xfId="17376"/>
    <cellStyle name="Normal 6 4 2 2 2" xfId="17377"/>
    <cellStyle name="Normal 6 4 2 2 2 2" xfId="17378"/>
    <cellStyle name="Normal 6 4 2 2 2 2 2" xfId="17379"/>
    <cellStyle name="Normal 6 4 2 2 2 2 2 2" xfId="23741"/>
    <cellStyle name="Normal 6 4 2 2 2 2 3" xfId="17380"/>
    <cellStyle name="Normal 6 4 2 2 2 3" xfId="17381"/>
    <cellStyle name="Normal 6 4 2 2 2 3 2" xfId="17382"/>
    <cellStyle name="Normal 6 4 2 2 2 3 2 2" xfId="23742"/>
    <cellStyle name="Normal 6 4 2 2 2 3 3" xfId="17383"/>
    <cellStyle name="Normal 6 4 2 2 2 4" xfId="17384"/>
    <cellStyle name="Normal 6 4 2 2 2 4 2" xfId="23743"/>
    <cellStyle name="Normal 6 4 2 2 2 5" xfId="17385"/>
    <cellStyle name="Normal 6 4 2 2 3" xfId="17386"/>
    <cellStyle name="Normal 6 4 2 2 3 2" xfId="17387"/>
    <cellStyle name="Normal 6 4 2 2 3 2 2" xfId="23744"/>
    <cellStyle name="Normal 6 4 2 2 3 3" xfId="17388"/>
    <cellStyle name="Normal 6 4 2 2 4" xfId="17389"/>
    <cellStyle name="Normal 6 4 2 2 4 2" xfId="17390"/>
    <cellStyle name="Normal 6 4 2 2 4 2 2" xfId="23745"/>
    <cellStyle name="Normal 6 4 2 2 4 3" xfId="17391"/>
    <cellStyle name="Normal 6 4 2 2 5" xfId="17392"/>
    <cellStyle name="Normal 6 4 2 2 5 2" xfId="23746"/>
    <cellStyle name="Normal 6 4 2 2 6" xfId="17393"/>
    <cellStyle name="Normal 6 4 2 3" xfId="17394"/>
    <cellStyle name="Normal 6 4 2 3 2" xfId="17395"/>
    <cellStyle name="Normal 6 4 2 3 2 2" xfId="17396"/>
    <cellStyle name="Normal 6 4 2 3 2 2 2" xfId="23747"/>
    <cellStyle name="Normal 6 4 2 3 2 3" xfId="17397"/>
    <cellStyle name="Normal 6 4 2 3 3" xfId="17398"/>
    <cellStyle name="Normal 6 4 2 3 3 2" xfId="17399"/>
    <cellStyle name="Normal 6 4 2 3 3 2 2" xfId="23748"/>
    <cellStyle name="Normal 6 4 2 3 3 3" xfId="17400"/>
    <cellStyle name="Normal 6 4 2 3 4" xfId="17401"/>
    <cellStyle name="Normal 6 4 2 3 4 2" xfId="23749"/>
    <cellStyle name="Normal 6 4 2 3 5" xfId="17402"/>
    <cellStyle name="Normal 6 4 2 4" xfId="17403"/>
    <cellStyle name="Normal 6 4 2 4 2" xfId="17404"/>
    <cellStyle name="Normal 6 4 2 4 2 2" xfId="23750"/>
    <cellStyle name="Normal 6 4 2 4 3" xfId="17405"/>
    <cellStyle name="Normal 6 4 2 5" xfId="17406"/>
    <cellStyle name="Normal 6 4 2 5 2" xfId="17407"/>
    <cellStyle name="Normal 6 4 2 5 2 2" xfId="23751"/>
    <cellStyle name="Normal 6 4 2 5 3" xfId="17408"/>
    <cellStyle name="Normal 6 4 2 6" xfId="17409"/>
    <cellStyle name="Normal 6 4 2 6 2" xfId="23752"/>
    <cellStyle name="Normal 6 4 2 7" xfId="17410"/>
    <cellStyle name="Normal 6 4 3" xfId="2048"/>
    <cellStyle name="Normal 6 4 3 2" xfId="17411"/>
    <cellStyle name="Normal 6 4 3 2 2" xfId="17412"/>
    <cellStyle name="Normal 6 4 3 2 2 2" xfId="17413"/>
    <cellStyle name="Normal 6 4 3 2 2 2 2" xfId="23753"/>
    <cellStyle name="Normal 6 4 3 2 2 3" xfId="17414"/>
    <cellStyle name="Normal 6 4 3 2 3" xfId="17415"/>
    <cellStyle name="Normal 6 4 3 2 3 2" xfId="17416"/>
    <cellStyle name="Normal 6 4 3 2 3 2 2" xfId="23754"/>
    <cellStyle name="Normal 6 4 3 2 3 3" xfId="17417"/>
    <cellStyle name="Normal 6 4 3 2 4" xfId="17418"/>
    <cellStyle name="Normal 6 4 3 2 4 2" xfId="23755"/>
    <cellStyle name="Normal 6 4 3 2 5" xfId="17419"/>
    <cellStyle name="Normal 6 4 3 3" xfId="17420"/>
    <cellStyle name="Normal 6 4 3 3 2" xfId="17421"/>
    <cellStyle name="Normal 6 4 3 3 2 2" xfId="23756"/>
    <cellStyle name="Normal 6 4 3 3 3" xfId="17422"/>
    <cellStyle name="Normal 6 4 3 4" xfId="17423"/>
    <cellStyle name="Normal 6 4 3 4 2" xfId="17424"/>
    <cellStyle name="Normal 6 4 3 4 2 2" xfId="23757"/>
    <cellStyle name="Normal 6 4 3 4 3" xfId="17425"/>
    <cellStyle name="Normal 6 4 3 5" xfId="17426"/>
    <cellStyle name="Normal 6 4 3 5 2" xfId="23758"/>
    <cellStyle name="Normal 6 4 3 6" xfId="17427"/>
    <cellStyle name="Normal 6 4 4" xfId="17428"/>
    <cellStyle name="Normal 6 4 4 2" xfId="17429"/>
    <cellStyle name="Normal 6 4 4 2 2" xfId="17430"/>
    <cellStyle name="Normal 6 4 4 2 2 2" xfId="23759"/>
    <cellStyle name="Normal 6 4 4 2 3" xfId="17431"/>
    <cellStyle name="Normal 6 4 4 3" xfId="17432"/>
    <cellStyle name="Normal 6 4 4 3 2" xfId="17433"/>
    <cellStyle name="Normal 6 4 4 3 2 2" xfId="23760"/>
    <cellStyle name="Normal 6 4 4 3 3" xfId="17434"/>
    <cellStyle name="Normal 6 4 4 4" xfId="17435"/>
    <cellStyle name="Normal 6 4 4 4 2" xfId="23761"/>
    <cellStyle name="Normal 6 4 4 5" xfId="17436"/>
    <cellStyle name="Normal 6 4 5" xfId="17437"/>
    <cellStyle name="Normal 6 4 5 2" xfId="17438"/>
    <cellStyle name="Normal 6 4 5 2 2" xfId="23762"/>
    <cellStyle name="Normal 6 4 5 3" xfId="17439"/>
    <cellStyle name="Normal 6 4 6" xfId="17440"/>
    <cellStyle name="Normal 6 4 6 2" xfId="17441"/>
    <cellStyle name="Normal 6 4 6 2 2" xfId="23763"/>
    <cellStyle name="Normal 6 4 6 3" xfId="17442"/>
    <cellStyle name="Normal 6 4 7" xfId="17443"/>
    <cellStyle name="Normal 6 4 7 2" xfId="23764"/>
    <cellStyle name="Normal 6 4 8" xfId="17444"/>
    <cellStyle name="Normal 6 4 9" xfId="23765"/>
    <cellStyle name="Normal 6 5" xfId="1123"/>
    <cellStyle name="Normal 6 5 2" xfId="2049"/>
    <cellStyle name="Normal 6 5 2 2" xfId="17445"/>
    <cellStyle name="Normal 6 5 2 2 2" xfId="17446"/>
    <cellStyle name="Normal 6 5 2 2 2 2" xfId="17447"/>
    <cellStyle name="Normal 6 5 2 2 2 2 2" xfId="23766"/>
    <cellStyle name="Normal 6 5 2 2 2 3" xfId="17448"/>
    <cellStyle name="Normal 6 5 2 2 3" xfId="17449"/>
    <cellStyle name="Normal 6 5 2 2 3 2" xfId="17450"/>
    <cellStyle name="Normal 6 5 2 2 3 2 2" xfId="23767"/>
    <cellStyle name="Normal 6 5 2 2 3 3" xfId="17451"/>
    <cellStyle name="Normal 6 5 2 2 4" xfId="17452"/>
    <cellStyle name="Normal 6 5 2 2 4 2" xfId="23768"/>
    <cellStyle name="Normal 6 5 2 2 5" xfId="17453"/>
    <cellStyle name="Normal 6 5 2 3" xfId="17454"/>
    <cellStyle name="Normal 6 5 2 3 2" xfId="17455"/>
    <cellStyle name="Normal 6 5 2 3 2 2" xfId="23769"/>
    <cellStyle name="Normal 6 5 2 3 3" xfId="17456"/>
    <cellStyle name="Normal 6 5 2 4" xfId="17457"/>
    <cellStyle name="Normal 6 5 2 4 2" xfId="17458"/>
    <cellStyle name="Normal 6 5 2 4 2 2" xfId="23770"/>
    <cellStyle name="Normal 6 5 2 4 3" xfId="17459"/>
    <cellStyle name="Normal 6 5 2 5" xfId="17460"/>
    <cellStyle name="Normal 6 5 2 5 2" xfId="23771"/>
    <cellStyle name="Normal 6 5 2 6" xfId="17461"/>
    <cellStyle name="Normal 6 5 3" xfId="2050"/>
    <cellStyle name="Normal 6 5 3 2" xfId="17462"/>
    <cellStyle name="Normal 6 5 3 2 2" xfId="17463"/>
    <cellStyle name="Normal 6 5 3 2 2 2" xfId="23772"/>
    <cellStyle name="Normal 6 5 3 2 3" xfId="17464"/>
    <cellStyle name="Normal 6 5 3 3" xfId="17465"/>
    <cellStyle name="Normal 6 5 3 3 2" xfId="17466"/>
    <cellStyle name="Normal 6 5 3 3 2 2" xfId="23773"/>
    <cellStyle name="Normal 6 5 3 3 3" xfId="17467"/>
    <cellStyle name="Normal 6 5 3 4" xfId="17468"/>
    <cellStyle name="Normal 6 5 3 4 2" xfId="23774"/>
    <cellStyle name="Normal 6 5 3 5" xfId="17469"/>
    <cellStyle name="Normal 6 5 4" xfId="17470"/>
    <cellStyle name="Normal 6 5 4 2" xfId="17471"/>
    <cellStyle name="Normal 6 5 4 2 2" xfId="23775"/>
    <cellStyle name="Normal 6 5 4 3" xfId="17472"/>
    <cellStyle name="Normal 6 5 5" xfId="17473"/>
    <cellStyle name="Normal 6 5 5 2" xfId="17474"/>
    <cellStyle name="Normal 6 5 5 2 2" xfId="23776"/>
    <cellStyle name="Normal 6 5 5 3" xfId="17475"/>
    <cellStyle name="Normal 6 5 6" xfId="17476"/>
    <cellStyle name="Normal 6 5 6 2" xfId="23777"/>
    <cellStyle name="Normal 6 5 7" xfId="17477"/>
    <cellStyle name="Normal 6 6" xfId="2051"/>
    <cellStyle name="Normal 6 6 2" xfId="17478"/>
    <cellStyle name="Normal 6 6 2 2" xfId="17479"/>
    <cellStyle name="Normal 6 6 2 2 2" xfId="17480"/>
    <cellStyle name="Normal 6 6 2 2 2 2" xfId="23778"/>
    <cellStyle name="Normal 6 6 2 2 3" xfId="17481"/>
    <cellStyle name="Normal 6 6 2 3" xfId="17482"/>
    <cellStyle name="Normal 6 6 2 3 2" xfId="17483"/>
    <cellStyle name="Normal 6 6 2 3 2 2" xfId="23779"/>
    <cellStyle name="Normal 6 6 2 3 3" xfId="17484"/>
    <cellStyle name="Normal 6 6 2 4" xfId="17485"/>
    <cellStyle name="Normal 6 6 2 4 2" xfId="23780"/>
    <cellStyle name="Normal 6 6 2 5" xfId="17486"/>
    <cellStyle name="Normal 6 6 3" xfId="17487"/>
    <cellStyle name="Normal 6 6 3 2" xfId="17488"/>
    <cellStyle name="Normal 6 6 3 2 2" xfId="23781"/>
    <cellStyle name="Normal 6 6 3 3" xfId="17489"/>
    <cellStyle name="Normal 6 6 4" xfId="17490"/>
    <cellStyle name="Normal 6 6 4 2" xfId="17491"/>
    <cellStyle name="Normal 6 6 4 2 2" xfId="23782"/>
    <cellStyle name="Normal 6 6 4 3" xfId="17492"/>
    <cellStyle name="Normal 6 6 5" xfId="17493"/>
    <cellStyle name="Normal 6 6 5 2" xfId="23783"/>
    <cellStyle name="Normal 6 6 6" xfId="17494"/>
    <cellStyle name="Normal 6 6 7" xfId="17495"/>
    <cellStyle name="Normal 6 7" xfId="2052"/>
    <cellStyle name="Normal 6 7 2" xfId="17496"/>
    <cellStyle name="Normal 6 7 2 2" xfId="17497"/>
    <cellStyle name="Normal 6 7 2 2 2" xfId="23784"/>
    <cellStyle name="Normal 6 7 2 3" xfId="17498"/>
    <cellStyle name="Normal 6 7 3" xfId="17499"/>
    <cellStyle name="Normal 6 7 3 2" xfId="17500"/>
    <cellStyle name="Normal 6 7 3 2 2" xfId="23785"/>
    <cellStyle name="Normal 6 7 3 3" xfId="17501"/>
    <cellStyle name="Normal 6 7 4" xfId="17502"/>
    <cellStyle name="Normal 6 7 4 2" xfId="23786"/>
    <cellStyle name="Normal 6 7 5" xfId="17503"/>
    <cellStyle name="Normal 6 8" xfId="2053"/>
    <cellStyle name="Normal 6 8 2" xfId="17504"/>
    <cellStyle name="Normal 6 8 2 2" xfId="23787"/>
    <cellStyle name="Normal 6 8 3" xfId="17505"/>
    <cellStyle name="Normal 6 9" xfId="2054"/>
    <cellStyle name="Normal 6 9 2" xfId="17506"/>
    <cellStyle name="Normal 6 9 2 2" xfId="23788"/>
    <cellStyle name="Normal 6 9 3" xfId="17507"/>
    <cellStyle name="Normal 6_2112 Salary" xfId="17508"/>
    <cellStyle name="Normal 60" xfId="321"/>
    <cellStyle name="Normal 60 2" xfId="1124"/>
    <cellStyle name="Normal 60 2 2" xfId="17509"/>
    <cellStyle name="Normal 60 2 2 2" xfId="17510"/>
    <cellStyle name="Normal 60 2 2 2 2" xfId="17511"/>
    <cellStyle name="Normal 60 2 2 2 2 2" xfId="17512"/>
    <cellStyle name="Normal 60 2 2 2 2 2 2" xfId="23789"/>
    <cellStyle name="Normal 60 2 2 2 2 3" xfId="17513"/>
    <cellStyle name="Normal 60 2 2 2 3" xfId="17514"/>
    <cellStyle name="Normal 60 2 2 2 3 2" xfId="17515"/>
    <cellStyle name="Normal 60 2 2 2 3 2 2" xfId="23790"/>
    <cellStyle name="Normal 60 2 2 2 3 3" xfId="17516"/>
    <cellStyle name="Normal 60 2 2 2 4" xfId="17517"/>
    <cellStyle name="Normal 60 2 2 2 4 2" xfId="23791"/>
    <cellStyle name="Normal 60 2 2 2 5" xfId="17518"/>
    <cellStyle name="Normal 60 2 2 3" xfId="17519"/>
    <cellStyle name="Normal 60 2 2 3 2" xfId="17520"/>
    <cellStyle name="Normal 60 2 2 3 2 2" xfId="23792"/>
    <cellStyle name="Normal 60 2 2 3 3" xfId="17521"/>
    <cellStyle name="Normal 60 2 2 4" xfId="17522"/>
    <cellStyle name="Normal 60 2 2 4 2" xfId="17523"/>
    <cellStyle name="Normal 60 2 2 4 2 2" xfId="23793"/>
    <cellStyle name="Normal 60 2 2 4 3" xfId="17524"/>
    <cellStyle name="Normal 60 2 2 5" xfId="17525"/>
    <cellStyle name="Normal 60 2 2 5 2" xfId="23794"/>
    <cellStyle name="Normal 60 2 2 6" xfId="17526"/>
    <cellStyle name="Normal 60 2 3" xfId="17527"/>
    <cellStyle name="Normal 60 2 3 2" xfId="17528"/>
    <cellStyle name="Normal 60 2 3 2 2" xfId="17529"/>
    <cellStyle name="Normal 60 2 3 2 2 2" xfId="23795"/>
    <cellStyle name="Normal 60 2 3 2 3" xfId="17530"/>
    <cellStyle name="Normal 60 2 3 3" xfId="17531"/>
    <cellStyle name="Normal 60 2 3 3 2" xfId="17532"/>
    <cellStyle name="Normal 60 2 3 3 2 2" xfId="23796"/>
    <cellStyle name="Normal 60 2 3 3 3" xfId="17533"/>
    <cellStyle name="Normal 60 2 3 4" xfId="17534"/>
    <cellStyle name="Normal 60 2 3 4 2" xfId="23797"/>
    <cellStyle name="Normal 60 2 3 5" xfId="17535"/>
    <cellStyle name="Normal 60 2 4" xfId="17536"/>
    <cellStyle name="Normal 60 2 4 2" xfId="17537"/>
    <cellStyle name="Normal 60 2 4 2 2" xfId="23798"/>
    <cellStyle name="Normal 60 2 4 3" xfId="17538"/>
    <cellStyle name="Normal 60 2 5" xfId="17539"/>
    <cellStyle name="Normal 60 2 5 2" xfId="17540"/>
    <cellStyle name="Normal 60 2 5 2 2" xfId="23799"/>
    <cellStyle name="Normal 60 2 5 3" xfId="17541"/>
    <cellStyle name="Normal 60 2 6" xfId="17542"/>
    <cellStyle name="Normal 60 2 6 2" xfId="23800"/>
    <cellStyle name="Normal 60 2 7" xfId="17543"/>
    <cellStyle name="Normal 60 3" xfId="1125"/>
    <cellStyle name="Normal 60 3 2" xfId="17544"/>
    <cellStyle name="Normal 60 3 2 2" xfId="17545"/>
    <cellStyle name="Normal 60 3 2 2 2" xfId="17546"/>
    <cellStyle name="Normal 60 3 2 2 2 2" xfId="23801"/>
    <cellStyle name="Normal 60 3 2 2 3" xfId="17547"/>
    <cellStyle name="Normal 60 3 2 3" xfId="17548"/>
    <cellStyle name="Normal 60 3 2 3 2" xfId="17549"/>
    <cellStyle name="Normal 60 3 2 3 2 2" xfId="23802"/>
    <cellStyle name="Normal 60 3 2 3 3" xfId="17550"/>
    <cellStyle name="Normal 60 3 2 4" xfId="17551"/>
    <cellStyle name="Normal 60 3 2 4 2" xfId="23803"/>
    <cellStyle name="Normal 60 3 2 5" xfId="17552"/>
    <cellStyle name="Normal 60 3 3" xfId="17553"/>
    <cellStyle name="Normal 60 3 3 2" xfId="17554"/>
    <cellStyle name="Normal 60 3 3 2 2" xfId="23804"/>
    <cellStyle name="Normal 60 3 3 3" xfId="17555"/>
    <cellStyle name="Normal 60 3 4" xfId="17556"/>
    <cellStyle name="Normal 60 3 4 2" xfId="17557"/>
    <cellStyle name="Normal 60 3 4 2 2" xfId="23805"/>
    <cellStyle name="Normal 60 3 4 3" xfId="17558"/>
    <cellStyle name="Normal 60 3 5" xfId="17559"/>
    <cellStyle name="Normal 60 3 5 2" xfId="23806"/>
    <cellStyle name="Normal 60 3 6" xfId="17560"/>
    <cellStyle name="Normal 60 4" xfId="17561"/>
    <cellStyle name="Normal 60 4 2" xfId="17562"/>
    <cellStyle name="Normal 60 4 2 2" xfId="17563"/>
    <cellStyle name="Normal 60 4 2 2 2" xfId="23807"/>
    <cellStyle name="Normal 60 4 2 3" xfId="17564"/>
    <cellStyle name="Normal 60 4 3" xfId="17565"/>
    <cellStyle name="Normal 60 4 3 2" xfId="17566"/>
    <cellStyle name="Normal 60 4 3 2 2" xfId="23808"/>
    <cellStyle name="Normal 60 4 3 3" xfId="17567"/>
    <cellStyle name="Normal 60 4 4" xfId="17568"/>
    <cellStyle name="Normal 60 4 4 2" xfId="23809"/>
    <cellStyle name="Normal 60 4 5" xfId="17569"/>
    <cellStyle name="Normal 60 5" xfId="17570"/>
    <cellStyle name="Normal 60 5 2" xfId="17571"/>
    <cellStyle name="Normal 60 5 2 2" xfId="23810"/>
    <cellStyle name="Normal 60 5 3" xfId="17572"/>
    <cellStyle name="Normal 60 6" xfId="17573"/>
    <cellStyle name="Normal 60 6 2" xfId="17574"/>
    <cellStyle name="Normal 60 6 2 2" xfId="23811"/>
    <cellStyle name="Normal 60 6 3" xfId="17575"/>
    <cellStyle name="Normal 60 7" xfId="17576"/>
    <cellStyle name="Normal 60 7 2" xfId="23812"/>
    <cellStyle name="Normal 60 8" xfId="17577"/>
    <cellStyle name="Normal 60 9" xfId="23813"/>
    <cellStyle name="Normal 61" xfId="322"/>
    <cellStyle name="Normal 61 2" xfId="1126"/>
    <cellStyle name="Normal 61 2 2" xfId="17578"/>
    <cellStyle name="Normal 61 2 2 2" xfId="17579"/>
    <cellStyle name="Normal 61 2 2 2 2" xfId="17580"/>
    <cellStyle name="Normal 61 2 2 2 2 2" xfId="17581"/>
    <cellStyle name="Normal 61 2 2 2 2 2 2" xfId="23814"/>
    <cellStyle name="Normal 61 2 2 2 2 3" xfId="17582"/>
    <cellStyle name="Normal 61 2 2 2 3" xfId="17583"/>
    <cellStyle name="Normal 61 2 2 2 3 2" xfId="17584"/>
    <cellStyle name="Normal 61 2 2 2 3 2 2" xfId="23815"/>
    <cellStyle name="Normal 61 2 2 2 3 3" xfId="17585"/>
    <cellStyle name="Normal 61 2 2 2 4" xfId="17586"/>
    <cellStyle name="Normal 61 2 2 2 4 2" xfId="23816"/>
    <cellStyle name="Normal 61 2 2 2 5" xfId="17587"/>
    <cellStyle name="Normal 61 2 2 3" xfId="17588"/>
    <cellStyle name="Normal 61 2 2 3 2" xfId="17589"/>
    <cellStyle name="Normal 61 2 2 3 2 2" xfId="23817"/>
    <cellStyle name="Normal 61 2 2 3 3" xfId="17590"/>
    <cellStyle name="Normal 61 2 2 4" xfId="17591"/>
    <cellStyle name="Normal 61 2 2 4 2" xfId="17592"/>
    <cellStyle name="Normal 61 2 2 4 2 2" xfId="23818"/>
    <cellStyle name="Normal 61 2 2 4 3" xfId="17593"/>
    <cellStyle name="Normal 61 2 2 5" xfId="17594"/>
    <cellStyle name="Normal 61 2 2 5 2" xfId="23819"/>
    <cellStyle name="Normal 61 2 2 6" xfId="17595"/>
    <cellStyle name="Normal 61 2 3" xfId="17596"/>
    <cellStyle name="Normal 61 2 3 2" xfId="17597"/>
    <cellStyle name="Normal 61 2 3 2 2" xfId="17598"/>
    <cellStyle name="Normal 61 2 3 2 2 2" xfId="23820"/>
    <cellStyle name="Normal 61 2 3 2 3" xfId="17599"/>
    <cellStyle name="Normal 61 2 3 3" xfId="17600"/>
    <cellStyle name="Normal 61 2 3 3 2" xfId="17601"/>
    <cellStyle name="Normal 61 2 3 3 2 2" xfId="23821"/>
    <cellStyle name="Normal 61 2 3 3 3" xfId="17602"/>
    <cellStyle name="Normal 61 2 3 4" xfId="17603"/>
    <cellStyle name="Normal 61 2 3 4 2" xfId="23822"/>
    <cellStyle name="Normal 61 2 3 5" xfId="17604"/>
    <cellStyle name="Normal 61 2 4" xfId="17605"/>
    <cellStyle name="Normal 61 2 4 2" xfId="17606"/>
    <cellStyle name="Normal 61 2 4 2 2" xfId="23823"/>
    <cellStyle name="Normal 61 2 4 3" xfId="17607"/>
    <cellStyle name="Normal 61 2 5" xfId="17608"/>
    <cellStyle name="Normal 61 2 5 2" xfId="17609"/>
    <cellStyle name="Normal 61 2 5 2 2" xfId="23824"/>
    <cellStyle name="Normal 61 2 5 3" xfId="17610"/>
    <cellStyle name="Normal 61 2 6" xfId="17611"/>
    <cellStyle name="Normal 61 2 6 2" xfId="23825"/>
    <cellStyle name="Normal 61 2 7" xfId="17612"/>
    <cellStyle name="Normal 61 3" xfId="1127"/>
    <cellStyle name="Normal 61 3 2" xfId="17613"/>
    <cellStyle name="Normal 61 3 2 2" xfId="17614"/>
    <cellStyle name="Normal 61 3 2 2 2" xfId="17615"/>
    <cellStyle name="Normal 61 3 2 2 2 2" xfId="23826"/>
    <cellStyle name="Normal 61 3 2 2 3" xfId="17616"/>
    <cellStyle name="Normal 61 3 2 3" xfId="17617"/>
    <cellStyle name="Normal 61 3 2 3 2" xfId="17618"/>
    <cellStyle name="Normal 61 3 2 3 2 2" xfId="23827"/>
    <cellStyle name="Normal 61 3 2 3 3" xfId="17619"/>
    <cellStyle name="Normal 61 3 2 4" xfId="17620"/>
    <cellStyle name="Normal 61 3 2 4 2" xfId="23828"/>
    <cellStyle name="Normal 61 3 2 5" xfId="17621"/>
    <cellStyle name="Normal 61 3 3" xfId="17622"/>
    <cellStyle name="Normal 61 3 3 2" xfId="17623"/>
    <cellStyle name="Normal 61 3 3 2 2" xfId="23829"/>
    <cellStyle name="Normal 61 3 3 3" xfId="17624"/>
    <cellStyle name="Normal 61 3 4" xfId="17625"/>
    <cellStyle name="Normal 61 3 4 2" xfId="17626"/>
    <cellStyle name="Normal 61 3 4 2 2" xfId="23830"/>
    <cellStyle name="Normal 61 3 4 3" xfId="17627"/>
    <cellStyle name="Normal 61 3 5" xfId="17628"/>
    <cellStyle name="Normal 61 3 5 2" xfId="23831"/>
    <cellStyle name="Normal 61 3 6" xfId="17629"/>
    <cellStyle name="Normal 61 4" xfId="17630"/>
    <cellStyle name="Normal 61 4 2" xfId="17631"/>
    <cellStyle name="Normal 61 4 2 2" xfId="17632"/>
    <cellStyle name="Normal 61 4 2 2 2" xfId="23832"/>
    <cellStyle name="Normal 61 4 2 3" xfId="17633"/>
    <cellStyle name="Normal 61 4 3" xfId="17634"/>
    <cellStyle name="Normal 61 4 3 2" xfId="17635"/>
    <cellStyle name="Normal 61 4 3 2 2" xfId="23833"/>
    <cellStyle name="Normal 61 4 3 3" xfId="17636"/>
    <cellStyle name="Normal 61 4 4" xfId="17637"/>
    <cellStyle name="Normal 61 4 4 2" xfId="23834"/>
    <cellStyle name="Normal 61 4 5" xfId="17638"/>
    <cellStyle name="Normal 61 5" xfId="17639"/>
    <cellStyle name="Normal 61 5 2" xfId="17640"/>
    <cellStyle name="Normal 61 5 2 2" xfId="23835"/>
    <cellStyle name="Normal 61 5 3" xfId="17641"/>
    <cellStyle name="Normal 61 6" xfId="17642"/>
    <cellStyle name="Normal 61 6 2" xfId="17643"/>
    <cellStyle name="Normal 61 6 2 2" xfId="23836"/>
    <cellStyle name="Normal 61 6 3" xfId="17644"/>
    <cellStyle name="Normal 61 7" xfId="17645"/>
    <cellStyle name="Normal 61 7 2" xfId="23837"/>
    <cellStyle name="Normal 61 8" xfId="17646"/>
    <cellStyle name="Normal 61 9" xfId="23838"/>
    <cellStyle name="Normal 62" xfId="323"/>
    <cellStyle name="Normal 62 2" xfId="1128"/>
    <cellStyle name="Normal 62 2 2" xfId="17647"/>
    <cellStyle name="Normal 62 2 2 2" xfId="17648"/>
    <cellStyle name="Normal 62 2 2 2 2" xfId="17649"/>
    <cellStyle name="Normal 62 2 2 2 2 2" xfId="17650"/>
    <cellStyle name="Normal 62 2 2 2 2 2 2" xfId="23839"/>
    <cellStyle name="Normal 62 2 2 2 2 3" xfId="17651"/>
    <cellStyle name="Normal 62 2 2 2 3" xfId="17652"/>
    <cellStyle name="Normal 62 2 2 2 3 2" xfId="17653"/>
    <cellStyle name="Normal 62 2 2 2 3 2 2" xfId="23840"/>
    <cellStyle name="Normal 62 2 2 2 3 3" xfId="17654"/>
    <cellStyle name="Normal 62 2 2 2 4" xfId="17655"/>
    <cellStyle name="Normal 62 2 2 2 4 2" xfId="23841"/>
    <cellStyle name="Normal 62 2 2 2 5" xfId="17656"/>
    <cellStyle name="Normal 62 2 2 3" xfId="17657"/>
    <cellStyle name="Normal 62 2 2 3 2" xfId="17658"/>
    <cellStyle name="Normal 62 2 2 3 2 2" xfId="23842"/>
    <cellStyle name="Normal 62 2 2 3 3" xfId="17659"/>
    <cellStyle name="Normal 62 2 2 4" xfId="17660"/>
    <cellStyle name="Normal 62 2 2 4 2" xfId="17661"/>
    <cellStyle name="Normal 62 2 2 4 2 2" xfId="23843"/>
    <cellStyle name="Normal 62 2 2 4 3" xfId="17662"/>
    <cellStyle name="Normal 62 2 2 5" xfId="17663"/>
    <cellStyle name="Normal 62 2 2 5 2" xfId="23844"/>
    <cellStyle name="Normal 62 2 2 6" xfId="17664"/>
    <cellStyle name="Normal 62 2 3" xfId="17665"/>
    <cellStyle name="Normal 62 2 3 2" xfId="17666"/>
    <cellStyle name="Normal 62 2 3 2 2" xfId="17667"/>
    <cellStyle name="Normal 62 2 3 2 2 2" xfId="23845"/>
    <cellStyle name="Normal 62 2 3 2 3" xfId="17668"/>
    <cellStyle name="Normal 62 2 3 3" xfId="17669"/>
    <cellStyle name="Normal 62 2 3 3 2" xfId="17670"/>
    <cellStyle name="Normal 62 2 3 3 2 2" xfId="23846"/>
    <cellStyle name="Normal 62 2 3 3 3" xfId="17671"/>
    <cellStyle name="Normal 62 2 3 4" xfId="17672"/>
    <cellStyle name="Normal 62 2 3 4 2" xfId="23847"/>
    <cellStyle name="Normal 62 2 3 5" xfId="17673"/>
    <cellStyle name="Normal 62 2 4" xfId="17674"/>
    <cellStyle name="Normal 62 2 4 2" xfId="17675"/>
    <cellStyle name="Normal 62 2 4 2 2" xfId="23848"/>
    <cellStyle name="Normal 62 2 4 3" xfId="17676"/>
    <cellStyle name="Normal 62 2 5" xfId="17677"/>
    <cellStyle name="Normal 62 2 5 2" xfId="17678"/>
    <cellStyle name="Normal 62 2 5 2 2" xfId="23849"/>
    <cellStyle name="Normal 62 2 5 3" xfId="17679"/>
    <cellStyle name="Normal 62 2 6" xfId="17680"/>
    <cellStyle name="Normal 62 2 6 2" xfId="23850"/>
    <cellStyle name="Normal 62 2 7" xfId="17681"/>
    <cellStyle name="Normal 62 3" xfId="1129"/>
    <cellStyle name="Normal 62 3 2" xfId="17682"/>
    <cellStyle name="Normal 62 3 2 2" xfId="17683"/>
    <cellStyle name="Normal 62 3 2 2 2" xfId="17684"/>
    <cellStyle name="Normal 62 3 2 2 2 2" xfId="23851"/>
    <cellStyle name="Normal 62 3 2 2 3" xfId="17685"/>
    <cellStyle name="Normal 62 3 2 3" xfId="17686"/>
    <cellStyle name="Normal 62 3 2 3 2" xfId="17687"/>
    <cellStyle name="Normal 62 3 2 3 2 2" xfId="23852"/>
    <cellStyle name="Normal 62 3 2 3 3" xfId="17688"/>
    <cellStyle name="Normal 62 3 2 4" xfId="17689"/>
    <cellStyle name="Normal 62 3 2 4 2" xfId="23853"/>
    <cellStyle name="Normal 62 3 2 5" xfId="17690"/>
    <cellStyle name="Normal 62 3 3" xfId="17691"/>
    <cellStyle name="Normal 62 3 3 2" xfId="17692"/>
    <cellStyle name="Normal 62 3 3 2 2" xfId="23854"/>
    <cellStyle name="Normal 62 3 3 3" xfId="17693"/>
    <cellStyle name="Normal 62 3 4" xfId="17694"/>
    <cellStyle name="Normal 62 3 4 2" xfId="17695"/>
    <cellStyle name="Normal 62 3 4 2 2" xfId="23855"/>
    <cellStyle name="Normal 62 3 4 3" xfId="17696"/>
    <cellStyle name="Normal 62 3 5" xfId="17697"/>
    <cellStyle name="Normal 62 3 5 2" xfId="23856"/>
    <cellStyle name="Normal 62 3 6" xfId="17698"/>
    <cellStyle name="Normal 62 4" xfId="17699"/>
    <cellStyle name="Normal 62 4 2" xfId="17700"/>
    <cellStyle name="Normal 62 4 2 2" xfId="17701"/>
    <cellStyle name="Normal 62 4 2 2 2" xfId="23857"/>
    <cellStyle name="Normal 62 4 2 3" xfId="17702"/>
    <cellStyle name="Normal 62 4 3" xfId="17703"/>
    <cellStyle name="Normal 62 4 3 2" xfId="17704"/>
    <cellStyle name="Normal 62 4 3 2 2" xfId="23858"/>
    <cellStyle name="Normal 62 4 3 3" xfId="17705"/>
    <cellStyle name="Normal 62 4 4" xfId="17706"/>
    <cellStyle name="Normal 62 4 4 2" xfId="23859"/>
    <cellStyle name="Normal 62 4 5" xfId="17707"/>
    <cellStyle name="Normal 62 5" xfId="17708"/>
    <cellStyle name="Normal 62 5 2" xfId="17709"/>
    <cellStyle name="Normal 62 5 2 2" xfId="23860"/>
    <cellStyle name="Normal 62 5 3" xfId="17710"/>
    <cellStyle name="Normal 62 6" xfId="17711"/>
    <cellStyle name="Normal 62 6 2" xfId="17712"/>
    <cellStyle name="Normal 62 6 2 2" xfId="23861"/>
    <cellStyle name="Normal 62 6 3" xfId="17713"/>
    <cellStyle name="Normal 62 7" xfId="17714"/>
    <cellStyle name="Normal 62 7 2" xfId="23862"/>
    <cellStyle name="Normal 62 8" xfId="17715"/>
    <cellStyle name="Normal 62 9" xfId="23863"/>
    <cellStyle name="Normal 63" xfId="324"/>
    <cellStyle name="Normal 63 2" xfId="1130"/>
    <cellStyle name="Normal 63 2 2" xfId="17716"/>
    <cellStyle name="Normal 63 2 2 2" xfId="17717"/>
    <cellStyle name="Normal 63 2 2 2 2" xfId="17718"/>
    <cellStyle name="Normal 63 2 2 2 2 2" xfId="17719"/>
    <cellStyle name="Normal 63 2 2 2 2 2 2" xfId="23864"/>
    <cellStyle name="Normal 63 2 2 2 2 3" xfId="17720"/>
    <cellStyle name="Normal 63 2 2 2 3" xfId="17721"/>
    <cellStyle name="Normal 63 2 2 2 3 2" xfId="17722"/>
    <cellStyle name="Normal 63 2 2 2 3 2 2" xfId="23865"/>
    <cellStyle name="Normal 63 2 2 2 3 3" xfId="17723"/>
    <cellStyle name="Normal 63 2 2 2 4" xfId="17724"/>
    <cellStyle name="Normal 63 2 2 2 4 2" xfId="23866"/>
    <cellStyle name="Normal 63 2 2 2 5" xfId="17725"/>
    <cellStyle name="Normal 63 2 2 3" xfId="17726"/>
    <cellStyle name="Normal 63 2 2 3 2" xfId="17727"/>
    <cellStyle name="Normal 63 2 2 3 2 2" xfId="23867"/>
    <cellStyle name="Normal 63 2 2 3 3" xfId="17728"/>
    <cellStyle name="Normal 63 2 2 4" xfId="17729"/>
    <cellStyle name="Normal 63 2 2 4 2" xfId="17730"/>
    <cellStyle name="Normal 63 2 2 4 2 2" xfId="23868"/>
    <cellStyle name="Normal 63 2 2 4 3" xfId="17731"/>
    <cellStyle name="Normal 63 2 2 5" xfId="17732"/>
    <cellStyle name="Normal 63 2 2 5 2" xfId="23869"/>
    <cellStyle name="Normal 63 2 2 6" xfId="17733"/>
    <cellStyle name="Normal 63 2 3" xfId="17734"/>
    <cellStyle name="Normal 63 2 3 2" xfId="17735"/>
    <cellStyle name="Normal 63 2 3 2 2" xfId="17736"/>
    <cellStyle name="Normal 63 2 3 2 2 2" xfId="23870"/>
    <cellStyle name="Normal 63 2 3 2 3" xfId="17737"/>
    <cellStyle name="Normal 63 2 3 3" xfId="17738"/>
    <cellStyle name="Normal 63 2 3 3 2" xfId="17739"/>
    <cellStyle name="Normal 63 2 3 3 2 2" xfId="23871"/>
    <cellStyle name="Normal 63 2 3 3 3" xfId="17740"/>
    <cellStyle name="Normal 63 2 3 4" xfId="17741"/>
    <cellStyle name="Normal 63 2 3 4 2" xfId="23872"/>
    <cellStyle name="Normal 63 2 3 5" xfId="17742"/>
    <cellStyle name="Normal 63 2 4" xfId="17743"/>
    <cellStyle name="Normal 63 2 4 2" xfId="17744"/>
    <cellStyle name="Normal 63 2 4 2 2" xfId="23873"/>
    <cellStyle name="Normal 63 2 4 3" xfId="17745"/>
    <cellStyle name="Normal 63 2 5" xfId="17746"/>
    <cellStyle name="Normal 63 2 5 2" xfId="17747"/>
    <cellStyle name="Normal 63 2 5 2 2" xfId="23874"/>
    <cellStyle name="Normal 63 2 5 3" xfId="17748"/>
    <cellStyle name="Normal 63 2 6" xfId="17749"/>
    <cellStyle name="Normal 63 2 6 2" xfId="23875"/>
    <cellStyle name="Normal 63 2 7" xfId="17750"/>
    <cellStyle name="Normal 63 3" xfId="1131"/>
    <cellStyle name="Normal 63 3 2" xfId="17751"/>
    <cellStyle name="Normal 63 3 2 2" xfId="17752"/>
    <cellStyle name="Normal 63 3 2 2 2" xfId="17753"/>
    <cellStyle name="Normal 63 3 2 2 2 2" xfId="23876"/>
    <cellStyle name="Normal 63 3 2 2 3" xfId="17754"/>
    <cellStyle name="Normal 63 3 2 3" xfId="17755"/>
    <cellStyle name="Normal 63 3 2 3 2" xfId="17756"/>
    <cellStyle name="Normal 63 3 2 3 2 2" xfId="23877"/>
    <cellStyle name="Normal 63 3 2 3 3" xfId="17757"/>
    <cellStyle name="Normal 63 3 2 4" xfId="17758"/>
    <cellStyle name="Normal 63 3 2 4 2" xfId="23878"/>
    <cellStyle name="Normal 63 3 2 5" xfId="17759"/>
    <cellStyle name="Normal 63 3 3" xfId="17760"/>
    <cellStyle name="Normal 63 3 3 2" xfId="17761"/>
    <cellStyle name="Normal 63 3 3 2 2" xfId="23879"/>
    <cellStyle name="Normal 63 3 3 3" xfId="17762"/>
    <cellStyle name="Normal 63 3 4" xfId="17763"/>
    <cellStyle name="Normal 63 3 4 2" xfId="17764"/>
    <cellStyle name="Normal 63 3 4 2 2" xfId="23880"/>
    <cellStyle name="Normal 63 3 4 3" xfId="17765"/>
    <cellStyle name="Normal 63 3 5" xfId="17766"/>
    <cellStyle name="Normal 63 3 5 2" xfId="23881"/>
    <cellStyle name="Normal 63 3 6" xfId="17767"/>
    <cellStyle name="Normal 63 4" xfId="17768"/>
    <cellStyle name="Normal 63 4 2" xfId="17769"/>
    <cellStyle name="Normal 63 4 2 2" xfId="17770"/>
    <cellStyle name="Normal 63 4 2 2 2" xfId="23882"/>
    <cellStyle name="Normal 63 4 2 3" xfId="17771"/>
    <cellStyle name="Normal 63 4 3" xfId="17772"/>
    <cellStyle name="Normal 63 4 3 2" xfId="17773"/>
    <cellStyle name="Normal 63 4 3 2 2" xfId="23883"/>
    <cellStyle name="Normal 63 4 3 3" xfId="17774"/>
    <cellStyle name="Normal 63 4 4" xfId="17775"/>
    <cellStyle name="Normal 63 4 4 2" xfId="23884"/>
    <cellStyle name="Normal 63 4 5" xfId="17776"/>
    <cellStyle name="Normal 63 5" xfId="17777"/>
    <cellStyle name="Normal 63 5 2" xfId="17778"/>
    <cellStyle name="Normal 63 5 2 2" xfId="23885"/>
    <cellStyle name="Normal 63 5 3" xfId="17779"/>
    <cellStyle name="Normal 63 6" xfId="17780"/>
    <cellStyle name="Normal 63 6 2" xfId="17781"/>
    <cellStyle name="Normal 63 6 2 2" xfId="23886"/>
    <cellStyle name="Normal 63 6 3" xfId="17782"/>
    <cellStyle name="Normal 63 7" xfId="17783"/>
    <cellStyle name="Normal 63 7 2" xfId="23887"/>
    <cellStyle name="Normal 63 8" xfId="17784"/>
    <cellStyle name="Normal 63 9" xfId="23888"/>
    <cellStyle name="Normal 64" xfId="325"/>
    <cellStyle name="Normal 64 2" xfId="1132"/>
    <cellStyle name="Normal 64 2 2" xfId="23889"/>
    <cellStyle name="Normal 64 3" xfId="1133"/>
    <cellStyle name="Normal 64 3 2" xfId="23890"/>
    <cellStyle name="Normal 64 4" xfId="23891"/>
    <cellStyle name="Normal 64 5" xfId="23892"/>
    <cellStyle name="Normal 65" xfId="326"/>
    <cellStyle name="Normal 65 2" xfId="1134"/>
    <cellStyle name="Normal 65 2 2" xfId="17785"/>
    <cellStyle name="Normal 65 2 2 2" xfId="17786"/>
    <cellStyle name="Normal 65 2 2 2 2" xfId="17787"/>
    <cellStyle name="Normal 65 2 2 2 2 2" xfId="17788"/>
    <cellStyle name="Normal 65 2 2 2 2 2 2" xfId="23893"/>
    <cellStyle name="Normal 65 2 2 2 2 3" xfId="17789"/>
    <cellStyle name="Normal 65 2 2 2 3" xfId="17790"/>
    <cellStyle name="Normal 65 2 2 2 3 2" xfId="17791"/>
    <cellStyle name="Normal 65 2 2 2 3 2 2" xfId="23894"/>
    <cellStyle name="Normal 65 2 2 2 3 3" xfId="17792"/>
    <cellStyle name="Normal 65 2 2 2 4" xfId="17793"/>
    <cellStyle name="Normal 65 2 2 2 4 2" xfId="23895"/>
    <cellStyle name="Normal 65 2 2 2 5" xfId="17794"/>
    <cellStyle name="Normal 65 2 2 3" xfId="17795"/>
    <cellStyle name="Normal 65 2 2 3 2" xfId="17796"/>
    <cellStyle name="Normal 65 2 2 3 2 2" xfId="23896"/>
    <cellStyle name="Normal 65 2 2 3 3" xfId="17797"/>
    <cellStyle name="Normal 65 2 2 4" xfId="17798"/>
    <cellStyle name="Normal 65 2 2 4 2" xfId="17799"/>
    <cellStyle name="Normal 65 2 2 4 2 2" xfId="23897"/>
    <cellStyle name="Normal 65 2 2 4 3" xfId="17800"/>
    <cellStyle name="Normal 65 2 2 5" xfId="17801"/>
    <cellStyle name="Normal 65 2 2 5 2" xfId="23898"/>
    <cellStyle name="Normal 65 2 2 6" xfId="17802"/>
    <cellStyle name="Normal 65 2 3" xfId="17803"/>
    <cellStyle name="Normal 65 2 3 2" xfId="17804"/>
    <cellStyle name="Normal 65 2 3 2 2" xfId="17805"/>
    <cellStyle name="Normal 65 2 3 2 2 2" xfId="23899"/>
    <cellStyle name="Normal 65 2 3 2 3" xfId="17806"/>
    <cellStyle name="Normal 65 2 3 3" xfId="17807"/>
    <cellStyle name="Normal 65 2 3 3 2" xfId="17808"/>
    <cellStyle name="Normal 65 2 3 3 2 2" xfId="23900"/>
    <cellStyle name="Normal 65 2 3 3 3" xfId="17809"/>
    <cellStyle name="Normal 65 2 3 4" xfId="17810"/>
    <cellStyle name="Normal 65 2 3 4 2" xfId="23901"/>
    <cellStyle name="Normal 65 2 3 5" xfId="17811"/>
    <cellStyle name="Normal 65 2 4" xfId="17812"/>
    <cellStyle name="Normal 65 2 4 2" xfId="17813"/>
    <cellStyle name="Normal 65 2 4 2 2" xfId="23902"/>
    <cellStyle name="Normal 65 2 4 3" xfId="17814"/>
    <cellStyle name="Normal 65 2 5" xfId="17815"/>
    <cellStyle name="Normal 65 2 5 2" xfId="17816"/>
    <cellStyle name="Normal 65 2 5 2 2" xfId="23903"/>
    <cellStyle name="Normal 65 2 5 3" xfId="17817"/>
    <cellStyle name="Normal 65 2 6" xfId="17818"/>
    <cellStyle name="Normal 65 2 6 2" xfId="23904"/>
    <cellStyle name="Normal 65 2 7" xfId="17819"/>
    <cellStyle name="Normal 65 3" xfId="1135"/>
    <cellStyle name="Normal 65 3 2" xfId="17820"/>
    <cellStyle name="Normal 65 3 2 2" xfId="17821"/>
    <cellStyle name="Normal 65 3 2 2 2" xfId="17822"/>
    <cellStyle name="Normal 65 3 2 2 2 2" xfId="23905"/>
    <cellStyle name="Normal 65 3 2 2 3" xfId="17823"/>
    <cellStyle name="Normal 65 3 2 3" xfId="17824"/>
    <cellStyle name="Normal 65 3 2 3 2" xfId="17825"/>
    <cellStyle name="Normal 65 3 2 3 2 2" xfId="23906"/>
    <cellStyle name="Normal 65 3 2 3 3" xfId="17826"/>
    <cellStyle name="Normal 65 3 2 4" xfId="17827"/>
    <cellStyle name="Normal 65 3 2 4 2" xfId="23907"/>
    <cellStyle name="Normal 65 3 2 5" xfId="17828"/>
    <cellStyle name="Normal 65 3 3" xfId="17829"/>
    <cellStyle name="Normal 65 3 3 2" xfId="17830"/>
    <cellStyle name="Normal 65 3 3 2 2" xfId="23908"/>
    <cellStyle name="Normal 65 3 3 3" xfId="17831"/>
    <cellStyle name="Normal 65 3 4" xfId="17832"/>
    <cellStyle name="Normal 65 3 4 2" xfId="17833"/>
    <cellStyle name="Normal 65 3 4 2 2" xfId="23909"/>
    <cellStyle name="Normal 65 3 4 3" xfId="17834"/>
    <cellStyle name="Normal 65 3 5" xfId="17835"/>
    <cellStyle name="Normal 65 3 5 2" xfId="23910"/>
    <cellStyle name="Normal 65 3 6" xfId="17836"/>
    <cellStyle name="Normal 65 4" xfId="17837"/>
    <cellStyle name="Normal 65 4 2" xfId="17838"/>
    <cellStyle name="Normal 65 4 2 2" xfId="17839"/>
    <cellStyle name="Normal 65 4 2 2 2" xfId="23911"/>
    <cellStyle name="Normal 65 4 2 3" xfId="17840"/>
    <cellStyle name="Normal 65 4 3" xfId="17841"/>
    <cellStyle name="Normal 65 4 3 2" xfId="17842"/>
    <cellStyle name="Normal 65 4 3 2 2" xfId="23912"/>
    <cellStyle name="Normal 65 4 3 3" xfId="17843"/>
    <cellStyle name="Normal 65 4 4" xfId="17844"/>
    <cellStyle name="Normal 65 4 4 2" xfId="23913"/>
    <cellStyle name="Normal 65 4 5" xfId="17845"/>
    <cellStyle name="Normal 65 5" xfId="17846"/>
    <cellStyle name="Normal 65 5 2" xfId="17847"/>
    <cellStyle name="Normal 65 5 2 2" xfId="23914"/>
    <cellStyle name="Normal 65 5 3" xfId="17848"/>
    <cellStyle name="Normal 65 6" xfId="17849"/>
    <cellStyle name="Normal 65 6 2" xfId="17850"/>
    <cellStyle name="Normal 65 6 2 2" xfId="23915"/>
    <cellStyle name="Normal 65 6 3" xfId="17851"/>
    <cellStyle name="Normal 65 7" xfId="17852"/>
    <cellStyle name="Normal 65 7 2" xfId="23916"/>
    <cellStyle name="Normal 65 8" xfId="17853"/>
    <cellStyle name="Normal 65 9" xfId="23917"/>
    <cellStyle name="Normal 66" xfId="327"/>
    <cellStyle name="Normal 66 2" xfId="1136"/>
    <cellStyle name="Normal 66 2 2" xfId="23918"/>
    <cellStyle name="Normal 66 3" xfId="1137"/>
    <cellStyle name="Normal 66 3 2" xfId="23919"/>
    <cellStyle name="Normal 66 4" xfId="23920"/>
    <cellStyle name="Normal 66 5" xfId="23921"/>
    <cellStyle name="Normal 67" xfId="328"/>
    <cellStyle name="Normal 67 2" xfId="1138"/>
    <cellStyle name="Normal 67 2 2" xfId="23922"/>
    <cellStyle name="Normal 67 3" xfId="1139"/>
    <cellStyle name="Normal 67 3 2" xfId="23923"/>
    <cellStyle name="Normal 67 4" xfId="23924"/>
    <cellStyle name="Normal 67 5" xfId="23925"/>
    <cellStyle name="Normal 68" xfId="329"/>
    <cellStyle name="Normal 68 2" xfId="1140"/>
    <cellStyle name="Normal 68 2 2" xfId="23926"/>
    <cellStyle name="Normal 68 3" xfId="1141"/>
    <cellStyle name="Normal 68 3 2" xfId="23927"/>
    <cellStyle name="Normal 68 4" xfId="23928"/>
    <cellStyle name="Normal 68 5" xfId="23929"/>
    <cellStyle name="Normal 69" xfId="330"/>
    <cellStyle name="Normal 69 2" xfId="1142"/>
    <cellStyle name="Normal 69 2 2" xfId="23930"/>
    <cellStyle name="Normal 69 3" xfId="1143"/>
    <cellStyle name="Normal 69 3 2" xfId="23931"/>
    <cellStyle name="Normal 69 4" xfId="23932"/>
    <cellStyle name="Normal 69 5" xfId="23933"/>
    <cellStyle name="Normal 7" xfId="54"/>
    <cellStyle name="Normal 7 10" xfId="17854"/>
    <cellStyle name="Normal 7 10 2" xfId="17855"/>
    <cellStyle name="Normal 7 10 2 2" xfId="23934"/>
    <cellStyle name="Normal 7 10 3" xfId="17856"/>
    <cellStyle name="Normal 7 11" xfId="17857"/>
    <cellStyle name="Normal 7 11 2" xfId="23935"/>
    <cellStyle name="Normal 7 12" xfId="17858"/>
    <cellStyle name="Normal 7 13" xfId="23936"/>
    <cellStyle name="Normal 7 2" xfId="55"/>
    <cellStyle name="Normal 7 2 10" xfId="17859"/>
    <cellStyle name="Normal 7 2 10 2" xfId="23937"/>
    <cellStyle name="Normal 7 2 11" xfId="17860"/>
    <cellStyle name="Normal 7 2 12" xfId="23938"/>
    <cellStyle name="Normal 7 2 2" xfId="1144"/>
    <cellStyle name="Normal 7 2 2 10" xfId="23939"/>
    <cellStyle name="Normal 7 2 2 2" xfId="1145"/>
    <cellStyle name="Normal 7 2 2 2 2" xfId="1146"/>
    <cellStyle name="Normal 7 2 2 2 2 2" xfId="1147"/>
    <cellStyle name="Normal 7 2 2 2 2 2 2" xfId="17861"/>
    <cellStyle name="Normal 7 2 2 2 2 2 2 2" xfId="17862"/>
    <cellStyle name="Normal 7 2 2 2 2 2 2 2 2" xfId="17863"/>
    <cellStyle name="Normal 7 2 2 2 2 2 2 2 2 2" xfId="23940"/>
    <cellStyle name="Normal 7 2 2 2 2 2 2 2 3" xfId="17864"/>
    <cellStyle name="Normal 7 2 2 2 2 2 2 3" xfId="17865"/>
    <cellStyle name="Normal 7 2 2 2 2 2 2 3 2" xfId="17866"/>
    <cellStyle name="Normal 7 2 2 2 2 2 2 3 2 2" xfId="23941"/>
    <cellStyle name="Normal 7 2 2 2 2 2 2 3 3" xfId="17867"/>
    <cellStyle name="Normal 7 2 2 2 2 2 2 4" xfId="17868"/>
    <cellStyle name="Normal 7 2 2 2 2 2 2 4 2" xfId="23942"/>
    <cellStyle name="Normal 7 2 2 2 2 2 2 5" xfId="17869"/>
    <cellStyle name="Normal 7 2 2 2 2 2 3" xfId="17870"/>
    <cellStyle name="Normal 7 2 2 2 2 2 3 2" xfId="17871"/>
    <cellStyle name="Normal 7 2 2 2 2 2 3 2 2" xfId="23943"/>
    <cellStyle name="Normal 7 2 2 2 2 2 3 3" xfId="17872"/>
    <cellStyle name="Normal 7 2 2 2 2 2 4" xfId="17873"/>
    <cellStyle name="Normal 7 2 2 2 2 2 4 2" xfId="17874"/>
    <cellStyle name="Normal 7 2 2 2 2 2 4 2 2" xfId="23944"/>
    <cellStyle name="Normal 7 2 2 2 2 2 4 3" xfId="17875"/>
    <cellStyle name="Normal 7 2 2 2 2 2 5" xfId="17876"/>
    <cellStyle name="Normal 7 2 2 2 2 2 5 2" xfId="23945"/>
    <cellStyle name="Normal 7 2 2 2 2 2 6" xfId="17877"/>
    <cellStyle name="Normal 7 2 2 2 2 3" xfId="17878"/>
    <cellStyle name="Normal 7 2 2 2 2 3 2" xfId="17879"/>
    <cellStyle name="Normal 7 2 2 2 2 3 2 2" xfId="17880"/>
    <cellStyle name="Normal 7 2 2 2 2 3 2 2 2" xfId="23946"/>
    <cellStyle name="Normal 7 2 2 2 2 3 2 3" xfId="17881"/>
    <cellStyle name="Normal 7 2 2 2 2 3 3" xfId="17882"/>
    <cellStyle name="Normal 7 2 2 2 2 3 3 2" xfId="17883"/>
    <cellStyle name="Normal 7 2 2 2 2 3 3 2 2" xfId="23947"/>
    <cellStyle name="Normal 7 2 2 2 2 3 3 3" xfId="17884"/>
    <cellStyle name="Normal 7 2 2 2 2 3 4" xfId="17885"/>
    <cellStyle name="Normal 7 2 2 2 2 3 4 2" xfId="23948"/>
    <cellStyle name="Normal 7 2 2 2 2 3 5" xfId="17886"/>
    <cellStyle name="Normal 7 2 2 2 2 4" xfId="17887"/>
    <cellStyle name="Normal 7 2 2 2 2 4 2" xfId="17888"/>
    <cellStyle name="Normal 7 2 2 2 2 4 2 2" xfId="23949"/>
    <cellStyle name="Normal 7 2 2 2 2 4 3" xfId="17889"/>
    <cellStyle name="Normal 7 2 2 2 2 5" xfId="17890"/>
    <cellStyle name="Normal 7 2 2 2 2 5 2" xfId="17891"/>
    <cellStyle name="Normal 7 2 2 2 2 5 2 2" xfId="23950"/>
    <cellStyle name="Normal 7 2 2 2 2 5 3" xfId="17892"/>
    <cellStyle name="Normal 7 2 2 2 2 6" xfId="17893"/>
    <cellStyle name="Normal 7 2 2 2 2 6 2" xfId="23951"/>
    <cellStyle name="Normal 7 2 2 2 2 7" xfId="17894"/>
    <cellStyle name="Normal 7 2 2 2 3" xfId="1148"/>
    <cellStyle name="Normal 7 2 2 2 3 2" xfId="17895"/>
    <cellStyle name="Normal 7 2 2 2 3 2 2" xfId="17896"/>
    <cellStyle name="Normal 7 2 2 2 3 2 2 2" xfId="17897"/>
    <cellStyle name="Normal 7 2 2 2 3 2 2 2 2" xfId="23952"/>
    <cellStyle name="Normal 7 2 2 2 3 2 2 3" xfId="17898"/>
    <cellStyle name="Normal 7 2 2 2 3 2 3" xfId="17899"/>
    <cellStyle name="Normal 7 2 2 2 3 2 3 2" xfId="17900"/>
    <cellStyle name="Normal 7 2 2 2 3 2 3 2 2" xfId="23953"/>
    <cellStyle name="Normal 7 2 2 2 3 2 3 3" xfId="17901"/>
    <cellStyle name="Normal 7 2 2 2 3 2 4" xfId="17902"/>
    <cellStyle name="Normal 7 2 2 2 3 2 4 2" xfId="23954"/>
    <cellStyle name="Normal 7 2 2 2 3 2 5" xfId="17903"/>
    <cellStyle name="Normal 7 2 2 2 3 3" xfId="17904"/>
    <cellStyle name="Normal 7 2 2 2 3 3 2" xfId="17905"/>
    <cellStyle name="Normal 7 2 2 2 3 3 2 2" xfId="23955"/>
    <cellStyle name="Normal 7 2 2 2 3 3 3" xfId="17906"/>
    <cellStyle name="Normal 7 2 2 2 3 4" xfId="17907"/>
    <cellStyle name="Normal 7 2 2 2 3 4 2" xfId="17908"/>
    <cellStyle name="Normal 7 2 2 2 3 4 2 2" xfId="23956"/>
    <cellStyle name="Normal 7 2 2 2 3 4 3" xfId="17909"/>
    <cellStyle name="Normal 7 2 2 2 3 5" xfId="17910"/>
    <cellStyle name="Normal 7 2 2 2 3 5 2" xfId="23957"/>
    <cellStyle name="Normal 7 2 2 2 3 6" xfId="17911"/>
    <cellStyle name="Normal 7 2 2 2 4" xfId="17912"/>
    <cellStyle name="Normal 7 2 2 2 4 2" xfId="17913"/>
    <cellStyle name="Normal 7 2 2 2 4 2 2" xfId="17914"/>
    <cellStyle name="Normal 7 2 2 2 4 2 2 2" xfId="23958"/>
    <cellStyle name="Normal 7 2 2 2 4 2 3" xfId="17915"/>
    <cellStyle name="Normal 7 2 2 2 4 3" xfId="17916"/>
    <cellStyle name="Normal 7 2 2 2 4 3 2" xfId="17917"/>
    <cellStyle name="Normal 7 2 2 2 4 3 2 2" xfId="23959"/>
    <cellStyle name="Normal 7 2 2 2 4 3 3" xfId="17918"/>
    <cellStyle name="Normal 7 2 2 2 4 4" xfId="17919"/>
    <cellStyle name="Normal 7 2 2 2 4 4 2" xfId="23960"/>
    <cellStyle name="Normal 7 2 2 2 4 5" xfId="17920"/>
    <cellStyle name="Normal 7 2 2 2 5" xfId="17921"/>
    <cellStyle name="Normal 7 2 2 2 5 2" xfId="17922"/>
    <cellStyle name="Normal 7 2 2 2 5 2 2" xfId="23961"/>
    <cellStyle name="Normal 7 2 2 2 5 3" xfId="17923"/>
    <cellStyle name="Normal 7 2 2 2 6" xfId="17924"/>
    <cellStyle name="Normal 7 2 2 2 6 2" xfId="17925"/>
    <cellStyle name="Normal 7 2 2 2 6 2 2" xfId="23962"/>
    <cellStyle name="Normal 7 2 2 2 6 3" xfId="17926"/>
    <cellStyle name="Normal 7 2 2 2 7" xfId="17927"/>
    <cellStyle name="Normal 7 2 2 2 7 2" xfId="23963"/>
    <cellStyle name="Normal 7 2 2 2 8" xfId="17928"/>
    <cellStyle name="Normal 7 2 2 3" xfId="1149"/>
    <cellStyle name="Normal 7 2 2 3 2" xfId="1150"/>
    <cellStyle name="Normal 7 2 2 3 2 2" xfId="17929"/>
    <cellStyle name="Normal 7 2 2 3 2 2 2" xfId="17930"/>
    <cellStyle name="Normal 7 2 2 3 2 2 2 2" xfId="17931"/>
    <cellStyle name="Normal 7 2 2 3 2 2 2 2 2" xfId="23964"/>
    <cellStyle name="Normal 7 2 2 3 2 2 2 3" xfId="17932"/>
    <cellStyle name="Normal 7 2 2 3 2 2 3" xfId="17933"/>
    <cellStyle name="Normal 7 2 2 3 2 2 3 2" xfId="17934"/>
    <cellStyle name="Normal 7 2 2 3 2 2 3 2 2" xfId="23965"/>
    <cellStyle name="Normal 7 2 2 3 2 2 3 3" xfId="17935"/>
    <cellStyle name="Normal 7 2 2 3 2 2 4" xfId="17936"/>
    <cellStyle name="Normal 7 2 2 3 2 2 4 2" xfId="23966"/>
    <cellStyle name="Normal 7 2 2 3 2 2 5" xfId="17937"/>
    <cellStyle name="Normal 7 2 2 3 2 3" xfId="17938"/>
    <cellStyle name="Normal 7 2 2 3 2 3 2" xfId="17939"/>
    <cellStyle name="Normal 7 2 2 3 2 3 2 2" xfId="23967"/>
    <cellStyle name="Normal 7 2 2 3 2 3 3" xfId="17940"/>
    <cellStyle name="Normal 7 2 2 3 2 4" xfId="17941"/>
    <cellStyle name="Normal 7 2 2 3 2 4 2" xfId="17942"/>
    <cellStyle name="Normal 7 2 2 3 2 4 2 2" xfId="23968"/>
    <cellStyle name="Normal 7 2 2 3 2 4 3" xfId="17943"/>
    <cellStyle name="Normal 7 2 2 3 2 5" xfId="17944"/>
    <cellStyle name="Normal 7 2 2 3 2 5 2" xfId="23969"/>
    <cellStyle name="Normal 7 2 2 3 2 6" xfId="17945"/>
    <cellStyle name="Normal 7 2 2 3 3" xfId="17946"/>
    <cellStyle name="Normal 7 2 2 3 3 2" xfId="17947"/>
    <cellStyle name="Normal 7 2 2 3 3 2 2" xfId="17948"/>
    <cellStyle name="Normal 7 2 2 3 3 2 2 2" xfId="23970"/>
    <cellStyle name="Normal 7 2 2 3 3 2 3" xfId="17949"/>
    <cellStyle name="Normal 7 2 2 3 3 3" xfId="17950"/>
    <cellStyle name="Normal 7 2 2 3 3 3 2" xfId="17951"/>
    <cellStyle name="Normal 7 2 2 3 3 3 2 2" xfId="23971"/>
    <cellStyle name="Normal 7 2 2 3 3 3 3" xfId="17952"/>
    <cellStyle name="Normal 7 2 2 3 3 4" xfId="17953"/>
    <cellStyle name="Normal 7 2 2 3 3 4 2" xfId="23972"/>
    <cellStyle name="Normal 7 2 2 3 3 5" xfId="17954"/>
    <cellStyle name="Normal 7 2 2 3 4" xfId="17955"/>
    <cellStyle name="Normal 7 2 2 3 4 2" xfId="17956"/>
    <cellStyle name="Normal 7 2 2 3 4 2 2" xfId="23973"/>
    <cellStyle name="Normal 7 2 2 3 4 3" xfId="17957"/>
    <cellStyle name="Normal 7 2 2 3 5" xfId="17958"/>
    <cellStyle name="Normal 7 2 2 3 5 2" xfId="17959"/>
    <cellStyle name="Normal 7 2 2 3 5 2 2" xfId="23974"/>
    <cellStyle name="Normal 7 2 2 3 5 3" xfId="17960"/>
    <cellStyle name="Normal 7 2 2 3 6" xfId="17961"/>
    <cellStyle name="Normal 7 2 2 3 6 2" xfId="23975"/>
    <cellStyle name="Normal 7 2 2 3 7" xfId="17962"/>
    <cellStyle name="Normal 7 2 2 3 8" xfId="17963"/>
    <cellStyle name="Normal 7 2 2 4" xfId="1151"/>
    <cellStyle name="Normal 7 2 2 4 2" xfId="17964"/>
    <cellStyle name="Normal 7 2 2 4 2 2" xfId="17965"/>
    <cellStyle name="Normal 7 2 2 4 2 2 2" xfId="17966"/>
    <cellStyle name="Normal 7 2 2 4 2 2 2 2" xfId="23976"/>
    <cellStyle name="Normal 7 2 2 4 2 2 3" xfId="17967"/>
    <cellStyle name="Normal 7 2 2 4 2 3" xfId="17968"/>
    <cellStyle name="Normal 7 2 2 4 2 3 2" xfId="17969"/>
    <cellStyle name="Normal 7 2 2 4 2 3 2 2" xfId="23977"/>
    <cellStyle name="Normal 7 2 2 4 2 3 3" xfId="17970"/>
    <cellStyle name="Normal 7 2 2 4 2 4" xfId="17971"/>
    <cellStyle name="Normal 7 2 2 4 2 4 2" xfId="23978"/>
    <cellStyle name="Normal 7 2 2 4 2 5" xfId="17972"/>
    <cellStyle name="Normal 7 2 2 4 3" xfId="17973"/>
    <cellStyle name="Normal 7 2 2 4 3 2" xfId="17974"/>
    <cellStyle name="Normal 7 2 2 4 3 2 2" xfId="23979"/>
    <cellStyle name="Normal 7 2 2 4 3 3" xfId="17975"/>
    <cellStyle name="Normal 7 2 2 4 4" xfId="17976"/>
    <cellStyle name="Normal 7 2 2 4 4 2" xfId="17977"/>
    <cellStyle name="Normal 7 2 2 4 4 2 2" xfId="23980"/>
    <cellStyle name="Normal 7 2 2 4 4 3" xfId="17978"/>
    <cellStyle name="Normal 7 2 2 4 5" xfId="17979"/>
    <cellStyle name="Normal 7 2 2 4 5 2" xfId="23981"/>
    <cellStyle name="Normal 7 2 2 4 6" xfId="17980"/>
    <cellStyle name="Normal 7 2 2 5" xfId="17981"/>
    <cellStyle name="Normal 7 2 2 5 2" xfId="17982"/>
    <cellStyle name="Normal 7 2 2 5 2 2" xfId="17983"/>
    <cellStyle name="Normal 7 2 2 5 2 2 2" xfId="23982"/>
    <cellStyle name="Normal 7 2 2 5 2 3" xfId="17984"/>
    <cellStyle name="Normal 7 2 2 5 3" xfId="17985"/>
    <cellStyle name="Normal 7 2 2 5 3 2" xfId="17986"/>
    <cellStyle name="Normal 7 2 2 5 3 2 2" xfId="23983"/>
    <cellStyle name="Normal 7 2 2 5 3 3" xfId="17987"/>
    <cellStyle name="Normal 7 2 2 5 4" xfId="17988"/>
    <cellStyle name="Normal 7 2 2 5 4 2" xfId="23984"/>
    <cellStyle name="Normal 7 2 2 5 5" xfId="17989"/>
    <cellStyle name="Normal 7 2 2 6" xfId="17990"/>
    <cellStyle name="Normal 7 2 2 6 2" xfId="17991"/>
    <cellStyle name="Normal 7 2 2 6 2 2" xfId="23985"/>
    <cellStyle name="Normal 7 2 2 6 3" xfId="17992"/>
    <cellStyle name="Normal 7 2 2 7" xfId="17993"/>
    <cellStyle name="Normal 7 2 2 7 2" xfId="17994"/>
    <cellStyle name="Normal 7 2 2 7 2 2" xfId="23986"/>
    <cellStyle name="Normal 7 2 2 7 3" xfId="17995"/>
    <cellStyle name="Normal 7 2 2 8" xfId="17996"/>
    <cellStyle name="Normal 7 2 2 8 2" xfId="23987"/>
    <cellStyle name="Normal 7 2 2 9" xfId="17997"/>
    <cellStyle name="Normal 7 2 3" xfId="1152"/>
    <cellStyle name="Normal 7 2 3 2" xfId="1153"/>
    <cellStyle name="Normal 7 2 3 2 2" xfId="1154"/>
    <cellStyle name="Normal 7 2 3 2 2 2" xfId="17998"/>
    <cellStyle name="Normal 7 2 3 2 2 2 2" xfId="17999"/>
    <cellStyle name="Normal 7 2 3 2 2 2 2 2" xfId="18000"/>
    <cellStyle name="Normal 7 2 3 2 2 2 2 2 2" xfId="23988"/>
    <cellStyle name="Normal 7 2 3 2 2 2 2 3" xfId="18001"/>
    <cellStyle name="Normal 7 2 3 2 2 2 3" xfId="18002"/>
    <cellStyle name="Normal 7 2 3 2 2 2 3 2" xfId="18003"/>
    <cellStyle name="Normal 7 2 3 2 2 2 3 2 2" xfId="23989"/>
    <cellStyle name="Normal 7 2 3 2 2 2 3 3" xfId="18004"/>
    <cellStyle name="Normal 7 2 3 2 2 2 4" xfId="18005"/>
    <cellStyle name="Normal 7 2 3 2 2 2 4 2" xfId="23990"/>
    <cellStyle name="Normal 7 2 3 2 2 2 5" xfId="18006"/>
    <cellStyle name="Normal 7 2 3 2 2 3" xfId="18007"/>
    <cellStyle name="Normal 7 2 3 2 2 3 2" xfId="18008"/>
    <cellStyle name="Normal 7 2 3 2 2 3 2 2" xfId="23991"/>
    <cellStyle name="Normal 7 2 3 2 2 3 3" xfId="18009"/>
    <cellStyle name="Normal 7 2 3 2 2 4" xfId="18010"/>
    <cellStyle name="Normal 7 2 3 2 2 4 2" xfId="18011"/>
    <cellStyle name="Normal 7 2 3 2 2 4 2 2" xfId="23992"/>
    <cellStyle name="Normal 7 2 3 2 2 4 3" xfId="18012"/>
    <cellStyle name="Normal 7 2 3 2 2 5" xfId="18013"/>
    <cellStyle name="Normal 7 2 3 2 2 5 2" xfId="23993"/>
    <cellStyle name="Normal 7 2 3 2 2 6" xfId="18014"/>
    <cellStyle name="Normal 7 2 3 2 3" xfId="18015"/>
    <cellStyle name="Normal 7 2 3 2 3 2" xfId="18016"/>
    <cellStyle name="Normal 7 2 3 2 3 2 2" xfId="18017"/>
    <cellStyle name="Normal 7 2 3 2 3 2 2 2" xfId="23994"/>
    <cellStyle name="Normal 7 2 3 2 3 2 3" xfId="18018"/>
    <cellStyle name="Normal 7 2 3 2 3 3" xfId="18019"/>
    <cellStyle name="Normal 7 2 3 2 3 3 2" xfId="18020"/>
    <cellStyle name="Normal 7 2 3 2 3 3 2 2" xfId="23995"/>
    <cellStyle name="Normal 7 2 3 2 3 3 3" xfId="18021"/>
    <cellStyle name="Normal 7 2 3 2 3 4" xfId="18022"/>
    <cellStyle name="Normal 7 2 3 2 3 4 2" xfId="23996"/>
    <cellStyle name="Normal 7 2 3 2 3 5" xfId="18023"/>
    <cellStyle name="Normal 7 2 3 2 4" xfId="18024"/>
    <cellStyle name="Normal 7 2 3 2 4 2" xfId="18025"/>
    <cellStyle name="Normal 7 2 3 2 4 2 2" xfId="23997"/>
    <cellStyle name="Normal 7 2 3 2 4 3" xfId="18026"/>
    <cellStyle name="Normal 7 2 3 2 5" xfId="18027"/>
    <cellStyle name="Normal 7 2 3 2 5 2" xfId="18028"/>
    <cellStyle name="Normal 7 2 3 2 5 2 2" xfId="23998"/>
    <cellStyle name="Normal 7 2 3 2 5 3" xfId="18029"/>
    <cellStyle name="Normal 7 2 3 2 6" xfId="18030"/>
    <cellStyle name="Normal 7 2 3 2 6 2" xfId="23999"/>
    <cellStyle name="Normal 7 2 3 2 7" xfId="18031"/>
    <cellStyle name="Normal 7 2 3 3" xfId="1155"/>
    <cellStyle name="Normal 7 2 3 3 2" xfId="18032"/>
    <cellStyle name="Normal 7 2 3 3 2 2" xfId="18033"/>
    <cellStyle name="Normal 7 2 3 3 2 2 2" xfId="18034"/>
    <cellStyle name="Normal 7 2 3 3 2 2 2 2" xfId="24000"/>
    <cellStyle name="Normal 7 2 3 3 2 2 3" xfId="18035"/>
    <cellStyle name="Normal 7 2 3 3 2 3" xfId="18036"/>
    <cellStyle name="Normal 7 2 3 3 2 3 2" xfId="18037"/>
    <cellStyle name="Normal 7 2 3 3 2 3 2 2" xfId="24001"/>
    <cellStyle name="Normal 7 2 3 3 2 3 3" xfId="18038"/>
    <cellStyle name="Normal 7 2 3 3 2 4" xfId="18039"/>
    <cellStyle name="Normal 7 2 3 3 2 4 2" xfId="24002"/>
    <cellStyle name="Normal 7 2 3 3 2 5" xfId="18040"/>
    <cellStyle name="Normal 7 2 3 3 3" xfId="18041"/>
    <cellStyle name="Normal 7 2 3 3 3 2" xfId="18042"/>
    <cellStyle name="Normal 7 2 3 3 3 2 2" xfId="24003"/>
    <cellStyle name="Normal 7 2 3 3 3 3" xfId="18043"/>
    <cellStyle name="Normal 7 2 3 3 4" xfId="18044"/>
    <cellStyle name="Normal 7 2 3 3 4 2" xfId="18045"/>
    <cellStyle name="Normal 7 2 3 3 4 2 2" xfId="24004"/>
    <cellStyle name="Normal 7 2 3 3 4 3" xfId="18046"/>
    <cellStyle name="Normal 7 2 3 3 5" xfId="18047"/>
    <cellStyle name="Normal 7 2 3 3 5 2" xfId="24005"/>
    <cellStyle name="Normal 7 2 3 3 6" xfId="18048"/>
    <cellStyle name="Normal 7 2 3 4" xfId="18049"/>
    <cellStyle name="Normal 7 2 3 4 2" xfId="18050"/>
    <cellStyle name="Normal 7 2 3 4 2 2" xfId="18051"/>
    <cellStyle name="Normal 7 2 3 4 2 2 2" xfId="24006"/>
    <cellStyle name="Normal 7 2 3 4 2 3" xfId="18052"/>
    <cellStyle name="Normal 7 2 3 4 3" xfId="18053"/>
    <cellStyle name="Normal 7 2 3 4 3 2" xfId="18054"/>
    <cellStyle name="Normal 7 2 3 4 3 2 2" xfId="24007"/>
    <cellStyle name="Normal 7 2 3 4 3 3" xfId="18055"/>
    <cellStyle name="Normal 7 2 3 4 4" xfId="18056"/>
    <cellStyle name="Normal 7 2 3 4 4 2" xfId="24008"/>
    <cellStyle name="Normal 7 2 3 4 5" xfId="18057"/>
    <cellStyle name="Normal 7 2 3 5" xfId="18058"/>
    <cellStyle name="Normal 7 2 3 5 2" xfId="18059"/>
    <cellStyle name="Normal 7 2 3 5 2 2" xfId="24009"/>
    <cellStyle name="Normal 7 2 3 5 3" xfId="18060"/>
    <cellStyle name="Normal 7 2 3 6" xfId="18061"/>
    <cellStyle name="Normal 7 2 3 6 2" xfId="18062"/>
    <cellStyle name="Normal 7 2 3 6 2 2" xfId="24010"/>
    <cellStyle name="Normal 7 2 3 6 3" xfId="18063"/>
    <cellStyle name="Normal 7 2 3 7" xfId="18064"/>
    <cellStyle name="Normal 7 2 3 7 2" xfId="24011"/>
    <cellStyle name="Normal 7 2 3 8" xfId="18065"/>
    <cellStyle name="Normal 7 2 4" xfId="1156"/>
    <cellStyle name="Normal 7 2 4 2" xfId="1157"/>
    <cellStyle name="Normal 7 2 4 2 2" xfId="18066"/>
    <cellStyle name="Normal 7 2 4 2 2 2" xfId="18067"/>
    <cellStyle name="Normal 7 2 4 2 2 2 2" xfId="18068"/>
    <cellStyle name="Normal 7 2 4 2 2 2 2 2" xfId="18069"/>
    <cellStyle name="Normal 7 2 4 2 2 2 2 2 2" xfId="24012"/>
    <cellStyle name="Normal 7 2 4 2 2 2 2 3" xfId="18070"/>
    <cellStyle name="Normal 7 2 4 2 2 2 3" xfId="18071"/>
    <cellStyle name="Normal 7 2 4 2 2 2 3 2" xfId="18072"/>
    <cellStyle name="Normal 7 2 4 2 2 2 3 2 2" xfId="24013"/>
    <cellStyle name="Normal 7 2 4 2 2 2 3 3" xfId="18073"/>
    <cellStyle name="Normal 7 2 4 2 2 2 4" xfId="18074"/>
    <cellStyle name="Normal 7 2 4 2 2 2 4 2" xfId="24014"/>
    <cellStyle name="Normal 7 2 4 2 2 2 5" xfId="18075"/>
    <cellStyle name="Normal 7 2 4 2 2 3" xfId="18076"/>
    <cellStyle name="Normal 7 2 4 2 2 3 2" xfId="18077"/>
    <cellStyle name="Normal 7 2 4 2 2 3 2 2" xfId="24015"/>
    <cellStyle name="Normal 7 2 4 2 2 3 3" xfId="18078"/>
    <cellStyle name="Normal 7 2 4 2 2 4" xfId="18079"/>
    <cellStyle name="Normal 7 2 4 2 2 4 2" xfId="18080"/>
    <cellStyle name="Normal 7 2 4 2 2 4 2 2" xfId="24016"/>
    <cellStyle name="Normal 7 2 4 2 2 4 3" xfId="18081"/>
    <cellStyle name="Normal 7 2 4 2 2 5" xfId="18082"/>
    <cellStyle name="Normal 7 2 4 2 2 5 2" xfId="24017"/>
    <cellStyle name="Normal 7 2 4 2 2 6" xfId="18083"/>
    <cellStyle name="Normal 7 2 4 2 3" xfId="18084"/>
    <cellStyle name="Normal 7 2 4 2 3 2" xfId="18085"/>
    <cellStyle name="Normal 7 2 4 2 3 2 2" xfId="18086"/>
    <cellStyle name="Normal 7 2 4 2 3 2 2 2" xfId="24018"/>
    <cellStyle name="Normal 7 2 4 2 3 2 3" xfId="18087"/>
    <cellStyle name="Normal 7 2 4 2 3 3" xfId="18088"/>
    <cellStyle name="Normal 7 2 4 2 3 3 2" xfId="18089"/>
    <cellStyle name="Normal 7 2 4 2 3 3 2 2" xfId="24019"/>
    <cellStyle name="Normal 7 2 4 2 3 3 3" xfId="18090"/>
    <cellStyle name="Normal 7 2 4 2 3 4" xfId="18091"/>
    <cellStyle name="Normal 7 2 4 2 3 4 2" xfId="24020"/>
    <cellStyle name="Normal 7 2 4 2 3 5" xfId="18092"/>
    <cellStyle name="Normal 7 2 4 2 4" xfId="18093"/>
    <cellStyle name="Normal 7 2 4 2 4 2" xfId="18094"/>
    <cellStyle name="Normal 7 2 4 2 4 2 2" xfId="24021"/>
    <cellStyle name="Normal 7 2 4 2 4 3" xfId="18095"/>
    <cellStyle name="Normal 7 2 4 2 5" xfId="18096"/>
    <cellStyle name="Normal 7 2 4 2 5 2" xfId="18097"/>
    <cellStyle name="Normal 7 2 4 2 5 2 2" xfId="24022"/>
    <cellStyle name="Normal 7 2 4 2 5 3" xfId="18098"/>
    <cellStyle name="Normal 7 2 4 2 6" xfId="18099"/>
    <cellStyle name="Normal 7 2 4 2 6 2" xfId="24023"/>
    <cellStyle name="Normal 7 2 4 2 7" xfId="18100"/>
    <cellStyle name="Normal 7 2 4 3" xfId="18101"/>
    <cellStyle name="Normal 7 2 4 3 2" xfId="18102"/>
    <cellStyle name="Normal 7 2 4 3 2 2" xfId="18103"/>
    <cellStyle name="Normal 7 2 4 3 2 2 2" xfId="18104"/>
    <cellStyle name="Normal 7 2 4 3 2 2 2 2" xfId="24024"/>
    <cellStyle name="Normal 7 2 4 3 2 2 3" xfId="18105"/>
    <cellStyle name="Normal 7 2 4 3 2 3" xfId="18106"/>
    <cellStyle name="Normal 7 2 4 3 2 3 2" xfId="18107"/>
    <cellStyle name="Normal 7 2 4 3 2 3 2 2" xfId="24025"/>
    <cellStyle name="Normal 7 2 4 3 2 3 3" xfId="18108"/>
    <cellStyle name="Normal 7 2 4 3 2 4" xfId="18109"/>
    <cellStyle name="Normal 7 2 4 3 2 4 2" xfId="24026"/>
    <cellStyle name="Normal 7 2 4 3 2 5" xfId="18110"/>
    <cellStyle name="Normal 7 2 4 3 3" xfId="18111"/>
    <cellStyle name="Normal 7 2 4 3 3 2" xfId="18112"/>
    <cellStyle name="Normal 7 2 4 3 3 2 2" xfId="24027"/>
    <cellStyle name="Normal 7 2 4 3 3 3" xfId="18113"/>
    <cellStyle name="Normal 7 2 4 3 4" xfId="18114"/>
    <cellStyle name="Normal 7 2 4 3 4 2" xfId="18115"/>
    <cellStyle name="Normal 7 2 4 3 4 2 2" xfId="24028"/>
    <cellStyle name="Normal 7 2 4 3 4 3" xfId="18116"/>
    <cellStyle name="Normal 7 2 4 3 5" xfId="18117"/>
    <cellStyle name="Normal 7 2 4 3 5 2" xfId="24029"/>
    <cellStyle name="Normal 7 2 4 3 6" xfId="18118"/>
    <cellStyle name="Normal 7 2 4 4" xfId="18119"/>
    <cellStyle name="Normal 7 2 4 4 2" xfId="18120"/>
    <cellStyle name="Normal 7 2 4 4 2 2" xfId="18121"/>
    <cellStyle name="Normal 7 2 4 4 2 2 2" xfId="24030"/>
    <cellStyle name="Normal 7 2 4 4 2 3" xfId="18122"/>
    <cellStyle name="Normal 7 2 4 4 3" xfId="18123"/>
    <cellStyle name="Normal 7 2 4 4 3 2" xfId="18124"/>
    <cellStyle name="Normal 7 2 4 4 3 2 2" xfId="24031"/>
    <cellStyle name="Normal 7 2 4 4 3 3" xfId="18125"/>
    <cellStyle name="Normal 7 2 4 4 4" xfId="18126"/>
    <cellStyle name="Normal 7 2 4 4 4 2" xfId="24032"/>
    <cellStyle name="Normal 7 2 4 4 5" xfId="18127"/>
    <cellStyle name="Normal 7 2 4 5" xfId="18128"/>
    <cellStyle name="Normal 7 2 4 5 2" xfId="18129"/>
    <cellStyle name="Normal 7 2 4 5 2 2" xfId="24033"/>
    <cellStyle name="Normal 7 2 4 5 3" xfId="18130"/>
    <cellStyle name="Normal 7 2 4 6" xfId="18131"/>
    <cellStyle name="Normal 7 2 4 6 2" xfId="18132"/>
    <cellStyle name="Normal 7 2 4 6 2 2" xfId="24034"/>
    <cellStyle name="Normal 7 2 4 6 3" xfId="18133"/>
    <cellStyle name="Normal 7 2 4 7" xfId="18134"/>
    <cellStyle name="Normal 7 2 4 7 2" xfId="24035"/>
    <cellStyle name="Normal 7 2 4 8" xfId="18135"/>
    <cellStyle name="Normal 7 2 5" xfId="1158"/>
    <cellStyle name="Normal 7 2 5 2" xfId="18136"/>
    <cellStyle name="Normal 7 2 5 2 2" xfId="18137"/>
    <cellStyle name="Normal 7 2 5 2 2 2" xfId="18138"/>
    <cellStyle name="Normal 7 2 5 2 2 2 2" xfId="18139"/>
    <cellStyle name="Normal 7 2 5 2 2 2 2 2" xfId="24036"/>
    <cellStyle name="Normal 7 2 5 2 2 2 3" xfId="18140"/>
    <cellStyle name="Normal 7 2 5 2 2 3" xfId="18141"/>
    <cellStyle name="Normal 7 2 5 2 2 3 2" xfId="18142"/>
    <cellStyle name="Normal 7 2 5 2 2 3 2 2" xfId="24037"/>
    <cellStyle name="Normal 7 2 5 2 2 3 3" xfId="18143"/>
    <cellStyle name="Normal 7 2 5 2 2 4" xfId="18144"/>
    <cellStyle name="Normal 7 2 5 2 2 4 2" xfId="24038"/>
    <cellStyle name="Normal 7 2 5 2 2 5" xfId="18145"/>
    <cellStyle name="Normal 7 2 5 2 3" xfId="18146"/>
    <cellStyle name="Normal 7 2 5 2 3 2" xfId="18147"/>
    <cellStyle name="Normal 7 2 5 2 3 2 2" xfId="24039"/>
    <cellStyle name="Normal 7 2 5 2 3 3" xfId="18148"/>
    <cellStyle name="Normal 7 2 5 2 4" xfId="18149"/>
    <cellStyle name="Normal 7 2 5 2 4 2" xfId="18150"/>
    <cellStyle name="Normal 7 2 5 2 4 2 2" xfId="24040"/>
    <cellStyle name="Normal 7 2 5 2 4 3" xfId="18151"/>
    <cellStyle name="Normal 7 2 5 2 5" xfId="18152"/>
    <cellStyle name="Normal 7 2 5 2 5 2" xfId="24041"/>
    <cellStyle name="Normal 7 2 5 2 6" xfId="18153"/>
    <cellStyle name="Normal 7 2 5 3" xfId="18154"/>
    <cellStyle name="Normal 7 2 5 3 2" xfId="18155"/>
    <cellStyle name="Normal 7 2 5 3 2 2" xfId="18156"/>
    <cellStyle name="Normal 7 2 5 3 2 2 2" xfId="24042"/>
    <cellStyle name="Normal 7 2 5 3 2 3" xfId="18157"/>
    <cellStyle name="Normal 7 2 5 3 3" xfId="18158"/>
    <cellStyle name="Normal 7 2 5 3 3 2" xfId="18159"/>
    <cellStyle name="Normal 7 2 5 3 3 2 2" xfId="24043"/>
    <cellStyle name="Normal 7 2 5 3 3 3" xfId="18160"/>
    <cellStyle name="Normal 7 2 5 3 4" xfId="18161"/>
    <cellStyle name="Normal 7 2 5 3 4 2" xfId="24044"/>
    <cellStyle name="Normal 7 2 5 3 5" xfId="18162"/>
    <cellStyle name="Normal 7 2 5 4" xfId="18163"/>
    <cellStyle name="Normal 7 2 5 4 2" xfId="18164"/>
    <cellStyle name="Normal 7 2 5 4 2 2" xfId="24045"/>
    <cellStyle name="Normal 7 2 5 4 3" xfId="18165"/>
    <cellStyle name="Normal 7 2 5 5" xfId="18166"/>
    <cellStyle name="Normal 7 2 5 5 2" xfId="18167"/>
    <cellStyle name="Normal 7 2 5 5 2 2" xfId="24046"/>
    <cellStyle name="Normal 7 2 5 5 3" xfId="18168"/>
    <cellStyle name="Normal 7 2 5 6" xfId="18169"/>
    <cellStyle name="Normal 7 2 5 6 2" xfId="24047"/>
    <cellStyle name="Normal 7 2 5 7" xfId="18170"/>
    <cellStyle name="Normal 7 2 6" xfId="2055"/>
    <cellStyle name="Normal 7 2 6 2" xfId="18171"/>
    <cellStyle name="Normal 7 2 6 2 2" xfId="18172"/>
    <cellStyle name="Normal 7 2 6 2 2 2" xfId="18173"/>
    <cellStyle name="Normal 7 2 6 2 2 2 2" xfId="24048"/>
    <cellStyle name="Normal 7 2 6 2 2 3" xfId="18174"/>
    <cellStyle name="Normal 7 2 6 2 3" xfId="18175"/>
    <cellStyle name="Normal 7 2 6 2 3 2" xfId="18176"/>
    <cellStyle name="Normal 7 2 6 2 3 2 2" xfId="24049"/>
    <cellStyle name="Normal 7 2 6 2 3 3" xfId="18177"/>
    <cellStyle name="Normal 7 2 6 2 4" xfId="18178"/>
    <cellStyle name="Normal 7 2 6 2 4 2" xfId="24050"/>
    <cellStyle name="Normal 7 2 6 2 5" xfId="18179"/>
    <cellStyle name="Normal 7 2 6 3" xfId="18180"/>
    <cellStyle name="Normal 7 2 6 3 2" xfId="18181"/>
    <cellStyle name="Normal 7 2 6 3 2 2" xfId="24051"/>
    <cellStyle name="Normal 7 2 6 3 3" xfId="18182"/>
    <cellStyle name="Normal 7 2 6 4" xfId="18183"/>
    <cellStyle name="Normal 7 2 6 4 2" xfId="18184"/>
    <cellStyle name="Normal 7 2 6 4 2 2" xfId="24052"/>
    <cellStyle name="Normal 7 2 6 4 3" xfId="18185"/>
    <cellStyle name="Normal 7 2 6 5" xfId="18186"/>
    <cellStyle name="Normal 7 2 6 5 2" xfId="24053"/>
    <cellStyle name="Normal 7 2 6 6" xfId="18187"/>
    <cellStyle name="Normal 7 2 6 7" xfId="18188"/>
    <cellStyle name="Normal 7 2 7" xfId="18189"/>
    <cellStyle name="Normal 7 2 7 2" xfId="18190"/>
    <cellStyle name="Normal 7 2 7 2 2" xfId="18191"/>
    <cellStyle name="Normal 7 2 7 2 2 2" xfId="24054"/>
    <cellStyle name="Normal 7 2 7 2 3" xfId="18192"/>
    <cellStyle name="Normal 7 2 7 3" xfId="18193"/>
    <cellStyle name="Normal 7 2 7 3 2" xfId="18194"/>
    <cellStyle name="Normal 7 2 7 3 2 2" xfId="24055"/>
    <cellStyle name="Normal 7 2 7 3 3" xfId="18195"/>
    <cellStyle name="Normal 7 2 7 4" xfId="18196"/>
    <cellStyle name="Normal 7 2 7 4 2" xfId="24056"/>
    <cellStyle name="Normal 7 2 7 5" xfId="18197"/>
    <cellStyle name="Normal 7 2 8" xfId="18198"/>
    <cellStyle name="Normal 7 2 8 2" xfId="18199"/>
    <cellStyle name="Normal 7 2 8 2 2" xfId="24057"/>
    <cellStyle name="Normal 7 2 8 3" xfId="18200"/>
    <cellStyle name="Normal 7 2 9" xfId="18201"/>
    <cellStyle name="Normal 7 2 9 2" xfId="18202"/>
    <cellStyle name="Normal 7 2 9 2 2" xfId="24058"/>
    <cellStyle name="Normal 7 2 9 3" xfId="18203"/>
    <cellStyle name="Normal 7 3" xfId="1159"/>
    <cellStyle name="Normal 7 3 10" xfId="24059"/>
    <cellStyle name="Normal 7 3 11" xfId="24060"/>
    <cellStyle name="Normal 7 3 2" xfId="1160"/>
    <cellStyle name="Normal 7 3 2 2" xfId="1161"/>
    <cellStyle name="Normal 7 3 2 2 2" xfId="1162"/>
    <cellStyle name="Normal 7 3 2 2 2 2" xfId="18204"/>
    <cellStyle name="Normal 7 3 2 2 2 2 2" xfId="18205"/>
    <cellStyle name="Normal 7 3 2 2 2 2 2 2" xfId="18206"/>
    <cellStyle name="Normal 7 3 2 2 2 2 2 2 2" xfId="24061"/>
    <cellStyle name="Normal 7 3 2 2 2 2 2 3" xfId="18207"/>
    <cellStyle name="Normal 7 3 2 2 2 2 3" xfId="18208"/>
    <cellStyle name="Normal 7 3 2 2 2 2 3 2" xfId="18209"/>
    <cellStyle name="Normal 7 3 2 2 2 2 3 2 2" xfId="24062"/>
    <cellStyle name="Normal 7 3 2 2 2 2 3 3" xfId="18210"/>
    <cellStyle name="Normal 7 3 2 2 2 2 4" xfId="18211"/>
    <cellStyle name="Normal 7 3 2 2 2 2 4 2" xfId="24063"/>
    <cellStyle name="Normal 7 3 2 2 2 2 5" xfId="18212"/>
    <cellStyle name="Normal 7 3 2 2 2 3" xfId="18213"/>
    <cellStyle name="Normal 7 3 2 2 2 3 2" xfId="18214"/>
    <cellStyle name="Normal 7 3 2 2 2 3 2 2" xfId="24064"/>
    <cellStyle name="Normal 7 3 2 2 2 3 3" xfId="18215"/>
    <cellStyle name="Normal 7 3 2 2 2 4" xfId="18216"/>
    <cellStyle name="Normal 7 3 2 2 2 4 2" xfId="18217"/>
    <cellStyle name="Normal 7 3 2 2 2 4 2 2" xfId="24065"/>
    <cellStyle name="Normal 7 3 2 2 2 4 3" xfId="18218"/>
    <cellStyle name="Normal 7 3 2 2 2 5" xfId="18219"/>
    <cellStyle name="Normal 7 3 2 2 2 5 2" xfId="24066"/>
    <cellStyle name="Normal 7 3 2 2 2 6" xfId="18220"/>
    <cellStyle name="Normal 7 3 2 2 3" xfId="18221"/>
    <cellStyle name="Normal 7 3 2 2 3 2" xfId="18222"/>
    <cellStyle name="Normal 7 3 2 2 3 2 2" xfId="18223"/>
    <cellStyle name="Normal 7 3 2 2 3 2 2 2" xfId="24067"/>
    <cellStyle name="Normal 7 3 2 2 3 2 3" xfId="18224"/>
    <cellStyle name="Normal 7 3 2 2 3 3" xfId="18225"/>
    <cellStyle name="Normal 7 3 2 2 3 3 2" xfId="18226"/>
    <cellStyle name="Normal 7 3 2 2 3 3 2 2" xfId="24068"/>
    <cellStyle name="Normal 7 3 2 2 3 3 3" xfId="18227"/>
    <cellStyle name="Normal 7 3 2 2 3 4" xfId="18228"/>
    <cellStyle name="Normal 7 3 2 2 3 4 2" xfId="24069"/>
    <cellStyle name="Normal 7 3 2 2 3 5" xfId="18229"/>
    <cellStyle name="Normal 7 3 2 2 4" xfId="18230"/>
    <cellStyle name="Normal 7 3 2 2 4 2" xfId="18231"/>
    <cellStyle name="Normal 7 3 2 2 4 2 2" xfId="24070"/>
    <cellStyle name="Normal 7 3 2 2 4 3" xfId="18232"/>
    <cellStyle name="Normal 7 3 2 2 5" xfId="18233"/>
    <cellStyle name="Normal 7 3 2 2 5 2" xfId="18234"/>
    <cellStyle name="Normal 7 3 2 2 5 2 2" xfId="24071"/>
    <cellStyle name="Normal 7 3 2 2 5 3" xfId="18235"/>
    <cellStyle name="Normal 7 3 2 2 6" xfId="18236"/>
    <cellStyle name="Normal 7 3 2 2 6 2" xfId="24072"/>
    <cellStyle name="Normal 7 3 2 2 7" xfId="18237"/>
    <cellStyle name="Normal 7 3 2 3" xfId="1163"/>
    <cellStyle name="Normal 7 3 2 3 2" xfId="18238"/>
    <cellStyle name="Normal 7 3 2 3 2 2" xfId="18239"/>
    <cellStyle name="Normal 7 3 2 3 2 2 2" xfId="18240"/>
    <cellStyle name="Normal 7 3 2 3 2 2 2 2" xfId="24073"/>
    <cellStyle name="Normal 7 3 2 3 2 2 3" xfId="18241"/>
    <cellStyle name="Normal 7 3 2 3 2 3" xfId="18242"/>
    <cellStyle name="Normal 7 3 2 3 2 3 2" xfId="18243"/>
    <cellStyle name="Normal 7 3 2 3 2 3 2 2" xfId="24074"/>
    <cellStyle name="Normal 7 3 2 3 2 3 3" xfId="18244"/>
    <cellStyle name="Normal 7 3 2 3 2 4" xfId="18245"/>
    <cellStyle name="Normal 7 3 2 3 2 4 2" xfId="24075"/>
    <cellStyle name="Normal 7 3 2 3 2 5" xfId="18246"/>
    <cellStyle name="Normal 7 3 2 3 3" xfId="18247"/>
    <cellStyle name="Normal 7 3 2 3 3 2" xfId="18248"/>
    <cellStyle name="Normal 7 3 2 3 3 2 2" xfId="24076"/>
    <cellStyle name="Normal 7 3 2 3 3 3" xfId="18249"/>
    <cellStyle name="Normal 7 3 2 3 4" xfId="18250"/>
    <cellStyle name="Normal 7 3 2 3 4 2" xfId="18251"/>
    <cellStyle name="Normal 7 3 2 3 4 2 2" xfId="24077"/>
    <cellStyle name="Normal 7 3 2 3 4 3" xfId="18252"/>
    <cellStyle name="Normal 7 3 2 3 5" xfId="18253"/>
    <cellStyle name="Normal 7 3 2 3 5 2" xfId="24078"/>
    <cellStyle name="Normal 7 3 2 3 6" xfId="18254"/>
    <cellStyle name="Normal 7 3 2 4" xfId="18255"/>
    <cellStyle name="Normal 7 3 2 4 2" xfId="18256"/>
    <cellStyle name="Normal 7 3 2 4 2 2" xfId="18257"/>
    <cellStyle name="Normal 7 3 2 4 2 2 2" xfId="24079"/>
    <cellStyle name="Normal 7 3 2 4 2 3" xfId="18258"/>
    <cellStyle name="Normal 7 3 2 4 3" xfId="18259"/>
    <cellStyle name="Normal 7 3 2 4 3 2" xfId="18260"/>
    <cellStyle name="Normal 7 3 2 4 3 2 2" xfId="24080"/>
    <cellStyle name="Normal 7 3 2 4 3 3" xfId="18261"/>
    <cellStyle name="Normal 7 3 2 4 4" xfId="18262"/>
    <cellStyle name="Normal 7 3 2 4 4 2" xfId="24081"/>
    <cellStyle name="Normal 7 3 2 4 5" xfId="18263"/>
    <cellStyle name="Normal 7 3 2 5" xfId="18264"/>
    <cellStyle name="Normal 7 3 2 5 2" xfId="18265"/>
    <cellStyle name="Normal 7 3 2 5 2 2" xfId="24082"/>
    <cellStyle name="Normal 7 3 2 5 3" xfId="18266"/>
    <cellStyle name="Normal 7 3 2 6" xfId="18267"/>
    <cellStyle name="Normal 7 3 2 6 2" xfId="18268"/>
    <cellStyle name="Normal 7 3 2 6 2 2" xfId="24083"/>
    <cellStyle name="Normal 7 3 2 6 3" xfId="18269"/>
    <cellStyle name="Normal 7 3 2 7" xfId="18270"/>
    <cellStyle name="Normal 7 3 2 7 2" xfId="24084"/>
    <cellStyle name="Normal 7 3 2 8" xfId="18271"/>
    <cellStyle name="Normal 7 3 3" xfId="1164"/>
    <cellStyle name="Normal 7 3 3 2" xfId="1165"/>
    <cellStyle name="Normal 7 3 3 2 2" xfId="18272"/>
    <cellStyle name="Normal 7 3 3 2 2 2" xfId="18273"/>
    <cellStyle name="Normal 7 3 3 2 2 2 2" xfId="18274"/>
    <cellStyle name="Normal 7 3 3 2 2 2 2 2" xfId="24085"/>
    <cellStyle name="Normal 7 3 3 2 2 2 3" xfId="18275"/>
    <cellStyle name="Normal 7 3 3 2 2 3" xfId="18276"/>
    <cellStyle name="Normal 7 3 3 2 2 3 2" xfId="18277"/>
    <cellStyle name="Normal 7 3 3 2 2 3 2 2" xfId="24086"/>
    <cellStyle name="Normal 7 3 3 2 2 3 3" xfId="18278"/>
    <cellStyle name="Normal 7 3 3 2 2 4" xfId="18279"/>
    <cellStyle name="Normal 7 3 3 2 2 4 2" xfId="24087"/>
    <cellStyle name="Normal 7 3 3 2 2 5" xfId="18280"/>
    <cellStyle name="Normal 7 3 3 2 3" xfId="18281"/>
    <cellStyle name="Normal 7 3 3 2 3 2" xfId="18282"/>
    <cellStyle name="Normal 7 3 3 2 3 2 2" xfId="24088"/>
    <cellStyle name="Normal 7 3 3 2 3 3" xfId="18283"/>
    <cellStyle name="Normal 7 3 3 2 4" xfId="18284"/>
    <cellStyle name="Normal 7 3 3 2 4 2" xfId="18285"/>
    <cellStyle name="Normal 7 3 3 2 4 2 2" xfId="24089"/>
    <cellStyle name="Normal 7 3 3 2 4 3" xfId="18286"/>
    <cellStyle name="Normal 7 3 3 2 5" xfId="18287"/>
    <cellStyle name="Normal 7 3 3 2 5 2" xfId="24090"/>
    <cellStyle name="Normal 7 3 3 2 6" xfId="18288"/>
    <cellStyle name="Normal 7 3 3 3" xfId="18289"/>
    <cellStyle name="Normal 7 3 3 3 2" xfId="18290"/>
    <cellStyle name="Normal 7 3 3 3 2 2" xfId="18291"/>
    <cellStyle name="Normal 7 3 3 3 2 2 2" xfId="24091"/>
    <cellStyle name="Normal 7 3 3 3 2 3" xfId="18292"/>
    <cellStyle name="Normal 7 3 3 3 3" xfId="18293"/>
    <cellStyle name="Normal 7 3 3 3 3 2" xfId="18294"/>
    <cellStyle name="Normal 7 3 3 3 3 2 2" xfId="24092"/>
    <cellStyle name="Normal 7 3 3 3 3 3" xfId="18295"/>
    <cellStyle name="Normal 7 3 3 3 4" xfId="18296"/>
    <cellStyle name="Normal 7 3 3 3 4 2" xfId="24093"/>
    <cellStyle name="Normal 7 3 3 3 5" xfId="18297"/>
    <cellStyle name="Normal 7 3 3 4" xfId="18298"/>
    <cellStyle name="Normal 7 3 3 4 2" xfId="18299"/>
    <cellStyle name="Normal 7 3 3 4 2 2" xfId="24094"/>
    <cellStyle name="Normal 7 3 3 4 3" xfId="18300"/>
    <cellStyle name="Normal 7 3 3 5" xfId="18301"/>
    <cellStyle name="Normal 7 3 3 5 2" xfId="18302"/>
    <cellStyle name="Normal 7 3 3 5 2 2" xfId="24095"/>
    <cellStyle name="Normal 7 3 3 5 3" xfId="18303"/>
    <cellStyle name="Normal 7 3 3 6" xfId="18304"/>
    <cellStyle name="Normal 7 3 3 6 2" xfId="24096"/>
    <cellStyle name="Normal 7 3 3 7" xfId="18305"/>
    <cellStyle name="Normal 7 3 4" xfId="1166"/>
    <cellStyle name="Normal 7 3 4 2" xfId="18306"/>
    <cellStyle name="Normal 7 3 4 2 2" xfId="18307"/>
    <cellStyle name="Normal 7 3 4 2 2 2" xfId="18308"/>
    <cellStyle name="Normal 7 3 4 2 2 2 2" xfId="24097"/>
    <cellStyle name="Normal 7 3 4 2 2 3" xfId="18309"/>
    <cellStyle name="Normal 7 3 4 2 3" xfId="18310"/>
    <cellStyle name="Normal 7 3 4 2 3 2" xfId="18311"/>
    <cellStyle name="Normal 7 3 4 2 3 2 2" xfId="24098"/>
    <cellStyle name="Normal 7 3 4 2 3 3" xfId="18312"/>
    <cellStyle name="Normal 7 3 4 2 4" xfId="18313"/>
    <cellStyle name="Normal 7 3 4 2 4 2" xfId="24099"/>
    <cellStyle name="Normal 7 3 4 2 5" xfId="18314"/>
    <cellStyle name="Normal 7 3 4 3" xfId="18315"/>
    <cellStyle name="Normal 7 3 4 3 2" xfId="18316"/>
    <cellStyle name="Normal 7 3 4 3 2 2" xfId="24100"/>
    <cellStyle name="Normal 7 3 4 3 3" xfId="18317"/>
    <cellStyle name="Normal 7 3 4 4" xfId="18318"/>
    <cellStyle name="Normal 7 3 4 4 2" xfId="18319"/>
    <cellStyle name="Normal 7 3 4 4 2 2" xfId="24101"/>
    <cellStyle name="Normal 7 3 4 4 3" xfId="18320"/>
    <cellStyle name="Normal 7 3 4 5" xfId="18321"/>
    <cellStyle name="Normal 7 3 4 5 2" xfId="24102"/>
    <cellStyle name="Normal 7 3 4 6" xfId="18322"/>
    <cellStyle name="Normal 7 3 5" xfId="1167"/>
    <cellStyle name="Normal 7 3 5 2" xfId="18323"/>
    <cellStyle name="Normal 7 3 5 2 2" xfId="18324"/>
    <cellStyle name="Normal 7 3 5 2 2 2" xfId="24103"/>
    <cellStyle name="Normal 7 3 5 2 3" xfId="18325"/>
    <cellStyle name="Normal 7 3 5 3" xfId="18326"/>
    <cellStyle name="Normal 7 3 5 3 2" xfId="18327"/>
    <cellStyle name="Normal 7 3 5 3 2 2" xfId="24104"/>
    <cellStyle name="Normal 7 3 5 3 3" xfId="18328"/>
    <cellStyle name="Normal 7 3 5 4" xfId="18329"/>
    <cellStyle name="Normal 7 3 5 4 2" xfId="24105"/>
    <cellStyle name="Normal 7 3 5 5" xfId="18330"/>
    <cellStyle name="Normal 7 3 6" xfId="18331"/>
    <cellStyle name="Normal 7 3 6 2" xfId="18332"/>
    <cellStyle name="Normal 7 3 6 2 2" xfId="24106"/>
    <cellStyle name="Normal 7 3 6 3" xfId="18333"/>
    <cellStyle name="Normal 7 3 7" xfId="18334"/>
    <cellStyle name="Normal 7 3 7 2" xfId="18335"/>
    <cellStyle name="Normal 7 3 7 2 2" xfId="24107"/>
    <cellStyle name="Normal 7 3 7 3" xfId="18336"/>
    <cellStyle name="Normal 7 3 8" xfId="18337"/>
    <cellStyle name="Normal 7 3 8 2" xfId="24108"/>
    <cellStyle name="Normal 7 3 9" xfId="18338"/>
    <cellStyle name="Normal 7 3 9 2" xfId="24109"/>
    <cellStyle name="Normal 7 4" xfId="1168"/>
    <cellStyle name="Normal 7 4 2" xfId="1169"/>
    <cellStyle name="Normal 7 4 2 2" xfId="1170"/>
    <cellStyle name="Normal 7 4 2 2 2" xfId="18339"/>
    <cellStyle name="Normal 7 4 2 2 2 2" xfId="18340"/>
    <cellStyle name="Normal 7 4 2 2 2 2 2" xfId="18341"/>
    <cellStyle name="Normal 7 4 2 2 2 2 2 2" xfId="24110"/>
    <cellStyle name="Normal 7 4 2 2 2 2 3" xfId="18342"/>
    <cellStyle name="Normal 7 4 2 2 2 3" xfId="18343"/>
    <cellStyle name="Normal 7 4 2 2 2 3 2" xfId="18344"/>
    <cellStyle name="Normal 7 4 2 2 2 3 2 2" xfId="24111"/>
    <cellStyle name="Normal 7 4 2 2 2 3 3" xfId="18345"/>
    <cellStyle name="Normal 7 4 2 2 2 4" xfId="18346"/>
    <cellStyle name="Normal 7 4 2 2 2 4 2" xfId="24112"/>
    <cellStyle name="Normal 7 4 2 2 2 5" xfId="18347"/>
    <cellStyle name="Normal 7 4 2 2 3" xfId="18348"/>
    <cellStyle name="Normal 7 4 2 2 3 2" xfId="18349"/>
    <cellStyle name="Normal 7 4 2 2 3 2 2" xfId="24113"/>
    <cellStyle name="Normal 7 4 2 2 3 3" xfId="18350"/>
    <cellStyle name="Normal 7 4 2 2 4" xfId="18351"/>
    <cellStyle name="Normal 7 4 2 2 4 2" xfId="18352"/>
    <cellStyle name="Normal 7 4 2 2 4 2 2" xfId="24114"/>
    <cellStyle name="Normal 7 4 2 2 4 3" xfId="18353"/>
    <cellStyle name="Normal 7 4 2 2 5" xfId="18354"/>
    <cellStyle name="Normal 7 4 2 2 5 2" xfId="24115"/>
    <cellStyle name="Normal 7 4 2 2 6" xfId="18355"/>
    <cellStyle name="Normal 7 4 2 3" xfId="18356"/>
    <cellStyle name="Normal 7 4 2 3 2" xfId="18357"/>
    <cellStyle name="Normal 7 4 2 3 2 2" xfId="18358"/>
    <cellStyle name="Normal 7 4 2 3 2 2 2" xfId="24116"/>
    <cellStyle name="Normal 7 4 2 3 2 3" xfId="18359"/>
    <cellStyle name="Normal 7 4 2 3 3" xfId="18360"/>
    <cellStyle name="Normal 7 4 2 3 3 2" xfId="18361"/>
    <cellStyle name="Normal 7 4 2 3 3 2 2" xfId="24117"/>
    <cellStyle name="Normal 7 4 2 3 3 3" xfId="18362"/>
    <cellStyle name="Normal 7 4 2 3 4" xfId="18363"/>
    <cellStyle name="Normal 7 4 2 3 4 2" xfId="24118"/>
    <cellStyle name="Normal 7 4 2 3 5" xfId="18364"/>
    <cellStyle name="Normal 7 4 2 4" xfId="18365"/>
    <cellStyle name="Normal 7 4 2 4 2" xfId="18366"/>
    <cellStyle name="Normal 7 4 2 4 2 2" xfId="24119"/>
    <cellStyle name="Normal 7 4 2 4 3" xfId="18367"/>
    <cellStyle name="Normal 7 4 2 5" xfId="18368"/>
    <cellStyle name="Normal 7 4 2 5 2" xfId="18369"/>
    <cellStyle name="Normal 7 4 2 5 2 2" xfId="24120"/>
    <cellStyle name="Normal 7 4 2 5 3" xfId="18370"/>
    <cellStyle name="Normal 7 4 2 6" xfId="18371"/>
    <cellStyle name="Normal 7 4 2 6 2" xfId="24121"/>
    <cellStyle name="Normal 7 4 2 7" xfId="18372"/>
    <cellStyle name="Normal 7 4 3" xfId="1171"/>
    <cellStyle name="Normal 7 4 3 2" xfId="18373"/>
    <cellStyle name="Normal 7 4 3 2 2" xfId="18374"/>
    <cellStyle name="Normal 7 4 3 2 2 2" xfId="18375"/>
    <cellStyle name="Normal 7 4 3 2 2 2 2" xfId="24122"/>
    <cellStyle name="Normal 7 4 3 2 2 3" xfId="18376"/>
    <cellStyle name="Normal 7 4 3 2 3" xfId="18377"/>
    <cellStyle name="Normal 7 4 3 2 3 2" xfId="18378"/>
    <cellStyle name="Normal 7 4 3 2 3 2 2" xfId="24123"/>
    <cellStyle name="Normal 7 4 3 2 3 3" xfId="18379"/>
    <cellStyle name="Normal 7 4 3 2 4" xfId="18380"/>
    <cellStyle name="Normal 7 4 3 2 4 2" xfId="24124"/>
    <cellStyle name="Normal 7 4 3 2 5" xfId="18381"/>
    <cellStyle name="Normal 7 4 3 3" xfId="18382"/>
    <cellStyle name="Normal 7 4 3 3 2" xfId="18383"/>
    <cellStyle name="Normal 7 4 3 3 2 2" xfId="24125"/>
    <cellStyle name="Normal 7 4 3 3 3" xfId="18384"/>
    <cellStyle name="Normal 7 4 3 4" xfId="18385"/>
    <cellStyle name="Normal 7 4 3 4 2" xfId="18386"/>
    <cellStyle name="Normal 7 4 3 4 2 2" xfId="24126"/>
    <cellStyle name="Normal 7 4 3 4 3" xfId="18387"/>
    <cellStyle name="Normal 7 4 3 5" xfId="18388"/>
    <cellStyle name="Normal 7 4 3 5 2" xfId="24127"/>
    <cellStyle name="Normal 7 4 3 6" xfId="18389"/>
    <cellStyle name="Normal 7 4 4" xfId="18390"/>
    <cellStyle name="Normal 7 4 4 2" xfId="18391"/>
    <cellStyle name="Normal 7 4 4 2 2" xfId="18392"/>
    <cellStyle name="Normal 7 4 4 2 2 2" xfId="24128"/>
    <cellStyle name="Normal 7 4 4 2 3" xfId="18393"/>
    <cellStyle name="Normal 7 4 4 3" xfId="18394"/>
    <cellStyle name="Normal 7 4 4 3 2" xfId="18395"/>
    <cellStyle name="Normal 7 4 4 3 2 2" xfId="24129"/>
    <cellStyle name="Normal 7 4 4 3 3" xfId="18396"/>
    <cellStyle name="Normal 7 4 4 4" xfId="18397"/>
    <cellStyle name="Normal 7 4 4 4 2" xfId="24130"/>
    <cellStyle name="Normal 7 4 4 5" xfId="18398"/>
    <cellStyle name="Normal 7 4 4 6" xfId="18399"/>
    <cellStyle name="Normal 7 4 5" xfId="18400"/>
    <cellStyle name="Normal 7 4 5 2" xfId="18401"/>
    <cellStyle name="Normal 7 4 5 2 2" xfId="24131"/>
    <cellStyle name="Normal 7 4 5 3" xfId="18402"/>
    <cellStyle name="Normal 7 4 6" xfId="18403"/>
    <cellStyle name="Normal 7 4 6 2" xfId="18404"/>
    <cellStyle name="Normal 7 4 6 2 2" xfId="24132"/>
    <cellStyle name="Normal 7 4 6 3" xfId="18405"/>
    <cellStyle name="Normal 7 4 7" xfId="18406"/>
    <cellStyle name="Normal 7 4 7 2" xfId="24133"/>
    <cellStyle name="Normal 7 4 8" xfId="18407"/>
    <cellStyle name="Normal 7 5" xfId="1172"/>
    <cellStyle name="Normal 7 5 2" xfId="1173"/>
    <cellStyle name="Normal 7 5 2 2" xfId="18408"/>
    <cellStyle name="Normal 7 5 2 2 2" xfId="18409"/>
    <cellStyle name="Normal 7 5 2 2 2 2" xfId="18410"/>
    <cellStyle name="Normal 7 5 2 2 2 2 2" xfId="18411"/>
    <cellStyle name="Normal 7 5 2 2 2 2 2 2" xfId="24134"/>
    <cellStyle name="Normal 7 5 2 2 2 2 3" xfId="18412"/>
    <cellStyle name="Normal 7 5 2 2 2 3" xfId="18413"/>
    <cellStyle name="Normal 7 5 2 2 2 3 2" xfId="18414"/>
    <cellStyle name="Normal 7 5 2 2 2 3 2 2" xfId="24135"/>
    <cellStyle name="Normal 7 5 2 2 2 3 3" xfId="18415"/>
    <cellStyle name="Normal 7 5 2 2 2 4" xfId="18416"/>
    <cellStyle name="Normal 7 5 2 2 2 4 2" xfId="24136"/>
    <cellStyle name="Normal 7 5 2 2 2 5" xfId="18417"/>
    <cellStyle name="Normal 7 5 2 2 3" xfId="18418"/>
    <cellStyle name="Normal 7 5 2 2 3 2" xfId="18419"/>
    <cellStyle name="Normal 7 5 2 2 3 2 2" xfId="24137"/>
    <cellStyle name="Normal 7 5 2 2 3 3" xfId="18420"/>
    <cellStyle name="Normal 7 5 2 2 4" xfId="18421"/>
    <cellStyle name="Normal 7 5 2 2 4 2" xfId="18422"/>
    <cellStyle name="Normal 7 5 2 2 4 2 2" xfId="24138"/>
    <cellStyle name="Normal 7 5 2 2 4 3" xfId="18423"/>
    <cellStyle name="Normal 7 5 2 2 5" xfId="18424"/>
    <cellStyle name="Normal 7 5 2 2 5 2" xfId="24139"/>
    <cellStyle name="Normal 7 5 2 2 6" xfId="18425"/>
    <cellStyle name="Normal 7 5 2 3" xfId="18426"/>
    <cellStyle name="Normal 7 5 2 3 2" xfId="18427"/>
    <cellStyle name="Normal 7 5 2 3 2 2" xfId="18428"/>
    <cellStyle name="Normal 7 5 2 3 2 2 2" xfId="24140"/>
    <cellStyle name="Normal 7 5 2 3 2 3" xfId="18429"/>
    <cellStyle name="Normal 7 5 2 3 3" xfId="18430"/>
    <cellStyle name="Normal 7 5 2 3 3 2" xfId="18431"/>
    <cellStyle name="Normal 7 5 2 3 3 2 2" xfId="24141"/>
    <cellStyle name="Normal 7 5 2 3 3 3" xfId="18432"/>
    <cellStyle name="Normal 7 5 2 3 4" xfId="18433"/>
    <cellStyle name="Normal 7 5 2 3 4 2" xfId="24142"/>
    <cellStyle name="Normal 7 5 2 3 5" xfId="18434"/>
    <cellStyle name="Normal 7 5 2 4" xfId="18435"/>
    <cellStyle name="Normal 7 5 2 4 2" xfId="18436"/>
    <cellStyle name="Normal 7 5 2 4 2 2" xfId="24143"/>
    <cellStyle name="Normal 7 5 2 4 3" xfId="18437"/>
    <cellStyle name="Normal 7 5 2 5" xfId="18438"/>
    <cellStyle name="Normal 7 5 2 5 2" xfId="18439"/>
    <cellStyle name="Normal 7 5 2 5 2 2" xfId="24144"/>
    <cellStyle name="Normal 7 5 2 5 3" xfId="18440"/>
    <cellStyle name="Normal 7 5 2 6" xfId="18441"/>
    <cellStyle name="Normal 7 5 2 6 2" xfId="24145"/>
    <cellStyle name="Normal 7 5 2 7" xfId="18442"/>
    <cellStyle name="Normal 7 5 3" xfId="2056"/>
    <cellStyle name="Normal 7 5 3 2" xfId="18443"/>
    <cellStyle name="Normal 7 5 3 2 2" xfId="18444"/>
    <cellStyle name="Normal 7 5 3 2 2 2" xfId="18445"/>
    <cellStyle name="Normal 7 5 3 2 2 2 2" xfId="24146"/>
    <cellStyle name="Normal 7 5 3 2 2 3" xfId="18446"/>
    <cellStyle name="Normal 7 5 3 2 3" xfId="18447"/>
    <cellStyle name="Normal 7 5 3 2 3 2" xfId="18448"/>
    <cellStyle name="Normal 7 5 3 2 3 2 2" xfId="24147"/>
    <cellStyle name="Normal 7 5 3 2 3 3" xfId="18449"/>
    <cellStyle name="Normal 7 5 3 2 4" xfId="18450"/>
    <cellStyle name="Normal 7 5 3 2 4 2" xfId="24148"/>
    <cellStyle name="Normal 7 5 3 2 5" xfId="18451"/>
    <cellStyle name="Normal 7 5 3 3" xfId="18452"/>
    <cellStyle name="Normal 7 5 3 3 2" xfId="18453"/>
    <cellStyle name="Normal 7 5 3 3 2 2" xfId="24149"/>
    <cellStyle name="Normal 7 5 3 3 3" xfId="18454"/>
    <cellStyle name="Normal 7 5 3 4" xfId="18455"/>
    <cellStyle name="Normal 7 5 3 4 2" xfId="18456"/>
    <cellStyle name="Normal 7 5 3 4 2 2" xfId="24150"/>
    <cellStyle name="Normal 7 5 3 4 3" xfId="18457"/>
    <cellStyle name="Normal 7 5 3 5" xfId="18458"/>
    <cellStyle name="Normal 7 5 3 5 2" xfId="24151"/>
    <cellStyle name="Normal 7 5 3 6" xfId="18459"/>
    <cellStyle name="Normal 7 5 4" xfId="18460"/>
    <cellStyle name="Normal 7 5 4 2" xfId="18461"/>
    <cellStyle name="Normal 7 5 4 2 2" xfId="18462"/>
    <cellStyle name="Normal 7 5 4 2 2 2" xfId="24152"/>
    <cellStyle name="Normal 7 5 4 2 3" xfId="18463"/>
    <cellStyle name="Normal 7 5 4 3" xfId="18464"/>
    <cellStyle name="Normal 7 5 4 3 2" xfId="18465"/>
    <cellStyle name="Normal 7 5 4 3 2 2" xfId="24153"/>
    <cellStyle name="Normal 7 5 4 3 3" xfId="18466"/>
    <cellStyle name="Normal 7 5 4 4" xfId="18467"/>
    <cellStyle name="Normal 7 5 4 4 2" xfId="24154"/>
    <cellStyle name="Normal 7 5 4 5" xfId="18468"/>
    <cellStyle name="Normal 7 5 5" xfId="18469"/>
    <cellStyle name="Normal 7 5 5 2" xfId="18470"/>
    <cellStyle name="Normal 7 5 5 2 2" xfId="24155"/>
    <cellStyle name="Normal 7 5 5 3" xfId="18471"/>
    <cellStyle name="Normal 7 5 6" xfId="18472"/>
    <cellStyle name="Normal 7 5 6 2" xfId="18473"/>
    <cellStyle name="Normal 7 5 6 2 2" xfId="24156"/>
    <cellStyle name="Normal 7 5 6 3" xfId="18474"/>
    <cellStyle name="Normal 7 5 7" xfId="18475"/>
    <cellStyle name="Normal 7 5 7 2" xfId="24157"/>
    <cellStyle name="Normal 7 5 8" xfId="18476"/>
    <cellStyle name="Normal 7 6" xfId="1174"/>
    <cellStyle name="Normal 7 6 2" xfId="18477"/>
    <cellStyle name="Normal 7 6 2 2" xfId="18478"/>
    <cellStyle name="Normal 7 6 2 2 2" xfId="18479"/>
    <cellStyle name="Normal 7 6 2 2 2 2" xfId="18480"/>
    <cellStyle name="Normal 7 6 2 2 2 2 2" xfId="24158"/>
    <cellStyle name="Normal 7 6 2 2 2 3" xfId="18481"/>
    <cellStyle name="Normal 7 6 2 2 3" xfId="18482"/>
    <cellStyle name="Normal 7 6 2 2 3 2" xfId="18483"/>
    <cellStyle name="Normal 7 6 2 2 3 2 2" xfId="24159"/>
    <cellStyle name="Normal 7 6 2 2 3 3" xfId="18484"/>
    <cellStyle name="Normal 7 6 2 2 4" xfId="18485"/>
    <cellStyle name="Normal 7 6 2 2 4 2" xfId="24160"/>
    <cellStyle name="Normal 7 6 2 2 5" xfId="18486"/>
    <cellStyle name="Normal 7 6 2 3" xfId="18487"/>
    <cellStyle name="Normal 7 6 2 3 2" xfId="18488"/>
    <cellStyle name="Normal 7 6 2 3 2 2" xfId="24161"/>
    <cellStyle name="Normal 7 6 2 3 3" xfId="18489"/>
    <cellStyle name="Normal 7 6 2 4" xfId="18490"/>
    <cellStyle name="Normal 7 6 2 4 2" xfId="18491"/>
    <cellStyle name="Normal 7 6 2 4 2 2" xfId="24162"/>
    <cellStyle name="Normal 7 6 2 4 3" xfId="18492"/>
    <cellStyle name="Normal 7 6 2 5" xfId="18493"/>
    <cellStyle name="Normal 7 6 2 5 2" xfId="24163"/>
    <cellStyle name="Normal 7 6 2 6" xfId="18494"/>
    <cellStyle name="Normal 7 6 3" xfId="18495"/>
    <cellStyle name="Normal 7 6 3 2" xfId="18496"/>
    <cellStyle name="Normal 7 6 3 2 2" xfId="18497"/>
    <cellStyle name="Normal 7 6 3 2 2 2" xfId="24164"/>
    <cellStyle name="Normal 7 6 3 2 3" xfId="18498"/>
    <cellStyle name="Normal 7 6 3 3" xfId="18499"/>
    <cellStyle name="Normal 7 6 3 3 2" xfId="18500"/>
    <cellStyle name="Normal 7 6 3 3 2 2" xfId="24165"/>
    <cellStyle name="Normal 7 6 3 3 3" xfId="18501"/>
    <cellStyle name="Normal 7 6 3 4" xfId="18502"/>
    <cellStyle name="Normal 7 6 3 4 2" xfId="24166"/>
    <cellStyle name="Normal 7 6 3 5" xfId="18503"/>
    <cellStyle name="Normal 7 6 4" xfId="18504"/>
    <cellStyle name="Normal 7 6 4 2" xfId="18505"/>
    <cellStyle name="Normal 7 6 4 2 2" xfId="24167"/>
    <cellStyle name="Normal 7 6 4 3" xfId="18506"/>
    <cellStyle name="Normal 7 6 5" xfId="18507"/>
    <cellStyle name="Normal 7 6 5 2" xfId="18508"/>
    <cellStyle name="Normal 7 6 5 2 2" xfId="24168"/>
    <cellStyle name="Normal 7 6 5 3" xfId="18509"/>
    <cellStyle name="Normal 7 6 6" xfId="18510"/>
    <cellStyle name="Normal 7 6 6 2" xfId="24169"/>
    <cellStyle name="Normal 7 6 7" xfId="18511"/>
    <cellStyle name="Normal 7 7" xfId="2057"/>
    <cellStyle name="Normal 7 7 2" xfId="18512"/>
    <cellStyle name="Normal 7 7 2 2" xfId="18513"/>
    <cellStyle name="Normal 7 7 2 2 2" xfId="18514"/>
    <cellStyle name="Normal 7 7 2 2 2 2" xfId="24170"/>
    <cellStyle name="Normal 7 7 2 2 3" xfId="18515"/>
    <cellStyle name="Normal 7 7 2 3" xfId="18516"/>
    <cellStyle name="Normal 7 7 2 3 2" xfId="18517"/>
    <cellStyle name="Normal 7 7 2 3 2 2" xfId="24171"/>
    <cellStyle name="Normal 7 7 2 3 3" xfId="18518"/>
    <cellStyle name="Normal 7 7 2 4" xfId="18519"/>
    <cellStyle name="Normal 7 7 2 4 2" xfId="24172"/>
    <cellStyle name="Normal 7 7 2 5" xfId="18520"/>
    <cellStyle name="Normal 7 7 3" xfId="18521"/>
    <cellStyle name="Normal 7 7 3 2" xfId="18522"/>
    <cellStyle name="Normal 7 7 3 2 2" xfId="24173"/>
    <cellStyle name="Normal 7 7 3 3" xfId="18523"/>
    <cellStyle name="Normal 7 7 4" xfId="18524"/>
    <cellStyle name="Normal 7 7 4 2" xfId="18525"/>
    <cellStyle name="Normal 7 7 4 2 2" xfId="24174"/>
    <cellStyle name="Normal 7 7 4 3" xfId="18526"/>
    <cellStyle name="Normal 7 7 5" xfId="18527"/>
    <cellStyle name="Normal 7 7 5 2" xfId="24175"/>
    <cellStyle name="Normal 7 7 6" xfId="18528"/>
    <cellStyle name="Normal 7 8" xfId="2058"/>
    <cellStyle name="Normal 7 8 2" xfId="18529"/>
    <cellStyle name="Normal 7 8 2 2" xfId="18530"/>
    <cellStyle name="Normal 7 8 2 2 2" xfId="24176"/>
    <cellStyle name="Normal 7 8 2 3" xfId="18531"/>
    <cellStyle name="Normal 7 8 3" xfId="18532"/>
    <cellStyle name="Normal 7 8 3 2" xfId="18533"/>
    <cellStyle name="Normal 7 8 3 2 2" xfId="24177"/>
    <cellStyle name="Normal 7 8 3 3" xfId="18534"/>
    <cellStyle name="Normal 7 8 4" xfId="18535"/>
    <cellStyle name="Normal 7 8 4 2" xfId="24178"/>
    <cellStyle name="Normal 7 8 5" xfId="18536"/>
    <cellStyle name="Normal 7 9" xfId="2059"/>
    <cellStyle name="Normal 7 9 2" xfId="18537"/>
    <cellStyle name="Normal 7 9 2 2" xfId="24179"/>
    <cellStyle name="Normal 7 9 3" xfId="18538"/>
    <cellStyle name="Normal 7_2112 Salary" xfId="18539"/>
    <cellStyle name="Normal 70" xfId="331"/>
    <cellStyle name="Normal 70 2" xfId="1175"/>
    <cellStyle name="Normal 70 2 2" xfId="24180"/>
    <cellStyle name="Normal 70 3" xfId="1176"/>
    <cellStyle name="Normal 70 3 2" xfId="24181"/>
    <cellStyle name="Normal 70 4" xfId="24182"/>
    <cellStyle name="Normal 70 5" xfId="24183"/>
    <cellStyle name="Normal 71" xfId="332"/>
    <cellStyle name="Normal 71 2" xfId="24184"/>
    <cellStyle name="Normal 71 3" xfId="24185"/>
    <cellStyle name="Normal 72" xfId="333"/>
    <cellStyle name="Normal 72 2" xfId="18540"/>
    <cellStyle name="Normal 72 2 2" xfId="18541"/>
    <cellStyle name="Normal 72 2 2 2" xfId="18542"/>
    <cellStyle name="Normal 72 2 2 2 2" xfId="18543"/>
    <cellStyle name="Normal 72 2 2 2 2 2" xfId="24186"/>
    <cellStyle name="Normal 72 2 2 2 3" xfId="18544"/>
    <cellStyle name="Normal 72 2 2 3" xfId="18545"/>
    <cellStyle name="Normal 72 2 2 3 2" xfId="18546"/>
    <cellStyle name="Normal 72 2 2 3 2 2" xfId="24187"/>
    <cellStyle name="Normal 72 2 2 3 3" xfId="18547"/>
    <cellStyle name="Normal 72 2 2 4" xfId="18548"/>
    <cellStyle name="Normal 72 2 2 4 2" xfId="24188"/>
    <cellStyle name="Normal 72 2 2 5" xfId="18549"/>
    <cellStyle name="Normal 72 2 3" xfId="18550"/>
    <cellStyle name="Normal 72 2 3 2" xfId="18551"/>
    <cellStyle name="Normal 72 2 3 2 2" xfId="24189"/>
    <cellStyle name="Normal 72 2 3 3" xfId="18552"/>
    <cellStyle name="Normal 72 2 4" xfId="18553"/>
    <cellStyle name="Normal 72 2 4 2" xfId="18554"/>
    <cellStyle name="Normal 72 2 4 2 2" xfId="24190"/>
    <cellStyle name="Normal 72 2 4 3" xfId="18555"/>
    <cellStyle name="Normal 72 2 5" xfId="18556"/>
    <cellStyle name="Normal 72 2 5 2" xfId="24191"/>
    <cellStyle name="Normal 72 2 6" xfId="18557"/>
    <cellStyle name="Normal 72 3" xfId="18558"/>
    <cellStyle name="Normal 72 3 2" xfId="18559"/>
    <cellStyle name="Normal 72 3 2 2" xfId="18560"/>
    <cellStyle name="Normal 72 3 2 2 2" xfId="24192"/>
    <cellStyle name="Normal 72 3 2 3" xfId="18561"/>
    <cellStyle name="Normal 72 3 3" xfId="18562"/>
    <cellStyle name="Normal 72 3 3 2" xfId="18563"/>
    <cellStyle name="Normal 72 3 3 2 2" xfId="24193"/>
    <cellStyle name="Normal 72 3 3 3" xfId="18564"/>
    <cellStyle name="Normal 72 3 4" xfId="18565"/>
    <cellStyle name="Normal 72 3 4 2" xfId="24194"/>
    <cellStyle name="Normal 72 3 5" xfId="18566"/>
    <cellStyle name="Normal 72 4" xfId="18567"/>
    <cellStyle name="Normal 72 4 2" xfId="18568"/>
    <cellStyle name="Normal 72 4 2 2" xfId="24195"/>
    <cellStyle name="Normal 72 4 3" xfId="18569"/>
    <cellStyle name="Normal 72 5" xfId="18570"/>
    <cellStyle name="Normal 72 5 2" xfId="18571"/>
    <cellStyle name="Normal 72 5 2 2" xfId="24196"/>
    <cellStyle name="Normal 72 5 3" xfId="18572"/>
    <cellStyle name="Normal 72 6" xfId="18573"/>
    <cellStyle name="Normal 72 6 2" xfId="24197"/>
    <cellStyle name="Normal 72 7" xfId="18574"/>
    <cellStyle name="Normal 72 8" xfId="24198"/>
    <cellStyle name="Normal 73" xfId="334"/>
    <cellStyle name="Normal 73 2" xfId="18575"/>
    <cellStyle name="Normal 73 2 2" xfId="24199"/>
    <cellStyle name="Normal 73 3" xfId="24200"/>
    <cellStyle name="Normal 73 4" xfId="24201"/>
    <cellStyle name="Normal 74" xfId="335"/>
    <cellStyle name="Normal 74 2" xfId="24202"/>
    <cellStyle name="Normal 74 3" xfId="24203"/>
    <cellStyle name="Normal 75" xfId="336"/>
    <cellStyle name="Normal 75 2" xfId="24204"/>
    <cellStyle name="Normal 75 3" xfId="24205"/>
    <cellStyle name="Normal 76" xfId="337"/>
    <cellStyle name="Normal 76 2" xfId="24206"/>
    <cellStyle name="Normal 76 3" xfId="24207"/>
    <cellStyle name="Normal 77" xfId="338"/>
    <cellStyle name="Normal 77 2" xfId="24208"/>
    <cellStyle name="Normal 77 3" xfId="24209"/>
    <cellStyle name="Normal 78" xfId="339"/>
    <cellStyle name="Normal 78 2" xfId="24210"/>
    <cellStyle name="Normal 78 3" xfId="24211"/>
    <cellStyle name="Normal 79" xfId="340"/>
    <cellStyle name="Normal 79 2" xfId="24212"/>
    <cellStyle name="Normal 79 3" xfId="24213"/>
    <cellStyle name="Normal 8" xfId="56"/>
    <cellStyle name="Normal 8 10" xfId="18576"/>
    <cellStyle name="Normal 8 10 2" xfId="24214"/>
    <cellStyle name="Normal 8 11" xfId="18577"/>
    <cellStyle name="Normal 8 12" xfId="24215"/>
    <cellStyle name="Normal 8 2" xfId="57"/>
    <cellStyle name="Normal 8 2 10" xfId="24216"/>
    <cellStyle name="Normal 8 2 11" xfId="24217"/>
    <cellStyle name="Normal 8 2 2" xfId="1177"/>
    <cellStyle name="Normal 8 2 2 2" xfId="1178"/>
    <cellStyle name="Normal 8 2 2 2 2" xfId="1179"/>
    <cellStyle name="Normal 8 2 2 2 2 2" xfId="18578"/>
    <cellStyle name="Normal 8 2 2 2 2 2 2" xfId="18579"/>
    <cellStyle name="Normal 8 2 2 2 2 2 2 2" xfId="18580"/>
    <cellStyle name="Normal 8 2 2 2 2 2 2 2 2" xfId="24218"/>
    <cellStyle name="Normal 8 2 2 2 2 2 2 3" xfId="18581"/>
    <cellStyle name="Normal 8 2 2 2 2 2 3" xfId="18582"/>
    <cellStyle name="Normal 8 2 2 2 2 2 3 2" xfId="18583"/>
    <cellStyle name="Normal 8 2 2 2 2 2 3 2 2" xfId="24219"/>
    <cellStyle name="Normal 8 2 2 2 2 2 3 3" xfId="18584"/>
    <cellStyle name="Normal 8 2 2 2 2 2 4" xfId="18585"/>
    <cellStyle name="Normal 8 2 2 2 2 2 4 2" xfId="24220"/>
    <cellStyle name="Normal 8 2 2 2 2 2 5" xfId="18586"/>
    <cellStyle name="Normal 8 2 2 2 2 3" xfId="18587"/>
    <cellStyle name="Normal 8 2 2 2 2 3 2" xfId="18588"/>
    <cellStyle name="Normal 8 2 2 2 2 3 2 2" xfId="24221"/>
    <cellStyle name="Normal 8 2 2 2 2 3 3" xfId="18589"/>
    <cellStyle name="Normal 8 2 2 2 2 4" xfId="18590"/>
    <cellStyle name="Normal 8 2 2 2 2 4 2" xfId="18591"/>
    <cellStyle name="Normal 8 2 2 2 2 4 2 2" xfId="24222"/>
    <cellStyle name="Normal 8 2 2 2 2 4 3" xfId="18592"/>
    <cellStyle name="Normal 8 2 2 2 2 5" xfId="18593"/>
    <cellStyle name="Normal 8 2 2 2 2 5 2" xfId="24223"/>
    <cellStyle name="Normal 8 2 2 2 2 6" xfId="18594"/>
    <cellStyle name="Normal 8 2 2 2 3" xfId="18595"/>
    <cellStyle name="Normal 8 2 2 2 3 2" xfId="18596"/>
    <cellStyle name="Normal 8 2 2 2 3 2 2" xfId="18597"/>
    <cellStyle name="Normal 8 2 2 2 3 2 2 2" xfId="24224"/>
    <cellStyle name="Normal 8 2 2 2 3 2 3" xfId="18598"/>
    <cellStyle name="Normal 8 2 2 2 3 3" xfId="18599"/>
    <cellStyle name="Normal 8 2 2 2 3 3 2" xfId="18600"/>
    <cellStyle name="Normal 8 2 2 2 3 3 2 2" xfId="24225"/>
    <cellStyle name="Normal 8 2 2 2 3 3 3" xfId="18601"/>
    <cellStyle name="Normal 8 2 2 2 3 4" xfId="18602"/>
    <cellStyle name="Normal 8 2 2 2 3 4 2" xfId="24226"/>
    <cellStyle name="Normal 8 2 2 2 3 5" xfId="18603"/>
    <cellStyle name="Normal 8 2 2 2 4" xfId="18604"/>
    <cellStyle name="Normal 8 2 2 2 4 2" xfId="18605"/>
    <cellStyle name="Normal 8 2 2 2 4 2 2" xfId="24227"/>
    <cellStyle name="Normal 8 2 2 2 4 3" xfId="18606"/>
    <cellStyle name="Normal 8 2 2 2 5" xfId="18607"/>
    <cellStyle name="Normal 8 2 2 2 5 2" xfId="18608"/>
    <cellStyle name="Normal 8 2 2 2 5 2 2" xfId="24228"/>
    <cellStyle name="Normal 8 2 2 2 5 3" xfId="18609"/>
    <cellStyle name="Normal 8 2 2 2 6" xfId="18610"/>
    <cellStyle name="Normal 8 2 2 2 6 2" xfId="24229"/>
    <cellStyle name="Normal 8 2 2 2 7" xfId="18611"/>
    <cellStyle name="Normal 8 2 2 2 8" xfId="18612"/>
    <cellStyle name="Normal 8 2 2 3" xfId="1180"/>
    <cellStyle name="Normal 8 2 2 3 2" xfId="18613"/>
    <cellStyle name="Normal 8 2 2 3 2 2" xfId="18614"/>
    <cellStyle name="Normal 8 2 2 3 2 2 2" xfId="18615"/>
    <cellStyle name="Normal 8 2 2 3 2 2 2 2" xfId="24230"/>
    <cellStyle name="Normal 8 2 2 3 2 2 3" xfId="18616"/>
    <cellStyle name="Normal 8 2 2 3 2 3" xfId="18617"/>
    <cellStyle name="Normal 8 2 2 3 2 3 2" xfId="18618"/>
    <cellStyle name="Normal 8 2 2 3 2 3 2 2" xfId="24231"/>
    <cellStyle name="Normal 8 2 2 3 2 3 3" xfId="18619"/>
    <cellStyle name="Normal 8 2 2 3 2 4" xfId="18620"/>
    <cellStyle name="Normal 8 2 2 3 2 4 2" xfId="24232"/>
    <cellStyle name="Normal 8 2 2 3 2 5" xfId="18621"/>
    <cellStyle name="Normal 8 2 2 3 3" xfId="18622"/>
    <cellStyle name="Normal 8 2 2 3 3 2" xfId="18623"/>
    <cellStyle name="Normal 8 2 2 3 3 2 2" xfId="24233"/>
    <cellStyle name="Normal 8 2 2 3 3 3" xfId="18624"/>
    <cellStyle name="Normal 8 2 2 3 4" xfId="18625"/>
    <cellStyle name="Normal 8 2 2 3 4 2" xfId="18626"/>
    <cellStyle name="Normal 8 2 2 3 4 2 2" xfId="24234"/>
    <cellStyle name="Normal 8 2 2 3 4 3" xfId="18627"/>
    <cellStyle name="Normal 8 2 2 3 5" xfId="18628"/>
    <cellStyle name="Normal 8 2 2 3 5 2" xfId="24235"/>
    <cellStyle name="Normal 8 2 2 3 6" xfId="18629"/>
    <cellStyle name="Normal 8 2 2 4" xfId="18630"/>
    <cellStyle name="Normal 8 2 2 4 2" xfId="18631"/>
    <cellStyle name="Normal 8 2 2 4 2 2" xfId="18632"/>
    <cellStyle name="Normal 8 2 2 4 2 2 2" xfId="24236"/>
    <cellStyle name="Normal 8 2 2 4 2 3" xfId="18633"/>
    <cellStyle name="Normal 8 2 2 4 3" xfId="18634"/>
    <cellStyle name="Normal 8 2 2 4 3 2" xfId="18635"/>
    <cellStyle name="Normal 8 2 2 4 3 2 2" xfId="24237"/>
    <cellStyle name="Normal 8 2 2 4 3 3" xfId="18636"/>
    <cellStyle name="Normal 8 2 2 4 4" xfId="18637"/>
    <cellStyle name="Normal 8 2 2 4 4 2" xfId="24238"/>
    <cellStyle name="Normal 8 2 2 4 5" xfId="18638"/>
    <cellStyle name="Normal 8 2 2 5" xfId="18639"/>
    <cellStyle name="Normal 8 2 2 5 2" xfId="18640"/>
    <cellStyle name="Normal 8 2 2 5 2 2" xfId="24239"/>
    <cellStyle name="Normal 8 2 2 5 3" xfId="18641"/>
    <cellStyle name="Normal 8 2 2 6" xfId="18642"/>
    <cellStyle name="Normal 8 2 2 6 2" xfId="18643"/>
    <cellStyle name="Normal 8 2 2 6 2 2" xfId="24240"/>
    <cellStyle name="Normal 8 2 2 6 3" xfId="18644"/>
    <cellStyle name="Normal 8 2 2 7" xfId="18645"/>
    <cellStyle name="Normal 8 2 2 7 2" xfId="24241"/>
    <cellStyle name="Normal 8 2 2 8" xfId="18646"/>
    <cellStyle name="Normal 8 2 2 9" xfId="24242"/>
    <cellStyle name="Normal 8 2 3" xfId="1181"/>
    <cellStyle name="Normal 8 2 3 2" xfId="1182"/>
    <cellStyle name="Normal 8 2 3 2 2" xfId="18647"/>
    <cellStyle name="Normal 8 2 3 2 2 2" xfId="18648"/>
    <cellStyle name="Normal 8 2 3 2 2 2 2" xfId="18649"/>
    <cellStyle name="Normal 8 2 3 2 2 2 2 2" xfId="24243"/>
    <cellStyle name="Normal 8 2 3 2 2 2 3" xfId="18650"/>
    <cellStyle name="Normal 8 2 3 2 2 3" xfId="18651"/>
    <cellStyle name="Normal 8 2 3 2 2 3 2" xfId="18652"/>
    <cellStyle name="Normal 8 2 3 2 2 3 2 2" xfId="24244"/>
    <cellStyle name="Normal 8 2 3 2 2 3 3" xfId="18653"/>
    <cellStyle name="Normal 8 2 3 2 2 4" xfId="18654"/>
    <cellStyle name="Normal 8 2 3 2 2 4 2" xfId="24245"/>
    <cellStyle name="Normal 8 2 3 2 2 5" xfId="18655"/>
    <cellStyle name="Normal 8 2 3 2 3" xfId="18656"/>
    <cellStyle name="Normal 8 2 3 2 3 2" xfId="18657"/>
    <cellStyle name="Normal 8 2 3 2 3 2 2" xfId="24246"/>
    <cellStyle name="Normal 8 2 3 2 3 3" xfId="18658"/>
    <cellStyle name="Normal 8 2 3 2 4" xfId="18659"/>
    <cellStyle name="Normal 8 2 3 2 4 2" xfId="18660"/>
    <cellStyle name="Normal 8 2 3 2 4 2 2" xfId="24247"/>
    <cellStyle name="Normal 8 2 3 2 4 3" xfId="18661"/>
    <cellStyle name="Normal 8 2 3 2 5" xfId="18662"/>
    <cellStyle name="Normal 8 2 3 2 5 2" xfId="24248"/>
    <cellStyle name="Normal 8 2 3 2 6" xfId="18663"/>
    <cellStyle name="Normal 8 2 3 3" xfId="2060"/>
    <cellStyle name="Normal 8 2 3 3 2" xfId="18664"/>
    <cellStyle name="Normal 8 2 3 3 2 2" xfId="18665"/>
    <cellStyle name="Normal 8 2 3 3 2 2 2" xfId="24249"/>
    <cellStyle name="Normal 8 2 3 3 2 3" xfId="18666"/>
    <cellStyle name="Normal 8 2 3 3 3" xfId="18667"/>
    <cellStyle name="Normal 8 2 3 3 3 2" xfId="18668"/>
    <cellStyle name="Normal 8 2 3 3 3 2 2" xfId="24250"/>
    <cellStyle name="Normal 8 2 3 3 3 3" xfId="18669"/>
    <cellStyle name="Normal 8 2 3 3 4" xfId="18670"/>
    <cellStyle name="Normal 8 2 3 3 4 2" xfId="24251"/>
    <cellStyle name="Normal 8 2 3 3 5" xfId="18671"/>
    <cellStyle name="Normal 8 2 3 4" xfId="18672"/>
    <cellStyle name="Normal 8 2 3 4 2" xfId="18673"/>
    <cellStyle name="Normal 8 2 3 4 2 2" xfId="24252"/>
    <cellStyle name="Normal 8 2 3 4 3" xfId="18674"/>
    <cellStyle name="Normal 8 2 3 4 4" xfId="18675"/>
    <cellStyle name="Normal 8 2 3 5" xfId="18676"/>
    <cellStyle name="Normal 8 2 3 5 2" xfId="18677"/>
    <cellStyle name="Normal 8 2 3 5 2 2" xfId="24253"/>
    <cellStyle name="Normal 8 2 3 5 3" xfId="18678"/>
    <cellStyle name="Normal 8 2 3 6" xfId="18679"/>
    <cellStyle name="Normal 8 2 3 6 2" xfId="24254"/>
    <cellStyle name="Normal 8 2 3 7" xfId="18680"/>
    <cellStyle name="Normal 8 2 4" xfId="1183"/>
    <cellStyle name="Normal 8 2 4 2" xfId="18681"/>
    <cellStyle name="Normal 8 2 4 2 2" xfId="18682"/>
    <cellStyle name="Normal 8 2 4 2 2 2" xfId="18683"/>
    <cellStyle name="Normal 8 2 4 2 2 2 2" xfId="24255"/>
    <cellStyle name="Normal 8 2 4 2 2 3" xfId="18684"/>
    <cellStyle name="Normal 8 2 4 2 3" xfId="18685"/>
    <cellStyle name="Normal 8 2 4 2 3 2" xfId="18686"/>
    <cellStyle name="Normal 8 2 4 2 3 2 2" xfId="24256"/>
    <cellStyle name="Normal 8 2 4 2 3 3" xfId="18687"/>
    <cellStyle name="Normal 8 2 4 2 4" xfId="18688"/>
    <cellStyle name="Normal 8 2 4 2 4 2" xfId="24257"/>
    <cellStyle name="Normal 8 2 4 2 5" xfId="18689"/>
    <cellStyle name="Normal 8 2 4 3" xfId="18690"/>
    <cellStyle name="Normal 8 2 4 3 2" xfId="18691"/>
    <cellStyle name="Normal 8 2 4 3 2 2" xfId="24258"/>
    <cellStyle name="Normal 8 2 4 3 3" xfId="18692"/>
    <cellStyle name="Normal 8 2 4 4" xfId="18693"/>
    <cellStyle name="Normal 8 2 4 4 2" xfId="18694"/>
    <cellStyle name="Normal 8 2 4 4 2 2" xfId="24259"/>
    <cellStyle name="Normal 8 2 4 4 3" xfId="18695"/>
    <cellStyle name="Normal 8 2 4 5" xfId="18696"/>
    <cellStyle name="Normal 8 2 4 5 2" xfId="24260"/>
    <cellStyle name="Normal 8 2 4 6" xfId="18697"/>
    <cellStyle name="Normal 8 2 5" xfId="2061"/>
    <cellStyle name="Normal 8 2 5 2" xfId="18698"/>
    <cellStyle name="Normal 8 2 5 2 2" xfId="18699"/>
    <cellStyle name="Normal 8 2 5 2 2 2" xfId="24261"/>
    <cellStyle name="Normal 8 2 5 2 3" xfId="18700"/>
    <cellStyle name="Normal 8 2 5 3" xfId="18701"/>
    <cellStyle name="Normal 8 2 5 3 2" xfId="18702"/>
    <cellStyle name="Normal 8 2 5 3 2 2" xfId="24262"/>
    <cellStyle name="Normal 8 2 5 3 3" xfId="18703"/>
    <cellStyle name="Normal 8 2 5 4" xfId="18704"/>
    <cellStyle name="Normal 8 2 5 4 2" xfId="24263"/>
    <cellStyle name="Normal 8 2 5 5" xfId="18705"/>
    <cellStyle name="Normal 8 2 6" xfId="2062"/>
    <cellStyle name="Normal 8 2 6 2" xfId="18706"/>
    <cellStyle name="Normal 8 2 6 2 2" xfId="24264"/>
    <cellStyle name="Normal 8 2 6 3" xfId="18707"/>
    <cellStyle name="Normal 8 2 7" xfId="18708"/>
    <cellStyle name="Normal 8 2 7 2" xfId="18709"/>
    <cellStyle name="Normal 8 2 7 2 2" xfId="24265"/>
    <cellStyle name="Normal 8 2 7 3" xfId="18710"/>
    <cellStyle name="Normal 8 2 8" xfId="18711"/>
    <cellStyle name="Normal 8 2 8 2" xfId="24266"/>
    <cellStyle name="Normal 8 2 9" xfId="18712"/>
    <cellStyle name="Normal 8 2 9 2" xfId="24267"/>
    <cellStyle name="Normal 8 3" xfId="1184"/>
    <cellStyle name="Normal 8 3 2" xfId="1185"/>
    <cellStyle name="Normal 8 3 2 2" xfId="1186"/>
    <cellStyle name="Normal 8 3 2 2 2" xfId="18713"/>
    <cellStyle name="Normal 8 3 2 2 2 2" xfId="18714"/>
    <cellStyle name="Normal 8 3 2 2 2 2 2" xfId="18715"/>
    <cellStyle name="Normal 8 3 2 2 2 2 2 2" xfId="24268"/>
    <cellStyle name="Normal 8 3 2 2 2 2 3" xfId="18716"/>
    <cellStyle name="Normal 8 3 2 2 2 3" xfId="18717"/>
    <cellStyle name="Normal 8 3 2 2 2 3 2" xfId="18718"/>
    <cellStyle name="Normal 8 3 2 2 2 3 2 2" xfId="24269"/>
    <cellStyle name="Normal 8 3 2 2 2 3 3" xfId="18719"/>
    <cellStyle name="Normal 8 3 2 2 2 4" xfId="18720"/>
    <cellStyle name="Normal 8 3 2 2 2 4 2" xfId="24270"/>
    <cellStyle name="Normal 8 3 2 2 2 5" xfId="18721"/>
    <cellStyle name="Normal 8 3 2 2 3" xfId="18722"/>
    <cellStyle name="Normal 8 3 2 2 3 2" xfId="18723"/>
    <cellStyle name="Normal 8 3 2 2 3 2 2" xfId="24271"/>
    <cellStyle name="Normal 8 3 2 2 3 3" xfId="18724"/>
    <cellStyle name="Normal 8 3 2 2 4" xfId="18725"/>
    <cellStyle name="Normal 8 3 2 2 4 2" xfId="18726"/>
    <cellStyle name="Normal 8 3 2 2 4 2 2" xfId="24272"/>
    <cellStyle name="Normal 8 3 2 2 4 3" xfId="18727"/>
    <cellStyle name="Normal 8 3 2 2 5" xfId="18728"/>
    <cellStyle name="Normal 8 3 2 2 5 2" xfId="24273"/>
    <cellStyle name="Normal 8 3 2 2 6" xfId="18729"/>
    <cellStyle name="Normal 8 3 2 3" xfId="18730"/>
    <cellStyle name="Normal 8 3 2 3 2" xfId="18731"/>
    <cellStyle name="Normal 8 3 2 3 2 2" xfId="18732"/>
    <cellStyle name="Normal 8 3 2 3 2 2 2" xfId="24274"/>
    <cellStyle name="Normal 8 3 2 3 2 3" xfId="18733"/>
    <cellStyle name="Normal 8 3 2 3 3" xfId="18734"/>
    <cellStyle name="Normal 8 3 2 3 3 2" xfId="18735"/>
    <cellStyle name="Normal 8 3 2 3 3 2 2" xfId="24275"/>
    <cellStyle name="Normal 8 3 2 3 3 3" xfId="18736"/>
    <cellStyle name="Normal 8 3 2 3 4" xfId="18737"/>
    <cellStyle name="Normal 8 3 2 3 4 2" xfId="24276"/>
    <cellStyle name="Normal 8 3 2 3 5" xfId="18738"/>
    <cellStyle name="Normal 8 3 2 4" xfId="18739"/>
    <cellStyle name="Normal 8 3 2 4 2" xfId="18740"/>
    <cellStyle name="Normal 8 3 2 4 2 2" xfId="24277"/>
    <cellStyle name="Normal 8 3 2 4 3" xfId="18741"/>
    <cellStyle name="Normal 8 3 2 5" xfId="18742"/>
    <cellStyle name="Normal 8 3 2 5 2" xfId="18743"/>
    <cellStyle name="Normal 8 3 2 5 2 2" xfId="24278"/>
    <cellStyle name="Normal 8 3 2 5 3" xfId="18744"/>
    <cellStyle name="Normal 8 3 2 6" xfId="18745"/>
    <cellStyle name="Normal 8 3 2 6 2" xfId="24279"/>
    <cellStyle name="Normal 8 3 2 7" xfId="18746"/>
    <cellStyle name="Normal 8 3 3" xfId="1187"/>
    <cellStyle name="Normal 8 3 3 2" xfId="18747"/>
    <cellStyle name="Normal 8 3 3 2 2" xfId="18748"/>
    <cellStyle name="Normal 8 3 3 2 2 2" xfId="18749"/>
    <cellStyle name="Normal 8 3 3 2 2 2 2" xfId="24280"/>
    <cellStyle name="Normal 8 3 3 2 2 3" xfId="18750"/>
    <cellStyle name="Normal 8 3 3 2 3" xfId="18751"/>
    <cellStyle name="Normal 8 3 3 2 3 2" xfId="18752"/>
    <cellStyle name="Normal 8 3 3 2 3 2 2" xfId="24281"/>
    <cellStyle name="Normal 8 3 3 2 3 3" xfId="18753"/>
    <cellStyle name="Normal 8 3 3 2 4" xfId="18754"/>
    <cellStyle name="Normal 8 3 3 2 4 2" xfId="24282"/>
    <cellStyle name="Normal 8 3 3 2 5" xfId="18755"/>
    <cellStyle name="Normal 8 3 3 3" xfId="18756"/>
    <cellStyle name="Normal 8 3 3 3 2" xfId="18757"/>
    <cellStyle name="Normal 8 3 3 3 2 2" xfId="24283"/>
    <cellStyle name="Normal 8 3 3 3 3" xfId="18758"/>
    <cellStyle name="Normal 8 3 3 4" xfId="18759"/>
    <cellStyle name="Normal 8 3 3 4 2" xfId="18760"/>
    <cellStyle name="Normal 8 3 3 4 2 2" xfId="24284"/>
    <cellStyle name="Normal 8 3 3 4 3" xfId="18761"/>
    <cellStyle name="Normal 8 3 3 5" xfId="18762"/>
    <cellStyle name="Normal 8 3 3 5 2" xfId="24285"/>
    <cellStyle name="Normal 8 3 3 6" xfId="18763"/>
    <cellStyle name="Normal 8 3 4" xfId="2063"/>
    <cellStyle name="Normal 8 3 4 2" xfId="18764"/>
    <cellStyle name="Normal 8 3 4 2 2" xfId="18765"/>
    <cellStyle name="Normal 8 3 4 2 2 2" xfId="24286"/>
    <cellStyle name="Normal 8 3 4 2 3" xfId="18766"/>
    <cellStyle name="Normal 8 3 4 3" xfId="18767"/>
    <cellStyle name="Normal 8 3 4 3 2" xfId="18768"/>
    <cellStyle name="Normal 8 3 4 3 2 2" xfId="24287"/>
    <cellStyle name="Normal 8 3 4 3 3" xfId="18769"/>
    <cellStyle name="Normal 8 3 4 4" xfId="18770"/>
    <cellStyle name="Normal 8 3 4 4 2" xfId="24288"/>
    <cellStyle name="Normal 8 3 4 5" xfId="18771"/>
    <cellStyle name="Normal 8 3 5" xfId="2064"/>
    <cellStyle name="Normal 8 3 5 2" xfId="18772"/>
    <cellStyle name="Normal 8 3 5 2 2" xfId="24289"/>
    <cellStyle name="Normal 8 3 5 3" xfId="18773"/>
    <cellStyle name="Normal 8 3 6" xfId="18774"/>
    <cellStyle name="Normal 8 3 6 2" xfId="18775"/>
    <cellStyle name="Normal 8 3 6 2 2" xfId="24290"/>
    <cellStyle name="Normal 8 3 6 3" xfId="18776"/>
    <cellStyle name="Normal 8 3 7" xfId="18777"/>
    <cellStyle name="Normal 8 3 7 2" xfId="24291"/>
    <cellStyle name="Normal 8 3 8" xfId="18778"/>
    <cellStyle name="Normal 8 3 9" xfId="24292"/>
    <cellStyle name="Normal 8 4" xfId="1188"/>
    <cellStyle name="Normal 8 4 2" xfId="1189"/>
    <cellStyle name="Normal 8 4 2 2" xfId="18779"/>
    <cellStyle name="Normal 8 4 2 2 2" xfId="18780"/>
    <cellStyle name="Normal 8 4 2 2 2 2" xfId="18781"/>
    <cellStyle name="Normal 8 4 2 2 2 2 2" xfId="18782"/>
    <cellStyle name="Normal 8 4 2 2 2 2 2 2" xfId="24293"/>
    <cellStyle name="Normal 8 4 2 2 2 2 3" xfId="18783"/>
    <cellStyle name="Normal 8 4 2 2 2 3" xfId="18784"/>
    <cellStyle name="Normal 8 4 2 2 2 3 2" xfId="18785"/>
    <cellStyle name="Normal 8 4 2 2 2 3 2 2" xfId="24294"/>
    <cellStyle name="Normal 8 4 2 2 2 3 3" xfId="18786"/>
    <cellStyle name="Normal 8 4 2 2 2 4" xfId="18787"/>
    <cellStyle name="Normal 8 4 2 2 2 4 2" xfId="24295"/>
    <cellStyle name="Normal 8 4 2 2 2 5" xfId="18788"/>
    <cellStyle name="Normal 8 4 2 2 3" xfId="18789"/>
    <cellStyle name="Normal 8 4 2 2 3 2" xfId="18790"/>
    <cellStyle name="Normal 8 4 2 2 3 2 2" xfId="24296"/>
    <cellStyle name="Normal 8 4 2 2 3 3" xfId="18791"/>
    <cellStyle name="Normal 8 4 2 2 4" xfId="18792"/>
    <cellStyle name="Normal 8 4 2 2 4 2" xfId="18793"/>
    <cellStyle name="Normal 8 4 2 2 4 2 2" xfId="24297"/>
    <cellStyle name="Normal 8 4 2 2 4 3" xfId="18794"/>
    <cellStyle name="Normal 8 4 2 2 5" xfId="18795"/>
    <cellStyle name="Normal 8 4 2 2 5 2" xfId="24298"/>
    <cellStyle name="Normal 8 4 2 2 6" xfId="18796"/>
    <cellStyle name="Normal 8 4 2 3" xfId="18797"/>
    <cellStyle name="Normal 8 4 2 3 2" xfId="18798"/>
    <cellStyle name="Normal 8 4 2 3 2 2" xfId="18799"/>
    <cellStyle name="Normal 8 4 2 3 2 2 2" xfId="24299"/>
    <cellStyle name="Normal 8 4 2 3 2 3" xfId="18800"/>
    <cellStyle name="Normal 8 4 2 3 3" xfId="18801"/>
    <cellStyle name="Normal 8 4 2 3 3 2" xfId="18802"/>
    <cellStyle name="Normal 8 4 2 3 3 2 2" xfId="24300"/>
    <cellStyle name="Normal 8 4 2 3 3 3" xfId="18803"/>
    <cellStyle name="Normal 8 4 2 3 4" xfId="18804"/>
    <cellStyle name="Normal 8 4 2 3 4 2" xfId="24301"/>
    <cellStyle name="Normal 8 4 2 3 5" xfId="18805"/>
    <cellStyle name="Normal 8 4 2 4" xfId="18806"/>
    <cellStyle name="Normal 8 4 2 4 2" xfId="18807"/>
    <cellStyle name="Normal 8 4 2 4 2 2" xfId="24302"/>
    <cellStyle name="Normal 8 4 2 4 3" xfId="18808"/>
    <cellStyle name="Normal 8 4 2 5" xfId="18809"/>
    <cellStyle name="Normal 8 4 2 5 2" xfId="18810"/>
    <cellStyle name="Normal 8 4 2 5 2 2" xfId="24303"/>
    <cellStyle name="Normal 8 4 2 5 3" xfId="18811"/>
    <cellStyle name="Normal 8 4 2 6" xfId="18812"/>
    <cellStyle name="Normal 8 4 2 6 2" xfId="24304"/>
    <cellStyle name="Normal 8 4 2 7" xfId="18813"/>
    <cellStyle name="Normal 8 4 3" xfId="2065"/>
    <cellStyle name="Normal 8 4 3 2" xfId="18814"/>
    <cellStyle name="Normal 8 4 3 2 2" xfId="18815"/>
    <cellStyle name="Normal 8 4 3 2 2 2" xfId="18816"/>
    <cellStyle name="Normal 8 4 3 2 2 2 2" xfId="24305"/>
    <cellStyle name="Normal 8 4 3 2 2 3" xfId="18817"/>
    <cellStyle name="Normal 8 4 3 2 3" xfId="18818"/>
    <cellStyle name="Normal 8 4 3 2 3 2" xfId="18819"/>
    <cellStyle name="Normal 8 4 3 2 3 2 2" xfId="24306"/>
    <cellStyle name="Normal 8 4 3 2 3 3" xfId="18820"/>
    <cellStyle name="Normal 8 4 3 2 4" xfId="18821"/>
    <cellStyle name="Normal 8 4 3 2 4 2" xfId="24307"/>
    <cellStyle name="Normal 8 4 3 2 5" xfId="18822"/>
    <cellStyle name="Normal 8 4 3 3" xfId="18823"/>
    <cellStyle name="Normal 8 4 3 3 2" xfId="18824"/>
    <cellStyle name="Normal 8 4 3 3 2 2" xfId="24308"/>
    <cellStyle name="Normal 8 4 3 3 3" xfId="18825"/>
    <cellStyle name="Normal 8 4 3 4" xfId="18826"/>
    <cellStyle name="Normal 8 4 3 4 2" xfId="18827"/>
    <cellStyle name="Normal 8 4 3 4 2 2" xfId="24309"/>
    <cellStyle name="Normal 8 4 3 4 3" xfId="18828"/>
    <cellStyle name="Normal 8 4 3 5" xfId="18829"/>
    <cellStyle name="Normal 8 4 3 5 2" xfId="24310"/>
    <cellStyle name="Normal 8 4 3 6" xfId="18830"/>
    <cellStyle name="Normal 8 4 4" xfId="18831"/>
    <cellStyle name="Normal 8 4 4 2" xfId="18832"/>
    <cellStyle name="Normal 8 4 4 2 2" xfId="18833"/>
    <cellStyle name="Normal 8 4 4 2 2 2" xfId="24311"/>
    <cellStyle name="Normal 8 4 4 2 3" xfId="18834"/>
    <cellStyle name="Normal 8 4 4 3" xfId="18835"/>
    <cellStyle name="Normal 8 4 4 3 2" xfId="18836"/>
    <cellStyle name="Normal 8 4 4 3 2 2" xfId="24312"/>
    <cellStyle name="Normal 8 4 4 3 3" xfId="18837"/>
    <cellStyle name="Normal 8 4 4 4" xfId="18838"/>
    <cellStyle name="Normal 8 4 4 4 2" xfId="24313"/>
    <cellStyle name="Normal 8 4 4 5" xfId="18839"/>
    <cellStyle name="Normal 8 4 4 6" xfId="18840"/>
    <cellStyle name="Normal 8 4 5" xfId="18841"/>
    <cellStyle name="Normal 8 4 5 2" xfId="18842"/>
    <cellStyle name="Normal 8 4 5 2 2" xfId="24314"/>
    <cellStyle name="Normal 8 4 5 3" xfId="18843"/>
    <cellStyle name="Normal 8 4 6" xfId="18844"/>
    <cellStyle name="Normal 8 4 6 2" xfId="18845"/>
    <cellStyle name="Normal 8 4 6 2 2" xfId="24315"/>
    <cellStyle name="Normal 8 4 6 3" xfId="18846"/>
    <cellStyle name="Normal 8 4 7" xfId="18847"/>
    <cellStyle name="Normal 8 4 7 2" xfId="24316"/>
    <cellStyle name="Normal 8 4 8" xfId="18848"/>
    <cellStyle name="Normal 8 5" xfId="1190"/>
    <cellStyle name="Normal 8 5 2" xfId="2066"/>
    <cellStyle name="Normal 8 5 2 2" xfId="18849"/>
    <cellStyle name="Normal 8 5 2 2 2" xfId="18850"/>
    <cellStyle name="Normal 8 5 2 2 2 2" xfId="18851"/>
    <cellStyle name="Normal 8 5 2 2 2 2 2" xfId="24317"/>
    <cellStyle name="Normal 8 5 2 2 2 3" xfId="18852"/>
    <cellStyle name="Normal 8 5 2 2 3" xfId="18853"/>
    <cellStyle name="Normal 8 5 2 2 3 2" xfId="18854"/>
    <cellStyle name="Normal 8 5 2 2 3 2 2" xfId="24318"/>
    <cellStyle name="Normal 8 5 2 2 3 3" xfId="18855"/>
    <cellStyle name="Normal 8 5 2 2 4" xfId="18856"/>
    <cellStyle name="Normal 8 5 2 2 4 2" xfId="24319"/>
    <cellStyle name="Normal 8 5 2 2 5" xfId="18857"/>
    <cellStyle name="Normal 8 5 2 3" xfId="18858"/>
    <cellStyle name="Normal 8 5 2 3 2" xfId="18859"/>
    <cellStyle name="Normal 8 5 2 3 2 2" xfId="24320"/>
    <cellStyle name="Normal 8 5 2 3 3" xfId="18860"/>
    <cellStyle name="Normal 8 5 2 4" xfId="18861"/>
    <cellStyle name="Normal 8 5 2 4 2" xfId="18862"/>
    <cellStyle name="Normal 8 5 2 4 2 2" xfId="24321"/>
    <cellStyle name="Normal 8 5 2 4 3" xfId="18863"/>
    <cellStyle name="Normal 8 5 2 5" xfId="18864"/>
    <cellStyle name="Normal 8 5 2 5 2" xfId="24322"/>
    <cellStyle name="Normal 8 5 2 6" xfId="18865"/>
    <cellStyle name="Normal 8 5 3" xfId="2067"/>
    <cellStyle name="Normal 8 5 3 2" xfId="18866"/>
    <cellStyle name="Normal 8 5 3 2 2" xfId="18867"/>
    <cellStyle name="Normal 8 5 3 2 2 2" xfId="24323"/>
    <cellStyle name="Normal 8 5 3 2 3" xfId="18868"/>
    <cellStyle name="Normal 8 5 3 3" xfId="18869"/>
    <cellStyle name="Normal 8 5 3 3 2" xfId="18870"/>
    <cellStyle name="Normal 8 5 3 3 2 2" xfId="24324"/>
    <cellStyle name="Normal 8 5 3 3 3" xfId="18871"/>
    <cellStyle name="Normal 8 5 3 4" xfId="18872"/>
    <cellStyle name="Normal 8 5 3 4 2" xfId="24325"/>
    <cellStyle name="Normal 8 5 3 5" xfId="18873"/>
    <cellStyle name="Normal 8 5 4" xfId="18874"/>
    <cellStyle name="Normal 8 5 4 2" xfId="18875"/>
    <cellStyle name="Normal 8 5 4 2 2" xfId="24326"/>
    <cellStyle name="Normal 8 5 4 3" xfId="18876"/>
    <cellStyle name="Normal 8 5 5" xfId="18877"/>
    <cellStyle name="Normal 8 5 5 2" xfId="18878"/>
    <cellStyle name="Normal 8 5 5 2 2" xfId="24327"/>
    <cellStyle name="Normal 8 5 5 3" xfId="18879"/>
    <cellStyle name="Normal 8 5 6" xfId="18880"/>
    <cellStyle name="Normal 8 5 6 2" xfId="24328"/>
    <cellStyle name="Normal 8 5 7" xfId="18881"/>
    <cellStyle name="Normal 8 6" xfId="2068"/>
    <cellStyle name="Normal 8 6 2" xfId="18882"/>
    <cellStyle name="Normal 8 6 2 2" xfId="18883"/>
    <cellStyle name="Normal 8 6 2 2 2" xfId="18884"/>
    <cellStyle name="Normal 8 6 2 2 2 2" xfId="24329"/>
    <cellStyle name="Normal 8 6 2 2 3" xfId="18885"/>
    <cellStyle name="Normal 8 6 2 3" xfId="18886"/>
    <cellStyle name="Normal 8 6 2 3 2" xfId="18887"/>
    <cellStyle name="Normal 8 6 2 3 2 2" xfId="24330"/>
    <cellStyle name="Normal 8 6 2 3 3" xfId="18888"/>
    <cellStyle name="Normal 8 6 2 4" xfId="18889"/>
    <cellStyle name="Normal 8 6 2 4 2" xfId="24331"/>
    <cellStyle name="Normal 8 6 2 5" xfId="18890"/>
    <cellStyle name="Normal 8 6 3" xfId="18891"/>
    <cellStyle name="Normal 8 6 3 2" xfId="18892"/>
    <cellStyle name="Normal 8 6 3 2 2" xfId="24332"/>
    <cellStyle name="Normal 8 6 3 3" xfId="18893"/>
    <cellStyle name="Normal 8 6 4" xfId="18894"/>
    <cellStyle name="Normal 8 6 4 2" xfId="18895"/>
    <cellStyle name="Normal 8 6 4 2 2" xfId="24333"/>
    <cellStyle name="Normal 8 6 4 3" xfId="18896"/>
    <cellStyle name="Normal 8 6 5" xfId="18897"/>
    <cellStyle name="Normal 8 6 5 2" xfId="24334"/>
    <cellStyle name="Normal 8 6 6" xfId="18898"/>
    <cellStyle name="Normal 8 7" xfId="2069"/>
    <cellStyle name="Normal 8 7 2" xfId="18899"/>
    <cellStyle name="Normal 8 7 2 2" xfId="18900"/>
    <cellStyle name="Normal 8 7 2 2 2" xfId="24335"/>
    <cellStyle name="Normal 8 7 2 3" xfId="18901"/>
    <cellStyle name="Normal 8 7 3" xfId="18902"/>
    <cellStyle name="Normal 8 7 3 2" xfId="18903"/>
    <cellStyle name="Normal 8 7 3 2 2" xfId="24336"/>
    <cellStyle name="Normal 8 7 3 3" xfId="18904"/>
    <cellStyle name="Normal 8 7 4" xfId="18905"/>
    <cellStyle name="Normal 8 7 4 2" xfId="24337"/>
    <cellStyle name="Normal 8 7 5" xfId="18906"/>
    <cellStyle name="Normal 8 8" xfId="2070"/>
    <cellStyle name="Normal 8 8 2" xfId="18907"/>
    <cellStyle name="Normal 8 8 2 2" xfId="24338"/>
    <cellStyle name="Normal 8 8 3" xfId="18908"/>
    <cellStyle name="Normal 8 9" xfId="2071"/>
    <cellStyle name="Normal 8 9 2" xfId="18909"/>
    <cellStyle name="Normal 8 9 2 2" xfId="24339"/>
    <cellStyle name="Normal 8 9 3" xfId="18910"/>
    <cellStyle name="Normal 8_2112 Salary" xfId="18911"/>
    <cellStyle name="Normal 80" xfId="341"/>
    <cellStyle name="Normal 80 2" xfId="24340"/>
    <cellStyle name="Normal 80 3" xfId="24341"/>
    <cellStyle name="Normal 81" xfId="342"/>
    <cellStyle name="Normal 81 2" xfId="18912"/>
    <cellStyle name="Normal 81 2 2" xfId="18913"/>
    <cellStyle name="Normal 81 2 2 2" xfId="18914"/>
    <cellStyle name="Normal 81 2 2 2 2" xfId="24342"/>
    <cellStyle name="Normal 81 2 2 3" xfId="18915"/>
    <cellStyle name="Normal 81 2 3" xfId="18916"/>
    <cellStyle name="Normal 81 2 3 2" xfId="18917"/>
    <cellStyle name="Normal 81 2 3 2 2" xfId="24343"/>
    <cellStyle name="Normal 81 2 3 3" xfId="18918"/>
    <cellStyle name="Normal 81 2 4" xfId="18919"/>
    <cellStyle name="Normal 81 2 4 2" xfId="24344"/>
    <cellStyle name="Normal 81 2 5" xfId="18920"/>
    <cellStyle name="Normal 81 3" xfId="18921"/>
    <cellStyle name="Normal 81 3 2" xfId="18922"/>
    <cellStyle name="Normal 81 3 2 2" xfId="24345"/>
    <cellStyle name="Normal 81 3 3" xfId="18923"/>
    <cellStyle name="Normal 81 4" xfId="18924"/>
    <cellStyle name="Normal 81 4 2" xfId="18925"/>
    <cellStyle name="Normal 81 4 2 2" xfId="24346"/>
    <cellStyle name="Normal 81 4 3" xfId="18926"/>
    <cellStyle name="Normal 81 5" xfId="18927"/>
    <cellStyle name="Normal 81 5 2" xfId="24347"/>
    <cellStyle name="Normal 81 6" xfId="18928"/>
    <cellStyle name="Normal 81 7" xfId="24348"/>
    <cellStyle name="Normal 82" xfId="343"/>
    <cellStyle name="Normal 82 2" xfId="18929"/>
    <cellStyle name="Normal 82 2 2" xfId="18930"/>
    <cellStyle name="Normal 82 2 2 2" xfId="18931"/>
    <cellStyle name="Normal 82 2 2 2 2" xfId="24349"/>
    <cellStyle name="Normal 82 2 2 3" xfId="18932"/>
    <cellStyle name="Normal 82 2 3" xfId="18933"/>
    <cellStyle name="Normal 82 2 3 2" xfId="18934"/>
    <cellStyle name="Normal 82 2 3 2 2" xfId="24350"/>
    <cellStyle name="Normal 82 2 3 3" xfId="18935"/>
    <cellStyle name="Normal 82 2 4" xfId="18936"/>
    <cellStyle name="Normal 82 2 4 2" xfId="24351"/>
    <cellStyle name="Normal 82 2 5" xfId="18937"/>
    <cellStyle name="Normal 82 3" xfId="18938"/>
    <cellStyle name="Normal 82 3 2" xfId="18939"/>
    <cellStyle name="Normal 82 3 2 2" xfId="24352"/>
    <cellStyle name="Normal 82 3 3" xfId="18940"/>
    <cellStyle name="Normal 82 4" xfId="18941"/>
    <cellStyle name="Normal 82 4 2" xfId="18942"/>
    <cellStyle name="Normal 82 4 2 2" xfId="24353"/>
    <cellStyle name="Normal 82 4 3" xfId="18943"/>
    <cellStyle name="Normal 82 5" xfId="18944"/>
    <cellStyle name="Normal 82 5 2" xfId="24354"/>
    <cellStyle name="Normal 82 6" xfId="18945"/>
    <cellStyle name="Normal 82 7" xfId="24355"/>
    <cellStyle name="Normal 83" xfId="344"/>
    <cellStyle name="Normal 83 2" xfId="24356"/>
    <cellStyle name="Normal 83 3" xfId="24357"/>
    <cellStyle name="Normal 84" xfId="345"/>
    <cellStyle name="Normal 84 2" xfId="346"/>
    <cellStyle name="Normal 84 2 2" xfId="2072"/>
    <cellStyle name="Normal 84 2 2 2" xfId="18946"/>
    <cellStyle name="Normal 84 2 2 2 2" xfId="24358"/>
    <cellStyle name="Normal 84 2 2 3" xfId="18947"/>
    <cellStyle name="Normal 84 2 3" xfId="18948"/>
    <cellStyle name="Normal 84 2 3 2" xfId="18949"/>
    <cellStyle name="Normal 84 2 3 2 2" xfId="24359"/>
    <cellStyle name="Normal 84 2 3 3" xfId="18950"/>
    <cellStyle name="Normal 84 2 4" xfId="18951"/>
    <cellStyle name="Normal 84 2 4 2" xfId="24360"/>
    <cellStyle name="Normal 84 2 5" xfId="18952"/>
    <cellStyle name="Normal 84 2 6" xfId="24361"/>
    <cellStyle name="Normal 84 3" xfId="347"/>
    <cellStyle name="Normal 84 3 2" xfId="18953"/>
    <cellStyle name="Normal 84 3 2 2" xfId="24362"/>
    <cellStyle name="Normal 84 3 3" xfId="18954"/>
    <cellStyle name="Normal 84 3 4" xfId="24363"/>
    <cellStyle name="Normal 84 4" xfId="2073"/>
    <cellStyle name="Normal 84 4 2" xfId="18955"/>
    <cellStyle name="Normal 84 4 2 2" xfId="24364"/>
    <cellStyle name="Normal 84 4 3" xfId="18956"/>
    <cellStyle name="Normal 84 5" xfId="2334"/>
    <cellStyle name="Normal 84 5 2" xfId="24365"/>
    <cellStyle name="Normal 84 6" xfId="18957"/>
    <cellStyle name="Normal 84 7" xfId="24366"/>
    <cellStyle name="Normal 85" xfId="348"/>
    <cellStyle name="Normal 85 2" xfId="1191"/>
    <cellStyle name="Normal 85 2 2" xfId="1192"/>
    <cellStyle name="Normal 85 2 2 2" xfId="24367"/>
    <cellStyle name="Normal 85 2 3" xfId="18958"/>
    <cellStyle name="Normal 85 2 4" xfId="24368"/>
    <cellStyle name="Normal 85 3" xfId="1193"/>
    <cellStyle name="Normal 85 3 2" xfId="18959"/>
    <cellStyle name="Normal 85 3 2 2" xfId="24369"/>
    <cellStyle name="Normal 85 3 3" xfId="18960"/>
    <cellStyle name="Normal 85 3 4" xfId="24370"/>
    <cellStyle name="Normal 85 4" xfId="18961"/>
    <cellStyle name="Normal 85 4 2" xfId="24371"/>
    <cellStyle name="Normal 85 5" xfId="18962"/>
    <cellStyle name="Normal 85 6" xfId="24372"/>
    <cellStyle name="Normal 86" xfId="349"/>
    <cellStyle name="Normal 86 2" xfId="1194"/>
    <cellStyle name="Normal 86 2 2" xfId="24373"/>
    <cellStyle name="Normal 86 3" xfId="1195"/>
    <cellStyle name="Normal 86 3 2" xfId="24374"/>
    <cellStyle name="Normal 86 4" xfId="24375"/>
    <cellStyle name="Normal 86 5" xfId="24376"/>
    <cellStyle name="Normal 87" xfId="350"/>
    <cellStyle name="Normal 87 2" xfId="1196"/>
    <cellStyle name="Normal 87 2 2" xfId="24377"/>
    <cellStyle name="Normal 87 3" xfId="24378"/>
    <cellStyle name="Normal 87 4" xfId="24379"/>
    <cellStyle name="Normal 88" xfId="351"/>
    <cellStyle name="Normal 88 2" xfId="1197"/>
    <cellStyle name="Normal 88 2 2" xfId="24380"/>
    <cellStyle name="Normal 88 3" xfId="24381"/>
    <cellStyle name="Normal 88 4" xfId="24382"/>
    <cellStyle name="Normal 89" xfId="352"/>
    <cellStyle name="Normal 89 2" xfId="24383"/>
    <cellStyle name="Normal 89 3" xfId="24384"/>
    <cellStyle name="Normal 9" xfId="58"/>
    <cellStyle name="Normal 9 10" xfId="2074"/>
    <cellStyle name="Normal 9 10 2" xfId="24385"/>
    <cellStyle name="Normal 9 11" xfId="2075"/>
    <cellStyle name="Normal 9 11 2" xfId="24386"/>
    <cellStyle name="Normal 9 12" xfId="2076"/>
    <cellStyle name="Normal 9 12 2" xfId="24387"/>
    <cellStyle name="Normal 9 13" xfId="2077"/>
    <cellStyle name="Normal 9 13 2" xfId="24388"/>
    <cellStyle name="Normal 9 14" xfId="18963"/>
    <cellStyle name="Normal 9 15" xfId="24389"/>
    <cellStyle name="Normal 9 2" xfId="59"/>
    <cellStyle name="Normal 9 2 10" xfId="2078"/>
    <cellStyle name="Normal 9 2 10 2" xfId="24390"/>
    <cellStyle name="Normal 9 2 11" xfId="2079"/>
    <cellStyle name="Normal 9 2 11 2" xfId="24391"/>
    <cellStyle name="Normal 9 2 12" xfId="18964"/>
    <cellStyle name="Normal 9 2 12 2" xfId="24392"/>
    <cellStyle name="Normal 9 2 13" xfId="24393"/>
    <cellStyle name="Normal 9 2 14" xfId="24394"/>
    <cellStyle name="Normal 9 2 2" xfId="1198"/>
    <cellStyle name="Normal 9 2 2 2" xfId="1199"/>
    <cellStyle name="Normal 9 2 2 2 2" xfId="1200"/>
    <cellStyle name="Normal 9 2 2 2 2 2" xfId="18965"/>
    <cellStyle name="Normal 9 2 2 2 2 2 2" xfId="18966"/>
    <cellStyle name="Normal 9 2 2 2 2 2 2 2" xfId="18967"/>
    <cellStyle name="Normal 9 2 2 2 2 2 2 2 2" xfId="24395"/>
    <cellStyle name="Normal 9 2 2 2 2 2 2 3" xfId="18968"/>
    <cellStyle name="Normal 9 2 2 2 2 2 3" xfId="18969"/>
    <cellStyle name="Normal 9 2 2 2 2 2 3 2" xfId="18970"/>
    <cellStyle name="Normal 9 2 2 2 2 2 3 2 2" xfId="24396"/>
    <cellStyle name="Normal 9 2 2 2 2 2 3 3" xfId="18971"/>
    <cellStyle name="Normal 9 2 2 2 2 2 4" xfId="18972"/>
    <cellStyle name="Normal 9 2 2 2 2 2 4 2" xfId="24397"/>
    <cellStyle name="Normal 9 2 2 2 2 2 5" xfId="18973"/>
    <cellStyle name="Normal 9 2 2 2 2 3" xfId="18974"/>
    <cellStyle name="Normal 9 2 2 2 2 3 2" xfId="18975"/>
    <cellStyle name="Normal 9 2 2 2 2 3 2 2" xfId="24398"/>
    <cellStyle name="Normal 9 2 2 2 2 3 3" xfId="18976"/>
    <cellStyle name="Normal 9 2 2 2 2 4" xfId="18977"/>
    <cellStyle name="Normal 9 2 2 2 2 4 2" xfId="18978"/>
    <cellStyle name="Normal 9 2 2 2 2 4 2 2" xfId="24399"/>
    <cellStyle name="Normal 9 2 2 2 2 4 3" xfId="18979"/>
    <cellStyle name="Normal 9 2 2 2 2 5" xfId="18980"/>
    <cellStyle name="Normal 9 2 2 2 2 5 2" xfId="24400"/>
    <cellStyle name="Normal 9 2 2 2 2 6" xfId="18981"/>
    <cellStyle name="Normal 9 2 2 2 3" xfId="2080"/>
    <cellStyle name="Normal 9 2 2 2 3 2" xfId="18982"/>
    <cellStyle name="Normal 9 2 2 2 3 2 2" xfId="18983"/>
    <cellStyle name="Normal 9 2 2 2 3 2 2 2" xfId="24401"/>
    <cellStyle name="Normal 9 2 2 2 3 2 3" xfId="18984"/>
    <cellStyle name="Normal 9 2 2 2 3 3" xfId="18985"/>
    <cellStyle name="Normal 9 2 2 2 3 3 2" xfId="18986"/>
    <cellStyle name="Normal 9 2 2 2 3 3 2 2" xfId="24402"/>
    <cellStyle name="Normal 9 2 2 2 3 3 3" xfId="18987"/>
    <cellStyle name="Normal 9 2 2 2 3 4" xfId="18988"/>
    <cellStyle name="Normal 9 2 2 2 3 4 2" xfId="24403"/>
    <cellStyle name="Normal 9 2 2 2 3 5" xfId="18989"/>
    <cellStyle name="Normal 9 2 2 2 4" xfId="2081"/>
    <cellStyle name="Normal 9 2 2 2 4 2" xfId="18990"/>
    <cellStyle name="Normal 9 2 2 2 4 2 2" xfId="24404"/>
    <cellStyle name="Normal 9 2 2 2 4 3" xfId="18991"/>
    <cellStyle name="Normal 9 2 2 2 5" xfId="2082"/>
    <cellStyle name="Normal 9 2 2 2 5 2" xfId="18992"/>
    <cellStyle name="Normal 9 2 2 2 5 2 2" xfId="24405"/>
    <cellStyle name="Normal 9 2 2 2 5 3" xfId="18993"/>
    <cellStyle name="Normal 9 2 2 2 6" xfId="18994"/>
    <cellStyle name="Normal 9 2 2 2 6 2" xfId="24406"/>
    <cellStyle name="Normal 9 2 2 2 7" xfId="18995"/>
    <cellStyle name="Normal 9 2 2 2 8" xfId="18996"/>
    <cellStyle name="Normal 9 2 2 3" xfId="1201"/>
    <cellStyle name="Normal 9 2 2 3 2" xfId="2083"/>
    <cellStyle name="Normal 9 2 2 3 2 2" xfId="18997"/>
    <cellStyle name="Normal 9 2 2 3 2 2 2" xfId="18998"/>
    <cellStyle name="Normal 9 2 2 3 2 2 2 2" xfId="24407"/>
    <cellStyle name="Normal 9 2 2 3 2 2 3" xfId="18999"/>
    <cellStyle name="Normal 9 2 2 3 2 3" xfId="19000"/>
    <cellStyle name="Normal 9 2 2 3 2 3 2" xfId="19001"/>
    <cellStyle name="Normal 9 2 2 3 2 3 2 2" xfId="24408"/>
    <cellStyle name="Normal 9 2 2 3 2 3 3" xfId="19002"/>
    <cellStyle name="Normal 9 2 2 3 2 4" xfId="19003"/>
    <cellStyle name="Normal 9 2 2 3 2 4 2" xfId="24409"/>
    <cellStyle name="Normal 9 2 2 3 2 5" xfId="19004"/>
    <cellStyle name="Normal 9 2 2 3 3" xfId="2084"/>
    <cellStyle name="Normal 9 2 2 3 3 2" xfId="19005"/>
    <cellStyle name="Normal 9 2 2 3 3 2 2" xfId="24410"/>
    <cellStyle name="Normal 9 2 2 3 3 3" xfId="19006"/>
    <cellStyle name="Normal 9 2 2 3 4" xfId="19007"/>
    <cellStyle name="Normal 9 2 2 3 4 2" xfId="19008"/>
    <cellStyle name="Normal 9 2 2 3 4 2 2" xfId="24411"/>
    <cellStyle name="Normal 9 2 2 3 4 3" xfId="19009"/>
    <cellStyle name="Normal 9 2 2 3 5" xfId="19010"/>
    <cellStyle name="Normal 9 2 2 3 5 2" xfId="24412"/>
    <cellStyle name="Normal 9 2 2 3 6" xfId="19011"/>
    <cellStyle name="Normal 9 2 2 4" xfId="2085"/>
    <cellStyle name="Normal 9 2 2 4 2" xfId="2086"/>
    <cellStyle name="Normal 9 2 2 4 2 2" xfId="19012"/>
    <cellStyle name="Normal 9 2 2 4 2 2 2" xfId="24413"/>
    <cellStyle name="Normal 9 2 2 4 2 3" xfId="19013"/>
    <cellStyle name="Normal 9 2 2 4 3" xfId="2087"/>
    <cellStyle name="Normal 9 2 2 4 3 2" xfId="19014"/>
    <cellStyle name="Normal 9 2 2 4 3 2 2" xfId="24414"/>
    <cellStyle name="Normal 9 2 2 4 3 3" xfId="19015"/>
    <cellStyle name="Normal 9 2 2 4 4" xfId="19016"/>
    <cellStyle name="Normal 9 2 2 4 4 2" xfId="24415"/>
    <cellStyle name="Normal 9 2 2 4 5" xfId="19017"/>
    <cellStyle name="Normal 9 2 2 5" xfId="2088"/>
    <cellStyle name="Normal 9 2 2 5 2" xfId="19018"/>
    <cellStyle name="Normal 9 2 2 5 2 2" xfId="24416"/>
    <cellStyle name="Normal 9 2 2 5 3" xfId="19019"/>
    <cellStyle name="Normal 9 2 2 6" xfId="2089"/>
    <cellStyle name="Normal 9 2 2 6 2" xfId="19020"/>
    <cellStyle name="Normal 9 2 2 6 2 2" xfId="24417"/>
    <cellStyle name="Normal 9 2 2 6 3" xfId="19021"/>
    <cellStyle name="Normal 9 2 2 7" xfId="19022"/>
    <cellStyle name="Normal 9 2 2 7 2" xfId="24418"/>
    <cellStyle name="Normal 9 2 2 8" xfId="19023"/>
    <cellStyle name="Normal 9 2 2 9" xfId="24419"/>
    <cellStyle name="Normal 9 2 3" xfId="1202"/>
    <cellStyle name="Normal 9 2 3 2" xfId="1203"/>
    <cellStyle name="Normal 9 2 3 2 2" xfId="2090"/>
    <cellStyle name="Normal 9 2 3 2 2 2" xfId="19024"/>
    <cellStyle name="Normal 9 2 3 2 2 2 2" xfId="19025"/>
    <cellStyle name="Normal 9 2 3 2 2 2 2 2" xfId="24420"/>
    <cellStyle name="Normal 9 2 3 2 2 2 3" xfId="19026"/>
    <cellStyle name="Normal 9 2 3 2 2 3" xfId="19027"/>
    <cellStyle name="Normal 9 2 3 2 2 3 2" xfId="19028"/>
    <cellStyle name="Normal 9 2 3 2 2 3 2 2" xfId="24421"/>
    <cellStyle name="Normal 9 2 3 2 2 3 3" xfId="19029"/>
    <cellStyle name="Normal 9 2 3 2 2 4" xfId="19030"/>
    <cellStyle name="Normal 9 2 3 2 2 4 2" xfId="24422"/>
    <cellStyle name="Normal 9 2 3 2 2 5" xfId="19031"/>
    <cellStyle name="Normal 9 2 3 2 3" xfId="2091"/>
    <cellStyle name="Normal 9 2 3 2 3 2" xfId="19032"/>
    <cellStyle name="Normal 9 2 3 2 3 2 2" xfId="24423"/>
    <cellStyle name="Normal 9 2 3 2 3 3" xfId="19033"/>
    <cellStyle name="Normal 9 2 3 2 4" xfId="2092"/>
    <cellStyle name="Normal 9 2 3 2 4 2" xfId="19034"/>
    <cellStyle name="Normal 9 2 3 2 4 2 2" xfId="24424"/>
    <cellStyle name="Normal 9 2 3 2 4 3" xfId="19035"/>
    <cellStyle name="Normal 9 2 3 2 5" xfId="2093"/>
    <cellStyle name="Normal 9 2 3 2 5 2" xfId="24425"/>
    <cellStyle name="Normal 9 2 3 2 6" xfId="19036"/>
    <cellStyle name="Normal 9 2 3 3" xfId="2094"/>
    <cellStyle name="Normal 9 2 3 3 2" xfId="2095"/>
    <cellStyle name="Normal 9 2 3 3 2 2" xfId="19037"/>
    <cellStyle name="Normal 9 2 3 3 2 2 2" xfId="24426"/>
    <cellStyle name="Normal 9 2 3 3 2 3" xfId="19038"/>
    <cellStyle name="Normal 9 2 3 3 3" xfId="2096"/>
    <cellStyle name="Normal 9 2 3 3 3 2" xfId="19039"/>
    <cellStyle name="Normal 9 2 3 3 3 2 2" xfId="24427"/>
    <cellStyle name="Normal 9 2 3 3 3 3" xfId="19040"/>
    <cellStyle name="Normal 9 2 3 3 4" xfId="19041"/>
    <cellStyle name="Normal 9 2 3 3 4 2" xfId="24428"/>
    <cellStyle name="Normal 9 2 3 3 5" xfId="19042"/>
    <cellStyle name="Normal 9 2 3 4" xfId="2097"/>
    <cellStyle name="Normal 9 2 3 4 2" xfId="2098"/>
    <cellStyle name="Normal 9 2 3 4 2 2" xfId="24429"/>
    <cellStyle name="Normal 9 2 3 4 3" xfId="2099"/>
    <cellStyle name="Normal 9 2 3 4 3 2" xfId="24430"/>
    <cellStyle name="Normal 9 2 3 4 4" xfId="24431"/>
    <cellStyle name="Normal 9 2 3 5" xfId="2100"/>
    <cellStyle name="Normal 9 2 3 5 2" xfId="19043"/>
    <cellStyle name="Normal 9 2 3 5 2 2" xfId="24432"/>
    <cellStyle name="Normal 9 2 3 5 3" xfId="19044"/>
    <cellStyle name="Normal 9 2 3 6" xfId="2101"/>
    <cellStyle name="Normal 9 2 3 6 2" xfId="24433"/>
    <cellStyle name="Normal 9 2 3 7" xfId="19045"/>
    <cellStyle name="Normal 9 2 3 7 2" xfId="19046"/>
    <cellStyle name="Normal 9 2 4" xfId="1204"/>
    <cellStyle name="Normal 9 2 4 2" xfId="2102"/>
    <cellStyle name="Normal 9 2 4 2 2" xfId="2103"/>
    <cellStyle name="Normal 9 2 4 2 2 2" xfId="19047"/>
    <cellStyle name="Normal 9 2 4 2 2 2 2" xfId="24434"/>
    <cellStyle name="Normal 9 2 4 2 2 3" xfId="19048"/>
    <cellStyle name="Normal 9 2 4 2 3" xfId="2104"/>
    <cellStyle name="Normal 9 2 4 2 3 2" xfId="19049"/>
    <cellStyle name="Normal 9 2 4 2 3 2 2" xfId="24435"/>
    <cellStyle name="Normal 9 2 4 2 3 3" xfId="19050"/>
    <cellStyle name="Normal 9 2 4 2 4" xfId="2105"/>
    <cellStyle name="Normal 9 2 4 2 4 2" xfId="24436"/>
    <cellStyle name="Normal 9 2 4 2 5" xfId="2106"/>
    <cellStyle name="Normal 9 2 4 2 5 2" xfId="24437"/>
    <cellStyle name="Normal 9 2 4 2 6" xfId="24438"/>
    <cellStyle name="Normal 9 2 4 3" xfId="2107"/>
    <cellStyle name="Normal 9 2 4 3 2" xfId="2108"/>
    <cellStyle name="Normal 9 2 4 3 2 2" xfId="24439"/>
    <cellStyle name="Normal 9 2 4 3 3" xfId="2109"/>
    <cellStyle name="Normal 9 2 4 3 3 2" xfId="24440"/>
    <cellStyle name="Normal 9 2 4 3 4" xfId="24441"/>
    <cellStyle name="Normal 9 2 4 4" xfId="2110"/>
    <cellStyle name="Normal 9 2 4 4 2" xfId="2111"/>
    <cellStyle name="Normal 9 2 4 4 2 2" xfId="24442"/>
    <cellStyle name="Normal 9 2 4 4 3" xfId="2112"/>
    <cellStyle name="Normal 9 2 4 4 3 2" xfId="24443"/>
    <cellStyle name="Normal 9 2 4 4 4" xfId="24444"/>
    <cellStyle name="Normal 9 2 4 5" xfId="2113"/>
    <cellStyle name="Normal 9 2 4 5 2" xfId="24445"/>
    <cellStyle name="Normal 9 2 4 6" xfId="2114"/>
    <cellStyle name="Normal 9 2 4 6 2" xfId="24446"/>
    <cellStyle name="Normal 9 2 4 7" xfId="24447"/>
    <cellStyle name="Normal 9 2 5" xfId="2115"/>
    <cellStyle name="Normal 9 2 5 10" xfId="24448"/>
    <cellStyle name="Normal 9 2 5 2" xfId="2116"/>
    <cellStyle name="Normal 9 2 5 2 2" xfId="2117"/>
    <cellStyle name="Normal 9 2 5 2 2 2" xfId="2118"/>
    <cellStyle name="Normal 9 2 5 2 2 2 2" xfId="24449"/>
    <cellStyle name="Normal 9 2 5 2 2 3" xfId="2119"/>
    <cellStyle name="Normal 9 2 5 2 2 3 2" xfId="24450"/>
    <cellStyle name="Normal 9 2 5 2 2 4" xfId="2120"/>
    <cellStyle name="Normal 9 2 5 2 2 4 2" xfId="24451"/>
    <cellStyle name="Normal 9 2 5 2 2 5" xfId="2121"/>
    <cellStyle name="Normal 9 2 5 2 2 5 2" xfId="24452"/>
    <cellStyle name="Normal 9 2 5 2 2 6" xfId="24453"/>
    <cellStyle name="Normal 9 2 5 2 3" xfId="2122"/>
    <cellStyle name="Normal 9 2 5 2 3 2" xfId="2123"/>
    <cellStyle name="Normal 9 2 5 2 3 2 2" xfId="24454"/>
    <cellStyle name="Normal 9 2 5 2 3 3" xfId="2124"/>
    <cellStyle name="Normal 9 2 5 2 3 3 2" xfId="24455"/>
    <cellStyle name="Normal 9 2 5 2 3 4" xfId="24456"/>
    <cellStyle name="Normal 9 2 5 2 4" xfId="2125"/>
    <cellStyle name="Normal 9 2 5 2 4 2" xfId="2126"/>
    <cellStyle name="Normal 9 2 5 2 4 2 2" xfId="24457"/>
    <cellStyle name="Normal 9 2 5 2 4 3" xfId="2127"/>
    <cellStyle name="Normal 9 2 5 2 4 3 2" xfId="24458"/>
    <cellStyle name="Normal 9 2 5 2 4 4" xfId="24459"/>
    <cellStyle name="Normal 9 2 5 2 5" xfId="2128"/>
    <cellStyle name="Normal 9 2 5 2 5 2" xfId="24460"/>
    <cellStyle name="Normal 9 2 5 2 6" xfId="2129"/>
    <cellStyle name="Normal 9 2 5 2 6 2" xfId="24461"/>
    <cellStyle name="Normal 9 2 5 2 7" xfId="24462"/>
    <cellStyle name="Normal 9 2 5 3" xfId="2130"/>
    <cellStyle name="Normal 9 2 5 3 2" xfId="2131"/>
    <cellStyle name="Normal 9 2 5 3 2 2" xfId="2132"/>
    <cellStyle name="Normal 9 2 5 3 2 2 2" xfId="2133"/>
    <cellStyle name="Normal 9 2 5 3 2 2 2 2" xfId="24463"/>
    <cellStyle name="Normal 9 2 5 3 2 2 3" xfId="2134"/>
    <cellStyle name="Normal 9 2 5 3 2 2 3 2" xfId="24464"/>
    <cellStyle name="Normal 9 2 5 3 2 2 4" xfId="24465"/>
    <cellStyle name="Normal 9 2 5 3 2 3" xfId="2135"/>
    <cellStyle name="Normal 9 2 5 3 2 3 2" xfId="2136"/>
    <cellStyle name="Normal 9 2 5 3 2 3 2 2" xfId="24466"/>
    <cellStyle name="Normal 9 2 5 3 2 3 3" xfId="2137"/>
    <cellStyle name="Normal 9 2 5 3 2 3 3 2" xfId="24467"/>
    <cellStyle name="Normal 9 2 5 3 2 3 4" xfId="24468"/>
    <cellStyle name="Normal 9 2 5 3 2 4" xfId="2138"/>
    <cellStyle name="Normal 9 2 5 3 2 4 2" xfId="24469"/>
    <cellStyle name="Normal 9 2 5 3 2 5" xfId="2139"/>
    <cellStyle name="Normal 9 2 5 3 2 5 2" xfId="24470"/>
    <cellStyle name="Normal 9 2 5 3 2 6" xfId="24471"/>
    <cellStyle name="Normal 9 2 5 3 3" xfId="2140"/>
    <cellStyle name="Normal 9 2 5 3 3 2" xfId="2141"/>
    <cellStyle name="Normal 9 2 5 3 3 2 2" xfId="24472"/>
    <cellStyle name="Normal 9 2 5 3 3 3" xfId="2142"/>
    <cellStyle name="Normal 9 2 5 3 3 3 2" xfId="24473"/>
    <cellStyle name="Normal 9 2 5 3 3 4" xfId="2143"/>
    <cellStyle name="Normal 9 2 5 3 3 4 2" xfId="24474"/>
    <cellStyle name="Normal 9 2 5 3 3 5" xfId="2144"/>
    <cellStyle name="Normal 9 2 5 3 3 5 2" xfId="24475"/>
    <cellStyle name="Normal 9 2 5 3 3 6" xfId="24476"/>
    <cellStyle name="Normal 9 2 5 3 4" xfId="2145"/>
    <cellStyle name="Normal 9 2 5 3 4 2" xfId="2146"/>
    <cellStyle name="Normal 9 2 5 3 4 2 2" xfId="24477"/>
    <cellStyle name="Normal 9 2 5 3 4 3" xfId="2147"/>
    <cellStyle name="Normal 9 2 5 3 4 3 2" xfId="24478"/>
    <cellStyle name="Normal 9 2 5 3 4 4" xfId="24479"/>
    <cellStyle name="Normal 9 2 5 3 5" xfId="2148"/>
    <cellStyle name="Normal 9 2 5 3 5 2" xfId="2149"/>
    <cellStyle name="Normal 9 2 5 3 5 2 2" xfId="24480"/>
    <cellStyle name="Normal 9 2 5 3 5 3" xfId="2150"/>
    <cellStyle name="Normal 9 2 5 3 5 3 2" xfId="24481"/>
    <cellStyle name="Normal 9 2 5 3 5 4" xfId="24482"/>
    <cellStyle name="Normal 9 2 5 3 6" xfId="2151"/>
    <cellStyle name="Normal 9 2 5 3 6 2" xfId="24483"/>
    <cellStyle name="Normal 9 2 5 3 7" xfId="2152"/>
    <cellStyle name="Normal 9 2 5 3 7 2" xfId="24484"/>
    <cellStyle name="Normal 9 2 5 3 8" xfId="24485"/>
    <cellStyle name="Normal 9 2 5 4" xfId="2153"/>
    <cellStyle name="Normal 9 2 5 4 2" xfId="2154"/>
    <cellStyle name="Normal 9 2 5 4 2 2" xfId="2155"/>
    <cellStyle name="Normal 9 2 5 4 2 2 2" xfId="24486"/>
    <cellStyle name="Normal 9 2 5 4 2 3" xfId="2156"/>
    <cellStyle name="Normal 9 2 5 4 2 3 2" xfId="24487"/>
    <cellStyle name="Normal 9 2 5 4 2 4" xfId="24488"/>
    <cellStyle name="Normal 9 2 5 4 3" xfId="2157"/>
    <cellStyle name="Normal 9 2 5 4 3 2" xfId="2158"/>
    <cellStyle name="Normal 9 2 5 4 3 2 2" xfId="24489"/>
    <cellStyle name="Normal 9 2 5 4 3 3" xfId="2159"/>
    <cellStyle name="Normal 9 2 5 4 3 3 2" xfId="24490"/>
    <cellStyle name="Normal 9 2 5 4 3 4" xfId="24491"/>
    <cellStyle name="Normal 9 2 5 4 4" xfId="2160"/>
    <cellStyle name="Normal 9 2 5 4 4 2" xfId="24492"/>
    <cellStyle name="Normal 9 2 5 4 5" xfId="2161"/>
    <cellStyle name="Normal 9 2 5 4 5 2" xfId="24493"/>
    <cellStyle name="Normal 9 2 5 4 6" xfId="24494"/>
    <cellStyle name="Normal 9 2 5 5" xfId="2162"/>
    <cellStyle name="Normal 9 2 5 5 2" xfId="2163"/>
    <cellStyle name="Normal 9 2 5 5 2 2" xfId="24495"/>
    <cellStyle name="Normal 9 2 5 5 3" xfId="2164"/>
    <cellStyle name="Normal 9 2 5 5 3 2" xfId="24496"/>
    <cellStyle name="Normal 9 2 5 5 4" xfId="2165"/>
    <cellStyle name="Normal 9 2 5 5 4 2" xfId="24497"/>
    <cellStyle name="Normal 9 2 5 5 5" xfId="2166"/>
    <cellStyle name="Normal 9 2 5 5 5 2" xfId="24498"/>
    <cellStyle name="Normal 9 2 5 5 6" xfId="24499"/>
    <cellStyle name="Normal 9 2 5 6" xfId="2167"/>
    <cellStyle name="Normal 9 2 5 6 2" xfId="2168"/>
    <cellStyle name="Normal 9 2 5 6 2 2" xfId="24500"/>
    <cellStyle name="Normal 9 2 5 6 3" xfId="2169"/>
    <cellStyle name="Normal 9 2 5 6 3 2" xfId="24501"/>
    <cellStyle name="Normal 9 2 5 6 4" xfId="24502"/>
    <cellStyle name="Normal 9 2 5 7" xfId="2170"/>
    <cellStyle name="Normal 9 2 5 7 2" xfId="2171"/>
    <cellStyle name="Normal 9 2 5 7 2 2" xfId="24503"/>
    <cellStyle name="Normal 9 2 5 7 3" xfId="2172"/>
    <cellStyle name="Normal 9 2 5 7 3 2" xfId="24504"/>
    <cellStyle name="Normal 9 2 5 7 4" xfId="24505"/>
    <cellStyle name="Normal 9 2 5 8" xfId="2173"/>
    <cellStyle name="Normal 9 2 5 8 2" xfId="24506"/>
    <cellStyle name="Normal 9 2 5 9" xfId="2174"/>
    <cellStyle name="Normal 9 2 5 9 2" xfId="24507"/>
    <cellStyle name="Normal 9 2 5_10070" xfId="2175"/>
    <cellStyle name="Normal 9 2 6" xfId="2176"/>
    <cellStyle name="Normal 9 2 6 2" xfId="2177"/>
    <cellStyle name="Normal 9 2 6 2 2" xfId="24508"/>
    <cellStyle name="Normal 9 2 6 3" xfId="2178"/>
    <cellStyle name="Normal 9 2 6 3 2" xfId="24509"/>
    <cellStyle name="Normal 9 2 6 4" xfId="2179"/>
    <cellStyle name="Normal 9 2 6 4 2" xfId="24510"/>
    <cellStyle name="Normal 9 2 6 5" xfId="2180"/>
    <cellStyle name="Normal 9 2 6 5 2" xfId="24511"/>
    <cellStyle name="Normal 9 2 6 6" xfId="24512"/>
    <cellStyle name="Normal 9 2 7" xfId="2181"/>
    <cellStyle name="Normal 9 2 7 2" xfId="2182"/>
    <cellStyle name="Normal 9 2 7 2 2" xfId="24513"/>
    <cellStyle name="Normal 9 2 7 3" xfId="2183"/>
    <cellStyle name="Normal 9 2 7 3 2" xfId="24514"/>
    <cellStyle name="Normal 9 2 7 4" xfId="24515"/>
    <cellStyle name="Normal 9 2 8" xfId="2184"/>
    <cellStyle name="Normal 9 2 8 2" xfId="2185"/>
    <cellStyle name="Normal 9 2 8 2 2" xfId="24516"/>
    <cellStyle name="Normal 9 2 8 3" xfId="2186"/>
    <cellStyle name="Normal 9 2 8 3 2" xfId="24517"/>
    <cellStyle name="Normal 9 2 8 4" xfId="24518"/>
    <cellStyle name="Normal 9 2 9" xfId="2187"/>
    <cellStyle name="Normal 9 2 9 2" xfId="24519"/>
    <cellStyle name="Normal 9 3" xfId="1205"/>
    <cellStyle name="Normal 9 3 2" xfId="1206"/>
    <cellStyle name="Normal 9 3 2 2" xfId="1207"/>
    <cellStyle name="Normal 9 3 2 2 2" xfId="19051"/>
    <cellStyle name="Normal 9 3 2 2 2 2" xfId="19052"/>
    <cellStyle name="Normal 9 3 2 2 2 2 2" xfId="19053"/>
    <cellStyle name="Normal 9 3 2 2 2 2 2 2" xfId="24520"/>
    <cellStyle name="Normal 9 3 2 2 2 2 3" xfId="19054"/>
    <cellStyle name="Normal 9 3 2 2 2 3" xfId="19055"/>
    <cellStyle name="Normal 9 3 2 2 2 3 2" xfId="19056"/>
    <cellStyle name="Normal 9 3 2 2 2 3 2 2" xfId="24521"/>
    <cellStyle name="Normal 9 3 2 2 2 3 3" xfId="19057"/>
    <cellStyle name="Normal 9 3 2 2 2 4" xfId="19058"/>
    <cellStyle name="Normal 9 3 2 2 2 4 2" xfId="24522"/>
    <cellStyle name="Normal 9 3 2 2 2 5" xfId="19059"/>
    <cellStyle name="Normal 9 3 2 2 3" xfId="19060"/>
    <cellStyle name="Normal 9 3 2 2 3 2" xfId="19061"/>
    <cellStyle name="Normal 9 3 2 2 3 2 2" xfId="24523"/>
    <cellStyle name="Normal 9 3 2 2 3 3" xfId="19062"/>
    <cellStyle name="Normal 9 3 2 2 4" xfId="19063"/>
    <cellStyle name="Normal 9 3 2 2 4 2" xfId="19064"/>
    <cellStyle name="Normal 9 3 2 2 4 2 2" xfId="24524"/>
    <cellStyle name="Normal 9 3 2 2 4 3" xfId="19065"/>
    <cellStyle name="Normal 9 3 2 2 5" xfId="19066"/>
    <cellStyle name="Normal 9 3 2 2 5 2" xfId="24525"/>
    <cellStyle name="Normal 9 3 2 2 6" xfId="19067"/>
    <cellStyle name="Normal 9 3 2 3" xfId="2188"/>
    <cellStyle name="Normal 9 3 2 3 2" xfId="19068"/>
    <cellStyle name="Normal 9 3 2 3 2 2" xfId="19069"/>
    <cellStyle name="Normal 9 3 2 3 2 2 2" xfId="24526"/>
    <cellStyle name="Normal 9 3 2 3 2 3" xfId="19070"/>
    <cellStyle name="Normal 9 3 2 3 3" xfId="19071"/>
    <cellStyle name="Normal 9 3 2 3 3 2" xfId="19072"/>
    <cellStyle name="Normal 9 3 2 3 3 2 2" xfId="24527"/>
    <cellStyle name="Normal 9 3 2 3 3 3" xfId="19073"/>
    <cellStyle name="Normal 9 3 2 3 4" xfId="19074"/>
    <cellStyle name="Normal 9 3 2 3 4 2" xfId="24528"/>
    <cellStyle name="Normal 9 3 2 3 5" xfId="19075"/>
    <cellStyle name="Normal 9 3 2 4" xfId="2189"/>
    <cellStyle name="Normal 9 3 2 4 2" xfId="19076"/>
    <cellStyle name="Normal 9 3 2 4 2 2" xfId="24529"/>
    <cellStyle name="Normal 9 3 2 4 3" xfId="19077"/>
    <cellStyle name="Normal 9 3 2 5" xfId="2190"/>
    <cellStyle name="Normal 9 3 2 5 2" xfId="19078"/>
    <cellStyle name="Normal 9 3 2 5 2 2" xfId="24530"/>
    <cellStyle name="Normal 9 3 2 5 3" xfId="19079"/>
    <cellStyle name="Normal 9 3 2 6" xfId="19080"/>
    <cellStyle name="Normal 9 3 2 6 2" xfId="24531"/>
    <cellStyle name="Normal 9 3 2 7" xfId="19081"/>
    <cellStyle name="Normal 9 3 3" xfId="1208"/>
    <cellStyle name="Normal 9 3 3 2" xfId="2191"/>
    <cellStyle name="Normal 9 3 3 2 2" xfId="19082"/>
    <cellStyle name="Normal 9 3 3 2 2 2" xfId="19083"/>
    <cellStyle name="Normal 9 3 3 2 2 2 2" xfId="24532"/>
    <cellStyle name="Normal 9 3 3 2 2 3" xfId="19084"/>
    <cellStyle name="Normal 9 3 3 2 3" xfId="19085"/>
    <cellStyle name="Normal 9 3 3 2 3 2" xfId="19086"/>
    <cellStyle name="Normal 9 3 3 2 3 2 2" xfId="24533"/>
    <cellStyle name="Normal 9 3 3 2 3 3" xfId="19087"/>
    <cellStyle name="Normal 9 3 3 2 4" xfId="19088"/>
    <cellStyle name="Normal 9 3 3 2 4 2" xfId="24534"/>
    <cellStyle name="Normal 9 3 3 2 5" xfId="19089"/>
    <cellStyle name="Normal 9 3 3 3" xfId="2192"/>
    <cellStyle name="Normal 9 3 3 3 2" xfId="19090"/>
    <cellStyle name="Normal 9 3 3 3 2 2" xfId="24535"/>
    <cellStyle name="Normal 9 3 3 3 3" xfId="19091"/>
    <cellStyle name="Normal 9 3 3 4" xfId="19092"/>
    <cellStyle name="Normal 9 3 3 4 2" xfId="19093"/>
    <cellStyle name="Normal 9 3 3 4 2 2" xfId="24536"/>
    <cellStyle name="Normal 9 3 3 4 3" xfId="19094"/>
    <cellStyle name="Normal 9 3 3 5" xfId="19095"/>
    <cellStyle name="Normal 9 3 3 5 2" xfId="24537"/>
    <cellStyle name="Normal 9 3 3 6" xfId="19096"/>
    <cellStyle name="Normal 9 3 4" xfId="1209"/>
    <cellStyle name="Normal 9 3 4 2" xfId="2193"/>
    <cellStyle name="Normal 9 3 4 2 2" xfId="19097"/>
    <cellStyle name="Normal 9 3 4 2 2 2" xfId="24538"/>
    <cellStyle name="Normal 9 3 4 2 3" xfId="19098"/>
    <cellStyle name="Normal 9 3 4 3" xfId="2194"/>
    <cellStyle name="Normal 9 3 4 3 2" xfId="19099"/>
    <cellStyle name="Normal 9 3 4 3 2 2" xfId="24539"/>
    <cellStyle name="Normal 9 3 4 3 3" xfId="19100"/>
    <cellStyle name="Normal 9 3 4 4" xfId="19101"/>
    <cellStyle name="Normal 9 3 4 4 2" xfId="24540"/>
    <cellStyle name="Normal 9 3 4 5" xfId="19102"/>
    <cellStyle name="Normal 9 3 5" xfId="2195"/>
    <cellStyle name="Normal 9 3 5 2" xfId="19103"/>
    <cellStyle name="Normal 9 3 5 2 2" xfId="24541"/>
    <cellStyle name="Normal 9 3 5 3" xfId="19104"/>
    <cellStyle name="Normal 9 3 6" xfId="2196"/>
    <cellStyle name="Normal 9 3 6 2" xfId="19105"/>
    <cellStyle name="Normal 9 3 6 2 2" xfId="24542"/>
    <cellStyle name="Normal 9 3 6 3" xfId="19106"/>
    <cellStyle name="Normal 9 3 7" xfId="19107"/>
    <cellStyle name="Normal 9 3 7 2" xfId="19108"/>
    <cellStyle name="Normal 9 3 8" xfId="19109"/>
    <cellStyle name="Normal 9 3 9" xfId="24543"/>
    <cellStyle name="Normal 9 4" xfId="1210"/>
    <cellStyle name="Normal 9 4 2" xfId="1211"/>
    <cellStyle name="Normal 9 4 2 2" xfId="2197"/>
    <cellStyle name="Normal 9 4 2 2 2" xfId="19110"/>
    <cellStyle name="Normal 9 4 2 2 2 2" xfId="19111"/>
    <cellStyle name="Normal 9 4 2 2 2 2 2" xfId="19112"/>
    <cellStyle name="Normal 9 4 2 2 2 2 2 2" xfId="24544"/>
    <cellStyle name="Normal 9 4 2 2 2 2 3" xfId="19113"/>
    <cellStyle name="Normal 9 4 2 2 2 3" xfId="19114"/>
    <cellStyle name="Normal 9 4 2 2 2 3 2" xfId="19115"/>
    <cellStyle name="Normal 9 4 2 2 2 3 2 2" xfId="24545"/>
    <cellStyle name="Normal 9 4 2 2 2 3 3" xfId="19116"/>
    <cellStyle name="Normal 9 4 2 2 2 4" xfId="19117"/>
    <cellStyle name="Normal 9 4 2 2 2 4 2" xfId="24546"/>
    <cellStyle name="Normal 9 4 2 2 2 5" xfId="19118"/>
    <cellStyle name="Normal 9 4 2 2 3" xfId="19119"/>
    <cellStyle name="Normal 9 4 2 2 3 2" xfId="19120"/>
    <cellStyle name="Normal 9 4 2 2 3 2 2" xfId="24547"/>
    <cellStyle name="Normal 9 4 2 2 3 3" xfId="19121"/>
    <cellStyle name="Normal 9 4 2 2 4" xfId="19122"/>
    <cellStyle name="Normal 9 4 2 2 4 2" xfId="19123"/>
    <cellStyle name="Normal 9 4 2 2 4 2 2" xfId="24548"/>
    <cellStyle name="Normal 9 4 2 2 4 3" xfId="19124"/>
    <cellStyle name="Normal 9 4 2 2 5" xfId="19125"/>
    <cellStyle name="Normal 9 4 2 2 5 2" xfId="24549"/>
    <cellStyle name="Normal 9 4 2 2 6" xfId="19126"/>
    <cellStyle name="Normal 9 4 2 3" xfId="2198"/>
    <cellStyle name="Normal 9 4 2 3 2" xfId="19127"/>
    <cellStyle name="Normal 9 4 2 3 2 2" xfId="19128"/>
    <cellStyle name="Normal 9 4 2 3 2 2 2" xfId="24550"/>
    <cellStyle name="Normal 9 4 2 3 2 3" xfId="19129"/>
    <cellStyle name="Normal 9 4 2 3 3" xfId="19130"/>
    <cellStyle name="Normal 9 4 2 3 3 2" xfId="19131"/>
    <cellStyle name="Normal 9 4 2 3 3 2 2" xfId="24551"/>
    <cellStyle name="Normal 9 4 2 3 3 3" xfId="19132"/>
    <cellStyle name="Normal 9 4 2 3 4" xfId="19133"/>
    <cellStyle name="Normal 9 4 2 3 4 2" xfId="24552"/>
    <cellStyle name="Normal 9 4 2 3 5" xfId="19134"/>
    <cellStyle name="Normal 9 4 2 4" xfId="2199"/>
    <cellStyle name="Normal 9 4 2 4 2" xfId="19135"/>
    <cellStyle name="Normal 9 4 2 4 2 2" xfId="24553"/>
    <cellStyle name="Normal 9 4 2 4 3" xfId="19136"/>
    <cellStyle name="Normal 9 4 2 5" xfId="2200"/>
    <cellStyle name="Normal 9 4 2 5 2" xfId="19137"/>
    <cellStyle name="Normal 9 4 2 5 2 2" xfId="24554"/>
    <cellStyle name="Normal 9 4 2 5 3" xfId="19138"/>
    <cellStyle name="Normal 9 4 2 6" xfId="19139"/>
    <cellStyle name="Normal 9 4 2 6 2" xfId="24555"/>
    <cellStyle name="Normal 9 4 2 7" xfId="19140"/>
    <cellStyle name="Normal 9 4 3" xfId="2201"/>
    <cellStyle name="Normal 9 4 3 2" xfId="2202"/>
    <cellStyle name="Normal 9 4 3 2 2" xfId="19141"/>
    <cellStyle name="Normal 9 4 3 2 2 2" xfId="19142"/>
    <cellStyle name="Normal 9 4 3 2 2 2 2" xfId="24556"/>
    <cellStyle name="Normal 9 4 3 2 2 3" xfId="19143"/>
    <cellStyle name="Normal 9 4 3 2 3" xfId="19144"/>
    <cellStyle name="Normal 9 4 3 2 3 2" xfId="19145"/>
    <cellStyle name="Normal 9 4 3 2 3 2 2" xfId="24557"/>
    <cellStyle name="Normal 9 4 3 2 3 3" xfId="19146"/>
    <cellStyle name="Normal 9 4 3 2 4" xfId="19147"/>
    <cellStyle name="Normal 9 4 3 2 4 2" xfId="24558"/>
    <cellStyle name="Normal 9 4 3 2 5" xfId="19148"/>
    <cellStyle name="Normal 9 4 3 3" xfId="2203"/>
    <cellStyle name="Normal 9 4 3 3 2" xfId="19149"/>
    <cellStyle name="Normal 9 4 3 3 2 2" xfId="24559"/>
    <cellStyle name="Normal 9 4 3 3 3" xfId="19150"/>
    <cellStyle name="Normal 9 4 3 4" xfId="19151"/>
    <cellStyle name="Normal 9 4 3 4 2" xfId="19152"/>
    <cellStyle name="Normal 9 4 3 4 2 2" xfId="24560"/>
    <cellStyle name="Normal 9 4 3 4 3" xfId="19153"/>
    <cellStyle name="Normal 9 4 3 5" xfId="19154"/>
    <cellStyle name="Normal 9 4 3 5 2" xfId="24561"/>
    <cellStyle name="Normal 9 4 3 6" xfId="19155"/>
    <cellStyle name="Normal 9 4 4" xfId="2204"/>
    <cellStyle name="Normal 9 4 4 2" xfId="2205"/>
    <cellStyle name="Normal 9 4 4 2 2" xfId="19156"/>
    <cellStyle name="Normal 9 4 4 2 2 2" xfId="24562"/>
    <cellStyle name="Normal 9 4 4 2 3" xfId="19157"/>
    <cellStyle name="Normal 9 4 4 3" xfId="2206"/>
    <cellStyle name="Normal 9 4 4 3 2" xfId="19158"/>
    <cellStyle name="Normal 9 4 4 3 2 2" xfId="24563"/>
    <cellStyle name="Normal 9 4 4 3 3" xfId="19159"/>
    <cellStyle name="Normal 9 4 4 4" xfId="19160"/>
    <cellStyle name="Normal 9 4 4 4 2" xfId="24564"/>
    <cellStyle name="Normal 9 4 4 5" xfId="19161"/>
    <cellStyle name="Normal 9 4 5" xfId="2207"/>
    <cellStyle name="Normal 9 4 5 2" xfId="19162"/>
    <cellStyle name="Normal 9 4 5 2 2" xfId="24565"/>
    <cellStyle name="Normal 9 4 5 3" xfId="19163"/>
    <cellStyle name="Normal 9 4 6" xfId="2208"/>
    <cellStyle name="Normal 9 4 6 2" xfId="19164"/>
    <cellStyle name="Normal 9 4 6 2 2" xfId="24566"/>
    <cellStyle name="Normal 9 4 6 3" xfId="19165"/>
    <cellStyle name="Normal 9 4 7" xfId="19166"/>
    <cellStyle name="Normal 9 4 7 2" xfId="24567"/>
    <cellStyle name="Normal 9 4 8" xfId="19167"/>
    <cellStyle name="Normal 9 5" xfId="1212"/>
    <cellStyle name="Normal 9 5 10" xfId="24568"/>
    <cellStyle name="Normal 9 5 2" xfId="2209"/>
    <cellStyle name="Normal 9 5 2 2" xfId="2210"/>
    <cellStyle name="Normal 9 5 2 2 2" xfId="2211"/>
    <cellStyle name="Normal 9 5 2 2 2 2" xfId="19168"/>
    <cellStyle name="Normal 9 5 2 2 2 2 2" xfId="24569"/>
    <cellStyle name="Normal 9 5 2 2 2 3" xfId="19169"/>
    <cellStyle name="Normal 9 5 2 2 3" xfId="2212"/>
    <cellStyle name="Normal 9 5 2 2 3 2" xfId="19170"/>
    <cellStyle name="Normal 9 5 2 2 3 2 2" xfId="24570"/>
    <cellStyle name="Normal 9 5 2 2 3 3" xfId="19171"/>
    <cellStyle name="Normal 9 5 2 2 4" xfId="2213"/>
    <cellStyle name="Normal 9 5 2 2 4 2" xfId="24571"/>
    <cellStyle name="Normal 9 5 2 2 5" xfId="2214"/>
    <cellStyle name="Normal 9 5 2 2 5 2" xfId="24572"/>
    <cellStyle name="Normal 9 5 2 2 6" xfId="24573"/>
    <cellStyle name="Normal 9 5 2 3" xfId="2215"/>
    <cellStyle name="Normal 9 5 2 3 2" xfId="2216"/>
    <cellStyle name="Normal 9 5 2 3 2 2" xfId="24574"/>
    <cellStyle name="Normal 9 5 2 3 3" xfId="2217"/>
    <cellStyle name="Normal 9 5 2 3 3 2" xfId="24575"/>
    <cellStyle name="Normal 9 5 2 3 4" xfId="24576"/>
    <cellStyle name="Normal 9 5 2 4" xfId="2218"/>
    <cellStyle name="Normal 9 5 2 4 2" xfId="2219"/>
    <cellStyle name="Normal 9 5 2 4 2 2" xfId="24577"/>
    <cellStyle name="Normal 9 5 2 4 3" xfId="2220"/>
    <cellStyle name="Normal 9 5 2 4 3 2" xfId="24578"/>
    <cellStyle name="Normal 9 5 2 4 4" xfId="24579"/>
    <cellStyle name="Normal 9 5 2 5" xfId="2221"/>
    <cellStyle name="Normal 9 5 2 5 2" xfId="24580"/>
    <cellStyle name="Normal 9 5 2 6" xfId="2222"/>
    <cellStyle name="Normal 9 5 2 6 2" xfId="24581"/>
    <cellStyle name="Normal 9 5 2 7" xfId="24582"/>
    <cellStyle name="Normal 9 5 3" xfId="2223"/>
    <cellStyle name="Normal 9 5 3 2" xfId="2224"/>
    <cellStyle name="Normal 9 5 3 2 2" xfId="2225"/>
    <cellStyle name="Normal 9 5 3 2 2 2" xfId="2226"/>
    <cellStyle name="Normal 9 5 3 2 2 2 2" xfId="24583"/>
    <cellStyle name="Normal 9 5 3 2 2 3" xfId="2227"/>
    <cellStyle name="Normal 9 5 3 2 2 3 2" xfId="24584"/>
    <cellStyle name="Normal 9 5 3 2 2 4" xfId="24585"/>
    <cellStyle name="Normal 9 5 3 2 3" xfId="2228"/>
    <cellStyle name="Normal 9 5 3 2 3 2" xfId="2229"/>
    <cellStyle name="Normal 9 5 3 2 3 2 2" xfId="24586"/>
    <cellStyle name="Normal 9 5 3 2 3 3" xfId="2230"/>
    <cellStyle name="Normal 9 5 3 2 3 3 2" xfId="24587"/>
    <cellStyle name="Normal 9 5 3 2 3 4" xfId="24588"/>
    <cellStyle name="Normal 9 5 3 2 4" xfId="2231"/>
    <cellStyle name="Normal 9 5 3 2 4 2" xfId="24589"/>
    <cellStyle name="Normal 9 5 3 2 5" xfId="2232"/>
    <cellStyle name="Normal 9 5 3 2 5 2" xfId="24590"/>
    <cellStyle name="Normal 9 5 3 2 6" xfId="24591"/>
    <cellStyle name="Normal 9 5 3 3" xfId="2233"/>
    <cellStyle name="Normal 9 5 3 3 2" xfId="2234"/>
    <cellStyle name="Normal 9 5 3 3 2 2" xfId="24592"/>
    <cellStyle name="Normal 9 5 3 3 3" xfId="2235"/>
    <cellStyle name="Normal 9 5 3 3 3 2" xfId="24593"/>
    <cellStyle name="Normal 9 5 3 3 4" xfId="2236"/>
    <cellStyle name="Normal 9 5 3 3 4 2" xfId="24594"/>
    <cellStyle name="Normal 9 5 3 3 5" xfId="2237"/>
    <cellStyle name="Normal 9 5 3 3 5 2" xfId="24595"/>
    <cellStyle name="Normal 9 5 3 3 6" xfId="24596"/>
    <cellStyle name="Normal 9 5 3 4" xfId="2238"/>
    <cellStyle name="Normal 9 5 3 4 2" xfId="2239"/>
    <cellStyle name="Normal 9 5 3 4 2 2" xfId="24597"/>
    <cellStyle name="Normal 9 5 3 4 3" xfId="2240"/>
    <cellStyle name="Normal 9 5 3 4 3 2" xfId="24598"/>
    <cellStyle name="Normal 9 5 3 4 4" xfId="24599"/>
    <cellStyle name="Normal 9 5 3 5" xfId="2241"/>
    <cellStyle name="Normal 9 5 3 5 2" xfId="2242"/>
    <cellStyle name="Normal 9 5 3 5 2 2" xfId="24600"/>
    <cellStyle name="Normal 9 5 3 5 3" xfId="2243"/>
    <cellStyle name="Normal 9 5 3 5 3 2" xfId="24601"/>
    <cellStyle name="Normal 9 5 3 5 4" xfId="24602"/>
    <cellStyle name="Normal 9 5 3 6" xfId="2244"/>
    <cellStyle name="Normal 9 5 3 6 2" xfId="24603"/>
    <cellStyle name="Normal 9 5 3 7" xfId="2245"/>
    <cellStyle name="Normal 9 5 3 7 2" xfId="24604"/>
    <cellStyle name="Normal 9 5 3 8" xfId="24605"/>
    <cellStyle name="Normal 9 5 4" xfId="2246"/>
    <cellStyle name="Normal 9 5 4 2" xfId="2247"/>
    <cellStyle name="Normal 9 5 4 2 2" xfId="2248"/>
    <cellStyle name="Normal 9 5 4 2 2 2" xfId="24606"/>
    <cellStyle name="Normal 9 5 4 2 3" xfId="2249"/>
    <cellStyle name="Normal 9 5 4 2 3 2" xfId="24607"/>
    <cellStyle name="Normal 9 5 4 2 4" xfId="24608"/>
    <cellStyle name="Normal 9 5 4 3" xfId="2250"/>
    <cellStyle name="Normal 9 5 4 3 2" xfId="2251"/>
    <cellStyle name="Normal 9 5 4 3 2 2" xfId="24609"/>
    <cellStyle name="Normal 9 5 4 3 3" xfId="2252"/>
    <cellStyle name="Normal 9 5 4 3 3 2" xfId="24610"/>
    <cellStyle name="Normal 9 5 4 3 4" xfId="24611"/>
    <cellStyle name="Normal 9 5 4 4" xfId="2253"/>
    <cellStyle name="Normal 9 5 4 4 2" xfId="24612"/>
    <cellStyle name="Normal 9 5 4 5" xfId="2254"/>
    <cellStyle name="Normal 9 5 4 5 2" xfId="24613"/>
    <cellStyle name="Normal 9 5 4 6" xfId="24614"/>
    <cellStyle name="Normal 9 5 5" xfId="2255"/>
    <cellStyle name="Normal 9 5 5 2" xfId="2256"/>
    <cellStyle name="Normal 9 5 5 2 2" xfId="24615"/>
    <cellStyle name="Normal 9 5 5 3" xfId="2257"/>
    <cellStyle name="Normal 9 5 5 3 2" xfId="24616"/>
    <cellStyle name="Normal 9 5 5 4" xfId="2258"/>
    <cellStyle name="Normal 9 5 5 4 2" xfId="24617"/>
    <cellStyle name="Normal 9 5 5 5" xfId="2259"/>
    <cellStyle name="Normal 9 5 5 5 2" xfId="24618"/>
    <cellStyle name="Normal 9 5 5 6" xfId="24619"/>
    <cellStyle name="Normal 9 5 6" xfId="2260"/>
    <cellStyle name="Normal 9 5 6 2" xfId="2261"/>
    <cellStyle name="Normal 9 5 6 2 2" xfId="24620"/>
    <cellStyle name="Normal 9 5 6 3" xfId="2262"/>
    <cellStyle name="Normal 9 5 6 3 2" xfId="24621"/>
    <cellStyle name="Normal 9 5 6 4" xfId="24622"/>
    <cellStyle name="Normal 9 5 7" xfId="2263"/>
    <cellStyle name="Normal 9 5 7 2" xfId="2264"/>
    <cellStyle name="Normal 9 5 7 2 2" xfId="24623"/>
    <cellStyle name="Normal 9 5 7 3" xfId="2265"/>
    <cellStyle name="Normal 9 5 7 3 2" xfId="24624"/>
    <cellStyle name="Normal 9 5 7 4" xfId="24625"/>
    <cellStyle name="Normal 9 5 8" xfId="2266"/>
    <cellStyle name="Normal 9 5 8 2" xfId="24626"/>
    <cellStyle name="Normal 9 5 9" xfId="2267"/>
    <cellStyle name="Normal 9 5 9 2" xfId="24627"/>
    <cellStyle name="Normal 9 5_10070" xfId="2268"/>
    <cellStyle name="Normal 9 6" xfId="2269"/>
    <cellStyle name="Normal 9 6 2" xfId="2270"/>
    <cellStyle name="Normal 9 6 2 2" xfId="2271"/>
    <cellStyle name="Normal 9 6 2 2 2" xfId="19172"/>
    <cellStyle name="Normal 9 6 2 2 2 2" xfId="24628"/>
    <cellStyle name="Normal 9 6 2 2 3" xfId="19173"/>
    <cellStyle name="Normal 9 6 2 3" xfId="2272"/>
    <cellStyle name="Normal 9 6 2 3 2" xfId="19174"/>
    <cellStyle name="Normal 9 6 2 3 2 2" xfId="24629"/>
    <cellStyle name="Normal 9 6 2 3 3" xfId="19175"/>
    <cellStyle name="Normal 9 6 2 4" xfId="19176"/>
    <cellStyle name="Normal 9 6 2 4 2" xfId="24630"/>
    <cellStyle name="Normal 9 6 2 5" xfId="19177"/>
    <cellStyle name="Normal 9 6 3" xfId="2273"/>
    <cellStyle name="Normal 9 6 3 2" xfId="2274"/>
    <cellStyle name="Normal 9 6 3 2 2" xfId="24631"/>
    <cellStyle name="Normal 9 6 3 3" xfId="2275"/>
    <cellStyle name="Normal 9 6 3 3 2" xfId="24632"/>
    <cellStyle name="Normal 9 6 3 4" xfId="24633"/>
    <cellStyle name="Normal 9 6 4" xfId="2276"/>
    <cellStyle name="Normal 9 6 4 2" xfId="19178"/>
    <cellStyle name="Normal 9 6 4 2 2" xfId="24634"/>
    <cellStyle name="Normal 9 6 4 3" xfId="19179"/>
    <cellStyle name="Normal 9 6 5" xfId="2277"/>
    <cellStyle name="Normal 9 6 5 2" xfId="24635"/>
    <cellStyle name="Normal 9 6 6" xfId="19180"/>
    <cellStyle name="Normal 9 7" xfId="2278"/>
    <cellStyle name="Normal 9 7 2" xfId="2279"/>
    <cellStyle name="Normal 9 7 2 2" xfId="19181"/>
    <cellStyle name="Normal 9 7 2 2 2" xfId="24636"/>
    <cellStyle name="Normal 9 7 2 3" xfId="19182"/>
    <cellStyle name="Normal 9 7 3" xfId="2280"/>
    <cellStyle name="Normal 9 7 3 2" xfId="19183"/>
    <cellStyle name="Normal 9 7 3 2 2" xfId="24637"/>
    <cellStyle name="Normal 9 7 3 3" xfId="19184"/>
    <cellStyle name="Normal 9 7 4" xfId="2281"/>
    <cellStyle name="Normal 9 7 4 2" xfId="24638"/>
    <cellStyle name="Normal 9 7 5" xfId="2282"/>
    <cellStyle name="Normal 9 7 5 2" xfId="24639"/>
    <cellStyle name="Normal 9 7 6" xfId="24640"/>
    <cellStyle name="Normal 9 8" xfId="2283"/>
    <cellStyle name="Normal 9 8 2" xfId="2284"/>
    <cellStyle name="Normal 9 8 2 2" xfId="24641"/>
    <cellStyle name="Normal 9 8 3" xfId="2285"/>
    <cellStyle name="Normal 9 8 3 2" xfId="24642"/>
    <cellStyle name="Normal 9 8 4" xfId="24643"/>
    <cellStyle name="Normal 9 9" xfId="2286"/>
    <cellStyle name="Normal 9 9 2" xfId="2287"/>
    <cellStyle name="Normal 9 9 2 2" xfId="24644"/>
    <cellStyle name="Normal 9 9 3" xfId="2288"/>
    <cellStyle name="Normal 9 9 3 2" xfId="24645"/>
    <cellStyle name="Normal 9 9 4" xfId="24646"/>
    <cellStyle name="Normal 9_2112 Salary" xfId="19185"/>
    <cellStyle name="Normal 90" xfId="353"/>
    <cellStyle name="Normal 90 2" xfId="1213"/>
    <cellStyle name="Normal 90 2 2" xfId="19186"/>
    <cellStyle name="Normal 90 3" xfId="24647"/>
    <cellStyle name="Normal 90 4" xfId="24648"/>
    <cellStyle name="Normal 91" xfId="354"/>
    <cellStyle name="Normal 91 2" xfId="24649"/>
    <cellStyle name="Normal 91 3" xfId="24650"/>
    <cellStyle name="Normal 92" xfId="355"/>
    <cellStyle name="Normal 92 2" xfId="1214"/>
    <cellStyle name="Normal 92 2 2" xfId="19187"/>
    <cellStyle name="Normal 92 2 2 2" xfId="24651"/>
    <cellStyle name="Normal 92 2 3" xfId="19188"/>
    <cellStyle name="Normal 92 3" xfId="24652"/>
    <cellStyle name="Normal 92 4" xfId="24653"/>
    <cellStyle name="Normal 93" xfId="356"/>
    <cellStyle name="Normal 93 2" xfId="1215"/>
    <cellStyle name="Normal 93 2 2" xfId="19189"/>
    <cellStyle name="Normal 93 3" xfId="19190"/>
    <cellStyle name="Normal 93 3 2" xfId="24654"/>
    <cellStyle name="Normal 93 4" xfId="19191"/>
    <cellStyle name="Normal 93 5" xfId="24655"/>
    <cellStyle name="Normal 94" xfId="357"/>
    <cellStyle name="Normal 94 2" xfId="1216"/>
    <cellStyle name="Normal 94 2 2" xfId="19192"/>
    <cellStyle name="Normal 94 3" xfId="19193"/>
    <cellStyle name="Normal 94 3 2" xfId="24656"/>
    <cellStyle name="Normal 94 4" xfId="19194"/>
    <cellStyle name="Normal 94 5" xfId="24657"/>
    <cellStyle name="Normal 95" xfId="358"/>
    <cellStyle name="Normal 95 2" xfId="1217"/>
    <cellStyle name="Normal 95 2 2" xfId="24658"/>
    <cellStyle name="Normal 95 3" xfId="19195"/>
    <cellStyle name="Normal 95 3 2" xfId="24659"/>
    <cellStyle name="Normal 95 4" xfId="24660"/>
    <cellStyle name="Normal 95 5" xfId="24661"/>
    <cellStyle name="Normal 96" xfId="359"/>
    <cellStyle name="Normal 96 2" xfId="1218"/>
    <cellStyle name="Normal 96 2 2" xfId="24662"/>
    <cellStyle name="Normal 96 3" xfId="19196"/>
    <cellStyle name="Normal 96 3 2" xfId="24663"/>
    <cellStyle name="Normal 96 4" xfId="19197"/>
    <cellStyle name="Normal 96 5" xfId="24664"/>
    <cellStyle name="Normal 97" xfId="360"/>
    <cellStyle name="Normal 97 2" xfId="1219"/>
    <cellStyle name="Normal 97 2 2" xfId="24665"/>
    <cellStyle name="Normal 97 3" xfId="19198"/>
    <cellStyle name="Normal 97 3 2" xfId="24666"/>
    <cellStyle name="Normal 97 4" xfId="24667"/>
    <cellStyle name="Normal 97 5" xfId="24668"/>
    <cellStyle name="Normal 98" xfId="361"/>
    <cellStyle name="Normal 98 2" xfId="1220"/>
    <cellStyle name="Normal 98 2 2" xfId="2289"/>
    <cellStyle name="Normal 98 2 2 2" xfId="24669"/>
    <cellStyle name="Normal 98 2 3" xfId="24670"/>
    <cellStyle name="Normal 98 3" xfId="19199"/>
    <cellStyle name="Normal 98 4" xfId="24671"/>
    <cellStyle name="Normal 99" xfId="362"/>
    <cellStyle name="Normal 99 2" xfId="1221"/>
    <cellStyle name="Normal 99 2 2" xfId="24672"/>
    <cellStyle name="Normal 99 3" xfId="2290"/>
    <cellStyle name="Normal 99 3 2" xfId="24673"/>
    <cellStyle name="Normal 99 4" xfId="2291"/>
    <cellStyle name="Normal 99 4 2" xfId="24674"/>
    <cellStyle name="Normal 99 5" xfId="24675"/>
    <cellStyle name="Normal 99 6" xfId="24676"/>
    <cellStyle name="Normal_Proforma" xfId="5"/>
    <cellStyle name="Normal_Regulated Price Out 9-6-2011 Final HL" xfId="21448"/>
    <cellStyle name="Normal_Report" xfId="60"/>
    <cellStyle name="Normal_Sheet1 3" xfId="21447"/>
    <cellStyle name="Normal_TheTool_Jeff_v5 2" xfId="6"/>
    <cellStyle name="Note 2" xfId="363"/>
    <cellStyle name="Note 2 2" xfId="364"/>
    <cellStyle name="Note 2 2 2" xfId="2292"/>
    <cellStyle name="Note 2 2 2 10" xfId="19200"/>
    <cellStyle name="Note 2 2 2 11" xfId="19201"/>
    <cellStyle name="Note 2 2 2 2" xfId="19202"/>
    <cellStyle name="Note 2 2 2 2 2" xfId="19203"/>
    <cellStyle name="Note 2 2 2 2 3" xfId="19204"/>
    <cellStyle name="Note 2 2 2 2 4" xfId="19205"/>
    <cellStyle name="Note 2 2 2 2 5" xfId="19206"/>
    <cellStyle name="Note 2 2 2 2 6" xfId="19207"/>
    <cellStyle name="Note 2 2 2 2 7" xfId="19208"/>
    <cellStyle name="Note 2 2 2 3" xfId="19209"/>
    <cellStyle name="Note 2 2 2 3 2" xfId="19210"/>
    <cellStyle name="Note 2 2 2 3 3" xfId="19211"/>
    <cellStyle name="Note 2 2 2 3 4" xfId="19212"/>
    <cellStyle name="Note 2 2 2 3 5" xfId="19213"/>
    <cellStyle name="Note 2 2 2 3 6" xfId="19214"/>
    <cellStyle name="Note 2 2 2 3 7" xfId="19215"/>
    <cellStyle name="Note 2 2 2 4" xfId="19216"/>
    <cellStyle name="Note 2 2 2 4 2" xfId="19217"/>
    <cellStyle name="Note 2 2 2 4 3" xfId="19218"/>
    <cellStyle name="Note 2 2 2 4 4" xfId="19219"/>
    <cellStyle name="Note 2 2 2 4 5" xfId="19220"/>
    <cellStyle name="Note 2 2 2 4 6" xfId="19221"/>
    <cellStyle name="Note 2 2 2 4 7" xfId="19222"/>
    <cellStyle name="Note 2 2 2 5" xfId="19223"/>
    <cellStyle name="Note 2 2 2 5 2" xfId="19224"/>
    <cellStyle name="Note 2 2 2 5 3" xfId="19225"/>
    <cellStyle name="Note 2 2 2 5 4" xfId="19226"/>
    <cellStyle name="Note 2 2 2 5 5" xfId="19227"/>
    <cellStyle name="Note 2 2 2 5 6" xfId="19228"/>
    <cellStyle name="Note 2 2 2 5 7" xfId="19229"/>
    <cellStyle name="Note 2 2 2 6" xfId="19230"/>
    <cellStyle name="Note 2 2 2 7" xfId="19231"/>
    <cellStyle name="Note 2 2 2 8" xfId="19232"/>
    <cellStyle name="Note 2 2 2 9" xfId="19233"/>
    <cellStyle name="Note 2 2 3" xfId="19234"/>
    <cellStyle name="Note 2 2 3 10" xfId="19235"/>
    <cellStyle name="Note 2 2 3 11" xfId="19236"/>
    <cellStyle name="Note 2 2 3 2" xfId="19237"/>
    <cellStyle name="Note 2 2 3 2 2" xfId="19238"/>
    <cellStyle name="Note 2 2 3 2 3" xfId="19239"/>
    <cellStyle name="Note 2 2 3 2 4" xfId="19240"/>
    <cellStyle name="Note 2 2 3 2 5" xfId="19241"/>
    <cellStyle name="Note 2 2 3 2 6" xfId="19242"/>
    <cellStyle name="Note 2 2 3 2 7" xfId="19243"/>
    <cellStyle name="Note 2 2 3 3" xfId="19244"/>
    <cellStyle name="Note 2 2 3 3 2" xfId="19245"/>
    <cellStyle name="Note 2 2 3 3 3" xfId="19246"/>
    <cellStyle name="Note 2 2 3 3 4" xfId="19247"/>
    <cellStyle name="Note 2 2 3 3 5" xfId="19248"/>
    <cellStyle name="Note 2 2 3 3 6" xfId="19249"/>
    <cellStyle name="Note 2 2 3 3 7" xfId="19250"/>
    <cellStyle name="Note 2 2 3 4" xfId="19251"/>
    <cellStyle name="Note 2 2 3 4 2" xfId="19252"/>
    <cellStyle name="Note 2 2 3 4 3" xfId="19253"/>
    <cellStyle name="Note 2 2 3 4 4" xfId="19254"/>
    <cellStyle name="Note 2 2 3 4 5" xfId="19255"/>
    <cellStyle name="Note 2 2 3 4 6" xfId="19256"/>
    <cellStyle name="Note 2 2 3 4 7" xfId="19257"/>
    <cellStyle name="Note 2 2 3 5" xfId="19258"/>
    <cellStyle name="Note 2 2 3 5 2" xfId="19259"/>
    <cellStyle name="Note 2 2 3 5 3" xfId="19260"/>
    <cellStyle name="Note 2 2 3 5 4" xfId="19261"/>
    <cellStyle name="Note 2 2 3 5 5" xfId="19262"/>
    <cellStyle name="Note 2 2 3 5 6" xfId="19263"/>
    <cellStyle name="Note 2 2 3 5 7" xfId="19264"/>
    <cellStyle name="Note 2 2 3 6" xfId="19265"/>
    <cellStyle name="Note 2 2 3 7" xfId="19266"/>
    <cellStyle name="Note 2 2 3 8" xfId="19267"/>
    <cellStyle name="Note 2 2 3 9" xfId="19268"/>
    <cellStyle name="Note 2 2 4" xfId="19269"/>
    <cellStyle name="Note 2 2 4 2" xfId="19270"/>
    <cellStyle name="Note 2 2 4 3" xfId="19271"/>
    <cellStyle name="Note 2 2 4 4" xfId="19272"/>
    <cellStyle name="Note 2 2 4 5" xfId="19273"/>
    <cellStyle name="Note 2 2 4 6" xfId="19274"/>
    <cellStyle name="Note 2 2 4 7" xfId="19275"/>
    <cellStyle name="Note 2 2 5" xfId="19276"/>
    <cellStyle name="Note 2 2 5 2" xfId="19277"/>
    <cellStyle name="Note 2 2 5 3" xfId="19278"/>
    <cellStyle name="Note 2 2 5 4" xfId="19279"/>
    <cellStyle name="Note 2 2 5 5" xfId="19280"/>
    <cellStyle name="Note 2 2 5 6" xfId="19281"/>
    <cellStyle name="Note 2 2 5 7" xfId="19282"/>
    <cellStyle name="Note 2 3" xfId="1222"/>
    <cellStyle name="Note 2 3 2" xfId="19283"/>
    <cellStyle name="Note 2 3 2 10" xfId="19284"/>
    <cellStyle name="Note 2 3 2 11" xfId="19285"/>
    <cellStyle name="Note 2 3 2 2" xfId="19286"/>
    <cellStyle name="Note 2 3 2 2 2" xfId="19287"/>
    <cellStyle name="Note 2 3 2 2 3" xfId="19288"/>
    <cellStyle name="Note 2 3 2 2 4" xfId="19289"/>
    <cellStyle name="Note 2 3 2 2 5" xfId="19290"/>
    <cellStyle name="Note 2 3 2 2 6" xfId="19291"/>
    <cellStyle name="Note 2 3 2 2 7" xfId="19292"/>
    <cellStyle name="Note 2 3 2 3" xfId="19293"/>
    <cellStyle name="Note 2 3 2 3 2" xfId="19294"/>
    <cellStyle name="Note 2 3 2 3 3" xfId="19295"/>
    <cellStyle name="Note 2 3 2 3 4" xfId="19296"/>
    <cellStyle name="Note 2 3 2 3 5" xfId="19297"/>
    <cellStyle name="Note 2 3 2 3 6" xfId="19298"/>
    <cellStyle name="Note 2 3 2 3 7" xfId="19299"/>
    <cellStyle name="Note 2 3 2 4" xfId="19300"/>
    <cellStyle name="Note 2 3 2 4 2" xfId="19301"/>
    <cellStyle name="Note 2 3 2 4 3" xfId="19302"/>
    <cellStyle name="Note 2 3 2 4 4" xfId="19303"/>
    <cellStyle name="Note 2 3 2 4 5" xfId="19304"/>
    <cellStyle name="Note 2 3 2 4 6" xfId="19305"/>
    <cellStyle name="Note 2 3 2 4 7" xfId="19306"/>
    <cellStyle name="Note 2 3 2 5" xfId="19307"/>
    <cellStyle name="Note 2 3 2 5 2" xfId="19308"/>
    <cellStyle name="Note 2 3 2 5 3" xfId="19309"/>
    <cellStyle name="Note 2 3 2 5 4" xfId="19310"/>
    <cellStyle name="Note 2 3 2 5 5" xfId="19311"/>
    <cellStyle name="Note 2 3 2 5 6" xfId="19312"/>
    <cellStyle name="Note 2 3 2 5 7" xfId="19313"/>
    <cellStyle name="Note 2 3 2 6" xfId="19314"/>
    <cellStyle name="Note 2 3 2 7" xfId="19315"/>
    <cellStyle name="Note 2 3 2 8" xfId="19316"/>
    <cellStyle name="Note 2 3 2 9" xfId="19317"/>
    <cellStyle name="Note 2 3 3" xfId="19318"/>
    <cellStyle name="Note 2 3 3 2" xfId="19319"/>
    <cellStyle name="Note 2 3 3 3" xfId="19320"/>
    <cellStyle name="Note 2 3 3 4" xfId="19321"/>
    <cellStyle name="Note 2 3 3 5" xfId="19322"/>
    <cellStyle name="Note 2 3 3 6" xfId="19323"/>
    <cellStyle name="Note 2 3 3 7" xfId="19324"/>
    <cellStyle name="Note 2 3 4" xfId="19325"/>
    <cellStyle name="Note 2 3 5" xfId="19326"/>
    <cellStyle name="Note 2 3 6" xfId="19327"/>
    <cellStyle name="Note 2 4" xfId="1223"/>
    <cellStyle name="Note 2 4 2" xfId="19328"/>
    <cellStyle name="Note 2 4 2 10" xfId="19329"/>
    <cellStyle name="Note 2 4 2 11" xfId="19330"/>
    <cellStyle name="Note 2 4 2 2" xfId="19331"/>
    <cellStyle name="Note 2 4 2 2 2" xfId="19332"/>
    <cellStyle name="Note 2 4 2 2 3" xfId="19333"/>
    <cellStyle name="Note 2 4 2 2 4" xfId="19334"/>
    <cellStyle name="Note 2 4 2 2 5" xfId="19335"/>
    <cellStyle name="Note 2 4 2 2 6" xfId="19336"/>
    <cellStyle name="Note 2 4 2 2 7" xfId="19337"/>
    <cellStyle name="Note 2 4 2 3" xfId="19338"/>
    <cellStyle name="Note 2 4 2 3 2" xfId="19339"/>
    <cellStyle name="Note 2 4 2 3 3" xfId="19340"/>
    <cellStyle name="Note 2 4 2 3 4" xfId="19341"/>
    <cellStyle name="Note 2 4 2 3 5" xfId="19342"/>
    <cellStyle name="Note 2 4 2 3 6" xfId="19343"/>
    <cellStyle name="Note 2 4 2 3 7" xfId="19344"/>
    <cellStyle name="Note 2 4 2 4" xfId="19345"/>
    <cellStyle name="Note 2 4 2 4 2" xfId="19346"/>
    <cellStyle name="Note 2 4 2 4 3" xfId="19347"/>
    <cellStyle name="Note 2 4 2 4 4" xfId="19348"/>
    <cellStyle name="Note 2 4 2 4 5" xfId="19349"/>
    <cellStyle name="Note 2 4 2 4 6" xfId="19350"/>
    <cellStyle name="Note 2 4 2 4 7" xfId="19351"/>
    <cellStyle name="Note 2 4 2 5" xfId="19352"/>
    <cellStyle name="Note 2 4 2 5 2" xfId="19353"/>
    <cellStyle name="Note 2 4 2 5 3" xfId="19354"/>
    <cellStyle name="Note 2 4 2 5 4" xfId="19355"/>
    <cellStyle name="Note 2 4 2 5 5" xfId="19356"/>
    <cellStyle name="Note 2 4 2 5 6" xfId="19357"/>
    <cellStyle name="Note 2 4 2 5 7" xfId="19358"/>
    <cellStyle name="Note 2 4 2 6" xfId="19359"/>
    <cellStyle name="Note 2 4 2 7" xfId="19360"/>
    <cellStyle name="Note 2 4 2 8" xfId="19361"/>
    <cellStyle name="Note 2 4 2 9" xfId="19362"/>
    <cellStyle name="Note 2 4 3" xfId="19363"/>
    <cellStyle name="Note 2 4 3 2" xfId="19364"/>
    <cellStyle name="Note 2 4 3 3" xfId="19365"/>
    <cellStyle name="Note 2 4 3 4" xfId="19366"/>
    <cellStyle name="Note 2 4 3 5" xfId="19367"/>
    <cellStyle name="Note 2 4 3 6" xfId="19368"/>
    <cellStyle name="Note 2 4 3 7" xfId="19369"/>
    <cellStyle name="Note 2 4 4" xfId="19370"/>
    <cellStyle name="Note 2 4 5" xfId="19371"/>
    <cellStyle name="Note 2 4 6" xfId="19372"/>
    <cellStyle name="Note 2 5" xfId="19373"/>
    <cellStyle name="Note 2 5 10" xfId="19374"/>
    <cellStyle name="Note 2 5 11" xfId="19375"/>
    <cellStyle name="Note 2 5 2" xfId="19376"/>
    <cellStyle name="Note 2 5 2 2" xfId="19377"/>
    <cellStyle name="Note 2 5 2 3" xfId="19378"/>
    <cellStyle name="Note 2 5 2 4" xfId="19379"/>
    <cellStyle name="Note 2 5 2 5" xfId="19380"/>
    <cellStyle name="Note 2 5 2 6" xfId="19381"/>
    <cellStyle name="Note 2 5 2 7" xfId="19382"/>
    <cellStyle name="Note 2 5 3" xfId="19383"/>
    <cellStyle name="Note 2 5 3 2" xfId="19384"/>
    <cellStyle name="Note 2 5 3 3" xfId="19385"/>
    <cellStyle name="Note 2 5 3 4" xfId="19386"/>
    <cellStyle name="Note 2 5 3 5" xfId="19387"/>
    <cellStyle name="Note 2 5 3 6" xfId="19388"/>
    <cellStyle name="Note 2 5 3 7" xfId="19389"/>
    <cellStyle name="Note 2 5 4" xfId="19390"/>
    <cellStyle name="Note 2 5 4 2" xfId="19391"/>
    <cellStyle name="Note 2 5 4 3" xfId="19392"/>
    <cellStyle name="Note 2 5 4 4" xfId="19393"/>
    <cellStyle name="Note 2 5 4 5" xfId="19394"/>
    <cellStyle name="Note 2 5 4 6" xfId="19395"/>
    <cellStyle name="Note 2 5 4 7" xfId="19396"/>
    <cellStyle name="Note 2 5 5" xfId="19397"/>
    <cellStyle name="Note 2 5 5 2" xfId="19398"/>
    <cellStyle name="Note 2 5 5 3" xfId="19399"/>
    <cellStyle name="Note 2 5 5 4" xfId="19400"/>
    <cellStyle name="Note 2 5 5 5" xfId="19401"/>
    <cellStyle name="Note 2 5 5 6" xfId="19402"/>
    <cellStyle name="Note 2 5 5 7" xfId="19403"/>
    <cellStyle name="Note 2 5 6" xfId="19404"/>
    <cellStyle name="Note 2 5 7" xfId="19405"/>
    <cellStyle name="Note 2 5 8" xfId="19406"/>
    <cellStyle name="Note 2 5 9" xfId="19407"/>
    <cellStyle name="Note 2 6" xfId="19408"/>
    <cellStyle name="Note 2 6 2" xfId="19409"/>
    <cellStyle name="Note 2 6 3" xfId="19410"/>
    <cellStyle name="Note 2 6 4" xfId="19411"/>
    <cellStyle name="Note 2 6 5" xfId="19412"/>
    <cellStyle name="Note 2 6 6" xfId="19413"/>
    <cellStyle name="Note 2 6 7" xfId="19414"/>
    <cellStyle name="Note 2 7" xfId="19415"/>
    <cellStyle name="Note 2 8" xfId="19416"/>
    <cellStyle name="Note 2 8 2" xfId="19417"/>
    <cellStyle name="Note 2 8 3" xfId="19418"/>
    <cellStyle name="Note 2 8 4" xfId="19419"/>
    <cellStyle name="Note 2 8 5" xfId="19420"/>
    <cellStyle name="Note 2 8 6" xfId="19421"/>
    <cellStyle name="Note 2 8 7" xfId="19422"/>
    <cellStyle name="Note 2 9" xfId="24677"/>
    <cellStyle name="Note 3" xfId="365"/>
    <cellStyle name="Note 3 2" xfId="366"/>
    <cellStyle name="Note 3 2 2" xfId="2293"/>
    <cellStyle name="Note 3 2 2 10" xfId="19423"/>
    <cellStyle name="Note 3 2 2 11" xfId="19424"/>
    <cellStyle name="Note 3 2 2 2" xfId="19425"/>
    <cellStyle name="Note 3 2 2 2 2" xfId="19426"/>
    <cellStyle name="Note 3 2 2 2 3" xfId="19427"/>
    <cellStyle name="Note 3 2 2 2 4" xfId="19428"/>
    <cellStyle name="Note 3 2 2 2 5" xfId="19429"/>
    <cellStyle name="Note 3 2 2 2 6" xfId="19430"/>
    <cellStyle name="Note 3 2 2 2 7" xfId="19431"/>
    <cellStyle name="Note 3 2 2 3" xfId="19432"/>
    <cellStyle name="Note 3 2 2 3 2" xfId="19433"/>
    <cellStyle name="Note 3 2 2 3 3" xfId="19434"/>
    <cellStyle name="Note 3 2 2 3 4" xfId="19435"/>
    <cellStyle name="Note 3 2 2 3 5" xfId="19436"/>
    <cellStyle name="Note 3 2 2 3 6" xfId="19437"/>
    <cellStyle name="Note 3 2 2 3 7" xfId="19438"/>
    <cellStyle name="Note 3 2 2 4" xfId="19439"/>
    <cellStyle name="Note 3 2 2 4 2" xfId="19440"/>
    <cellStyle name="Note 3 2 2 4 3" xfId="19441"/>
    <cellStyle name="Note 3 2 2 4 4" xfId="19442"/>
    <cellStyle name="Note 3 2 2 4 5" xfId="19443"/>
    <cellStyle name="Note 3 2 2 4 6" xfId="19444"/>
    <cellStyle name="Note 3 2 2 4 7" xfId="19445"/>
    <cellStyle name="Note 3 2 2 5" xfId="19446"/>
    <cellStyle name="Note 3 2 2 5 2" xfId="19447"/>
    <cellStyle name="Note 3 2 2 5 3" xfId="19448"/>
    <cellStyle name="Note 3 2 2 5 4" xfId="19449"/>
    <cellStyle name="Note 3 2 2 5 5" xfId="19450"/>
    <cellStyle name="Note 3 2 2 5 6" xfId="19451"/>
    <cellStyle name="Note 3 2 2 5 7" xfId="19452"/>
    <cellStyle name="Note 3 2 2 6" xfId="19453"/>
    <cellStyle name="Note 3 2 2 7" xfId="19454"/>
    <cellStyle name="Note 3 2 2 8" xfId="19455"/>
    <cellStyle name="Note 3 2 2 9" xfId="19456"/>
    <cellStyle name="Note 3 2 3" xfId="19457"/>
    <cellStyle name="Note 3 2 3 10" xfId="19458"/>
    <cellStyle name="Note 3 2 3 11" xfId="19459"/>
    <cellStyle name="Note 3 2 3 2" xfId="19460"/>
    <cellStyle name="Note 3 2 3 2 2" xfId="19461"/>
    <cellStyle name="Note 3 2 3 2 3" xfId="19462"/>
    <cellStyle name="Note 3 2 3 2 4" xfId="19463"/>
    <cellStyle name="Note 3 2 3 2 5" xfId="19464"/>
    <cellStyle name="Note 3 2 3 2 6" xfId="19465"/>
    <cellStyle name="Note 3 2 3 2 7" xfId="19466"/>
    <cellStyle name="Note 3 2 3 3" xfId="19467"/>
    <cellStyle name="Note 3 2 3 3 2" xfId="19468"/>
    <cellStyle name="Note 3 2 3 3 3" xfId="19469"/>
    <cellStyle name="Note 3 2 3 3 4" xfId="19470"/>
    <cellStyle name="Note 3 2 3 3 5" xfId="19471"/>
    <cellStyle name="Note 3 2 3 3 6" xfId="19472"/>
    <cellStyle name="Note 3 2 3 3 7" xfId="19473"/>
    <cellStyle name="Note 3 2 3 4" xfId="19474"/>
    <cellStyle name="Note 3 2 3 4 2" xfId="19475"/>
    <cellStyle name="Note 3 2 3 4 3" xfId="19476"/>
    <cellStyle name="Note 3 2 3 4 4" xfId="19477"/>
    <cellStyle name="Note 3 2 3 4 5" xfId="19478"/>
    <cellStyle name="Note 3 2 3 4 6" xfId="19479"/>
    <cellStyle name="Note 3 2 3 4 7" xfId="19480"/>
    <cellStyle name="Note 3 2 3 5" xfId="19481"/>
    <cellStyle name="Note 3 2 3 5 2" xfId="19482"/>
    <cellStyle name="Note 3 2 3 5 3" xfId="19483"/>
    <cellStyle name="Note 3 2 3 5 4" xfId="19484"/>
    <cellStyle name="Note 3 2 3 5 5" xfId="19485"/>
    <cellStyle name="Note 3 2 3 5 6" xfId="19486"/>
    <cellStyle name="Note 3 2 3 5 7" xfId="19487"/>
    <cellStyle name="Note 3 2 3 6" xfId="19488"/>
    <cellStyle name="Note 3 2 3 7" xfId="19489"/>
    <cellStyle name="Note 3 2 3 8" xfId="19490"/>
    <cellStyle name="Note 3 2 3 9" xfId="19491"/>
    <cellStyle name="Note 3 2 4" xfId="19492"/>
    <cellStyle name="Note 3 2 4 2" xfId="19493"/>
    <cellStyle name="Note 3 2 4 3" xfId="19494"/>
    <cellStyle name="Note 3 2 4 4" xfId="19495"/>
    <cellStyle name="Note 3 2 4 5" xfId="19496"/>
    <cellStyle name="Note 3 2 4 6" xfId="19497"/>
    <cellStyle name="Note 3 2 4 7" xfId="19498"/>
    <cellStyle name="Note 3 2 5" xfId="19499"/>
    <cellStyle name="Note 3 2 5 2" xfId="19500"/>
    <cellStyle name="Note 3 2 5 3" xfId="19501"/>
    <cellStyle name="Note 3 2 5 4" xfId="19502"/>
    <cellStyle name="Note 3 2 5 5" xfId="19503"/>
    <cellStyle name="Note 3 2 5 6" xfId="19504"/>
    <cellStyle name="Note 3 2 5 7" xfId="19505"/>
    <cellStyle name="Note 3 3" xfId="1224"/>
    <cellStyle name="Note 3 3 2" xfId="19506"/>
    <cellStyle name="Note 3 3 2 10" xfId="19507"/>
    <cellStyle name="Note 3 3 2 11" xfId="19508"/>
    <cellStyle name="Note 3 3 2 2" xfId="19509"/>
    <cellStyle name="Note 3 3 2 2 2" xfId="19510"/>
    <cellStyle name="Note 3 3 2 2 3" xfId="19511"/>
    <cellStyle name="Note 3 3 2 2 4" xfId="19512"/>
    <cellStyle name="Note 3 3 2 2 5" xfId="19513"/>
    <cellStyle name="Note 3 3 2 2 6" xfId="19514"/>
    <cellStyle name="Note 3 3 2 2 7" xfId="19515"/>
    <cellStyle name="Note 3 3 2 3" xfId="19516"/>
    <cellStyle name="Note 3 3 2 3 2" xfId="19517"/>
    <cellStyle name="Note 3 3 2 3 3" xfId="19518"/>
    <cellStyle name="Note 3 3 2 3 4" xfId="19519"/>
    <cellStyle name="Note 3 3 2 3 5" xfId="19520"/>
    <cellStyle name="Note 3 3 2 3 6" xfId="19521"/>
    <cellStyle name="Note 3 3 2 3 7" xfId="19522"/>
    <cellStyle name="Note 3 3 2 4" xfId="19523"/>
    <cellStyle name="Note 3 3 2 4 2" xfId="19524"/>
    <cellStyle name="Note 3 3 2 4 3" xfId="19525"/>
    <cellStyle name="Note 3 3 2 4 4" xfId="19526"/>
    <cellStyle name="Note 3 3 2 4 5" xfId="19527"/>
    <cellStyle name="Note 3 3 2 4 6" xfId="19528"/>
    <cellStyle name="Note 3 3 2 4 7" xfId="19529"/>
    <cellStyle name="Note 3 3 2 5" xfId="19530"/>
    <cellStyle name="Note 3 3 2 5 2" xfId="19531"/>
    <cellStyle name="Note 3 3 2 5 3" xfId="19532"/>
    <cellStyle name="Note 3 3 2 5 4" xfId="19533"/>
    <cellStyle name="Note 3 3 2 5 5" xfId="19534"/>
    <cellStyle name="Note 3 3 2 5 6" xfId="19535"/>
    <cellStyle name="Note 3 3 2 5 7" xfId="19536"/>
    <cellStyle name="Note 3 3 2 6" xfId="19537"/>
    <cellStyle name="Note 3 3 2 7" xfId="19538"/>
    <cellStyle name="Note 3 3 2 8" xfId="19539"/>
    <cellStyle name="Note 3 3 2 9" xfId="19540"/>
    <cellStyle name="Note 3 3 3" xfId="19541"/>
    <cellStyle name="Note 3 3 3 2" xfId="19542"/>
    <cellStyle name="Note 3 3 3 3" xfId="19543"/>
    <cellStyle name="Note 3 3 3 4" xfId="19544"/>
    <cellStyle name="Note 3 3 3 5" xfId="19545"/>
    <cellStyle name="Note 3 3 3 6" xfId="19546"/>
    <cellStyle name="Note 3 3 3 7" xfId="19547"/>
    <cellStyle name="Note 3 3 4" xfId="19548"/>
    <cellStyle name="Note 3 3 5" xfId="19549"/>
    <cellStyle name="Note 3 3 6" xfId="19550"/>
    <cellStyle name="Note 3 4" xfId="1225"/>
    <cellStyle name="Note 3 4 2" xfId="19551"/>
    <cellStyle name="Note 3 4 2 10" xfId="19552"/>
    <cellStyle name="Note 3 4 2 11" xfId="19553"/>
    <cellStyle name="Note 3 4 2 2" xfId="19554"/>
    <cellStyle name="Note 3 4 2 2 2" xfId="19555"/>
    <cellStyle name="Note 3 4 2 2 3" xfId="19556"/>
    <cellStyle name="Note 3 4 2 2 4" xfId="19557"/>
    <cellStyle name="Note 3 4 2 2 5" xfId="19558"/>
    <cellStyle name="Note 3 4 2 2 6" xfId="19559"/>
    <cellStyle name="Note 3 4 2 2 7" xfId="19560"/>
    <cellStyle name="Note 3 4 2 3" xfId="19561"/>
    <cellStyle name="Note 3 4 2 3 2" xfId="19562"/>
    <cellStyle name="Note 3 4 2 3 3" xfId="19563"/>
    <cellStyle name="Note 3 4 2 3 4" xfId="19564"/>
    <cellStyle name="Note 3 4 2 3 5" xfId="19565"/>
    <cellStyle name="Note 3 4 2 3 6" xfId="19566"/>
    <cellStyle name="Note 3 4 2 3 7" xfId="19567"/>
    <cellStyle name="Note 3 4 2 4" xfId="19568"/>
    <cellStyle name="Note 3 4 2 4 2" xfId="19569"/>
    <cellStyle name="Note 3 4 2 4 3" xfId="19570"/>
    <cellStyle name="Note 3 4 2 4 4" xfId="19571"/>
    <cellStyle name="Note 3 4 2 4 5" xfId="19572"/>
    <cellStyle name="Note 3 4 2 4 6" xfId="19573"/>
    <cellStyle name="Note 3 4 2 4 7" xfId="19574"/>
    <cellStyle name="Note 3 4 2 5" xfId="19575"/>
    <cellStyle name="Note 3 4 2 5 2" xfId="19576"/>
    <cellStyle name="Note 3 4 2 5 3" xfId="19577"/>
    <cellStyle name="Note 3 4 2 5 4" xfId="19578"/>
    <cellStyle name="Note 3 4 2 5 5" xfId="19579"/>
    <cellStyle name="Note 3 4 2 5 6" xfId="19580"/>
    <cellStyle name="Note 3 4 2 5 7" xfId="19581"/>
    <cellStyle name="Note 3 4 2 6" xfId="19582"/>
    <cellStyle name="Note 3 4 2 7" xfId="19583"/>
    <cellStyle name="Note 3 4 2 8" xfId="19584"/>
    <cellStyle name="Note 3 4 2 9" xfId="19585"/>
    <cellStyle name="Note 3 4 3" xfId="19586"/>
    <cellStyle name="Note 3 4 3 2" xfId="19587"/>
    <cellStyle name="Note 3 4 3 3" xfId="19588"/>
    <cellStyle name="Note 3 4 3 4" xfId="19589"/>
    <cellStyle name="Note 3 4 3 5" xfId="19590"/>
    <cellStyle name="Note 3 4 3 6" xfId="19591"/>
    <cellStyle name="Note 3 4 3 7" xfId="19592"/>
    <cellStyle name="Note 3 4 4" xfId="19593"/>
    <cellStyle name="Note 3 4 5" xfId="19594"/>
    <cellStyle name="Note 3 4 6" xfId="19595"/>
    <cellStyle name="Note 3 5" xfId="19596"/>
    <cellStyle name="Note 3 5 10" xfId="19597"/>
    <cellStyle name="Note 3 5 11" xfId="19598"/>
    <cellStyle name="Note 3 5 2" xfId="19599"/>
    <cellStyle name="Note 3 5 2 2" xfId="19600"/>
    <cellStyle name="Note 3 5 2 3" xfId="19601"/>
    <cellStyle name="Note 3 5 2 4" xfId="19602"/>
    <cellStyle name="Note 3 5 2 5" xfId="19603"/>
    <cellStyle name="Note 3 5 2 6" xfId="19604"/>
    <cellStyle name="Note 3 5 2 7" xfId="19605"/>
    <cellStyle name="Note 3 5 3" xfId="19606"/>
    <cellStyle name="Note 3 5 3 2" xfId="19607"/>
    <cellStyle name="Note 3 5 3 3" xfId="19608"/>
    <cellStyle name="Note 3 5 3 4" xfId="19609"/>
    <cellStyle name="Note 3 5 3 5" xfId="19610"/>
    <cellStyle name="Note 3 5 3 6" xfId="19611"/>
    <cellStyle name="Note 3 5 3 7" xfId="19612"/>
    <cellStyle name="Note 3 5 4" xfId="19613"/>
    <cellStyle name="Note 3 5 4 2" xfId="19614"/>
    <cellStyle name="Note 3 5 4 3" xfId="19615"/>
    <cellStyle name="Note 3 5 4 4" xfId="19616"/>
    <cellStyle name="Note 3 5 4 5" xfId="19617"/>
    <cellStyle name="Note 3 5 4 6" xfId="19618"/>
    <cellStyle name="Note 3 5 4 7" xfId="19619"/>
    <cellStyle name="Note 3 5 5" xfId="19620"/>
    <cellStyle name="Note 3 5 5 2" xfId="19621"/>
    <cellStyle name="Note 3 5 5 3" xfId="19622"/>
    <cellStyle name="Note 3 5 5 4" xfId="19623"/>
    <cellStyle name="Note 3 5 5 5" xfId="19624"/>
    <cellStyle name="Note 3 5 5 6" xfId="19625"/>
    <cellStyle name="Note 3 5 5 7" xfId="19626"/>
    <cellStyle name="Note 3 5 6" xfId="19627"/>
    <cellStyle name="Note 3 5 7" xfId="19628"/>
    <cellStyle name="Note 3 5 8" xfId="19629"/>
    <cellStyle name="Note 3 5 9" xfId="19630"/>
    <cellStyle name="Note 3 6" xfId="19631"/>
    <cellStyle name="Note 3 6 2" xfId="19632"/>
    <cellStyle name="Note 3 6 3" xfId="19633"/>
    <cellStyle name="Note 3 6 4" xfId="19634"/>
    <cellStyle name="Note 3 6 5" xfId="19635"/>
    <cellStyle name="Note 3 6 6" xfId="19636"/>
    <cellStyle name="Note 3 6 7" xfId="19637"/>
    <cellStyle name="Note 3 7" xfId="19638"/>
    <cellStyle name="Note 3 7 2" xfId="19639"/>
    <cellStyle name="Note 3 7 3" xfId="19640"/>
    <cellStyle name="Note 3 7 4" xfId="19641"/>
    <cellStyle name="Note 3 7 5" xfId="19642"/>
    <cellStyle name="Note 3 7 6" xfId="19643"/>
    <cellStyle name="Note 3 7 7" xfId="19644"/>
    <cellStyle name="Note 3 8" xfId="24678"/>
    <cellStyle name="Note 3 9" xfId="24679"/>
    <cellStyle name="Note 4" xfId="1226"/>
    <cellStyle name="Note 4 2" xfId="1227"/>
    <cellStyle name="Note 4 2 2" xfId="24680"/>
    <cellStyle name="Note 4 3" xfId="19645"/>
    <cellStyle name="Note 4 3 10" xfId="19646"/>
    <cellStyle name="Note 4 3 11" xfId="19647"/>
    <cellStyle name="Note 4 3 2" xfId="19648"/>
    <cellStyle name="Note 4 3 2 2" xfId="19649"/>
    <cellStyle name="Note 4 3 2 3" xfId="19650"/>
    <cellStyle name="Note 4 3 2 4" xfId="19651"/>
    <cellStyle name="Note 4 3 2 5" xfId="19652"/>
    <cellStyle name="Note 4 3 2 6" xfId="19653"/>
    <cellStyle name="Note 4 3 2 7" xfId="19654"/>
    <cellStyle name="Note 4 3 3" xfId="19655"/>
    <cellStyle name="Note 4 3 3 2" xfId="19656"/>
    <cellStyle name="Note 4 3 3 3" xfId="19657"/>
    <cellStyle name="Note 4 3 3 4" xfId="19658"/>
    <cellStyle name="Note 4 3 3 5" xfId="19659"/>
    <cellStyle name="Note 4 3 3 6" xfId="19660"/>
    <cellStyle name="Note 4 3 3 7" xfId="19661"/>
    <cellStyle name="Note 4 3 4" xfId="19662"/>
    <cellStyle name="Note 4 3 4 2" xfId="19663"/>
    <cellStyle name="Note 4 3 4 3" xfId="19664"/>
    <cellStyle name="Note 4 3 4 4" xfId="19665"/>
    <cellStyle name="Note 4 3 4 5" xfId="19666"/>
    <cellStyle name="Note 4 3 4 6" xfId="19667"/>
    <cellStyle name="Note 4 3 4 7" xfId="19668"/>
    <cellStyle name="Note 4 3 5" xfId="19669"/>
    <cellStyle name="Note 4 3 5 2" xfId="19670"/>
    <cellStyle name="Note 4 3 5 3" xfId="19671"/>
    <cellStyle name="Note 4 3 5 4" xfId="19672"/>
    <cellStyle name="Note 4 3 5 5" xfId="19673"/>
    <cellStyle name="Note 4 3 5 6" xfId="19674"/>
    <cellStyle name="Note 4 3 5 7" xfId="19675"/>
    <cellStyle name="Note 4 3 6" xfId="19676"/>
    <cellStyle name="Note 4 3 7" xfId="19677"/>
    <cellStyle name="Note 4 3 8" xfId="19678"/>
    <cellStyle name="Note 4 3 9" xfId="19679"/>
    <cellStyle name="Note 4 4" xfId="19680"/>
    <cellStyle name="Note 4 4 2" xfId="19681"/>
    <cellStyle name="Note 4 4 3" xfId="19682"/>
    <cellStyle name="Note 4 4 4" xfId="19683"/>
    <cellStyle name="Note 4 4 5" xfId="19684"/>
    <cellStyle name="Note 4 4 6" xfId="19685"/>
    <cellStyle name="Note 4 4 7" xfId="19686"/>
    <cellStyle name="Note 4 5" xfId="19687"/>
    <cellStyle name="Note 4 5 2" xfId="24681"/>
    <cellStyle name="Note 4 6" xfId="19688"/>
    <cellStyle name="Note 4 7" xfId="19689"/>
    <cellStyle name="Note 4 8" xfId="19690"/>
    <cellStyle name="Note 5" xfId="1228"/>
    <cellStyle name="Note 5 2" xfId="2294"/>
    <cellStyle name="Note 5 2 10" xfId="19691"/>
    <cellStyle name="Note 5 2 11" xfId="19692"/>
    <cellStyle name="Note 5 2 2" xfId="19693"/>
    <cellStyle name="Note 5 2 2 2" xfId="19694"/>
    <cellStyle name="Note 5 2 2 3" xfId="19695"/>
    <cellStyle name="Note 5 2 2 4" xfId="19696"/>
    <cellStyle name="Note 5 2 2 5" xfId="19697"/>
    <cellStyle name="Note 5 2 2 6" xfId="19698"/>
    <cellStyle name="Note 5 2 2 7" xfId="19699"/>
    <cellStyle name="Note 5 2 3" xfId="19700"/>
    <cellStyle name="Note 5 2 3 2" xfId="19701"/>
    <cellStyle name="Note 5 2 3 3" xfId="19702"/>
    <cellStyle name="Note 5 2 3 4" xfId="19703"/>
    <cellStyle name="Note 5 2 3 5" xfId="19704"/>
    <cellStyle name="Note 5 2 3 6" xfId="19705"/>
    <cellStyle name="Note 5 2 3 7" xfId="19706"/>
    <cellStyle name="Note 5 2 4" xfId="19707"/>
    <cellStyle name="Note 5 2 4 2" xfId="19708"/>
    <cellStyle name="Note 5 2 4 3" xfId="19709"/>
    <cellStyle name="Note 5 2 4 4" xfId="19710"/>
    <cellStyle name="Note 5 2 4 5" xfId="19711"/>
    <cellStyle name="Note 5 2 4 6" xfId="19712"/>
    <cellStyle name="Note 5 2 4 7" xfId="19713"/>
    <cellStyle name="Note 5 2 5" xfId="19714"/>
    <cellStyle name="Note 5 2 5 2" xfId="19715"/>
    <cellStyle name="Note 5 2 5 3" xfId="19716"/>
    <cellStyle name="Note 5 2 5 4" xfId="19717"/>
    <cellStyle name="Note 5 2 5 5" xfId="19718"/>
    <cellStyle name="Note 5 2 5 6" xfId="19719"/>
    <cellStyle name="Note 5 2 5 7" xfId="19720"/>
    <cellStyle name="Note 5 2 6" xfId="19721"/>
    <cellStyle name="Note 5 2 7" xfId="19722"/>
    <cellStyle name="Note 5 2 8" xfId="19723"/>
    <cellStyle name="Note 5 2 9" xfId="19724"/>
    <cellStyle name="Note 5 3" xfId="24682"/>
    <cellStyle name="Note 6" xfId="19725"/>
    <cellStyle name="Note 6 2" xfId="24683"/>
    <cellStyle name="Notes" xfId="367"/>
    <cellStyle name="Notes 2" xfId="19726"/>
    <cellStyle name="Notes 3" xfId="24684"/>
    <cellStyle name="NotIncluded1" xfId="19727"/>
    <cellStyle name="OptionalGood" xfId="19728"/>
    <cellStyle name="Output 2" xfId="368"/>
    <cellStyle name="Output 2 2" xfId="1229"/>
    <cellStyle name="Output 2 2 2" xfId="1230"/>
    <cellStyle name="Output 2 2 2 2" xfId="19729"/>
    <cellStyle name="Output 2 2 2 2 10" xfId="19730"/>
    <cellStyle name="Output 2 2 2 2 11" xfId="19731"/>
    <cellStyle name="Output 2 2 2 2 2" xfId="19732"/>
    <cellStyle name="Output 2 2 2 2 2 2" xfId="19733"/>
    <cellStyle name="Output 2 2 2 2 2 3" xfId="19734"/>
    <cellStyle name="Output 2 2 2 2 2 4" xfId="19735"/>
    <cellStyle name="Output 2 2 2 2 2 5" xfId="19736"/>
    <cellStyle name="Output 2 2 2 2 2 6" xfId="19737"/>
    <cellStyle name="Output 2 2 2 2 2 7" xfId="19738"/>
    <cellStyle name="Output 2 2 2 2 3" xfId="19739"/>
    <cellStyle name="Output 2 2 2 2 3 2" xfId="19740"/>
    <cellStyle name="Output 2 2 2 2 3 3" xfId="19741"/>
    <cellStyle name="Output 2 2 2 2 3 4" xfId="19742"/>
    <cellStyle name="Output 2 2 2 2 3 5" xfId="19743"/>
    <cellStyle name="Output 2 2 2 2 3 6" xfId="19744"/>
    <cellStyle name="Output 2 2 2 2 3 7" xfId="19745"/>
    <cellStyle name="Output 2 2 2 2 4" xfId="19746"/>
    <cellStyle name="Output 2 2 2 2 4 2" xfId="19747"/>
    <cellStyle name="Output 2 2 2 2 4 3" xfId="19748"/>
    <cellStyle name="Output 2 2 2 2 4 4" xfId="19749"/>
    <cellStyle name="Output 2 2 2 2 4 5" xfId="19750"/>
    <cellStyle name="Output 2 2 2 2 4 6" xfId="19751"/>
    <cellStyle name="Output 2 2 2 2 4 7" xfId="19752"/>
    <cellStyle name="Output 2 2 2 2 5" xfId="19753"/>
    <cellStyle name="Output 2 2 2 2 5 2" xfId="19754"/>
    <cellStyle name="Output 2 2 2 2 5 3" xfId="19755"/>
    <cellStyle name="Output 2 2 2 2 5 4" xfId="19756"/>
    <cellStyle name="Output 2 2 2 2 5 5" xfId="19757"/>
    <cellStyle name="Output 2 2 2 2 5 6" xfId="19758"/>
    <cellStyle name="Output 2 2 2 2 5 7" xfId="19759"/>
    <cellStyle name="Output 2 2 2 2 6" xfId="19760"/>
    <cellStyle name="Output 2 2 2 2 7" xfId="19761"/>
    <cellStyle name="Output 2 2 2 2 8" xfId="19762"/>
    <cellStyle name="Output 2 2 2 2 9" xfId="19763"/>
    <cellStyle name="Output 2 2 2 3" xfId="19764"/>
    <cellStyle name="Output 2 2 2 3 2" xfId="19765"/>
    <cellStyle name="Output 2 2 2 3 3" xfId="19766"/>
    <cellStyle name="Output 2 2 2 3 4" xfId="19767"/>
    <cellStyle name="Output 2 2 2 3 5" xfId="19768"/>
    <cellStyle name="Output 2 2 2 3 6" xfId="19769"/>
    <cellStyle name="Output 2 2 2 3 7" xfId="19770"/>
    <cellStyle name="Output 2 2 2 4" xfId="19771"/>
    <cellStyle name="Output 2 2 2 5" xfId="19772"/>
    <cellStyle name="Output 2 2 2 6" xfId="19773"/>
    <cellStyle name="Output 2 2 2 7" xfId="19774"/>
    <cellStyle name="Output 2 2 2 8" xfId="19775"/>
    <cellStyle name="Output 2 2 3" xfId="19776"/>
    <cellStyle name="Output 2 2 3 10" xfId="19777"/>
    <cellStyle name="Output 2 2 3 11" xfId="19778"/>
    <cellStyle name="Output 2 2 3 2" xfId="19779"/>
    <cellStyle name="Output 2 2 3 2 2" xfId="19780"/>
    <cellStyle name="Output 2 2 3 2 3" xfId="19781"/>
    <cellStyle name="Output 2 2 3 2 4" xfId="19782"/>
    <cellStyle name="Output 2 2 3 2 5" xfId="19783"/>
    <cellStyle name="Output 2 2 3 2 6" xfId="19784"/>
    <cellStyle name="Output 2 2 3 2 7" xfId="19785"/>
    <cellStyle name="Output 2 2 3 3" xfId="19786"/>
    <cellStyle name="Output 2 2 3 3 2" xfId="19787"/>
    <cellStyle name="Output 2 2 3 3 3" xfId="19788"/>
    <cellStyle name="Output 2 2 3 3 4" xfId="19789"/>
    <cellStyle name="Output 2 2 3 3 5" xfId="19790"/>
    <cellStyle name="Output 2 2 3 3 6" xfId="19791"/>
    <cellStyle name="Output 2 2 3 3 7" xfId="19792"/>
    <cellStyle name="Output 2 2 3 4" xfId="19793"/>
    <cellStyle name="Output 2 2 3 4 2" xfId="19794"/>
    <cellStyle name="Output 2 2 3 4 3" xfId="19795"/>
    <cellStyle name="Output 2 2 3 4 4" xfId="19796"/>
    <cellStyle name="Output 2 2 3 4 5" xfId="19797"/>
    <cellStyle name="Output 2 2 3 4 6" xfId="19798"/>
    <cellStyle name="Output 2 2 3 4 7" xfId="19799"/>
    <cellStyle name="Output 2 2 3 5" xfId="19800"/>
    <cellStyle name="Output 2 2 3 5 2" xfId="19801"/>
    <cellStyle name="Output 2 2 3 5 3" xfId="19802"/>
    <cellStyle name="Output 2 2 3 5 4" xfId="19803"/>
    <cellStyle name="Output 2 2 3 5 5" xfId="19804"/>
    <cellStyle name="Output 2 2 3 5 6" xfId="19805"/>
    <cellStyle name="Output 2 2 3 5 7" xfId="19806"/>
    <cellStyle name="Output 2 2 3 6" xfId="19807"/>
    <cellStyle name="Output 2 2 3 7" xfId="19808"/>
    <cellStyle name="Output 2 2 3 8" xfId="19809"/>
    <cellStyle name="Output 2 2 3 9" xfId="19810"/>
    <cellStyle name="Output 2 2 4" xfId="19811"/>
    <cellStyle name="Output 2 2 4 2" xfId="19812"/>
    <cellStyle name="Output 2 2 4 3" xfId="19813"/>
    <cellStyle name="Output 2 2 4 4" xfId="19814"/>
    <cellStyle name="Output 2 2 4 5" xfId="19815"/>
    <cellStyle name="Output 2 2 4 6" xfId="19816"/>
    <cellStyle name="Output 2 2 4 7" xfId="19817"/>
    <cellStyle name="Output 2 2 5" xfId="19818"/>
    <cellStyle name="Output 2 2 6" xfId="19819"/>
    <cellStyle name="Output 2 2 7" xfId="19820"/>
    <cellStyle name="Output 2 2 8" xfId="19821"/>
    <cellStyle name="Output 2 3" xfId="1231"/>
    <cellStyle name="Output 2 3 2" xfId="19822"/>
    <cellStyle name="Output 2 3 2 10" xfId="19823"/>
    <cellStyle name="Output 2 3 2 11" xfId="19824"/>
    <cellStyle name="Output 2 3 2 2" xfId="19825"/>
    <cellStyle name="Output 2 3 2 2 2" xfId="19826"/>
    <cellStyle name="Output 2 3 2 2 3" xfId="19827"/>
    <cellStyle name="Output 2 3 2 2 4" xfId="19828"/>
    <cellStyle name="Output 2 3 2 2 5" xfId="19829"/>
    <cellStyle name="Output 2 3 2 2 6" xfId="19830"/>
    <cellStyle name="Output 2 3 2 2 7" xfId="19831"/>
    <cellStyle name="Output 2 3 2 3" xfId="19832"/>
    <cellStyle name="Output 2 3 2 3 2" xfId="19833"/>
    <cellStyle name="Output 2 3 2 3 3" xfId="19834"/>
    <cellStyle name="Output 2 3 2 3 4" xfId="19835"/>
    <cellStyle name="Output 2 3 2 3 5" xfId="19836"/>
    <cellStyle name="Output 2 3 2 3 6" xfId="19837"/>
    <cellStyle name="Output 2 3 2 3 7" xfId="19838"/>
    <cellStyle name="Output 2 3 2 4" xfId="19839"/>
    <cellStyle name="Output 2 3 2 4 2" xfId="19840"/>
    <cellStyle name="Output 2 3 2 4 3" xfId="19841"/>
    <cellStyle name="Output 2 3 2 4 4" xfId="19842"/>
    <cellStyle name="Output 2 3 2 4 5" xfId="19843"/>
    <cellStyle name="Output 2 3 2 4 6" xfId="19844"/>
    <cellStyle name="Output 2 3 2 4 7" xfId="19845"/>
    <cellStyle name="Output 2 3 2 5" xfId="19846"/>
    <cellStyle name="Output 2 3 2 5 2" xfId="19847"/>
    <cellStyle name="Output 2 3 2 5 3" xfId="19848"/>
    <cellStyle name="Output 2 3 2 5 4" xfId="19849"/>
    <cellStyle name="Output 2 3 2 5 5" xfId="19850"/>
    <cellStyle name="Output 2 3 2 5 6" xfId="19851"/>
    <cellStyle name="Output 2 3 2 5 7" xfId="19852"/>
    <cellStyle name="Output 2 3 2 6" xfId="19853"/>
    <cellStyle name="Output 2 3 2 7" xfId="19854"/>
    <cellStyle name="Output 2 3 2 8" xfId="19855"/>
    <cellStyle name="Output 2 3 2 9" xfId="19856"/>
    <cellStyle name="Output 2 3 3" xfId="19857"/>
    <cellStyle name="Output 2 3 3 2" xfId="19858"/>
    <cellStyle name="Output 2 3 3 3" xfId="19859"/>
    <cellStyle name="Output 2 3 3 4" xfId="19860"/>
    <cellStyle name="Output 2 3 3 5" xfId="19861"/>
    <cellStyle name="Output 2 3 3 6" xfId="19862"/>
    <cellStyle name="Output 2 3 3 7" xfId="19863"/>
    <cellStyle name="Output 2 3 4" xfId="19864"/>
    <cellStyle name="Output 2 3 5" xfId="19865"/>
    <cellStyle name="Output 2 3 6" xfId="19866"/>
    <cellStyle name="Output 2 3 7" xfId="19867"/>
    <cellStyle name="Output 2 3 8" xfId="19868"/>
    <cellStyle name="Output 2 4" xfId="2337"/>
    <cellStyle name="Output 2 4 10" xfId="19869"/>
    <cellStyle name="Output 2 4 11" xfId="19870"/>
    <cellStyle name="Output 2 4 2" xfId="19871"/>
    <cellStyle name="Output 2 4 2 2" xfId="19872"/>
    <cellStyle name="Output 2 4 2 3" xfId="19873"/>
    <cellStyle name="Output 2 4 2 4" xfId="19874"/>
    <cellStyle name="Output 2 4 2 5" xfId="19875"/>
    <cellStyle name="Output 2 4 2 6" xfId="19876"/>
    <cellStyle name="Output 2 4 2 7" xfId="19877"/>
    <cellStyle name="Output 2 4 3" xfId="19878"/>
    <cellStyle name="Output 2 4 3 2" xfId="19879"/>
    <cellStyle name="Output 2 4 3 3" xfId="19880"/>
    <cellStyle name="Output 2 4 3 4" xfId="19881"/>
    <cellStyle name="Output 2 4 3 5" xfId="19882"/>
    <cellStyle name="Output 2 4 3 6" xfId="19883"/>
    <cellStyle name="Output 2 4 3 7" xfId="19884"/>
    <cellStyle name="Output 2 4 4" xfId="19885"/>
    <cellStyle name="Output 2 4 4 2" xfId="19886"/>
    <cellStyle name="Output 2 4 4 3" xfId="19887"/>
    <cellStyle name="Output 2 4 4 4" xfId="19888"/>
    <cellStyle name="Output 2 4 4 5" xfId="19889"/>
    <cellStyle name="Output 2 4 4 6" xfId="19890"/>
    <cellStyle name="Output 2 4 4 7" xfId="19891"/>
    <cellStyle name="Output 2 4 5" xfId="19892"/>
    <cellStyle name="Output 2 4 5 2" xfId="19893"/>
    <cellStyle name="Output 2 4 5 3" xfId="19894"/>
    <cellStyle name="Output 2 4 5 4" xfId="19895"/>
    <cellStyle name="Output 2 4 5 5" xfId="19896"/>
    <cellStyle name="Output 2 4 5 6" xfId="19897"/>
    <cellStyle name="Output 2 4 5 7" xfId="19898"/>
    <cellStyle name="Output 2 4 6" xfId="19899"/>
    <cellStyle name="Output 2 4 7" xfId="19900"/>
    <cellStyle name="Output 2 4 8" xfId="19901"/>
    <cellStyle name="Output 2 4 9" xfId="19902"/>
    <cellStyle name="Output 2 5" xfId="19903"/>
    <cellStyle name="Output 2 5 2" xfId="19904"/>
    <cellStyle name="Output 2 5 3" xfId="19905"/>
    <cellStyle name="Output 2 5 4" xfId="19906"/>
    <cellStyle name="Output 2 5 5" xfId="19907"/>
    <cellStyle name="Output 2 5 6" xfId="19908"/>
    <cellStyle name="Output 2 5 7" xfId="19909"/>
    <cellStyle name="Output 2 6" xfId="19910"/>
    <cellStyle name="Output 2 6 2" xfId="19911"/>
    <cellStyle name="Output 2 6 3" xfId="19912"/>
    <cellStyle name="Output 2 6 4" xfId="19913"/>
    <cellStyle name="Output 2 6 5" xfId="19914"/>
    <cellStyle name="Output 2 6 6" xfId="19915"/>
    <cellStyle name="Output 2 6 7" xfId="19916"/>
    <cellStyle name="Output 2 7" xfId="24685"/>
    <cellStyle name="Output 2 8" xfId="24686"/>
    <cellStyle name="Output 3" xfId="369"/>
    <cellStyle name="Output 3 2" xfId="1232"/>
    <cellStyle name="Output 3 2 2" xfId="19917"/>
    <cellStyle name="Output 3 2 2 10" xfId="19918"/>
    <cellStyle name="Output 3 2 2 11" xfId="19919"/>
    <cellStyle name="Output 3 2 2 2" xfId="19920"/>
    <cellStyle name="Output 3 2 2 2 2" xfId="19921"/>
    <cellStyle name="Output 3 2 2 2 3" xfId="19922"/>
    <cellStyle name="Output 3 2 2 2 4" xfId="19923"/>
    <cellStyle name="Output 3 2 2 2 5" xfId="19924"/>
    <cellStyle name="Output 3 2 2 2 6" xfId="19925"/>
    <cellStyle name="Output 3 2 2 2 7" xfId="19926"/>
    <cellStyle name="Output 3 2 2 3" xfId="19927"/>
    <cellStyle name="Output 3 2 2 3 2" xfId="19928"/>
    <cellStyle name="Output 3 2 2 3 3" xfId="19929"/>
    <cellStyle name="Output 3 2 2 3 4" xfId="19930"/>
    <cellStyle name="Output 3 2 2 3 5" xfId="19931"/>
    <cellStyle name="Output 3 2 2 3 6" xfId="19932"/>
    <cellStyle name="Output 3 2 2 3 7" xfId="19933"/>
    <cellStyle name="Output 3 2 2 4" xfId="19934"/>
    <cellStyle name="Output 3 2 2 4 2" xfId="19935"/>
    <cellStyle name="Output 3 2 2 4 3" xfId="19936"/>
    <cellStyle name="Output 3 2 2 4 4" xfId="19937"/>
    <cellStyle name="Output 3 2 2 4 5" xfId="19938"/>
    <cellStyle name="Output 3 2 2 4 6" xfId="19939"/>
    <cellStyle name="Output 3 2 2 4 7" xfId="19940"/>
    <cellStyle name="Output 3 2 2 5" xfId="19941"/>
    <cellStyle name="Output 3 2 2 5 2" xfId="19942"/>
    <cellStyle name="Output 3 2 2 5 3" xfId="19943"/>
    <cellStyle name="Output 3 2 2 5 4" xfId="19944"/>
    <cellStyle name="Output 3 2 2 5 5" xfId="19945"/>
    <cellStyle name="Output 3 2 2 5 6" xfId="19946"/>
    <cellStyle name="Output 3 2 2 5 7" xfId="19947"/>
    <cellStyle name="Output 3 2 2 6" xfId="19948"/>
    <cellStyle name="Output 3 2 2 7" xfId="19949"/>
    <cellStyle name="Output 3 2 2 8" xfId="19950"/>
    <cellStyle name="Output 3 2 2 9" xfId="19951"/>
    <cellStyle name="Output 3 2 3" xfId="19952"/>
    <cellStyle name="Output 3 2 3 2" xfId="19953"/>
    <cellStyle name="Output 3 2 3 3" xfId="19954"/>
    <cellStyle name="Output 3 2 3 4" xfId="19955"/>
    <cellStyle name="Output 3 2 3 5" xfId="19956"/>
    <cellStyle name="Output 3 2 3 6" xfId="19957"/>
    <cellStyle name="Output 3 2 3 7" xfId="19958"/>
    <cellStyle name="Output 3 2 4" xfId="19959"/>
    <cellStyle name="Output 3 2 5" xfId="19960"/>
    <cellStyle name="Output 3 2 6" xfId="19961"/>
    <cellStyle name="Output 3 2 7" xfId="19962"/>
    <cellStyle name="Output 3 2 8" xfId="19963"/>
    <cellStyle name="Output 3 3" xfId="2331"/>
    <cellStyle name="Output 3 3 10" xfId="19964"/>
    <cellStyle name="Output 3 3 11" xfId="19965"/>
    <cellStyle name="Output 3 3 2" xfId="19966"/>
    <cellStyle name="Output 3 3 2 2" xfId="19967"/>
    <cellStyle name="Output 3 3 2 3" xfId="19968"/>
    <cellStyle name="Output 3 3 2 4" xfId="19969"/>
    <cellStyle name="Output 3 3 2 5" xfId="19970"/>
    <cellStyle name="Output 3 3 2 6" xfId="19971"/>
    <cellStyle name="Output 3 3 2 7" xfId="19972"/>
    <cellStyle name="Output 3 3 3" xfId="19973"/>
    <cellStyle name="Output 3 3 3 2" xfId="19974"/>
    <cellStyle name="Output 3 3 3 3" xfId="19975"/>
    <cellStyle name="Output 3 3 3 4" xfId="19976"/>
    <cellStyle name="Output 3 3 3 5" xfId="19977"/>
    <cellStyle name="Output 3 3 3 6" xfId="19978"/>
    <cellStyle name="Output 3 3 3 7" xfId="19979"/>
    <cellStyle name="Output 3 3 4" xfId="19980"/>
    <cellStyle name="Output 3 3 4 2" xfId="19981"/>
    <cellStyle name="Output 3 3 4 3" xfId="19982"/>
    <cellStyle name="Output 3 3 4 4" xfId="19983"/>
    <cellStyle name="Output 3 3 4 5" xfId="19984"/>
    <cellStyle name="Output 3 3 4 6" xfId="19985"/>
    <cellStyle name="Output 3 3 4 7" xfId="19986"/>
    <cellStyle name="Output 3 3 5" xfId="19987"/>
    <cellStyle name="Output 3 3 5 2" xfId="19988"/>
    <cellStyle name="Output 3 3 5 3" xfId="19989"/>
    <cellStyle name="Output 3 3 5 4" xfId="19990"/>
    <cellStyle name="Output 3 3 5 5" xfId="19991"/>
    <cellStyle name="Output 3 3 5 6" xfId="19992"/>
    <cellStyle name="Output 3 3 5 7" xfId="19993"/>
    <cellStyle name="Output 3 3 6" xfId="19994"/>
    <cellStyle name="Output 3 3 7" xfId="19995"/>
    <cellStyle name="Output 3 3 8" xfId="19996"/>
    <cellStyle name="Output 3 3 9" xfId="19997"/>
    <cellStyle name="Output 3 4" xfId="2338"/>
    <cellStyle name="Output 3 4 10" xfId="19998"/>
    <cellStyle name="Output 3 4 11" xfId="19999"/>
    <cellStyle name="Output 3 4 2" xfId="20000"/>
    <cellStyle name="Output 3 4 2 2" xfId="20001"/>
    <cellStyle name="Output 3 4 2 3" xfId="20002"/>
    <cellStyle name="Output 3 4 2 4" xfId="20003"/>
    <cellStyle name="Output 3 4 2 5" xfId="20004"/>
    <cellStyle name="Output 3 4 2 6" xfId="20005"/>
    <cellStyle name="Output 3 4 2 7" xfId="20006"/>
    <cellStyle name="Output 3 4 3" xfId="20007"/>
    <cellStyle name="Output 3 4 3 2" xfId="20008"/>
    <cellStyle name="Output 3 4 3 3" xfId="20009"/>
    <cellStyle name="Output 3 4 3 4" xfId="20010"/>
    <cellStyle name="Output 3 4 3 5" xfId="20011"/>
    <cellStyle name="Output 3 4 3 6" xfId="20012"/>
    <cellStyle name="Output 3 4 3 7" xfId="20013"/>
    <cellStyle name="Output 3 4 4" xfId="20014"/>
    <cellStyle name="Output 3 4 4 2" xfId="20015"/>
    <cellStyle name="Output 3 4 4 3" xfId="20016"/>
    <cellStyle name="Output 3 4 4 4" xfId="20017"/>
    <cellStyle name="Output 3 4 4 5" xfId="20018"/>
    <cellStyle name="Output 3 4 4 6" xfId="20019"/>
    <cellStyle name="Output 3 4 4 7" xfId="20020"/>
    <cellStyle name="Output 3 4 5" xfId="20021"/>
    <cellStyle name="Output 3 4 5 2" xfId="20022"/>
    <cellStyle name="Output 3 4 5 3" xfId="20023"/>
    <cellStyle name="Output 3 4 5 4" xfId="20024"/>
    <cellStyle name="Output 3 4 5 5" xfId="20025"/>
    <cellStyle name="Output 3 4 5 6" xfId="20026"/>
    <cellStyle name="Output 3 4 5 7" xfId="20027"/>
    <cellStyle name="Output 3 4 6" xfId="20028"/>
    <cellStyle name="Output 3 4 7" xfId="20029"/>
    <cellStyle name="Output 3 4 8" xfId="20030"/>
    <cellStyle name="Output 3 4 9" xfId="20031"/>
    <cellStyle name="Output 3 5" xfId="20032"/>
    <cellStyle name="Output 3 5 2" xfId="20033"/>
    <cellStyle name="Output 3 5 3" xfId="20034"/>
    <cellStyle name="Output 3 5 4" xfId="20035"/>
    <cellStyle name="Output 3 5 5" xfId="20036"/>
    <cellStyle name="Output 3 5 6" xfId="20037"/>
    <cellStyle name="Output 3 5 7" xfId="20038"/>
    <cellStyle name="Output 3 6" xfId="20039"/>
    <cellStyle name="Output 3 6 2" xfId="20040"/>
    <cellStyle name="Output 3 6 3" xfId="20041"/>
    <cellStyle name="Output 3 6 4" xfId="20042"/>
    <cellStyle name="Output 3 6 5" xfId="20043"/>
    <cellStyle name="Output 3 6 6" xfId="20044"/>
    <cellStyle name="Output 3 6 7" xfId="20045"/>
    <cellStyle name="Output 3 7" xfId="24687"/>
    <cellStyle name="Output 3 8" xfId="24688"/>
    <cellStyle name="Output 4" xfId="1233"/>
    <cellStyle name="Output 4 2" xfId="20046"/>
    <cellStyle name="Output 5" xfId="20047"/>
    <cellStyle name="Output 6" xfId="24689"/>
    <cellStyle name="Percent" xfId="3" builtinId="5"/>
    <cellStyle name="Percent 10" xfId="442"/>
    <cellStyle name="Percent 10 2" xfId="1234"/>
    <cellStyle name="Percent 10 2 2" xfId="20048"/>
    <cellStyle name="Percent 10 2 2 2" xfId="20049"/>
    <cellStyle name="Percent 10 3" xfId="1235"/>
    <cellStyle name="Percent 10 3 2" xfId="24690"/>
    <cellStyle name="Percent 10 4" xfId="20050"/>
    <cellStyle name="Percent 10 4 2" xfId="20051"/>
    <cellStyle name="Percent 10 5" xfId="24691"/>
    <cellStyle name="Percent 10 6" xfId="24692"/>
    <cellStyle name="Percent 11" xfId="1236"/>
    <cellStyle name="Percent 11 2" xfId="20052"/>
    <cellStyle name="Percent 11 2 2" xfId="20053"/>
    <cellStyle name="Percent 11 2 2 2" xfId="24693"/>
    <cellStyle name="Percent 11 2 3" xfId="20054"/>
    <cellStyle name="Percent 11 3" xfId="20055"/>
    <cellStyle name="Percent 11 3 2" xfId="20056"/>
    <cellStyle name="Percent 11 3 2 2" xfId="24694"/>
    <cellStyle name="Percent 11 3 3" xfId="20057"/>
    <cellStyle name="Percent 11 4" xfId="20058"/>
    <cellStyle name="Percent 11 4 2" xfId="24695"/>
    <cellStyle name="Percent 11 5" xfId="20059"/>
    <cellStyle name="Percent 12" xfId="2295"/>
    <cellStyle name="Percent 12 2" xfId="20060"/>
    <cellStyle name="Percent 13" xfId="2296"/>
    <cellStyle name="Percent 13 2" xfId="24696"/>
    <cellStyle name="Percent 14" xfId="2297"/>
    <cellStyle name="Percent 14 2" xfId="1237"/>
    <cellStyle name="Percent 14 2 2" xfId="20061"/>
    <cellStyle name="Percent 14 2 2 2" xfId="24697"/>
    <cellStyle name="Percent 14 2 3" xfId="24698"/>
    <cellStyle name="Percent 14 3" xfId="24699"/>
    <cellStyle name="Percent 15" xfId="20062"/>
    <cellStyle name="Percent 16" xfId="20063"/>
    <cellStyle name="Percent 16 2" xfId="1238"/>
    <cellStyle name="Percent 16 2 2" xfId="20064"/>
    <cellStyle name="Percent 16 2 2 2" xfId="24700"/>
    <cellStyle name="Percent 16 2 3" xfId="24701"/>
    <cellStyle name="Percent 17" xfId="20065"/>
    <cellStyle name="Percent 2" xfId="8"/>
    <cellStyle name="Percent 2 2" xfId="370"/>
    <cellStyle name="Percent 2 2 2" xfId="371"/>
    <cellStyle name="Percent 2 2 2 2" xfId="24702"/>
    <cellStyle name="Percent 2 2 2 3" xfId="24703"/>
    <cellStyle name="Percent 2 2 3" xfId="1239"/>
    <cellStyle name="Percent 2 2 3 2" xfId="20066"/>
    <cellStyle name="Percent 2 2 3 2 2" xfId="24704"/>
    <cellStyle name="Percent 2 2 3 3" xfId="24705"/>
    <cellStyle name="Percent 2 2 3 4" xfId="24706"/>
    <cellStyle name="Percent 2 2 4" xfId="20067"/>
    <cellStyle name="Percent 2 2 4 2" xfId="20068"/>
    <cellStyle name="Percent 2 2 5" xfId="20069"/>
    <cellStyle name="Percent 2 2 6" xfId="20070"/>
    <cellStyle name="Percent 2 2 7" xfId="20071"/>
    <cellStyle name="Percent 2 2 8" xfId="20072"/>
    <cellStyle name="Percent 2 3" xfId="372"/>
    <cellStyle name="Percent 2 3 2" xfId="2298"/>
    <cellStyle name="Percent 2 3 2 2" xfId="24707"/>
    <cellStyle name="Percent 2 3 3" xfId="2299"/>
    <cellStyle name="Percent 2 3 3 2" xfId="24708"/>
    <cellStyle name="Percent 2 3 4" xfId="20073"/>
    <cellStyle name="Percent 2 3 5" xfId="24709"/>
    <cellStyle name="Percent 2 4" xfId="373"/>
    <cellStyle name="Percent 2 4 2" xfId="440"/>
    <cellStyle name="Percent 2 4 2 2" xfId="20074"/>
    <cellStyle name="Percent 2 4 3" xfId="20075"/>
    <cellStyle name="Percent 2 4 3 2" xfId="24710"/>
    <cellStyle name="Percent 2 4 4" xfId="24711"/>
    <cellStyle name="Percent 2 4 5" xfId="24712"/>
    <cellStyle name="Percent 2 5" xfId="1240"/>
    <cellStyle name="Percent 2 5 2" xfId="20076"/>
    <cellStyle name="Percent 2 6" xfId="374"/>
    <cellStyle name="Percent 2 6 2" xfId="24713"/>
    <cellStyle name="Percent 2 6 3" xfId="24714"/>
    <cellStyle name="Percent 2 7" xfId="20077"/>
    <cellStyle name="Percent 2 7 2" xfId="20078"/>
    <cellStyle name="Percent 2 8" xfId="24715"/>
    <cellStyle name="Percent 2 9" xfId="24716"/>
    <cellStyle name="Percent 3" xfId="61"/>
    <cellStyle name="Percent 3 10" xfId="20079"/>
    <cellStyle name="Percent 3 10 2" xfId="24717"/>
    <cellStyle name="Percent 3 11" xfId="20080"/>
    <cellStyle name="Percent 3 12" xfId="24718"/>
    <cellStyle name="Percent 3 13" xfId="24719"/>
    <cellStyle name="Percent 3 2" xfId="375"/>
    <cellStyle name="Percent 3 2 10" xfId="24720"/>
    <cellStyle name="Percent 3 2 2" xfId="1241"/>
    <cellStyle name="Percent 3 2 2 2" xfId="1242"/>
    <cellStyle name="Percent 3 2 2 2 2" xfId="1243"/>
    <cellStyle name="Percent 3 2 2 2 2 2" xfId="20081"/>
    <cellStyle name="Percent 3 2 2 2 2 2 2" xfId="20082"/>
    <cellStyle name="Percent 3 2 2 2 2 2 2 2" xfId="20083"/>
    <cellStyle name="Percent 3 2 2 2 2 2 2 2 2" xfId="24721"/>
    <cellStyle name="Percent 3 2 2 2 2 2 2 3" xfId="20084"/>
    <cellStyle name="Percent 3 2 2 2 2 2 3" xfId="20085"/>
    <cellStyle name="Percent 3 2 2 2 2 2 3 2" xfId="20086"/>
    <cellStyle name="Percent 3 2 2 2 2 2 3 2 2" xfId="24722"/>
    <cellStyle name="Percent 3 2 2 2 2 2 3 3" xfId="20087"/>
    <cellStyle name="Percent 3 2 2 2 2 2 4" xfId="20088"/>
    <cellStyle name="Percent 3 2 2 2 2 2 4 2" xfId="24723"/>
    <cellStyle name="Percent 3 2 2 2 2 2 5" xfId="20089"/>
    <cellStyle name="Percent 3 2 2 2 2 3" xfId="20090"/>
    <cellStyle name="Percent 3 2 2 2 2 3 2" xfId="20091"/>
    <cellStyle name="Percent 3 2 2 2 2 3 2 2" xfId="24724"/>
    <cellStyle name="Percent 3 2 2 2 2 3 3" xfId="20092"/>
    <cellStyle name="Percent 3 2 2 2 2 4" xfId="20093"/>
    <cellStyle name="Percent 3 2 2 2 2 4 2" xfId="20094"/>
    <cellStyle name="Percent 3 2 2 2 2 4 2 2" xfId="24725"/>
    <cellStyle name="Percent 3 2 2 2 2 4 3" xfId="20095"/>
    <cellStyle name="Percent 3 2 2 2 2 5" xfId="20096"/>
    <cellStyle name="Percent 3 2 2 2 2 5 2" xfId="24726"/>
    <cellStyle name="Percent 3 2 2 2 2 6" xfId="20097"/>
    <cellStyle name="Percent 3 2 2 2 3" xfId="20098"/>
    <cellStyle name="Percent 3 2 2 2 3 2" xfId="20099"/>
    <cellStyle name="Percent 3 2 2 2 3 2 2" xfId="20100"/>
    <cellStyle name="Percent 3 2 2 2 3 2 2 2" xfId="24727"/>
    <cellStyle name="Percent 3 2 2 2 3 2 3" xfId="20101"/>
    <cellStyle name="Percent 3 2 2 2 3 3" xfId="20102"/>
    <cellStyle name="Percent 3 2 2 2 3 3 2" xfId="20103"/>
    <cellStyle name="Percent 3 2 2 2 3 3 2 2" xfId="24728"/>
    <cellStyle name="Percent 3 2 2 2 3 3 3" xfId="20104"/>
    <cellStyle name="Percent 3 2 2 2 3 4" xfId="20105"/>
    <cellStyle name="Percent 3 2 2 2 3 4 2" xfId="24729"/>
    <cellStyle name="Percent 3 2 2 2 3 5" xfId="20106"/>
    <cellStyle name="Percent 3 2 2 2 4" xfId="20107"/>
    <cellStyle name="Percent 3 2 2 2 4 2" xfId="20108"/>
    <cellStyle name="Percent 3 2 2 2 4 2 2" xfId="24730"/>
    <cellStyle name="Percent 3 2 2 2 4 3" xfId="20109"/>
    <cellStyle name="Percent 3 2 2 2 5" xfId="20110"/>
    <cellStyle name="Percent 3 2 2 2 5 2" xfId="20111"/>
    <cellStyle name="Percent 3 2 2 2 5 2 2" xfId="24731"/>
    <cellStyle name="Percent 3 2 2 2 5 3" xfId="20112"/>
    <cellStyle name="Percent 3 2 2 2 6" xfId="20113"/>
    <cellStyle name="Percent 3 2 2 2 6 2" xfId="24732"/>
    <cellStyle name="Percent 3 2 2 2 7" xfId="20114"/>
    <cellStyle name="Percent 3 2 2 3" xfId="1244"/>
    <cellStyle name="Percent 3 2 2 3 2" xfId="20115"/>
    <cellStyle name="Percent 3 2 2 3 2 2" xfId="20116"/>
    <cellStyle name="Percent 3 2 2 3 2 2 2" xfId="20117"/>
    <cellStyle name="Percent 3 2 2 3 2 2 2 2" xfId="24733"/>
    <cellStyle name="Percent 3 2 2 3 2 2 3" xfId="20118"/>
    <cellStyle name="Percent 3 2 2 3 2 3" xfId="20119"/>
    <cellStyle name="Percent 3 2 2 3 2 3 2" xfId="20120"/>
    <cellStyle name="Percent 3 2 2 3 2 3 2 2" xfId="24734"/>
    <cellStyle name="Percent 3 2 2 3 2 3 3" xfId="20121"/>
    <cellStyle name="Percent 3 2 2 3 2 4" xfId="20122"/>
    <cellStyle name="Percent 3 2 2 3 2 4 2" xfId="24735"/>
    <cellStyle name="Percent 3 2 2 3 2 5" xfId="20123"/>
    <cellStyle name="Percent 3 2 2 3 3" xfId="20124"/>
    <cellStyle name="Percent 3 2 2 3 3 2" xfId="20125"/>
    <cellStyle name="Percent 3 2 2 3 3 2 2" xfId="24736"/>
    <cellStyle name="Percent 3 2 2 3 3 3" xfId="20126"/>
    <cellStyle name="Percent 3 2 2 3 4" xfId="20127"/>
    <cellStyle name="Percent 3 2 2 3 4 2" xfId="20128"/>
    <cellStyle name="Percent 3 2 2 3 4 2 2" xfId="24737"/>
    <cellStyle name="Percent 3 2 2 3 4 3" xfId="20129"/>
    <cellStyle name="Percent 3 2 2 3 5" xfId="20130"/>
    <cellStyle name="Percent 3 2 2 3 5 2" xfId="24738"/>
    <cellStyle name="Percent 3 2 2 3 6" xfId="20131"/>
    <cellStyle name="Percent 3 2 2 4" xfId="20132"/>
    <cellStyle name="Percent 3 2 2 4 2" xfId="20133"/>
    <cellStyle name="Percent 3 2 2 4 2 2" xfId="20134"/>
    <cellStyle name="Percent 3 2 2 4 2 2 2" xfId="24739"/>
    <cellStyle name="Percent 3 2 2 4 2 3" xfId="20135"/>
    <cellStyle name="Percent 3 2 2 4 3" xfId="20136"/>
    <cellStyle name="Percent 3 2 2 4 3 2" xfId="20137"/>
    <cellStyle name="Percent 3 2 2 4 3 2 2" xfId="24740"/>
    <cellStyle name="Percent 3 2 2 4 3 3" xfId="20138"/>
    <cellStyle name="Percent 3 2 2 4 4" xfId="20139"/>
    <cellStyle name="Percent 3 2 2 4 4 2" xfId="24741"/>
    <cellStyle name="Percent 3 2 2 4 5" xfId="20140"/>
    <cellStyle name="Percent 3 2 2 4 6" xfId="20141"/>
    <cellStyle name="Percent 3 2 2 5" xfId="20142"/>
    <cellStyle name="Percent 3 2 2 5 2" xfId="20143"/>
    <cellStyle name="Percent 3 2 2 5 2 2" xfId="24742"/>
    <cellStyle name="Percent 3 2 2 5 3" xfId="20144"/>
    <cellStyle name="Percent 3 2 2 6" xfId="20145"/>
    <cellStyle name="Percent 3 2 2 6 2" xfId="20146"/>
    <cellStyle name="Percent 3 2 2 6 2 2" xfId="24743"/>
    <cellStyle name="Percent 3 2 2 6 3" xfId="20147"/>
    <cellStyle name="Percent 3 2 2 7" xfId="20148"/>
    <cellStyle name="Percent 3 2 2 7 2" xfId="24744"/>
    <cellStyle name="Percent 3 2 2 8" xfId="20149"/>
    <cellStyle name="Percent 3 2 2 9" xfId="24745"/>
    <cellStyle name="Percent 3 2 3" xfId="1245"/>
    <cellStyle name="Percent 3 2 3 2" xfId="1246"/>
    <cellStyle name="Percent 3 2 3 2 2" xfId="20150"/>
    <cellStyle name="Percent 3 2 3 2 2 2" xfId="20151"/>
    <cellStyle name="Percent 3 2 3 2 2 2 2" xfId="20152"/>
    <cellStyle name="Percent 3 2 3 2 2 2 2 2" xfId="24746"/>
    <cellStyle name="Percent 3 2 3 2 2 2 3" xfId="20153"/>
    <cellStyle name="Percent 3 2 3 2 2 3" xfId="20154"/>
    <cellStyle name="Percent 3 2 3 2 2 3 2" xfId="20155"/>
    <cellStyle name="Percent 3 2 3 2 2 3 2 2" xfId="24747"/>
    <cellStyle name="Percent 3 2 3 2 2 3 3" xfId="20156"/>
    <cellStyle name="Percent 3 2 3 2 2 4" xfId="20157"/>
    <cellStyle name="Percent 3 2 3 2 2 4 2" xfId="24748"/>
    <cellStyle name="Percent 3 2 3 2 2 5" xfId="20158"/>
    <cellStyle name="Percent 3 2 3 2 3" xfId="20159"/>
    <cellStyle name="Percent 3 2 3 2 3 2" xfId="20160"/>
    <cellStyle name="Percent 3 2 3 2 3 2 2" xfId="24749"/>
    <cellStyle name="Percent 3 2 3 2 3 3" xfId="20161"/>
    <cellStyle name="Percent 3 2 3 2 4" xfId="20162"/>
    <cellStyle name="Percent 3 2 3 2 4 2" xfId="20163"/>
    <cellStyle name="Percent 3 2 3 2 4 2 2" xfId="24750"/>
    <cellStyle name="Percent 3 2 3 2 4 3" xfId="20164"/>
    <cellStyle name="Percent 3 2 3 2 5" xfId="20165"/>
    <cellStyle name="Percent 3 2 3 2 5 2" xfId="24751"/>
    <cellStyle name="Percent 3 2 3 2 6" xfId="20166"/>
    <cellStyle name="Percent 3 2 3 3" xfId="20167"/>
    <cellStyle name="Percent 3 2 3 3 2" xfId="20168"/>
    <cellStyle name="Percent 3 2 3 3 2 2" xfId="20169"/>
    <cellStyle name="Percent 3 2 3 3 2 2 2" xfId="24752"/>
    <cellStyle name="Percent 3 2 3 3 2 3" xfId="20170"/>
    <cellStyle name="Percent 3 2 3 3 3" xfId="20171"/>
    <cellStyle name="Percent 3 2 3 3 3 2" xfId="20172"/>
    <cellStyle name="Percent 3 2 3 3 3 2 2" xfId="24753"/>
    <cellStyle name="Percent 3 2 3 3 3 3" xfId="20173"/>
    <cellStyle name="Percent 3 2 3 3 4" xfId="20174"/>
    <cellStyle name="Percent 3 2 3 3 4 2" xfId="24754"/>
    <cellStyle name="Percent 3 2 3 3 5" xfId="20175"/>
    <cellStyle name="Percent 3 2 3 4" xfId="20176"/>
    <cellStyle name="Percent 3 2 3 4 2" xfId="20177"/>
    <cellStyle name="Percent 3 2 3 4 2 2" xfId="24755"/>
    <cellStyle name="Percent 3 2 3 4 3" xfId="20178"/>
    <cellStyle name="Percent 3 2 3 5" xfId="20179"/>
    <cellStyle name="Percent 3 2 3 5 2" xfId="20180"/>
    <cellStyle name="Percent 3 2 3 5 2 2" xfId="24756"/>
    <cellStyle name="Percent 3 2 3 5 3" xfId="20181"/>
    <cellStyle name="Percent 3 2 3 6" xfId="20182"/>
    <cellStyle name="Percent 3 2 3 6 2" xfId="24757"/>
    <cellStyle name="Percent 3 2 3 7" xfId="20183"/>
    <cellStyle name="Percent 3 2 4" xfId="1247"/>
    <cellStyle name="Percent 3 2 4 2" xfId="20184"/>
    <cellStyle name="Percent 3 2 4 2 2" xfId="20185"/>
    <cellStyle name="Percent 3 2 4 2 2 2" xfId="20186"/>
    <cellStyle name="Percent 3 2 4 2 2 2 2" xfId="24758"/>
    <cellStyle name="Percent 3 2 4 2 2 3" xfId="20187"/>
    <cellStyle name="Percent 3 2 4 2 3" xfId="20188"/>
    <cellStyle name="Percent 3 2 4 2 3 2" xfId="20189"/>
    <cellStyle name="Percent 3 2 4 2 3 2 2" xfId="24759"/>
    <cellStyle name="Percent 3 2 4 2 3 3" xfId="20190"/>
    <cellStyle name="Percent 3 2 4 2 4" xfId="20191"/>
    <cellStyle name="Percent 3 2 4 2 4 2" xfId="24760"/>
    <cellStyle name="Percent 3 2 4 2 5" xfId="20192"/>
    <cellStyle name="Percent 3 2 4 3" xfId="20193"/>
    <cellStyle name="Percent 3 2 4 3 2" xfId="20194"/>
    <cellStyle name="Percent 3 2 4 3 2 2" xfId="24761"/>
    <cellStyle name="Percent 3 2 4 3 3" xfId="20195"/>
    <cellStyle name="Percent 3 2 4 4" xfId="20196"/>
    <cellStyle name="Percent 3 2 4 4 2" xfId="20197"/>
    <cellStyle name="Percent 3 2 4 4 2 2" xfId="24762"/>
    <cellStyle name="Percent 3 2 4 4 3" xfId="20198"/>
    <cellStyle name="Percent 3 2 4 5" xfId="20199"/>
    <cellStyle name="Percent 3 2 4 5 2" xfId="24763"/>
    <cellStyle name="Percent 3 2 4 6" xfId="20200"/>
    <cellStyle name="Percent 3 2 5" xfId="20201"/>
    <cellStyle name="Percent 3 2 5 2" xfId="20202"/>
    <cellStyle name="Percent 3 2 5 2 2" xfId="20203"/>
    <cellStyle name="Percent 3 2 5 2 2 2" xfId="24764"/>
    <cellStyle name="Percent 3 2 5 2 3" xfId="20204"/>
    <cellStyle name="Percent 3 2 5 3" xfId="20205"/>
    <cellStyle name="Percent 3 2 5 3 2" xfId="20206"/>
    <cellStyle name="Percent 3 2 5 3 2 2" xfId="24765"/>
    <cellStyle name="Percent 3 2 5 3 3" xfId="20207"/>
    <cellStyle name="Percent 3 2 5 4" xfId="20208"/>
    <cellStyle name="Percent 3 2 5 4 2" xfId="24766"/>
    <cellStyle name="Percent 3 2 5 5" xfId="20209"/>
    <cellStyle name="Percent 3 2 6" xfId="20210"/>
    <cellStyle name="Percent 3 2 6 2" xfId="20211"/>
    <cellStyle name="Percent 3 2 6 2 2" xfId="24767"/>
    <cellStyle name="Percent 3 2 6 3" xfId="20212"/>
    <cellStyle name="Percent 3 2 7" xfId="20213"/>
    <cellStyle name="Percent 3 2 7 2" xfId="20214"/>
    <cellStyle name="Percent 3 2 7 2 2" xfId="24768"/>
    <cellStyle name="Percent 3 2 7 3" xfId="20215"/>
    <cellStyle name="Percent 3 2 8" xfId="20216"/>
    <cellStyle name="Percent 3 2 8 2" xfId="24769"/>
    <cellStyle name="Percent 3 2 9" xfId="20217"/>
    <cellStyle name="Percent 3 3" xfId="1248"/>
    <cellStyle name="Percent 3 3 2" xfId="1249"/>
    <cellStyle name="Percent 3 3 2 2" xfId="1250"/>
    <cellStyle name="Percent 3 3 2 2 2" xfId="20218"/>
    <cellStyle name="Percent 3 3 2 2 2 2" xfId="20219"/>
    <cellStyle name="Percent 3 3 2 2 2 2 2" xfId="20220"/>
    <cellStyle name="Percent 3 3 2 2 2 2 2 2" xfId="24770"/>
    <cellStyle name="Percent 3 3 2 2 2 2 3" xfId="20221"/>
    <cellStyle name="Percent 3 3 2 2 2 3" xfId="20222"/>
    <cellStyle name="Percent 3 3 2 2 2 3 2" xfId="20223"/>
    <cellStyle name="Percent 3 3 2 2 2 3 2 2" xfId="24771"/>
    <cellStyle name="Percent 3 3 2 2 2 3 3" xfId="20224"/>
    <cellStyle name="Percent 3 3 2 2 2 4" xfId="20225"/>
    <cellStyle name="Percent 3 3 2 2 2 4 2" xfId="24772"/>
    <cellStyle name="Percent 3 3 2 2 2 5" xfId="20226"/>
    <cellStyle name="Percent 3 3 2 2 3" xfId="20227"/>
    <cellStyle name="Percent 3 3 2 2 3 2" xfId="20228"/>
    <cellStyle name="Percent 3 3 2 2 3 2 2" xfId="24773"/>
    <cellStyle name="Percent 3 3 2 2 3 3" xfId="20229"/>
    <cellStyle name="Percent 3 3 2 2 4" xfId="20230"/>
    <cellStyle name="Percent 3 3 2 2 4 2" xfId="20231"/>
    <cellStyle name="Percent 3 3 2 2 4 2 2" xfId="24774"/>
    <cellStyle name="Percent 3 3 2 2 4 3" xfId="20232"/>
    <cellStyle name="Percent 3 3 2 2 5" xfId="20233"/>
    <cellStyle name="Percent 3 3 2 2 5 2" xfId="24775"/>
    <cellStyle name="Percent 3 3 2 2 6" xfId="20234"/>
    <cellStyle name="Percent 3 3 2 3" xfId="20235"/>
    <cellStyle name="Percent 3 3 2 3 2" xfId="20236"/>
    <cellStyle name="Percent 3 3 2 3 2 2" xfId="20237"/>
    <cellStyle name="Percent 3 3 2 3 2 2 2" xfId="24776"/>
    <cellStyle name="Percent 3 3 2 3 2 3" xfId="20238"/>
    <cellStyle name="Percent 3 3 2 3 3" xfId="20239"/>
    <cellStyle name="Percent 3 3 2 3 3 2" xfId="20240"/>
    <cellStyle name="Percent 3 3 2 3 3 2 2" xfId="24777"/>
    <cellStyle name="Percent 3 3 2 3 3 3" xfId="20241"/>
    <cellStyle name="Percent 3 3 2 3 4" xfId="20242"/>
    <cellStyle name="Percent 3 3 2 3 4 2" xfId="24778"/>
    <cellStyle name="Percent 3 3 2 3 5" xfId="20243"/>
    <cellStyle name="Percent 3 3 2 4" xfId="20244"/>
    <cellStyle name="Percent 3 3 2 4 2" xfId="20245"/>
    <cellStyle name="Percent 3 3 2 4 2 2" xfId="24779"/>
    <cellStyle name="Percent 3 3 2 4 3" xfId="20246"/>
    <cellStyle name="Percent 3 3 2 5" xfId="20247"/>
    <cellStyle name="Percent 3 3 2 5 2" xfId="20248"/>
    <cellStyle name="Percent 3 3 2 5 2 2" xfId="24780"/>
    <cellStyle name="Percent 3 3 2 5 3" xfId="20249"/>
    <cellStyle name="Percent 3 3 2 6" xfId="20250"/>
    <cellStyle name="Percent 3 3 2 6 2" xfId="24781"/>
    <cellStyle name="Percent 3 3 2 7" xfId="20251"/>
    <cellStyle name="Percent 3 3 3" xfId="1251"/>
    <cellStyle name="Percent 3 3 3 2" xfId="20252"/>
    <cellStyle name="Percent 3 3 3 2 2" xfId="20253"/>
    <cellStyle name="Percent 3 3 3 2 2 2" xfId="20254"/>
    <cellStyle name="Percent 3 3 3 2 2 2 2" xfId="24782"/>
    <cellStyle name="Percent 3 3 3 2 2 3" xfId="20255"/>
    <cellStyle name="Percent 3 3 3 2 3" xfId="20256"/>
    <cellStyle name="Percent 3 3 3 2 3 2" xfId="20257"/>
    <cellStyle name="Percent 3 3 3 2 3 2 2" xfId="24783"/>
    <cellStyle name="Percent 3 3 3 2 3 3" xfId="20258"/>
    <cellStyle name="Percent 3 3 3 2 4" xfId="20259"/>
    <cellStyle name="Percent 3 3 3 2 4 2" xfId="24784"/>
    <cellStyle name="Percent 3 3 3 2 5" xfId="20260"/>
    <cellStyle name="Percent 3 3 3 3" xfId="20261"/>
    <cellStyle name="Percent 3 3 3 3 2" xfId="20262"/>
    <cellStyle name="Percent 3 3 3 3 2 2" xfId="24785"/>
    <cellStyle name="Percent 3 3 3 3 3" xfId="20263"/>
    <cellStyle name="Percent 3 3 3 4" xfId="20264"/>
    <cellStyle name="Percent 3 3 3 4 2" xfId="20265"/>
    <cellStyle name="Percent 3 3 3 4 2 2" xfId="24786"/>
    <cellStyle name="Percent 3 3 3 4 3" xfId="20266"/>
    <cellStyle name="Percent 3 3 3 5" xfId="20267"/>
    <cellStyle name="Percent 3 3 3 5 2" xfId="24787"/>
    <cellStyle name="Percent 3 3 3 6" xfId="20268"/>
    <cellStyle name="Percent 3 3 4" xfId="20269"/>
    <cellStyle name="Percent 3 3 4 2" xfId="20270"/>
    <cellStyle name="Percent 3 3 4 2 2" xfId="20271"/>
    <cellStyle name="Percent 3 3 4 2 2 2" xfId="24788"/>
    <cellStyle name="Percent 3 3 4 2 3" xfId="20272"/>
    <cellStyle name="Percent 3 3 4 3" xfId="20273"/>
    <cellStyle name="Percent 3 3 4 3 2" xfId="20274"/>
    <cellStyle name="Percent 3 3 4 3 2 2" xfId="24789"/>
    <cellStyle name="Percent 3 3 4 3 3" xfId="20275"/>
    <cellStyle name="Percent 3 3 4 4" xfId="20276"/>
    <cellStyle name="Percent 3 3 4 4 2" xfId="24790"/>
    <cellStyle name="Percent 3 3 4 5" xfId="20277"/>
    <cellStyle name="Percent 3 3 5" xfId="20278"/>
    <cellStyle name="Percent 3 3 5 2" xfId="20279"/>
    <cellStyle name="Percent 3 3 5 2 2" xfId="24791"/>
    <cellStyle name="Percent 3 3 5 3" xfId="20280"/>
    <cellStyle name="Percent 3 3 6" xfId="20281"/>
    <cellStyle name="Percent 3 3 6 2" xfId="20282"/>
    <cellStyle name="Percent 3 3 6 2 2" xfId="24792"/>
    <cellStyle name="Percent 3 3 6 3" xfId="20283"/>
    <cellStyle name="Percent 3 3 7" xfId="20284"/>
    <cellStyle name="Percent 3 3 7 2" xfId="24793"/>
    <cellStyle name="Percent 3 3 8" xfId="20285"/>
    <cellStyle name="Percent 3 3 9" xfId="24794"/>
    <cellStyle name="Percent 3 4" xfId="1252"/>
    <cellStyle name="Percent 3 4 2" xfId="1253"/>
    <cellStyle name="Percent 3 4 2 2" xfId="20286"/>
    <cellStyle name="Percent 3 4 2 2 2" xfId="20287"/>
    <cellStyle name="Percent 3 4 2 2 2 2" xfId="20288"/>
    <cellStyle name="Percent 3 4 2 2 2 2 2" xfId="20289"/>
    <cellStyle name="Percent 3 4 2 2 2 2 2 2" xfId="24795"/>
    <cellStyle name="Percent 3 4 2 2 2 2 3" xfId="20290"/>
    <cellStyle name="Percent 3 4 2 2 2 3" xfId="20291"/>
    <cellStyle name="Percent 3 4 2 2 2 3 2" xfId="20292"/>
    <cellStyle name="Percent 3 4 2 2 2 3 2 2" xfId="24796"/>
    <cellStyle name="Percent 3 4 2 2 2 3 3" xfId="20293"/>
    <cellStyle name="Percent 3 4 2 2 2 4" xfId="20294"/>
    <cellStyle name="Percent 3 4 2 2 2 4 2" xfId="24797"/>
    <cellStyle name="Percent 3 4 2 2 2 5" xfId="20295"/>
    <cellStyle name="Percent 3 4 2 2 3" xfId="20296"/>
    <cellStyle name="Percent 3 4 2 2 3 2" xfId="20297"/>
    <cellStyle name="Percent 3 4 2 2 3 2 2" xfId="24798"/>
    <cellStyle name="Percent 3 4 2 2 3 3" xfId="20298"/>
    <cellStyle name="Percent 3 4 2 2 4" xfId="20299"/>
    <cellStyle name="Percent 3 4 2 2 4 2" xfId="20300"/>
    <cellStyle name="Percent 3 4 2 2 4 2 2" xfId="24799"/>
    <cellStyle name="Percent 3 4 2 2 4 3" xfId="20301"/>
    <cellStyle name="Percent 3 4 2 2 5" xfId="20302"/>
    <cellStyle name="Percent 3 4 2 2 5 2" xfId="24800"/>
    <cellStyle name="Percent 3 4 2 2 6" xfId="20303"/>
    <cellStyle name="Percent 3 4 2 3" xfId="20304"/>
    <cellStyle name="Percent 3 4 2 3 2" xfId="20305"/>
    <cellStyle name="Percent 3 4 2 3 2 2" xfId="20306"/>
    <cellStyle name="Percent 3 4 2 3 2 2 2" xfId="24801"/>
    <cellStyle name="Percent 3 4 2 3 2 3" xfId="20307"/>
    <cellStyle name="Percent 3 4 2 3 3" xfId="20308"/>
    <cellStyle name="Percent 3 4 2 3 3 2" xfId="20309"/>
    <cellStyle name="Percent 3 4 2 3 3 2 2" xfId="24802"/>
    <cellStyle name="Percent 3 4 2 3 3 3" xfId="20310"/>
    <cellStyle name="Percent 3 4 2 3 4" xfId="20311"/>
    <cellStyle name="Percent 3 4 2 3 4 2" xfId="24803"/>
    <cellStyle name="Percent 3 4 2 3 5" xfId="20312"/>
    <cellStyle name="Percent 3 4 2 4" xfId="20313"/>
    <cellStyle name="Percent 3 4 2 4 2" xfId="20314"/>
    <cellStyle name="Percent 3 4 2 4 2 2" xfId="24804"/>
    <cellStyle name="Percent 3 4 2 4 3" xfId="20315"/>
    <cellStyle name="Percent 3 4 2 5" xfId="20316"/>
    <cellStyle name="Percent 3 4 2 5 2" xfId="20317"/>
    <cellStyle name="Percent 3 4 2 5 2 2" xfId="24805"/>
    <cellStyle name="Percent 3 4 2 5 3" xfId="20318"/>
    <cellStyle name="Percent 3 4 2 6" xfId="20319"/>
    <cellStyle name="Percent 3 4 2 6 2" xfId="24806"/>
    <cellStyle name="Percent 3 4 2 7" xfId="20320"/>
    <cellStyle name="Percent 3 4 3" xfId="20321"/>
    <cellStyle name="Percent 3 4 3 2" xfId="20322"/>
    <cellStyle name="Percent 3 4 3 2 2" xfId="20323"/>
    <cellStyle name="Percent 3 4 3 2 2 2" xfId="20324"/>
    <cellStyle name="Percent 3 4 3 2 2 2 2" xfId="24807"/>
    <cellStyle name="Percent 3 4 3 2 2 3" xfId="20325"/>
    <cellStyle name="Percent 3 4 3 2 3" xfId="20326"/>
    <cellStyle name="Percent 3 4 3 2 3 2" xfId="20327"/>
    <cellStyle name="Percent 3 4 3 2 3 2 2" xfId="24808"/>
    <cellStyle name="Percent 3 4 3 2 3 3" xfId="20328"/>
    <cellStyle name="Percent 3 4 3 2 4" xfId="20329"/>
    <cellStyle name="Percent 3 4 3 2 4 2" xfId="24809"/>
    <cellStyle name="Percent 3 4 3 2 5" xfId="20330"/>
    <cellStyle name="Percent 3 4 3 3" xfId="20331"/>
    <cellStyle name="Percent 3 4 3 3 2" xfId="20332"/>
    <cellStyle name="Percent 3 4 3 3 2 2" xfId="24810"/>
    <cellStyle name="Percent 3 4 3 3 3" xfId="20333"/>
    <cellStyle name="Percent 3 4 3 4" xfId="20334"/>
    <cellStyle name="Percent 3 4 3 4 2" xfId="20335"/>
    <cellStyle name="Percent 3 4 3 4 2 2" xfId="24811"/>
    <cellStyle name="Percent 3 4 3 4 3" xfId="20336"/>
    <cellStyle name="Percent 3 4 3 5" xfId="20337"/>
    <cellStyle name="Percent 3 4 3 5 2" xfId="24812"/>
    <cellStyle name="Percent 3 4 3 6" xfId="20338"/>
    <cellStyle name="Percent 3 4 4" xfId="20339"/>
    <cellStyle name="Percent 3 4 4 2" xfId="20340"/>
    <cellStyle name="Percent 3 4 4 2 2" xfId="20341"/>
    <cellStyle name="Percent 3 4 4 2 2 2" xfId="24813"/>
    <cellStyle name="Percent 3 4 4 2 3" xfId="20342"/>
    <cellStyle name="Percent 3 4 4 3" xfId="20343"/>
    <cellStyle name="Percent 3 4 4 3 2" xfId="20344"/>
    <cellStyle name="Percent 3 4 4 3 2 2" xfId="24814"/>
    <cellStyle name="Percent 3 4 4 3 3" xfId="20345"/>
    <cellStyle name="Percent 3 4 4 4" xfId="20346"/>
    <cellStyle name="Percent 3 4 4 4 2" xfId="24815"/>
    <cellStyle name="Percent 3 4 4 5" xfId="20347"/>
    <cellStyle name="Percent 3 4 5" xfId="20348"/>
    <cellStyle name="Percent 3 4 5 2" xfId="20349"/>
    <cellStyle name="Percent 3 4 5 2 2" xfId="24816"/>
    <cellStyle name="Percent 3 4 5 3" xfId="20350"/>
    <cellStyle name="Percent 3 4 6" xfId="20351"/>
    <cellStyle name="Percent 3 4 6 2" xfId="20352"/>
    <cellStyle name="Percent 3 4 6 2 2" xfId="24817"/>
    <cellStyle name="Percent 3 4 6 3" xfId="20353"/>
    <cellStyle name="Percent 3 4 7" xfId="20354"/>
    <cellStyle name="Percent 3 4 7 2" xfId="24818"/>
    <cellStyle name="Percent 3 4 8" xfId="20355"/>
    <cellStyle name="Percent 3 5" xfId="1254"/>
    <cellStyle name="Percent 3 5 2" xfId="1255"/>
    <cellStyle name="Percent 3 5 2 2" xfId="24819"/>
    <cellStyle name="Percent 3 5 3" xfId="20356"/>
    <cellStyle name="Percent 3 6" xfId="1256"/>
    <cellStyle name="Percent 3 6 2" xfId="20357"/>
    <cellStyle name="Percent 3 6 2 2" xfId="20358"/>
    <cellStyle name="Percent 3 6 2 2 2" xfId="20359"/>
    <cellStyle name="Percent 3 6 2 2 2 2" xfId="24820"/>
    <cellStyle name="Percent 3 6 2 2 3" xfId="20360"/>
    <cellStyle name="Percent 3 6 2 3" xfId="20361"/>
    <cellStyle name="Percent 3 6 2 3 2" xfId="20362"/>
    <cellStyle name="Percent 3 6 2 3 2 2" xfId="24821"/>
    <cellStyle name="Percent 3 6 2 3 3" xfId="20363"/>
    <cellStyle name="Percent 3 6 2 4" xfId="20364"/>
    <cellStyle name="Percent 3 6 2 4 2" xfId="24822"/>
    <cellStyle name="Percent 3 6 2 5" xfId="20365"/>
    <cellStyle name="Percent 3 6 3" xfId="20366"/>
    <cellStyle name="Percent 3 6 3 2" xfId="20367"/>
    <cellStyle name="Percent 3 6 3 2 2" xfId="24823"/>
    <cellStyle name="Percent 3 6 3 3" xfId="20368"/>
    <cellStyle name="Percent 3 6 4" xfId="20369"/>
    <cellStyle name="Percent 3 6 4 2" xfId="20370"/>
    <cellStyle name="Percent 3 6 4 2 2" xfId="24824"/>
    <cellStyle name="Percent 3 6 4 3" xfId="20371"/>
    <cellStyle name="Percent 3 6 5" xfId="20372"/>
    <cellStyle name="Percent 3 6 5 2" xfId="24825"/>
    <cellStyle name="Percent 3 6 6" xfId="20373"/>
    <cellStyle name="Percent 3 7" xfId="20374"/>
    <cellStyle name="Percent 3 7 2" xfId="20375"/>
    <cellStyle name="Percent 3 7 2 2" xfId="20376"/>
    <cellStyle name="Percent 3 7 2 2 2" xfId="24826"/>
    <cellStyle name="Percent 3 7 2 3" xfId="20377"/>
    <cellStyle name="Percent 3 7 3" xfId="20378"/>
    <cellStyle name="Percent 3 7 3 2" xfId="20379"/>
    <cellStyle name="Percent 3 7 3 2 2" xfId="24827"/>
    <cellStyle name="Percent 3 7 3 3" xfId="20380"/>
    <cellStyle name="Percent 3 7 4" xfId="20381"/>
    <cellStyle name="Percent 3 7 4 2" xfId="24828"/>
    <cellStyle name="Percent 3 7 5" xfId="20382"/>
    <cellStyle name="Percent 3 7 6" xfId="20383"/>
    <cellStyle name="Percent 3 8" xfId="20384"/>
    <cellStyle name="Percent 3 8 2" xfId="20385"/>
    <cellStyle name="Percent 3 8 2 2" xfId="24829"/>
    <cellStyle name="Percent 3 8 3" xfId="20386"/>
    <cellStyle name="Percent 3 9" xfId="20387"/>
    <cellStyle name="Percent 3 9 2" xfId="20388"/>
    <cellStyle name="Percent 3 9 2 2" xfId="24830"/>
    <cellStyle name="Percent 3 9 3" xfId="20389"/>
    <cellStyle name="Percent 4" xfId="376"/>
    <cellStyle name="Percent 4 2" xfId="377"/>
    <cellStyle name="Percent 4 2 2" xfId="2300"/>
    <cellStyle name="Percent 4 2 2 2" xfId="20390"/>
    <cellStyle name="Percent 4 2 3" xfId="20391"/>
    <cellStyle name="Percent 4 2 4" xfId="24831"/>
    <cellStyle name="Percent 4 3" xfId="63"/>
    <cellStyle name="Percent 4 3 2" xfId="2301"/>
    <cellStyle name="Percent 4 3 2 2" xfId="20392"/>
    <cellStyle name="Percent 4 3 3" xfId="20393"/>
    <cellStyle name="Percent 4 3 4" xfId="24832"/>
    <cellStyle name="Percent 4 4" xfId="1257"/>
    <cellStyle name="Percent 4 4 2" xfId="1258"/>
    <cellStyle name="Percent 4 4 2 2" xfId="1259"/>
    <cellStyle name="Percent 4 4 2 2 2" xfId="24833"/>
    <cellStyle name="Percent 4 4 2 3" xfId="20394"/>
    <cellStyle name="Percent 4 4 3" xfId="20395"/>
    <cellStyle name="Percent 4 4 3 2" xfId="20396"/>
    <cellStyle name="Percent 4 4 4" xfId="24834"/>
    <cellStyle name="Percent 4 4 5" xfId="24835"/>
    <cellStyle name="Percent 4 5" xfId="20397"/>
    <cellStyle name="Percent 4 5 2" xfId="20398"/>
    <cellStyle name="Percent 4 6" xfId="20399"/>
    <cellStyle name="Percent 4 6 2" xfId="20400"/>
    <cellStyle name="Percent 4 7" xfId="20401"/>
    <cellStyle name="Percent 4 8" xfId="24836"/>
    <cellStyle name="Percent 4_31000" xfId="20402"/>
    <cellStyle name="Percent 5" xfId="378"/>
    <cellStyle name="Percent 5 10" xfId="24837"/>
    <cellStyle name="Percent 5 11" xfId="24838"/>
    <cellStyle name="Percent 5 2" xfId="1260"/>
    <cellStyle name="Percent 5 2 2" xfId="1261"/>
    <cellStyle name="Percent 5 2 2 2" xfId="1262"/>
    <cellStyle name="Percent 5 2 2 2 2" xfId="20403"/>
    <cellStyle name="Percent 5 2 2 2 2 2" xfId="20404"/>
    <cellStyle name="Percent 5 2 2 2 2 2 2" xfId="20405"/>
    <cellStyle name="Percent 5 2 2 2 2 2 2 2" xfId="24839"/>
    <cellStyle name="Percent 5 2 2 2 2 2 3" xfId="20406"/>
    <cellStyle name="Percent 5 2 2 2 2 3" xfId="20407"/>
    <cellStyle name="Percent 5 2 2 2 2 3 2" xfId="20408"/>
    <cellStyle name="Percent 5 2 2 2 2 3 2 2" xfId="24840"/>
    <cellStyle name="Percent 5 2 2 2 2 3 3" xfId="20409"/>
    <cellStyle name="Percent 5 2 2 2 2 4" xfId="20410"/>
    <cellStyle name="Percent 5 2 2 2 2 4 2" xfId="24841"/>
    <cellStyle name="Percent 5 2 2 2 2 5" xfId="20411"/>
    <cellStyle name="Percent 5 2 2 2 3" xfId="20412"/>
    <cellStyle name="Percent 5 2 2 2 3 2" xfId="20413"/>
    <cellStyle name="Percent 5 2 2 2 3 2 2" xfId="24842"/>
    <cellStyle name="Percent 5 2 2 2 3 3" xfId="20414"/>
    <cellStyle name="Percent 5 2 2 2 4" xfId="20415"/>
    <cellStyle name="Percent 5 2 2 2 4 2" xfId="20416"/>
    <cellStyle name="Percent 5 2 2 2 4 2 2" xfId="24843"/>
    <cellStyle name="Percent 5 2 2 2 4 3" xfId="20417"/>
    <cellStyle name="Percent 5 2 2 2 5" xfId="20418"/>
    <cellStyle name="Percent 5 2 2 2 5 2" xfId="24844"/>
    <cellStyle name="Percent 5 2 2 2 6" xfId="20419"/>
    <cellStyle name="Percent 5 2 2 3" xfId="20420"/>
    <cellStyle name="Percent 5 2 2 3 2" xfId="20421"/>
    <cellStyle name="Percent 5 2 2 3 2 2" xfId="20422"/>
    <cellStyle name="Percent 5 2 2 3 2 2 2" xfId="24845"/>
    <cellStyle name="Percent 5 2 2 3 2 3" xfId="20423"/>
    <cellStyle name="Percent 5 2 2 3 3" xfId="20424"/>
    <cellStyle name="Percent 5 2 2 3 3 2" xfId="20425"/>
    <cellStyle name="Percent 5 2 2 3 3 2 2" xfId="24846"/>
    <cellStyle name="Percent 5 2 2 3 3 3" xfId="20426"/>
    <cellStyle name="Percent 5 2 2 3 4" xfId="20427"/>
    <cellStyle name="Percent 5 2 2 3 4 2" xfId="24847"/>
    <cellStyle name="Percent 5 2 2 3 5" xfId="20428"/>
    <cellStyle name="Percent 5 2 2 4" xfId="20429"/>
    <cellStyle name="Percent 5 2 2 4 2" xfId="20430"/>
    <cellStyle name="Percent 5 2 2 4 2 2" xfId="24848"/>
    <cellStyle name="Percent 5 2 2 4 3" xfId="20431"/>
    <cellStyle name="Percent 5 2 2 5" xfId="20432"/>
    <cellStyle name="Percent 5 2 2 5 2" xfId="20433"/>
    <cellStyle name="Percent 5 2 2 5 2 2" xfId="24849"/>
    <cellStyle name="Percent 5 2 2 5 3" xfId="20434"/>
    <cellStyle name="Percent 5 2 2 6" xfId="20435"/>
    <cellStyle name="Percent 5 2 2 6 2" xfId="24850"/>
    <cellStyle name="Percent 5 2 2 7" xfId="20436"/>
    <cellStyle name="Percent 5 2 3" xfId="1263"/>
    <cellStyle name="Percent 5 2 3 2" xfId="20437"/>
    <cellStyle name="Percent 5 2 3 2 2" xfId="20438"/>
    <cellStyle name="Percent 5 2 3 2 2 2" xfId="20439"/>
    <cellStyle name="Percent 5 2 3 2 2 2 2" xfId="24851"/>
    <cellStyle name="Percent 5 2 3 2 2 3" xfId="20440"/>
    <cellStyle name="Percent 5 2 3 2 3" xfId="20441"/>
    <cellStyle name="Percent 5 2 3 2 3 2" xfId="20442"/>
    <cellStyle name="Percent 5 2 3 2 3 2 2" xfId="24852"/>
    <cellStyle name="Percent 5 2 3 2 3 3" xfId="20443"/>
    <cellStyle name="Percent 5 2 3 2 4" xfId="20444"/>
    <cellStyle name="Percent 5 2 3 2 4 2" xfId="24853"/>
    <cellStyle name="Percent 5 2 3 2 5" xfId="20445"/>
    <cellStyle name="Percent 5 2 3 3" xfId="20446"/>
    <cellStyle name="Percent 5 2 3 3 2" xfId="20447"/>
    <cellStyle name="Percent 5 2 3 3 2 2" xfId="24854"/>
    <cellStyle name="Percent 5 2 3 3 3" xfId="20448"/>
    <cellStyle name="Percent 5 2 3 4" xfId="20449"/>
    <cellStyle name="Percent 5 2 3 4 2" xfId="20450"/>
    <cellStyle name="Percent 5 2 3 4 2 2" xfId="24855"/>
    <cellStyle name="Percent 5 2 3 4 3" xfId="20451"/>
    <cellStyle name="Percent 5 2 3 5" xfId="20452"/>
    <cellStyle name="Percent 5 2 3 5 2" xfId="24856"/>
    <cellStyle name="Percent 5 2 3 6" xfId="20453"/>
    <cellStyle name="Percent 5 2 4" xfId="20454"/>
    <cellStyle name="Percent 5 2 4 2" xfId="20455"/>
    <cellStyle name="Percent 5 2 4 2 2" xfId="20456"/>
    <cellStyle name="Percent 5 2 4 2 2 2" xfId="24857"/>
    <cellStyle name="Percent 5 2 4 2 3" xfId="20457"/>
    <cellStyle name="Percent 5 2 4 3" xfId="20458"/>
    <cellStyle name="Percent 5 2 4 3 2" xfId="20459"/>
    <cellStyle name="Percent 5 2 4 3 2 2" xfId="24858"/>
    <cellStyle name="Percent 5 2 4 3 3" xfId="20460"/>
    <cellStyle name="Percent 5 2 4 4" xfId="20461"/>
    <cellStyle name="Percent 5 2 4 4 2" xfId="24859"/>
    <cellStyle name="Percent 5 2 4 5" xfId="20462"/>
    <cellStyle name="Percent 5 2 5" xfId="20463"/>
    <cellStyle name="Percent 5 2 5 2" xfId="20464"/>
    <cellStyle name="Percent 5 2 5 2 2" xfId="24860"/>
    <cellStyle name="Percent 5 2 5 3" xfId="20465"/>
    <cellStyle name="Percent 5 2 6" xfId="20466"/>
    <cellStyle name="Percent 5 2 6 2" xfId="20467"/>
    <cellStyle name="Percent 5 2 6 2 2" xfId="24861"/>
    <cellStyle name="Percent 5 2 6 3" xfId="20468"/>
    <cellStyle name="Percent 5 2 7" xfId="20469"/>
    <cellStyle name="Percent 5 2 7 2" xfId="24862"/>
    <cellStyle name="Percent 5 2 8" xfId="20470"/>
    <cellStyle name="Percent 5 2 9" xfId="24863"/>
    <cellStyle name="Percent 5 3" xfId="1264"/>
    <cellStyle name="Percent 5 3 2" xfId="1265"/>
    <cellStyle name="Percent 5 3 2 2" xfId="20471"/>
    <cellStyle name="Percent 5 3 2 2 2" xfId="20472"/>
    <cellStyle name="Percent 5 3 2 2 2 2" xfId="20473"/>
    <cellStyle name="Percent 5 3 2 2 2 2 2" xfId="24864"/>
    <cellStyle name="Percent 5 3 2 2 2 3" xfId="20474"/>
    <cellStyle name="Percent 5 3 2 2 3" xfId="20475"/>
    <cellStyle name="Percent 5 3 2 2 3 2" xfId="20476"/>
    <cellStyle name="Percent 5 3 2 2 3 2 2" xfId="24865"/>
    <cellStyle name="Percent 5 3 2 2 3 3" xfId="20477"/>
    <cellStyle name="Percent 5 3 2 2 4" xfId="20478"/>
    <cellStyle name="Percent 5 3 2 2 4 2" xfId="24866"/>
    <cellStyle name="Percent 5 3 2 2 5" xfId="20479"/>
    <cellStyle name="Percent 5 3 2 3" xfId="20480"/>
    <cellStyle name="Percent 5 3 2 3 2" xfId="20481"/>
    <cellStyle name="Percent 5 3 2 3 2 2" xfId="24867"/>
    <cellStyle name="Percent 5 3 2 3 3" xfId="20482"/>
    <cellStyle name="Percent 5 3 2 4" xfId="20483"/>
    <cellStyle name="Percent 5 3 2 4 2" xfId="20484"/>
    <cellStyle name="Percent 5 3 2 4 2 2" xfId="24868"/>
    <cellStyle name="Percent 5 3 2 4 3" xfId="20485"/>
    <cellStyle name="Percent 5 3 2 5" xfId="20486"/>
    <cellStyle name="Percent 5 3 2 5 2" xfId="24869"/>
    <cellStyle name="Percent 5 3 2 6" xfId="20487"/>
    <cellStyle name="Percent 5 3 3" xfId="20488"/>
    <cellStyle name="Percent 5 3 3 2" xfId="20489"/>
    <cellStyle name="Percent 5 3 3 2 2" xfId="20490"/>
    <cellStyle name="Percent 5 3 3 2 2 2" xfId="24870"/>
    <cellStyle name="Percent 5 3 3 2 3" xfId="20491"/>
    <cellStyle name="Percent 5 3 3 3" xfId="20492"/>
    <cellStyle name="Percent 5 3 3 3 2" xfId="20493"/>
    <cellStyle name="Percent 5 3 3 3 2 2" xfId="24871"/>
    <cellStyle name="Percent 5 3 3 3 3" xfId="20494"/>
    <cellStyle name="Percent 5 3 3 4" xfId="20495"/>
    <cellStyle name="Percent 5 3 3 4 2" xfId="24872"/>
    <cellStyle name="Percent 5 3 3 5" xfId="20496"/>
    <cellStyle name="Percent 5 3 4" xfId="20497"/>
    <cellStyle name="Percent 5 3 4 2" xfId="20498"/>
    <cellStyle name="Percent 5 3 4 2 2" xfId="24873"/>
    <cellStyle name="Percent 5 3 4 3" xfId="20499"/>
    <cellStyle name="Percent 5 3 5" xfId="20500"/>
    <cellStyle name="Percent 5 3 5 2" xfId="20501"/>
    <cellStyle name="Percent 5 3 5 2 2" xfId="24874"/>
    <cellStyle name="Percent 5 3 5 3" xfId="20502"/>
    <cellStyle name="Percent 5 3 6" xfId="20503"/>
    <cellStyle name="Percent 5 3 6 2" xfId="24875"/>
    <cellStyle name="Percent 5 3 7" xfId="20504"/>
    <cellStyle name="Percent 5 4" xfId="1266"/>
    <cellStyle name="Percent 5 4 2" xfId="1267"/>
    <cellStyle name="Percent 5 4 2 2" xfId="20505"/>
    <cellStyle name="Percent 5 4 2 2 2" xfId="20506"/>
    <cellStyle name="Percent 5 4 2 2 2 2" xfId="24876"/>
    <cellStyle name="Percent 5 4 2 2 3" xfId="20507"/>
    <cellStyle name="Percent 5 4 2 3" xfId="20508"/>
    <cellStyle name="Percent 5 4 2 3 2" xfId="20509"/>
    <cellStyle name="Percent 5 4 2 3 2 2" xfId="24877"/>
    <cellStyle name="Percent 5 4 2 3 3" xfId="20510"/>
    <cellStyle name="Percent 5 4 2 4" xfId="20511"/>
    <cellStyle name="Percent 5 4 2 4 2" xfId="24878"/>
    <cellStyle name="Percent 5 4 2 5" xfId="20512"/>
    <cellStyle name="Percent 5 4 3" xfId="20513"/>
    <cellStyle name="Percent 5 4 3 2" xfId="20514"/>
    <cellStyle name="Percent 5 4 3 2 2" xfId="24879"/>
    <cellStyle name="Percent 5 4 3 3" xfId="20515"/>
    <cellStyle name="Percent 5 4 3 4" xfId="20516"/>
    <cellStyle name="Percent 5 4 4" xfId="20517"/>
    <cellStyle name="Percent 5 4 4 2" xfId="20518"/>
    <cellStyle name="Percent 5 4 4 2 2" xfId="24880"/>
    <cellStyle name="Percent 5 4 4 3" xfId="20519"/>
    <cellStyle name="Percent 5 4 5" xfId="20520"/>
    <cellStyle name="Percent 5 4 5 2" xfId="24881"/>
    <cellStyle name="Percent 5 4 6" xfId="20521"/>
    <cellStyle name="Percent 5 5" xfId="20522"/>
    <cellStyle name="Percent 5 5 2" xfId="20523"/>
    <cellStyle name="Percent 5 5 2 2" xfId="20524"/>
    <cellStyle name="Percent 5 5 2 2 2" xfId="24882"/>
    <cellStyle name="Percent 5 5 2 3" xfId="20525"/>
    <cellStyle name="Percent 5 5 2 4" xfId="20526"/>
    <cellStyle name="Percent 5 5 3" xfId="20527"/>
    <cellStyle name="Percent 5 5 3 2" xfId="20528"/>
    <cellStyle name="Percent 5 5 3 2 2" xfId="24883"/>
    <cellStyle name="Percent 5 5 3 3" xfId="20529"/>
    <cellStyle name="Percent 5 5 4" xfId="20530"/>
    <cellStyle name="Percent 5 5 4 2" xfId="24884"/>
    <cellStyle name="Percent 5 5 5" xfId="20531"/>
    <cellStyle name="Percent 5 6" xfId="20532"/>
    <cellStyle name="Percent 5 6 2" xfId="20533"/>
    <cellStyle name="Percent 5 6 2 2" xfId="24885"/>
    <cellStyle name="Percent 5 6 3" xfId="20534"/>
    <cellStyle name="Percent 5 7" xfId="20535"/>
    <cellStyle name="Percent 5 7 2" xfId="20536"/>
    <cellStyle name="Percent 5 7 2 2" xfId="24886"/>
    <cellStyle name="Percent 5 7 3" xfId="20537"/>
    <cellStyle name="Percent 5 8" xfId="20538"/>
    <cellStyle name="Percent 5 8 2" xfId="24887"/>
    <cellStyle name="Percent 5 9" xfId="20539"/>
    <cellStyle name="Percent 6" xfId="379"/>
    <cellStyle name="Percent 6 2" xfId="1268"/>
    <cellStyle name="Percent 6 2 2" xfId="1269"/>
    <cellStyle name="Percent 6 2 2 2" xfId="20540"/>
    <cellStyle name="Percent 6 2 2 2 2" xfId="20541"/>
    <cellStyle name="Percent 6 2 2 2 2 2" xfId="20542"/>
    <cellStyle name="Percent 6 2 2 2 2 2 2" xfId="24888"/>
    <cellStyle name="Percent 6 2 2 2 2 3" xfId="20543"/>
    <cellStyle name="Percent 6 2 2 2 3" xfId="20544"/>
    <cellStyle name="Percent 6 2 2 2 3 2" xfId="20545"/>
    <cellStyle name="Percent 6 2 2 2 3 2 2" xfId="24889"/>
    <cellStyle name="Percent 6 2 2 2 3 3" xfId="20546"/>
    <cellStyle name="Percent 6 2 2 2 4" xfId="20547"/>
    <cellStyle name="Percent 6 2 2 2 4 2" xfId="24890"/>
    <cellStyle name="Percent 6 2 2 2 5" xfId="20548"/>
    <cellStyle name="Percent 6 2 2 3" xfId="20549"/>
    <cellStyle name="Percent 6 2 2 3 2" xfId="20550"/>
    <cellStyle name="Percent 6 2 2 3 2 2" xfId="24891"/>
    <cellStyle name="Percent 6 2 2 3 3" xfId="20551"/>
    <cellStyle name="Percent 6 2 2 4" xfId="20552"/>
    <cellStyle name="Percent 6 2 2 4 2" xfId="20553"/>
    <cellStyle name="Percent 6 2 2 4 2 2" xfId="24892"/>
    <cellStyle name="Percent 6 2 2 4 3" xfId="20554"/>
    <cellStyle name="Percent 6 2 2 5" xfId="20555"/>
    <cellStyle name="Percent 6 2 2 5 2" xfId="24893"/>
    <cellStyle name="Percent 6 2 2 6" xfId="20556"/>
    <cellStyle name="Percent 6 2 3" xfId="20557"/>
    <cellStyle name="Percent 6 2 3 2" xfId="20558"/>
    <cellStyle name="Percent 6 2 3 2 2" xfId="20559"/>
    <cellStyle name="Percent 6 2 3 2 2 2" xfId="24894"/>
    <cellStyle name="Percent 6 2 3 2 3" xfId="20560"/>
    <cellStyle name="Percent 6 2 3 3" xfId="20561"/>
    <cellStyle name="Percent 6 2 3 3 2" xfId="20562"/>
    <cellStyle name="Percent 6 2 3 3 2 2" xfId="24895"/>
    <cellStyle name="Percent 6 2 3 3 3" xfId="20563"/>
    <cellStyle name="Percent 6 2 3 4" xfId="20564"/>
    <cellStyle name="Percent 6 2 3 4 2" xfId="24896"/>
    <cellStyle name="Percent 6 2 3 5" xfId="20565"/>
    <cellStyle name="Percent 6 2 4" xfId="20566"/>
    <cellStyle name="Percent 6 2 4 2" xfId="20567"/>
    <cellStyle name="Percent 6 2 4 2 2" xfId="24897"/>
    <cellStyle name="Percent 6 2 4 3" xfId="20568"/>
    <cellStyle name="Percent 6 2 5" xfId="20569"/>
    <cellStyle name="Percent 6 2 5 2" xfId="20570"/>
    <cellStyle name="Percent 6 2 5 2 2" xfId="24898"/>
    <cellStyle name="Percent 6 2 5 3" xfId="20571"/>
    <cellStyle name="Percent 6 2 6" xfId="20572"/>
    <cellStyle name="Percent 6 2 6 2" xfId="24899"/>
    <cellStyle name="Percent 6 2 7" xfId="20573"/>
    <cellStyle name="Percent 6 2 8" xfId="24900"/>
    <cellStyle name="Percent 6 3" xfId="1270"/>
    <cellStyle name="Percent 6 3 2" xfId="20574"/>
    <cellStyle name="Percent 6 3 2 2" xfId="20575"/>
    <cellStyle name="Percent 6 3 2 2 2" xfId="20576"/>
    <cellStyle name="Percent 6 3 2 2 2 2" xfId="24901"/>
    <cellStyle name="Percent 6 3 2 2 3" xfId="20577"/>
    <cellStyle name="Percent 6 3 2 3" xfId="20578"/>
    <cellStyle name="Percent 6 3 2 3 2" xfId="20579"/>
    <cellStyle name="Percent 6 3 2 3 2 2" xfId="24902"/>
    <cellStyle name="Percent 6 3 2 3 3" xfId="20580"/>
    <cellStyle name="Percent 6 3 2 4" xfId="20581"/>
    <cellStyle name="Percent 6 3 2 4 2" xfId="24903"/>
    <cellStyle name="Percent 6 3 2 5" xfId="20582"/>
    <cellStyle name="Percent 6 3 3" xfId="20583"/>
    <cellStyle name="Percent 6 3 3 2" xfId="20584"/>
    <cellStyle name="Percent 6 3 3 2 2" xfId="24904"/>
    <cellStyle name="Percent 6 3 3 3" xfId="20585"/>
    <cellStyle name="Percent 6 3 4" xfId="20586"/>
    <cellStyle name="Percent 6 3 4 2" xfId="20587"/>
    <cellStyle name="Percent 6 3 4 2 2" xfId="24905"/>
    <cellStyle name="Percent 6 3 4 3" xfId="20588"/>
    <cellStyle name="Percent 6 3 5" xfId="20589"/>
    <cellStyle name="Percent 6 3 5 2" xfId="24906"/>
    <cellStyle name="Percent 6 3 6" xfId="20590"/>
    <cellStyle name="Percent 6 4" xfId="2302"/>
    <cellStyle name="Percent 6 4 2" xfId="20591"/>
    <cellStyle name="Percent 6 4 2 2" xfId="20592"/>
    <cellStyle name="Percent 6 4 2 2 2" xfId="24907"/>
    <cellStyle name="Percent 6 4 2 3" xfId="20593"/>
    <cellStyle name="Percent 6 4 3" xfId="20594"/>
    <cellStyle name="Percent 6 4 3 2" xfId="20595"/>
    <cellStyle name="Percent 6 4 3 2 2" xfId="24908"/>
    <cellStyle name="Percent 6 4 3 3" xfId="20596"/>
    <cellStyle name="Percent 6 4 4" xfId="20597"/>
    <cellStyle name="Percent 6 4 4 2" xfId="24909"/>
    <cellStyle name="Percent 6 4 5" xfId="20598"/>
    <cellStyle name="Percent 6 5" xfId="2303"/>
    <cellStyle name="Percent 6 5 2" xfId="20599"/>
    <cellStyle name="Percent 6 5 2 2" xfId="24910"/>
    <cellStyle name="Percent 6 5 3" xfId="20600"/>
    <cellStyle name="Percent 6 6" xfId="20601"/>
    <cellStyle name="Percent 6 6 2" xfId="20602"/>
    <cellStyle name="Percent 6 6 2 2" xfId="24911"/>
    <cellStyle name="Percent 6 6 3" xfId="20603"/>
    <cellStyle name="Percent 6 7" xfId="20604"/>
    <cellStyle name="Percent 6 7 2" xfId="24912"/>
    <cellStyle name="Percent 6 8" xfId="20605"/>
    <cellStyle name="Percent 6 9" xfId="24913"/>
    <cellStyle name="Percent 7" xfId="380"/>
    <cellStyle name="Percent 7 2" xfId="381"/>
    <cellStyle name="Percent 7 2 2" xfId="1271"/>
    <cellStyle name="Percent 7 2 2 2" xfId="20606"/>
    <cellStyle name="Percent 7 2 2 2 2" xfId="20607"/>
    <cellStyle name="Percent 7 2 2 2 2 2" xfId="20608"/>
    <cellStyle name="Percent 7 2 2 2 2 2 2" xfId="24914"/>
    <cellStyle name="Percent 7 2 2 2 2 3" xfId="20609"/>
    <cellStyle name="Percent 7 2 2 2 3" xfId="20610"/>
    <cellStyle name="Percent 7 2 2 2 3 2" xfId="20611"/>
    <cellStyle name="Percent 7 2 2 2 3 2 2" xfId="24915"/>
    <cellStyle name="Percent 7 2 2 2 3 3" xfId="20612"/>
    <cellStyle name="Percent 7 2 2 2 4" xfId="20613"/>
    <cellStyle name="Percent 7 2 2 2 4 2" xfId="24916"/>
    <cellStyle name="Percent 7 2 2 2 5" xfId="20614"/>
    <cellStyle name="Percent 7 2 2 3" xfId="20615"/>
    <cellStyle name="Percent 7 2 2 3 2" xfId="20616"/>
    <cellStyle name="Percent 7 2 2 3 2 2" xfId="24917"/>
    <cellStyle name="Percent 7 2 2 3 3" xfId="20617"/>
    <cellStyle name="Percent 7 2 2 4" xfId="20618"/>
    <cellStyle name="Percent 7 2 2 4 2" xfId="20619"/>
    <cellStyle name="Percent 7 2 2 4 2 2" xfId="24918"/>
    <cellStyle name="Percent 7 2 2 4 3" xfId="20620"/>
    <cellStyle name="Percent 7 2 2 5" xfId="20621"/>
    <cellStyle name="Percent 7 2 2 5 2" xfId="24919"/>
    <cellStyle name="Percent 7 2 2 6" xfId="20622"/>
    <cellStyle name="Percent 7 2 3" xfId="20623"/>
    <cellStyle name="Percent 7 2 3 2" xfId="20624"/>
    <cellStyle name="Percent 7 2 3 2 2" xfId="20625"/>
    <cellStyle name="Percent 7 2 3 2 2 2" xfId="24920"/>
    <cellStyle name="Percent 7 2 3 2 3" xfId="20626"/>
    <cellStyle name="Percent 7 2 3 3" xfId="20627"/>
    <cellStyle name="Percent 7 2 3 3 2" xfId="20628"/>
    <cellStyle name="Percent 7 2 3 3 2 2" xfId="24921"/>
    <cellStyle name="Percent 7 2 3 3 3" xfId="20629"/>
    <cellStyle name="Percent 7 2 3 4" xfId="20630"/>
    <cellStyle name="Percent 7 2 3 4 2" xfId="24922"/>
    <cellStyle name="Percent 7 2 3 5" xfId="20631"/>
    <cellStyle name="Percent 7 2 4" xfId="20632"/>
    <cellStyle name="Percent 7 2 4 2" xfId="20633"/>
    <cellStyle name="Percent 7 2 4 2 2" xfId="24923"/>
    <cellStyle name="Percent 7 2 4 3" xfId="20634"/>
    <cellStyle name="Percent 7 2 5" xfId="20635"/>
    <cellStyle name="Percent 7 2 5 2" xfId="20636"/>
    <cellStyle name="Percent 7 2 5 2 2" xfId="24924"/>
    <cellStyle name="Percent 7 2 5 3" xfId="20637"/>
    <cellStyle name="Percent 7 2 6" xfId="20638"/>
    <cellStyle name="Percent 7 2 6 2" xfId="24925"/>
    <cellStyle name="Percent 7 2 7" xfId="20639"/>
    <cellStyle name="Percent 7 2 8" xfId="24926"/>
    <cellStyle name="Percent 7 3" xfId="382"/>
    <cellStyle name="Percent 7 3 2" xfId="20640"/>
    <cellStyle name="Percent 7 3 2 2" xfId="20641"/>
    <cellStyle name="Percent 7 3 2 2 2" xfId="20642"/>
    <cellStyle name="Percent 7 3 2 2 2 2" xfId="24927"/>
    <cellStyle name="Percent 7 3 2 2 3" xfId="20643"/>
    <cellStyle name="Percent 7 3 2 3" xfId="20644"/>
    <cellStyle name="Percent 7 3 2 3 2" xfId="20645"/>
    <cellStyle name="Percent 7 3 2 3 2 2" xfId="24928"/>
    <cellStyle name="Percent 7 3 2 3 3" xfId="20646"/>
    <cellStyle name="Percent 7 3 2 4" xfId="20647"/>
    <cellStyle name="Percent 7 3 2 4 2" xfId="24929"/>
    <cellStyle name="Percent 7 3 2 5" xfId="20648"/>
    <cellStyle name="Percent 7 3 3" xfId="20649"/>
    <cellStyle name="Percent 7 3 3 2" xfId="20650"/>
    <cellStyle name="Percent 7 3 3 2 2" xfId="24930"/>
    <cellStyle name="Percent 7 3 3 3" xfId="20651"/>
    <cellStyle name="Percent 7 3 4" xfId="20652"/>
    <cellStyle name="Percent 7 3 4 2" xfId="20653"/>
    <cellStyle name="Percent 7 3 4 2 2" xfId="24931"/>
    <cellStyle name="Percent 7 3 4 3" xfId="20654"/>
    <cellStyle name="Percent 7 3 5" xfId="20655"/>
    <cellStyle name="Percent 7 3 5 2" xfId="24932"/>
    <cellStyle name="Percent 7 3 6" xfId="20656"/>
    <cellStyle name="Percent 7 3 7" xfId="24933"/>
    <cellStyle name="Percent 7 4" xfId="1272"/>
    <cellStyle name="Percent 7 4 2" xfId="20657"/>
    <cellStyle name="Percent 7 4 2 2" xfId="20658"/>
    <cellStyle name="Percent 7 4 2 2 2" xfId="24934"/>
    <cellStyle name="Percent 7 4 2 3" xfId="20659"/>
    <cellStyle name="Percent 7 4 3" xfId="20660"/>
    <cellStyle name="Percent 7 4 3 2" xfId="20661"/>
    <cellStyle name="Percent 7 4 3 2 2" xfId="24935"/>
    <cellStyle name="Percent 7 4 3 3" xfId="20662"/>
    <cellStyle name="Percent 7 4 4" xfId="20663"/>
    <cellStyle name="Percent 7 4 4 2" xfId="24936"/>
    <cellStyle name="Percent 7 4 5" xfId="20664"/>
    <cellStyle name="Percent 7 5" xfId="20665"/>
    <cellStyle name="Percent 7 5 2" xfId="20666"/>
    <cellStyle name="Percent 7 5 2 2" xfId="24937"/>
    <cellStyle name="Percent 7 5 3" xfId="20667"/>
    <cellStyle name="Percent 7 6" xfId="20668"/>
    <cellStyle name="Percent 7 6 2" xfId="20669"/>
    <cellStyle name="Percent 7 6 2 2" xfId="24938"/>
    <cellStyle name="Percent 7 6 3" xfId="20670"/>
    <cellStyle name="Percent 7 7" xfId="20671"/>
    <cellStyle name="Percent 7 7 2" xfId="24939"/>
    <cellStyle name="Percent 7 8" xfId="20672"/>
    <cellStyle name="Percent 7 9" xfId="24940"/>
    <cellStyle name="Percent 8" xfId="383"/>
    <cellStyle name="Percent 8 2" xfId="1273"/>
    <cellStyle name="Percent 8 2 2" xfId="20673"/>
    <cellStyle name="Percent 8 2 2 2" xfId="20674"/>
    <cellStyle name="Percent 8 2 2 2 2" xfId="20675"/>
    <cellStyle name="Percent 8 2 2 2 2 2" xfId="24941"/>
    <cellStyle name="Percent 8 2 2 2 3" xfId="20676"/>
    <cellStyle name="Percent 8 2 2 3" xfId="20677"/>
    <cellStyle name="Percent 8 2 2 3 2" xfId="20678"/>
    <cellStyle name="Percent 8 2 2 3 2 2" xfId="24942"/>
    <cellStyle name="Percent 8 2 2 3 3" xfId="20679"/>
    <cellStyle name="Percent 8 2 2 4" xfId="20680"/>
    <cellStyle name="Percent 8 2 2 4 2" xfId="24943"/>
    <cellStyle name="Percent 8 2 2 5" xfId="20681"/>
    <cellStyle name="Percent 8 2 3" xfId="20682"/>
    <cellStyle name="Percent 8 2 3 2" xfId="20683"/>
    <cellStyle name="Percent 8 2 3 2 2" xfId="24944"/>
    <cellStyle name="Percent 8 2 3 3" xfId="20684"/>
    <cellStyle name="Percent 8 2 4" xfId="20685"/>
    <cellStyle name="Percent 8 2 4 2" xfId="20686"/>
    <cellStyle name="Percent 8 2 4 2 2" xfId="24945"/>
    <cellStyle name="Percent 8 2 4 3" xfId="20687"/>
    <cellStyle name="Percent 8 2 5" xfId="20688"/>
    <cellStyle name="Percent 8 2 5 2" xfId="24946"/>
    <cellStyle name="Percent 8 2 6" xfId="20689"/>
    <cellStyle name="Percent 8 3" xfId="2304"/>
    <cellStyle name="Percent 8 3 2" xfId="20690"/>
    <cellStyle name="Percent 8 3 2 2" xfId="20691"/>
    <cellStyle name="Percent 8 3 2 2 2" xfId="24947"/>
    <cellStyle name="Percent 8 3 2 3" xfId="20692"/>
    <cellStyle name="Percent 8 3 3" xfId="20693"/>
    <cellStyle name="Percent 8 3 3 2" xfId="20694"/>
    <cellStyle name="Percent 8 3 3 2 2" xfId="24948"/>
    <cellStyle name="Percent 8 3 3 3" xfId="20695"/>
    <cellStyle name="Percent 8 3 4" xfId="20696"/>
    <cellStyle name="Percent 8 3 4 2" xfId="24949"/>
    <cellStyle name="Percent 8 3 5" xfId="20697"/>
    <cellStyle name="Percent 8 4" xfId="2305"/>
    <cellStyle name="Percent 8 4 2" xfId="20698"/>
    <cellStyle name="Percent 8 4 2 2" xfId="24950"/>
    <cellStyle name="Percent 8 4 3" xfId="20699"/>
    <cellStyle name="Percent 8 5" xfId="20700"/>
    <cellStyle name="Percent 8 5 2" xfId="20701"/>
    <cellStyle name="Percent 8 5 2 2" xfId="24951"/>
    <cellStyle name="Percent 8 5 3" xfId="20702"/>
    <cellStyle name="Percent 8 6" xfId="20703"/>
    <cellStyle name="Percent 8 6 2" xfId="24952"/>
    <cellStyle name="Percent 8 7" xfId="20704"/>
    <cellStyle name="Percent 8 7 2" xfId="24953"/>
    <cellStyle name="Percent 8 8" xfId="24954"/>
    <cellStyle name="Percent 8 9" xfId="24955"/>
    <cellStyle name="Percent 9" xfId="384"/>
    <cellStyle name="Percent 9 2" xfId="1274"/>
    <cellStyle name="Percent 9 2 2" xfId="24956"/>
    <cellStyle name="Percent 9 3" xfId="1275"/>
    <cellStyle name="Percent 9 3 2" xfId="24957"/>
    <cellStyle name="Percent 9 4" xfId="20705"/>
    <cellStyle name="Percent 9 4 2" xfId="24958"/>
    <cellStyle name="Percent 9 5" xfId="20706"/>
    <cellStyle name="Percent 9 6" xfId="24959"/>
    <cellStyle name="Percent(1)" xfId="385"/>
    <cellStyle name="Percent(1) 2" xfId="20707"/>
    <cellStyle name="Percent(1) 3" xfId="24960"/>
    <cellStyle name="Percent(2)" xfId="386"/>
    <cellStyle name="Percent(2) 2" xfId="20708"/>
    <cellStyle name="Percent(2) 3" xfId="24961"/>
    <cellStyle name="Posting_Period" xfId="1276"/>
    <cellStyle name="PRM" xfId="387"/>
    <cellStyle name="PRM 2" xfId="388"/>
    <cellStyle name="PRM 2 2" xfId="24962"/>
    <cellStyle name="PRM 2 3" xfId="24963"/>
    <cellStyle name="PRM 3" xfId="389"/>
    <cellStyle name="PRM 3 2" xfId="24964"/>
    <cellStyle name="PRM 3 3" xfId="24965"/>
    <cellStyle name="PRM 4" xfId="20709"/>
    <cellStyle name="PRM 5" xfId="24966"/>
    <cellStyle name="PRM_2011-11" xfId="390"/>
    <cellStyle name="PS_Comma" xfId="391"/>
    <cellStyle name="PSChar" xfId="392"/>
    <cellStyle name="PSChar 2" xfId="20710"/>
    <cellStyle name="PSChar 3" xfId="24967"/>
    <cellStyle name="PSDate" xfId="393"/>
    <cellStyle name="PSDate 2" xfId="24968"/>
    <cellStyle name="PSDate 3" xfId="24969"/>
    <cellStyle name="PSDec" xfId="394"/>
    <cellStyle name="PSDec 2" xfId="24970"/>
    <cellStyle name="PSDec 3" xfId="24971"/>
    <cellStyle name="PSHeading" xfId="395"/>
    <cellStyle name="PSHeading 2" xfId="1277"/>
    <cellStyle name="PSHeading 2 2" xfId="20711"/>
    <cellStyle name="PSHeading 2 2 2" xfId="24972"/>
    <cellStyle name="PSHeading 2 3" xfId="20712"/>
    <cellStyle name="PSHeading 3" xfId="20713"/>
    <cellStyle name="PSHeading 4" xfId="24973"/>
    <cellStyle name="PSInt" xfId="396"/>
    <cellStyle name="PSInt 2" xfId="24974"/>
    <cellStyle name="PSInt 3" xfId="24975"/>
    <cellStyle name="PSSpacer" xfId="397"/>
    <cellStyle name="PSSpacer 2" xfId="24976"/>
    <cellStyle name="PSSpacer 3" xfId="24977"/>
    <cellStyle name="Reset  - Style4" xfId="2306"/>
    <cellStyle name="Reset  - Style4 2" xfId="24978"/>
    <cellStyle name="Reset  - Style7" xfId="2307"/>
    <cellStyle name="Reset  - Style7 2" xfId="24979"/>
    <cellStyle name="STYL0 - Style1" xfId="398"/>
    <cellStyle name="STYL0 - Style1 2" xfId="24980"/>
    <cellStyle name="STYL0 - Style1 3" xfId="24981"/>
    <cellStyle name="STYL1 - Style2" xfId="399"/>
    <cellStyle name="STYL1 - Style2 2" xfId="24982"/>
    <cellStyle name="STYL1 - Style2 3" xfId="24983"/>
    <cellStyle name="STYL2 - Style3" xfId="400"/>
    <cellStyle name="STYL2 - Style3 2" xfId="24984"/>
    <cellStyle name="STYL2 - Style3 3" xfId="24985"/>
    <cellStyle name="STYL3 - Style4" xfId="401"/>
    <cellStyle name="STYL3 - Style4 2" xfId="24986"/>
    <cellStyle name="STYL3 - Style4 3" xfId="24987"/>
    <cellStyle name="STYL4 - Style5" xfId="402"/>
    <cellStyle name="STYL4 - Style5 2" xfId="24988"/>
    <cellStyle name="STYL4 - Style5 3" xfId="24989"/>
    <cellStyle name="STYL5 - Style6" xfId="403"/>
    <cellStyle name="STYL5 - Style6 2" xfId="24990"/>
    <cellStyle name="STYL5 - Style6 3" xfId="24991"/>
    <cellStyle name="STYL6 - Style7" xfId="404"/>
    <cellStyle name="STYL6 - Style7 2" xfId="24992"/>
    <cellStyle name="STYL6 - Style7 3" xfId="24993"/>
    <cellStyle name="STYL7 - Style8" xfId="405"/>
    <cellStyle name="STYL7 - Style8 2" xfId="24994"/>
    <cellStyle name="STYL7 - Style8 3" xfId="24995"/>
    <cellStyle name="Style 1" xfId="406"/>
    <cellStyle name="Style 1 2" xfId="407"/>
    <cellStyle name="Style 1 2 2" xfId="2308"/>
    <cellStyle name="Style 1 2 2 2" xfId="24996"/>
    <cellStyle name="Style 1 2 3" xfId="24997"/>
    <cellStyle name="Style 1 2 4" xfId="24998"/>
    <cellStyle name="Style 1 3" xfId="2309"/>
    <cellStyle name="Style 1 3 2" xfId="20714"/>
    <cellStyle name="Style 1 4" xfId="2310"/>
    <cellStyle name="Style 1 4 2" xfId="24999"/>
    <cellStyle name="Style 1 5" xfId="20715"/>
    <cellStyle name="Style 1 6" xfId="25000"/>
    <cellStyle name="Style 1 7" xfId="25001"/>
    <cellStyle name="Style 1_Recycle Center Commodities MRF" xfId="20716"/>
    <cellStyle name="STYLE1" xfId="408"/>
    <cellStyle name="STYLE1 2" xfId="1278"/>
    <cellStyle name="STYLE1 2 2" xfId="25002"/>
    <cellStyle name="STYLE1 2 3" xfId="25003"/>
    <cellStyle name="STYLE1 2 4" xfId="25004"/>
    <cellStyle name="STYLE1 3" xfId="20717"/>
    <cellStyle name="STYLE1 3 2" xfId="20718"/>
    <cellStyle name="STYLE1 4" xfId="25005"/>
    <cellStyle name="STYLE1 5" xfId="25006"/>
    <cellStyle name="sub heading" xfId="409"/>
    <cellStyle name="sub heading 2" xfId="25007"/>
    <cellStyle name="sub heading 3" xfId="25008"/>
    <cellStyle name="Table  - Style5" xfId="2311"/>
    <cellStyle name="Table  - Style5 10" xfId="20719"/>
    <cellStyle name="Table  - Style5 11" xfId="20720"/>
    <cellStyle name="Table  - Style5 2" xfId="20721"/>
    <cellStyle name="Table  - Style5 2 2" xfId="20722"/>
    <cellStyle name="Table  - Style5 2 3" xfId="20723"/>
    <cellStyle name="Table  - Style5 2 4" xfId="20724"/>
    <cellStyle name="Table  - Style5 2 5" xfId="20725"/>
    <cellStyle name="Table  - Style5 2 6" xfId="20726"/>
    <cellStyle name="Table  - Style5 2 7" xfId="20727"/>
    <cellStyle name="Table  - Style5 3" xfId="20728"/>
    <cellStyle name="Table  - Style5 3 2" xfId="20729"/>
    <cellStyle name="Table  - Style5 3 3" xfId="20730"/>
    <cellStyle name="Table  - Style5 3 4" xfId="20731"/>
    <cellStyle name="Table  - Style5 3 5" xfId="20732"/>
    <cellStyle name="Table  - Style5 3 6" xfId="20733"/>
    <cellStyle name="Table  - Style5 3 7" xfId="20734"/>
    <cellStyle name="Table  - Style5 4" xfId="20735"/>
    <cellStyle name="Table  - Style5 4 2" xfId="20736"/>
    <cellStyle name="Table  - Style5 4 3" xfId="20737"/>
    <cellStyle name="Table  - Style5 4 4" xfId="20738"/>
    <cellStyle name="Table  - Style5 4 5" xfId="20739"/>
    <cellStyle name="Table  - Style5 4 6" xfId="20740"/>
    <cellStyle name="Table  - Style5 4 7" xfId="20741"/>
    <cellStyle name="Table  - Style5 5" xfId="20742"/>
    <cellStyle name="Table  - Style5 5 2" xfId="20743"/>
    <cellStyle name="Table  - Style5 5 3" xfId="20744"/>
    <cellStyle name="Table  - Style5 5 4" xfId="20745"/>
    <cellStyle name="Table  - Style5 5 5" xfId="20746"/>
    <cellStyle name="Table  - Style5 5 6" xfId="20747"/>
    <cellStyle name="Table  - Style5 5 7" xfId="20748"/>
    <cellStyle name="Table  - Style5 6" xfId="20749"/>
    <cellStyle name="Table  - Style5 7" xfId="20750"/>
    <cellStyle name="Table  - Style5 8" xfId="20751"/>
    <cellStyle name="Table  - Style5 9" xfId="20752"/>
    <cellStyle name="Table  - Style6" xfId="2312"/>
    <cellStyle name="Table  - Style6 10" xfId="20753"/>
    <cellStyle name="Table  - Style6 11" xfId="20754"/>
    <cellStyle name="Table  - Style6 2" xfId="20755"/>
    <cellStyle name="Table  - Style6 2 2" xfId="20756"/>
    <cellStyle name="Table  - Style6 2 3" xfId="20757"/>
    <cellStyle name="Table  - Style6 2 4" xfId="20758"/>
    <cellStyle name="Table  - Style6 2 5" xfId="20759"/>
    <cellStyle name="Table  - Style6 2 6" xfId="20760"/>
    <cellStyle name="Table  - Style6 2 7" xfId="20761"/>
    <cellStyle name="Table  - Style6 3" xfId="20762"/>
    <cellStyle name="Table  - Style6 3 2" xfId="20763"/>
    <cellStyle name="Table  - Style6 3 3" xfId="20764"/>
    <cellStyle name="Table  - Style6 3 4" xfId="20765"/>
    <cellStyle name="Table  - Style6 3 5" xfId="20766"/>
    <cellStyle name="Table  - Style6 3 6" xfId="20767"/>
    <cellStyle name="Table  - Style6 3 7" xfId="20768"/>
    <cellStyle name="Table  - Style6 4" xfId="20769"/>
    <cellStyle name="Table  - Style6 4 2" xfId="20770"/>
    <cellStyle name="Table  - Style6 4 3" xfId="20771"/>
    <cellStyle name="Table  - Style6 4 4" xfId="20772"/>
    <cellStyle name="Table  - Style6 4 5" xfId="20773"/>
    <cellStyle name="Table  - Style6 4 6" xfId="20774"/>
    <cellStyle name="Table  - Style6 4 7" xfId="20775"/>
    <cellStyle name="Table  - Style6 5" xfId="20776"/>
    <cellStyle name="Table  - Style6 5 2" xfId="20777"/>
    <cellStyle name="Table  - Style6 5 3" xfId="20778"/>
    <cellStyle name="Table  - Style6 5 4" xfId="20779"/>
    <cellStyle name="Table  - Style6 5 5" xfId="20780"/>
    <cellStyle name="Table  - Style6 5 6" xfId="20781"/>
    <cellStyle name="Table  - Style6 5 7" xfId="20782"/>
    <cellStyle name="Table  - Style6 6" xfId="20783"/>
    <cellStyle name="Table  - Style6 7" xfId="20784"/>
    <cellStyle name="Table  - Style6 8" xfId="20785"/>
    <cellStyle name="Table  - Style6 9" xfId="20786"/>
    <cellStyle name="Tax_Rate" xfId="1279"/>
    <cellStyle name="Title  - Style1" xfId="2313"/>
    <cellStyle name="Title  - Style1 2" xfId="25009"/>
    <cellStyle name="Title  - Style6" xfId="2314"/>
    <cellStyle name="Title  - Style6 2" xfId="25010"/>
    <cellStyle name="Title 10" xfId="2315"/>
    <cellStyle name="Title 10 2" xfId="25011"/>
    <cellStyle name="Title 11" xfId="2316"/>
    <cellStyle name="Title 11 2" xfId="25012"/>
    <cellStyle name="Title 12" xfId="2317"/>
    <cellStyle name="Title 12 2" xfId="25013"/>
    <cellStyle name="Title 13" xfId="20787"/>
    <cellStyle name="Title 14" xfId="20788"/>
    <cellStyle name="Title 15" xfId="20789"/>
    <cellStyle name="Title 16" xfId="20790"/>
    <cellStyle name="Title 17" xfId="20791"/>
    <cellStyle name="Title 18" xfId="20792"/>
    <cellStyle name="Title 19" xfId="20793"/>
    <cellStyle name="Title 2" xfId="410"/>
    <cellStyle name="Title 2 2" xfId="1280"/>
    <cellStyle name="Title 2 2 2" xfId="1281"/>
    <cellStyle name="Title 2 2 2 2" xfId="20794"/>
    <cellStyle name="Title 2 2 3" xfId="25014"/>
    <cellStyle name="Title 2 2 4" xfId="25015"/>
    <cellStyle name="Title 2 3" xfId="1282"/>
    <cellStyle name="Title 2 3 2" xfId="20795"/>
    <cellStyle name="Title 2 3 3" xfId="25016"/>
    <cellStyle name="Title 2 4" xfId="25017"/>
    <cellStyle name="Title 2 5" xfId="25018"/>
    <cellStyle name="Title 2 6" xfId="25019"/>
    <cellStyle name="Title 20" xfId="20796"/>
    <cellStyle name="Title 21" xfId="20797"/>
    <cellStyle name="Title 22" xfId="20798"/>
    <cellStyle name="Title 23" xfId="20799"/>
    <cellStyle name="Title 24" xfId="20800"/>
    <cellStyle name="Title 25" xfId="20801"/>
    <cellStyle name="Title 3" xfId="411"/>
    <cellStyle name="Title 3 2" xfId="1283"/>
    <cellStyle name="Title 3 2 2" xfId="20802"/>
    <cellStyle name="Title 3 2 3" xfId="25020"/>
    <cellStyle name="Title 3 3" xfId="20803"/>
    <cellStyle name="Title 3 4" xfId="25021"/>
    <cellStyle name="Title 3 5" xfId="25022"/>
    <cellStyle name="Title 3 6" xfId="25023"/>
    <cellStyle name="Title 4" xfId="1284"/>
    <cellStyle name="Title 4 2" xfId="20804"/>
    <cellStyle name="Title 5" xfId="2318"/>
    <cellStyle name="Title 5 2" xfId="25024"/>
    <cellStyle name="Title 6" xfId="2319"/>
    <cellStyle name="Title 6 2" xfId="25025"/>
    <cellStyle name="Title 7" xfId="2320"/>
    <cellStyle name="Title 7 2" xfId="25026"/>
    <cellStyle name="Title 8" xfId="2321"/>
    <cellStyle name="Title 8 2" xfId="25027"/>
    <cellStyle name="Title 9" xfId="2322"/>
    <cellStyle name="Title 9 2" xfId="25028"/>
    <cellStyle name="Total 2" xfId="412"/>
    <cellStyle name="Total 2 2" xfId="413"/>
    <cellStyle name="Total 2 2 2" xfId="2323"/>
    <cellStyle name="Total 2 2 2 10" xfId="20805"/>
    <cellStyle name="Total 2 2 2 11" xfId="20806"/>
    <cellStyle name="Total 2 2 2 2" xfId="20807"/>
    <cellStyle name="Total 2 2 2 2 2" xfId="20808"/>
    <cellStyle name="Total 2 2 2 2 3" xfId="20809"/>
    <cellStyle name="Total 2 2 2 2 4" xfId="20810"/>
    <cellStyle name="Total 2 2 2 2 5" xfId="20811"/>
    <cellStyle name="Total 2 2 2 2 6" xfId="20812"/>
    <cellStyle name="Total 2 2 2 2 7" xfId="20813"/>
    <cellStyle name="Total 2 2 2 3" xfId="20814"/>
    <cellStyle name="Total 2 2 2 3 2" xfId="20815"/>
    <cellStyle name="Total 2 2 2 3 3" xfId="20816"/>
    <cellStyle name="Total 2 2 2 3 4" xfId="20817"/>
    <cellStyle name="Total 2 2 2 3 5" xfId="20818"/>
    <cellStyle name="Total 2 2 2 3 6" xfId="20819"/>
    <cellStyle name="Total 2 2 2 3 7" xfId="20820"/>
    <cellStyle name="Total 2 2 2 4" xfId="20821"/>
    <cellStyle name="Total 2 2 2 4 2" xfId="20822"/>
    <cellStyle name="Total 2 2 2 4 3" xfId="20823"/>
    <cellStyle name="Total 2 2 2 4 4" xfId="20824"/>
    <cellStyle name="Total 2 2 2 4 5" xfId="20825"/>
    <cellStyle name="Total 2 2 2 4 6" xfId="20826"/>
    <cellStyle name="Total 2 2 2 4 7" xfId="20827"/>
    <cellStyle name="Total 2 2 2 5" xfId="20828"/>
    <cellStyle name="Total 2 2 2 5 2" xfId="20829"/>
    <cellStyle name="Total 2 2 2 5 3" xfId="20830"/>
    <cellStyle name="Total 2 2 2 5 4" xfId="20831"/>
    <cellStyle name="Total 2 2 2 5 5" xfId="20832"/>
    <cellStyle name="Total 2 2 2 5 6" xfId="20833"/>
    <cellStyle name="Total 2 2 2 5 7" xfId="20834"/>
    <cellStyle name="Total 2 2 2 6" xfId="20835"/>
    <cellStyle name="Total 2 2 2 7" xfId="20836"/>
    <cellStyle name="Total 2 2 2 8" xfId="20837"/>
    <cellStyle name="Total 2 2 2 9" xfId="20838"/>
    <cellStyle name="Total 2 2 3" xfId="2340"/>
    <cellStyle name="Total 2 2 3 10" xfId="20839"/>
    <cellStyle name="Total 2 2 3 11" xfId="20840"/>
    <cellStyle name="Total 2 2 3 2" xfId="20841"/>
    <cellStyle name="Total 2 2 3 2 2" xfId="20842"/>
    <cellStyle name="Total 2 2 3 2 3" xfId="20843"/>
    <cellStyle name="Total 2 2 3 2 4" xfId="20844"/>
    <cellStyle name="Total 2 2 3 2 5" xfId="20845"/>
    <cellStyle name="Total 2 2 3 2 6" xfId="20846"/>
    <cellStyle name="Total 2 2 3 2 7" xfId="20847"/>
    <cellStyle name="Total 2 2 3 3" xfId="20848"/>
    <cellStyle name="Total 2 2 3 3 2" xfId="20849"/>
    <cellStyle name="Total 2 2 3 3 3" xfId="20850"/>
    <cellStyle name="Total 2 2 3 3 4" xfId="20851"/>
    <cellStyle name="Total 2 2 3 3 5" xfId="20852"/>
    <cellStyle name="Total 2 2 3 3 6" xfId="20853"/>
    <cellStyle name="Total 2 2 3 3 7" xfId="20854"/>
    <cellStyle name="Total 2 2 3 4" xfId="20855"/>
    <cellStyle name="Total 2 2 3 4 2" xfId="20856"/>
    <cellStyle name="Total 2 2 3 4 3" xfId="20857"/>
    <cellStyle name="Total 2 2 3 4 4" xfId="20858"/>
    <cellStyle name="Total 2 2 3 4 5" xfId="20859"/>
    <cellStyle name="Total 2 2 3 4 6" xfId="20860"/>
    <cellStyle name="Total 2 2 3 4 7" xfId="20861"/>
    <cellStyle name="Total 2 2 3 5" xfId="20862"/>
    <cellStyle name="Total 2 2 3 5 2" xfId="20863"/>
    <cellStyle name="Total 2 2 3 5 3" xfId="20864"/>
    <cellStyle name="Total 2 2 3 5 4" xfId="20865"/>
    <cellStyle name="Total 2 2 3 5 5" xfId="20866"/>
    <cellStyle name="Total 2 2 3 5 6" xfId="20867"/>
    <cellStyle name="Total 2 2 3 5 7" xfId="20868"/>
    <cellStyle name="Total 2 2 3 6" xfId="20869"/>
    <cellStyle name="Total 2 2 3 7" xfId="20870"/>
    <cellStyle name="Total 2 2 3 8" xfId="20871"/>
    <cellStyle name="Total 2 2 3 9" xfId="20872"/>
    <cellStyle name="Total 2 2 4" xfId="20873"/>
    <cellStyle name="Total 2 2 4 2" xfId="20874"/>
    <cellStyle name="Total 2 2 4 3" xfId="20875"/>
    <cellStyle name="Total 2 2 4 4" xfId="20876"/>
    <cellStyle name="Total 2 2 4 5" xfId="20877"/>
    <cellStyle name="Total 2 2 4 6" xfId="20878"/>
    <cellStyle name="Total 2 2 4 7" xfId="20879"/>
    <cellStyle name="Total 2 2 5" xfId="20880"/>
    <cellStyle name="Total 2 2 5 2" xfId="20881"/>
    <cellStyle name="Total 2 2 5 3" xfId="20882"/>
    <cellStyle name="Total 2 2 5 4" xfId="20883"/>
    <cellStyle name="Total 2 2 5 5" xfId="20884"/>
    <cellStyle name="Total 2 2 5 6" xfId="20885"/>
    <cellStyle name="Total 2 2 5 7" xfId="20886"/>
    <cellStyle name="Total 2 3" xfId="1285"/>
    <cellStyle name="Total 2 3 10" xfId="20887"/>
    <cellStyle name="Total 2 3 11" xfId="20888"/>
    <cellStyle name="Total 2 3 12" xfId="20889"/>
    <cellStyle name="Total 2 3 2" xfId="20890"/>
    <cellStyle name="Total 2 3 2 10" xfId="20891"/>
    <cellStyle name="Total 2 3 2 11" xfId="20892"/>
    <cellStyle name="Total 2 3 2 2" xfId="20893"/>
    <cellStyle name="Total 2 3 2 2 2" xfId="20894"/>
    <cellStyle name="Total 2 3 2 2 3" xfId="20895"/>
    <cellStyle name="Total 2 3 2 2 4" xfId="20896"/>
    <cellStyle name="Total 2 3 2 2 5" xfId="20897"/>
    <cellStyle name="Total 2 3 2 2 6" xfId="20898"/>
    <cellStyle name="Total 2 3 2 2 7" xfId="20899"/>
    <cellStyle name="Total 2 3 2 3" xfId="20900"/>
    <cellStyle name="Total 2 3 2 3 2" xfId="20901"/>
    <cellStyle name="Total 2 3 2 3 3" xfId="20902"/>
    <cellStyle name="Total 2 3 2 3 4" xfId="20903"/>
    <cellStyle name="Total 2 3 2 3 5" xfId="20904"/>
    <cellStyle name="Total 2 3 2 3 6" xfId="20905"/>
    <cellStyle name="Total 2 3 2 3 7" xfId="20906"/>
    <cellStyle name="Total 2 3 2 4" xfId="20907"/>
    <cellStyle name="Total 2 3 2 4 2" xfId="20908"/>
    <cellStyle name="Total 2 3 2 4 3" xfId="20909"/>
    <cellStyle name="Total 2 3 2 4 4" xfId="20910"/>
    <cellStyle name="Total 2 3 2 4 5" xfId="20911"/>
    <cellStyle name="Total 2 3 2 4 6" xfId="20912"/>
    <cellStyle name="Total 2 3 2 4 7" xfId="20913"/>
    <cellStyle name="Total 2 3 2 5" xfId="20914"/>
    <cellStyle name="Total 2 3 2 5 2" xfId="20915"/>
    <cellStyle name="Total 2 3 2 5 3" xfId="20916"/>
    <cellStyle name="Total 2 3 2 5 4" xfId="20917"/>
    <cellStyle name="Total 2 3 2 5 5" xfId="20918"/>
    <cellStyle name="Total 2 3 2 5 6" xfId="20919"/>
    <cellStyle name="Total 2 3 2 5 7" xfId="20920"/>
    <cellStyle name="Total 2 3 2 6" xfId="20921"/>
    <cellStyle name="Total 2 3 2 7" xfId="20922"/>
    <cellStyle name="Total 2 3 2 8" xfId="20923"/>
    <cellStyle name="Total 2 3 2 9" xfId="20924"/>
    <cellStyle name="Total 2 3 3" xfId="20925"/>
    <cellStyle name="Total 2 3 3 2" xfId="20926"/>
    <cellStyle name="Total 2 3 3 3" xfId="20927"/>
    <cellStyle name="Total 2 3 3 4" xfId="20928"/>
    <cellStyle name="Total 2 3 3 5" xfId="20929"/>
    <cellStyle name="Total 2 3 3 6" xfId="20930"/>
    <cellStyle name="Total 2 3 3 7" xfId="20931"/>
    <cellStyle name="Total 2 3 4" xfId="20932"/>
    <cellStyle name="Total 2 3 4 2" xfId="20933"/>
    <cellStyle name="Total 2 3 4 3" xfId="20934"/>
    <cellStyle name="Total 2 3 4 4" xfId="20935"/>
    <cellStyle name="Total 2 3 4 5" xfId="20936"/>
    <cellStyle name="Total 2 3 4 6" xfId="20937"/>
    <cellStyle name="Total 2 3 4 7" xfId="20938"/>
    <cellStyle name="Total 2 3 5" xfId="20939"/>
    <cellStyle name="Total 2 3 5 2" xfId="20940"/>
    <cellStyle name="Total 2 3 5 3" xfId="20941"/>
    <cellStyle name="Total 2 3 5 4" xfId="20942"/>
    <cellStyle name="Total 2 3 5 5" xfId="20943"/>
    <cellStyle name="Total 2 3 5 6" xfId="20944"/>
    <cellStyle name="Total 2 3 5 7" xfId="20945"/>
    <cellStyle name="Total 2 3 6" xfId="20946"/>
    <cellStyle name="Total 2 3 6 2" xfId="20947"/>
    <cellStyle name="Total 2 3 6 3" xfId="20948"/>
    <cellStyle name="Total 2 3 6 4" xfId="20949"/>
    <cellStyle name="Total 2 3 6 5" xfId="20950"/>
    <cellStyle name="Total 2 3 6 6" xfId="20951"/>
    <cellStyle name="Total 2 3 6 7" xfId="20952"/>
    <cellStyle name="Total 2 3 7" xfId="20953"/>
    <cellStyle name="Total 2 3 8" xfId="20954"/>
    <cellStyle name="Total 2 3 9" xfId="20955"/>
    <cellStyle name="Total 2 4" xfId="1286"/>
    <cellStyle name="Total 2 4 10" xfId="20956"/>
    <cellStyle name="Total 2 4 11" xfId="20957"/>
    <cellStyle name="Total 2 4 12" xfId="20958"/>
    <cellStyle name="Total 2 4 2" xfId="20959"/>
    <cellStyle name="Total 2 4 2 10" xfId="20960"/>
    <cellStyle name="Total 2 4 2 11" xfId="20961"/>
    <cellStyle name="Total 2 4 2 2" xfId="20962"/>
    <cellStyle name="Total 2 4 2 2 2" xfId="20963"/>
    <cellStyle name="Total 2 4 2 2 3" xfId="20964"/>
    <cellStyle name="Total 2 4 2 2 4" xfId="20965"/>
    <cellStyle name="Total 2 4 2 2 5" xfId="20966"/>
    <cellStyle name="Total 2 4 2 2 6" xfId="20967"/>
    <cellStyle name="Total 2 4 2 2 7" xfId="20968"/>
    <cellStyle name="Total 2 4 2 3" xfId="20969"/>
    <cellStyle name="Total 2 4 2 3 2" xfId="20970"/>
    <cellStyle name="Total 2 4 2 3 3" xfId="20971"/>
    <cellStyle name="Total 2 4 2 3 4" xfId="20972"/>
    <cellStyle name="Total 2 4 2 3 5" xfId="20973"/>
    <cellStyle name="Total 2 4 2 3 6" xfId="20974"/>
    <cellStyle name="Total 2 4 2 3 7" xfId="20975"/>
    <cellStyle name="Total 2 4 2 4" xfId="20976"/>
    <cellStyle name="Total 2 4 2 4 2" xfId="20977"/>
    <cellStyle name="Total 2 4 2 4 3" xfId="20978"/>
    <cellStyle name="Total 2 4 2 4 4" xfId="20979"/>
    <cellStyle name="Total 2 4 2 4 5" xfId="20980"/>
    <cellStyle name="Total 2 4 2 4 6" xfId="20981"/>
    <cellStyle name="Total 2 4 2 4 7" xfId="20982"/>
    <cellStyle name="Total 2 4 2 5" xfId="20983"/>
    <cellStyle name="Total 2 4 2 5 2" xfId="20984"/>
    <cellStyle name="Total 2 4 2 5 3" xfId="20985"/>
    <cellStyle name="Total 2 4 2 5 4" xfId="20986"/>
    <cellStyle name="Total 2 4 2 5 5" xfId="20987"/>
    <cellStyle name="Total 2 4 2 5 6" xfId="20988"/>
    <cellStyle name="Total 2 4 2 5 7" xfId="20989"/>
    <cellStyle name="Total 2 4 2 6" xfId="20990"/>
    <cellStyle name="Total 2 4 2 7" xfId="20991"/>
    <cellStyle name="Total 2 4 2 8" xfId="20992"/>
    <cellStyle name="Total 2 4 2 9" xfId="20993"/>
    <cellStyle name="Total 2 4 3" xfId="20994"/>
    <cellStyle name="Total 2 4 3 2" xfId="20995"/>
    <cellStyle name="Total 2 4 3 3" xfId="20996"/>
    <cellStyle name="Total 2 4 3 4" xfId="20997"/>
    <cellStyle name="Total 2 4 3 5" xfId="20998"/>
    <cellStyle name="Total 2 4 3 6" xfId="20999"/>
    <cellStyle name="Total 2 4 3 7" xfId="21000"/>
    <cellStyle name="Total 2 4 4" xfId="21001"/>
    <cellStyle name="Total 2 4 4 2" xfId="21002"/>
    <cellStyle name="Total 2 4 4 3" xfId="21003"/>
    <cellStyle name="Total 2 4 4 4" xfId="21004"/>
    <cellStyle name="Total 2 4 4 5" xfId="21005"/>
    <cellStyle name="Total 2 4 4 6" xfId="21006"/>
    <cellStyle name="Total 2 4 4 7" xfId="21007"/>
    <cellStyle name="Total 2 4 5" xfId="21008"/>
    <cellStyle name="Total 2 4 5 2" xfId="21009"/>
    <cellStyle name="Total 2 4 5 3" xfId="21010"/>
    <cellStyle name="Total 2 4 5 4" xfId="21011"/>
    <cellStyle name="Total 2 4 5 5" xfId="21012"/>
    <cellStyle name="Total 2 4 5 6" xfId="21013"/>
    <cellStyle name="Total 2 4 5 7" xfId="21014"/>
    <cellStyle name="Total 2 4 6" xfId="21015"/>
    <cellStyle name="Total 2 4 6 2" xfId="21016"/>
    <cellStyle name="Total 2 4 6 3" xfId="21017"/>
    <cellStyle name="Total 2 4 6 4" xfId="21018"/>
    <cellStyle name="Total 2 4 6 5" xfId="21019"/>
    <cellStyle name="Total 2 4 6 6" xfId="21020"/>
    <cellStyle name="Total 2 4 6 7" xfId="21021"/>
    <cellStyle name="Total 2 4 7" xfId="21022"/>
    <cellStyle name="Total 2 4 8" xfId="21023"/>
    <cellStyle name="Total 2 4 9" xfId="21024"/>
    <cellStyle name="Total 2 5" xfId="2339"/>
    <cellStyle name="Total 2 5 10" xfId="21025"/>
    <cellStyle name="Total 2 5 11" xfId="21026"/>
    <cellStyle name="Total 2 5 2" xfId="21027"/>
    <cellStyle name="Total 2 5 2 2" xfId="21028"/>
    <cellStyle name="Total 2 5 2 3" xfId="21029"/>
    <cellStyle name="Total 2 5 2 4" xfId="21030"/>
    <cellStyle name="Total 2 5 2 5" xfId="21031"/>
    <cellStyle name="Total 2 5 2 6" xfId="21032"/>
    <cellStyle name="Total 2 5 2 7" xfId="21033"/>
    <cellStyle name="Total 2 5 3" xfId="21034"/>
    <cellStyle name="Total 2 5 3 2" xfId="21035"/>
    <cellStyle name="Total 2 5 3 3" xfId="21036"/>
    <cellStyle name="Total 2 5 3 4" xfId="21037"/>
    <cellStyle name="Total 2 5 3 5" xfId="21038"/>
    <cellStyle name="Total 2 5 3 6" xfId="21039"/>
    <cellStyle name="Total 2 5 3 7" xfId="21040"/>
    <cellStyle name="Total 2 5 4" xfId="21041"/>
    <cellStyle name="Total 2 5 4 2" xfId="21042"/>
    <cellStyle name="Total 2 5 4 3" xfId="21043"/>
    <cellStyle name="Total 2 5 4 4" xfId="21044"/>
    <cellStyle name="Total 2 5 4 5" xfId="21045"/>
    <cellStyle name="Total 2 5 4 6" xfId="21046"/>
    <cellStyle name="Total 2 5 4 7" xfId="21047"/>
    <cellStyle name="Total 2 5 5" xfId="21048"/>
    <cellStyle name="Total 2 5 5 2" xfId="21049"/>
    <cellStyle name="Total 2 5 5 3" xfId="21050"/>
    <cellStyle name="Total 2 5 5 4" xfId="21051"/>
    <cellStyle name="Total 2 5 5 5" xfId="21052"/>
    <cellStyle name="Total 2 5 5 6" xfId="21053"/>
    <cellStyle name="Total 2 5 5 7" xfId="21054"/>
    <cellStyle name="Total 2 5 6" xfId="21055"/>
    <cellStyle name="Total 2 5 7" xfId="21056"/>
    <cellStyle name="Total 2 5 8" xfId="21057"/>
    <cellStyle name="Total 2 5 9" xfId="21058"/>
    <cellStyle name="Total 2 6" xfId="21059"/>
    <cellStyle name="Total 2 6 2" xfId="21060"/>
    <cellStyle name="Total 2 6 3" xfId="21061"/>
    <cellStyle name="Total 2 6 4" xfId="21062"/>
    <cellStyle name="Total 2 6 5" xfId="21063"/>
    <cellStyle name="Total 2 6 6" xfId="21064"/>
    <cellStyle name="Total 2 6 7" xfId="21065"/>
    <cellStyle name="Total 2 7" xfId="21066"/>
    <cellStyle name="Total 2 7 2" xfId="21067"/>
    <cellStyle name="Total 2 8" xfId="21068"/>
    <cellStyle name="Total 2 8 2" xfId="21069"/>
    <cellStyle name="Total 2 8 3" xfId="21070"/>
    <cellStyle name="Total 2 8 4" xfId="21071"/>
    <cellStyle name="Total 2 8 5" xfId="21072"/>
    <cellStyle name="Total 2 8 6" xfId="21073"/>
    <cellStyle name="Total 2 8 7" xfId="21074"/>
    <cellStyle name="Total 2 9" xfId="25029"/>
    <cellStyle name="Total 3" xfId="414"/>
    <cellStyle name="Total 3 2" xfId="415"/>
    <cellStyle name="Total 3 2 2" xfId="2333"/>
    <cellStyle name="Total 3 2 2 10" xfId="21075"/>
    <cellStyle name="Total 3 2 2 11" xfId="21076"/>
    <cellStyle name="Total 3 2 2 2" xfId="21077"/>
    <cellStyle name="Total 3 2 2 2 2" xfId="21078"/>
    <cellStyle name="Total 3 2 2 2 3" xfId="21079"/>
    <cellStyle name="Total 3 2 2 2 4" xfId="21080"/>
    <cellStyle name="Total 3 2 2 2 5" xfId="21081"/>
    <cellStyle name="Total 3 2 2 2 6" xfId="21082"/>
    <cellStyle name="Total 3 2 2 2 7" xfId="21083"/>
    <cellStyle name="Total 3 2 2 3" xfId="21084"/>
    <cellStyle name="Total 3 2 2 3 2" xfId="21085"/>
    <cellStyle name="Total 3 2 2 3 3" xfId="21086"/>
    <cellStyle name="Total 3 2 2 3 4" xfId="21087"/>
    <cellStyle name="Total 3 2 2 3 5" xfId="21088"/>
    <cellStyle name="Total 3 2 2 3 6" xfId="21089"/>
    <cellStyle name="Total 3 2 2 3 7" xfId="21090"/>
    <cellStyle name="Total 3 2 2 4" xfId="21091"/>
    <cellStyle name="Total 3 2 2 4 2" xfId="21092"/>
    <cellStyle name="Total 3 2 2 4 3" xfId="21093"/>
    <cellStyle name="Total 3 2 2 4 4" xfId="21094"/>
    <cellStyle name="Total 3 2 2 4 5" xfId="21095"/>
    <cellStyle name="Total 3 2 2 4 6" xfId="21096"/>
    <cellStyle name="Total 3 2 2 4 7" xfId="21097"/>
    <cellStyle name="Total 3 2 2 5" xfId="21098"/>
    <cellStyle name="Total 3 2 2 5 2" xfId="21099"/>
    <cellStyle name="Total 3 2 2 5 3" xfId="21100"/>
    <cellStyle name="Total 3 2 2 5 4" xfId="21101"/>
    <cellStyle name="Total 3 2 2 5 5" xfId="21102"/>
    <cellStyle name="Total 3 2 2 5 6" xfId="21103"/>
    <cellStyle name="Total 3 2 2 5 7" xfId="21104"/>
    <cellStyle name="Total 3 2 2 6" xfId="21105"/>
    <cellStyle name="Total 3 2 2 7" xfId="21106"/>
    <cellStyle name="Total 3 2 2 8" xfId="21107"/>
    <cellStyle name="Total 3 2 2 9" xfId="21108"/>
    <cellStyle name="Total 3 2 3" xfId="2342"/>
    <cellStyle name="Total 3 2 3 10" xfId="21109"/>
    <cellStyle name="Total 3 2 3 11" xfId="21110"/>
    <cellStyle name="Total 3 2 3 2" xfId="21111"/>
    <cellStyle name="Total 3 2 3 2 2" xfId="21112"/>
    <cellStyle name="Total 3 2 3 2 3" xfId="21113"/>
    <cellStyle name="Total 3 2 3 2 4" xfId="21114"/>
    <cellStyle name="Total 3 2 3 2 5" xfId="21115"/>
    <cellStyle name="Total 3 2 3 2 6" xfId="21116"/>
    <cellStyle name="Total 3 2 3 2 7" xfId="21117"/>
    <cellStyle name="Total 3 2 3 3" xfId="21118"/>
    <cellStyle name="Total 3 2 3 3 2" xfId="21119"/>
    <cellStyle name="Total 3 2 3 3 3" xfId="21120"/>
    <cellStyle name="Total 3 2 3 3 4" xfId="21121"/>
    <cellStyle name="Total 3 2 3 3 5" xfId="21122"/>
    <cellStyle name="Total 3 2 3 3 6" xfId="21123"/>
    <cellStyle name="Total 3 2 3 3 7" xfId="21124"/>
    <cellStyle name="Total 3 2 3 4" xfId="21125"/>
    <cellStyle name="Total 3 2 3 4 2" xfId="21126"/>
    <cellStyle name="Total 3 2 3 4 3" xfId="21127"/>
    <cellStyle name="Total 3 2 3 4 4" xfId="21128"/>
    <cellStyle name="Total 3 2 3 4 5" xfId="21129"/>
    <cellStyle name="Total 3 2 3 4 6" xfId="21130"/>
    <cellStyle name="Total 3 2 3 4 7" xfId="21131"/>
    <cellStyle name="Total 3 2 3 5" xfId="21132"/>
    <cellStyle name="Total 3 2 3 5 2" xfId="21133"/>
    <cellStyle name="Total 3 2 3 5 3" xfId="21134"/>
    <cellStyle name="Total 3 2 3 5 4" xfId="21135"/>
    <cellStyle name="Total 3 2 3 5 5" xfId="21136"/>
    <cellStyle name="Total 3 2 3 5 6" xfId="21137"/>
    <cellStyle name="Total 3 2 3 5 7" xfId="21138"/>
    <cellStyle name="Total 3 2 3 6" xfId="21139"/>
    <cellStyle name="Total 3 2 3 7" xfId="21140"/>
    <cellStyle name="Total 3 2 3 8" xfId="21141"/>
    <cellStyle name="Total 3 2 3 9" xfId="21142"/>
    <cellStyle name="Total 3 2 4" xfId="21143"/>
    <cellStyle name="Total 3 2 4 2" xfId="21144"/>
    <cellStyle name="Total 3 2 4 3" xfId="21145"/>
    <cellStyle name="Total 3 2 4 4" xfId="21146"/>
    <cellStyle name="Total 3 2 4 5" xfId="21147"/>
    <cellStyle name="Total 3 2 4 6" xfId="21148"/>
    <cellStyle name="Total 3 2 4 7" xfId="21149"/>
    <cellStyle name="Total 3 2 5" xfId="21150"/>
    <cellStyle name="Total 3 2 5 2" xfId="21151"/>
    <cellStyle name="Total 3 2 5 3" xfId="21152"/>
    <cellStyle name="Total 3 2 5 4" xfId="21153"/>
    <cellStyle name="Total 3 2 5 5" xfId="21154"/>
    <cellStyle name="Total 3 2 5 6" xfId="21155"/>
    <cellStyle name="Total 3 2 5 7" xfId="21156"/>
    <cellStyle name="Total 3 3" xfId="1287"/>
    <cellStyle name="Total 3 3 10" xfId="21157"/>
    <cellStyle name="Total 3 3 11" xfId="21158"/>
    <cellStyle name="Total 3 3 12" xfId="21159"/>
    <cellStyle name="Total 3 3 2" xfId="21160"/>
    <cellStyle name="Total 3 3 2 10" xfId="21161"/>
    <cellStyle name="Total 3 3 2 11" xfId="21162"/>
    <cellStyle name="Total 3 3 2 2" xfId="21163"/>
    <cellStyle name="Total 3 3 2 2 2" xfId="21164"/>
    <cellStyle name="Total 3 3 2 2 3" xfId="21165"/>
    <cellStyle name="Total 3 3 2 2 4" xfId="21166"/>
    <cellStyle name="Total 3 3 2 2 5" xfId="21167"/>
    <cellStyle name="Total 3 3 2 2 6" xfId="21168"/>
    <cellStyle name="Total 3 3 2 2 7" xfId="21169"/>
    <cellStyle name="Total 3 3 2 3" xfId="21170"/>
    <cellStyle name="Total 3 3 2 3 2" xfId="21171"/>
    <cellStyle name="Total 3 3 2 3 3" xfId="21172"/>
    <cellStyle name="Total 3 3 2 3 4" xfId="21173"/>
    <cellStyle name="Total 3 3 2 3 5" xfId="21174"/>
    <cellStyle name="Total 3 3 2 3 6" xfId="21175"/>
    <cellStyle name="Total 3 3 2 3 7" xfId="21176"/>
    <cellStyle name="Total 3 3 2 4" xfId="21177"/>
    <cellStyle name="Total 3 3 2 4 2" xfId="21178"/>
    <cellStyle name="Total 3 3 2 4 3" xfId="21179"/>
    <cellStyle name="Total 3 3 2 4 4" xfId="21180"/>
    <cellStyle name="Total 3 3 2 4 5" xfId="21181"/>
    <cellStyle name="Total 3 3 2 4 6" xfId="21182"/>
    <cellStyle name="Total 3 3 2 4 7" xfId="21183"/>
    <cellStyle name="Total 3 3 2 5" xfId="21184"/>
    <cellStyle name="Total 3 3 2 5 2" xfId="21185"/>
    <cellStyle name="Total 3 3 2 5 3" xfId="21186"/>
    <cellStyle name="Total 3 3 2 5 4" xfId="21187"/>
    <cellStyle name="Total 3 3 2 5 5" xfId="21188"/>
    <cellStyle name="Total 3 3 2 5 6" xfId="21189"/>
    <cellStyle name="Total 3 3 2 5 7" xfId="21190"/>
    <cellStyle name="Total 3 3 2 6" xfId="21191"/>
    <cellStyle name="Total 3 3 2 7" xfId="21192"/>
    <cellStyle name="Total 3 3 2 8" xfId="21193"/>
    <cellStyle name="Total 3 3 2 9" xfId="21194"/>
    <cellStyle name="Total 3 3 3" xfId="21195"/>
    <cellStyle name="Total 3 3 3 2" xfId="21196"/>
    <cellStyle name="Total 3 3 3 3" xfId="21197"/>
    <cellStyle name="Total 3 3 3 4" xfId="21198"/>
    <cellStyle name="Total 3 3 3 5" xfId="21199"/>
    <cellStyle name="Total 3 3 3 6" xfId="21200"/>
    <cellStyle name="Total 3 3 3 7" xfId="21201"/>
    <cellStyle name="Total 3 3 4" xfId="21202"/>
    <cellStyle name="Total 3 3 4 2" xfId="21203"/>
    <cellStyle name="Total 3 3 4 3" xfId="21204"/>
    <cellStyle name="Total 3 3 4 4" xfId="21205"/>
    <cellStyle name="Total 3 3 4 5" xfId="21206"/>
    <cellStyle name="Total 3 3 4 6" xfId="21207"/>
    <cellStyle name="Total 3 3 4 7" xfId="21208"/>
    <cellStyle name="Total 3 3 5" xfId="21209"/>
    <cellStyle name="Total 3 3 5 2" xfId="21210"/>
    <cellStyle name="Total 3 3 5 3" xfId="21211"/>
    <cellStyle name="Total 3 3 5 4" xfId="21212"/>
    <cellStyle name="Total 3 3 5 5" xfId="21213"/>
    <cellStyle name="Total 3 3 5 6" xfId="21214"/>
    <cellStyle name="Total 3 3 5 7" xfId="21215"/>
    <cellStyle name="Total 3 3 6" xfId="21216"/>
    <cellStyle name="Total 3 3 6 2" xfId="21217"/>
    <cellStyle name="Total 3 3 6 3" xfId="21218"/>
    <cellStyle name="Total 3 3 6 4" xfId="21219"/>
    <cellStyle name="Total 3 3 6 5" xfId="21220"/>
    <cellStyle name="Total 3 3 6 6" xfId="21221"/>
    <cellStyle name="Total 3 3 6 7" xfId="21222"/>
    <cellStyle name="Total 3 3 7" xfId="21223"/>
    <cellStyle name="Total 3 3 8" xfId="21224"/>
    <cellStyle name="Total 3 3 9" xfId="21225"/>
    <cellStyle name="Total 3 4" xfId="2332"/>
    <cellStyle name="Total 3 4 10" xfId="21226"/>
    <cellStyle name="Total 3 4 11" xfId="21227"/>
    <cellStyle name="Total 3 4 2" xfId="21228"/>
    <cellStyle name="Total 3 4 2 2" xfId="21229"/>
    <cellStyle name="Total 3 4 2 3" xfId="21230"/>
    <cellStyle name="Total 3 4 2 4" xfId="21231"/>
    <cellStyle name="Total 3 4 2 5" xfId="21232"/>
    <cellStyle name="Total 3 4 2 6" xfId="21233"/>
    <cellStyle name="Total 3 4 2 7" xfId="21234"/>
    <cellStyle name="Total 3 4 3" xfId="21235"/>
    <cellStyle name="Total 3 4 3 2" xfId="21236"/>
    <cellStyle name="Total 3 4 3 3" xfId="21237"/>
    <cellStyle name="Total 3 4 3 4" xfId="21238"/>
    <cellStyle name="Total 3 4 3 5" xfId="21239"/>
    <cellStyle name="Total 3 4 3 6" xfId="21240"/>
    <cellStyle name="Total 3 4 3 7" xfId="21241"/>
    <cellStyle name="Total 3 4 4" xfId="21242"/>
    <cellStyle name="Total 3 4 4 2" xfId="21243"/>
    <cellStyle name="Total 3 4 4 3" xfId="21244"/>
    <cellStyle name="Total 3 4 4 4" xfId="21245"/>
    <cellStyle name="Total 3 4 4 5" xfId="21246"/>
    <cellStyle name="Total 3 4 4 6" xfId="21247"/>
    <cellStyle name="Total 3 4 4 7" xfId="21248"/>
    <cellStyle name="Total 3 4 5" xfId="21249"/>
    <cellStyle name="Total 3 4 5 2" xfId="21250"/>
    <cellStyle name="Total 3 4 5 3" xfId="21251"/>
    <cellStyle name="Total 3 4 5 4" xfId="21252"/>
    <cellStyle name="Total 3 4 5 5" xfId="21253"/>
    <cellStyle name="Total 3 4 5 6" xfId="21254"/>
    <cellStyle name="Total 3 4 5 7" xfId="21255"/>
    <cellStyle name="Total 3 4 6" xfId="21256"/>
    <cellStyle name="Total 3 4 7" xfId="21257"/>
    <cellStyle name="Total 3 4 8" xfId="21258"/>
    <cellStyle name="Total 3 4 9" xfId="21259"/>
    <cellStyle name="Total 3 5" xfId="2341"/>
    <cellStyle name="Total 3 5 10" xfId="21260"/>
    <cellStyle name="Total 3 5 11" xfId="21261"/>
    <cellStyle name="Total 3 5 2" xfId="21262"/>
    <cellStyle name="Total 3 5 2 2" xfId="21263"/>
    <cellStyle name="Total 3 5 2 3" xfId="21264"/>
    <cellStyle name="Total 3 5 2 4" xfId="21265"/>
    <cellStyle name="Total 3 5 2 5" xfId="21266"/>
    <cellStyle name="Total 3 5 2 6" xfId="21267"/>
    <cellStyle name="Total 3 5 2 7" xfId="21268"/>
    <cellStyle name="Total 3 5 3" xfId="21269"/>
    <cellStyle name="Total 3 5 3 2" xfId="21270"/>
    <cellStyle name="Total 3 5 3 3" xfId="21271"/>
    <cellStyle name="Total 3 5 3 4" xfId="21272"/>
    <cellStyle name="Total 3 5 3 5" xfId="21273"/>
    <cellStyle name="Total 3 5 3 6" xfId="21274"/>
    <cellStyle name="Total 3 5 3 7" xfId="21275"/>
    <cellStyle name="Total 3 5 4" xfId="21276"/>
    <cellStyle name="Total 3 5 4 2" xfId="21277"/>
    <cellStyle name="Total 3 5 4 3" xfId="21278"/>
    <cellStyle name="Total 3 5 4 4" xfId="21279"/>
    <cellStyle name="Total 3 5 4 5" xfId="21280"/>
    <cellStyle name="Total 3 5 4 6" xfId="21281"/>
    <cellStyle name="Total 3 5 4 7" xfId="21282"/>
    <cellStyle name="Total 3 5 5" xfId="21283"/>
    <cellStyle name="Total 3 5 5 2" xfId="21284"/>
    <cellStyle name="Total 3 5 5 3" xfId="21285"/>
    <cellStyle name="Total 3 5 5 4" xfId="21286"/>
    <cellStyle name="Total 3 5 5 5" xfId="21287"/>
    <cellStyle name="Total 3 5 5 6" xfId="21288"/>
    <cellStyle name="Total 3 5 5 7" xfId="21289"/>
    <cellStyle name="Total 3 5 6" xfId="21290"/>
    <cellStyle name="Total 3 5 7" xfId="21291"/>
    <cellStyle name="Total 3 5 8" xfId="21292"/>
    <cellStyle name="Total 3 5 9" xfId="21293"/>
    <cellStyle name="Total 3 6" xfId="21294"/>
    <cellStyle name="Total 3 6 2" xfId="21295"/>
    <cellStyle name="Total 3 6 3" xfId="21296"/>
    <cellStyle name="Total 3 6 4" xfId="21297"/>
    <cellStyle name="Total 3 6 5" xfId="21298"/>
    <cellStyle name="Total 3 6 6" xfId="21299"/>
    <cellStyle name="Total 3 6 7" xfId="21300"/>
    <cellStyle name="Total 3 7" xfId="21301"/>
    <cellStyle name="Total 3 7 2" xfId="21302"/>
    <cellStyle name="Total 3 7 3" xfId="21303"/>
    <cellStyle name="Total 3 7 4" xfId="21304"/>
    <cellStyle name="Total 3 7 5" xfId="21305"/>
    <cellStyle name="Total 3 7 6" xfId="21306"/>
    <cellStyle name="Total 3 7 7" xfId="21307"/>
    <cellStyle name="Total 3 8" xfId="25030"/>
    <cellStyle name="Total 4" xfId="1288"/>
    <cellStyle name="Total 4 10" xfId="21308"/>
    <cellStyle name="Total 4 11" xfId="21309"/>
    <cellStyle name="Total 4 12" xfId="21310"/>
    <cellStyle name="Total 4 13" xfId="21311"/>
    <cellStyle name="Total 4 2" xfId="1289"/>
    <cellStyle name="Total 4 2 2" xfId="25031"/>
    <cellStyle name="Total 4 3" xfId="21312"/>
    <cellStyle name="Total 4 3 10" xfId="21313"/>
    <cellStyle name="Total 4 3 11" xfId="21314"/>
    <cellStyle name="Total 4 3 2" xfId="21315"/>
    <cellStyle name="Total 4 3 2 2" xfId="21316"/>
    <cellStyle name="Total 4 3 2 3" xfId="21317"/>
    <cellStyle name="Total 4 3 2 4" xfId="21318"/>
    <cellStyle name="Total 4 3 2 5" xfId="21319"/>
    <cellStyle name="Total 4 3 2 6" xfId="21320"/>
    <cellStyle name="Total 4 3 2 7" xfId="21321"/>
    <cellStyle name="Total 4 3 3" xfId="21322"/>
    <cellStyle name="Total 4 3 3 2" xfId="21323"/>
    <cellStyle name="Total 4 3 3 3" xfId="21324"/>
    <cellStyle name="Total 4 3 3 4" xfId="21325"/>
    <cellStyle name="Total 4 3 3 5" xfId="21326"/>
    <cellStyle name="Total 4 3 3 6" xfId="21327"/>
    <cellStyle name="Total 4 3 3 7" xfId="21328"/>
    <cellStyle name="Total 4 3 4" xfId="21329"/>
    <cellStyle name="Total 4 3 4 2" xfId="21330"/>
    <cellStyle name="Total 4 3 4 3" xfId="21331"/>
    <cellStyle name="Total 4 3 4 4" xfId="21332"/>
    <cellStyle name="Total 4 3 4 5" xfId="21333"/>
    <cellStyle name="Total 4 3 4 6" xfId="21334"/>
    <cellStyle name="Total 4 3 4 7" xfId="21335"/>
    <cellStyle name="Total 4 3 5" xfId="21336"/>
    <cellStyle name="Total 4 3 5 2" xfId="21337"/>
    <cellStyle name="Total 4 3 5 3" xfId="21338"/>
    <cellStyle name="Total 4 3 5 4" xfId="21339"/>
    <cellStyle name="Total 4 3 5 5" xfId="21340"/>
    <cellStyle name="Total 4 3 5 6" xfId="21341"/>
    <cellStyle name="Total 4 3 5 7" xfId="21342"/>
    <cellStyle name="Total 4 3 6" xfId="21343"/>
    <cellStyle name="Total 4 3 7" xfId="21344"/>
    <cellStyle name="Total 4 3 8" xfId="21345"/>
    <cellStyle name="Total 4 3 9" xfId="21346"/>
    <cellStyle name="Total 4 4" xfId="21347"/>
    <cellStyle name="Total 4 4 2" xfId="21348"/>
    <cellStyle name="Total 4 4 3" xfId="21349"/>
    <cellStyle name="Total 4 4 4" xfId="21350"/>
    <cellStyle name="Total 4 4 5" xfId="21351"/>
    <cellStyle name="Total 4 4 6" xfId="21352"/>
    <cellStyle name="Total 4 4 7" xfId="21353"/>
    <cellStyle name="Total 4 5" xfId="21354"/>
    <cellStyle name="Total 4 5 2" xfId="21355"/>
    <cellStyle name="Total 4 5 3" xfId="21356"/>
    <cellStyle name="Total 4 5 4" xfId="21357"/>
    <cellStyle name="Total 4 5 5" xfId="21358"/>
    <cellStyle name="Total 4 5 6" xfId="21359"/>
    <cellStyle name="Total 4 5 7" xfId="21360"/>
    <cellStyle name="Total 4 6" xfId="21361"/>
    <cellStyle name="Total 4 6 2" xfId="21362"/>
    <cellStyle name="Total 4 6 3" xfId="21363"/>
    <cellStyle name="Total 4 6 4" xfId="21364"/>
    <cellStyle name="Total 4 6 5" xfId="21365"/>
    <cellStyle name="Total 4 6 6" xfId="21366"/>
    <cellStyle name="Total 4 6 7" xfId="21367"/>
    <cellStyle name="Total 4 7" xfId="21368"/>
    <cellStyle name="Total 4 7 2" xfId="21369"/>
    <cellStyle name="Total 4 7 3" xfId="21370"/>
    <cellStyle name="Total 4 7 4" xfId="21371"/>
    <cellStyle name="Total 4 7 5" xfId="21372"/>
    <cellStyle name="Total 4 7 6" xfId="21373"/>
    <cellStyle name="Total 4 7 7" xfId="21374"/>
    <cellStyle name="Total 4 8" xfId="21375"/>
    <cellStyle name="Total 4 9" xfId="21376"/>
    <cellStyle name="Total 5" xfId="21377"/>
    <cellStyle name="Total 6" xfId="25032"/>
    <cellStyle name="TotCol - Style5" xfId="2324"/>
    <cellStyle name="TotCol - Style5 2" xfId="25033"/>
    <cellStyle name="TotCol - Style7" xfId="2325"/>
    <cellStyle name="TotCol - Style7 2" xfId="25034"/>
    <cellStyle name="TotRow - Style4" xfId="2326"/>
    <cellStyle name="TotRow - Style4 10" xfId="21378"/>
    <cellStyle name="TotRow - Style4 11" xfId="21379"/>
    <cellStyle name="TotRow - Style4 2" xfId="21380"/>
    <cellStyle name="TotRow - Style4 2 2" xfId="21381"/>
    <cellStyle name="TotRow - Style4 2 3" xfId="21382"/>
    <cellStyle name="TotRow - Style4 2 4" xfId="21383"/>
    <cellStyle name="TotRow - Style4 2 5" xfId="21384"/>
    <cellStyle name="TotRow - Style4 2 6" xfId="21385"/>
    <cellStyle name="TotRow - Style4 2 7" xfId="21386"/>
    <cellStyle name="TotRow - Style4 3" xfId="21387"/>
    <cellStyle name="TotRow - Style4 3 2" xfId="21388"/>
    <cellStyle name="TotRow - Style4 3 3" xfId="21389"/>
    <cellStyle name="TotRow - Style4 3 4" xfId="21390"/>
    <cellStyle name="TotRow - Style4 3 5" xfId="21391"/>
    <cellStyle name="TotRow - Style4 3 6" xfId="21392"/>
    <cellStyle name="TotRow - Style4 3 7" xfId="21393"/>
    <cellStyle name="TotRow - Style4 4" xfId="21394"/>
    <cellStyle name="TotRow - Style4 4 2" xfId="21395"/>
    <cellStyle name="TotRow - Style4 4 3" xfId="21396"/>
    <cellStyle name="TotRow - Style4 4 4" xfId="21397"/>
    <cellStyle name="TotRow - Style4 4 5" xfId="21398"/>
    <cellStyle name="TotRow - Style4 4 6" xfId="21399"/>
    <cellStyle name="TotRow - Style4 4 7" xfId="21400"/>
    <cellStyle name="TotRow - Style4 5" xfId="21401"/>
    <cellStyle name="TotRow - Style4 5 2" xfId="21402"/>
    <cellStyle name="TotRow - Style4 5 3" xfId="21403"/>
    <cellStyle name="TotRow - Style4 5 4" xfId="21404"/>
    <cellStyle name="TotRow - Style4 5 5" xfId="21405"/>
    <cellStyle name="TotRow - Style4 5 6" xfId="21406"/>
    <cellStyle name="TotRow - Style4 5 7" xfId="21407"/>
    <cellStyle name="TotRow - Style4 6" xfId="21408"/>
    <cellStyle name="TotRow - Style4 7" xfId="21409"/>
    <cellStyle name="TotRow - Style4 8" xfId="21410"/>
    <cellStyle name="TotRow - Style4 9" xfId="21411"/>
    <cellStyle name="TotRow - Style8" xfId="2327"/>
    <cellStyle name="TotRow - Style8 10" xfId="21412"/>
    <cellStyle name="TotRow - Style8 11" xfId="21413"/>
    <cellStyle name="TotRow - Style8 2" xfId="21414"/>
    <cellStyle name="TotRow - Style8 2 2" xfId="21415"/>
    <cellStyle name="TotRow - Style8 2 3" xfId="21416"/>
    <cellStyle name="TotRow - Style8 2 4" xfId="21417"/>
    <cellStyle name="TotRow - Style8 2 5" xfId="21418"/>
    <cellStyle name="TotRow - Style8 2 6" xfId="21419"/>
    <cellStyle name="TotRow - Style8 2 7" xfId="21420"/>
    <cellStyle name="TotRow - Style8 3" xfId="21421"/>
    <cellStyle name="TotRow - Style8 3 2" xfId="21422"/>
    <cellStyle name="TotRow - Style8 3 3" xfId="21423"/>
    <cellStyle name="TotRow - Style8 3 4" xfId="21424"/>
    <cellStyle name="TotRow - Style8 3 5" xfId="21425"/>
    <cellStyle name="TotRow - Style8 3 6" xfId="21426"/>
    <cellStyle name="TotRow - Style8 3 7" xfId="21427"/>
    <cellStyle name="TotRow - Style8 4" xfId="21428"/>
    <cellStyle name="TotRow - Style8 4 2" xfId="21429"/>
    <cellStyle name="TotRow - Style8 4 3" xfId="21430"/>
    <cellStyle name="TotRow - Style8 4 4" xfId="21431"/>
    <cellStyle name="TotRow - Style8 4 5" xfId="21432"/>
    <cellStyle name="TotRow - Style8 4 6" xfId="21433"/>
    <cellStyle name="TotRow - Style8 4 7" xfId="21434"/>
    <cellStyle name="TotRow - Style8 5" xfId="21435"/>
    <cellStyle name="TotRow - Style8 5 2" xfId="21436"/>
    <cellStyle name="TotRow - Style8 5 3" xfId="21437"/>
    <cellStyle name="TotRow - Style8 5 4" xfId="21438"/>
    <cellStyle name="TotRow - Style8 5 5" xfId="21439"/>
    <cellStyle name="TotRow - Style8 5 6" xfId="21440"/>
    <cellStyle name="TotRow - Style8 5 7" xfId="21441"/>
    <cellStyle name="TotRow - Style8 6" xfId="21442"/>
    <cellStyle name="TotRow - Style8 7" xfId="21443"/>
    <cellStyle name="TotRow - Style8 8" xfId="21444"/>
    <cellStyle name="TotRow - Style8 9" xfId="21445"/>
    <cellStyle name="Transcript_Date" xfId="1290"/>
    <cellStyle name="Warning Text 2" xfId="416"/>
    <cellStyle name="Warning Text 2 2" xfId="25035"/>
    <cellStyle name="Warning Text 2 3" xfId="25036"/>
    <cellStyle name="Warning Text 2 4" xfId="25037"/>
    <cellStyle name="Warning Text 3" xfId="417"/>
    <cellStyle name="Warning Text 3 2" xfId="25038"/>
    <cellStyle name="Warning Text 3 3" xfId="25039"/>
    <cellStyle name="Warning Text 3 4" xfId="25040"/>
    <cellStyle name="Warning Text 4" xfId="1291"/>
    <cellStyle name="Warning Text 4 2" xfId="25041"/>
    <cellStyle name="Warning Text 5" xfId="21446"/>
    <cellStyle name="Warning Text 6" xfId="25042"/>
    <cellStyle name="WM_STANDARD" xfId="418"/>
  </cellStyles>
  <dxfs count="50">
    <dxf>
      <numFmt numFmtId="35" formatCode="_(* #,##0.00_);_(* \(#,##0.00\);_(* &quot;-&quot;??_);_(@_)"/>
    </dxf>
    <dxf>
      <numFmt numFmtId="35" formatCode="_(* #,##0.00_);_(* \(#,##0.00\);_(* &quot;-&quot;??_);_(@_)"/>
    </dxf>
    <dxf>
      <font>
        <color auto="1"/>
      </font>
    </dxf>
    <dxf>
      <fill>
        <patternFill>
          <bgColor theme="1"/>
        </patternFill>
      </fill>
    </dxf>
    <dxf>
      <numFmt numFmtId="35" formatCode="_(* #,##0.00_);_(* \(#,##0.00\);_(* &quot;-&quot;??_);_(@_)"/>
    </dxf>
    <dxf>
      <numFmt numFmtId="35" formatCode="_(* #,##0.00_);_(* \(#,##0.00\);_(* &quot;-&quot;??_);_(@_)"/>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theme="6" tint="0.59996337778862885"/>
        </patternFill>
      </fill>
    </dxf>
    <dxf>
      <font>
        <color auto="1"/>
      </font>
      <fill>
        <patternFill>
          <bgColor theme="6" tint="0.59996337778862885"/>
        </patternFill>
      </fill>
    </dxf>
    <dxf>
      <fill>
        <patternFill>
          <bgColor rgb="FF92D050"/>
        </patternFill>
      </fill>
    </dxf>
    <dxf>
      <fill>
        <patternFill>
          <bgColor rgb="FFFF0000"/>
        </patternFill>
      </fill>
    </dxf>
  </dxfs>
  <tableStyles count="0" defaultTableStyle="TableStyleMedium9" defaultPivotStyle="PivotStyleLight16"/>
  <colors>
    <mruColors>
      <color rgb="FF66CCFF"/>
      <color rgb="FF2605EB"/>
      <color rgb="FFFFFFCC"/>
      <color rgb="FFFCA2F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84" Type="http://schemas.openxmlformats.org/officeDocument/2006/relationships/externalLink" Target="externalLinks/externalLink53.xml"/><Relationship Id="rId89" Type="http://schemas.openxmlformats.org/officeDocument/2006/relationships/pivotCacheDefinition" Target="pivotCache/pivotCacheDefinition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74" Type="http://schemas.openxmlformats.org/officeDocument/2006/relationships/externalLink" Target="externalLinks/externalLink43.xml"/><Relationship Id="rId79" Type="http://schemas.openxmlformats.org/officeDocument/2006/relationships/externalLink" Target="externalLinks/externalLink48.xml"/><Relationship Id="rId5" Type="http://schemas.openxmlformats.org/officeDocument/2006/relationships/worksheet" Target="worksheets/sheet5.xml"/><Relationship Id="rId90" Type="http://schemas.openxmlformats.org/officeDocument/2006/relationships/pivotCacheDefinition" Target="pivotCache/pivotCacheDefinition2.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80" Type="http://schemas.openxmlformats.org/officeDocument/2006/relationships/externalLink" Target="externalLinks/externalLink49.xml"/><Relationship Id="rId85" Type="http://schemas.openxmlformats.org/officeDocument/2006/relationships/externalLink" Target="externalLinks/externalLink5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 Id="rId67" Type="http://schemas.openxmlformats.org/officeDocument/2006/relationships/externalLink" Target="externalLinks/externalLink36.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externalLink" Target="externalLinks/externalLink31.xml"/><Relationship Id="rId70" Type="http://schemas.openxmlformats.org/officeDocument/2006/relationships/externalLink" Target="externalLinks/externalLink39.xml"/><Relationship Id="rId75" Type="http://schemas.openxmlformats.org/officeDocument/2006/relationships/externalLink" Target="externalLinks/externalLink44.xml"/><Relationship Id="rId83" Type="http://schemas.openxmlformats.org/officeDocument/2006/relationships/externalLink" Target="externalLinks/externalLink52.xml"/><Relationship Id="rId88" Type="http://schemas.openxmlformats.org/officeDocument/2006/relationships/externalLink" Target="externalLinks/externalLink57.xml"/><Relationship Id="rId91" Type="http://schemas.openxmlformats.org/officeDocument/2006/relationships/pivotCacheDefinition" Target="pivotCache/pivotCacheDefinition3.xml"/><Relationship Id="rId9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73" Type="http://schemas.openxmlformats.org/officeDocument/2006/relationships/externalLink" Target="externalLinks/externalLink42.xml"/><Relationship Id="rId78" Type="http://schemas.openxmlformats.org/officeDocument/2006/relationships/externalLink" Target="externalLinks/externalLink47.xml"/><Relationship Id="rId81" Type="http://schemas.openxmlformats.org/officeDocument/2006/relationships/externalLink" Target="externalLinks/externalLink50.xml"/><Relationship Id="rId86" Type="http://schemas.openxmlformats.org/officeDocument/2006/relationships/externalLink" Target="externalLinks/externalLink55.xml"/><Relationship Id="rId94" Type="http://schemas.openxmlformats.org/officeDocument/2006/relationships/sharedStrings" Target="sharedStrings.xml"/><Relationship Id="rId9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8.xml"/><Relationship Id="rId34" Type="http://schemas.openxmlformats.org/officeDocument/2006/relationships/externalLink" Target="externalLinks/externalLink3.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6" Type="http://schemas.openxmlformats.org/officeDocument/2006/relationships/externalLink" Target="externalLinks/externalLink45.xml"/><Relationship Id="rId9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40.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66" Type="http://schemas.openxmlformats.org/officeDocument/2006/relationships/externalLink" Target="externalLinks/externalLink35.xml"/><Relationship Id="rId87" Type="http://schemas.openxmlformats.org/officeDocument/2006/relationships/externalLink" Target="externalLinks/externalLink56.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4.xml"/><Relationship Id="rId56" Type="http://schemas.openxmlformats.org/officeDocument/2006/relationships/externalLink" Target="externalLinks/externalLink25.xml"/><Relationship Id="rId77" Type="http://schemas.openxmlformats.org/officeDocument/2006/relationships/externalLink" Target="externalLinks/externalLink46.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93" Type="http://schemas.openxmlformats.org/officeDocument/2006/relationships/styles" Target="styles.xml"/><Relationship Id="rId98"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276225</xdr:colOff>
          <xdr:row>3</xdr:row>
          <xdr:rowOff>238125</xdr:rowOff>
        </xdr:from>
        <xdr:to>
          <xdr:col>1</xdr:col>
          <xdr:colOff>333375</xdr:colOff>
          <xdr:row>4</xdr:row>
          <xdr:rowOff>47625</xdr:rowOff>
        </xdr:to>
        <xdr:sp macro="" textlink="">
          <xdr:nvSpPr>
            <xdr:cNvPr id="264193" name="DataCompleted" hidden="1">
              <a:extLst>
                <a:ext uri="{63B3BB69-23CF-44E3-9099-C40C66FF867C}">
                  <a14:compatExt spid="_x0000_s26419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781050</xdr:colOff>
          <xdr:row>6</xdr:row>
          <xdr:rowOff>171450</xdr:rowOff>
        </xdr:from>
        <xdr:to>
          <xdr:col>1</xdr:col>
          <xdr:colOff>885825</xdr:colOff>
          <xdr:row>7</xdr:row>
          <xdr:rowOff>76200</xdr:rowOff>
        </xdr:to>
        <xdr:sp macro="" textlink="">
          <xdr:nvSpPr>
            <xdr:cNvPr id="266241" name="DataCompleted" hidden="1">
              <a:extLst>
                <a:ext uri="{63B3BB69-23CF-44E3-9099-C40C66FF867C}">
                  <a14:compatExt spid="_x0000_s26624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981075</xdr:colOff>
          <xdr:row>7</xdr:row>
          <xdr:rowOff>200025</xdr:rowOff>
        </xdr:from>
        <xdr:to>
          <xdr:col>1</xdr:col>
          <xdr:colOff>1095375</xdr:colOff>
          <xdr:row>8</xdr:row>
          <xdr:rowOff>114300</xdr:rowOff>
        </xdr:to>
        <xdr:sp macro="" textlink="">
          <xdr:nvSpPr>
            <xdr:cNvPr id="998401" name="DataCompleted" hidden="1">
              <a:extLst>
                <a:ext uri="{63B3BB69-23CF-44E3-9099-C40C66FF867C}">
                  <a14:compatExt spid="_x0000_s998401"/>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1019175</xdr:colOff>
          <xdr:row>8</xdr:row>
          <xdr:rowOff>66675</xdr:rowOff>
        </xdr:from>
        <xdr:to>
          <xdr:col>1</xdr:col>
          <xdr:colOff>1143000</xdr:colOff>
          <xdr:row>8</xdr:row>
          <xdr:rowOff>190500</xdr:rowOff>
        </xdr:to>
        <xdr:sp macro="" textlink="">
          <xdr:nvSpPr>
            <xdr:cNvPr id="999425" name="DataCompleted" hidden="1">
              <a:extLst>
                <a:ext uri="{63B3BB69-23CF-44E3-9099-C40C66FF867C}">
                  <a14:compatExt spid="_x0000_s999425"/>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4</xdr:col>
      <xdr:colOff>85726</xdr:colOff>
      <xdr:row>0</xdr:row>
      <xdr:rowOff>85724</xdr:rowOff>
    </xdr:from>
    <xdr:to>
      <xdr:col>14</xdr:col>
      <xdr:colOff>219076</xdr:colOff>
      <xdr:row>9</xdr:row>
      <xdr:rowOff>133350</xdr:rowOff>
    </xdr:to>
    <xdr:sp macro="" textlink="">
      <xdr:nvSpPr>
        <xdr:cNvPr id="2" name="TextBox 1"/>
        <xdr:cNvSpPr txBox="1"/>
      </xdr:nvSpPr>
      <xdr:spPr>
        <a:xfrm>
          <a:off x="4267201" y="85724"/>
          <a:ext cx="10953750" cy="1400176"/>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00" b="1" u="sng">
              <a:solidFill>
                <a:schemeClr val="dk1"/>
              </a:solidFill>
              <a:effectLst/>
              <a:latin typeface="+mn-lt"/>
              <a:ea typeface="+mn-ea"/>
              <a:cs typeface="+mn-cs"/>
            </a:rPr>
            <a:t>Purpose</a:t>
          </a:r>
          <a:r>
            <a:rPr lang="en-US" sz="1000" b="1" u="sng" baseline="0">
              <a:solidFill>
                <a:schemeClr val="dk1"/>
              </a:solidFill>
              <a:effectLst/>
              <a:latin typeface="+mn-lt"/>
              <a:ea typeface="+mn-ea"/>
              <a:cs typeface="+mn-cs"/>
            </a:rPr>
            <a:t> &amp; Procedures</a:t>
          </a:r>
          <a:r>
            <a:rPr lang="en-US" sz="1000" b="1" u="sng">
              <a:solidFill>
                <a:schemeClr val="dk1"/>
              </a:solidFill>
              <a:effectLst/>
              <a:latin typeface="+mn-lt"/>
              <a:ea typeface="+mn-ea"/>
              <a:cs typeface="+mn-cs"/>
            </a:rPr>
            <a:t> </a:t>
          </a:r>
          <a:r>
            <a:rPr lang="en-US" sz="1000" b="1" u="none" baseline="0">
              <a:solidFill>
                <a:schemeClr val="dk1"/>
              </a:solidFill>
              <a:effectLst/>
              <a:latin typeface="+mn-lt"/>
              <a:ea typeface="+mn-ea"/>
              <a:cs typeface="+mn-cs"/>
            </a:rPr>
            <a:t>  </a:t>
          </a:r>
          <a:r>
            <a:rPr lang="en-US" sz="1000" b="1">
              <a:solidFill>
                <a:schemeClr val="dk1"/>
              </a:solidFill>
              <a:effectLst/>
              <a:latin typeface="+mn-lt"/>
              <a:ea typeface="+mn-ea"/>
              <a:cs typeface="+mn-cs"/>
            </a:rPr>
            <a:t>Reconciliation of</a:t>
          </a:r>
          <a:r>
            <a:rPr lang="en-US" sz="1000" b="1" baseline="0">
              <a:solidFill>
                <a:schemeClr val="dk1"/>
              </a:solidFill>
              <a:effectLst/>
              <a:latin typeface="+mn-lt"/>
              <a:ea typeface="+mn-ea"/>
              <a:cs typeface="+mn-cs"/>
            </a:rPr>
            <a:t> Payroll Register to General Ledger:  </a:t>
          </a:r>
          <a:r>
            <a:rPr lang="en-US" sz="1000" b="0">
              <a:solidFill>
                <a:schemeClr val="dk1"/>
              </a:solidFill>
              <a:effectLst/>
              <a:latin typeface="+mn-lt"/>
              <a:ea typeface="+mn-ea"/>
              <a:cs typeface="+mn-cs"/>
            </a:rPr>
            <a:t>We</a:t>
          </a:r>
          <a:r>
            <a:rPr lang="en-US" sz="1000" b="0" baseline="0">
              <a:solidFill>
                <a:schemeClr val="dk1"/>
              </a:solidFill>
              <a:effectLst/>
              <a:latin typeface="+mn-lt"/>
              <a:ea typeface="+mn-ea"/>
              <a:cs typeface="+mn-cs"/>
            </a:rPr>
            <a:t> ran a detailed payroll register for the test period to get a listing of all employees employed during the test period.  We used the "V-Lookup" function on employee ID # to summarize their regular hours/pay (including vacation, PTO &amp; holiday), overtime hours/pay, and any other payments made to employees during the test period.  We reconciled the test period wage expense to the general ledger.       </a:t>
          </a:r>
          <a:br>
            <a:rPr lang="en-US" sz="1000" b="0" baseline="0">
              <a:solidFill>
                <a:schemeClr val="dk1"/>
              </a:solidFill>
              <a:effectLst/>
              <a:latin typeface="+mn-lt"/>
              <a:ea typeface="+mn-ea"/>
              <a:cs typeface="+mn-cs"/>
            </a:rPr>
          </a:br>
          <a:r>
            <a:rPr lang="en-US" sz="1000" b="1" baseline="0">
              <a:solidFill>
                <a:schemeClr val="dk1"/>
              </a:solidFill>
              <a:effectLst/>
              <a:latin typeface="+mn-lt"/>
              <a:ea typeface="+mn-ea"/>
              <a:cs typeface="+mn-cs"/>
            </a:rPr>
            <a:t>Pro forma Wage Adjustments : </a:t>
          </a:r>
          <a:r>
            <a:rPr lang="en-US" sz="1000" b="0" baseline="0">
              <a:solidFill>
                <a:schemeClr val="dk1"/>
              </a:solidFill>
              <a:effectLst/>
              <a:latin typeface="+mn-lt"/>
              <a:ea typeface="+mn-ea"/>
              <a:cs typeface="+mn-cs"/>
            </a:rPr>
            <a:t>Using the payroll register we pulled in the current pay rate for each employee.  We then increased that pay rate by the raise they will receive in 2020.  We multiplied the 2020 pay rate by the regular and OT hours from the test period to get the wage expense in the new rate year (2020 and forward).  We compared the increased wage expense to the test period wage expense to calculate the amount of the pro forma adjustment.</a:t>
          </a:r>
          <a:br>
            <a:rPr lang="en-US" sz="1000" b="0" baseline="0">
              <a:solidFill>
                <a:schemeClr val="dk1"/>
              </a:solidFill>
              <a:effectLst/>
              <a:latin typeface="+mn-lt"/>
              <a:ea typeface="+mn-ea"/>
              <a:cs typeface="+mn-cs"/>
            </a:rPr>
          </a:br>
          <a:r>
            <a:rPr lang="en-US" sz="1000" b="1" baseline="0">
              <a:solidFill>
                <a:schemeClr val="dk1"/>
              </a:solidFill>
              <a:effectLst/>
              <a:latin typeface="+mn-lt"/>
              <a:ea typeface="+mn-ea"/>
              <a:cs typeface="+mn-cs"/>
            </a:rPr>
            <a:t>Wage Normalizations:  </a:t>
          </a:r>
          <a:r>
            <a:rPr lang="en-US" sz="1000" b="0" baseline="0">
              <a:solidFill>
                <a:schemeClr val="dk1"/>
              </a:solidFill>
              <a:effectLst/>
              <a:latin typeface="+mn-lt"/>
              <a:ea typeface="+mn-ea"/>
              <a:cs typeface="+mn-cs"/>
            </a:rPr>
            <a:t>We determined salaried positions that were open during the test period and made a restating adjustment to true-up the test period to normal staffing levels. These adjustments are specifically noted below.</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446629</xdr:colOff>
      <xdr:row>34</xdr:row>
      <xdr:rowOff>8739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90500"/>
          <a:ext cx="8371429" cy="629523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65635</xdr:colOff>
      <xdr:row>44</xdr:row>
      <xdr:rowOff>27524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323810" cy="8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c_db5_srv\SRC\User\REPORTS\STANDARD%20REPORTS\CUSTOM%20REPORTS\PL_RollingTrend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LeMay\2183-1%20Pacific%20Disp,%20Butlers%20Cove\Filing%20Possibly%202012\Filing\Audit\Final%20Outcome%208-14-2012\Pro%20Forma%20Pacific%20Disposal_Staf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ason/Rate%20Increase%201-1-2013/1%20Filing%2011-14-2012/Revised%202-21-2013/staff%20Mason%20Proforma%209-30-2012-Linked%20Cust%20Count%20Fix%2012-2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ason\Rate%20Increase%201-1-2013\1%20Filing%2011-14-2012\Revised%202-21-2013\staff%20Mason%20Proforma%209-30-2012-Linked%20Cust%20Count%20Fix%2012-2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Mason\Rate%20Increase%201-1-2013\1%20Filing%2011-14-2012\Revised%202-21-2013\staff%20Mason%20Proforma%209-30-2012-Linked%20Cust%20Count%20Fix%2012-2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Mason\Rate%20Increase%201-1-2013\1%20Filing%2011-14-2012\Revised%202-21-2013\staff%20Mason%20Proforma%209-30-2012-Linked%20Cust%20Count%20Fix%2012-2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utcfs2\grp_data\District\Joe_Garza\mark%20gregg\WUTC%20Files\Eastside\Eastside%20Rate%20Case%202006\Eastside%20RC%202006%20Filing%20Docs\Proforma%20Eastside%202005%204.17.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acinf05\DistShares\WCNX%20Stuff\Excel\Financials\Excel%20Financials\ExcelFinanci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Western%20Region\ControllerDir\WRO%20Controllers\Close\JE\2019\2019-11\JE21%20Region%20Expense%20Alloc%202019-1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Western%20Region/WUTC/WIP%20Files/LeMay%20Companies/2019/Budget%20Proformas/PCR%20Pro%20Forma%208.31.19/2180_Price%20Out%20by%20Bill%20Area_2016%20as%20of%207-31-1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Western%20Region/ControllerDir/Brent_Blair_Kortney/PO%20Report%20by%20Division/PO%20Report_v3b%202013-08-2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RC%20Reports\SRC%20Format\Bonus%20Schedule\PNWR%20SRC%20Bonus%20Schedule%20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Western%20Region\ControllerDir\Brent_Blair_Kortney\PO%20Report%20by%20Division\PO%20Report_v3b%202013-08-26.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Western%20Region\ControllerDir\Brent_Blair_Kortney\PO%20Report%20by%20Division\PO%20Report_v3b%202013-08-26.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Vashon/Rate%20Incr%201-1-2012/Vashon%20Pro%20Form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Vashon\Rate%20Incr%201-1-2012\Vashon%20Pro%20Form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X:\Western%20Region\WUTC\WIP%20Files\2195%20Yakima\General%20Rate%20Filings\2017%20Rate%20Filing\.Yakima%20Waste%20Pro%20forma%20YE%206.30.17.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Vashon\Rate%20Incr%201-1-2012\Vashon%20Pro%20Form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estern%20Region\WUTC\WIP%20Files\2010%20Clark%20County-%202009%20Vancouver\Misc%20Analsysis%20Non-Filing\Pro%20froma%208.31.2013%20for%20Budgets\Consolidated%20Pro%20forma%20Year%20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Western%20Region/WUTC/WUTC-Murrey%20%202111/General%20Rate%20Filings/Rate%20Filing%201-1-2019/Fuel%20Stat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acinf06\sacshare\Data_Automation\DMS\RouteManagerReports\RM_MM001_Query_v4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Western%20Region/WUTC/WIP%20Files/2010%20Clark%20County-%202009%20Vancouver/12.31.2010%20Test%20Year/Proforma%20Clark%20County%20101231%20Filing-Draft-FINAL%20VERS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disnap\accounting\MODEST~1\203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X:\Western%20Region\WUTC\WIP%20Files\2010%20Clark%20County-%202009%20Vancouver\12.31.2010%20Test%20Year\Proforma%20Clark%20County%20101231%20Filing-Draft-FINAL%20VERSION.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Western%20Region\WUTC\WIP%20Files\2010%20Clark%20County-%202009%20Vancouver\12.31.2010%20Test%20Year\Proforma%20Clark%20County%20101231%20Filing-Draft-FINAL%20VERSION.xlsx"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ExcelFinancials_v3b1"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Western%20Region\WUTC\WIP%20Files\LeMay%20Companies\2014\Annual%20Report\District%20Schedules\North%20LeMay\N%20LeMay%20Annual%20Report%202013%20-%20with%20Heather's%20Not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Annual%20Reports/2180%20LeMay/2009/LeMay%20Annual%20Report%20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Annual%20Reports\2180%20LeMay\2009\LeMay%20Annual%20Report%20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Annual%20Reports\2180%20LeMay\2009\LeMay%20Annual%20Report%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Users\nealjohnson\Downloads\SolidWaste-NonPublic%20LG%202018%20V5.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X:\Users\heatherg\AppData\Local\Microsoft\Windows\Temporary%20Internet%20Files\Content.Outlook\XS11RNOC\SolidWaste-NonPublic%20LG%202018%20V5.0.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LeMay\Master%20Truck%20Schedule\South_LeMay%20Master%20Truck%20Schedule-Shar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L_WASTE\SYS\ACCOUNT\CV2000\022000\2000_FEBRUARY_%20GL%20REC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LeMay/Master%20Truck%20Schedule/South_LeMay%20Master%20Truck%20Schedule-Share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LeMay\Master%20Truck%20Schedule\South_LeMay%20Master%20Truck%20Schedule-Shared.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ExcelFinancials_v3c1"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Western%20Region/WUTC/WIP%20Files/LeMay%20Companies/2020/General%20Rate%20Filings/PCR%20Eff%203-1-2020/JBLM%20Recycle%20Tonnage%20Dec-Nov.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Western%20Region/WUTC/WIP%20Files/LeMay%20Companies/2020/General%20Rate%20Filings/PCR%20Eff%203-1-2020/Payroll/PCR%20Payroll%20Detail%2011.30.19%20NEW.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Western%20Region/WUTC/WIP%20Files/LeMay%20Companies/2020/General%20Rate%20Filings/PCR%20Eff%203-1-2020/2180_Price%20Out%20by%20Bill%20Area_12-18%20-%2011-19.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Western%20Region/WUTC/WIP%20Files/LeMay%20Companies/2020/General%20Rate%20Filings/PCR%20Eff%203-1-2020/Time%20Study%202019.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Western%20Region/WUTC/WIP%20Files/LeMay%20Companies/2020/General%20Rate%20Filings/PCR%20Eff%203-1-2020/LTS%20Disposal%20Breakdown.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Western%20Region/WUTC/WIP%20Files/LeMay%20Companies/2020/General%20Rate%20Filings/PCR%20Eff%203-1-2020/Payroll/LTS%20Payroll%20Detail%2011.30.19.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Western%20Region/WUTC/WIP%20Files/LeMay%20Companies/2020/General%20Rate%20Filings/PCR%20Eff%203-1-2020/PCR%20Disposal%20Fee%20Calc%203-1-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RC%20Reports/SRC%20Format/Bonus%20Schedule/PNWR%20SRC%20Bonus%20Schedule%20200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Western%20Region/WUTC/WIP%20Files/LeMay%20Companies/Depreciation%20General/12.31.2019%20Depreciation%20Schedule/2180,%202182%20UTC%20Depreciation%2012.31.2019.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Western%20Region/WUTC/WIP%20Files/LeMay%20Companies/2020/General%20Rate%20Filings/PCR%20Eff%203-1-2020/Payroll/PCR%20Payroll%20Detail%2011.30.1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Western%20Region/WUTC/WIP%20Files/LeMay%20Companies/2020/General%20Rate%20Filings/PCR%20Eff%203-1-2020/Payroll/Wage%20Increases%202180%201.06.20.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Western%20Region/WUTC/WIP%20Files/LeMay%20Companies/2020/General%20Rate%20Filings/PCR%20Eff%203-1-2020/PCR%20Region%20OH%20Allocation.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X:\Users\lindsaywa\AppData\Local\Interject\FileCache\JEQuery_v4.7_Interject_WithStaged.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Western%20Region/WUTC/WIP%20Files/LeMay%20Companies/2020/General%20Rate%20Filings/PCR%20Eff%203-1-2020/Misc%20LTS-PCR%20brokerage%20Detail.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X:\Users\brittanyj\AppData\Local\Interject\FileCache\JEQuery_v4.7_Interject_WithStaged.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cnx.org\UserData\Home1B\heatherg\Desktop\Emailed%20Files\7009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SRC%20Reports\SRC%20Format\Bonus%20Schedule\PNWR%20SRC%20Bonus%20Schedule%20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LeMay/2183-1%20Pacific%20Disp,%20Butlers%20Cove/Filing%20Possibly%202012/Filing/Audit/Final%20Outcome%208-14-2012/Pro%20Forma%20Pacific%20Disposal_Staff.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LeMay\2183-1%20Pacific%20Disp,%20Butlers%20Cove\Filing%20Possibly%202012\Filing\Audit\Final%20Outcome%208-14-2012\Pro%20Forma%20Pacific%20Disposal_Staf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LeMay\2183-1%20Pacific%20Disp,%20Butlers%20Cove\Filing%20Possibly%202012\Filing\Audit\Final%20Outcome%208-14-2012\Pro%20Forma%20Pacific%20Disposal_Staf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row r="5">
          <cell r="D5">
            <v>10.71</v>
          </cell>
        </row>
        <row r="14">
          <cell r="C14" t="str">
            <v>dist</v>
          </cell>
          <cell r="E14" t="str">
            <v>=</v>
          </cell>
          <cell r="F14">
            <v>2149</v>
          </cell>
        </row>
      </sheetData>
      <sheetData sheetId="4" refreshError="1">
        <row r="6">
          <cell r="F6" t="str">
            <v>Time Series</v>
          </cell>
        </row>
        <row r="17">
          <cell r="B17" t="str">
            <v>ACCT</v>
          </cell>
          <cell r="C17" t="str">
            <v>-</v>
          </cell>
        </row>
        <row r="22">
          <cell r="C22" t="str">
            <v>Financial</v>
          </cell>
        </row>
        <row r="23">
          <cell r="C23" t="str">
            <v>ALL</v>
          </cell>
        </row>
        <row r="24">
          <cell r="C24" t="str">
            <v>Variable</v>
          </cell>
        </row>
      </sheetData>
      <sheetData sheetId="5" refreshError="1">
        <row r="8">
          <cell r="E8" t="str">
            <v>Report</v>
          </cell>
        </row>
        <row r="12">
          <cell r="B12" t="b">
            <v>0</v>
          </cell>
        </row>
      </sheetData>
      <sheetData sheetId="6" refreshError="1"/>
      <sheetData sheetId="7" refreshError="1">
        <row r="11">
          <cell r="D11">
            <v>10002</v>
          </cell>
          <cell r="E11">
            <v>0</v>
          </cell>
          <cell r="F11">
            <v>0</v>
          </cell>
          <cell r="G11">
            <v>0</v>
          </cell>
          <cell r="H11">
            <v>0</v>
          </cell>
          <cell r="I11">
            <v>0</v>
          </cell>
          <cell r="J11">
            <v>0</v>
          </cell>
          <cell r="K11">
            <v>0</v>
          </cell>
          <cell r="L11">
            <v>0</v>
          </cell>
          <cell r="M11">
            <v>0</v>
          </cell>
          <cell r="N11">
            <v>0</v>
          </cell>
          <cell r="O11">
            <v>0</v>
          </cell>
          <cell r="P11">
            <v>0</v>
          </cell>
          <cell r="Q11" t="str">
            <v>Cash</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3">
          <cell r="L23">
            <v>2329.3388396454475</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G Garbage"/>
      <sheetName val=" LG recycle"/>
      <sheetName val="LG Yardwaste"/>
      <sheetName val="LG MF Recycle"/>
      <sheetName val="Proforma"/>
      <sheetName val="matrix"/>
      <sheetName val="COS"/>
      <sheetName val="Price Out-Reg EASTSIDE-Resi"/>
      <sheetName val="Price Out-Comm MSW"/>
      <sheetName val="Price Out-Drop Box"/>
      <sheetName val="Price Out-MF Recycle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BS_Close"/>
      <sheetName val="PL_ActTranx"/>
      <sheetName val="JE_Review"/>
      <sheetName val="PL_CloseByDay"/>
      <sheetName val="PL_IS200"/>
      <sheetName val="PL_IS210"/>
      <sheetName val="PL_ActByDistrict"/>
      <sheetName val="PL_ProjReview"/>
    </sheetNames>
    <sheetDataSet>
      <sheetData sheetId="0"/>
      <sheetData sheetId="1" refreshError="1">
        <row r="2">
          <cell r="X2" t="str">
            <v>P&amp;L Close Report</v>
          </cell>
          <cell r="Z2" t="str">
            <v>Consolidated</v>
          </cell>
        </row>
        <row r="3">
          <cell r="Z3" t="str">
            <v>Region</v>
          </cell>
        </row>
        <row r="4">
          <cell r="Z4" t="str">
            <v>District</v>
          </cell>
        </row>
        <row r="5">
          <cell r="Z5" t="str">
            <v>Multiple Districts</v>
          </cell>
        </row>
      </sheetData>
      <sheetData sheetId="2"/>
      <sheetData sheetId="3"/>
      <sheetData sheetId="4"/>
      <sheetData sheetId="5"/>
      <sheetData sheetId="6"/>
      <sheetData sheetId="7"/>
      <sheetData sheetId="8"/>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sheetName val="Calcs"/>
      <sheetName val="2018 Customer Count"/>
      <sheetName val="Interject_LastPulledValues"/>
      <sheetName val="WRO P&amp;L"/>
      <sheetName val="JE Query"/>
      <sheetName val="2012 Customer Count"/>
      <sheetName val="2011 Customer Count"/>
      <sheetName val="2011 Customer Count without AK"/>
      <sheetName val="2010 Customer Count"/>
      <sheetName val="2009 Customer Count"/>
      <sheetName val="2008CustCountAlloc with Yakima"/>
    </sheetNames>
    <sheetDataSet>
      <sheetData sheetId="0"/>
      <sheetData sheetId="1"/>
      <sheetData sheetId="2"/>
      <sheetData sheetId="3"/>
      <sheetData sheetId="4"/>
      <sheetData sheetId="5">
        <row r="6">
          <cell r="D6">
            <v>10000</v>
          </cell>
        </row>
        <row r="8">
          <cell r="J8" t="str">
            <v>2019-12</v>
          </cell>
        </row>
        <row r="12">
          <cell r="I12" t="str">
            <v>2018-01</v>
          </cell>
        </row>
        <row r="13">
          <cell r="I13" t="str">
            <v>2018-01</v>
          </cell>
        </row>
      </sheetData>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ummary"/>
      <sheetName val="2180 (Reg.) - Price Out "/>
      <sheetName val="2180 (Roy) - Price Out"/>
      <sheetName val="2180 (EQR) - Price Out"/>
      <sheetName val="2180 (FtL) - Price Out"/>
      <sheetName val="2180 (Lkwd) - Price Out"/>
      <sheetName val="2180 (Dpt) - Price Out"/>
      <sheetName val="2180 (Etv) - Price Out"/>
      <sheetName val="2180 (Stcm) - Price Out"/>
      <sheetName val="2180 (UP) - Price Out"/>
      <sheetName val="RM Pivot"/>
      <sheetName val="RM Data"/>
      <sheetName val="P&amp;L"/>
      <sheetName val="Schnitzer"/>
      <sheetName val="Finance Charges"/>
      <sheetName val="N Lemay Rolloff 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D6">
            <v>10000</v>
          </cell>
        </row>
        <row r="8">
          <cell r="H8" t="str">
            <v>2016-08</v>
          </cell>
        </row>
        <row r="12">
          <cell r="G12" t="str">
            <v>2016-01</v>
          </cell>
        </row>
        <row r="13">
          <cell r="G13" t="str">
            <v>2016-12</v>
          </cell>
        </row>
      </sheetData>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akima BS"/>
      <sheetName val="Yakima IS"/>
      <sheetName val="References"/>
      <sheetName val="Yakima Consolidated IS"/>
      <sheetName val="Ratios"/>
      <sheetName val="Restating Adj's"/>
      <sheetName val="Pro-forma Adj's"/>
      <sheetName val="LG-Total Reg"/>
      <sheetName val="LG-Garbage"/>
      <sheetName val="LG-Recycle"/>
      <sheetName val="LG-Yardwaste"/>
      <sheetName val="Yakima Regulated Price Out"/>
      <sheetName val="Proposed Rates"/>
      <sheetName val="Revenue Summary"/>
      <sheetName val="Depr Summary"/>
      <sheetName val="Yakima Payroll"/>
      <sheetName val="Disposal"/>
      <sheetName val="Fuel Schedule"/>
      <sheetName val="A-Team Summary"/>
      <sheetName val="Roll Off Cust Count"/>
      <sheetName val="DivCon-DVP Alloc In"/>
      <sheetName val="Region OH Calc"/>
      <sheetName val="WCI P&amp;L"/>
      <sheetName val="WCI BS"/>
      <sheetName val="Corp OH"/>
      <sheetName val="July Fuel"/>
      <sheetName val="70149 Detail"/>
      <sheetName val="70095 Detail"/>
      <sheetName val="70195 Detail"/>
      <sheetName val="70255 Detail"/>
      <sheetName val="6.30.17 BS"/>
      <sheetName val="Yakima BS "/>
      <sheetName val="Pro-forma Adj Detail"/>
    </sheetNames>
    <sheetDataSet>
      <sheetData sheetId="0">
        <row r="30">
          <cell r="AC30">
            <v>749099.65</v>
          </cell>
        </row>
      </sheetData>
      <sheetData sheetId="1"/>
      <sheetData sheetId="2"/>
      <sheetData sheetId="3">
        <row r="1">
          <cell r="A1" t="str">
            <v>Yakima Waste Systems, Inc G-89</v>
          </cell>
        </row>
      </sheetData>
      <sheetData sheetId="4">
        <row r="8">
          <cell r="B8">
            <v>0</v>
          </cell>
        </row>
      </sheetData>
      <sheetData sheetId="5">
        <row r="16">
          <cell r="P16">
            <v>0</v>
          </cell>
        </row>
      </sheetData>
      <sheetData sheetId="6"/>
      <sheetData sheetId="7"/>
      <sheetData sheetId="8">
        <row r="36">
          <cell r="E36">
            <v>8.8546485705000733E-2</v>
          </cell>
        </row>
      </sheetData>
      <sheetData sheetId="9">
        <row r="36">
          <cell r="E36">
            <v>-5.2505146465273579E-2</v>
          </cell>
        </row>
      </sheetData>
      <sheetData sheetId="10">
        <row r="6">
          <cell r="J6">
            <v>-5.3162356997751466E-2</v>
          </cell>
        </row>
      </sheetData>
      <sheetData sheetId="11"/>
      <sheetData sheetId="12"/>
      <sheetData sheetId="13">
        <row r="21">
          <cell r="F21">
            <v>1708297.48</v>
          </cell>
        </row>
      </sheetData>
      <sheetData sheetId="14"/>
      <sheetData sheetId="15">
        <row r="64">
          <cell r="Y64">
            <v>22919.914580870409</v>
          </cell>
        </row>
      </sheetData>
      <sheetData sheetId="16">
        <row r="10">
          <cell r="B10">
            <v>3635.19</v>
          </cell>
        </row>
      </sheetData>
      <sheetData sheetId="17">
        <row r="39">
          <cell r="B39">
            <v>2349.7995013614564</v>
          </cell>
        </row>
      </sheetData>
      <sheetData sheetId="18">
        <row r="13">
          <cell r="L13">
            <v>3949.02</v>
          </cell>
        </row>
      </sheetData>
      <sheetData sheetId="19"/>
      <sheetData sheetId="20">
        <row r="25">
          <cell r="C25">
            <v>22665.762188783203</v>
          </cell>
        </row>
      </sheetData>
      <sheetData sheetId="21"/>
      <sheetData sheetId="22"/>
      <sheetData sheetId="23"/>
      <sheetData sheetId="24"/>
      <sheetData sheetId="25"/>
      <sheetData sheetId="26"/>
      <sheetData sheetId="27">
        <row r="173">
          <cell r="E173">
            <v>218</v>
          </cell>
        </row>
      </sheetData>
      <sheetData sheetId="28">
        <row r="64">
          <cell r="D64">
            <v>1271</v>
          </cell>
        </row>
      </sheetData>
      <sheetData sheetId="29">
        <row r="128">
          <cell r="E128">
            <v>4587.2300000000005</v>
          </cell>
        </row>
      </sheetData>
      <sheetData sheetId="30">
        <row r="35">
          <cell r="P35">
            <v>655883.93000000005</v>
          </cell>
        </row>
      </sheetData>
      <sheetData sheetId="31" refreshError="1"/>
      <sheetData sheetId="3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 BS"/>
      <sheetName val="2010 BS"/>
      <sheetName val="2009 IS"/>
      <sheetName val="2010 IS"/>
      <sheetName val="Consolidated IS"/>
      <sheetName val="Alloc %"/>
      <sheetName val="Rest Expl"/>
      <sheetName val="Prof Expl"/>
      <sheetName val="2009 Price Out (REG)"/>
      <sheetName val="LG-Total Reg"/>
      <sheetName val="LG-Pckr"/>
      <sheetName val="LG-RO"/>
      <sheetName val="2009-2010"/>
      <sheetName val="2009 Depr Summary"/>
      <sheetName val="2009 Trks"/>
      <sheetName val="2009 Cont, DB"/>
      <sheetName val="2009 Serv, Shop"/>
      <sheetName val="2009 Office"/>
      <sheetName val="2009 Leasehold"/>
      <sheetName val="2010 Deprec Summary"/>
      <sheetName val="2010 Trks"/>
      <sheetName val="2010 Cont, DB"/>
      <sheetName val="2010 Serv, Shop"/>
      <sheetName val="2010 Office"/>
      <sheetName val="2010 Leaseh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Ranges"/>
      <sheetName val="StatEntry_Trend"/>
      <sheetName val="StatEntry_Detail"/>
      <sheetName val="StatEntry_Reclass_LOB_Sbst"/>
      <sheetName val="ChangeHistory"/>
      <sheetName val="Stat Lookup"/>
    </sheetNames>
    <sheetDataSet>
      <sheetData sheetId="0">
        <row r="5">
          <cell r="B5" t="str">
            <v>Can_Commercial</v>
          </cell>
          <cell r="D5" t="str">
            <v>Act</v>
          </cell>
        </row>
        <row r="6">
          <cell r="B6" t="str">
            <v>Can_Commercial Recycling</v>
          </cell>
          <cell r="D6" t="str">
            <v>Bud</v>
          </cell>
        </row>
        <row r="7">
          <cell r="B7" t="str">
            <v>Can_Landfill</v>
          </cell>
          <cell r="D7" t="str">
            <v>Proj</v>
          </cell>
        </row>
        <row r="8">
          <cell r="B8" t="str">
            <v>Can_Landfill Gas</v>
          </cell>
        </row>
        <row r="9">
          <cell r="B9" t="str">
            <v>Can_MRF</v>
          </cell>
        </row>
        <row r="10">
          <cell r="B10" t="str">
            <v>Can_Other</v>
          </cell>
        </row>
        <row r="11">
          <cell r="B11" t="str">
            <v>Can_Residential</v>
          </cell>
        </row>
        <row r="12">
          <cell r="B12" t="str">
            <v>Can_Residential Recycling</v>
          </cell>
        </row>
        <row r="13">
          <cell r="B13" t="str">
            <v>Can_Roll Off</v>
          </cell>
        </row>
        <row r="14">
          <cell r="B14" t="str">
            <v>Can_Transfer Station</v>
          </cell>
        </row>
      </sheetData>
      <sheetData sheetId="1"/>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001Tranx"/>
      <sheetName val="JEexport"/>
      <sheetName val="Intro Memo"/>
      <sheetName val="JE_Summary"/>
      <sheetName val="Mth00"/>
      <sheetName val="Mth01"/>
      <sheetName val="Mth02"/>
      <sheetName val="Mth03"/>
      <sheetName val="Mth04"/>
      <sheetName val="Mth05"/>
      <sheetName val="Mth06"/>
      <sheetName val="Mth07"/>
      <sheetName val="Mth08"/>
      <sheetName val="Mth09"/>
      <sheetName val="Mth10"/>
      <sheetName val="Mth11"/>
      <sheetName val="Mth12"/>
      <sheetName val="TEST"/>
      <sheetName val="To Do"/>
      <sheetName val="GLMapping"/>
      <sheetName val="BatchLog"/>
      <sheetName val="Reference"/>
    </sheetNames>
    <sheetDataSet>
      <sheetData sheetId="0"/>
      <sheetData sheetId="1">
        <row r="9">
          <cell r="L9">
            <v>11501</v>
          </cell>
        </row>
        <row r="10">
          <cell r="L10" t="str">
            <v>11501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320"/>
      <sheetName val="#REF"/>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PL_ActReview2"/>
      <sheetName val="BS_Close"/>
      <sheetName val="PL_ActTranx"/>
      <sheetName val="IS200PL"/>
      <sheetName val="IS210PL"/>
      <sheetName val="ProjRevCheck"/>
      <sheetName val="BDebtCheck"/>
      <sheetName val="52901Check"/>
      <sheetName val="ICCheck"/>
      <sheetName val="BSCheck"/>
      <sheetName val="BadJECheck"/>
      <sheetName val="JE_Review"/>
      <sheetName val="Proj1"/>
      <sheetName val="Proj2"/>
    </sheetNames>
    <sheetDataSet>
      <sheetData sheetId="0"/>
      <sheetData sheetId="1">
        <row r="2">
          <cell r="S2" t="str">
            <v>P&amp;L Close Report</v>
          </cell>
        </row>
        <row r="3">
          <cell r="S3" t="str">
            <v>P&amp;L Close Report 2</v>
          </cell>
        </row>
        <row r="4">
          <cell r="S4" t="str">
            <v>BS Close Report</v>
          </cell>
        </row>
        <row r="5">
          <cell r="S5" t="str">
            <v>IS 200 - PL Review</v>
          </cell>
        </row>
        <row r="6">
          <cell r="S6" t="str">
            <v>IS 210 - PL Review</v>
          </cell>
        </row>
        <row r="7">
          <cell r="S7" t="str">
            <v>P&amp;L Tranx Report</v>
          </cell>
        </row>
        <row r="8">
          <cell r="S8" t="str">
            <v>JE Review Report</v>
          </cell>
        </row>
        <row r="9">
          <cell r="S9" t="str">
            <v>Corp: Rev/Proj Check</v>
          </cell>
        </row>
        <row r="10">
          <cell r="S10" t="str">
            <v>Corp: 52901 Check</v>
          </cell>
        </row>
        <row r="11">
          <cell r="S11" t="str">
            <v>Corp: BS Check</v>
          </cell>
        </row>
        <row r="12">
          <cell r="S12" t="str">
            <v>Corp: Bad Debt Check</v>
          </cell>
        </row>
        <row r="13">
          <cell r="S13" t="str">
            <v>Corp: IC Check</v>
          </cell>
        </row>
        <row r="14">
          <cell r="S14" t="str">
            <v>Corp: JE Neg Check</v>
          </cell>
        </row>
        <row r="15">
          <cell r="S15" t="str">
            <v>Proj Review Report</v>
          </cell>
        </row>
        <row r="16">
          <cell r="S16" t="str">
            <v>Proj Review Report 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pg 1-2"/>
      <sheetName val="OrgControl, pg 3"/>
      <sheetName val="BS-Assets, pg 4"/>
      <sheetName val="BS-Liab, pg 5"/>
      <sheetName val="FixedAssets, pg 6"/>
      <sheetName val="Income Statement, pg 7"/>
      <sheetName val="RevenuesCust, pg 8"/>
      <sheetName val="Recyc-YW, pg 9"/>
      <sheetName val="contracts, pg 10"/>
      <sheetName val="GarbageDisp, pg 11"/>
      <sheetName val="RecycleProcessing, pg 12"/>
      <sheetName val="RetainEarn, pg 13"/>
      <sheetName val="Payroll, pg 14"/>
      <sheetName val="Fuel, pg 15"/>
      <sheetName val="FeeCalc, pg 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G Nonpublic 2018 V5.0"/>
    </sheetNames>
    <sheetDataSet>
      <sheetData sheetId="0">
        <row r="55">
          <cell r="W55">
            <v>5.7225999999999999</v>
          </cell>
          <cell r="Y55">
            <v>5.6985000000000001</v>
          </cell>
        </row>
        <row r="56">
          <cell r="W56">
            <v>5.7082699999999997</v>
          </cell>
          <cell r="Y56">
            <v>5.6921999999999997</v>
          </cell>
        </row>
        <row r="58">
          <cell r="X58">
            <v>0.68367</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G Nonpublic 2018 V5.0"/>
    </sheetNames>
    <sheetDataSet>
      <sheetData sheetId="0">
        <row r="55">
          <cell r="W55">
            <v>5.7225999999999999</v>
          </cell>
          <cell r="Y55">
            <v>5.6985000000000001</v>
          </cell>
        </row>
        <row r="56">
          <cell r="W56">
            <v>5.7082699999999997</v>
          </cell>
          <cell r="Y56">
            <v>5.6921999999999997</v>
          </cell>
        </row>
        <row r="58">
          <cell r="X58">
            <v>0.68367</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tyCash-10110"/>
      <sheetName val="10200"/>
      <sheetName val="10210"/>
      <sheetName val="10250_RECON"/>
      <sheetName val="10250_MVPSS"/>
      <sheetName val="10250_Recy Chkg"/>
      <sheetName val="10250_Reimb Accts"/>
      <sheetName val="10250_Rollfwd"/>
      <sheetName val="10410_Rollfwd"/>
      <sheetName val="10410_Recon"/>
      <sheetName val="10410_Trade"/>
      <sheetName val="10410_Lodi"/>
      <sheetName val="10410_Sac Co"/>
      <sheetName val="10410_Brokered"/>
      <sheetName val="10420_Rollfwd"/>
      <sheetName val="10420 RECON"/>
      <sheetName val="Rollfwd_10550"/>
      <sheetName val="Recon_10550"/>
      <sheetName val="Recon_10555"/>
      <sheetName val="Recon_10610"/>
      <sheetName val="A170XX-October"/>
      <sheetName val="Recon_10760"/>
      <sheetName val="Rollfwd_10820"/>
      <sheetName val="PPXXC_10830"/>
      <sheetName val="Schedule_10830"/>
      <sheetName val="Recon_10830"/>
      <sheetName val="Rollfwd_10850"/>
      <sheetName val="Recon_10850"/>
      <sheetName val="ReconSumm_10890"/>
      <sheetName val="ASSETS 11XXX"/>
      <sheetName val="ACC DEP 12XXX"/>
      <sheetName val="GOODWILL_15120"/>
      <sheetName val="Rollfwd_15450"/>
      <sheetName val="15450_92 bond"/>
      <sheetName val="15450_94 Bond "/>
      <sheetName val="Recon_15450"/>
      <sheetName val="Rollfwd_15320_15500"/>
      <sheetName val="16100_Rollfwd"/>
      <sheetName val="A180543"/>
      <sheetName val="A20110"/>
      <sheetName val="Rollfwd_20120"/>
      <sheetName val="Recon_20120"/>
      <sheetName val="Recon_20130"/>
      <sheetName val="Recon_20133"/>
      <sheetName val="Recon_20135"/>
      <sheetName val="Recon_20137"/>
      <sheetName val="A20140"/>
      <sheetName val="SALES TAX RETURN_20140"/>
      <sheetName val="Rollfwd_20170"/>
      <sheetName val="Recon_20170"/>
      <sheetName val="Recon_20175"/>
      <sheetName val="Recon_20177"/>
      <sheetName val="Detail_20320"/>
      <sheetName val="Rollfwd_20325"/>
      <sheetName val="Recon_20325"/>
      <sheetName val="A20330"/>
      <sheetName val="RECON 20335"/>
      <sheetName val="RECON_20340"/>
      <sheetName val="DETAILED 20360"/>
      <sheetName val="recon 20365"/>
      <sheetName val="recon 20375"/>
      <sheetName val="A21100 &amp; A21250"/>
      <sheetName val="21250_92 Bond"/>
      <sheetName val="21250_94 Bond"/>
      <sheetName val="21250_R. Vaccarezza"/>
      <sheetName val="21250_BOND DIS AMORT"/>
      <sheetName val="A21390"/>
      <sheetName val="Recon 22104"/>
      <sheetName val="Recon 22105"/>
      <sheetName val="Recon 22109"/>
      <sheetName val="Recon 22205 "/>
      <sheetName val="Recon 22206"/>
      <sheetName val="Recon_30XXXX"/>
      <sheetName val="Recon 150543 Revised"/>
      <sheetName val="170001 DL 121999"/>
      <sheetName val="Rollfwd_170001"/>
      <sheetName val="A170001"/>
      <sheetName val="Rollfwd_170050"/>
      <sheetName val="A170050"/>
      <sheetName val="Rollfwd_171170"/>
      <sheetName val="A171170"/>
      <sheetName val="Rollfwd_171500"/>
      <sheetName val="A171500"/>
      <sheetName val="A171504"/>
      <sheetName val="A171531"/>
      <sheetName val="A172216"/>
      <sheetName val="A172220"/>
      <sheetName val="A172355"/>
      <sheetName val="Dec_99 DL_RAW"/>
      <sheetName val="Dec_99 DL_"/>
      <sheetName val="DEC_98 DL RAW"/>
      <sheetName val="DEC_98 DL "/>
      <sheetName val="Sheet4"/>
      <sheetName val="Sheet4 (2)"/>
      <sheetName val="XXXXXX"/>
      <sheetName val="BU NAMES"/>
      <sheetName val="PS BS ACCOU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4MthProj1"/>
      <sheetName val="4MthProj2"/>
      <sheetName val="PL_ActReview"/>
      <sheetName val="PL_ActReview2"/>
      <sheetName val="BS_Close"/>
      <sheetName val="IS200PL"/>
      <sheetName val="PL_ActTranx"/>
      <sheetName val="IS210PL"/>
      <sheetName val="ProjRevCheck"/>
      <sheetName val="BDebtCheck"/>
      <sheetName val="52901Check"/>
      <sheetName val="ICCheck"/>
      <sheetName val="BSCheck"/>
      <sheetName val="BadJECheck"/>
      <sheetName val="JE_Review"/>
      <sheetName val="Proj1"/>
      <sheetName val="Proj2"/>
    </sheetNames>
    <sheetDataSet>
      <sheetData sheetId="0"/>
      <sheetData sheetId="1">
        <row r="2">
          <cell r="S2" t="str">
            <v>P&amp;L Close Report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ivot"/>
      <sheetName val="Detail"/>
    </sheetNames>
    <sheetDataSet>
      <sheetData sheetId="0">
        <row r="4">
          <cell r="G4">
            <v>6628.0299999999988</v>
          </cell>
        </row>
        <row r="5">
          <cell r="G5">
            <v>249778.16200280003</v>
          </cell>
        </row>
        <row r="7">
          <cell r="G7">
            <v>-13066.21</v>
          </cell>
        </row>
        <row r="8">
          <cell r="G8">
            <v>-20263.074999999997</v>
          </cell>
        </row>
        <row r="9">
          <cell r="G9">
            <v>-76156.709999999992</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 Payroll Summary"/>
      <sheetName val="2018 Pierce Payroll"/>
      <sheetName val="2183 EE Job Description"/>
      <sheetName val="2184 EE Job Description"/>
      <sheetName val="2185 EE Job Description"/>
      <sheetName val="2180 Job Descriptions"/>
      <sheetName val="Matt Detail"/>
      <sheetName val="Payroll Report Pivot"/>
      <sheetName val="EE Counts"/>
      <sheetName val="Modified Payroll Report"/>
      <sheetName val="2180 IS 2018"/>
      <sheetName val="Live Pivot"/>
      <sheetName val="Transferred EE Pivot"/>
      <sheetName val="Transferred EE PR REport"/>
      <sheetName val="1 WCN Employee Roster - Copy"/>
      <sheetName val="Sheet6"/>
      <sheetName val="JE Query - Container"/>
      <sheetName val="JE Query - Sales"/>
      <sheetName val="JE Query - Drivers"/>
      <sheetName val="JE Query - G&amp;A"/>
      <sheetName val="JE Query - Supervisor"/>
      <sheetName val="JE Query - Mechanic"/>
      <sheetName val="JE Lookup"/>
    </sheetNames>
    <sheetDataSet>
      <sheetData sheetId="0"/>
      <sheetData sheetId="1">
        <row r="5">
          <cell r="Y5">
            <v>82.145187494230782</v>
          </cell>
        </row>
        <row r="123">
          <cell r="L123">
            <v>214686.98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ummary"/>
      <sheetName val="Customer Count Summary"/>
      <sheetName val="C-Rec Cus"/>
      <sheetName val="JBLM Container Count"/>
      <sheetName val="MF Recy"/>
      <sheetName val="2180 (Reg.) - Price Out "/>
      <sheetName val="2180 (Roy) - Price Out"/>
      <sheetName val="2180 (JBLM Housing) - Price Out"/>
      <sheetName val="2180 (FtL) - Price Out"/>
      <sheetName val="2180 (Lkwd) - Price Out"/>
      <sheetName val="2180 (Dpt) - Price Out"/>
      <sheetName val="2180 (Etv) - Price Out"/>
      <sheetName val="2180 (Stcm) - Price Out"/>
      <sheetName val="2180 (UP) - Price Out"/>
      <sheetName val="2180 Comm Recycle"/>
      <sheetName val="JBLM"/>
      <sheetName val="RM Pivot"/>
      <sheetName val="PIVOT"/>
      <sheetName val="RM Data"/>
      <sheetName val="Interject_LastPulledValues"/>
      <sheetName val="2180 IS"/>
      <sheetName val="P&amp;L"/>
      <sheetName val="YTD Act-Proj (by mo.) vs. Bud"/>
      <sheetName val="Finance Charges"/>
      <sheetName val="N Lemay Rolloff Count"/>
      <sheetName val="Def Rev. Pivot"/>
      <sheetName val="Recycle Counts Link"/>
      <sheetName val="PI default bill area pricing"/>
      <sheetName val="Cust Counts for Budgets"/>
    </sheetNames>
    <sheetDataSet>
      <sheetData sheetId="0">
        <row r="6">
          <cell r="F6">
            <v>5094733.4499999993</v>
          </cell>
          <cell r="G6">
            <v>1079788.29</v>
          </cell>
          <cell r="H6">
            <v>289285.87999999989</v>
          </cell>
          <cell r="I6">
            <v>763954.71999999974</v>
          </cell>
          <cell r="J6">
            <v>166328.93999999997</v>
          </cell>
          <cell r="K6">
            <v>0</v>
          </cell>
        </row>
        <row r="7">
          <cell r="F7">
            <v>10460.719999999999</v>
          </cell>
          <cell r="G7">
            <v>1166.69</v>
          </cell>
          <cell r="H7">
            <v>24.28</v>
          </cell>
          <cell r="I7">
            <v>1774.9399999999998</v>
          </cell>
          <cell r="J7">
            <v>320.69000000000011</v>
          </cell>
          <cell r="K7">
            <v>0</v>
          </cell>
        </row>
        <row r="8">
          <cell r="F8">
            <v>870531.16999999993</v>
          </cell>
          <cell r="G8">
            <v>96085.260000000009</v>
          </cell>
          <cell r="H8">
            <v>25791.37</v>
          </cell>
          <cell r="I8">
            <v>115401.66000000002</v>
          </cell>
          <cell r="J8">
            <v>14926.589999999998</v>
          </cell>
          <cell r="K8">
            <v>0</v>
          </cell>
        </row>
        <row r="9">
          <cell r="F9">
            <v>6367526.089999998</v>
          </cell>
          <cell r="G9">
            <v>341195.93999999994</v>
          </cell>
          <cell r="H9">
            <v>155182.36000000007</v>
          </cell>
          <cell r="I9">
            <v>190924.59999999995</v>
          </cell>
          <cell r="J9">
            <v>225624.30999999997</v>
          </cell>
          <cell r="K9">
            <v>2835.1</v>
          </cell>
          <cell r="L9">
            <v>4316576.9099999992</v>
          </cell>
        </row>
        <row r="10">
          <cell r="F10">
            <v>762567.73999999976</v>
          </cell>
          <cell r="G10">
            <v>18021.68</v>
          </cell>
          <cell r="H10">
            <v>0</v>
          </cell>
          <cell r="I10">
            <v>19340.2</v>
          </cell>
          <cell r="J10">
            <v>52921.439999999995</v>
          </cell>
          <cell r="K10">
            <v>0</v>
          </cell>
        </row>
        <row r="11">
          <cell r="E11">
            <v>1084077.06</v>
          </cell>
          <cell r="F11">
            <v>760898.36</v>
          </cell>
          <cell r="G11">
            <v>67203.229999999981</v>
          </cell>
          <cell r="H11">
            <v>34332.549999999996</v>
          </cell>
          <cell r="I11">
            <v>22067.550000000003</v>
          </cell>
          <cell r="J11">
            <v>7499.78</v>
          </cell>
          <cell r="K11">
            <v>1268.4099999999999</v>
          </cell>
        </row>
        <row r="12">
          <cell r="F12">
            <v>884329.98999999964</v>
          </cell>
          <cell r="G12">
            <v>158851.91999999998</v>
          </cell>
          <cell r="H12">
            <v>11689.01</v>
          </cell>
          <cell r="I12">
            <v>27577.670000000006</v>
          </cell>
          <cell r="J12">
            <v>7315.0700000000006</v>
          </cell>
          <cell r="K12">
            <v>32611.35</v>
          </cell>
        </row>
        <row r="13">
          <cell r="F13">
            <v>2053397.4600000002</v>
          </cell>
          <cell r="G13">
            <v>296392.17000000004</v>
          </cell>
          <cell r="H13">
            <v>23242.670000000006</v>
          </cell>
          <cell r="I13">
            <v>52741.049999999996</v>
          </cell>
          <cell r="J13">
            <v>26791.75</v>
          </cell>
          <cell r="K13">
            <v>34863.730000000003</v>
          </cell>
        </row>
      </sheetData>
      <sheetData sheetId="1">
        <row r="5">
          <cell r="H5">
            <v>0</v>
          </cell>
          <cell r="I5">
            <v>12620.034036656632</v>
          </cell>
          <cell r="J5">
            <v>2944.0368606612997</v>
          </cell>
          <cell r="K5">
            <v>871.56923471453547</v>
          </cell>
          <cell r="L5">
            <v>1947.6300643845536</v>
          </cell>
          <cell r="M5">
            <v>388.4807367036351</v>
          </cell>
          <cell r="N5">
            <v>0</v>
          </cell>
        </row>
        <row r="6">
          <cell r="H6">
            <v>0</v>
          </cell>
          <cell r="I6">
            <v>859.82558210096977</v>
          </cell>
          <cell r="J6">
            <v>12.269389707486454</v>
          </cell>
          <cell r="K6">
            <v>0</v>
          </cell>
          <cell r="L6">
            <v>44.563846844736823</v>
          </cell>
          <cell r="M6">
            <v>6.5647056187042869</v>
          </cell>
          <cell r="N6">
            <v>1</v>
          </cell>
        </row>
        <row r="7">
          <cell r="H7">
            <v>0</v>
          </cell>
          <cell r="I7">
            <v>1409.4885144092846</v>
          </cell>
          <cell r="J7">
            <v>59.131023536625783</v>
          </cell>
          <cell r="K7">
            <v>0</v>
          </cell>
          <cell r="L7">
            <v>58.991842947631504</v>
          </cell>
          <cell r="M7">
            <v>26.987976598873882</v>
          </cell>
          <cell r="N7">
            <v>0</v>
          </cell>
          <cell r="O7">
            <v>602</v>
          </cell>
        </row>
        <row r="9">
          <cell r="H9">
            <v>0</v>
          </cell>
          <cell r="I9">
            <v>100.6492208712551</v>
          </cell>
          <cell r="J9">
            <v>10.852919977003012</v>
          </cell>
          <cell r="K9">
            <v>3.4552084943035899</v>
          </cell>
          <cell r="L9">
            <v>3.2975283802424014</v>
          </cell>
          <cell r="M9">
            <v>1.8425309730345749</v>
          </cell>
          <cell r="N9">
            <v>7</v>
          </cell>
          <cell r="O9">
            <v>39</v>
          </cell>
        </row>
        <row r="10">
          <cell r="O10">
            <v>48</v>
          </cell>
        </row>
        <row r="11">
          <cell r="H11">
            <v>0</v>
          </cell>
          <cell r="I11">
            <v>12504.292865675123</v>
          </cell>
          <cell r="J11">
            <v>2956.1098817481743</v>
          </cell>
          <cell r="K11">
            <v>870.36915907157027</v>
          </cell>
          <cell r="L11">
            <v>1964.2481431656761</v>
          </cell>
          <cell r="M11">
            <v>389.18221852403053</v>
          </cell>
          <cell r="N11">
            <v>0</v>
          </cell>
        </row>
        <row r="12">
          <cell r="E12">
            <v>2871</v>
          </cell>
          <cell r="G12">
            <v>159</v>
          </cell>
          <cell r="H12">
            <v>0</v>
          </cell>
          <cell r="I12">
            <v>1857</v>
          </cell>
          <cell r="J12">
            <v>16</v>
          </cell>
          <cell r="K12">
            <v>0</v>
          </cell>
          <cell r="L12">
            <v>113</v>
          </cell>
          <cell r="M12">
            <v>10</v>
          </cell>
          <cell r="N12">
            <v>0</v>
          </cell>
        </row>
        <row r="13">
          <cell r="E13">
            <v>253</v>
          </cell>
          <cell r="H13">
            <v>0</v>
          </cell>
          <cell r="I13">
            <v>256</v>
          </cell>
          <cell r="J13">
            <v>27</v>
          </cell>
          <cell r="K13">
            <v>0</v>
          </cell>
          <cell r="L13">
            <v>17</v>
          </cell>
          <cell r="M13">
            <v>21</v>
          </cell>
          <cell r="N13">
            <v>0</v>
          </cell>
        </row>
        <row r="14">
          <cell r="H14">
            <v>833</v>
          </cell>
          <cell r="I14">
            <v>445</v>
          </cell>
          <cell r="J14">
            <v>22</v>
          </cell>
          <cell r="K14">
            <v>33</v>
          </cell>
          <cell r="L14">
            <v>9</v>
          </cell>
          <cell r="M14">
            <v>2</v>
          </cell>
          <cell r="N14">
            <v>0</v>
          </cell>
          <cell r="O14">
            <v>37</v>
          </cell>
        </row>
        <row r="15">
          <cell r="H15">
            <v>538</v>
          </cell>
          <cell r="I15">
            <v>367</v>
          </cell>
          <cell r="J15">
            <v>35</v>
          </cell>
          <cell r="K15">
            <v>15</v>
          </cell>
          <cell r="L15">
            <v>7</v>
          </cell>
          <cell r="M15">
            <v>4</v>
          </cell>
          <cell r="N15">
            <v>1</v>
          </cell>
          <cell r="O15">
            <v>491</v>
          </cell>
        </row>
        <row r="16">
          <cell r="H16">
            <v>0</v>
          </cell>
          <cell r="I16">
            <v>8298.198915145038</v>
          </cell>
          <cell r="J16">
            <v>1267.5437042839214</v>
          </cell>
          <cell r="K16">
            <v>393.51441400353116</v>
          </cell>
          <cell r="L16">
            <v>1571.3182334389965</v>
          </cell>
          <cell r="M16">
            <v>146.34870049389585</v>
          </cell>
          <cell r="N16">
            <v>0</v>
          </cell>
          <cell r="O16">
            <v>46</v>
          </cell>
        </row>
      </sheetData>
      <sheetData sheetId="2"/>
      <sheetData sheetId="3"/>
      <sheetData sheetId="4"/>
      <sheetData sheetId="5"/>
      <sheetData sheetId="6"/>
      <sheetData sheetId="7">
        <row r="22">
          <cell r="AJ22">
            <v>4247.3786222374065</v>
          </cell>
        </row>
        <row r="77">
          <cell r="AJ77">
            <v>4</v>
          </cell>
        </row>
      </sheetData>
      <sheetData sheetId="8"/>
      <sheetData sheetId="9"/>
      <sheetData sheetId="10"/>
      <sheetData sheetId="11"/>
      <sheetData sheetId="12"/>
      <sheetData sheetId="13"/>
      <sheetData sheetId="14">
        <row r="3">
          <cell r="A3" t="str">
            <v>PIERCE UTC</v>
          </cell>
        </row>
      </sheetData>
      <sheetData sheetId="15"/>
      <sheetData sheetId="16"/>
      <sheetData sheetId="17"/>
      <sheetData sheetId="18">
        <row r="1">
          <cell r="H1">
            <v>0</v>
          </cell>
        </row>
        <row r="2">
          <cell r="H2" t="str">
            <v>SERVICE CODE</v>
          </cell>
          <cell r="I2" t="str">
            <v>SERVICE CODE DESCRIPTION</v>
          </cell>
        </row>
        <row r="3">
          <cell r="H3" t="str">
            <v>FINCHG</v>
          </cell>
          <cell r="I3" t="str">
            <v>LATE FEE</v>
          </cell>
        </row>
        <row r="4">
          <cell r="H4" t="str">
            <v>DISPFEDMSW-COMM</v>
          </cell>
          <cell r="I4" t="str">
            <v>DISPOSAL FEDERAL MSW - CO</v>
          </cell>
        </row>
        <row r="5">
          <cell r="H5" t="str">
            <v>FL001.5Y1W001</v>
          </cell>
          <cell r="I5" t="str">
            <v>1.5 YD 1X WK 1</v>
          </cell>
        </row>
        <row r="6">
          <cell r="H6" t="str">
            <v>CONTRACTEDC</v>
          </cell>
          <cell r="I6" t="str">
            <v>CONTRACTED SERVICE - COMM</v>
          </cell>
        </row>
        <row r="7">
          <cell r="H7" t="str">
            <v>DISPMIX-COMM</v>
          </cell>
          <cell r="I7" t="str">
            <v>DISPOSAL MIX CMGL OCC - COMM</v>
          </cell>
        </row>
        <row r="8">
          <cell r="H8" t="str">
            <v>DISPTONER-COMM</v>
          </cell>
          <cell r="I8" t="str">
            <v>DISPOSAL TONER - COMM</v>
          </cell>
        </row>
        <row r="9">
          <cell r="H9" t="str">
            <v>PAYEFT</v>
          </cell>
          <cell r="I9" t="str">
            <v>EFT PAYMENT</v>
          </cell>
        </row>
        <row r="10">
          <cell r="H10" t="str">
            <v>PAYICT</v>
          </cell>
          <cell r="I10" t="str">
            <v>I/C PAYMENT THANK YOU</v>
          </cell>
        </row>
        <row r="11">
          <cell r="H11" t="str">
            <v>DISPCMGL-RES</v>
          </cell>
          <cell r="I11" t="str">
            <v>DISPOSAL COMINGLE - RES</v>
          </cell>
        </row>
        <row r="12">
          <cell r="H12" t="str">
            <v>DISPBATT-RO</v>
          </cell>
          <cell r="I12" t="str">
            <v>DISPOSAL BATTERIES - RO</v>
          </cell>
        </row>
        <row r="13">
          <cell r="H13" t="str">
            <v>DISPBOOKS-RO</v>
          </cell>
          <cell r="I13" t="str">
            <v>DISPOSAL BOOKS - RO</v>
          </cell>
        </row>
        <row r="14">
          <cell r="H14" t="str">
            <v>DISPCMGL-RO</v>
          </cell>
          <cell r="I14" t="str">
            <v xml:space="preserve">DISPOSAL FEE COMMINGLE - </v>
          </cell>
        </row>
        <row r="15">
          <cell r="H15" t="str">
            <v>DISPEWASTE-RO</v>
          </cell>
          <cell r="I15" t="str">
            <v>DISPOSAL FEE EWASTE - RO</v>
          </cell>
        </row>
        <row r="16">
          <cell r="H16" t="str">
            <v>DISPFEDMSW-RO</v>
          </cell>
          <cell r="I16" t="str">
            <v xml:space="preserve">DISPOSAL FEE FEDERAL MSW </v>
          </cell>
        </row>
        <row r="17">
          <cell r="H17" t="str">
            <v>DISPFOOD-RO</v>
          </cell>
          <cell r="I17" t="str">
            <v>DISPOSAL FEE FOOD WASTE -</v>
          </cell>
        </row>
        <row r="18">
          <cell r="H18" t="str">
            <v>DISPGLASS-RO</v>
          </cell>
          <cell r="I18" t="str">
            <v>DISPOSAL FEE GLASS - RO</v>
          </cell>
        </row>
        <row r="19">
          <cell r="H19" t="str">
            <v>DISPGW-RO</v>
          </cell>
          <cell r="I19" t="str">
            <v>DISPOSAL FEE GREENWASTE -</v>
          </cell>
        </row>
        <row r="20">
          <cell r="H20" t="str">
            <v>DISPMETAL-RO</v>
          </cell>
          <cell r="I20" t="str">
            <v>DISPOSAL FEE METAL - RO</v>
          </cell>
        </row>
        <row r="21">
          <cell r="H21" t="str">
            <v>DISPOCC-RO</v>
          </cell>
          <cell r="I21" t="str">
            <v xml:space="preserve">DISPOSAL FEE CARDBOARD - </v>
          </cell>
        </row>
        <row r="22">
          <cell r="H22" t="str">
            <v>DISPOP-RO</v>
          </cell>
          <cell r="I22" t="str">
            <v>DISPOSAL OFFICE PAPER</v>
          </cell>
        </row>
        <row r="23">
          <cell r="H23" t="str">
            <v>DISPTEX-RO</v>
          </cell>
          <cell r="I23" t="str">
            <v>DISPOSAL TEXTILE - RO</v>
          </cell>
        </row>
        <row r="24">
          <cell r="H24" t="str">
            <v>DISPWD-RO</v>
          </cell>
          <cell r="I24" t="str">
            <v>DISPOSAL FEE WOOD - RO</v>
          </cell>
        </row>
        <row r="25">
          <cell r="H25" t="str">
            <v>BD</v>
          </cell>
          <cell r="I25" t="str">
            <v>BAD DEBT WRITE OFF</v>
          </cell>
        </row>
        <row r="26">
          <cell r="H26" t="str">
            <v>BDR</v>
          </cell>
          <cell r="I26" t="str">
            <v>BAD DEBT RECOVERY</v>
          </cell>
        </row>
        <row r="27">
          <cell r="H27" t="str">
            <v>MM</v>
          </cell>
          <cell r="I27" t="str">
            <v>ADJUST BALANCE (MM)</v>
          </cell>
        </row>
        <row r="28">
          <cell r="H28" t="str">
            <v>MM</v>
          </cell>
          <cell r="I28" t="str">
            <v>ADJUST BALANCE (MM)</v>
          </cell>
        </row>
        <row r="29">
          <cell r="H29" t="str">
            <v>REFUND</v>
          </cell>
          <cell r="I29" t="str">
            <v>REFUND</v>
          </cell>
        </row>
        <row r="30">
          <cell r="H30" t="str">
            <v>FINCHG</v>
          </cell>
          <cell r="I30" t="str">
            <v>LATE FEE</v>
          </cell>
        </row>
        <row r="31">
          <cell r="H31" t="str">
            <v>BD</v>
          </cell>
          <cell r="I31" t="str">
            <v>BAD DEBT WRITE OFF</v>
          </cell>
        </row>
        <row r="32">
          <cell r="H32" t="str">
            <v>BDR</v>
          </cell>
          <cell r="I32" t="str">
            <v>BAD DEBT RECOVERY</v>
          </cell>
        </row>
        <row r="33">
          <cell r="H33" t="str">
            <v>COLLFEE</v>
          </cell>
          <cell r="I33" t="str">
            <v>COLLECTION AGENCY FEE</v>
          </cell>
        </row>
        <row r="34">
          <cell r="H34" t="str">
            <v>MM</v>
          </cell>
          <cell r="I34" t="str">
            <v>ADJUST BALANCE (MM)</v>
          </cell>
        </row>
        <row r="35">
          <cell r="H35" t="str">
            <v>MM</v>
          </cell>
          <cell r="I35" t="str">
            <v>ADJUST BALANCE (MM)</v>
          </cell>
        </row>
        <row r="36">
          <cell r="H36" t="str">
            <v>REFUND</v>
          </cell>
          <cell r="I36" t="str">
            <v>REFUND</v>
          </cell>
        </row>
        <row r="37">
          <cell r="H37" t="str">
            <v>FINCHG</v>
          </cell>
          <cell r="I37" t="str">
            <v>LATE FEE</v>
          </cell>
        </row>
        <row r="38">
          <cell r="H38" t="str">
            <v>FINCHG</v>
          </cell>
          <cell r="I38" t="str">
            <v>LATE FEE</v>
          </cell>
        </row>
        <row r="39">
          <cell r="H39" t="str">
            <v>ACCESS-COMM</v>
          </cell>
          <cell r="I39" t="str">
            <v>ACCESS FEE - COMM</v>
          </cell>
        </row>
        <row r="40">
          <cell r="H40" t="str">
            <v>DONATIONC</v>
          </cell>
          <cell r="I40" t="str">
            <v>DONATED SERVICE COMM</v>
          </cell>
        </row>
        <row r="41">
          <cell r="H41" t="str">
            <v>DRIVEIN1-COMM</v>
          </cell>
          <cell r="I41" t="str">
            <v>DRIVE IN 125-250' - COMM</v>
          </cell>
        </row>
        <row r="42">
          <cell r="H42" t="str">
            <v>FL001.0Y1W001</v>
          </cell>
          <cell r="I42" t="str">
            <v>1 YD 1X WK 1</v>
          </cell>
        </row>
        <row r="43">
          <cell r="H43" t="str">
            <v>FL001.5Y1W001</v>
          </cell>
          <cell r="I43" t="str">
            <v>1.5 YD 1X WK 1</v>
          </cell>
        </row>
        <row r="44">
          <cell r="H44" t="str">
            <v>FL001.5Y2W001</v>
          </cell>
          <cell r="I44" t="str">
            <v>1.5 YD 2X WK 1</v>
          </cell>
        </row>
        <row r="45">
          <cell r="H45" t="str">
            <v>FL002.0Y1W001</v>
          </cell>
          <cell r="I45" t="str">
            <v>2 YD 1X WK 1</v>
          </cell>
        </row>
        <row r="46">
          <cell r="H46" t="str">
            <v>FL002.0Y2W001</v>
          </cell>
          <cell r="I46" t="str">
            <v>2 YD 2X WK 1</v>
          </cell>
        </row>
        <row r="47">
          <cell r="H47" t="str">
            <v>FL002.0Y3W001</v>
          </cell>
          <cell r="I47" t="str">
            <v>2 YD 3X WK 1</v>
          </cell>
        </row>
        <row r="48">
          <cell r="H48" t="str">
            <v>FL003.0Y1W001</v>
          </cell>
          <cell r="I48" t="str">
            <v>3 YD 1X WK 1</v>
          </cell>
        </row>
        <row r="49">
          <cell r="H49" t="str">
            <v>FL003.0Y2W001</v>
          </cell>
          <cell r="I49" t="str">
            <v>3 YD 2X WK 1</v>
          </cell>
        </row>
        <row r="50">
          <cell r="H50" t="str">
            <v>FL003.0Y3W001</v>
          </cell>
          <cell r="I50" t="str">
            <v>3 YD 3X WK 1</v>
          </cell>
        </row>
        <row r="51">
          <cell r="H51" t="str">
            <v>FL004.0Y1W001</v>
          </cell>
          <cell r="I51" t="str">
            <v>4 YD 1X WK 1</v>
          </cell>
        </row>
        <row r="52">
          <cell r="H52" t="str">
            <v>FL004.0Y2W001</v>
          </cell>
          <cell r="I52" t="str">
            <v>4 YD 2X WK 1</v>
          </cell>
        </row>
        <row r="53">
          <cell r="H53" t="str">
            <v>FL004.0Y3W001</v>
          </cell>
          <cell r="I53" t="str">
            <v>4 YD 3X WK 1</v>
          </cell>
        </row>
        <row r="54">
          <cell r="H54" t="str">
            <v>FL006.0Y1W001</v>
          </cell>
          <cell r="I54" t="str">
            <v>6 YD 1X WK 1</v>
          </cell>
        </row>
        <row r="55">
          <cell r="H55" t="str">
            <v>FL006.0Y2W001</v>
          </cell>
          <cell r="I55" t="str">
            <v>6 YD 2X WK 1</v>
          </cell>
        </row>
        <row r="56">
          <cell r="H56" t="str">
            <v>FL006.0Y4W001</v>
          </cell>
          <cell r="I56" t="str">
            <v>6 YD 4X WK 1</v>
          </cell>
        </row>
        <row r="57">
          <cell r="H57" t="str">
            <v>ROLL-COMM</v>
          </cell>
          <cell r="I57" t="str">
            <v>ROLL OUT CHARGE - COMM</v>
          </cell>
        </row>
        <row r="58">
          <cell r="H58" t="str">
            <v>SL065.0G1W001NORECC</v>
          </cell>
          <cell r="I58" t="str">
            <v xml:space="preserve">65 GL 1X WK NO RECY COMM </v>
          </cell>
        </row>
        <row r="59">
          <cell r="H59" t="str">
            <v>SL065.0G1W001WRECC</v>
          </cell>
          <cell r="I59" t="str">
            <v>65 GL 1X WK W/RECY COMM 1</v>
          </cell>
        </row>
        <row r="60">
          <cell r="H60" t="str">
            <v>SL065.0GEO001WRECC</v>
          </cell>
          <cell r="I60" t="str">
            <v>65 GL EOW W/RECY COMM 1</v>
          </cell>
        </row>
        <row r="61">
          <cell r="H61" t="str">
            <v>SL095.0G1W001WRECC</v>
          </cell>
          <cell r="I61" t="str">
            <v>95 GL 1X WK W/RECY COMM 1</v>
          </cell>
        </row>
        <row r="62">
          <cell r="H62" t="str">
            <v>ADJ-COMM</v>
          </cell>
          <cell r="I62" t="str">
            <v>ADJUSTMENT SERVICE - COMM</v>
          </cell>
        </row>
        <row r="63">
          <cell r="H63" t="str">
            <v>CLEAN-COMM</v>
          </cell>
          <cell r="I63" t="str">
            <v xml:space="preserve">CONTAINER CLEANING FEE - </v>
          </cell>
        </row>
        <row r="64">
          <cell r="H64" t="str">
            <v>EXTRA-COMM</v>
          </cell>
          <cell r="I64" t="str">
            <v>EXTRA CAN, BAG, BOX - COM</v>
          </cell>
        </row>
        <row r="65">
          <cell r="H65" t="str">
            <v>FL002.0YXX001TEMPC</v>
          </cell>
          <cell r="I65" t="str">
            <v xml:space="preserve">2 YD TEMP </v>
          </cell>
        </row>
        <row r="66">
          <cell r="H66" t="str">
            <v>REINSTATE-COMM</v>
          </cell>
          <cell r="I66" t="str">
            <v>REINSTATE FEE - COMM</v>
          </cell>
        </row>
        <row r="67">
          <cell r="H67" t="str">
            <v>RENT2TEMP-COMM</v>
          </cell>
          <cell r="I67" t="str">
            <v>RENT 2 YD TEMP - COMM</v>
          </cell>
        </row>
        <row r="68">
          <cell r="H68" t="str">
            <v>SP1-COMM</v>
          </cell>
          <cell r="I68" t="str">
            <v>SPECIAL PICK UP 1 YD - CO</v>
          </cell>
        </row>
        <row r="69">
          <cell r="H69" t="str">
            <v>SP6-COMM</v>
          </cell>
          <cell r="I69" t="str">
            <v>SPECIAL PICK UP 6 YD - CO</v>
          </cell>
        </row>
        <row r="70">
          <cell r="H70" t="str">
            <v>ACCESSCREC-COMM</v>
          </cell>
          <cell r="I70" t="str">
            <v>ACCESS FEE COMM RECY - CO</v>
          </cell>
        </row>
        <row r="71">
          <cell r="H71" t="str">
            <v>FL002.0Y1W001BCMGL</v>
          </cell>
          <cell r="I71" t="str">
            <v>2 YD 1X WK BUS CMGL 1</v>
          </cell>
        </row>
        <row r="72">
          <cell r="H72" t="str">
            <v>FL002.0Y1W001BOCC</v>
          </cell>
          <cell r="I72" t="str">
            <v>2 YD 1X WK BUS OCC 1</v>
          </cell>
        </row>
        <row r="73">
          <cell r="H73" t="str">
            <v>FL004.0Y2W001CMGL</v>
          </cell>
          <cell r="I73" t="str">
            <v>4 YD 2X WK BUS CMGL 1</v>
          </cell>
        </row>
        <row r="74">
          <cell r="H74" t="str">
            <v>FL005.0Y1W001BOCC</v>
          </cell>
          <cell r="I74" t="str">
            <v>5 YD 1X WK BUS OCC 1</v>
          </cell>
        </row>
        <row r="75">
          <cell r="H75" t="str">
            <v>FL005.0Y2W001BOCC</v>
          </cell>
          <cell r="I75" t="str">
            <v>5 YD 2X WK BUS OCC 1</v>
          </cell>
        </row>
        <row r="76">
          <cell r="H76" t="str">
            <v>FL005.0Y3W001BOCC</v>
          </cell>
          <cell r="I76" t="str">
            <v>5 YD 3X WK BUS OCC 1</v>
          </cell>
        </row>
        <row r="77">
          <cell r="H77" t="str">
            <v>FL006.0Y1W001BCMGL</v>
          </cell>
          <cell r="I77" t="str">
            <v>6 YD 1X WK BUS COMINGLE 1</v>
          </cell>
        </row>
        <row r="78">
          <cell r="H78" t="str">
            <v>FL006.0Y2W001BCMGL</v>
          </cell>
          <cell r="I78" t="str">
            <v>6 YD 2X WK BUS COMINGLE 1</v>
          </cell>
        </row>
        <row r="79">
          <cell r="H79" t="str">
            <v>FL006.0Y4W001OCC</v>
          </cell>
          <cell r="I79" t="str">
            <v>6 YD 4X WK OCC 1</v>
          </cell>
        </row>
        <row r="80">
          <cell r="H80" t="str">
            <v>MFWBINS</v>
          </cell>
          <cell r="I80" t="str">
            <v>MULTI-FAMILY REC UNIT W/B</v>
          </cell>
        </row>
        <row r="81">
          <cell r="H81" t="str">
            <v>SL096.0G1W001BCMGLOUT</v>
          </cell>
          <cell r="I81" t="str">
            <v>96 GL WKLY BUS CMGL OUT</v>
          </cell>
        </row>
        <row r="82">
          <cell r="H82" t="str">
            <v>SL096.0GEO001BCMGLOUT</v>
          </cell>
          <cell r="I82" t="str">
            <v>96 GL EOW BUS CMGL OUT</v>
          </cell>
        </row>
        <row r="83">
          <cell r="H83" t="str">
            <v>SL096.0GEO001BCMGLIN</v>
          </cell>
          <cell r="I83" t="str">
            <v>96 GL EOW BUS CMGL IN</v>
          </cell>
        </row>
        <row r="84">
          <cell r="H84" t="str">
            <v>CC-KOL</v>
          </cell>
          <cell r="I84" t="str">
            <v>ONLINE PAYMENT-CC</v>
          </cell>
        </row>
        <row r="85">
          <cell r="H85" t="str">
            <v>CCREF-KOL</v>
          </cell>
          <cell r="I85" t="str">
            <v>CREDIT CARD REFUND</v>
          </cell>
        </row>
        <row r="86">
          <cell r="H86" t="str">
            <v>PAY</v>
          </cell>
          <cell r="I86" t="str">
            <v>PAYMENT THANK YOU</v>
          </cell>
        </row>
        <row r="87">
          <cell r="H87" t="str">
            <v>PAY-CFREE</v>
          </cell>
          <cell r="I87" t="str">
            <v>CHECKFREE PAYMENT</v>
          </cell>
        </row>
        <row r="88">
          <cell r="H88" t="str">
            <v>PAY-KOL</v>
          </cell>
          <cell r="I88" t="str">
            <v>PAYMENT-THANK YOU - OL</v>
          </cell>
        </row>
        <row r="89">
          <cell r="H89" t="str">
            <v>PAY-ORCC</v>
          </cell>
          <cell r="I89" t="str">
            <v>ORCC PAYMENT</v>
          </cell>
        </row>
        <row r="90">
          <cell r="H90" t="str">
            <v>PAY-RPPS</v>
          </cell>
          <cell r="I90" t="str">
            <v>RPPS MASTERCARD PAYMENT</v>
          </cell>
        </row>
        <row r="91">
          <cell r="H91" t="str">
            <v>PAYAD</v>
          </cell>
          <cell r="I91" t="str">
            <v>ADJUST PAYMENT AD</v>
          </cell>
        </row>
        <row r="92">
          <cell r="H92" t="str">
            <v>PAYMET</v>
          </cell>
          <cell r="I92" t="str">
            <v>METAVANTE ONLINE PAYMENT</v>
          </cell>
        </row>
        <row r="93">
          <cell r="H93" t="str">
            <v>PAYUSBL</v>
          </cell>
          <cell r="I93" t="str">
            <v>PAYMENT THANK YOU</v>
          </cell>
        </row>
        <row r="94">
          <cell r="H94" t="str">
            <v>RET-KOL</v>
          </cell>
          <cell r="I94" t="str">
            <v>ONLINE PAYMENT RETURN</v>
          </cell>
        </row>
        <row r="95">
          <cell r="H95" t="str">
            <v>CC-KOL</v>
          </cell>
          <cell r="I95" t="str">
            <v>ONLINE PAYMENT-CC</v>
          </cell>
        </row>
        <row r="96">
          <cell r="H96" t="str">
            <v>CCREF-KOL</v>
          </cell>
          <cell r="I96" t="str">
            <v>CREDIT CARD REFUND</v>
          </cell>
        </row>
        <row r="97">
          <cell r="H97" t="str">
            <v>PAY</v>
          </cell>
          <cell r="I97" t="str">
            <v>PAYMENT THANK YOU</v>
          </cell>
        </row>
        <row r="98">
          <cell r="H98" t="str">
            <v>PAY-CFREE</v>
          </cell>
          <cell r="I98" t="str">
            <v>CHECKFREE PAYMENT</v>
          </cell>
        </row>
        <row r="99">
          <cell r="H99" t="str">
            <v>PAY-KOL</v>
          </cell>
          <cell r="I99" t="str">
            <v>PAYMENT-THANK YOU - OL</v>
          </cell>
        </row>
        <row r="100">
          <cell r="H100" t="str">
            <v>PAY-ORCC</v>
          </cell>
          <cell r="I100" t="str">
            <v>ORCC PAYMENT</v>
          </cell>
        </row>
        <row r="101">
          <cell r="H101" t="str">
            <v>PAY-RPPS</v>
          </cell>
          <cell r="I101" t="str">
            <v>RPPS MASTERCARD PAYMENT</v>
          </cell>
        </row>
        <row r="102">
          <cell r="H102" t="str">
            <v>PAYMET</v>
          </cell>
          <cell r="I102" t="str">
            <v>METAVANTE ONLINE PAYMENT</v>
          </cell>
        </row>
        <row r="103">
          <cell r="H103" t="str">
            <v>PAYUSBL</v>
          </cell>
          <cell r="I103" t="str">
            <v>PAYMENT THANK YOU</v>
          </cell>
        </row>
        <row r="104">
          <cell r="H104" t="str">
            <v>CC-KOL</v>
          </cell>
          <cell r="I104" t="str">
            <v>ONLINE PAYMENT-CC</v>
          </cell>
        </row>
        <row r="105">
          <cell r="H105" t="str">
            <v>CCREF-KOL</v>
          </cell>
          <cell r="I105" t="str">
            <v>CREDIT CARD REFUND</v>
          </cell>
        </row>
        <row r="106">
          <cell r="H106" t="str">
            <v>PAY</v>
          </cell>
          <cell r="I106" t="str">
            <v>PAYMENT THANK YOU</v>
          </cell>
        </row>
        <row r="107">
          <cell r="H107" t="str">
            <v>PAY-CFREE</v>
          </cell>
          <cell r="I107" t="str">
            <v>CHECKFREE PAYMENT</v>
          </cell>
        </row>
        <row r="108">
          <cell r="H108" t="str">
            <v>PAY-KOL</v>
          </cell>
          <cell r="I108" t="str">
            <v>PAYMENT-THANK YOU - OL</v>
          </cell>
        </row>
        <row r="109">
          <cell r="H109" t="str">
            <v>PAY-NATL</v>
          </cell>
          <cell r="I109" t="str">
            <v>PAYMENT THANK YOU</v>
          </cell>
        </row>
        <row r="110">
          <cell r="H110" t="str">
            <v>PAY-OAK</v>
          </cell>
          <cell r="I110" t="str">
            <v>OAKLEAF PAYMENT</v>
          </cell>
        </row>
        <row r="111">
          <cell r="H111" t="str">
            <v>PAY-ORCC</v>
          </cell>
          <cell r="I111" t="str">
            <v>ORCC PAYMENT</v>
          </cell>
        </row>
        <row r="112">
          <cell r="H112" t="str">
            <v>PAY-RPPS</v>
          </cell>
          <cell r="I112" t="str">
            <v>RPPS MASTERCARD PAYMENT</v>
          </cell>
        </row>
        <row r="113">
          <cell r="H113" t="str">
            <v>PAYL</v>
          </cell>
          <cell r="I113" t="str">
            <v>PAYMENT THANK YOU</v>
          </cell>
        </row>
        <row r="114">
          <cell r="H114" t="str">
            <v>PAYMET</v>
          </cell>
          <cell r="I114" t="str">
            <v>METAVANTE ONLINE PAYMENT</v>
          </cell>
        </row>
        <row r="115">
          <cell r="H115" t="str">
            <v>PAYUSBL</v>
          </cell>
          <cell r="I115" t="str">
            <v>PAYMENT THANK YOU</v>
          </cell>
        </row>
        <row r="116">
          <cell r="H116" t="str">
            <v>GWRES</v>
          </cell>
          <cell r="I116" t="str">
            <v>GREENWASTE SERVICE - RES</v>
          </cell>
        </row>
        <row r="117">
          <cell r="H117" t="str">
            <v>S45G1W1</v>
          </cell>
          <cell r="I117" t="str">
            <v>45 GL 1X WK 1</v>
          </cell>
        </row>
        <row r="118">
          <cell r="H118" t="str">
            <v>S45G1W2</v>
          </cell>
          <cell r="I118" t="str">
            <v>45 GL 1X WK 2</v>
          </cell>
        </row>
        <row r="119">
          <cell r="H119" t="str">
            <v>S45GEO1</v>
          </cell>
          <cell r="I119" t="str">
            <v>45 GL EOW 1</v>
          </cell>
        </row>
        <row r="120">
          <cell r="H120" t="str">
            <v>SL065.0G1W001WREC</v>
          </cell>
          <cell r="I120" t="str">
            <v>65 GL 1X WK W/RECY 1</v>
          </cell>
        </row>
        <row r="121">
          <cell r="H121" t="str">
            <v>SL095.0G1W001WREC</v>
          </cell>
          <cell r="I121" t="str">
            <v>95 GL 1X WK W/RECY 1</v>
          </cell>
        </row>
        <row r="122">
          <cell r="H122" t="str">
            <v>BULKY-RES</v>
          </cell>
          <cell r="I122" t="str">
            <v>BULKY ITEM PICK UP - RES</v>
          </cell>
        </row>
        <row r="123">
          <cell r="H123" t="str">
            <v>EXTRA-RES</v>
          </cell>
          <cell r="I123" t="str">
            <v>EXTRA CAN, BAG, BOX - RES</v>
          </cell>
        </row>
        <row r="124">
          <cell r="H124" t="str">
            <v>OW-RES</v>
          </cell>
          <cell r="I124" t="str">
            <v>OVERFILL / OVERWEIGHT CAN</v>
          </cell>
        </row>
        <row r="125">
          <cell r="H125" t="str">
            <v>REINSTATE-RES</v>
          </cell>
          <cell r="I125" t="str">
            <v>REINSTATE FEE - RES</v>
          </cell>
        </row>
        <row r="126">
          <cell r="H126" t="str">
            <v>RTRNCART45-RES</v>
          </cell>
          <cell r="I126" t="str">
            <v>RETURN TRIP 45 GL - RES</v>
          </cell>
        </row>
        <row r="127">
          <cell r="H127" t="str">
            <v>GWRES</v>
          </cell>
          <cell r="I127" t="str">
            <v>GREENWASTE SERVICE - RES</v>
          </cell>
        </row>
        <row r="128">
          <cell r="H128" t="str">
            <v>RECBINONLYR</v>
          </cell>
          <cell r="I128" t="str">
            <v>RECYCLE SERVICE ONLY</v>
          </cell>
        </row>
        <row r="129">
          <cell r="H129" t="str">
            <v>RECPROGADJ-RES</v>
          </cell>
          <cell r="I129" t="str">
            <v>RECYCLING PROGRAM ADJUSTM</v>
          </cell>
        </row>
        <row r="130">
          <cell r="H130" t="str">
            <v>RECVALRES</v>
          </cell>
          <cell r="I130" t="str">
            <v>RECYCLABLES VALUE - RES</v>
          </cell>
        </row>
        <row r="131">
          <cell r="H131" t="str">
            <v>S45G1W1</v>
          </cell>
          <cell r="I131" t="str">
            <v>45 GL 1X WK 1</v>
          </cell>
        </row>
        <row r="132">
          <cell r="H132" t="str">
            <v>S45G1W2</v>
          </cell>
          <cell r="I132" t="str">
            <v>45 GL 1X WK 2</v>
          </cell>
        </row>
        <row r="133">
          <cell r="H133" t="str">
            <v>S45G1W3</v>
          </cell>
          <cell r="I133" t="str">
            <v>45 GL 1X WK 3</v>
          </cell>
        </row>
        <row r="134">
          <cell r="H134" t="str">
            <v>S45GEO1</v>
          </cell>
          <cell r="I134" t="str">
            <v>45 GL EOW 1</v>
          </cell>
        </row>
        <row r="135">
          <cell r="H135" t="str">
            <v>SL065.0G1W001WREC</v>
          </cell>
          <cell r="I135" t="str">
            <v>65 GL 1X WK W/RECY 1</v>
          </cell>
        </row>
        <row r="136">
          <cell r="H136" t="str">
            <v>SL095.0G1W001WREC</v>
          </cell>
          <cell r="I136" t="str">
            <v>95 GL 1X WK W/RECY 1</v>
          </cell>
        </row>
        <row r="137">
          <cell r="H137" t="str">
            <v>BULKY-RES</v>
          </cell>
          <cell r="I137" t="str">
            <v>BULKY ITEM PICK UP - RES</v>
          </cell>
        </row>
        <row r="138">
          <cell r="H138" t="str">
            <v>EXTRA-RES</v>
          </cell>
          <cell r="I138" t="str">
            <v>EXTRA CAN, BAG, BOX - RES</v>
          </cell>
        </row>
        <row r="139">
          <cell r="H139" t="str">
            <v>OC-RES</v>
          </cell>
          <cell r="I139" t="str">
            <v>ON CALL SERVICE - RES</v>
          </cell>
        </row>
        <row r="140">
          <cell r="H140" t="str">
            <v>OW-RES</v>
          </cell>
          <cell r="I140" t="str">
            <v>OVERFILL / OVERWEIGHT CAN</v>
          </cell>
        </row>
        <row r="141">
          <cell r="H141" t="str">
            <v>REINSTATE-RES</v>
          </cell>
          <cell r="I141" t="str">
            <v>REINSTATE FEE - RES</v>
          </cell>
        </row>
        <row r="142">
          <cell r="H142" t="str">
            <v>LIDRO</v>
          </cell>
          <cell r="I142" t="str">
            <v>LID CHARGE - RO</v>
          </cell>
        </row>
        <row r="143">
          <cell r="H143" t="str">
            <v>RENT30MO-RO</v>
          </cell>
          <cell r="I143" t="str">
            <v>RENTAL FEE 30 YD MONTHLY</v>
          </cell>
        </row>
        <row r="144">
          <cell r="H144" t="str">
            <v>RENT40MO-RO</v>
          </cell>
          <cell r="I144" t="str">
            <v>RENTAL FEE 40 YD MONTHLY</v>
          </cell>
        </row>
        <row r="145">
          <cell r="H145" t="str">
            <v>CLEAN25-RO</v>
          </cell>
          <cell r="I145" t="str">
            <v>CLEANING FEE 25 YD - RO</v>
          </cell>
        </row>
        <row r="146">
          <cell r="H146" t="str">
            <v>DEL30TEMP-RO</v>
          </cell>
          <cell r="I146" t="str">
            <v>DELIVERY FEE 30 YD TEMP -</v>
          </cell>
        </row>
        <row r="147">
          <cell r="H147" t="str">
            <v>DISCO-CP</v>
          </cell>
          <cell r="I147" t="str">
            <v xml:space="preserve">COMPACTOR DISCONNECT FEE </v>
          </cell>
        </row>
        <row r="148">
          <cell r="H148" t="str">
            <v>DISP-RO</v>
          </cell>
          <cell r="I148" t="str">
            <v>DISPOSAL CHARGE - RO</v>
          </cell>
        </row>
        <row r="149">
          <cell r="H149" t="str">
            <v>DISPTRANS-RO</v>
          </cell>
          <cell r="I149" t="str">
            <v>DISPOSAL FEE TRANSFER HAU</v>
          </cell>
        </row>
        <row r="150">
          <cell r="H150" t="str">
            <v>HAUL25-CP</v>
          </cell>
          <cell r="I150" t="str">
            <v>COMPACTOR HAUL 25 YD - RO</v>
          </cell>
        </row>
        <row r="151">
          <cell r="H151" t="str">
            <v>HAUL30-RO</v>
          </cell>
          <cell r="I151" t="str">
            <v>HAUL 30 YD - RO</v>
          </cell>
        </row>
        <row r="152">
          <cell r="H152" t="str">
            <v>HAUL40-CP</v>
          </cell>
          <cell r="I152" t="str">
            <v>COMPACTOR HAUL 40 YD</v>
          </cell>
        </row>
        <row r="153">
          <cell r="H153" t="str">
            <v>HAUL40-RO</v>
          </cell>
          <cell r="I153" t="str">
            <v>HAUL 40 YD - RO</v>
          </cell>
        </row>
        <row r="154">
          <cell r="H154" t="str">
            <v>MILE-RO</v>
          </cell>
          <cell r="I154" t="str">
            <v>MILEAGE FEE - RO</v>
          </cell>
        </row>
        <row r="155">
          <cell r="H155" t="str">
            <v>RENT30TEMP-RO</v>
          </cell>
          <cell r="I155" t="str">
            <v>RENTAL FEE 30 YD TEMP - R</v>
          </cell>
        </row>
        <row r="156">
          <cell r="H156" t="str">
            <v>RENT40TEMP-RO</v>
          </cell>
          <cell r="I156" t="str">
            <v>RENTAL FEE 40 YD TEMP - R</v>
          </cell>
        </row>
        <row r="157">
          <cell r="H157" t="str">
            <v>RTRNTRIP-RO</v>
          </cell>
          <cell r="I157" t="str">
            <v>RETURN TRIP FEE - RO</v>
          </cell>
        </row>
        <row r="158">
          <cell r="H158" t="str">
            <v>DISPCMGL-RO</v>
          </cell>
          <cell r="I158" t="str">
            <v xml:space="preserve">DISPOSAL FEE COMMINGLE - </v>
          </cell>
        </row>
        <row r="159">
          <cell r="H159" t="str">
            <v>DISPOCC-RO</v>
          </cell>
          <cell r="I159" t="str">
            <v xml:space="preserve">DISPOSAL FEE CARDBOARD - </v>
          </cell>
        </row>
        <row r="160">
          <cell r="H160" t="str">
            <v>HAUL30-RO</v>
          </cell>
          <cell r="I160" t="str">
            <v>HAUL 30 YD - RO</v>
          </cell>
        </row>
        <row r="161">
          <cell r="H161" t="str">
            <v>COMMODITY SURCHARGE</v>
          </cell>
          <cell r="I161" t="str">
            <v>COMMODITY SURCHARGE</v>
          </cell>
        </row>
        <row r="162">
          <cell r="H162" t="str">
            <v>COMMODITY SURCHARGE</v>
          </cell>
          <cell r="I162" t="str">
            <v>COMMODITY SURCHARGE</v>
          </cell>
        </row>
        <row r="163">
          <cell r="H163" t="str">
            <v>DUPONT CITY UTILITY TAX</v>
          </cell>
          <cell r="I163" t="str">
            <v>8% CITY UTILITY TAX</v>
          </cell>
        </row>
        <row r="164">
          <cell r="H164" t="str">
            <v>DUPONT REFUSE TAX</v>
          </cell>
          <cell r="I164" t="str">
            <v>3.6% WA STATE REFUSE TAX</v>
          </cell>
        </row>
        <row r="165">
          <cell r="H165" t="str">
            <v>DUPONT CITY ONLY</v>
          </cell>
          <cell r="I165" t="str">
            <v>8% CITY UTILITY TAX</v>
          </cell>
        </row>
        <row r="166">
          <cell r="H166" t="str">
            <v>DUPONT CITY UTILITY TAX</v>
          </cell>
          <cell r="I166" t="str">
            <v>8% CITY UTILITY TAX</v>
          </cell>
        </row>
        <row r="167">
          <cell r="H167" t="str">
            <v>DUPONT REFUSE TAX</v>
          </cell>
          <cell r="I167" t="str">
            <v>3.6% WA STATE REFUSE TAX</v>
          </cell>
        </row>
        <row r="168">
          <cell r="H168" t="str">
            <v>DUPONT STATE SALES TAX</v>
          </cell>
          <cell r="I168" t="str">
            <v>9.3% WA STATE SALES TAX</v>
          </cell>
        </row>
        <row r="169">
          <cell r="H169" t="str">
            <v>DUPONT CITY UTILITY TAX</v>
          </cell>
          <cell r="I169" t="str">
            <v>8% CITY UTILITY TAX</v>
          </cell>
        </row>
        <row r="170">
          <cell r="H170" t="str">
            <v>DUPONT REFUSE TAX</v>
          </cell>
          <cell r="I170" t="str">
            <v>3.6% WA STATE REFUSE TAX</v>
          </cell>
        </row>
        <row r="171">
          <cell r="H171" t="str">
            <v>DUPONT STATE SALES TAX</v>
          </cell>
          <cell r="I171" t="str">
            <v>9.3% WA STATE SALES TAX</v>
          </cell>
        </row>
        <row r="172">
          <cell r="H172" t="str">
            <v>DUPONT CITY UTILITY TAX</v>
          </cell>
          <cell r="I172" t="str">
            <v>8% CITY UTILITY TAX</v>
          </cell>
        </row>
        <row r="173">
          <cell r="H173" t="str">
            <v>DUPONT REFUSE TAX</v>
          </cell>
          <cell r="I173" t="str">
            <v>3.6% WA STATE REFUSE TAX</v>
          </cell>
        </row>
        <row r="174">
          <cell r="H174" t="str">
            <v>DUPONT CITY UTILITY TAX</v>
          </cell>
          <cell r="I174" t="str">
            <v>8% CITY UTILITY TAX</v>
          </cell>
        </row>
        <row r="175">
          <cell r="H175" t="str">
            <v>DUPONT REFUSE TAX</v>
          </cell>
          <cell r="I175" t="str">
            <v>3.6% WA STATE REFUSE TAX</v>
          </cell>
        </row>
        <row r="176">
          <cell r="H176" t="str">
            <v>DUPONT CITY ONLY</v>
          </cell>
          <cell r="I176" t="str">
            <v>8% CITY UTILITY TAX</v>
          </cell>
        </row>
        <row r="177">
          <cell r="H177" t="str">
            <v>DUPONT CITY UTILITY TAX</v>
          </cell>
          <cell r="I177" t="str">
            <v>8% CITY UTILITY TAX</v>
          </cell>
        </row>
        <row r="178">
          <cell r="H178" t="str">
            <v>DUPONT REFUSE TAX</v>
          </cell>
          <cell r="I178" t="str">
            <v>3.6% WA STATE REFUSE TAX</v>
          </cell>
        </row>
        <row r="179">
          <cell r="H179" t="str">
            <v>DUPONT STATE SALES TAX</v>
          </cell>
          <cell r="I179" t="str">
            <v>9.3% WA STATE SALES TAX</v>
          </cell>
        </row>
        <row r="180">
          <cell r="H180" t="str">
            <v>DUPONT CITY UTILITY TAX</v>
          </cell>
          <cell r="I180" t="str">
            <v>8% CITY UTILITY TAX</v>
          </cell>
        </row>
        <row r="181">
          <cell r="H181" t="str">
            <v>DUPONT REFUSE TAX</v>
          </cell>
          <cell r="I181" t="str">
            <v>3.6% WA STATE REFUSE TAX</v>
          </cell>
        </row>
        <row r="182">
          <cell r="H182" t="str">
            <v>ACCESS-COMM</v>
          </cell>
          <cell r="I182" t="str">
            <v>ACCESS FEE - COMM</v>
          </cell>
        </row>
        <row r="183">
          <cell r="H183" t="str">
            <v>FL001.0Y1W001</v>
          </cell>
          <cell r="I183" t="str">
            <v>1 YD 1X WK 1</v>
          </cell>
        </row>
        <row r="184">
          <cell r="H184" t="str">
            <v>FL001.0Y2W001</v>
          </cell>
          <cell r="I184" t="str">
            <v>1 YD 2X WK 1</v>
          </cell>
        </row>
        <row r="185">
          <cell r="H185" t="str">
            <v>FL001.5Y1W001</v>
          </cell>
          <cell r="I185" t="str">
            <v>1.5 YD 1X WK 1</v>
          </cell>
        </row>
        <row r="186">
          <cell r="H186" t="str">
            <v>FL001.5Y2W001</v>
          </cell>
          <cell r="I186" t="str">
            <v>1.5 YD 2X WK 1</v>
          </cell>
        </row>
        <row r="187">
          <cell r="H187" t="str">
            <v>FL002.0Y1W001</v>
          </cell>
          <cell r="I187" t="str">
            <v>2 YD 1X WK 1</v>
          </cell>
        </row>
        <row r="188">
          <cell r="H188" t="str">
            <v>FL002.0Y2W001</v>
          </cell>
          <cell r="I188" t="str">
            <v>2 YD 2X WK 1</v>
          </cell>
        </row>
        <row r="189">
          <cell r="H189" t="str">
            <v>GWCOMM</v>
          </cell>
          <cell r="I189" t="str">
            <v>GREENWASTE SERVICE - COMM</v>
          </cell>
        </row>
        <row r="190">
          <cell r="H190" t="str">
            <v>RL001.0Y1W001</v>
          </cell>
          <cell r="I190" t="str">
            <v>1 YD 1X WK 1</v>
          </cell>
        </row>
        <row r="191">
          <cell r="H191" t="str">
            <v>RL001.5Y1W001</v>
          </cell>
          <cell r="I191" t="str">
            <v>1.5 YD 1X WK 1</v>
          </cell>
        </row>
        <row r="192">
          <cell r="H192" t="str">
            <v>SL035.0G1M001WRECC</v>
          </cell>
          <cell r="I192" t="str">
            <v>35 GL 1X MO W/RECY COMM 1</v>
          </cell>
        </row>
        <row r="193">
          <cell r="H193" t="str">
            <v>SL065.0G1M001WRECC</v>
          </cell>
          <cell r="I193" t="str">
            <v>65 GL 1X MO W/RECY COMM 1</v>
          </cell>
        </row>
        <row r="194">
          <cell r="H194" t="str">
            <v>SL065.0G1W001WRECC</v>
          </cell>
          <cell r="I194" t="str">
            <v>65 GL 1X WK W/RECY COMM 1</v>
          </cell>
        </row>
        <row r="195">
          <cell r="H195" t="str">
            <v>SL065.0GEO001WRECC</v>
          </cell>
          <cell r="I195" t="str">
            <v>65 GL EOW W/RECY COMM 1</v>
          </cell>
        </row>
        <row r="196">
          <cell r="H196" t="str">
            <v>SL095.0G1W001NORECC</v>
          </cell>
          <cell r="I196" t="str">
            <v xml:space="preserve">95 GL 1X WK NO RECY COMM </v>
          </cell>
        </row>
        <row r="197">
          <cell r="H197" t="str">
            <v>SL095.0G1W001WRECC</v>
          </cell>
          <cell r="I197" t="str">
            <v>95 GL 1X WK W/RECY COMM 1</v>
          </cell>
        </row>
        <row r="198">
          <cell r="H198" t="str">
            <v>SL095.0GEO001WRECC</v>
          </cell>
          <cell r="I198" t="str">
            <v>95 GL EOW W/RECY COMM 1</v>
          </cell>
        </row>
        <row r="199">
          <cell r="H199" t="str">
            <v>EXTRA-COMM</v>
          </cell>
          <cell r="I199" t="str">
            <v>EXTRA CAN, BAG, BOX - COM</v>
          </cell>
        </row>
        <row r="200">
          <cell r="H200" t="str">
            <v>ACCESSCREC-COMM</v>
          </cell>
          <cell r="I200" t="str">
            <v>ACCESS FEE COMM RECY - CO</v>
          </cell>
        </row>
        <row r="201">
          <cell r="H201" t="str">
            <v>FL002.0Y1W001BOCC</v>
          </cell>
          <cell r="I201" t="str">
            <v>2 YD 1X WK BUS OCC 1</v>
          </cell>
        </row>
        <row r="202">
          <cell r="H202" t="str">
            <v>FL002.0Y2W001SCMGL</v>
          </cell>
          <cell r="I202" t="str">
            <v>2 YD 2X WK SCHL CMGL 1</v>
          </cell>
        </row>
        <row r="203">
          <cell r="H203" t="str">
            <v>FL005.0Y1W001BOCC</v>
          </cell>
          <cell r="I203" t="str">
            <v>5 YD 1X WK BUS OCC 1</v>
          </cell>
        </row>
        <row r="204">
          <cell r="H204" t="str">
            <v>FL006.0Y1W001SCMGL</v>
          </cell>
          <cell r="I204" t="str">
            <v>6 YD 1X WK SCHL CMGL 1</v>
          </cell>
        </row>
        <row r="205">
          <cell r="H205" t="str">
            <v>SL096.0GEO001BCMGLIN</v>
          </cell>
          <cell r="I205" t="str">
            <v>96 GL EOW BUS CMGL IN</v>
          </cell>
        </row>
        <row r="206">
          <cell r="H206" t="str">
            <v>SL096.0GEO001BCMGLOUT</v>
          </cell>
          <cell r="I206" t="str">
            <v>96 GL EOW BUS CMGL OUT</v>
          </cell>
        </row>
        <row r="207">
          <cell r="H207" t="str">
            <v>SL096.0GEO001SCMGLOUT</v>
          </cell>
          <cell r="I207" t="str">
            <v>96 GL EOW SCHL CMGL OUT</v>
          </cell>
        </row>
        <row r="208">
          <cell r="H208" t="str">
            <v>PAYUSBL</v>
          </cell>
          <cell r="I208" t="str">
            <v>PAYMENT THANK YOU</v>
          </cell>
        </row>
        <row r="209">
          <cell r="H209" t="str">
            <v>GWRES</v>
          </cell>
          <cell r="I209" t="str">
            <v>GREENWASTE SERVICE - RES</v>
          </cell>
        </row>
        <row r="210">
          <cell r="H210" t="str">
            <v>RECBINONLYR</v>
          </cell>
          <cell r="I210" t="str">
            <v>RECYCLE SERVICE ONLY</v>
          </cell>
        </row>
        <row r="211">
          <cell r="H211" t="str">
            <v>SL035.0G1M001WREC</v>
          </cell>
          <cell r="I211" t="str">
            <v>35 GL 1X MO W/RECY 1</v>
          </cell>
        </row>
        <row r="212">
          <cell r="H212" t="str">
            <v>SL065.0G1M001NOREC</v>
          </cell>
          <cell r="I212" t="str">
            <v>65 GL 1X MO NO RECY 1</v>
          </cell>
        </row>
        <row r="213">
          <cell r="H213" t="str">
            <v>SL065.0G1M001WREC</v>
          </cell>
          <cell r="I213" t="str">
            <v>65 GL 1X MO W/RECY 1</v>
          </cell>
        </row>
        <row r="214">
          <cell r="H214" t="str">
            <v>SL065.0G1W001WREC</v>
          </cell>
          <cell r="I214" t="str">
            <v>65 GL 1X WK W/RECY 1</v>
          </cell>
        </row>
        <row r="215">
          <cell r="H215" t="str">
            <v>SL065.0GEO001</v>
          </cell>
          <cell r="I215" t="str">
            <v>65 GL EOW 1</v>
          </cell>
        </row>
        <row r="216">
          <cell r="H216" t="str">
            <v>SL065.0GEO001WREC</v>
          </cell>
          <cell r="I216" t="str">
            <v>65 GL EOW W/RECY 1</v>
          </cell>
        </row>
        <row r="217">
          <cell r="H217" t="str">
            <v>SL095.0G1W001WREC</v>
          </cell>
          <cell r="I217" t="str">
            <v>95 GL 1X WK W/RECY 1</v>
          </cell>
        </row>
        <row r="218">
          <cell r="H218" t="str">
            <v>SL095.0GEO001</v>
          </cell>
          <cell r="I218" t="str">
            <v>95 GL EOW 1</v>
          </cell>
        </row>
        <row r="219">
          <cell r="H219" t="str">
            <v>SL095.0GEO001WREC</v>
          </cell>
          <cell r="I219" t="str">
            <v>95 GL EOW W/RECY 1</v>
          </cell>
        </row>
        <row r="220">
          <cell r="H220" t="str">
            <v>EXTRA-RES</v>
          </cell>
          <cell r="I220" t="str">
            <v>EXTRA CAN, BAG, BOX - RES</v>
          </cell>
        </row>
        <row r="221">
          <cell r="H221" t="str">
            <v>OC-RES</v>
          </cell>
          <cell r="I221" t="str">
            <v>ON CALL SERVICE - RES</v>
          </cell>
        </row>
        <row r="222">
          <cell r="H222" t="str">
            <v>OW-RES</v>
          </cell>
          <cell r="I222" t="str">
            <v>OVERFILL / OVERWEIGHT CAN</v>
          </cell>
        </row>
        <row r="223">
          <cell r="H223" t="str">
            <v>DONATIONRO</v>
          </cell>
          <cell r="I223" t="str">
            <v>DONATED SERVICE ROLL OFF</v>
          </cell>
        </row>
        <row r="224">
          <cell r="H224" t="str">
            <v>RENT30MO-RO</v>
          </cell>
          <cell r="I224" t="str">
            <v>RENTAL FEE 30 YD MONTHLY</v>
          </cell>
        </row>
        <row r="225">
          <cell r="H225" t="str">
            <v>DISCO-CP</v>
          </cell>
          <cell r="I225" t="str">
            <v xml:space="preserve">COMPACTOR DISCONNECT FEE </v>
          </cell>
        </row>
        <row r="226">
          <cell r="H226" t="str">
            <v>DISP-RO</v>
          </cell>
          <cell r="I226" t="str">
            <v>DISPOSAL CHARGE - RO</v>
          </cell>
        </row>
        <row r="227">
          <cell r="H227" t="str">
            <v>DISPOCC-RO</v>
          </cell>
          <cell r="I227" t="str">
            <v xml:space="preserve">DISPOSAL FEE CARDBOARD - </v>
          </cell>
        </row>
        <row r="228">
          <cell r="H228" t="str">
            <v>HAUL30-CP</v>
          </cell>
          <cell r="I228" t="str">
            <v>COMPACTOR HAUL 30 YD</v>
          </cell>
        </row>
        <row r="229">
          <cell r="H229" t="str">
            <v>HAUL30-RO</v>
          </cell>
          <cell r="I229" t="str">
            <v>HAUL 30 YD - RO</v>
          </cell>
        </row>
        <row r="230">
          <cell r="H230" t="str">
            <v>MILE-RO</v>
          </cell>
          <cell r="I230" t="str">
            <v>MILEAGE FEE - RO</v>
          </cell>
        </row>
        <row r="231">
          <cell r="H231" t="str">
            <v>COMMODITY SURCHARGE</v>
          </cell>
          <cell r="I231" t="str">
            <v>COMMODITY SURCHARGE</v>
          </cell>
        </row>
        <row r="232">
          <cell r="H232" t="str">
            <v>FINCHG</v>
          </cell>
          <cell r="I232" t="str">
            <v>LATE FEE</v>
          </cell>
        </row>
        <row r="233">
          <cell r="H233" t="str">
            <v>FL004.0Y2W001MF</v>
          </cell>
          <cell r="I233" t="str">
            <v>4 YD 2X WK MULTI-FAMILY 1</v>
          </cell>
        </row>
        <row r="234">
          <cell r="H234" t="str">
            <v>FL006.0Y1W001MF</v>
          </cell>
          <cell r="I234" t="str">
            <v>6 YD 1X WK MULTI-FAMILY 1</v>
          </cell>
        </row>
        <row r="235">
          <cell r="H235" t="str">
            <v>FL006.0Y2W001MF</v>
          </cell>
          <cell r="I235" t="str">
            <v>6 YD 2X WK MULTI-FAMILY 1</v>
          </cell>
        </row>
        <row r="236">
          <cell r="H236" t="str">
            <v>SL096.0G1M001BCMGLOUT</v>
          </cell>
          <cell r="I236" t="str">
            <v>96 GL MTHLY BUS CMGL OUT</v>
          </cell>
        </row>
        <row r="237">
          <cell r="H237" t="str">
            <v>MFWBINS</v>
          </cell>
          <cell r="I237" t="str">
            <v>MULTI-FAMILY REC UNIT W/B</v>
          </cell>
        </row>
        <row r="238">
          <cell r="H238" t="str">
            <v>CC-KOL</v>
          </cell>
          <cell r="I238" t="str">
            <v>ONLINE PAYMENT-CC</v>
          </cell>
        </row>
        <row r="239">
          <cell r="H239" t="str">
            <v>PAY</v>
          </cell>
          <cell r="I239" t="str">
            <v>PAYMENT THANK YOU</v>
          </cell>
        </row>
        <row r="240">
          <cell r="H240" t="str">
            <v>PAY-KOL</v>
          </cell>
          <cell r="I240" t="str">
            <v>PAYMENT-THANK YOU - OL</v>
          </cell>
        </row>
        <row r="241">
          <cell r="H241" t="str">
            <v>PAYUSBL</v>
          </cell>
          <cell r="I241" t="str">
            <v>PAYMENT THANK YOU</v>
          </cell>
        </row>
        <row r="242">
          <cell r="H242" t="str">
            <v>RECBINONLYR</v>
          </cell>
          <cell r="I242" t="str">
            <v>RECYCLE SERVICE ONLY</v>
          </cell>
        </row>
        <row r="243">
          <cell r="H243" t="str">
            <v>RECPROGADJ-RES</v>
          </cell>
          <cell r="I243" t="str">
            <v>RECYCLING PROGRAM ADJUSTM</v>
          </cell>
        </row>
        <row r="244">
          <cell r="H244" t="str">
            <v>RECVALRES</v>
          </cell>
          <cell r="I244" t="str">
            <v>RECYCLABLES VALUE - RES</v>
          </cell>
        </row>
        <row r="245">
          <cell r="H245" t="str">
            <v>SL065.0G1W001WREC</v>
          </cell>
          <cell r="I245" t="str">
            <v>65 GL 1X WK W/RECY 1</v>
          </cell>
        </row>
        <row r="246">
          <cell r="H246" t="str">
            <v>SL095.0G1W001WREC</v>
          </cell>
          <cell r="I246" t="str">
            <v>95 GL 1X WK W/RECY 1</v>
          </cell>
        </row>
        <row r="247">
          <cell r="H247" t="str">
            <v>DISPFEDMSW-RES</v>
          </cell>
          <cell r="I247" t="str">
            <v>DISPOSAL FEDERAL MSW - RE</v>
          </cell>
        </row>
        <row r="248">
          <cell r="H248" t="str">
            <v>GWRES</v>
          </cell>
          <cell r="I248" t="str">
            <v>GREENWASTE SERVICE - RES</v>
          </cell>
        </row>
        <row r="249">
          <cell r="H249" t="str">
            <v>PDBAG-RES</v>
          </cell>
          <cell r="I249" t="str">
            <v>PREPAID BAG - RES</v>
          </cell>
        </row>
        <row r="250">
          <cell r="H250" t="str">
            <v>RECPROGADJ-RES</v>
          </cell>
          <cell r="I250" t="str">
            <v>RECYCLING PROGRAM ADJUSTM</v>
          </cell>
        </row>
        <row r="251">
          <cell r="H251" t="str">
            <v>RECVALRES</v>
          </cell>
          <cell r="I251" t="str">
            <v>RECYCLABLES VALUE - RES</v>
          </cell>
        </row>
        <row r="252">
          <cell r="H252" t="str">
            <v>REINSTATE-RES</v>
          </cell>
          <cell r="I252" t="str">
            <v>REINSTATE FEE - RES</v>
          </cell>
        </row>
        <row r="253">
          <cell r="H253" t="str">
            <v>SL065.0G1W001WREC</v>
          </cell>
          <cell r="I253" t="str">
            <v>65 GL 1X WK W/RECY 1</v>
          </cell>
        </row>
        <row r="254">
          <cell r="H254" t="str">
            <v>SL095.0G1W001WREC</v>
          </cell>
          <cell r="I254" t="str">
            <v>95 GL 1X WK W/RECY 1</v>
          </cell>
        </row>
        <row r="255">
          <cell r="H255" t="str">
            <v>TIME-RES</v>
          </cell>
          <cell r="I255" t="str">
            <v>TIME FEE 1 - RES</v>
          </cell>
        </row>
        <row r="256">
          <cell r="H256" t="str">
            <v>RENT20MO-RO</v>
          </cell>
          <cell r="I256" t="str">
            <v>RENTAL FEE 20 YD MONTHLY</v>
          </cell>
        </row>
        <row r="257">
          <cell r="H257" t="str">
            <v>RENT30MO-RO</v>
          </cell>
          <cell r="I257" t="str">
            <v>RENTAL FEE 30 YD MONTHLY</v>
          </cell>
        </row>
        <row r="258">
          <cell r="H258" t="str">
            <v>RENT40MO-RO</v>
          </cell>
          <cell r="I258" t="str">
            <v>RENTAL FEE 40 YD MONTHLY</v>
          </cell>
        </row>
        <row r="259">
          <cell r="H259" t="str">
            <v>DISP-RO</v>
          </cell>
          <cell r="I259" t="str">
            <v>DISPOSAL CHARGE - RO</v>
          </cell>
        </row>
        <row r="260">
          <cell r="H260" t="str">
            <v>DISPFEDMSW-RO</v>
          </cell>
          <cell r="I260" t="str">
            <v xml:space="preserve">DISPOSAL FEE FEDERAL MSW </v>
          </cell>
        </row>
        <row r="261">
          <cell r="H261" t="str">
            <v>HAUL20-RO</v>
          </cell>
          <cell r="I261" t="str">
            <v>HAUL 20 YD - RO</v>
          </cell>
        </row>
        <row r="262">
          <cell r="H262" t="str">
            <v>HAUL30-RO</v>
          </cell>
          <cell r="I262" t="str">
            <v>HAUL 30 YD - RO</v>
          </cell>
        </row>
        <row r="263">
          <cell r="H263" t="str">
            <v>HAUL40-RO</v>
          </cell>
          <cell r="I263" t="str">
            <v>HAUL 40 YD - RO</v>
          </cell>
        </row>
        <row r="264">
          <cell r="H264" t="str">
            <v>MILE-RO</v>
          </cell>
          <cell r="I264" t="str">
            <v>MILEAGE FEE - RO</v>
          </cell>
        </row>
        <row r="265">
          <cell r="H265" t="str">
            <v>RTRNTRIP-RO</v>
          </cell>
          <cell r="I265" t="str">
            <v>RETURN TRIP FEE - RO</v>
          </cell>
        </row>
        <row r="266">
          <cell r="H266" t="str">
            <v>FT LEWIS REFUSE TAX</v>
          </cell>
          <cell r="I266" t="str">
            <v>3.6% WA STATE REFUSE TAX</v>
          </cell>
        </row>
        <row r="267">
          <cell r="H267" t="str">
            <v>FT LEWIS STATE SALES TAX</v>
          </cell>
          <cell r="I267" t="str">
            <v>9.3% WA STATE SALES TAX</v>
          </cell>
        </row>
        <row r="268">
          <cell r="H268" t="str">
            <v>FT LEWIS REFUSE TAX</v>
          </cell>
          <cell r="I268" t="str">
            <v>3.6% WA STATE REFUSE TAX</v>
          </cell>
        </row>
        <row r="269">
          <cell r="H269" t="str">
            <v>FINCHG</v>
          </cell>
          <cell r="I269" t="str">
            <v>LATE FEE</v>
          </cell>
        </row>
        <row r="270">
          <cell r="H270" t="str">
            <v>MM</v>
          </cell>
          <cell r="I270" t="str">
            <v>ADJUST BALANCE (MM)</v>
          </cell>
        </row>
        <row r="271">
          <cell r="H271" t="str">
            <v>ACCESS-COMM</v>
          </cell>
          <cell r="I271" t="str">
            <v>ACCESS FEE - COMM</v>
          </cell>
        </row>
        <row r="272">
          <cell r="H272" t="str">
            <v>FL001.0Y1W001</v>
          </cell>
          <cell r="I272" t="str">
            <v>1 YD 1X WK 1</v>
          </cell>
        </row>
        <row r="273">
          <cell r="H273" t="str">
            <v>FL001.5Y1W001</v>
          </cell>
          <cell r="I273" t="str">
            <v>1.5 YD 1X WK 1</v>
          </cell>
        </row>
        <row r="274">
          <cell r="H274" t="str">
            <v>FL001.5Y2W001</v>
          </cell>
          <cell r="I274" t="str">
            <v>1.5 YD 2X WK 1</v>
          </cell>
        </row>
        <row r="275">
          <cell r="H275" t="str">
            <v>FL001.5Y3W001</v>
          </cell>
          <cell r="I275" t="str">
            <v>1.5 YD 3X WK 1</v>
          </cell>
        </row>
        <row r="276">
          <cell r="H276" t="str">
            <v>FL001.5Y4W001</v>
          </cell>
          <cell r="I276" t="str">
            <v>1.5 YD 4X WK 1</v>
          </cell>
        </row>
        <row r="277">
          <cell r="H277" t="str">
            <v>FL001.5Y5W001</v>
          </cell>
          <cell r="I277" t="str">
            <v>1.5 YD 5X WK 1</v>
          </cell>
        </row>
        <row r="278">
          <cell r="H278" t="str">
            <v>FL002.0Y1W001</v>
          </cell>
          <cell r="I278" t="str">
            <v>2 YD 1X WK 1</v>
          </cell>
        </row>
        <row r="279">
          <cell r="H279" t="str">
            <v>FL002.0Y3W001</v>
          </cell>
          <cell r="I279" t="str">
            <v>2 YD 3X WK 1</v>
          </cell>
        </row>
        <row r="280">
          <cell r="H280" t="str">
            <v>FL002.0Y5W001</v>
          </cell>
          <cell r="I280" t="str">
            <v>2 YD 5X WK 1</v>
          </cell>
        </row>
        <row r="281">
          <cell r="H281" t="str">
            <v>FL003.0Y1W001</v>
          </cell>
          <cell r="I281" t="str">
            <v>3 YD 1X WK 1</v>
          </cell>
        </row>
        <row r="282">
          <cell r="H282" t="str">
            <v>FL003.0Y2W001</v>
          </cell>
          <cell r="I282" t="str">
            <v>3 YD 2X WK 1</v>
          </cell>
        </row>
        <row r="283">
          <cell r="H283" t="str">
            <v>FL004.0Y1W001</v>
          </cell>
          <cell r="I283" t="str">
            <v>4 YD 1X WK 1</v>
          </cell>
        </row>
        <row r="284">
          <cell r="H284" t="str">
            <v>FL006.0Y1W001</v>
          </cell>
          <cell r="I284" t="str">
            <v>6 YD 1X WK 1</v>
          </cell>
        </row>
        <row r="285">
          <cell r="H285" t="str">
            <v>FL006.0Y2W001</v>
          </cell>
          <cell r="I285" t="str">
            <v>6 YD 2X WK 1</v>
          </cell>
        </row>
        <row r="286">
          <cell r="H286" t="str">
            <v>FL006.0Y3W001</v>
          </cell>
          <cell r="I286" t="str">
            <v>6 YD 3X WK 1</v>
          </cell>
        </row>
        <row r="287">
          <cell r="H287" t="str">
            <v>SL065.0G1W001NORECC</v>
          </cell>
          <cell r="I287" t="str">
            <v xml:space="preserve">65 GL 1X WK NO RECY COMM </v>
          </cell>
        </row>
        <row r="288">
          <cell r="H288" t="str">
            <v>SL065.0G1W001WRECC</v>
          </cell>
          <cell r="I288" t="str">
            <v>65 GL 1X WK W/RECY COMM 1</v>
          </cell>
        </row>
        <row r="289">
          <cell r="H289" t="str">
            <v>SL095.0G1W001NORECC</v>
          </cell>
          <cell r="I289" t="str">
            <v xml:space="preserve">95 GL 1X WK NO RECY COMM </v>
          </cell>
        </row>
        <row r="290">
          <cell r="H290" t="str">
            <v>FL002.0Y1W001BCMGL</v>
          </cell>
          <cell r="I290" t="str">
            <v>2 YD 1X WK BUS CMGL 1</v>
          </cell>
        </row>
        <row r="291">
          <cell r="H291" t="str">
            <v>FL002.0Y1W001BOCC</v>
          </cell>
          <cell r="I291" t="str">
            <v>2 YD 1X WK BUS OCC 1</v>
          </cell>
        </row>
        <row r="292">
          <cell r="H292" t="str">
            <v>FL002.0Y2W001BCMGL</v>
          </cell>
          <cell r="I292" t="str">
            <v>2 YD 2X WK BUS CMGL 1</v>
          </cell>
        </row>
        <row r="293">
          <cell r="H293" t="str">
            <v>FL004.0Y2W001CMGL</v>
          </cell>
          <cell r="I293" t="str">
            <v>4 YD 2X WK BUS CMGL 1</v>
          </cell>
        </row>
        <row r="294">
          <cell r="H294" t="str">
            <v>FL005.0Y1W001BOCC</v>
          </cell>
          <cell r="I294" t="str">
            <v>5 YD 1X WK BUS OCC 1</v>
          </cell>
        </row>
        <row r="295">
          <cell r="H295" t="str">
            <v>FL005.0Y2W001BOCC</v>
          </cell>
          <cell r="I295" t="str">
            <v>5 YD 2X WK BUS OCC 1</v>
          </cell>
        </row>
        <row r="296">
          <cell r="H296" t="str">
            <v>FL006.0Y1W001BCMGL</v>
          </cell>
          <cell r="I296" t="str">
            <v>6 YD 1X WK BUS COMINGLE 1</v>
          </cell>
        </row>
        <row r="297">
          <cell r="H297" t="str">
            <v>SL096.0GEO001BCMGLOUT</v>
          </cell>
          <cell r="I297" t="str">
            <v>96 GL EOW BUS CMGL OUT</v>
          </cell>
        </row>
        <row r="298">
          <cell r="H298" t="str">
            <v>CC-KOL</v>
          </cell>
          <cell r="I298" t="str">
            <v>ONLINE PAYMENT-CC</v>
          </cell>
        </row>
        <row r="299">
          <cell r="H299" t="str">
            <v>CCREF-KOL</v>
          </cell>
          <cell r="I299" t="str">
            <v>CREDIT CARD REFUND</v>
          </cell>
        </row>
        <row r="300">
          <cell r="H300" t="str">
            <v>PAY</v>
          </cell>
          <cell r="I300" t="str">
            <v>PAYMENT THANK YOU</v>
          </cell>
        </row>
        <row r="301">
          <cell r="H301" t="str">
            <v>PAY-KOL</v>
          </cell>
          <cell r="I301" t="str">
            <v>PAYMENT-THANK YOU - OL</v>
          </cell>
        </row>
        <row r="302">
          <cell r="H302" t="str">
            <v>PAY-NATL</v>
          </cell>
          <cell r="I302" t="str">
            <v>PAYMENT THANK YOU</v>
          </cell>
        </row>
        <row r="303">
          <cell r="H303" t="str">
            <v>PAYEFT</v>
          </cell>
          <cell r="I303" t="str">
            <v>EFT PAYMENT</v>
          </cell>
        </row>
        <row r="304">
          <cell r="H304" t="str">
            <v>PAYL</v>
          </cell>
          <cell r="I304" t="str">
            <v>PAYMENT THANK YOU</v>
          </cell>
        </row>
        <row r="305">
          <cell r="H305" t="str">
            <v>PAYUSBL</v>
          </cell>
          <cell r="I305" t="str">
            <v>PAYMENT THANK YOU</v>
          </cell>
        </row>
        <row r="306">
          <cell r="H306" t="str">
            <v>LIDRO</v>
          </cell>
          <cell r="I306" t="str">
            <v>LID CHARGE - RO</v>
          </cell>
        </row>
        <row r="307">
          <cell r="H307" t="str">
            <v>RENT20MO-RO</v>
          </cell>
          <cell r="I307" t="str">
            <v>RENTAL FEE 20 YD MONTHLY</v>
          </cell>
        </row>
        <row r="308">
          <cell r="H308" t="str">
            <v>RENT30MO-RO</v>
          </cell>
          <cell r="I308" t="str">
            <v>RENTAL FEE 30 YD MONTHLY</v>
          </cell>
        </row>
        <row r="309">
          <cell r="H309" t="str">
            <v>RENT40MO-RO</v>
          </cell>
          <cell r="I309" t="str">
            <v>RENTAL FEE 40 YD MONTHLY</v>
          </cell>
        </row>
        <row r="310">
          <cell r="H310" t="str">
            <v>CLEAN20-RO</v>
          </cell>
          <cell r="I310" t="str">
            <v>CLEANING FEE 20 YD - RO</v>
          </cell>
        </row>
        <row r="311">
          <cell r="H311" t="str">
            <v>DEL20-RO</v>
          </cell>
          <cell r="I311" t="str">
            <v>DELIVERY FEE 20 YD - RO</v>
          </cell>
        </row>
        <row r="312">
          <cell r="H312" t="str">
            <v>DEL30-RO</v>
          </cell>
          <cell r="I312" t="str">
            <v>DELIVERY FEE 30 YD - RO</v>
          </cell>
        </row>
        <row r="313">
          <cell r="H313" t="str">
            <v>DEL30TEMP-RO</v>
          </cell>
          <cell r="I313" t="str">
            <v>DELIVERY FEE 30 YD TEMP -</v>
          </cell>
        </row>
        <row r="314">
          <cell r="H314" t="str">
            <v>DISCO-CP</v>
          </cell>
          <cell r="I314" t="str">
            <v xml:space="preserve">COMPACTOR DISCONNECT FEE </v>
          </cell>
        </row>
        <row r="315">
          <cell r="H315" t="str">
            <v>DISPFEDMSW-RO</v>
          </cell>
          <cell r="I315" t="str">
            <v xml:space="preserve">DISPOSAL FEE FEDERAL MSW </v>
          </cell>
        </row>
        <row r="316">
          <cell r="H316" t="str">
            <v>FINAL20-RO</v>
          </cell>
          <cell r="I316" t="str">
            <v>FINAL PULL 20 YD - RO</v>
          </cell>
        </row>
        <row r="317">
          <cell r="H317" t="str">
            <v>FINAL40TEMP-RO</v>
          </cell>
          <cell r="I317" t="str">
            <v>FINAL PULL 40 YD TEMP - R</v>
          </cell>
        </row>
        <row r="318">
          <cell r="H318" t="str">
            <v>HAUL20-CP</v>
          </cell>
          <cell r="I318" t="str">
            <v>COMPACTOR HAUL 20 YD - RO</v>
          </cell>
        </row>
        <row r="319">
          <cell r="H319" t="str">
            <v>HAUL20-RO</v>
          </cell>
          <cell r="I319" t="str">
            <v>HAUL 20 YD - RO</v>
          </cell>
        </row>
        <row r="320">
          <cell r="H320" t="str">
            <v>HAUL20TEMP-RO</v>
          </cell>
          <cell r="I320" t="str">
            <v>HAUL 20 YD TEMP - RO</v>
          </cell>
        </row>
        <row r="321">
          <cell r="H321" t="str">
            <v>HAUL40-RO</v>
          </cell>
          <cell r="I321" t="str">
            <v>HAUL 40 YD - RO</v>
          </cell>
        </row>
        <row r="322">
          <cell r="H322" t="str">
            <v>HAUL40TEMP-RO</v>
          </cell>
          <cell r="I322" t="str">
            <v>HAUL 40 YD TEMP - RO</v>
          </cell>
        </row>
        <row r="323">
          <cell r="H323" t="str">
            <v>MILE-RO</v>
          </cell>
          <cell r="I323" t="str">
            <v>MILEAGE FEE - RO</v>
          </cell>
        </row>
        <row r="324">
          <cell r="H324" t="str">
            <v>RENT20TEMP-RO</v>
          </cell>
          <cell r="I324" t="str">
            <v>RENTAL FEE 20 YD TEMP - R</v>
          </cell>
        </row>
        <row r="325">
          <cell r="H325" t="str">
            <v>RENT30TEMP-RO</v>
          </cell>
          <cell r="I325" t="str">
            <v>RENTAL FEE 30 YD TEMP - R</v>
          </cell>
        </row>
        <row r="326">
          <cell r="H326" t="str">
            <v>RENT40MO-RO</v>
          </cell>
          <cell r="I326" t="str">
            <v>RENTAL FEE 40 YD MONTHLY</v>
          </cell>
        </row>
        <row r="327">
          <cell r="H327" t="str">
            <v>RENT40TEMP-RO</v>
          </cell>
          <cell r="I327" t="str">
            <v>RENTAL FEE 40 YD TEMP - R</v>
          </cell>
        </row>
        <row r="328">
          <cell r="H328" t="str">
            <v>RTRNTRIP-RO</v>
          </cell>
          <cell r="I328" t="str">
            <v>RETURN TRIP FEE - RO</v>
          </cell>
        </row>
        <row r="329">
          <cell r="H329" t="str">
            <v>COMMODITY SURCHARGE</v>
          </cell>
          <cell r="I329" t="str">
            <v>COMMODITY SURCHARGE</v>
          </cell>
        </row>
        <row r="330">
          <cell r="H330" t="str">
            <v>FT LEWIS REFUSE TAX</v>
          </cell>
          <cell r="I330" t="str">
            <v>3.6% WA STATE REFUSE TAX</v>
          </cell>
        </row>
        <row r="331">
          <cell r="H331" t="str">
            <v>FT LEWIS REFUSE TAX</v>
          </cell>
          <cell r="I331" t="str">
            <v>3.6% WA STATE REFUSE TAX</v>
          </cell>
        </row>
        <row r="332">
          <cell r="H332" t="str">
            <v>FT LEWIS STATE SALES TAX</v>
          </cell>
          <cell r="I332" t="str">
            <v>9.3% WA STATE SALES TAX</v>
          </cell>
        </row>
        <row r="333">
          <cell r="H333" t="str">
            <v>BD</v>
          </cell>
          <cell r="I333" t="str">
            <v>BAD DEBT WRITE OFF</v>
          </cell>
        </row>
        <row r="334">
          <cell r="H334" t="str">
            <v>BDR</v>
          </cell>
          <cell r="I334" t="str">
            <v>BAD DEBT RECOVERY</v>
          </cell>
        </row>
        <row r="335">
          <cell r="H335" t="str">
            <v>COLLFEE</v>
          </cell>
          <cell r="I335" t="str">
            <v>COLLECTION AGENCY FEE</v>
          </cell>
        </row>
        <row r="336">
          <cell r="H336" t="str">
            <v>FINCHG</v>
          </cell>
          <cell r="I336" t="str">
            <v>LATE FEE</v>
          </cell>
        </row>
        <row r="337">
          <cell r="H337" t="str">
            <v>MM</v>
          </cell>
          <cell r="I337" t="str">
            <v>ADJUST BALANCE (MM)</v>
          </cell>
        </row>
        <row r="338">
          <cell r="H338" t="str">
            <v>MM</v>
          </cell>
          <cell r="I338" t="str">
            <v>ADJUST BALANCE (MM)</v>
          </cell>
        </row>
        <row r="339">
          <cell r="H339" t="str">
            <v>REFUND</v>
          </cell>
          <cell r="I339" t="str">
            <v>REFUND</v>
          </cell>
        </row>
        <row r="340">
          <cell r="H340" t="str">
            <v>FINCHG</v>
          </cell>
          <cell r="I340" t="str">
            <v>LATE FEE</v>
          </cell>
        </row>
        <row r="341">
          <cell r="H341" t="str">
            <v>BD</v>
          </cell>
          <cell r="I341" t="str">
            <v>BAD DEBT WRITE OFF</v>
          </cell>
        </row>
        <row r="342">
          <cell r="H342" t="str">
            <v>BDR</v>
          </cell>
          <cell r="I342" t="str">
            <v>BAD DEBT RECOVERY</v>
          </cell>
        </row>
        <row r="343">
          <cell r="H343" t="str">
            <v>COLLFEE</v>
          </cell>
          <cell r="I343" t="str">
            <v>COLLECTION AGENCY FEE</v>
          </cell>
        </row>
        <row r="344">
          <cell r="H344" t="str">
            <v>MM</v>
          </cell>
          <cell r="I344" t="str">
            <v>ADJUST BALANCE (MM)</v>
          </cell>
        </row>
        <row r="345">
          <cell r="H345" t="str">
            <v>MM</v>
          </cell>
          <cell r="I345" t="str">
            <v>ADJUST BALANCE (MM)</v>
          </cell>
        </row>
        <row r="346">
          <cell r="H346" t="str">
            <v>REFUND</v>
          </cell>
          <cell r="I346" t="str">
            <v>REFUND</v>
          </cell>
        </row>
        <row r="347">
          <cell r="H347" t="str">
            <v>FINCHG</v>
          </cell>
          <cell r="I347" t="str">
            <v>LATE FEE</v>
          </cell>
        </row>
        <row r="348">
          <cell r="H348" t="str">
            <v>BD</v>
          </cell>
          <cell r="I348" t="str">
            <v>BAD DEBT WRITE OFF</v>
          </cell>
        </row>
        <row r="349">
          <cell r="H349" t="str">
            <v>BDR</v>
          </cell>
          <cell r="I349" t="str">
            <v>BAD DEBT RECOVERY</v>
          </cell>
        </row>
        <row r="350">
          <cell r="H350" t="str">
            <v>COLLFEE</v>
          </cell>
          <cell r="I350" t="str">
            <v>COLLECTION AGENCY FEE</v>
          </cell>
        </row>
        <row r="351">
          <cell r="H351" t="str">
            <v>FINCHG</v>
          </cell>
          <cell r="I351" t="str">
            <v>LATE FEE</v>
          </cell>
        </row>
        <row r="352">
          <cell r="H352" t="str">
            <v>MM</v>
          </cell>
          <cell r="I352" t="str">
            <v>ADJUST BALANCE (MM)</v>
          </cell>
        </row>
        <row r="353">
          <cell r="H353" t="str">
            <v>MM</v>
          </cell>
          <cell r="I353" t="str">
            <v>ADJUST BALANCE (MM)</v>
          </cell>
        </row>
        <row r="354">
          <cell r="H354" t="str">
            <v>REFUND</v>
          </cell>
          <cell r="I354" t="str">
            <v>REFUND</v>
          </cell>
        </row>
        <row r="355">
          <cell r="H355" t="str">
            <v>EP96GW-COMM</v>
          </cell>
          <cell r="I355" t="str">
            <v>EXTRA PICK UP 96 GW -COMM</v>
          </cell>
        </row>
        <row r="356">
          <cell r="H356" t="str">
            <v>EP96GW-COMM</v>
          </cell>
          <cell r="I356" t="str">
            <v>EXTRA PICK UP 96 GW -COMM</v>
          </cell>
        </row>
        <row r="357">
          <cell r="H357" t="str">
            <v>ACCESS-COMM</v>
          </cell>
          <cell r="I357" t="str">
            <v>ACCESS FEE - COMM</v>
          </cell>
        </row>
        <row r="358">
          <cell r="H358" t="str">
            <v>ACCESS-MF</v>
          </cell>
          <cell r="I358" t="str">
            <v>ACCESS FEE - MF</v>
          </cell>
        </row>
        <row r="359">
          <cell r="H359" t="str">
            <v>DONATIONC</v>
          </cell>
          <cell r="I359" t="str">
            <v>DONATED SERVICE COMM</v>
          </cell>
        </row>
        <row r="360">
          <cell r="H360" t="str">
            <v>DRIVEIN1-COMM</v>
          </cell>
          <cell r="I360" t="str">
            <v>DRIVE IN 125-250' - COMM</v>
          </cell>
        </row>
        <row r="361">
          <cell r="H361" t="str">
            <v>DRIVEIN3-COMM</v>
          </cell>
          <cell r="I361" t="str">
            <v>DRIVE IN 779-1306' - COMM</v>
          </cell>
        </row>
        <row r="362">
          <cell r="H362" t="str">
            <v>FL001.0Y1W001</v>
          </cell>
          <cell r="I362" t="str">
            <v>1 YD 1X WK 1</v>
          </cell>
        </row>
        <row r="363">
          <cell r="H363" t="str">
            <v>FL001.0Y2W001</v>
          </cell>
          <cell r="I363" t="str">
            <v>1 YD 2X WK 1</v>
          </cell>
        </row>
        <row r="364">
          <cell r="H364" t="str">
            <v>FL001.0Y3W001</v>
          </cell>
          <cell r="I364" t="str">
            <v>1 YD 3X WK 1</v>
          </cell>
        </row>
        <row r="365">
          <cell r="H365" t="str">
            <v>FL001.5Y1W001</v>
          </cell>
          <cell r="I365" t="str">
            <v>1.5 YD 1X WK 1</v>
          </cell>
        </row>
        <row r="366">
          <cell r="H366" t="str">
            <v>FL001.5Y2W001</v>
          </cell>
          <cell r="I366" t="str">
            <v>1.5 YD 2X WK 1</v>
          </cell>
        </row>
        <row r="367">
          <cell r="H367" t="str">
            <v>FL001.5Y3W001</v>
          </cell>
          <cell r="I367" t="str">
            <v>1.5 YD 3X WK 1</v>
          </cell>
        </row>
        <row r="368">
          <cell r="H368" t="str">
            <v>FL002.0Y1W001</v>
          </cell>
          <cell r="I368" t="str">
            <v>2 YD 1X WK 1</v>
          </cell>
        </row>
        <row r="369">
          <cell r="H369" t="str">
            <v>FL002.0Y2W001</v>
          </cell>
          <cell r="I369" t="str">
            <v>2 YD 2X WK 1</v>
          </cell>
        </row>
        <row r="370">
          <cell r="H370" t="str">
            <v>FL002.0Y3W001</v>
          </cell>
          <cell r="I370" t="str">
            <v>2 YD 3X WK 1</v>
          </cell>
        </row>
        <row r="371">
          <cell r="H371" t="str">
            <v>FL002.0Y4W001</v>
          </cell>
          <cell r="I371" t="str">
            <v>2 YD 4X WK 1</v>
          </cell>
        </row>
        <row r="372">
          <cell r="H372" t="str">
            <v>FL002.0Y5W001</v>
          </cell>
          <cell r="I372" t="str">
            <v>2 YD 5X WK 1</v>
          </cell>
        </row>
        <row r="373">
          <cell r="H373" t="str">
            <v>FL003.0Y1W001</v>
          </cell>
          <cell r="I373" t="str">
            <v>3 YD 1X WK 1</v>
          </cell>
        </row>
        <row r="374">
          <cell r="H374" t="str">
            <v>FL003.0Y2W001</v>
          </cell>
          <cell r="I374" t="str">
            <v>3 YD 2X WK 1</v>
          </cell>
        </row>
        <row r="375">
          <cell r="H375" t="str">
            <v>FL003.0Y3W001</v>
          </cell>
          <cell r="I375" t="str">
            <v>3 YD 3X WK 1</v>
          </cell>
        </row>
        <row r="376">
          <cell r="H376" t="str">
            <v>FL003.0Y5W001</v>
          </cell>
          <cell r="I376" t="str">
            <v>3 YD 5X WK 1</v>
          </cell>
        </row>
        <row r="377">
          <cell r="H377" t="str">
            <v>FL004.0Y1W001</v>
          </cell>
          <cell r="I377" t="str">
            <v>4 YD 1X WK 1</v>
          </cell>
        </row>
        <row r="378">
          <cell r="H378" t="str">
            <v>FL004.0Y2W001</v>
          </cell>
          <cell r="I378" t="str">
            <v>4 YD 2X WK 1</v>
          </cell>
        </row>
        <row r="379">
          <cell r="H379" t="str">
            <v>FL004.0Y2W001CMP</v>
          </cell>
          <cell r="I379" t="str">
            <v>4 YD 2X WK COMP 1</v>
          </cell>
        </row>
        <row r="380">
          <cell r="H380" t="str">
            <v>FL004.0Y3W001</v>
          </cell>
          <cell r="I380" t="str">
            <v>4 YD 3X WK 1</v>
          </cell>
        </row>
        <row r="381">
          <cell r="H381" t="str">
            <v>FL004.0Y4W001</v>
          </cell>
          <cell r="I381" t="str">
            <v>4 YD 4X WK 1</v>
          </cell>
        </row>
        <row r="382">
          <cell r="H382" t="str">
            <v>FL004.0Y5W001</v>
          </cell>
          <cell r="I382" t="str">
            <v>4 YD 5X WK 1</v>
          </cell>
        </row>
        <row r="383">
          <cell r="H383" t="str">
            <v>FL006.0Y1W001</v>
          </cell>
          <cell r="I383" t="str">
            <v>6 YD 1X WK 1</v>
          </cell>
        </row>
        <row r="384">
          <cell r="H384" t="str">
            <v>FL006.0Y2W001</v>
          </cell>
          <cell r="I384" t="str">
            <v>6 YD 2X WK 1</v>
          </cell>
        </row>
        <row r="385">
          <cell r="H385" t="str">
            <v>FL006.0Y2W001CMP</v>
          </cell>
          <cell r="I385" t="str">
            <v>6 YD 2X WK COMP 1</v>
          </cell>
        </row>
        <row r="386">
          <cell r="H386" t="str">
            <v>FL006.0Y3W001</v>
          </cell>
          <cell r="I386" t="str">
            <v>6 YD 3X WK 1</v>
          </cell>
        </row>
        <row r="387">
          <cell r="H387" t="str">
            <v>FL006.0Y4W001</v>
          </cell>
          <cell r="I387" t="str">
            <v>6 YD 4X WK 1</v>
          </cell>
        </row>
        <row r="388">
          <cell r="H388" t="str">
            <v>FL006.0Y5W001</v>
          </cell>
          <cell r="I388" t="str">
            <v>6 YD 5X WK 1</v>
          </cell>
        </row>
        <row r="389">
          <cell r="H389" t="str">
            <v>GWCOMM</v>
          </cell>
          <cell r="I389" t="str">
            <v>GREENWASTE SERVICE - COMM</v>
          </cell>
        </row>
        <row r="390">
          <cell r="H390" t="str">
            <v>RL032.0G1W001WRECC</v>
          </cell>
          <cell r="I390" t="str">
            <v>32 GL 1X WK W/RECY COMM 1</v>
          </cell>
        </row>
        <row r="391">
          <cell r="H391" t="str">
            <v>ROLL-COMM</v>
          </cell>
          <cell r="I391" t="str">
            <v>ROLL OUT CHARGE - COMM</v>
          </cell>
        </row>
        <row r="392">
          <cell r="H392" t="str">
            <v>SL065.0G1M001NORECC</v>
          </cell>
          <cell r="I392" t="str">
            <v xml:space="preserve">65 GL 1X MO NO RECY COMM </v>
          </cell>
        </row>
        <row r="393">
          <cell r="H393" t="str">
            <v>SL065.0G1W001NORECC</v>
          </cell>
          <cell r="I393" t="str">
            <v xml:space="preserve">65 GL 1X WK NO RECY COMM </v>
          </cell>
        </row>
        <row r="394">
          <cell r="H394" t="str">
            <v>SL065.0G1W001WRECC</v>
          </cell>
          <cell r="I394" t="str">
            <v>65 GL 1X WK W/RECY COMM 1</v>
          </cell>
        </row>
        <row r="395">
          <cell r="H395" t="str">
            <v>SL065.0GEO001NORECC</v>
          </cell>
          <cell r="I395" t="str">
            <v>65 GL EOW NO RECY COMM 1</v>
          </cell>
        </row>
        <row r="396">
          <cell r="H396" t="str">
            <v>SL065.0GEO001WRECC</v>
          </cell>
          <cell r="I396" t="str">
            <v>65 GL EOW W/RECY COMM 1</v>
          </cell>
        </row>
        <row r="397">
          <cell r="H397" t="str">
            <v>SL095.0G1W001NORECC</v>
          </cell>
          <cell r="I397" t="str">
            <v xml:space="preserve">95 GL 1X WK NO RECY COMM </v>
          </cell>
        </row>
        <row r="398">
          <cell r="H398" t="str">
            <v>SL095.0G1W001WRECC</v>
          </cell>
          <cell r="I398" t="str">
            <v>95 GL 1X WK W/RECY COMM 1</v>
          </cell>
        </row>
        <row r="399">
          <cell r="H399" t="str">
            <v>SL095.0GEO001NORECC</v>
          </cell>
          <cell r="I399" t="str">
            <v>95 GL EOW NO RECY COMM 1</v>
          </cell>
        </row>
        <row r="400">
          <cell r="H400" t="str">
            <v>SL095.0GEO001WRECC</v>
          </cell>
          <cell r="I400" t="str">
            <v>95 GL EOW W/RECY COMM 1</v>
          </cell>
        </row>
        <row r="401">
          <cell r="H401" t="str">
            <v>WI1-COMM</v>
          </cell>
          <cell r="I401" t="str">
            <v>WALK IN 6-25' - COMM</v>
          </cell>
        </row>
        <row r="402">
          <cell r="H402" t="str">
            <v>WI2-COMM</v>
          </cell>
          <cell r="I402" t="str">
            <v>WALK IN 26-50' - COMM</v>
          </cell>
        </row>
        <row r="403">
          <cell r="H403" t="str">
            <v>ACCESS-COMM</v>
          </cell>
          <cell r="I403" t="str">
            <v>ACCESS FEE - COMM</v>
          </cell>
        </row>
        <row r="404">
          <cell r="H404" t="str">
            <v>BULKY-COMM</v>
          </cell>
          <cell r="I404" t="str">
            <v>BULKY ITEM PICK UP - COMM</v>
          </cell>
        </row>
        <row r="405">
          <cell r="H405" t="str">
            <v>CANCOUNT-COMM</v>
          </cell>
          <cell r="I405" t="str">
            <v>CAN COUNT - COMM</v>
          </cell>
        </row>
        <row r="406">
          <cell r="H406" t="str">
            <v>CLEAN2-COMM</v>
          </cell>
          <cell r="I406" t="str">
            <v>CLEANING FEE 2 YD - COMM</v>
          </cell>
        </row>
        <row r="407">
          <cell r="H407" t="str">
            <v>DEL2TEMP-COMM</v>
          </cell>
          <cell r="I407" t="str">
            <v xml:space="preserve">DELIVERY FEE 2 YD TEMP - </v>
          </cell>
        </row>
        <row r="408">
          <cell r="H408" t="str">
            <v>DEL6TEMP-COMM</v>
          </cell>
          <cell r="I408" t="str">
            <v xml:space="preserve">DELIVERY FEE 6 YD TEMP - </v>
          </cell>
        </row>
        <row r="409">
          <cell r="H409" t="str">
            <v>EXTRAGRAD1-COMM</v>
          </cell>
          <cell r="I409" t="str">
            <v>EXTRAS GRADUATED 1-2 - COMM</v>
          </cell>
        </row>
        <row r="410">
          <cell r="H410" t="str">
            <v>EXTRAGRAD2-COMM</v>
          </cell>
          <cell r="I410" t="str">
            <v>EXTRAS GRADUATED 3+ - COMM</v>
          </cell>
        </row>
        <row r="411">
          <cell r="H411" t="str">
            <v>EXTRAYDG-COM</v>
          </cell>
          <cell r="I411" t="str">
            <v>EXTRA YARDAGE - COMM</v>
          </cell>
        </row>
        <row r="412">
          <cell r="H412" t="str">
            <v>FL002.0Y2W001</v>
          </cell>
          <cell r="I412" t="str">
            <v>2 YD 2X WK 1</v>
          </cell>
        </row>
        <row r="413">
          <cell r="H413" t="str">
            <v>FL002.0YXX001TEMPC</v>
          </cell>
          <cell r="I413" t="str">
            <v xml:space="preserve">2 YD TEMP </v>
          </cell>
        </row>
        <row r="414">
          <cell r="H414" t="str">
            <v>FL006.0Y3W001</v>
          </cell>
          <cell r="I414" t="str">
            <v>6 YD 3X WK 1</v>
          </cell>
        </row>
        <row r="415">
          <cell r="H415" t="str">
            <v>GWCOMM</v>
          </cell>
          <cell r="I415" t="str">
            <v>GREENWASTE SERVICE - COMM</v>
          </cell>
        </row>
        <row r="416">
          <cell r="H416" t="str">
            <v>REDEL-COMM</v>
          </cell>
          <cell r="I416" t="str">
            <v>REDELIVER FEE LVL 1 - COM</v>
          </cell>
        </row>
        <row r="417">
          <cell r="H417" t="str">
            <v>REINSTATE-COMM</v>
          </cell>
          <cell r="I417" t="str">
            <v>REINSTATE FEE - COMM</v>
          </cell>
        </row>
        <row r="418">
          <cell r="H418" t="str">
            <v>RENT2TEMP-COMM</v>
          </cell>
          <cell r="I418" t="str">
            <v>RENT 2 YD TEMP - COMM</v>
          </cell>
        </row>
        <row r="419">
          <cell r="H419" t="str">
            <v>RENT6TEMP-COMM</v>
          </cell>
          <cell r="I419" t="str">
            <v>RENT 6 YD TEMP - COMM</v>
          </cell>
        </row>
        <row r="420">
          <cell r="H420" t="str">
            <v>RTRNTRIP-COMM</v>
          </cell>
          <cell r="I420" t="str">
            <v>RETURN TRIP FEE - COMM</v>
          </cell>
        </row>
        <row r="421">
          <cell r="H421" t="str">
            <v>SL065.0GEO001WRECC</v>
          </cell>
          <cell r="I421" t="str">
            <v>65 GL EOW W/RECY COMM 1</v>
          </cell>
        </row>
        <row r="422">
          <cell r="H422" t="str">
            <v>SP-COMM</v>
          </cell>
          <cell r="I422" t="str">
            <v>SPECIAL HAUL - COMM</v>
          </cell>
        </row>
        <row r="423">
          <cell r="H423" t="str">
            <v>SP1-COMM</v>
          </cell>
          <cell r="I423" t="str">
            <v>SPECIAL PICK UP 1 YD - CO</v>
          </cell>
        </row>
        <row r="424">
          <cell r="H424" t="str">
            <v>SP1.5-COMM</v>
          </cell>
          <cell r="I424" t="str">
            <v xml:space="preserve">SPECIAL PICK UP 1.5 YD - </v>
          </cell>
        </row>
        <row r="425">
          <cell r="H425" t="str">
            <v>SP2-COMM</v>
          </cell>
          <cell r="I425" t="str">
            <v>SPECIAL PICK UP 2 YD - CO</v>
          </cell>
        </row>
        <row r="426">
          <cell r="H426" t="str">
            <v>SP3-COMM</v>
          </cell>
          <cell r="I426" t="str">
            <v>SPECIAL PICK UP 3 YD - CO</v>
          </cell>
        </row>
        <row r="427">
          <cell r="H427" t="str">
            <v>SP4-COMM</v>
          </cell>
          <cell r="I427" t="str">
            <v>SPECIAL PICK UP 4 YD - CO</v>
          </cell>
        </row>
        <row r="428">
          <cell r="H428" t="str">
            <v>SP6-COMM</v>
          </cell>
          <cell r="I428" t="str">
            <v>SPECIAL PICK UP 6 YD - CO</v>
          </cell>
        </row>
        <row r="429">
          <cell r="H429" t="str">
            <v>SPADD-COMM</v>
          </cell>
          <cell r="I429" t="str">
            <v>SPECIAL ADDL UNIT - COMM</v>
          </cell>
        </row>
        <row r="430">
          <cell r="H430" t="str">
            <v>ACCESSCREC-COMM</v>
          </cell>
          <cell r="I430" t="str">
            <v>ACCESS FEE COMM RECY - CO</v>
          </cell>
        </row>
        <row r="431">
          <cell r="H431" t="str">
            <v>FL002.0Y1W001BCMGL</v>
          </cell>
          <cell r="I431" t="str">
            <v>2 YD 1X WK BUS CMGL 1</v>
          </cell>
        </row>
        <row r="432">
          <cell r="H432" t="str">
            <v>FL002.0Y1W001BOCC</v>
          </cell>
          <cell r="I432" t="str">
            <v>2 YD 1X WK BUS OCC 1</v>
          </cell>
        </row>
        <row r="433">
          <cell r="H433" t="str">
            <v>FL002.0Y1W001SCMGL</v>
          </cell>
          <cell r="I433" t="str">
            <v>2 YD 1X WK SCHL CMGL 1</v>
          </cell>
        </row>
        <row r="434">
          <cell r="H434" t="str">
            <v>FL002.0Y1W001SOCC</v>
          </cell>
          <cell r="I434" t="str">
            <v>2 YD 1X WK SCHOOL OCC</v>
          </cell>
        </row>
        <row r="435">
          <cell r="H435" t="str">
            <v>FL002.0Y2W001BCMGL</v>
          </cell>
          <cell r="I435" t="str">
            <v>2 YD 2X WK BUS CMGL 1</v>
          </cell>
        </row>
        <row r="436">
          <cell r="H436" t="str">
            <v>FL002.0Y2W001BOCC</v>
          </cell>
          <cell r="I436" t="str">
            <v>2 YD 2X WK BUS OCC 1</v>
          </cell>
        </row>
        <row r="437">
          <cell r="H437" t="str">
            <v>FL002.0Y2W001SOCC</v>
          </cell>
          <cell r="I437" t="str">
            <v>2 YD 2X WK SCHOOL OCC</v>
          </cell>
        </row>
        <row r="438">
          <cell r="H438" t="str">
            <v>FL002.0Y3W001BOCC</v>
          </cell>
          <cell r="I438" t="str">
            <v>2 YD 3X WK BUS OCC 1</v>
          </cell>
        </row>
        <row r="439">
          <cell r="H439" t="str">
            <v>FL004.0Y1W001CMGL</v>
          </cell>
          <cell r="I439" t="str">
            <v>4 YD 1X WK BUS CMGL 1</v>
          </cell>
        </row>
        <row r="440">
          <cell r="H440" t="str">
            <v>FL004.0Y2W001CMGL</v>
          </cell>
          <cell r="I440" t="str">
            <v>4 YD 2X WK BUS CMGL 1</v>
          </cell>
        </row>
        <row r="441">
          <cell r="H441" t="str">
            <v>FL004.0Y3W001BCMGL</v>
          </cell>
          <cell r="I441" t="str">
            <v>4 YD 3X WK BUS CMGL 1</v>
          </cell>
        </row>
        <row r="442">
          <cell r="H442" t="str">
            <v>FL005.0Y1W001BOCC</v>
          </cell>
          <cell r="I442" t="str">
            <v>5 YD 1X WK BUS OCC 1</v>
          </cell>
        </row>
        <row r="443">
          <cell r="H443" t="str">
            <v>FL005.0Y1W001SOCC</v>
          </cell>
          <cell r="I443" t="str">
            <v>5 YD 1X WK SCHOOL OCC</v>
          </cell>
        </row>
        <row r="444">
          <cell r="H444" t="str">
            <v>FL005.0Y2W001BOCC</v>
          </cell>
          <cell r="I444" t="str">
            <v>5 YD 2X WK BUS OCC 1</v>
          </cell>
        </row>
        <row r="445">
          <cell r="H445" t="str">
            <v>FL005.0Y2W001SOCC</v>
          </cell>
          <cell r="I445" t="str">
            <v>5 YD 2X WK SCHOOL OCC</v>
          </cell>
        </row>
        <row r="446">
          <cell r="H446" t="str">
            <v>FL005.0Y3W001BOCC</v>
          </cell>
          <cell r="I446" t="str">
            <v>5 YD 3X WK BUS OCC 1</v>
          </cell>
        </row>
        <row r="447">
          <cell r="H447" t="str">
            <v>FL005.0Y4W001BOCC</v>
          </cell>
          <cell r="I447" t="str">
            <v>5 YD 4X WK BUS OCC 1</v>
          </cell>
        </row>
        <row r="448">
          <cell r="H448" t="str">
            <v>FL005.0Y5W001BOCC</v>
          </cell>
          <cell r="I448" t="str">
            <v>5 YD 5X WK BUS OCC 1</v>
          </cell>
        </row>
        <row r="449">
          <cell r="H449" t="str">
            <v>FL006.0Y1W001BCMGL</v>
          </cell>
          <cell r="I449" t="str">
            <v>6 YD 1X WK BUS COMINGLE 1</v>
          </cell>
        </row>
        <row r="450">
          <cell r="H450" t="str">
            <v>FL006.0Y2W001BCMGL</v>
          </cell>
          <cell r="I450" t="str">
            <v>6 YD 2X WK BUS COMINGLE 1</v>
          </cell>
        </row>
        <row r="451">
          <cell r="H451" t="str">
            <v>FL006.0Y3W001BCMGL</v>
          </cell>
          <cell r="I451" t="str">
            <v>6 YD 3X WK BUS CMGL 1</v>
          </cell>
        </row>
        <row r="452">
          <cell r="H452" t="str">
            <v>FL006.0Y4W001BCMGL</v>
          </cell>
          <cell r="I452" t="str">
            <v>6 YD 4X WK BUS CMGL 1</v>
          </cell>
        </row>
        <row r="453">
          <cell r="H453" t="str">
            <v>MFNBINS</v>
          </cell>
          <cell r="I453" t="str">
            <v>MULTI-FAMILY REC UNIT N/B</v>
          </cell>
        </row>
        <row r="454">
          <cell r="H454" t="str">
            <v>MFWBINS</v>
          </cell>
          <cell r="I454" t="str">
            <v>MULTI-FAMILY REC UNIT W/B</v>
          </cell>
        </row>
        <row r="455">
          <cell r="H455" t="str">
            <v>RENTRECCNT-COMM</v>
          </cell>
          <cell r="I455" t="str">
            <v>RENTAL FEE RECYCLE CONTAI</v>
          </cell>
        </row>
        <row r="456">
          <cell r="H456" t="str">
            <v>ROLL-REC</v>
          </cell>
          <cell r="I456" t="str">
            <v>ROLL OUT CHARGE - RECYCLI</v>
          </cell>
        </row>
        <row r="457">
          <cell r="H457" t="str">
            <v>SL064.0G1M001BCMGLOUT</v>
          </cell>
          <cell r="I457" t="str">
            <v>64 GL MTHLY BUS CMGL OUT</v>
          </cell>
        </row>
        <row r="458">
          <cell r="H458" t="str">
            <v>SL064.0G1W001BCMGLOUT</v>
          </cell>
          <cell r="I458" t="str">
            <v>64 GL WKLY BUS CMGL OUT</v>
          </cell>
        </row>
        <row r="459">
          <cell r="H459" t="str">
            <v>SL064.0GEO001BCMGLOUT</v>
          </cell>
          <cell r="I459" t="str">
            <v>64 GL EOW BUS CMGL OUT</v>
          </cell>
        </row>
        <row r="460">
          <cell r="H460" t="str">
            <v>SL096.0G1M001BCMGLOUT</v>
          </cell>
          <cell r="I460" t="str">
            <v>96 GL MTHLY BUS CMGL OUT</v>
          </cell>
        </row>
        <row r="461">
          <cell r="H461" t="str">
            <v>SL096.0G1W001BCMGLIN</v>
          </cell>
          <cell r="I461" t="str">
            <v>96 GL WKLY BUS CMGL IN</v>
          </cell>
        </row>
        <row r="462">
          <cell r="H462" t="str">
            <v>SL096.0G1W001BCMGLOUT</v>
          </cell>
          <cell r="I462" t="str">
            <v>96 GL WKLY BUS CMGL OUT</v>
          </cell>
        </row>
        <row r="463">
          <cell r="H463" t="str">
            <v>SL096.0G1W001SCMGLOUT</v>
          </cell>
          <cell r="I463" t="str">
            <v>96 GL WKLY SCHL CMGL OUT</v>
          </cell>
        </row>
        <row r="464">
          <cell r="H464" t="str">
            <v>SL096.0GEO001BCMGLIN</v>
          </cell>
          <cell r="I464" t="str">
            <v>96 GL EOW BUS CMGL IN</v>
          </cell>
        </row>
        <row r="465">
          <cell r="H465" t="str">
            <v>SL096.0GEO001BCMGLOUT</v>
          </cell>
          <cell r="I465" t="str">
            <v>96 GL EOW BUS CMGL OUT</v>
          </cell>
        </row>
        <row r="466">
          <cell r="H466" t="str">
            <v>SL096.0GEO001SCMGLOUT</v>
          </cell>
          <cell r="I466" t="str">
            <v>96 GL EOW SCHL CMGL OUT</v>
          </cell>
        </row>
        <row r="467">
          <cell r="H467" t="str">
            <v>MFWBINS</v>
          </cell>
          <cell r="I467" t="str">
            <v>MULTI-FAMILY REC UNIT W/B</v>
          </cell>
        </row>
        <row r="468">
          <cell r="H468" t="str">
            <v>SL096.0G1M001BCMGLIN</v>
          </cell>
          <cell r="I468" t="str">
            <v>96 GL MTHLY BUS CMGL IN</v>
          </cell>
        </row>
        <row r="469">
          <cell r="H469" t="str">
            <v>SL096.0G1W001BCMGLIN</v>
          </cell>
          <cell r="I469" t="str">
            <v>96 GL WKLY BUS CMGL IN</v>
          </cell>
        </row>
        <row r="470">
          <cell r="H470" t="str">
            <v>CC-KOL</v>
          </cell>
          <cell r="I470" t="str">
            <v>ONLINE PAYMENT-CC</v>
          </cell>
        </row>
        <row r="471">
          <cell r="H471" t="str">
            <v>CCREF-KOL</v>
          </cell>
          <cell r="I471" t="str">
            <v>CREDIT CARD REFUND</v>
          </cell>
        </row>
        <row r="472">
          <cell r="H472" t="str">
            <v>PAY</v>
          </cell>
          <cell r="I472" t="str">
            <v>PAYMENT THANK YOU</v>
          </cell>
        </row>
        <row r="473">
          <cell r="H473" t="str">
            <v>PAY-CFREE</v>
          </cell>
          <cell r="I473" t="str">
            <v>CHECKFREE PAYMENT</v>
          </cell>
        </row>
        <row r="474">
          <cell r="H474" t="str">
            <v>PAY-KOL</v>
          </cell>
          <cell r="I474" t="str">
            <v>PAYMENT-THANK YOU - OL</v>
          </cell>
        </row>
        <row r="475">
          <cell r="H475" t="str">
            <v>PAY-ORCC</v>
          </cell>
          <cell r="I475" t="str">
            <v>ORCC PAYMENT</v>
          </cell>
        </row>
        <row r="476">
          <cell r="H476" t="str">
            <v>PAY-RPPS</v>
          </cell>
          <cell r="I476" t="str">
            <v>RPPS MASTERCARD PAYMENT</v>
          </cell>
        </row>
        <row r="477">
          <cell r="H477" t="str">
            <v>PAYL</v>
          </cell>
          <cell r="I477" t="str">
            <v>PAYMENT THANK YOU</v>
          </cell>
        </row>
        <row r="478">
          <cell r="H478" t="str">
            <v>PAYMET</v>
          </cell>
          <cell r="I478" t="str">
            <v>METAVANTE ONLINE PAYMENT</v>
          </cell>
        </row>
        <row r="479">
          <cell r="H479" t="str">
            <v>PAYUSBL</v>
          </cell>
          <cell r="I479" t="str">
            <v>PAYMENT THANK YOU</v>
          </cell>
        </row>
        <row r="480">
          <cell r="H480" t="str">
            <v>RET-KOL</v>
          </cell>
          <cell r="I480" t="str">
            <v>ONLINE PAYMENT RETURN</v>
          </cell>
        </row>
        <row r="481">
          <cell r="H481" t="str">
            <v>CC-KOL</v>
          </cell>
          <cell r="I481" t="str">
            <v>ONLINE PAYMENT-CC</v>
          </cell>
        </row>
        <row r="482">
          <cell r="H482" t="str">
            <v>CCREF-KOL</v>
          </cell>
          <cell r="I482" t="str">
            <v>CREDIT CARD REFUND</v>
          </cell>
        </row>
        <row r="483">
          <cell r="H483" t="str">
            <v>PAY</v>
          </cell>
          <cell r="I483" t="str">
            <v>PAYMENT THANK YOU</v>
          </cell>
        </row>
        <row r="484">
          <cell r="H484" t="str">
            <v>PAY-CFREE</v>
          </cell>
          <cell r="I484" t="str">
            <v>CHECKFREE PAYMENT</v>
          </cell>
        </row>
        <row r="485">
          <cell r="H485" t="str">
            <v>PAY-KOL</v>
          </cell>
          <cell r="I485" t="str">
            <v>PAYMENT-THANK YOU - OL</v>
          </cell>
        </row>
        <row r="486">
          <cell r="H486" t="str">
            <v>PAY-ORCC</v>
          </cell>
          <cell r="I486" t="str">
            <v>ORCC PAYMENT</v>
          </cell>
        </row>
        <row r="487">
          <cell r="H487" t="str">
            <v>PAY-RPPS</v>
          </cell>
          <cell r="I487" t="str">
            <v>RPPS MASTERCARD PAYMENT</v>
          </cell>
        </row>
        <row r="488">
          <cell r="H488" t="str">
            <v>PAYL</v>
          </cell>
          <cell r="I488" t="str">
            <v>PAYMENT THANK YOU</v>
          </cell>
        </row>
        <row r="489">
          <cell r="H489" t="str">
            <v>PAYMET</v>
          </cell>
          <cell r="I489" t="str">
            <v>METAVANTE ONLINE PAYMENT</v>
          </cell>
        </row>
        <row r="490">
          <cell r="H490" t="str">
            <v>PAYUSBL</v>
          </cell>
          <cell r="I490" t="str">
            <v>PAYMENT THANK YOU</v>
          </cell>
        </row>
        <row r="491">
          <cell r="H491" t="str">
            <v>RET-KOL</v>
          </cell>
          <cell r="I491" t="str">
            <v>ONLINE PAYMENT RETURN</v>
          </cell>
        </row>
        <row r="492">
          <cell r="H492" t="str">
            <v>CC-KOL</v>
          </cell>
          <cell r="I492" t="str">
            <v>ONLINE PAYMENT-CC</v>
          </cell>
        </row>
        <row r="493">
          <cell r="H493" t="str">
            <v>CCREF-KOL</v>
          </cell>
          <cell r="I493" t="str">
            <v>CREDIT CARD REFUND</v>
          </cell>
        </row>
        <row r="494">
          <cell r="H494" t="str">
            <v>PAY</v>
          </cell>
          <cell r="I494" t="str">
            <v>PAYMENT THANK YOU</v>
          </cell>
        </row>
        <row r="495">
          <cell r="H495" t="str">
            <v>PAY-CFREE</v>
          </cell>
          <cell r="I495" t="str">
            <v>CHECKFREE PAYMENT</v>
          </cell>
        </row>
        <row r="496">
          <cell r="H496" t="str">
            <v>PAY-KOL</v>
          </cell>
          <cell r="I496" t="str">
            <v>PAYMENT-THANK YOU - OL</v>
          </cell>
        </row>
        <row r="497">
          <cell r="H497" t="str">
            <v>PAY-NATL</v>
          </cell>
          <cell r="I497" t="str">
            <v>PAYMENT THANK YOU</v>
          </cell>
        </row>
        <row r="498">
          <cell r="H498" t="str">
            <v>PAY-OAK</v>
          </cell>
          <cell r="I498" t="str">
            <v>OAKLEAF PAYMENT</v>
          </cell>
        </row>
        <row r="499">
          <cell r="H499" t="str">
            <v>PAY-ORCC</v>
          </cell>
          <cell r="I499" t="str">
            <v>ORCC PAYMENT</v>
          </cell>
        </row>
        <row r="500">
          <cell r="H500" t="str">
            <v>PAY-RPPS</v>
          </cell>
          <cell r="I500" t="str">
            <v>RPPS MASTERCARD PAYMENT</v>
          </cell>
        </row>
        <row r="501">
          <cell r="H501" t="str">
            <v>PAYEFT</v>
          </cell>
          <cell r="I501" t="str">
            <v>EFT PAYMENT</v>
          </cell>
        </row>
        <row r="502">
          <cell r="H502" t="str">
            <v>PAYICLRI</v>
          </cell>
          <cell r="I502" t="str">
            <v>PAYMENT THANK YOU</v>
          </cell>
        </row>
        <row r="503">
          <cell r="H503" t="str">
            <v>PAYICT</v>
          </cell>
          <cell r="I503" t="str">
            <v>I/C PAYMENT THANK YOU</v>
          </cell>
        </row>
        <row r="504">
          <cell r="H504" t="str">
            <v>PAYL</v>
          </cell>
          <cell r="I504" t="str">
            <v>PAYMENT THANK YOU</v>
          </cell>
        </row>
        <row r="505">
          <cell r="H505" t="str">
            <v>PAYMET</v>
          </cell>
          <cell r="I505" t="str">
            <v>METAVANTE ONLINE PAYMENT</v>
          </cell>
        </row>
        <row r="506">
          <cell r="H506" t="str">
            <v>PAYUSBL</v>
          </cell>
          <cell r="I506" t="str">
            <v>PAYMENT THANK YOU</v>
          </cell>
        </row>
        <row r="507">
          <cell r="H507" t="str">
            <v>RET-KOL</v>
          </cell>
          <cell r="I507" t="str">
            <v>ONLINE PAYMENT RETURN</v>
          </cell>
        </row>
        <row r="508">
          <cell r="H508" t="str">
            <v>CC-KOL</v>
          </cell>
          <cell r="I508" t="str">
            <v>ONLINE PAYMENT-CC</v>
          </cell>
        </row>
        <row r="509">
          <cell r="H509" t="str">
            <v>PAYUSBL</v>
          </cell>
          <cell r="I509" t="str">
            <v>PAYMENT THANK YOU</v>
          </cell>
        </row>
        <row r="510">
          <cell r="H510" t="str">
            <v>DRIVEIN-RES</v>
          </cell>
          <cell r="I510" t="str">
            <v>DRIVE IN SERVICE - RES</v>
          </cell>
        </row>
        <row r="511">
          <cell r="H511" t="str">
            <v>GWRES</v>
          </cell>
          <cell r="I511" t="str">
            <v>GREENWASTE SERVICE - RES</v>
          </cell>
        </row>
        <row r="512">
          <cell r="H512" t="str">
            <v>RECBINONLYR</v>
          </cell>
          <cell r="I512" t="str">
            <v>RECYCLE SERVICE ONLY</v>
          </cell>
        </row>
        <row r="513">
          <cell r="H513" t="str">
            <v>SL035.0G1M001WREC</v>
          </cell>
          <cell r="I513" t="str">
            <v>35 GL 1X MO W/RECY 1</v>
          </cell>
        </row>
        <row r="514">
          <cell r="H514" t="str">
            <v>SL035.0G1W001WREC</v>
          </cell>
          <cell r="I514" t="str">
            <v>35 GL 1X WK W/ RECY 1</v>
          </cell>
        </row>
        <row r="515">
          <cell r="H515" t="str">
            <v>SL065.0G1M001WREC</v>
          </cell>
          <cell r="I515" t="str">
            <v>65 GL 1X MO W/RECY 1</v>
          </cell>
        </row>
        <row r="516">
          <cell r="H516" t="str">
            <v>SL065.0G1W001WREC</v>
          </cell>
          <cell r="I516" t="str">
            <v>65 GL 1X WK W/RECY 1</v>
          </cell>
        </row>
        <row r="517">
          <cell r="H517" t="str">
            <v>SL065.0GEO001NOREC</v>
          </cell>
          <cell r="I517" t="str">
            <v>65 GL EOW NO RECY 1</v>
          </cell>
        </row>
        <row r="518">
          <cell r="H518" t="str">
            <v>SL065.0GEO001WREC</v>
          </cell>
          <cell r="I518" t="str">
            <v>65 GL EOW W/RECY 1</v>
          </cell>
        </row>
        <row r="519">
          <cell r="H519" t="str">
            <v>SL095.0G1W001NOREC</v>
          </cell>
          <cell r="I519" t="str">
            <v>95 GL 1X WK NO RECY 1</v>
          </cell>
        </row>
        <row r="520">
          <cell r="H520" t="str">
            <v>SL095.0G1W001WREC</v>
          </cell>
          <cell r="I520" t="str">
            <v>95 GL 1X WK W/RECY 1</v>
          </cell>
        </row>
        <row r="521">
          <cell r="H521" t="str">
            <v>SL095.0GEO001WREC</v>
          </cell>
          <cell r="I521" t="str">
            <v>95 GL EOW W/RECY 1</v>
          </cell>
        </row>
        <row r="522">
          <cell r="H522" t="str">
            <v>WI1-RES</v>
          </cell>
          <cell r="I522" t="str">
            <v>WALK IN 6-25' - RES</v>
          </cell>
        </row>
        <row r="523">
          <cell r="H523" t="str">
            <v>BULKY-RES</v>
          </cell>
          <cell r="I523" t="str">
            <v>BULKY ITEM PICK UP - RES</v>
          </cell>
        </row>
        <row r="524">
          <cell r="H524" t="str">
            <v>EP96GWC-RES</v>
          </cell>
          <cell r="I524" t="str">
            <v>EXTRA PICK UP 96 GW - RES</v>
          </cell>
        </row>
        <row r="525">
          <cell r="H525" t="str">
            <v>EXTRA-RES</v>
          </cell>
          <cell r="I525" t="str">
            <v>EXTRA CAN, BAG, BOX - RES</v>
          </cell>
        </row>
        <row r="526">
          <cell r="H526" t="str">
            <v>EXTRAGRAD1-RES</v>
          </cell>
          <cell r="I526" t="str">
            <v>EXTRAS GRADUATED 1-2 - RES</v>
          </cell>
        </row>
        <row r="527">
          <cell r="H527" t="str">
            <v>EXTRAGRAD2-RES</v>
          </cell>
          <cell r="I527" t="str">
            <v>EXTRAS GRADUATED 3+ - RES</v>
          </cell>
        </row>
        <row r="528">
          <cell r="H528" t="str">
            <v>EXTRAGWC-RES</v>
          </cell>
          <cell r="I528" t="str">
            <v>EXTRA GREENWASTE FEE - RE</v>
          </cell>
        </row>
        <row r="529">
          <cell r="H529" t="str">
            <v>GWRES</v>
          </cell>
          <cell r="I529" t="str">
            <v>GREENWASTE SERVICE - RES</v>
          </cell>
        </row>
        <row r="530">
          <cell r="H530" t="str">
            <v>OW-RES</v>
          </cell>
          <cell r="I530" t="str">
            <v>OVERFILL / OVERWEIGHT CAN</v>
          </cell>
        </row>
        <row r="531">
          <cell r="H531" t="str">
            <v>REINSTATE-RES</v>
          </cell>
          <cell r="I531" t="str">
            <v>REINSTATE FEE - RES</v>
          </cell>
        </row>
        <row r="532">
          <cell r="H532" t="str">
            <v>RTRNCART-RES</v>
          </cell>
          <cell r="I532" t="str">
            <v>RETURN TRIP FEE CART - RE</v>
          </cell>
        </row>
        <row r="533">
          <cell r="H533" t="str">
            <v>RTRNCART65-RES</v>
          </cell>
          <cell r="I533" t="str">
            <v>RETURN TRIP 65 GL - RES</v>
          </cell>
        </row>
        <row r="534">
          <cell r="H534" t="str">
            <v>RTRNCART95-RES</v>
          </cell>
          <cell r="I534" t="str">
            <v>RETURN TRIP 95 GL - RES</v>
          </cell>
        </row>
        <row r="535">
          <cell r="H535" t="str">
            <v>RTRNCART96REC-RES</v>
          </cell>
          <cell r="I535" t="str">
            <v>RETURN TRIP 96 GL REC - RES</v>
          </cell>
        </row>
        <row r="536">
          <cell r="H536" t="str">
            <v>SL035.0G1W001WREC</v>
          </cell>
          <cell r="I536" t="str">
            <v>35 GL 1X WK W/ RECY 1</v>
          </cell>
        </row>
        <row r="537">
          <cell r="H537" t="str">
            <v>SL065.0G1W001WREC</v>
          </cell>
          <cell r="I537" t="str">
            <v>65 GL 1X WK W/RECY 1</v>
          </cell>
        </row>
        <row r="538">
          <cell r="H538" t="str">
            <v>SL065.0GEO001WREC</v>
          </cell>
          <cell r="I538" t="str">
            <v>65 GL EOW W/RECY 1</v>
          </cell>
        </row>
        <row r="539">
          <cell r="H539" t="str">
            <v>SL095.0G1W001WREC</v>
          </cell>
          <cell r="I539" t="str">
            <v>95 GL 1X WK W/RECY 1</v>
          </cell>
        </row>
        <row r="540">
          <cell r="H540" t="str">
            <v>SPGRAD1-RES</v>
          </cell>
          <cell r="I540" t="str">
            <v>SPECIAL GRADUATED 1-2 - R</v>
          </cell>
        </row>
        <row r="541">
          <cell r="H541" t="str">
            <v>ACCESS-RES</v>
          </cell>
          <cell r="I541" t="str">
            <v>ACCESS FEE - RES</v>
          </cell>
        </row>
        <row r="542">
          <cell r="H542" t="str">
            <v>DRIVEIN-RES</v>
          </cell>
          <cell r="I542" t="str">
            <v>DRIVE IN SERVICE - RES</v>
          </cell>
        </row>
        <row r="543">
          <cell r="H543" t="str">
            <v>DRIVEIN1-RES</v>
          </cell>
          <cell r="I543" t="str">
            <v>DRIVE IN 1 - RES</v>
          </cell>
        </row>
        <row r="544">
          <cell r="H544" t="str">
            <v>DRIVEIN2-RES</v>
          </cell>
          <cell r="I544" t="str">
            <v>DRIVE IN 2 - RES</v>
          </cell>
        </row>
        <row r="545">
          <cell r="H545" t="str">
            <v>DRIVEIN4-RES</v>
          </cell>
          <cell r="I545" t="str">
            <v>DRIVE IN 4 - RES</v>
          </cell>
        </row>
        <row r="546">
          <cell r="H546" t="str">
            <v>GWRES</v>
          </cell>
          <cell r="I546" t="str">
            <v>GREENWASTE SERVICE - RES</v>
          </cell>
        </row>
        <row r="547">
          <cell r="H547" t="str">
            <v>GWSPCL-RES</v>
          </cell>
          <cell r="I547" t="str">
            <v>GREENWASTE SEN/DIS - RES</v>
          </cell>
        </row>
        <row r="548">
          <cell r="H548" t="str">
            <v>RECBINONLYR</v>
          </cell>
          <cell r="I548" t="str">
            <v>RECYCLE SERVICE ONLY</v>
          </cell>
        </row>
        <row r="549">
          <cell r="H549" t="str">
            <v>RECPROGADJ-RES</v>
          </cell>
          <cell r="I549" t="str">
            <v>RECYCLING PROGRAM ADJUSTM</v>
          </cell>
        </row>
        <row r="550">
          <cell r="H550" t="str">
            <v>RECVALRES</v>
          </cell>
          <cell r="I550" t="str">
            <v>RECYCLABLES VALUE - RES</v>
          </cell>
        </row>
        <row r="551">
          <cell r="H551" t="str">
            <v>RL020.0G1W001</v>
          </cell>
          <cell r="I551" t="str">
            <v>20 GL 1X WK 1</v>
          </cell>
        </row>
        <row r="552">
          <cell r="H552" t="str">
            <v>RL032.0G1M001WRECSPCL</v>
          </cell>
          <cell r="I552" t="str">
            <v>32 GL 1X MO S/D W/RECY</v>
          </cell>
        </row>
        <row r="553">
          <cell r="H553" t="str">
            <v>SL035.0G1M001WREC</v>
          </cell>
          <cell r="I553" t="str">
            <v>35 GL 1X MO W/RECY 1</v>
          </cell>
        </row>
        <row r="554">
          <cell r="H554" t="str">
            <v>SL035.0G1W001NOREC</v>
          </cell>
          <cell r="I554" t="str">
            <v>35 GL 1X WK NO RECY 1</v>
          </cell>
        </row>
        <row r="555">
          <cell r="H555" t="str">
            <v>SL035.0G1W001WREC</v>
          </cell>
          <cell r="I555" t="str">
            <v>35 GL 1X WK W/ RECY 1</v>
          </cell>
        </row>
        <row r="556">
          <cell r="H556" t="str">
            <v>SL065.0G1M001NOREC</v>
          </cell>
          <cell r="I556" t="str">
            <v>65 GL 1X MO NO RECY 1</v>
          </cell>
        </row>
        <row r="557">
          <cell r="H557" t="str">
            <v>SL065.0G1M001SPCLNOREC</v>
          </cell>
          <cell r="I557" t="str">
            <v>65 GL 1X MO S/D NO REC 1</v>
          </cell>
        </row>
        <row r="558">
          <cell r="H558" t="str">
            <v>SL065.0G1M001WREC</v>
          </cell>
          <cell r="I558" t="str">
            <v>65 GL 1X MO W/RECY 1</v>
          </cell>
        </row>
        <row r="559">
          <cell r="H559" t="str">
            <v>SL065.0G1M001WRECSPCL</v>
          </cell>
          <cell r="I559" t="str">
            <v>65 GL 1X MO W/RECY S/D 1</v>
          </cell>
        </row>
        <row r="560">
          <cell r="H560" t="str">
            <v>SL065.0G1W001NOREC</v>
          </cell>
          <cell r="I560" t="str">
            <v>65 GL 1X WK NO RECY 1</v>
          </cell>
        </row>
        <row r="561">
          <cell r="H561" t="str">
            <v>SL065.0G1W001SPCLWREC</v>
          </cell>
          <cell r="I561" t="str">
            <v>65 GL 1X WK S/D W/REC 1</v>
          </cell>
        </row>
        <row r="562">
          <cell r="H562" t="str">
            <v>SL065.0G1W001WREC</v>
          </cell>
          <cell r="I562" t="str">
            <v>65 GL 1X WK W/RECY 1</v>
          </cell>
        </row>
        <row r="563">
          <cell r="H563" t="str">
            <v>SL065.0GEO001NOREC</v>
          </cell>
          <cell r="I563" t="str">
            <v>65 GL EOW NO RECY 1</v>
          </cell>
        </row>
        <row r="564">
          <cell r="H564" t="str">
            <v>SL065.0GEO001SPCLNOREC</v>
          </cell>
          <cell r="I564" t="str">
            <v>65 GL EOW S/D NO RECY 1</v>
          </cell>
        </row>
        <row r="565">
          <cell r="H565" t="str">
            <v>SL065.0GEO001SPCLWREC</v>
          </cell>
          <cell r="I565" t="str">
            <v>65 GL EOW S/D W/RECY 1</v>
          </cell>
        </row>
        <row r="566">
          <cell r="H566" t="str">
            <v>SL065.0GEO001WREC</v>
          </cell>
          <cell r="I566" t="str">
            <v>65 GL EOW W/RECY 1</v>
          </cell>
        </row>
        <row r="567">
          <cell r="H567" t="str">
            <v>SL095.0G1M001WREC</v>
          </cell>
          <cell r="I567" t="str">
            <v>95 GL 1X MO W/RECY 1</v>
          </cell>
        </row>
        <row r="568">
          <cell r="H568" t="str">
            <v>SL095.0G1W001NOREC</v>
          </cell>
          <cell r="I568" t="str">
            <v>95 GL 1X WK NO RECY 1</v>
          </cell>
        </row>
        <row r="569">
          <cell r="H569" t="str">
            <v>SL095.0G1W001WREC</v>
          </cell>
          <cell r="I569" t="str">
            <v>95 GL 1X WK W/RECY 1</v>
          </cell>
        </row>
        <row r="570">
          <cell r="H570" t="str">
            <v>SL095.0GEO001NOREC</v>
          </cell>
          <cell r="I570" t="str">
            <v>95 GL EOW NO RECY 1</v>
          </cell>
        </row>
        <row r="571">
          <cell r="H571" t="str">
            <v>SL095.0GEO001SPCLWREC</v>
          </cell>
          <cell r="I571" t="str">
            <v>95 GL EOW S/D W/RECY 1</v>
          </cell>
        </row>
        <row r="572">
          <cell r="H572" t="str">
            <v>SL095.0GEO001WREC</v>
          </cell>
          <cell r="I572" t="str">
            <v>95 GL EOW W/RECY 1</v>
          </cell>
        </row>
        <row r="573">
          <cell r="H573" t="str">
            <v>WI1-RES</v>
          </cell>
          <cell r="I573" t="str">
            <v>WALK IN 6-25' - RES</v>
          </cell>
        </row>
        <row r="574">
          <cell r="H574" t="str">
            <v>WI2-RES</v>
          </cell>
          <cell r="I574" t="str">
            <v>WALK IN 26-50' - RES</v>
          </cell>
        </row>
        <row r="575">
          <cell r="H575" t="str">
            <v>BULKY-RES</v>
          </cell>
          <cell r="I575" t="str">
            <v>BULKY ITEM PICK UP - RES</v>
          </cell>
        </row>
        <row r="576">
          <cell r="H576" t="str">
            <v>EP96GWC-RES</v>
          </cell>
          <cell r="I576" t="str">
            <v>EXTRA PICK UP 96 GW - RES</v>
          </cell>
        </row>
        <row r="577">
          <cell r="H577" t="str">
            <v>EXTRA-RES</v>
          </cell>
          <cell r="I577" t="str">
            <v>EXTRA CAN, BAG, BOX - RES</v>
          </cell>
        </row>
        <row r="578">
          <cell r="H578" t="str">
            <v>EXTRAGRAD1-RES</v>
          </cell>
          <cell r="I578" t="str">
            <v>EXTRAS GRADUATED 1-2 - RES</v>
          </cell>
        </row>
        <row r="579">
          <cell r="H579" t="str">
            <v>EXTRAGRAD2-RES</v>
          </cell>
          <cell r="I579" t="str">
            <v>EXTRAS GRADUATED 3+ - RES</v>
          </cell>
        </row>
        <row r="580">
          <cell r="H580" t="str">
            <v>EXTRAGWC-RES</v>
          </cell>
          <cell r="I580" t="str">
            <v>EXTRA GREENWASTE FEE - RE</v>
          </cell>
        </row>
        <row r="581">
          <cell r="H581" t="str">
            <v>GWRES</v>
          </cell>
          <cell r="I581" t="str">
            <v>GREENWASTE SERVICE - RES</v>
          </cell>
        </row>
        <row r="582">
          <cell r="H582" t="str">
            <v>OC-RES</v>
          </cell>
          <cell r="I582" t="str">
            <v>ON CALL SERVICE - RES</v>
          </cell>
        </row>
        <row r="583">
          <cell r="H583" t="str">
            <v>OS-RES</v>
          </cell>
          <cell r="I583" t="str">
            <v>OVERSIZE CAN - RES</v>
          </cell>
        </row>
        <row r="584">
          <cell r="H584" t="str">
            <v>OW-RES</v>
          </cell>
          <cell r="I584" t="str">
            <v>OVERFILL / OVERWEIGHT CAN</v>
          </cell>
        </row>
        <row r="585">
          <cell r="H585" t="str">
            <v>REINSTATE-RES</v>
          </cell>
          <cell r="I585" t="str">
            <v>REINSTATE FEE - RES</v>
          </cell>
        </row>
        <row r="586">
          <cell r="H586" t="str">
            <v>RTRNCART65-RES</v>
          </cell>
          <cell r="I586" t="str">
            <v>RETURN TRIP 65 GL - RES</v>
          </cell>
        </row>
        <row r="587">
          <cell r="H587" t="str">
            <v>SL065.0G1W001WREC</v>
          </cell>
          <cell r="I587" t="str">
            <v>65 GL 1X WK W/RECY 1</v>
          </cell>
        </row>
        <row r="588">
          <cell r="H588" t="str">
            <v>SL065.0GEO001WREC</v>
          </cell>
          <cell r="I588" t="str">
            <v>65 GL EOW W/RECY 1</v>
          </cell>
        </row>
        <row r="589">
          <cell r="H589" t="str">
            <v>SPGRAD1-RES</v>
          </cell>
          <cell r="I589" t="str">
            <v>SPECIAL GRADUATED 1-2 - R</v>
          </cell>
        </row>
        <row r="590">
          <cell r="H590" t="str">
            <v>TIRELG-RES</v>
          </cell>
          <cell r="I590" t="str">
            <v>TIRE FEE LARGE - RES</v>
          </cell>
        </row>
        <row r="591">
          <cell r="H591" t="str">
            <v>OW-RES</v>
          </cell>
          <cell r="I591" t="str">
            <v>OVERFILL / OVERWEIGHT CAN</v>
          </cell>
        </row>
        <row r="592">
          <cell r="H592" t="str">
            <v>REINSTATE-RES</v>
          </cell>
          <cell r="I592" t="str">
            <v>REINSTATE FEE - RES</v>
          </cell>
        </row>
        <row r="593">
          <cell r="H593" t="str">
            <v>SPGRAD1-RES</v>
          </cell>
          <cell r="I593" t="str">
            <v>SPECIAL GRADUATED 1-2 - R</v>
          </cell>
        </row>
        <row r="594">
          <cell r="H594" t="str">
            <v>DISCO-CP</v>
          </cell>
          <cell r="I594" t="str">
            <v xml:space="preserve">COMPACTOR DISCONNECT FEE </v>
          </cell>
        </row>
        <row r="595">
          <cell r="H595" t="str">
            <v>HAUL30-RO</v>
          </cell>
          <cell r="I595" t="str">
            <v>HAUL 30 YD - RO</v>
          </cell>
        </row>
        <row r="596">
          <cell r="H596" t="str">
            <v>LIDRO</v>
          </cell>
          <cell r="I596" t="str">
            <v>LID CHARGE - RO</v>
          </cell>
        </row>
        <row r="597">
          <cell r="H597" t="str">
            <v>RENT15MO-RO</v>
          </cell>
          <cell r="I597" t="str">
            <v>RENTAL FEE 15 YD MONTHLY</v>
          </cell>
        </row>
        <row r="598">
          <cell r="H598" t="str">
            <v>RENT20MO-RO</v>
          </cell>
          <cell r="I598" t="str">
            <v>RENTAL FEE 20 YD MONTHLY</v>
          </cell>
        </row>
        <row r="599">
          <cell r="H599" t="str">
            <v>RENT20TEMP-RO</v>
          </cell>
          <cell r="I599" t="str">
            <v>RENTAL FEE 20 YD TEMP - R</v>
          </cell>
        </row>
        <row r="600">
          <cell r="H600" t="str">
            <v>RENT30MO-RO</v>
          </cell>
          <cell r="I600" t="str">
            <v>RENTAL FEE 30 YD MONTHLY</v>
          </cell>
        </row>
        <row r="601">
          <cell r="H601" t="str">
            <v>RENT40MO-RO</v>
          </cell>
          <cell r="I601" t="str">
            <v>RENTAL FEE 40 YD MONTHLY</v>
          </cell>
        </row>
        <row r="602">
          <cell r="H602" t="str">
            <v>DEL20-RO</v>
          </cell>
          <cell r="I602" t="str">
            <v>DELIVERY FEE 20 YD - RO</v>
          </cell>
        </row>
        <row r="603">
          <cell r="H603" t="str">
            <v>DEL20TEMP-RO</v>
          </cell>
          <cell r="I603" t="str">
            <v>DELIVERY FEE 20 YD TEMP -</v>
          </cell>
        </row>
        <row r="604">
          <cell r="H604" t="str">
            <v>DEL30TEMP-RO</v>
          </cell>
          <cell r="I604" t="str">
            <v>DELIVERY FEE 30 YD TEMP -</v>
          </cell>
        </row>
        <row r="605">
          <cell r="H605" t="str">
            <v>DEL40TEMP-RO</v>
          </cell>
          <cell r="I605" t="str">
            <v>DELIVERY FEE 40 YD TEMP -</v>
          </cell>
        </row>
        <row r="606">
          <cell r="H606" t="str">
            <v>DISCO-CP</v>
          </cell>
          <cell r="I606" t="str">
            <v xml:space="preserve">COMPACTOR DISCONNECT FEE </v>
          </cell>
        </row>
        <row r="607">
          <cell r="H607" t="str">
            <v>DISP-RO</v>
          </cell>
          <cell r="I607" t="str">
            <v>DISPOSAL CHARGE - RO</v>
          </cell>
        </row>
        <row r="608">
          <cell r="H608" t="str">
            <v>DISPTRANS-RO</v>
          </cell>
          <cell r="I608" t="str">
            <v>DISPOSAL FEE TRANSFER HAU</v>
          </cell>
        </row>
        <row r="609">
          <cell r="H609" t="str">
            <v>EXWGHT-RO</v>
          </cell>
          <cell r="I609" t="str">
            <v>EXCESS WEIGHT - RO</v>
          </cell>
        </row>
        <row r="610">
          <cell r="H610" t="str">
            <v>FINAL20-RO</v>
          </cell>
          <cell r="I610" t="str">
            <v>FINAL PULL 20 YD - RO</v>
          </cell>
        </row>
        <row r="611">
          <cell r="H611" t="str">
            <v>FINAL20TEMP-RO</v>
          </cell>
          <cell r="I611" t="str">
            <v>FINAL PULL 20 YD TEMP - R</v>
          </cell>
        </row>
        <row r="612">
          <cell r="H612" t="str">
            <v>FINAL30TEMP-RO</v>
          </cell>
          <cell r="I612" t="str">
            <v>FINAL PULL 30 YD TEMP - R</v>
          </cell>
        </row>
        <row r="613">
          <cell r="H613" t="str">
            <v>HAUL10-CP</v>
          </cell>
          <cell r="I613" t="str">
            <v>COMPACTOR HAUL 10 YD - RO</v>
          </cell>
        </row>
        <row r="614">
          <cell r="H614" t="str">
            <v>HAUL15-CP</v>
          </cell>
          <cell r="I614" t="str">
            <v>COMPACTOR HAUL 15 YD</v>
          </cell>
        </row>
        <row r="615">
          <cell r="H615" t="str">
            <v>HAUL15-RO</v>
          </cell>
          <cell r="I615" t="str">
            <v>HAUL 15 YD - RO</v>
          </cell>
        </row>
        <row r="616">
          <cell r="H616" t="str">
            <v>HAUL20-CP</v>
          </cell>
          <cell r="I616" t="str">
            <v>COMPACTOR HAUL 20 YD - RO</v>
          </cell>
        </row>
        <row r="617">
          <cell r="H617" t="str">
            <v>HAUL20-RO</v>
          </cell>
          <cell r="I617" t="str">
            <v>HAUL 20 YD - RO</v>
          </cell>
        </row>
        <row r="618">
          <cell r="H618" t="str">
            <v>HAUL20TEMP-RO</v>
          </cell>
          <cell r="I618" t="str">
            <v>HAUL 20 YD TEMP - RO</v>
          </cell>
        </row>
        <row r="619">
          <cell r="H619" t="str">
            <v>HAUL25-CP</v>
          </cell>
          <cell r="I619" t="str">
            <v>COMPACTOR HAUL 25 YD - RO</v>
          </cell>
        </row>
        <row r="620">
          <cell r="H620" t="str">
            <v>HAUL26-CP</v>
          </cell>
          <cell r="I620" t="str">
            <v>COMPACTOR HAUL 26 YD - RO</v>
          </cell>
        </row>
        <row r="621">
          <cell r="H621" t="str">
            <v>HAUL30-CP</v>
          </cell>
          <cell r="I621" t="str">
            <v>COMPACTOR HAUL 30 YD</v>
          </cell>
        </row>
        <row r="622">
          <cell r="H622" t="str">
            <v>HAUL30-RO</v>
          </cell>
          <cell r="I622" t="str">
            <v>HAUL 30 YD - RO</v>
          </cell>
        </row>
        <row r="623">
          <cell r="H623" t="str">
            <v>HAUL30TEMP-RO</v>
          </cell>
          <cell r="I623" t="str">
            <v>HAUL 30 YD TEMP - RO</v>
          </cell>
        </row>
        <row r="624">
          <cell r="H624" t="str">
            <v>HAUL35-CP</v>
          </cell>
          <cell r="I624" t="str">
            <v>COMPACTOR HAUL 35 YD - RO</v>
          </cell>
        </row>
        <row r="625">
          <cell r="H625" t="str">
            <v>HAUL37-CP</v>
          </cell>
          <cell r="I625" t="str">
            <v>COMPACTOR HAUL 37 YD - RO</v>
          </cell>
        </row>
        <row r="626">
          <cell r="H626" t="str">
            <v>HAUL40-CP</v>
          </cell>
          <cell r="I626" t="str">
            <v>COMPACTOR HAUL 40 YD</v>
          </cell>
        </row>
        <row r="627">
          <cell r="H627" t="str">
            <v>HAUL40-RO</v>
          </cell>
          <cell r="I627" t="str">
            <v>HAUL 40 YD - RO</v>
          </cell>
        </row>
        <row r="628">
          <cell r="H628" t="str">
            <v>HAUL40TEMP-RO</v>
          </cell>
          <cell r="I628" t="str">
            <v>HAUL 40 YD TEMP - RO</v>
          </cell>
        </row>
        <row r="629">
          <cell r="H629" t="str">
            <v>RENT20TEMP-RO</v>
          </cell>
          <cell r="I629" t="str">
            <v>RENTAL FEE 20 YD TEMP - R</v>
          </cell>
        </row>
        <row r="630">
          <cell r="H630" t="str">
            <v>RENT30TEMP-RO</v>
          </cell>
          <cell r="I630" t="str">
            <v>RENTAL FEE 30 YD TEMP - R</v>
          </cell>
        </row>
        <row r="631">
          <cell r="H631" t="str">
            <v>RENT40TEMP-RO</v>
          </cell>
          <cell r="I631" t="str">
            <v>RENTAL FEE 40 YD TEMP - R</v>
          </cell>
        </row>
        <row r="632">
          <cell r="H632" t="str">
            <v>RTRNTRIP-RO</v>
          </cell>
          <cell r="I632" t="str">
            <v>RETURN TRIP FEE - RO</v>
          </cell>
        </row>
        <row r="633">
          <cell r="H633" t="str">
            <v>TIME-RO</v>
          </cell>
          <cell r="I633" t="str">
            <v>TIME FEE - RO</v>
          </cell>
        </row>
        <row r="634">
          <cell r="H634" t="str">
            <v>DEL30TEMP-RO</v>
          </cell>
          <cell r="I634" t="str">
            <v>DELIVERY FEE 30 YD TEMP -</v>
          </cell>
        </row>
        <row r="635">
          <cell r="H635" t="str">
            <v>DISPGLASS-RO</v>
          </cell>
          <cell r="I635" t="str">
            <v>DISPOSAL FEE GLASS - RO</v>
          </cell>
        </row>
        <row r="636">
          <cell r="H636" t="str">
            <v>HAUL30-RO</v>
          </cell>
          <cell r="I636" t="str">
            <v>HAUL 30 YD - RO</v>
          </cell>
        </row>
        <row r="637">
          <cell r="H637" t="str">
            <v>RENT30TEMP-RO</v>
          </cell>
          <cell r="I637" t="str">
            <v>RENTAL FEE 30 YD TEMP - R</v>
          </cell>
        </row>
        <row r="638">
          <cell r="H638" t="str">
            <v>COMMODITY SURCHARGE</v>
          </cell>
          <cell r="I638" t="str">
            <v>COMMODITY SURCHARGE</v>
          </cell>
        </row>
        <row r="639">
          <cell r="H639" t="str">
            <v>COMMODITY SURCHARGE</v>
          </cell>
          <cell r="I639" t="str">
            <v>COMMODITY SURCHARGE</v>
          </cell>
        </row>
        <row r="640">
          <cell r="H640" t="str">
            <v>LAKEWOOD CITY ONLY</v>
          </cell>
          <cell r="I640" t="str">
            <v>6% CITY UTILITY TAX</v>
          </cell>
        </row>
        <row r="641">
          <cell r="H641" t="str">
            <v>LAKEWOOD CITY UTILITY TAX</v>
          </cell>
          <cell r="I641" t="str">
            <v>6% CITY UTILITY TAX</v>
          </cell>
        </row>
        <row r="642">
          <cell r="H642" t="str">
            <v>LAKEWOOD REFUSE TAX</v>
          </cell>
          <cell r="I642" t="str">
            <v>3.6% WA STATE REFUSE TAX</v>
          </cell>
        </row>
        <row r="643">
          <cell r="H643" t="str">
            <v>LAKEWOOD STATE SALES TAX</v>
          </cell>
          <cell r="I643" t="str">
            <v>9.9% WA STATE SALES TAX</v>
          </cell>
        </row>
        <row r="644">
          <cell r="H644" t="str">
            <v>LAKEWOOD CITY ONLY</v>
          </cell>
          <cell r="I644" t="str">
            <v>6% CITY UTILITY TAX</v>
          </cell>
        </row>
        <row r="645">
          <cell r="H645" t="str">
            <v>LAKEWOOD CITY UTILITY TAX</v>
          </cell>
          <cell r="I645" t="str">
            <v>6% CITY UTILITY TAX</v>
          </cell>
        </row>
        <row r="646">
          <cell r="H646" t="str">
            <v>LAKEWOOD REFUSE TAX</v>
          </cell>
          <cell r="I646" t="str">
            <v>3.6% WA STATE REFUSE TAX</v>
          </cell>
        </row>
        <row r="647">
          <cell r="H647" t="str">
            <v>LAKEWOOD STATE SALES TAX</v>
          </cell>
          <cell r="I647" t="str">
            <v>9.9% WA STATE SALES TAX</v>
          </cell>
        </row>
        <row r="648">
          <cell r="H648" t="str">
            <v>LAKEWOOD CITY UTILITY TAX</v>
          </cell>
          <cell r="I648" t="str">
            <v>6% CITY UTILITY TAX</v>
          </cell>
        </row>
        <row r="649">
          <cell r="H649" t="str">
            <v>LAKEWOOD REFUSE TAX</v>
          </cell>
          <cell r="I649" t="str">
            <v>3.6% WA STATE REFUSE TAX</v>
          </cell>
        </row>
        <row r="650">
          <cell r="H650" t="str">
            <v>LAKEWOOD STATE SALES TAX</v>
          </cell>
          <cell r="I650" t="str">
            <v>9.9% WA STATE SALES TAX</v>
          </cell>
        </row>
        <row r="651">
          <cell r="H651" t="str">
            <v>LAKEWOOD CITY ONLY</v>
          </cell>
          <cell r="I651" t="str">
            <v>6% CITY UTILITY TAX</v>
          </cell>
        </row>
        <row r="652">
          <cell r="H652" t="str">
            <v>LAKEWOOD CITY UTILITY TAX</v>
          </cell>
          <cell r="I652" t="str">
            <v>6% CITY UTILITY TAX</v>
          </cell>
        </row>
        <row r="653">
          <cell r="H653" t="str">
            <v>LAKEWOOD REFUSE TAX</v>
          </cell>
          <cell r="I653" t="str">
            <v>3.6% WA STATE REFUSE TAX</v>
          </cell>
        </row>
        <row r="654">
          <cell r="H654" t="str">
            <v>LAKEWOOD CITY ONLY</v>
          </cell>
          <cell r="I654" t="str">
            <v>6% CITY UTILITY TAX</v>
          </cell>
        </row>
        <row r="655">
          <cell r="H655" t="str">
            <v>LAKEWOOD CITY UTILITY TAX</v>
          </cell>
          <cell r="I655" t="str">
            <v>6% CITY UTILITY TAX</v>
          </cell>
        </row>
        <row r="656">
          <cell r="H656" t="str">
            <v>LAKEWOOD REFUSE TAX</v>
          </cell>
          <cell r="I656" t="str">
            <v>3.6% WA STATE REFUSE TAX</v>
          </cell>
        </row>
        <row r="657">
          <cell r="H657" t="str">
            <v>LAKEWOOD CITY ONLY</v>
          </cell>
          <cell r="I657" t="str">
            <v>6% CITY UTILITY TAX</v>
          </cell>
        </row>
        <row r="658">
          <cell r="H658" t="str">
            <v>LAKEWOOD CITY UTILITY TAX</v>
          </cell>
          <cell r="I658" t="str">
            <v>6% CITY UTILITY TAX</v>
          </cell>
        </row>
        <row r="659">
          <cell r="H659" t="str">
            <v>LAKEWOOD REFUSE TAX</v>
          </cell>
          <cell r="I659" t="str">
            <v>3.6% WA STATE REFUSE TAX</v>
          </cell>
        </row>
        <row r="660">
          <cell r="H660" t="str">
            <v>LAKEWOOD STATE SALES TAX</v>
          </cell>
          <cell r="I660" t="str">
            <v>9.9% WA STATE SALES TAX</v>
          </cell>
        </row>
        <row r="661">
          <cell r="H661" t="str">
            <v>LAKEWOOD CITY UTILITY TAX</v>
          </cell>
          <cell r="I661" t="str">
            <v>6% CITY UTILITY TAX</v>
          </cell>
        </row>
        <row r="662">
          <cell r="H662" t="str">
            <v>LAKEWOOD REFUSE TAX</v>
          </cell>
          <cell r="I662" t="str">
            <v>3.6% WA STATE REFUSE TAX</v>
          </cell>
        </row>
        <row r="663">
          <cell r="H663" t="str">
            <v>LAKEWOOD STATE SALES TAX</v>
          </cell>
          <cell r="I663" t="str">
            <v>9.9% WA STATE SALES TAX</v>
          </cell>
        </row>
        <row r="664">
          <cell r="H664" t="str">
            <v>BD</v>
          </cell>
          <cell r="I664" t="str">
            <v>BAD DEBT WRITE OFF</v>
          </cell>
        </row>
        <row r="665">
          <cell r="H665" t="str">
            <v>BDR</v>
          </cell>
          <cell r="I665" t="str">
            <v>BAD DEBT RECOVERY</v>
          </cell>
        </row>
        <row r="666">
          <cell r="H666" t="str">
            <v>COLLFEE</v>
          </cell>
          <cell r="I666" t="str">
            <v>COLLECTION AGENCY FEE</v>
          </cell>
        </row>
        <row r="667">
          <cell r="H667" t="str">
            <v>FINCHG</v>
          </cell>
          <cell r="I667" t="str">
            <v>LATE FEE</v>
          </cell>
        </row>
        <row r="668">
          <cell r="H668" t="str">
            <v>MM</v>
          </cell>
          <cell r="I668" t="str">
            <v>ADJUST BALANCE (MM)</v>
          </cell>
        </row>
        <row r="669">
          <cell r="H669" t="str">
            <v>MM</v>
          </cell>
          <cell r="I669" t="str">
            <v>ADJUST BALANCE (MM)</v>
          </cell>
        </row>
        <row r="670">
          <cell r="H670" t="str">
            <v>REFUND</v>
          </cell>
          <cell r="I670" t="str">
            <v>REFUND</v>
          </cell>
        </row>
        <row r="671">
          <cell r="H671" t="str">
            <v>RETCK</v>
          </cell>
          <cell r="I671" t="str">
            <v>RETURNED CHECK</v>
          </cell>
        </row>
        <row r="672">
          <cell r="H672" t="str">
            <v>RETCK-CFREE</v>
          </cell>
          <cell r="I672" t="str">
            <v>CHECKFREE RETURN CHECK</v>
          </cell>
        </row>
        <row r="673">
          <cell r="H673" t="str">
            <v>RETCKC</v>
          </cell>
          <cell r="I673" t="str">
            <v>RETURN CHECK CHARGE</v>
          </cell>
        </row>
        <row r="674">
          <cell r="H674" t="str">
            <v>FINCHG</v>
          </cell>
          <cell r="I674" t="str">
            <v>LATE FEE</v>
          </cell>
        </row>
        <row r="675">
          <cell r="H675" t="str">
            <v>BD</v>
          </cell>
          <cell r="I675" t="str">
            <v>BAD DEBT WRITE OFF</v>
          </cell>
        </row>
        <row r="676">
          <cell r="H676" t="str">
            <v>BDR</v>
          </cell>
          <cell r="I676" t="str">
            <v>BAD DEBT RECOVERY</v>
          </cell>
        </row>
        <row r="677">
          <cell r="H677" t="str">
            <v>COLLFEE</v>
          </cell>
          <cell r="I677" t="str">
            <v>COLLECTION AGENCY FEE</v>
          </cell>
        </row>
        <row r="678">
          <cell r="H678" t="str">
            <v>FINCHG</v>
          </cell>
          <cell r="I678" t="str">
            <v>LATE FEE</v>
          </cell>
        </row>
        <row r="679">
          <cell r="H679" t="str">
            <v>MM</v>
          </cell>
          <cell r="I679" t="str">
            <v>ADJUST BALANCE (MM)</v>
          </cell>
        </row>
        <row r="680">
          <cell r="H680" t="str">
            <v>MM</v>
          </cell>
          <cell r="I680" t="str">
            <v>ADJUST BALANCE (MM)</v>
          </cell>
        </row>
        <row r="681">
          <cell r="H681" t="str">
            <v>REFUND</v>
          </cell>
          <cell r="I681" t="str">
            <v>REFUND</v>
          </cell>
        </row>
        <row r="682">
          <cell r="H682" t="str">
            <v>RETCK</v>
          </cell>
          <cell r="I682" t="str">
            <v>RETURNED CHECK</v>
          </cell>
        </row>
        <row r="683">
          <cell r="H683" t="str">
            <v>RETCK-CFREE</v>
          </cell>
          <cell r="I683" t="str">
            <v>CHECKFREE RETURN CHECK</v>
          </cell>
        </row>
        <row r="684">
          <cell r="H684" t="str">
            <v>RETCKC</v>
          </cell>
          <cell r="I684" t="str">
            <v>RETURN CHECK CHARGE</v>
          </cell>
        </row>
        <row r="685">
          <cell r="H685" t="str">
            <v>FINCHG</v>
          </cell>
          <cell r="I685" t="str">
            <v>LATE FEE</v>
          </cell>
        </row>
        <row r="686">
          <cell r="H686" t="str">
            <v>BD</v>
          </cell>
          <cell r="I686" t="str">
            <v>BAD DEBT WRITE OFF</v>
          </cell>
        </row>
        <row r="687">
          <cell r="H687" t="str">
            <v>BDR</v>
          </cell>
          <cell r="I687" t="str">
            <v>BAD DEBT RECOVERY</v>
          </cell>
        </row>
        <row r="688">
          <cell r="H688" t="str">
            <v>COLLFEE</v>
          </cell>
          <cell r="I688" t="str">
            <v>COLLECTION AGENCY FEE</v>
          </cell>
        </row>
        <row r="689">
          <cell r="H689" t="str">
            <v>FINCHG</v>
          </cell>
          <cell r="I689" t="str">
            <v>LATE FEE</v>
          </cell>
        </row>
        <row r="690">
          <cell r="H690" t="str">
            <v>MM</v>
          </cell>
          <cell r="I690" t="str">
            <v>ADJUST BALANCE (MM)</v>
          </cell>
        </row>
        <row r="691">
          <cell r="H691" t="str">
            <v>MM</v>
          </cell>
          <cell r="I691" t="str">
            <v>ADJUST BALANCE (MM)</v>
          </cell>
        </row>
        <row r="692">
          <cell r="H692" t="str">
            <v>REFUND</v>
          </cell>
          <cell r="I692" t="str">
            <v>REFUND</v>
          </cell>
        </row>
        <row r="693">
          <cell r="H693" t="str">
            <v>RETCKC</v>
          </cell>
          <cell r="I693" t="str">
            <v>RETURN CHECK CHARGE</v>
          </cell>
        </row>
        <row r="694">
          <cell r="H694" t="str">
            <v>FINCHG</v>
          </cell>
          <cell r="I694" t="str">
            <v>LATE FEE</v>
          </cell>
        </row>
        <row r="695">
          <cell r="H695" t="str">
            <v>ACCESS-COMM</v>
          </cell>
          <cell r="I695" t="str">
            <v>ACCESS FEE - COMM</v>
          </cell>
        </row>
        <row r="696">
          <cell r="H696" t="str">
            <v>CANCOUNT95-COMM</v>
          </cell>
          <cell r="I696" t="str">
            <v>CAN COUNT 95 GL - COMM</v>
          </cell>
        </row>
        <row r="697">
          <cell r="H697" t="str">
            <v>DIST4CAN-COMM</v>
          </cell>
          <cell r="I697" t="str">
            <v>DISTRIBUTED 4 CANS - COMM</v>
          </cell>
        </row>
        <row r="698">
          <cell r="H698" t="str">
            <v>DONATIONC</v>
          </cell>
          <cell r="I698" t="str">
            <v>DONATED SERVICE COMM</v>
          </cell>
        </row>
        <row r="699">
          <cell r="H699" t="str">
            <v>DRIVEIN1-COMM</v>
          </cell>
          <cell r="I699" t="str">
            <v>DRIVE IN 125-250' - COMM</v>
          </cell>
        </row>
        <row r="700">
          <cell r="H700" t="str">
            <v>DRIVEIN2-COMM</v>
          </cell>
          <cell r="I700" t="str">
            <v>DRIVE IN 251-778' - COMM</v>
          </cell>
        </row>
        <row r="701">
          <cell r="H701" t="str">
            <v>FL001.0Y1W001</v>
          </cell>
          <cell r="I701" t="str">
            <v>1 YD 1X WK 1</v>
          </cell>
        </row>
        <row r="702">
          <cell r="H702" t="str">
            <v>FL001.0Y2W001</v>
          </cell>
          <cell r="I702" t="str">
            <v>1 YD 2X WK 1</v>
          </cell>
        </row>
        <row r="703">
          <cell r="H703" t="str">
            <v>FL001.0Y3W001</v>
          </cell>
          <cell r="I703" t="str">
            <v>1 YD 3X WK 1</v>
          </cell>
        </row>
        <row r="704">
          <cell r="H704" t="str">
            <v>FL001.5Y1W001</v>
          </cell>
          <cell r="I704" t="str">
            <v>1.5 YD 1X WK 1</v>
          </cell>
        </row>
        <row r="705">
          <cell r="H705" t="str">
            <v>FL001.5Y2W001</v>
          </cell>
          <cell r="I705" t="str">
            <v>1.5 YD 2X WK 1</v>
          </cell>
        </row>
        <row r="706">
          <cell r="H706" t="str">
            <v>FL001.5Y3W001</v>
          </cell>
          <cell r="I706" t="str">
            <v>1.5 YD 3X WK 1</v>
          </cell>
        </row>
        <row r="707">
          <cell r="H707" t="str">
            <v>FL002.0Y1W001</v>
          </cell>
          <cell r="I707" t="str">
            <v>2 YD 1X WK 1</v>
          </cell>
        </row>
        <row r="708">
          <cell r="H708" t="str">
            <v>FL002.0Y1W001CMP</v>
          </cell>
          <cell r="I708" t="str">
            <v>2 YD 1X WK COMP 1</v>
          </cell>
        </row>
        <row r="709">
          <cell r="H709" t="str">
            <v>FL002.0Y2W001</v>
          </cell>
          <cell r="I709" t="str">
            <v>2 YD 2X WK 1</v>
          </cell>
        </row>
        <row r="710">
          <cell r="H710" t="str">
            <v>FL002.0Y3W001</v>
          </cell>
          <cell r="I710" t="str">
            <v>2 YD 3X WK 1</v>
          </cell>
        </row>
        <row r="711">
          <cell r="H711" t="str">
            <v>FL003.0Y1W001</v>
          </cell>
          <cell r="I711" t="str">
            <v>3 YD 1X WK 1</v>
          </cell>
        </row>
        <row r="712">
          <cell r="H712" t="str">
            <v>FL003.0Y2W001</v>
          </cell>
          <cell r="I712" t="str">
            <v>3 YD 2X WK 1</v>
          </cell>
        </row>
        <row r="713">
          <cell r="H713" t="str">
            <v>FL003.0Y2W001CMP</v>
          </cell>
          <cell r="I713" t="str">
            <v>3 YD 2X WK COMP 1</v>
          </cell>
        </row>
        <row r="714">
          <cell r="H714" t="str">
            <v>FL003.0Y3W001</v>
          </cell>
          <cell r="I714" t="str">
            <v>3 YD 3X WK 1</v>
          </cell>
        </row>
        <row r="715">
          <cell r="H715" t="str">
            <v>FL003.0Y4W001</v>
          </cell>
          <cell r="I715" t="str">
            <v>3 YD 4X WK 1</v>
          </cell>
        </row>
        <row r="716">
          <cell r="H716" t="str">
            <v>FL004.0Y1W001</v>
          </cell>
          <cell r="I716" t="str">
            <v>4 YD 1X WK 1</v>
          </cell>
        </row>
        <row r="717">
          <cell r="H717" t="str">
            <v>FL004.0Y1W001CMP</v>
          </cell>
          <cell r="I717" t="str">
            <v>4 YD 1X WK COMP 1</v>
          </cell>
        </row>
        <row r="718">
          <cell r="H718" t="str">
            <v>FL004.0Y2W001</v>
          </cell>
          <cell r="I718" t="str">
            <v>4 YD 2X WK 1</v>
          </cell>
        </row>
        <row r="719">
          <cell r="H719" t="str">
            <v>FL004.0Y2W001CMP</v>
          </cell>
          <cell r="I719" t="str">
            <v>4 YD 2X WK COMP 1</v>
          </cell>
        </row>
        <row r="720">
          <cell r="H720" t="str">
            <v>FL004.0Y3W001</v>
          </cell>
          <cell r="I720" t="str">
            <v>4 YD 3X WK 1</v>
          </cell>
        </row>
        <row r="721">
          <cell r="H721" t="str">
            <v>FL006.0Y1W001</v>
          </cell>
          <cell r="I721" t="str">
            <v>6 YD 1X WK 1</v>
          </cell>
        </row>
        <row r="722">
          <cell r="H722" t="str">
            <v>FL006.0Y2W001</v>
          </cell>
          <cell r="I722" t="str">
            <v>6 YD 2X WK 1</v>
          </cell>
        </row>
        <row r="723">
          <cell r="H723" t="str">
            <v>FL006.0Y2W001CMP</v>
          </cell>
          <cell r="I723" t="str">
            <v>6 YD 2X WK COMP 1</v>
          </cell>
        </row>
        <row r="724">
          <cell r="H724" t="str">
            <v>FL006.0Y3W001</v>
          </cell>
          <cell r="I724" t="str">
            <v>6 YD 3X WK 1</v>
          </cell>
        </row>
        <row r="725">
          <cell r="H725" t="str">
            <v>FL006.0Y4W001</v>
          </cell>
          <cell r="I725" t="str">
            <v>6 YD 4X WK 1</v>
          </cell>
        </row>
        <row r="726">
          <cell r="H726" t="str">
            <v>GWCOMM</v>
          </cell>
          <cell r="I726" t="str">
            <v>GREENWASTE SERVICE - COMM</v>
          </cell>
        </row>
        <row r="727">
          <cell r="H727" t="str">
            <v>RENT2TEMP-COMM</v>
          </cell>
          <cell r="I727" t="str">
            <v>RENT 2 YD TEMP - COMM</v>
          </cell>
        </row>
        <row r="728">
          <cell r="H728" t="str">
            <v>RL032.0G1W001NORECC</v>
          </cell>
          <cell r="I728" t="str">
            <v xml:space="preserve">32 GL 1X WK NO RECY COMM </v>
          </cell>
        </row>
        <row r="729">
          <cell r="H729" t="str">
            <v>RL032.0G1W001WRECC</v>
          </cell>
          <cell r="I729" t="str">
            <v>32 GL 1X WK W/RECY COMM 1</v>
          </cell>
        </row>
        <row r="730">
          <cell r="H730" t="str">
            <v>RL032.0G1W002NORECC</v>
          </cell>
          <cell r="I730" t="str">
            <v xml:space="preserve">32 GL 1X WK NO RECY COMM </v>
          </cell>
        </row>
        <row r="731">
          <cell r="H731" t="str">
            <v>RL032.0G1W002WRECC</v>
          </cell>
          <cell r="I731" t="str">
            <v>32 GL 1X WK W/RECY COMM 2</v>
          </cell>
        </row>
        <row r="732">
          <cell r="H732" t="str">
            <v>RL032.0G1W003WRECC</v>
          </cell>
          <cell r="I732" t="str">
            <v>32 GL 1X WK W/RECY COMM 3</v>
          </cell>
        </row>
        <row r="733">
          <cell r="H733" t="str">
            <v>RL032.0G1W004WRECC</v>
          </cell>
          <cell r="I733" t="str">
            <v>32 GL 1X WK W/RECY COMM 4</v>
          </cell>
        </row>
        <row r="734">
          <cell r="H734" t="str">
            <v>ROLL-COMM</v>
          </cell>
          <cell r="I734" t="str">
            <v>ROLL OUT CHARGE - COMM</v>
          </cell>
        </row>
        <row r="735">
          <cell r="H735" t="str">
            <v>SL065.0G1W001NORECC</v>
          </cell>
          <cell r="I735" t="str">
            <v xml:space="preserve">65 GL 1X WK NO RECY COMM </v>
          </cell>
        </row>
        <row r="736">
          <cell r="H736" t="str">
            <v>SL065.0G1W001WRECC</v>
          </cell>
          <cell r="I736" t="str">
            <v>65 GL 1X WK W/RECY COMM 1</v>
          </cell>
        </row>
        <row r="737">
          <cell r="H737" t="str">
            <v>SL065.0GEO001NORECC</v>
          </cell>
          <cell r="I737" t="str">
            <v>65 GL EOW NO RECY COMM 1</v>
          </cell>
        </row>
        <row r="738">
          <cell r="H738" t="str">
            <v>SL065.0GEO001WRECC</v>
          </cell>
          <cell r="I738" t="str">
            <v>65 GL EOW W/RECY COMM 1</v>
          </cell>
        </row>
        <row r="739">
          <cell r="H739" t="str">
            <v>SL095.0G1W001NORECC</v>
          </cell>
          <cell r="I739" t="str">
            <v xml:space="preserve">95 GL 1X WK NO RECY COMM </v>
          </cell>
        </row>
        <row r="740">
          <cell r="H740" t="str">
            <v>SL095.0G1W001WRECC</v>
          </cell>
          <cell r="I740" t="str">
            <v>95 GL 1X WK W/RECY COMM 1</v>
          </cell>
        </row>
        <row r="741">
          <cell r="H741" t="str">
            <v>SL095.0GEO001NORECC</v>
          </cell>
          <cell r="I741" t="str">
            <v>95 GL EOW NO RECY COMM 1</v>
          </cell>
        </row>
        <row r="742">
          <cell r="H742" t="str">
            <v>SL095.0GEO001WRECC</v>
          </cell>
          <cell r="I742" t="str">
            <v>95 GL EOW W/RECY COMM 1</v>
          </cell>
        </row>
        <row r="743">
          <cell r="H743" t="str">
            <v>WI1-COMM</v>
          </cell>
          <cell r="I743" t="str">
            <v>WALK IN 6-25' - COMM</v>
          </cell>
        </row>
        <row r="744">
          <cell r="H744" t="str">
            <v>WI2-COMM</v>
          </cell>
          <cell r="I744" t="str">
            <v>WALK IN 26-50' - COMM</v>
          </cell>
        </row>
        <row r="745">
          <cell r="H745" t="str">
            <v>WI4-COMM</v>
          </cell>
          <cell r="I745" t="str">
            <v>WALK IN 76-100' - COMM</v>
          </cell>
        </row>
        <row r="746">
          <cell r="H746" t="str">
            <v>ACCESS-COMM</v>
          </cell>
          <cell r="I746" t="str">
            <v>ACCESS FEE - COMM</v>
          </cell>
        </row>
        <row r="747">
          <cell r="H747" t="str">
            <v>BULKY-COMM</v>
          </cell>
          <cell r="I747" t="str">
            <v>BULKY ITEM PICK UP - COMM</v>
          </cell>
        </row>
        <row r="748">
          <cell r="H748" t="str">
            <v>CANCOUNT-COMM</v>
          </cell>
          <cell r="I748" t="str">
            <v>CAN COUNT - COMM</v>
          </cell>
        </row>
        <row r="749">
          <cell r="H749" t="str">
            <v>CANCOUNT65-COMM</v>
          </cell>
          <cell r="I749" t="str">
            <v>CAN COUNT 65 GL - COMM</v>
          </cell>
        </row>
        <row r="750">
          <cell r="H750" t="str">
            <v>CANCOUNT95-COMM</v>
          </cell>
          <cell r="I750" t="str">
            <v>CAN COUNT 95 GL - COMM</v>
          </cell>
        </row>
        <row r="751">
          <cell r="H751" t="str">
            <v>CANCOUNTFD65-COMM</v>
          </cell>
          <cell r="I751" t="str">
            <v>CAN COUNT FOOD 65 GL - CO</v>
          </cell>
        </row>
        <row r="752">
          <cell r="H752" t="str">
            <v>CLEAN-COMM</v>
          </cell>
          <cell r="I752" t="str">
            <v xml:space="preserve">CONTAINER CLEANING FEE - </v>
          </cell>
        </row>
        <row r="753">
          <cell r="H753" t="str">
            <v>CLEAN1-COMM</v>
          </cell>
          <cell r="I753" t="str">
            <v>CLEANING FEE 1 YD - COMM</v>
          </cell>
        </row>
        <row r="754">
          <cell r="H754" t="str">
            <v>CLEAN1.5-COMM</v>
          </cell>
          <cell r="I754" t="str">
            <v>CLEANING FEE 1.5 YD - COM</v>
          </cell>
        </row>
        <row r="755">
          <cell r="H755" t="str">
            <v>CLEAN2-COMM</v>
          </cell>
          <cell r="I755" t="str">
            <v>CLEANING FEE 2 YD - COMM</v>
          </cell>
        </row>
        <row r="756">
          <cell r="H756" t="str">
            <v>DEL1.5TEMP-COMM</v>
          </cell>
          <cell r="I756" t="str">
            <v xml:space="preserve">DELIVERY FEE 1.5 YD TEMP </v>
          </cell>
        </row>
        <row r="757">
          <cell r="H757" t="str">
            <v>DEL1TEMP-COMM</v>
          </cell>
          <cell r="I757" t="str">
            <v xml:space="preserve">DELIVERY FEE 1 YD TEMP - </v>
          </cell>
        </row>
        <row r="758">
          <cell r="H758" t="str">
            <v>DEL2TEMP-COMM</v>
          </cell>
          <cell r="I758" t="str">
            <v xml:space="preserve">DELIVERY FEE 2 YD TEMP - </v>
          </cell>
        </row>
        <row r="759">
          <cell r="H759" t="str">
            <v>DEL6TEMP-COMM</v>
          </cell>
          <cell r="I759" t="str">
            <v xml:space="preserve">DELIVERY FEE 6 YD TEMP - </v>
          </cell>
        </row>
        <row r="760">
          <cell r="H760" t="str">
            <v>DISP-COMM</v>
          </cell>
          <cell r="I760" t="str">
            <v>DISPOSAL FEE - COMM</v>
          </cell>
        </row>
        <row r="761">
          <cell r="H761" t="str">
            <v>DISPFEDMSW-COMM</v>
          </cell>
          <cell r="I761" t="str">
            <v>DISPOSAL FEDERAL MSW - CO</v>
          </cell>
        </row>
        <row r="762">
          <cell r="H762" t="str">
            <v>DISPMIX-COMM</v>
          </cell>
          <cell r="I762" t="str">
            <v>DISPOSAL MIX CMGL OCC - COMM</v>
          </cell>
        </row>
        <row r="763">
          <cell r="H763" t="str">
            <v>EXTRA-COMM</v>
          </cell>
          <cell r="I763" t="str">
            <v>EXTRA CAN, BAG, BOX - COM</v>
          </cell>
        </row>
        <row r="764">
          <cell r="H764" t="str">
            <v>EXTRAYDG-COM</v>
          </cell>
          <cell r="I764" t="str">
            <v>EXTRA YARDAGE - COMM</v>
          </cell>
        </row>
        <row r="765">
          <cell r="H765" t="str">
            <v>FL001.0YXX001TEMPC</v>
          </cell>
          <cell r="I765" t="str">
            <v xml:space="preserve">1 YD TEMP </v>
          </cell>
        </row>
        <row r="766">
          <cell r="H766" t="str">
            <v>FL001.5Y1W001</v>
          </cell>
          <cell r="I766" t="str">
            <v>1.5 YD 1X WK 1</v>
          </cell>
        </row>
        <row r="767">
          <cell r="H767" t="str">
            <v>FL001.5Y2W001</v>
          </cell>
          <cell r="I767" t="str">
            <v>1.5 YD 2X WK 1</v>
          </cell>
        </row>
        <row r="768">
          <cell r="H768" t="str">
            <v>FL001.5YXX001TEMPC</v>
          </cell>
          <cell r="I768" t="str">
            <v xml:space="preserve">1.5 YD TEMP </v>
          </cell>
        </row>
        <row r="769">
          <cell r="H769" t="str">
            <v>FL002.0Y1W001</v>
          </cell>
          <cell r="I769" t="str">
            <v>2 YD 1X WK 1</v>
          </cell>
        </row>
        <row r="770">
          <cell r="H770" t="str">
            <v>FL002.0YXX001TEMPC</v>
          </cell>
          <cell r="I770" t="str">
            <v xml:space="preserve">2 YD TEMP </v>
          </cell>
        </row>
        <row r="771">
          <cell r="H771" t="str">
            <v>FL003.0Y2W001</v>
          </cell>
          <cell r="I771" t="str">
            <v>3 YD 2X WK 1</v>
          </cell>
        </row>
        <row r="772">
          <cell r="H772" t="str">
            <v>REDEL-COMM</v>
          </cell>
          <cell r="I772" t="str">
            <v>REDELIVER FEE LVL 1 - COM</v>
          </cell>
        </row>
        <row r="773">
          <cell r="H773" t="str">
            <v>REINSTATE-COMM</v>
          </cell>
          <cell r="I773" t="str">
            <v>REINSTATE FEE - COMM</v>
          </cell>
        </row>
        <row r="774">
          <cell r="H774" t="str">
            <v>RENT1.5TEMP-COMM</v>
          </cell>
          <cell r="I774" t="str">
            <v>RENT 1.5 YD TEMP - COMM</v>
          </cell>
        </row>
        <row r="775">
          <cell r="H775" t="str">
            <v>RENT1TEMP-COMM</v>
          </cell>
          <cell r="I775" t="str">
            <v>RENT 1 YD TEMP - COMM</v>
          </cell>
        </row>
        <row r="776">
          <cell r="H776" t="str">
            <v>RENT2TEMP-COMM</v>
          </cell>
          <cell r="I776" t="str">
            <v>RENT 2 YD TEMP - COMM</v>
          </cell>
        </row>
        <row r="777">
          <cell r="H777" t="str">
            <v>RENT6TEMP-COMM</v>
          </cell>
          <cell r="I777" t="str">
            <v>RENT 6 YD TEMP - COMM</v>
          </cell>
        </row>
        <row r="778">
          <cell r="H778" t="str">
            <v>RTRNCART65-COMM</v>
          </cell>
          <cell r="I778" t="str">
            <v>RETURN TRIP 65 GL - COMM</v>
          </cell>
        </row>
        <row r="779">
          <cell r="H779" t="str">
            <v>RTRNTRIP-COMM</v>
          </cell>
          <cell r="I779" t="str">
            <v>RETURN TRIP FEE - COMM</v>
          </cell>
        </row>
        <row r="780">
          <cell r="H780" t="str">
            <v>SP1-COMM</v>
          </cell>
          <cell r="I780" t="str">
            <v>SPECIAL PICK UP 1 YD - CO</v>
          </cell>
        </row>
        <row r="781">
          <cell r="H781" t="str">
            <v>SP1.5-COMM</v>
          </cell>
          <cell r="I781" t="str">
            <v xml:space="preserve">SPECIAL PICK UP 1.5 YD - </v>
          </cell>
        </row>
        <row r="782">
          <cell r="H782" t="str">
            <v>SP2-COMM</v>
          </cell>
          <cell r="I782" t="str">
            <v>SPECIAL PICK UP 2 YD - CO</v>
          </cell>
        </row>
        <row r="783">
          <cell r="H783" t="str">
            <v>SP3-COMM</v>
          </cell>
          <cell r="I783" t="str">
            <v>SPECIAL PICK UP 3 YD - CO</v>
          </cell>
        </row>
        <row r="784">
          <cell r="H784" t="str">
            <v>SP6-COMM</v>
          </cell>
          <cell r="I784" t="str">
            <v>SPECIAL PICK UP 6 YD - CO</v>
          </cell>
        </row>
        <row r="785">
          <cell r="H785" t="str">
            <v>SPGRAD1-COMM</v>
          </cell>
          <cell r="I785" t="str">
            <v>SPECIAL PICKUP GRADUATED 1 - COMM</v>
          </cell>
        </row>
        <row r="786">
          <cell r="H786" t="str">
            <v>SPGRAD1S-COMM</v>
          </cell>
          <cell r="I786" t="str">
            <v>SPECIAL UNIT GRAD1 SCHL - COMM</v>
          </cell>
        </row>
        <row r="787">
          <cell r="H787" t="str">
            <v>SPGRAD2S-COMM</v>
          </cell>
          <cell r="I787" t="str">
            <v>SPECIAL UNIT GRAD2 SCHL - COMM</v>
          </cell>
        </row>
        <row r="788">
          <cell r="H788" t="str">
            <v>TIME-COMM</v>
          </cell>
          <cell r="I788" t="str">
            <v>TIME FEE 1 - COMM</v>
          </cell>
        </row>
        <row r="789">
          <cell r="H789" t="str">
            <v>DISP-COMM</v>
          </cell>
          <cell r="I789" t="str">
            <v>DISPOSAL FEE - COMM</v>
          </cell>
        </row>
        <row r="790">
          <cell r="H790" t="str">
            <v>DISPFEDMSW-COMM</v>
          </cell>
          <cell r="I790" t="str">
            <v>DISPOSAL FEDERAL MSW - CO</v>
          </cell>
        </row>
        <row r="791">
          <cell r="H791" t="str">
            <v>RTRNCART96REC-COMM</v>
          </cell>
          <cell r="I791" t="str">
            <v>RETURN TRIP 96 GL REC - C</v>
          </cell>
        </row>
        <row r="792">
          <cell r="H792" t="str">
            <v>ACCESSCREC-COMM</v>
          </cell>
          <cell r="I792" t="str">
            <v>ACCESS FEE COMM RECY - CO</v>
          </cell>
        </row>
        <row r="793">
          <cell r="H793" t="str">
            <v>COMDESKREC</v>
          </cell>
          <cell r="I793" t="str">
            <v>COMM DESKSIDE RECYCLING</v>
          </cell>
        </row>
        <row r="794">
          <cell r="H794" t="str">
            <v>FL002.0Y1M001BCMGL</v>
          </cell>
          <cell r="I794" t="str">
            <v>2 YD 1X MO BUS CMGL 1</v>
          </cell>
        </row>
        <row r="795">
          <cell r="H795" t="str">
            <v>FL002.0Y1W001BCMGL</v>
          </cell>
          <cell r="I795" t="str">
            <v>2 YD 1X WK BUS CMGL 1</v>
          </cell>
        </row>
        <row r="796">
          <cell r="H796" t="str">
            <v>FL002.0Y1W001BOCC</v>
          </cell>
          <cell r="I796" t="str">
            <v>2 YD 1X WK BUS OCC 1</v>
          </cell>
        </row>
        <row r="797">
          <cell r="H797" t="str">
            <v>FL002.0Y1W001OCC</v>
          </cell>
          <cell r="I797" t="str">
            <v>2 YD 1X WK OCC 1</v>
          </cell>
        </row>
        <row r="798">
          <cell r="H798" t="str">
            <v>FL002.0Y1W001SCMGL</v>
          </cell>
          <cell r="I798" t="str">
            <v>2 YD 1X WK SCHL CMGL 1</v>
          </cell>
        </row>
        <row r="799">
          <cell r="H799" t="str">
            <v>FL002.0Y1W001SOCC</v>
          </cell>
          <cell r="I799" t="str">
            <v>2 YD 1X WK SCHOOL OCC</v>
          </cell>
        </row>
        <row r="800">
          <cell r="H800" t="str">
            <v>FL002.0Y2W001BCMGL</v>
          </cell>
          <cell r="I800" t="str">
            <v>2 YD 2X WK BUS CMGL 1</v>
          </cell>
        </row>
        <row r="801">
          <cell r="H801" t="str">
            <v>FL002.0Y2W001BOCC</v>
          </cell>
          <cell r="I801" t="str">
            <v>2 YD 2X WK BUS OCC 1</v>
          </cell>
        </row>
        <row r="802">
          <cell r="H802" t="str">
            <v>FL002.0Y2W001SCMGL</v>
          </cell>
          <cell r="I802" t="str">
            <v>2 YD 2X WK SCHL CMGL 1</v>
          </cell>
        </row>
        <row r="803">
          <cell r="H803" t="str">
            <v>FL002.0Y2W001SOCC</v>
          </cell>
          <cell r="I803" t="str">
            <v>2 YD 2X WK SCHOOL OCC</v>
          </cell>
        </row>
        <row r="804">
          <cell r="H804" t="str">
            <v>FL002.0Y3W001BOCC</v>
          </cell>
          <cell r="I804" t="str">
            <v>2 YD 3X WK BUS OCC 1</v>
          </cell>
        </row>
        <row r="805">
          <cell r="H805" t="str">
            <v>FL002.0Y4W001BOCC</v>
          </cell>
          <cell r="I805" t="str">
            <v>2 YD 4X WK BUS OCC 1</v>
          </cell>
        </row>
        <row r="806">
          <cell r="H806" t="str">
            <v>FL004.0Y1W001CMGL</v>
          </cell>
          <cell r="I806" t="str">
            <v>4 YD 1X WK BUS CMGL 1</v>
          </cell>
        </row>
        <row r="807">
          <cell r="H807" t="str">
            <v>FL004.0Y1W001SCMGL</v>
          </cell>
          <cell r="I807" t="str">
            <v>4 YD 1X WK SCH CMGL 1</v>
          </cell>
        </row>
        <row r="808">
          <cell r="H808" t="str">
            <v>FL004.0Y2W001CMGL</v>
          </cell>
          <cell r="I808" t="str">
            <v>4 YD 2X WK BUS CMGL 1</v>
          </cell>
        </row>
        <row r="809">
          <cell r="H809" t="str">
            <v>FL004.0Y3W001BCMGL</v>
          </cell>
          <cell r="I809" t="str">
            <v>4 YD 3X WK BUS CMGL 1</v>
          </cell>
        </row>
        <row r="810">
          <cell r="H810" t="str">
            <v>FL004.0Y5W001BCMGL</v>
          </cell>
          <cell r="I810" t="str">
            <v>4 YD 5X WK BUS CMGL 1</v>
          </cell>
        </row>
        <row r="811">
          <cell r="H811" t="str">
            <v>FL005.0Y1W001BOCC</v>
          </cell>
          <cell r="I811" t="str">
            <v>5 YD 1X WK BUS OCC 1</v>
          </cell>
        </row>
        <row r="812">
          <cell r="H812" t="str">
            <v>FL005.0Y1W001OCC</v>
          </cell>
          <cell r="I812" t="str">
            <v>5 YD 1X WK OCC  1</v>
          </cell>
        </row>
        <row r="813">
          <cell r="H813" t="str">
            <v>FL005.0Y1W001SOCC</v>
          </cell>
          <cell r="I813" t="str">
            <v>5 YD 1X WK SCHOOL OCC</v>
          </cell>
        </row>
        <row r="814">
          <cell r="H814" t="str">
            <v>FL005.0Y2W001BOCC</v>
          </cell>
          <cell r="I814" t="str">
            <v>5 YD 2X WK BUS OCC 1</v>
          </cell>
        </row>
        <row r="815">
          <cell r="H815" t="str">
            <v>FL005.0Y2W001OCC</v>
          </cell>
          <cell r="I815" t="str">
            <v>5 YD 2X WK OCC 1</v>
          </cell>
        </row>
        <row r="816">
          <cell r="H816" t="str">
            <v>FL005.0Y3W001BOCC</v>
          </cell>
          <cell r="I816" t="str">
            <v>5 YD 3X WK BUS OCC 1</v>
          </cell>
        </row>
        <row r="817">
          <cell r="H817" t="str">
            <v>FL005.0Y4W001BOCC</v>
          </cell>
          <cell r="I817" t="str">
            <v>5 YD 4X WK BUS OCC 1</v>
          </cell>
        </row>
        <row r="818">
          <cell r="H818" t="str">
            <v>FL005.0Y5W001BOCC</v>
          </cell>
          <cell r="I818" t="str">
            <v>5 YD 5X WK BUS OCC 1</v>
          </cell>
        </row>
        <row r="819">
          <cell r="H819" t="str">
            <v>FL006.0Y1W001BCMGL</v>
          </cell>
          <cell r="I819" t="str">
            <v>6 YD 1X WK BUS COMINGLE 1</v>
          </cell>
        </row>
        <row r="820">
          <cell r="H820" t="str">
            <v>FL006.0Y1W001SCMGL</v>
          </cell>
          <cell r="I820" t="str">
            <v>6 YD 1X WK SCHL CMGL 1</v>
          </cell>
        </row>
        <row r="821">
          <cell r="H821" t="str">
            <v>FL006.0Y2W001BCMGL</v>
          </cell>
          <cell r="I821" t="str">
            <v>6 YD 2X WK BUS COMINGLE 1</v>
          </cell>
        </row>
        <row r="822">
          <cell r="H822" t="str">
            <v>FL006.0Y3W001BCMGL</v>
          </cell>
          <cell r="I822" t="str">
            <v>6 YD 3X WK BUS CMGL 1</v>
          </cell>
        </row>
        <row r="823">
          <cell r="H823" t="str">
            <v>MFNBINS</v>
          </cell>
          <cell r="I823" t="str">
            <v>MULTI-FAMILY REC UNIT N/B</v>
          </cell>
        </row>
        <row r="824">
          <cell r="H824" t="str">
            <v>MFWBINS</v>
          </cell>
          <cell r="I824" t="str">
            <v>MULTI-FAMILY REC UNIT W/B</v>
          </cell>
        </row>
        <row r="825">
          <cell r="H825" t="str">
            <v>SL064.0G1M001BCMGLIN</v>
          </cell>
          <cell r="I825" t="str">
            <v>64 GL MTHLY BUS CMGL IN</v>
          </cell>
        </row>
        <row r="826">
          <cell r="H826" t="str">
            <v>SL064.0G1W001BCMGLOUT</v>
          </cell>
          <cell r="I826" t="str">
            <v>64 GL WKLY BUS CMGL OUT</v>
          </cell>
        </row>
        <row r="827">
          <cell r="H827" t="str">
            <v>SL064.0GEO001BCMGLOUT</v>
          </cell>
          <cell r="I827" t="str">
            <v>64 GL EOW BUS CMGL OUT</v>
          </cell>
        </row>
        <row r="828">
          <cell r="H828" t="str">
            <v>SL096.0G1M001BCMGLIN</v>
          </cell>
          <cell r="I828" t="str">
            <v>96 GL MTHLY BUS CMGL IN</v>
          </cell>
        </row>
        <row r="829">
          <cell r="H829" t="str">
            <v>SL096.0G1M001BCMGLOUT</v>
          </cell>
          <cell r="I829" t="str">
            <v>96 GL MTHLY BUS CMGL OUT</v>
          </cell>
        </row>
        <row r="830">
          <cell r="H830" t="str">
            <v>SL096.0G1W001BCMGLIN</v>
          </cell>
          <cell r="I830" t="str">
            <v>96 GL WKLY BUS CMGL IN</v>
          </cell>
        </row>
        <row r="831">
          <cell r="H831" t="str">
            <v>SL096.0G1W001BCMGLOUT</v>
          </cell>
          <cell r="I831" t="str">
            <v>96 GL WKLY BUS CMGL OUT</v>
          </cell>
        </row>
        <row r="832">
          <cell r="H832" t="str">
            <v>SL096.0G1W001RECC</v>
          </cell>
          <cell r="I832" t="str">
            <v xml:space="preserve">96 GL 1X WK RECYCLE COMM </v>
          </cell>
        </row>
        <row r="833">
          <cell r="H833" t="str">
            <v>SL096.0G1W001SCMGLIN</v>
          </cell>
          <cell r="I833" t="str">
            <v>96 GL WKLY SCHL CMGL IN</v>
          </cell>
        </row>
        <row r="834">
          <cell r="H834" t="str">
            <v>SL096.0G1W001SCMGLOUT</v>
          </cell>
          <cell r="I834" t="str">
            <v>96 GL WKLY SCHL CMGL OUT</v>
          </cell>
        </row>
        <row r="835">
          <cell r="H835" t="str">
            <v>SL096.0GEO001BCMGLIN</v>
          </cell>
          <cell r="I835" t="str">
            <v>96 GL EOW BUS CMGL IN</v>
          </cell>
        </row>
        <row r="836">
          <cell r="H836" t="str">
            <v>SL096.0GEO001BCMGLOUT</v>
          </cell>
          <cell r="I836" t="str">
            <v>96 GL EOW BUS CMGL OUT</v>
          </cell>
        </row>
        <row r="837">
          <cell r="H837" t="str">
            <v>SL096.0GEO001SCMGLOUT</v>
          </cell>
          <cell r="I837" t="str">
            <v>96 GL EOW SCHL CMGL OUT</v>
          </cell>
        </row>
        <row r="838">
          <cell r="H838" t="str">
            <v>RTRNCART96REC-COMM</v>
          </cell>
          <cell r="I838" t="str">
            <v>RETURN TRIP 96 GL REC - C</v>
          </cell>
        </row>
        <row r="839">
          <cell r="H839" t="str">
            <v>SP5OCC-COMM</v>
          </cell>
          <cell r="I839" t="str">
            <v>SPECIAL PICKUP 5 YD OCC -</v>
          </cell>
        </row>
        <row r="840">
          <cell r="H840" t="str">
            <v>SP6BCMGL-COMM</v>
          </cell>
          <cell r="I840" t="str">
            <v>SPECIAL P/U 6 YD BUS CMGL</v>
          </cell>
        </row>
        <row r="841">
          <cell r="H841" t="str">
            <v>SPGRAD1REC-COMM</v>
          </cell>
          <cell r="I841" t="str">
            <v>SPECIAL UNIT GRAD1 REC - COMM</v>
          </cell>
        </row>
        <row r="842">
          <cell r="H842" t="str">
            <v>SPGRAD2REC-COMM</v>
          </cell>
          <cell r="I842" t="str">
            <v>SPECIAL UNIT GRAD2 REC - COMM</v>
          </cell>
        </row>
        <row r="843">
          <cell r="H843" t="str">
            <v>CC-KOL</v>
          </cell>
          <cell r="I843" t="str">
            <v>ONLINE PAYMENT-CC</v>
          </cell>
        </row>
        <row r="844">
          <cell r="H844" t="str">
            <v>CCREF-KOL</v>
          </cell>
          <cell r="I844" t="str">
            <v>CREDIT CARD REFUND</v>
          </cell>
        </row>
        <row r="845">
          <cell r="H845" t="str">
            <v>PAY</v>
          </cell>
          <cell r="I845" t="str">
            <v>PAYMENT THANK YOU</v>
          </cell>
        </row>
        <row r="846">
          <cell r="H846" t="str">
            <v>PAY-CFREE</v>
          </cell>
          <cell r="I846" t="str">
            <v>CHECKFREE PAYMENT</v>
          </cell>
        </row>
        <row r="847">
          <cell r="H847" t="str">
            <v>PAY-KOL</v>
          </cell>
          <cell r="I847" t="str">
            <v>PAYMENT-THANK YOU - OL</v>
          </cell>
        </row>
        <row r="848">
          <cell r="H848" t="str">
            <v>PAY-ORCC</v>
          </cell>
          <cell r="I848" t="str">
            <v>ORCC PAYMENT</v>
          </cell>
        </row>
        <row r="849">
          <cell r="H849" t="str">
            <v>PAY-RPPS</v>
          </cell>
          <cell r="I849" t="str">
            <v>RPPS MASTERCARD PAYMENT</v>
          </cell>
        </row>
        <row r="850">
          <cell r="H850" t="str">
            <v>PAYAD</v>
          </cell>
          <cell r="I850" t="str">
            <v>ADJUST PAYMENT AD</v>
          </cell>
        </row>
        <row r="851">
          <cell r="H851" t="str">
            <v>PAYICT</v>
          </cell>
          <cell r="I851" t="str">
            <v>I/C PAYMENT THANK YOU</v>
          </cell>
        </row>
        <row r="852">
          <cell r="H852" t="str">
            <v>PAYL</v>
          </cell>
          <cell r="I852" t="str">
            <v>PAYMENT THANK YOU</v>
          </cell>
        </row>
        <row r="853">
          <cell r="H853" t="str">
            <v>PAYMET</v>
          </cell>
          <cell r="I853" t="str">
            <v>METAVANTE ONLINE PAYMENT</v>
          </cell>
        </row>
        <row r="854">
          <cell r="H854" t="str">
            <v>PAYUSBL</v>
          </cell>
          <cell r="I854" t="str">
            <v>PAYMENT THANK YOU</v>
          </cell>
        </row>
        <row r="855">
          <cell r="H855" t="str">
            <v>RET-KOL</v>
          </cell>
          <cell r="I855" t="str">
            <v>ONLINE PAYMENT RETURN</v>
          </cell>
        </row>
        <row r="856">
          <cell r="H856" t="str">
            <v>CC-KOL</v>
          </cell>
          <cell r="I856" t="str">
            <v>ONLINE PAYMENT-CC</v>
          </cell>
        </row>
        <row r="857">
          <cell r="H857" t="str">
            <v>CCREF-KOL</v>
          </cell>
          <cell r="I857" t="str">
            <v>CREDIT CARD REFUND</v>
          </cell>
        </row>
        <row r="858">
          <cell r="H858" t="str">
            <v>PAY</v>
          </cell>
          <cell r="I858" t="str">
            <v>PAYMENT THANK YOU</v>
          </cell>
        </row>
        <row r="859">
          <cell r="H859" t="str">
            <v>PAY-CFREE</v>
          </cell>
          <cell r="I859" t="str">
            <v>CHECKFREE PAYMENT</v>
          </cell>
        </row>
        <row r="860">
          <cell r="H860" t="str">
            <v>PAY-KOL</v>
          </cell>
          <cell r="I860" t="str">
            <v>PAYMENT-THANK YOU - OL</v>
          </cell>
        </row>
        <row r="861">
          <cell r="H861" t="str">
            <v>PAY-ORCC</v>
          </cell>
          <cell r="I861" t="str">
            <v>ORCC PAYMENT</v>
          </cell>
        </row>
        <row r="862">
          <cell r="H862" t="str">
            <v>PAY-RPPS</v>
          </cell>
          <cell r="I862" t="str">
            <v>RPPS MASTERCARD PAYMENT</v>
          </cell>
        </row>
        <row r="863">
          <cell r="H863" t="str">
            <v>PAYICT</v>
          </cell>
          <cell r="I863" t="str">
            <v>I/C PAYMENT THANK YOU</v>
          </cell>
        </row>
        <row r="864">
          <cell r="H864" t="str">
            <v>PAYL</v>
          </cell>
          <cell r="I864" t="str">
            <v>PAYMENT THANK YOU</v>
          </cell>
        </row>
        <row r="865">
          <cell r="H865" t="str">
            <v>PAYMET</v>
          </cell>
          <cell r="I865" t="str">
            <v>METAVANTE ONLINE PAYMENT</v>
          </cell>
        </row>
        <row r="866">
          <cell r="H866" t="str">
            <v>PAYUSBL</v>
          </cell>
          <cell r="I866" t="str">
            <v>PAYMENT THANK YOU</v>
          </cell>
        </row>
        <row r="867">
          <cell r="H867" t="str">
            <v>RET-KOL</v>
          </cell>
          <cell r="I867" t="str">
            <v>ONLINE PAYMENT RETURN</v>
          </cell>
        </row>
        <row r="868">
          <cell r="H868" t="str">
            <v>CC-KOL</v>
          </cell>
          <cell r="I868" t="str">
            <v>ONLINE PAYMENT-CC</v>
          </cell>
        </row>
        <row r="869">
          <cell r="H869" t="str">
            <v>CCREF-KOL</v>
          </cell>
          <cell r="I869" t="str">
            <v>CREDIT CARD REFUND</v>
          </cell>
        </row>
        <row r="870">
          <cell r="H870" t="str">
            <v>PAY</v>
          </cell>
          <cell r="I870" t="str">
            <v>PAYMENT THANK YOU</v>
          </cell>
        </row>
        <row r="871">
          <cell r="H871" t="str">
            <v>PAY-CFREE</v>
          </cell>
          <cell r="I871" t="str">
            <v>CHECKFREE PAYMENT</v>
          </cell>
        </row>
        <row r="872">
          <cell r="H872" t="str">
            <v>PAY-KOL</v>
          </cell>
          <cell r="I872" t="str">
            <v>PAYMENT-THANK YOU - OL</v>
          </cell>
        </row>
        <row r="873">
          <cell r="H873" t="str">
            <v>PAY-NATL</v>
          </cell>
          <cell r="I873" t="str">
            <v>PAYMENT THANK YOU</v>
          </cell>
        </row>
        <row r="874">
          <cell r="H874" t="str">
            <v>PAY-OAK</v>
          </cell>
          <cell r="I874" t="str">
            <v>OAKLEAF PAYMENT</v>
          </cell>
        </row>
        <row r="875">
          <cell r="H875" t="str">
            <v>PAY-ORCC</v>
          </cell>
          <cell r="I875" t="str">
            <v>ORCC PAYMENT</v>
          </cell>
        </row>
        <row r="876">
          <cell r="H876" t="str">
            <v>PAY-RPPS</v>
          </cell>
          <cell r="I876" t="str">
            <v>RPPS MASTERCARD PAYMENT</v>
          </cell>
        </row>
        <row r="877">
          <cell r="H877" t="str">
            <v>PAYAD</v>
          </cell>
          <cell r="I877" t="str">
            <v>ADJUST PAYMENT AD</v>
          </cell>
        </row>
        <row r="878">
          <cell r="H878" t="str">
            <v>PAYEFT</v>
          </cell>
          <cell r="I878" t="str">
            <v>EFT PAYMENT</v>
          </cell>
        </row>
        <row r="879">
          <cell r="H879" t="str">
            <v>PAYICLRI</v>
          </cell>
          <cell r="I879" t="str">
            <v>PAYMENT THANK YOU</v>
          </cell>
        </row>
        <row r="880">
          <cell r="H880" t="str">
            <v>PAYICT</v>
          </cell>
          <cell r="I880" t="str">
            <v>I/C PAYMENT THANK YOU</v>
          </cell>
        </row>
        <row r="881">
          <cell r="H881" t="str">
            <v>PAYL</v>
          </cell>
          <cell r="I881" t="str">
            <v>PAYMENT THANK YOU</v>
          </cell>
        </row>
        <row r="882">
          <cell r="H882" t="str">
            <v>PAYMET</v>
          </cell>
          <cell r="I882" t="str">
            <v>METAVANTE ONLINE PAYMENT</v>
          </cell>
        </row>
        <row r="883">
          <cell r="H883" t="str">
            <v>PAYUSBL</v>
          </cell>
          <cell r="I883" t="str">
            <v>PAYMENT THANK YOU</v>
          </cell>
        </row>
        <row r="884">
          <cell r="H884" t="str">
            <v>RET-KOL</v>
          </cell>
          <cell r="I884" t="str">
            <v>ONLINE PAYMENT RETURN</v>
          </cell>
        </row>
        <row r="885">
          <cell r="H885" t="str">
            <v>CC-KOL</v>
          </cell>
          <cell r="I885" t="str">
            <v>ONLINE PAYMENT-CC</v>
          </cell>
        </row>
        <row r="886">
          <cell r="H886" t="str">
            <v>CCREF-KOL</v>
          </cell>
          <cell r="I886" t="str">
            <v>CREDIT CARD REFUND</v>
          </cell>
        </row>
        <row r="887">
          <cell r="H887" t="str">
            <v>PAYUSBL</v>
          </cell>
          <cell r="I887" t="str">
            <v>PAYMENT THANK YOU</v>
          </cell>
        </row>
        <row r="888">
          <cell r="H888" t="str">
            <v>DRIVEIN-RES</v>
          </cell>
          <cell r="I888" t="str">
            <v>DRIVE IN SERVICE - RES</v>
          </cell>
        </row>
        <row r="889">
          <cell r="H889" t="str">
            <v>GWRES</v>
          </cell>
          <cell r="I889" t="str">
            <v>GREENWASTE SERVICE - RES</v>
          </cell>
        </row>
        <row r="890">
          <cell r="H890" t="str">
            <v>RECBINONLYR</v>
          </cell>
          <cell r="I890" t="str">
            <v>RECYCLE SERVICE ONLY</v>
          </cell>
        </row>
        <row r="891">
          <cell r="H891" t="str">
            <v>RECPROGADJ-RES</v>
          </cell>
          <cell r="I891" t="str">
            <v>RECYCLING PROGRAM ADJUSTM</v>
          </cell>
        </row>
        <row r="892">
          <cell r="H892" t="str">
            <v>RECVALRES</v>
          </cell>
          <cell r="I892" t="str">
            <v>RECYCLABLES VALUE - RES</v>
          </cell>
        </row>
        <row r="893">
          <cell r="H893" t="str">
            <v>RL032.0G1M001WREC</v>
          </cell>
          <cell r="I893" t="str">
            <v>32 GL 1X MO W/RECY 1</v>
          </cell>
        </row>
        <row r="894">
          <cell r="H894" t="str">
            <v>RL032.0G1W001NOREC</v>
          </cell>
          <cell r="I894" t="str">
            <v>32 GL 1X WK NO RECY 1</v>
          </cell>
        </row>
        <row r="895">
          <cell r="H895" t="str">
            <v>RL032.0G1W001WREC</v>
          </cell>
          <cell r="I895" t="str">
            <v>32 GL 1X WK W/RECY 1</v>
          </cell>
        </row>
        <row r="896">
          <cell r="H896" t="str">
            <v>RL032.0G1W002NOREC</v>
          </cell>
          <cell r="I896" t="str">
            <v>32 GL 1X WK NO RECY 2</v>
          </cell>
        </row>
        <row r="897">
          <cell r="H897" t="str">
            <v>RL032.0G1W002WREC</v>
          </cell>
          <cell r="I897" t="str">
            <v>32 GL 1X WK W/RECY 2</v>
          </cell>
        </row>
        <row r="898">
          <cell r="H898" t="str">
            <v>RL032.0G1W003WREC</v>
          </cell>
          <cell r="I898" t="str">
            <v>32 GL 1X WK W/RECY 3</v>
          </cell>
        </row>
        <row r="899">
          <cell r="H899" t="str">
            <v>SL035.0G1W001WREC</v>
          </cell>
          <cell r="I899" t="str">
            <v>35 GL 1X WK W/ RECY 1</v>
          </cell>
        </row>
        <row r="900">
          <cell r="H900" t="str">
            <v>SL035.0GEO001WREC</v>
          </cell>
          <cell r="I900" t="str">
            <v>35 GL EOW W/RECY 1</v>
          </cell>
        </row>
        <row r="901">
          <cell r="H901" t="str">
            <v>SL065.0G1M001NOREC</v>
          </cell>
          <cell r="I901" t="str">
            <v>65 GL 1X MO NO RECY 1</v>
          </cell>
        </row>
        <row r="902">
          <cell r="H902" t="str">
            <v>SL065.0G1M001WREC</v>
          </cell>
          <cell r="I902" t="str">
            <v>65 GL 1X MO W/RECY 1</v>
          </cell>
        </row>
        <row r="903">
          <cell r="H903" t="str">
            <v>SL065.0G1W001NOREC</v>
          </cell>
          <cell r="I903" t="str">
            <v>65 GL 1X WK NO RECY 1</v>
          </cell>
        </row>
        <row r="904">
          <cell r="H904" t="str">
            <v>SL065.0G1W001WREC</v>
          </cell>
          <cell r="I904" t="str">
            <v>65 GL 1X WK W/RECY 1</v>
          </cell>
        </row>
        <row r="905">
          <cell r="H905" t="str">
            <v>SL065.0GEO001NOREC</v>
          </cell>
          <cell r="I905" t="str">
            <v>65 GL EOW NO RECY 1</v>
          </cell>
        </row>
        <row r="906">
          <cell r="H906" t="str">
            <v>SL065.0GEO001WREC</v>
          </cell>
          <cell r="I906" t="str">
            <v>65 GL EOW W/RECY 1</v>
          </cell>
        </row>
        <row r="907">
          <cell r="H907" t="str">
            <v>SL095.0G1M001WREC</v>
          </cell>
          <cell r="I907" t="str">
            <v>95 GL 1X MO W/RECY 1</v>
          </cell>
        </row>
        <row r="908">
          <cell r="H908" t="str">
            <v>SL095.0G1W001NOREC</v>
          </cell>
          <cell r="I908" t="str">
            <v>95 GL 1X WK NO RECY 1</v>
          </cell>
        </row>
        <row r="909">
          <cell r="H909" t="str">
            <v>SL095.0G1W001WREC</v>
          </cell>
          <cell r="I909" t="str">
            <v>95 GL 1X WK W/RECY 1</v>
          </cell>
        </row>
        <row r="910">
          <cell r="H910" t="str">
            <v>SL095.0GEO001WREC</v>
          </cell>
          <cell r="I910" t="str">
            <v>95 GL EOW W/RECY 1</v>
          </cell>
        </row>
        <row r="911">
          <cell r="H911" t="str">
            <v>WI1-RES</v>
          </cell>
          <cell r="I911" t="str">
            <v>WALK IN 6-25' - RES</v>
          </cell>
        </row>
        <row r="912">
          <cell r="H912" t="str">
            <v>BULKY-RES</v>
          </cell>
          <cell r="I912" t="str">
            <v>BULKY ITEM PICK UP - RES</v>
          </cell>
        </row>
        <row r="913">
          <cell r="H913" t="str">
            <v>EP96GWC-RES</v>
          </cell>
          <cell r="I913" t="str">
            <v>EXTRA PICK UP 96 GW - RES</v>
          </cell>
        </row>
        <row r="914">
          <cell r="H914" t="str">
            <v>EXTRA-RES</v>
          </cell>
          <cell r="I914" t="str">
            <v>EXTRA CAN, BAG, BOX - RES</v>
          </cell>
        </row>
        <row r="915">
          <cell r="H915" t="str">
            <v>EXTRA65-RES</v>
          </cell>
          <cell r="I915" t="str">
            <v>EXTRA 65 GL RES</v>
          </cell>
        </row>
        <row r="916">
          <cell r="H916" t="str">
            <v>EXTRA95-RES</v>
          </cell>
          <cell r="I916" t="str">
            <v>EXTRA 95 GL RES</v>
          </cell>
        </row>
        <row r="917">
          <cell r="H917" t="str">
            <v>EXTRAGWC-RES</v>
          </cell>
          <cell r="I917" t="str">
            <v>EXTRA GREENWASTE FEE - RE</v>
          </cell>
        </row>
        <row r="918">
          <cell r="H918" t="str">
            <v>GWRES</v>
          </cell>
          <cell r="I918" t="str">
            <v>GREENWASTE SERVICE - RES</v>
          </cell>
        </row>
        <row r="919">
          <cell r="H919" t="str">
            <v>OC-RES</v>
          </cell>
          <cell r="I919" t="str">
            <v>ON CALL SERVICE - RES</v>
          </cell>
        </row>
        <row r="920">
          <cell r="H920" t="str">
            <v>OS-RES</v>
          </cell>
          <cell r="I920" t="str">
            <v>OVERSIZE CAN - RES</v>
          </cell>
        </row>
        <row r="921">
          <cell r="H921" t="str">
            <v>OW-RES</v>
          </cell>
          <cell r="I921" t="str">
            <v>OVERFILL / OVERWEIGHT CAN</v>
          </cell>
        </row>
        <row r="922">
          <cell r="H922" t="str">
            <v>RECPROGADJ-RES</v>
          </cell>
          <cell r="I922" t="str">
            <v>RECYCLING PROGRAM ADJUSTM</v>
          </cell>
        </row>
        <row r="923">
          <cell r="H923" t="str">
            <v>RECVALRES</v>
          </cell>
          <cell r="I923" t="str">
            <v>RECYCLABLES VALUE - RES</v>
          </cell>
        </row>
        <row r="924">
          <cell r="H924" t="str">
            <v>REDEL-RES</v>
          </cell>
          <cell r="I924" t="str">
            <v>REDELIVER FEE - RES</v>
          </cell>
        </row>
        <row r="925">
          <cell r="H925" t="str">
            <v>REINSTATE-RES</v>
          </cell>
          <cell r="I925" t="str">
            <v>REINSTATE FEE - RES</v>
          </cell>
        </row>
        <row r="926">
          <cell r="H926" t="str">
            <v>RTRNCART65-RES</v>
          </cell>
          <cell r="I926" t="str">
            <v>RETURN TRIP 65 GL - RES</v>
          </cell>
        </row>
        <row r="927">
          <cell r="H927" t="str">
            <v>RTRNCART95-RES</v>
          </cell>
          <cell r="I927" t="str">
            <v>RETURN TRIP 95 GL - RES</v>
          </cell>
        </row>
        <row r="928">
          <cell r="H928" t="str">
            <v>RTRNCART96REC-RES</v>
          </cell>
          <cell r="I928" t="str">
            <v>RETURN TRIP 96 GL REC - RES</v>
          </cell>
        </row>
        <row r="929">
          <cell r="H929" t="str">
            <v>SL035.0G1W001WREC</v>
          </cell>
          <cell r="I929" t="str">
            <v>35 GL 1X WK W/ RECY 1</v>
          </cell>
        </row>
        <row r="930">
          <cell r="H930" t="str">
            <v>SL035.0GEO001WREC</v>
          </cell>
          <cell r="I930" t="str">
            <v>35 GL EOW W/RECY 1</v>
          </cell>
        </row>
        <row r="931">
          <cell r="H931" t="str">
            <v>SL065.0G1W001WREC</v>
          </cell>
          <cell r="I931" t="str">
            <v>65 GL 1X WK W/RECY 1</v>
          </cell>
        </row>
        <row r="932">
          <cell r="H932" t="str">
            <v>SL065.0GEO001WREC</v>
          </cell>
          <cell r="I932" t="str">
            <v>65 GL EOW W/RECY 1</v>
          </cell>
        </row>
        <row r="933">
          <cell r="H933" t="str">
            <v>SL095.0G1W001WREC</v>
          </cell>
          <cell r="I933" t="str">
            <v>95 GL 1X WK W/RECY 1</v>
          </cell>
        </row>
        <row r="934">
          <cell r="H934" t="str">
            <v>SPECIAL-RES</v>
          </cell>
          <cell r="I934" t="str">
            <v>SPECIAL SERVICE - RES</v>
          </cell>
        </row>
        <row r="935">
          <cell r="H935" t="str">
            <v>SPGRAD1-RES</v>
          </cell>
          <cell r="I935" t="str">
            <v>SPECIAL GRADUATED 1-2 - R</v>
          </cell>
        </row>
        <row r="936">
          <cell r="H936" t="str">
            <v>TIME-RES</v>
          </cell>
          <cell r="I936" t="str">
            <v>TIME FEE 1 - RES</v>
          </cell>
        </row>
        <row r="937">
          <cell r="H937" t="str">
            <v>ACCESS-RES</v>
          </cell>
          <cell r="I937" t="str">
            <v>ACCESS FEE - RES</v>
          </cell>
        </row>
        <row r="938">
          <cell r="H938" t="str">
            <v>DRIVEIN-RES</v>
          </cell>
          <cell r="I938" t="str">
            <v>DRIVE IN SERVICE - RES</v>
          </cell>
        </row>
        <row r="939">
          <cell r="H939" t="str">
            <v>DRIVEINMUL-RES</v>
          </cell>
          <cell r="I939" t="str">
            <v>DRIVE IN SVC MULTIPLE</v>
          </cell>
        </row>
        <row r="940">
          <cell r="H940" t="str">
            <v>EMPLOYEER</v>
          </cell>
          <cell r="I940" t="str">
            <v>EMPLOYEE SERVICE RES</v>
          </cell>
        </row>
        <row r="941">
          <cell r="H941" t="str">
            <v>GWRES</v>
          </cell>
          <cell r="I941" t="str">
            <v>GREENWASTE SERVICE - RES</v>
          </cell>
        </row>
        <row r="942">
          <cell r="H942" t="str">
            <v>RECBINONLYR</v>
          </cell>
          <cell r="I942" t="str">
            <v>RECYCLE SERVICE ONLY</v>
          </cell>
        </row>
        <row r="943">
          <cell r="H943" t="str">
            <v>RECPROGADJ-RES</v>
          </cell>
          <cell r="I943" t="str">
            <v>RECYCLING PROGRAM ADJUSTM</v>
          </cell>
        </row>
        <row r="944">
          <cell r="H944" t="str">
            <v>RECVALRES</v>
          </cell>
          <cell r="I944" t="str">
            <v>RECYCLABLES VALUE - RES</v>
          </cell>
        </row>
        <row r="945">
          <cell r="H945" t="str">
            <v>RL020.0G1W001</v>
          </cell>
          <cell r="I945" t="str">
            <v>20 GL 1X WK 1</v>
          </cell>
        </row>
        <row r="946">
          <cell r="H946" t="str">
            <v>RL032.0G1M001NOREC</v>
          </cell>
          <cell r="I946" t="str">
            <v>32 GL 1X MO NO RECY 1</v>
          </cell>
        </row>
        <row r="947">
          <cell r="H947" t="str">
            <v>RL032.0G1M001WREC</v>
          </cell>
          <cell r="I947" t="str">
            <v>32 GL 1X MO W/RECY 1</v>
          </cell>
        </row>
        <row r="948">
          <cell r="H948" t="str">
            <v>RL032.0G1W001NOREC</v>
          </cell>
          <cell r="I948" t="str">
            <v>32 GL 1X WK NO RECY 1</v>
          </cell>
        </row>
        <row r="949">
          <cell r="H949" t="str">
            <v>RL032.0G1W001WREC</v>
          </cell>
          <cell r="I949" t="str">
            <v>32 GL 1X WK W/RECY 1</v>
          </cell>
        </row>
        <row r="950">
          <cell r="H950" t="str">
            <v>RL032.0G1W002NOREC</v>
          </cell>
          <cell r="I950" t="str">
            <v>32 GL 1X WK NO RECY 2</v>
          </cell>
        </row>
        <row r="951">
          <cell r="H951" t="str">
            <v>RL032.0G1W002WREC</v>
          </cell>
          <cell r="I951" t="str">
            <v>32 GL 1X WK W/RECY 2</v>
          </cell>
        </row>
        <row r="952">
          <cell r="H952" t="str">
            <v>RL032.0G1W003WREC</v>
          </cell>
          <cell r="I952" t="str">
            <v>32 GL 1X WK W/RECY 3</v>
          </cell>
        </row>
        <row r="953">
          <cell r="H953" t="str">
            <v>RL032.0G1W004NOREC</v>
          </cell>
          <cell r="I953" t="str">
            <v>32 GL 1X WK NO RECY 4</v>
          </cell>
        </row>
        <row r="954">
          <cell r="H954" t="str">
            <v>RL032.0G1W004WREC</v>
          </cell>
          <cell r="I954" t="str">
            <v>32 GL 1X WK W/RECY 4</v>
          </cell>
        </row>
        <row r="955">
          <cell r="H955" t="str">
            <v>SL035.0G1M001WREC</v>
          </cell>
          <cell r="I955" t="str">
            <v>35 GL 1X MO W/RECY 1</v>
          </cell>
        </row>
        <row r="956">
          <cell r="H956" t="str">
            <v>SL035.0G1W001NOREC</v>
          </cell>
          <cell r="I956" t="str">
            <v>35 GL 1X WK NO RECY 1</v>
          </cell>
        </row>
        <row r="957">
          <cell r="H957" t="str">
            <v>SL035.0G1W001WREC</v>
          </cell>
          <cell r="I957" t="str">
            <v>35 GL 1X WK W/ RECY 1</v>
          </cell>
        </row>
        <row r="958">
          <cell r="H958" t="str">
            <v>SL035.0G1W002WREC</v>
          </cell>
          <cell r="I958" t="str">
            <v>35 GL 1X WK W/RECY 2</v>
          </cell>
        </row>
        <row r="959">
          <cell r="H959" t="str">
            <v>SL035.0GEO001NOREC</v>
          </cell>
          <cell r="I959" t="str">
            <v>35 GL EOW NO RECY 1</v>
          </cell>
        </row>
        <row r="960">
          <cell r="H960" t="str">
            <v>SL035.0GEO001WREC</v>
          </cell>
          <cell r="I960" t="str">
            <v>35 GL EOW W/RECY 1</v>
          </cell>
        </row>
        <row r="961">
          <cell r="H961" t="str">
            <v>SL060.0G1M001WREC</v>
          </cell>
          <cell r="I961" t="str">
            <v>60 GL 1X MO W/RECY 1</v>
          </cell>
        </row>
        <row r="962">
          <cell r="H962" t="str">
            <v>SL065.0G1M001NOREC</v>
          </cell>
          <cell r="I962" t="str">
            <v>65 GL 1X MO NO RECY 1</v>
          </cell>
        </row>
        <row r="963">
          <cell r="H963" t="str">
            <v>SL065.0G1M001WREC</v>
          </cell>
          <cell r="I963" t="str">
            <v>65 GL 1X MO W/RECY 1</v>
          </cell>
        </row>
        <row r="964">
          <cell r="H964" t="str">
            <v>SL065.0G1W001</v>
          </cell>
          <cell r="I964" t="str">
            <v>65 GL 1X WK 1</v>
          </cell>
        </row>
        <row r="965">
          <cell r="H965" t="str">
            <v>SL065.0G1W001NOREC</v>
          </cell>
          <cell r="I965" t="str">
            <v>65 GL 1X WK NO RECY 1</v>
          </cell>
        </row>
        <row r="966">
          <cell r="H966" t="str">
            <v>SL065.0G1W001WREC</v>
          </cell>
          <cell r="I966" t="str">
            <v>65 GL 1X WK W/RECY 1</v>
          </cell>
        </row>
        <row r="967">
          <cell r="H967" t="str">
            <v>SL065.0GEO001NOREC</v>
          </cell>
          <cell r="I967" t="str">
            <v>65 GL EOW NO RECY 1</v>
          </cell>
        </row>
        <row r="968">
          <cell r="H968" t="str">
            <v>SL065.0GEO001WREC</v>
          </cell>
          <cell r="I968" t="str">
            <v>65 GL EOW W/RECY 1</v>
          </cell>
        </row>
        <row r="969">
          <cell r="H969" t="str">
            <v>SL095.0G1M001NOREC</v>
          </cell>
          <cell r="I969" t="str">
            <v>95 GL 1X MO NO RECY 1</v>
          </cell>
        </row>
        <row r="970">
          <cell r="H970" t="str">
            <v>SL095.0G1M001WREC</v>
          </cell>
          <cell r="I970" t="str">
            <v>95 GL 1X MO W/RECY 1</v>
          </cell>
        </row>
        <row r="971">
          <cell r="H971" t="str">
            <v>SL095.0G1W001NOREC</v>
          </cell>
          <cell r="I971" t="str">
            <v>95 GL 1X WK NO RECY 1</v>
          </cell>
        </row>
        <row r="972">
          <cell r="H972" t="str">
            <v>SL095.0G1W001WREC</v>
          </cell>
          <cell r="I972" t="str">
            <v>95 GL 1X WK W/RECY 1</v>
          </cell>
        </row>
        <row r="973">
          <cell r="H973" t="str">
            <v>SL095.0GEO001NOREC</v>
          </cell>
          <cell r="I973" t="str">
            <v>95 GL EOW NO RECY 1</v>
          </cell>
        </row>
        <row r="974">
          <cell r="H974" t="str">
            <v>SL095.0GEO001WREC</v>
          </cell>
          <cell r="I974" t="str">
            <v>95 GL EOW W/RECY 1</v>
          </cell>
        </row>
        <row r="975">
          <cell r="H975" t="str">
            <v>WI-RES</v>
          </cell>
          <cell r="I975" t="str">
            <v>WALK IN 6-25' - RES</v>
          </cell>
        </row>
        <row r="976">
          <cell r="H976" t="str">
            <v>WI1-RES</v>
          </cell>
          <cell r="I976" t="str">
            <v>WALK IN 6-25' - RES</v>
          </cell>
        </row>
        <row r="977">
          <cell r="H977" t="str">
            <v>WI2-RES</v>
          </cell>
          <cell r="I977" t="str">
            <v>WALK IN 26-50' - RES</v>
          </cell>
        </row>
        <row r="978">
          <cell r="H978" t="str">
            <v>ADJ-RES</v>
          </cell>
          <cell r="I978" t="str">
            <v>ADJUSTMENT SERVICE - RES</v>
          </cell>
        </row>
        <row r="979">
          <cell r="H979" t="str">
            <v>BULKY-RES</v>
          </cell>
          <cell r="I979" t="str">
            <v>BULKY ITEM PICK UP - RES</v>
          </cell>
        </row>
        <row r="980">
          <cell r="H980" t="str">
            <v>EXTRA-RES</v>
          </cell>
          <cell r="I980" t="str">
            <v>EXTRA CAN, BAG, BOX - RES</v>
          </cell>
        </row>
        <row r="981">
          <cell r="H981" t="str">
            <v>EXTRA65-RES</v>
          </cell>
          <cell r="I981" t="str">
            <v>EXTRA 65 GL RES</v>
          </cell>
        </row>
        <row r="982">
          <cell r="H982" t="str">
            <v>EXTRA95-RES</v>
          </cell>
          <cell r="I982" t="str">
            <v>EXTRA 95 GL RES</v>
          </cell>
        </row>
        <row r="983">
          <cell r="H983" t="str">
            <v>EXTRAGWC-RES</v>
          </cell>
          <cell r="I983" t="str">
            <v>EXTRA GREENWASTE FEE - RE</v>
          </cell>
        </row>
        <row r="984">
          <cell r="H984" t="str">
            <v>GWRES</v>
          </cell>
          <cell r="I984" t="str">
            <v>GREENWASTE SERVICE - RES</v>
          </cell>
        </row>
        <row r="985">
          <cell r="H985" t="str">
            <v>OC-RES</v>
          </cell>
          <cell r="I985" t="str">
            <v>ON CALL SERVICE - RES</v>
          </cell>
        </row>
        <row r="986">
          <cell r="H986" t="str">
            <v>OS-RES</v>
          </cell>
          <cell r="I986" t="str">
            <v>OVERSIZE CAN - RES</v>
          </cell>
        </row>
        <row r="987">
          <cell r="H987" t="str">
            <v>OW-RES</v>
          </cell>
          <cell r="I987" t="str">
            <v>OVERFILL / OVERWEIGHT CAN</v>
          </cell>
        </row>
        <row r="988">
          <cell r="H988" t="str">
            <v>RECPROGADJ-RES</v>
          </cell>
          <cell r="I988" t="str">
            <v>RECYCLING PROGRAM ADJUSTM</v>
          </cell>
        </row>
        <row r="989">
          <cell r="H989" t="str">
            <v>RECVALRES</v>
          </cell>
          <cell r="I989" t="str">
            <v>RECYCLABLES VALUE - RES</v>
          </cell>
        </row>
        <row r="990">
          <cell r="H990" t="str">
            <v>REDEL-RES</v>
          </cell>
          <cell r="I990" t="str">
            <v>REDELIVER FEE - RES</v>
          </cell>
        </row>
        <row r="991">
          <cell r="H991" t="str">
            <v>REINSTATE-RES</v>
          </cell>
          <cell r="I991" t="str">
            <v>REINSTATE FEE - RES</v>
          </cell>
        </row>
        <row r="992">
          <cell r="H992" t="str">
            <v>RL032.0G1W001NOREC</v>
          </cell>
          <cell r="I992" t="str">
            <v>32 GL 1X WK NO RECY 1</v>
          </cell>
        </row>
        <row r="993">
          <cell r="H993" t="str">
            <v>RL032.0G1W002NOREC</v>
          </cell>
          <cell r="I993" t="str">
            <v>32 GL 1X WK NO RECY 2</v>
          </cell>
        </row>
        <row r="994">
          <cell r="H994" t="str">
            <v>RTRNCART65-RES</v>
          </cell>
          <cell r="I994" t="str">
            <v>RETURN TRIP 65 GL - RES</v>
          </cell>
        </row>
        <row r="995">
          <cell r="H995" t="str">
            <v>RTRNCART95-RES</v>
          </cell>
          <cell r="I995" t="str">
            <v>RETURN TRIP 95 GL - RES</v>
          </cell>
        </row>
        <row r="996">
          <cell r="H996" t="str">
            <v>RTRNCART96REC-RES</v>
          </cell>
          <cell r="I996" t="str">
            <v>RETURN TRIP 96 GL REC - RES</v>
          </cell>
        </row>
        <row r="997">
          <cell r="H997" t="str">
            <v>SL065.0G1W001WREC</v>
          </cell>
          <cell r="I997" t="str">
            <v>65 GL 1X WK W/RECY 1</v>
          </cell>
        </row>
        <row r="998">
          <cell r="H998" t="str">
            <v>SL065.0GEO001WREC</v>
          </cell>
          <cell r="I998" t="str">
            <v>65 GL EOW W/RECY 1</v>
          </cell>
        </row>
        <row r="999">
          <cell r="H999" t="str">
            <v>SL095.0G1W001WREC</v>
          </cell>
          <cell r="I999" t="str">
            <v>95 GL 1X WK W/RECY 1</v>
          </cell>
        </row>
        <row r="1000">
          <cell r="H1000" t="str">
            <v>TIME-RES</v>
          </cell>
          <cell r="I1000" t="str">
            <v>TIME FEE 1 - RES</v>
          </cell>
        </row>
        <row r="1001">
          <cell r="H1001" t="str">
            <v>GWRES</v>
          </cell>
          <cell r="I1001" t="str">
            <v>GREENWASTE SERVICE - RES</v>
          </cell>
        </row>
        <row r="1002">
          <cell r="H1002" t="str">
            <v>RECPROGADJ-RES</v>
          </cell>
          <cell r="I1002" t="str">
            <v>RECYCLING PROGRAM ADJUSTM</v>
          </cell>
        </row>
        <row r="1003">
          <cell r="H1003" t="str">
            <v>RECVALRES</v>
          </cell>
          <cell r="I1003" t="str">
            <v>RECYCLABLES VALUE - RES</v>
          </cell>
        </row>
        <row r="1004">
          <cell r="H1004" t="str">
            <v>SL065.0G1W001NOREC</v>
          </cell>
          <cell r="I1004" t="str">
            <v>65 GL 1X WK NO RECY 1</v>
          </cell>
        </row>
        <row r="1005">
          <cell r="H1005" t="str">
            <v>DISP-RES</v>
          </cell>
          <cell r="I1005" t="str">
            <v>DISPOSAL FEE -RES</v>
          </cell>
        </row>
        <row r="1006">
          <cell r="H1006" t="str">
            <v>DISPCMGL-RES</v>
          </cell>
          <cell r="I1006" t="str">
            <v>DISPOSAL COMINGLE - RES</v>
          </cell>
        </row>
        <row r="1007">
          <cell r="H1007" t="str">
            <v>DISPFEDMSW-RES</v>
          </cell>
          <cell r="I1007" t="str">
            <v>DISPOSAL FEDERAL MSW - RE</v>
          </cell>
        </row>
        <row r="1008">
          <cell r="H1008" t="str">
            <v>DISPGW-RES</v>
          </cell>
          <cell r="I1008" t="str">
            <v>DISPOSAL FEE GREENWASTE -</v>
          </cell>
        </row>
        <row r="1009">
          <cell r="H1009" t="str">
            <v>EXTRA-RES</v>
          </cell>
          <cell r="I1009" t="str">
            <v>EXTRA CAN, BAG, BOX - RES</v>
          </cell>
        </row>
        <row r="1010">
          <cell r="H1010" t="str">
            <v>EXTRAGWC-RES</v>
          </cell>
          <cell r="I1010" t="str">
            <v>EXTRA GREENWASTE FEE - RE</v>
          </cell>
        </row>
        <row r="1011">
          <cell r="H1011" t="str">
            <v>OC-RES</v>
          </cell>
          <cell r="I1011" t="str">
            <v>ON CALL SERVICE - RES</v>
          </cell>
        </row>
        <row r="1012">
          <cell r="H1012" t="str">
            <v>OW-RES</v>
          </cell>
          <cell r="I1012" t="str">
            <v>OVERFILL / OVERWEIGHT CAN</v>
          </cell>
        </row>
        <row r="1013">
          <cell r="H1013" t="str">
            <v>REINSTATE-RES</v>
          </cell>
          <cell r="I1013" t="str">
            <v>REINSTATE FEE - RES</v>
          </cell>
        </row>
        <row r="1014">
          <cell r="H1014" t="str">
            <v>TIME-RES</v>
          </cell>
          <cell r="I1014" t="str">
            <v>TIME FEE 1 - RES</v>
          </cell>
        </row>
        <row r="1015">
          <cell r="H1015" t="str">
            <v>DISP-RES</v>
          </cell>
          <cell r="I1015" t="str">
            <v>DISPOSAL FEE -RES</v>
          </cell>
        </row>
        <row r="1016">
          <cell r="H1016" t="str">
            <v>DISPCMGL-RES</v>
          </cell>
          <cell r="I1016" t="str">
            <v>DISPOSAL COMINGLE - RES</v>
          </cell>
        </row>
        <row r="1017">
          <cell r="H1017" t="str">
            <v>DISPGW-RES</v>
          </cell>
          <cell r="I1017" t="str">
            <v>DISPOSAL FEE GREENWASTE -</v>
          </cell>
        </row>
        <row r="1018">
          <cell r="H1018" t="str">
            <v>HAUL20-RO</v>
          </cell>
          <cell r="I1018" t="str">
            <v>HAUL 20 YD - RO</v>
          </cell>
        </row>
        <row r="1019">
          <cell r="H1019" t="str">
            <v>LIDRO</v>
          </cell>
          <cell r="I1019" t="str">
            <v>LID CHARGE - RO</v>
          </cell>
        </row>
        <row r="1020">
          <cell r="H1020" t="str">
            <v>RENT10MO-RO</v>
          </cell>
          <cell r="I1020" t="str">
            <v>RENTAL FEE 10 YD MONTHLY</v>
          </cell>
        </row>
        <row r="1021">
          <cell r="H1021" t="str">
            <v>RENT20MO-RO</v>
          </cell>
          <cell r="I1021" t="str">
            <v>RENTAL FEE 20 YD MONTHLY</v>
          </cell>
        </row>
        <row r="1022">
          <cell r="H1022" t="str">
            <v>RENT30MO-RO</v>
          </cell>
          <cell r="I1022" t="str">
            <v>RENTAL FEE 30 YD MONTHLY</v>
          </cell>
        </row>
        <row r="1023">
          <cell r="H1023" t="str">
            <v>RENT40MO-RO</v>
          </cell>
          <cell r="I1023" t="str">
            <v>RENTAL FEE 40 YD MONTHLY</v>
          </cell>
        </row>
        <row r="1024">
          <cell r="H1024" t="str">
            <v>CLEAN30-RO</v>
          </cell>
          <cell r="I1024" t="str">
            <v>CLEANING FEE 30 YD - RO</v>
          </cell>
        </row>
        <row r="1025">
          <cell r="H1025" t="str">
            <v>COMMODITY</v>
          </cell>
          <cell r="I1025" t="str">
            <v>COMMODITY</v>
          </cell>
        </row>
        <row r="1026">
          <cell r="H1026" t="str">
            <v>DEL20-RO</v>
          </cell>
          <cell r="I1026" t="str">
            <v>DELIVERY FEE 20 YD - RO</v>
          </cell>
        </row>
        <row r="1027">
          <cell r="H1027" t="str">
            <v>DEL20TEMP-RO</v>
          </cell>
          <cell r="I1027" t="str">
            <v>DELIVERY FEE 20 YD TEMP -</v>
          </cell>
        </row>
        <row r="1028">
          <cell r="H1028" t="str">
            <v>DEL30-RO</v>
          </cell>
          <cell r="I1028" t="str">
            <v>DELIVERY FEE 30 YD - RO</v>
          </cell>
        </row>
        <row r="1029">
          <cell r="H1029" t="str">
            <v>DEL30TEMP-RO</v>
          </cell>
          <cell r="I1029" t="str">
            <v>DELIVERY FEE 30 YD TEMP -</v>
          </cell>
        </row>
        <row r="1030">
          <cell r="H1030" t="str">
            <v>DEL40-RO</v>
          </cell>
          <cell r="I1030" t="str">
            <v>DELIVERY FEE 40 YD - RO</v>
          </cell>
        </row>
        <row r="1031">
          <cell r="H1031" t="str">
            <v>DEL40TEMP-RO</v>
          </cell>
          <cell r="I1031" t="str">
            <v>DELIVERY FEE 40 YD TEMP -</v>
          </cell>
        </row>
        <row r="1032">
          <cell r="H1032" t="str">
            <v>DISCO-CP</v>
          </cell>
          <cell r="I1032" t="str">
            <v xml:space="preserve">COMPACTOR DISCONNECT FEE </v>
          </cell>
        </row>
        <row r="1033">
          <cell r="H1033" t="str">
            <v>DISP-RO</v>
          </cell>
          <cell r="I1033" t="str">
            <v>DISPOSAL CHARGE - RO</v>
          </cell>
        </row>
        <row r="1034">
          <cell r="H1034" t="str">
            <v>DISPCMGL-RO</v>
          </cell>
          <cell r="I1034" t="str">
            <v xml:space="preserve">DISPOSAL FEE COMMINGLE - </v>
          </cell>
        </row>
        <row r="1035">
          <cell r="H1035" t="str">
            <v>DISPDEMO-RO</v>
          </cell>
          <cell r="I1035" t="str">
            <v>DISPOSAL FEE DEMO - RO</v>
          </cell>
        </row>
        <row r="1036">
          <cell r="H1036" t="str">
            <v>DISPGLASS-RO</v>
          </cell>
          <cell r="I1036" t="str">
            <v>DISPOSAL FEE GLASS - RO</v>
          </cell>
        </row>
        <row r="1037">
          <cell r="H1037" t="str">
            <v>DISPTOTERS-RO</v>
          </cell>
          <cell r="I1037" t="str">
            <v>DISPOSAL FEE TOTERS</v>
          </cell>
        </row>
        <row r="1038">
          <cell r="H1038" t="str">
            <v>DISPTRANS-RO</v>
          </cell>
          <cell r="I1038" t="str">
            <v>DISPOSAL FEE TRANSFER HAU</v>
          </cell>
        </row>
        <row r="1039">
          <cell r="H1039" t="str">
            <v>EXWGHT-RO</v>
          </cell>
          <cell r="I1039" t="str">
            <v>EXCESS WEIGHT - RO</v>
          </cell>
        </row>
        <row r="1040">
          <cell r="H1040" t="str">
            <v>FERRY-RO</v>
          </cell>
          <cell r="I1040" t="str">
            <v>FERRY FEE - RO</v>
          </cell>
        </row>
        <row r="1041">
          <cell r="H1041" t="str">
            <v>FINAL20-RO</v>
          </cell>
          <cell r="I1041" t="str">
            <v>FINAL PULL 20 YD - RO</v>
          </cell>
        </row>
        <row r="1042">
          <cell r="H1042" t="str">
            <v>FINAL20TEMP-RO</v>
          </cell>
          <cell r="I1042" t="str">
            <v>FINAL PULL 20 YD TEMP - R</v>
          </cell>
        </row>
        <row r="1043">
          <cell r="H1043" t="str">
            <v>FINAL30-RO</v>
          </cell>
          <cell r="I1043" t="str">
            <v>FINAL PULL 30 YD - RO</v>
          </cell>
        </row>
        <row r="1044">
          <cell r="H1044" t="str">
            <v>FINAL30TEMP-RO</v>
          </cell>
          <cell r="I1044" t="str">
            <v>FINAL PULL 30 YD TEMP - R</v>
          </cell>
        </row>
        <row r="1045">
          <cell r="H1045" t="str">
            <v>FINAL40TEMP-RO</v>
          </cell>
          <cell r="I1045" t="str">
            <v>FINAL PULL 40 YD TEMP - R</v>
          </cell>
        </row>
        <row r="1046">
          <cell r="H1046" t="str">
            <v>HAUL10-CP</v>
          </cell>
          <cell r="I1046" t="str">
            <v>COMPACTOR HAUL 10 YD - RO</v>
          </cell>
        </row>
        <row r="1047">
          <cell r="H1047" t="str">
            <v>HAUL20-CP</v>
          </cell>
          <cell r="I1047" t="str">
            <v>COMPACTOR HAUL 20 YD - RO</v>
          </cell>
        </row>
        <row r="1048">
          <cell r="H1048" t="str">
            <v>HAUL20-RO</v>
          </cell>
          <cell r="I1048" t="str">
            <v>HAUL 20 YD - RO</v>
          </cell>
        </row>
        <row r="1049">
          <cell r="H1049" t="str">
            <v>HAUL20CUST-RO</v>
          </cell>
          <cell r="I1049" t="str">
            <v>HAUL 20 YD CUST - RO</v>
          </cell>
        </row>
        <row r="1050">
          <cell r="H1050" t="str">
            <v>HAUL20TEMP-RO</v>
          </cell>
          <cell r="I1050" t="str">
            <v>HAUL 20 YD TEMP - RO</v>
          </cell>
        </row>
        <row r="1051">
          <cell r="H1051" t="str">
            <v>HAUL25-CP</v>
          </cell>
          <cell r="I1051" t="str">
            <v>COMPACTOR HAUL 25 YD - RO</v>
          </cell>
        </row>
        <row r="1052">
          <cell r="H1052" t="str">
            <v>HAUL30-CP</v>
          </cell>
          <cell r="I1052" t="str">
            <v>COMPACTOR HAUL 30 YD</v>
          </cell>
        </row>
        <row r="1053">
          <cell r="H1053" t="str">
            <v>HAUL30-RO</v>
          </cell>
          <cell r="I1053" t="str">
            <v>HAUL 30 YD - RO</v>
          </cell>
        </row>
        <row r="1054">
          <cell r="H1054" t="str">
            <v>HAUL30TEMP-RO</v>
          </cell>
          <cell r="I1054" t="str">
            <v>HAUL 30 YD TEMP - RO</v>
          </cell>
        </row>
        <row r="1055">
          <cell r="H1055" t="str">
            <v>HAUL40-CP</v>
          </cell>
          <cell r="I1055" t="str">
            <v>COMPACTOR HAUL 40 YD</v>
          </cell>
        </row>
        <row r="1056">
          <cell r="H1056" t="str">
            <v>HAUL40-RO</v>
          </cell>
          <cell r="I1056" t="str">
            <v>HAUL 40 YD - RO</v>
          </cell>
        </row>
        <row r="1057">
          <cell r="H1057" t="str">
            <v>HAUL40TEMP-RO</v>
          </cell>
          <cell r="I1057" t="str">
            <v>HAUL 40 YD TEMP - RO</v>
          </cell>
        </row>
        <row r="1058">
          <cell r="H1058" t="str">
            <v>MILE-RO</v>
          </cell>
          <cell r="I1058" t="str">
            <v>MILEAGE FEE - RO</v>
          </cell>
        </row>
        <row r="1059">
          <cell r="H1059" t="str">
            <v>RENT20TEMP-RO</v>
          </cell>
          <cell r="I1059" t="str">
            <v>RENTAL FEE 20 YD TEMP - R</v>
          </cell>
        </row>
        <row r="1060">
          <cell r="H1060" t="str">
            <v>RENT30TEMP-RO</v>
          </cell>
          <cell r="I1060" t="str">
            <v>RENTAL FEE 30 YD TEMP - R</v>
          </cell>
        </row>
        <row r="1061">
          <cell r="H1061" t="str">
            <v>RENT40TEMP-RO</v>
          </cell>
          <cell r="I1061" t="str">
            <v>RENTAL FEE 40 YD TEMP - R</v>
          </cell>
        </row>
        <row r="1062">
          <cell r="H1062" t="str">
            <v>RTRNTRIP-RO</v>
          </cell>
          <cell r="I1062" t="str">
            <v>RETURN TRIP FEE - RO</v>
          </cell>
        </row>
        <row r="1063">
          <cell r="H1063" t="str">
            <v>TIME-RO</v>
          </cell>
          <cell r="I1063" t="str">
            <v>TIME FEE - RO</v>
          </cell>
        </row>
        <row r="1064">
          <cell r="H1064" t="str">
            <v>DISPGLASS-RO</v>
          </cell>
          <cell r="I1064" t="str">
            <v>DISPOSAL FEE GLASS - RO</v>
          </cell>
        </row>
        <row r="1065">
          <cell r="H1065" t="str">
            <v>HAUL30-RO</v>
          </cell>
          <cell r="I1065" t="str">
            <v>HAUL 30 YD - RO</v>
          </cell>
        </row>
        <row r="1066">
          <cell r="H1066" t="str">
            <v>COMMODITY SURCHARGE</v>
          </cell>
          <cell r="I1066" t="str">
            <v>COMMODITY SURCHARGE</v>
          </cell>
        </row>
        <row r="1067">
          <cell r="H1067" t="str">
            <v>COMMODITY SURCHARGE</v>
          </cell>
          <cell r="I1067" t="str">
            <v>COMMODITY SURCHARGE</v>
          </cell>
        </row>
        <row r="1068">
          <cell r="H1068" t="str">
            <v>COMMODITY SURCHARGE</v>
          </cell>
          <cell r="I1068" t="str">
            <v>COMMODITY SURCHARGE</v>
          </cell>
        </row>
        <row r="1069">
          <cell r="H1069" t="str">
            <v xml:space="preserve">PIERCE COUNTY REFUSE </v>
          </cell>
          <cell r="I1069" t="str">
            <v>3.6% PIERCE COUNTY REFUSE</v>
          </cell>
        </row>
        <row r="1070">
          <cell r="H1070" t="str">
            <v xml:space="preserve">PIERCE COUNTY REFUSE  </v>
          </cell>
          <cell r="I1070" t="str">
            <v>3.6% PIERCE COUNTY REFUSE</v>
          </cell>
        </row>
        <row r="1071">
          <cell r="H1071" t="str">
            <v>PIERCE REFUSE TAX</v>
          </cell>
          <cell r="I1071" t="str">
            <v>3.6% WA STATE REFUSE TAX</v>
          </cell>
        </row>
        <row r="1072">
          <cell r="H1072" t="str">
            <v xml:space="preserve">PIERCE COUNTY REFUSE </v>
          </cell>
          <cell r="I1072" t="str">
            <v>3.6% PIERCE COUNTY REFUSE</v>
          </cell>
        </row>
        <row r="1073">
          <cell r="H1073" t="str">
            <v xml:space="preserve">PIERCE COUNTY REFUSE  </v>
          </cell>
          <cell r="I1073" t="str">
            <v>3.6% PIERCE COUNTY REFUSE</v>
          </cell>
        </row>
        <row r="1074">
          <cell r="H1074" t="str">
            <v>PIERCE COUNTY REFUSE</v>
          </cell>
          <cell r="I1074" t="str">
            <v>3.6% PIERCE COUNTY REFUSE</v>
          </cell>
        </row>
        <row r="1075">
          <cell r="H1075" t="str">
            <v>PIERCE COUNTY SALES 7.9%</v>
          </cell>
          <cell r="I1075" t="str">
            <v>7.9% WA STATE SALES TAX</v>
          </cell>
        </row>
        <row r="1076">
          <cell r="H1076" t="str">
            <v>PIERCE COUNTY SALES 9.3%</v>
          </cell>
          <cell r="I1076" t="str">
            <v>9.3% WA STATE SALES TAX</v>
          </cell>
        </row>
        <row r="1077">
          <cell r="H1077" t="str">
            <v>PIERCE REFUSE TAX</v>
          </cell>
          <cell r="I1077" t="str">
            <v>3.6% WA STATE REFUSE TAX</v>
          </cell>
        </row>
        <row r="1078">
          <cell r="H1078" t="str">
            <v>PIERCE STATE SALES TAX</v>
          </cell>
          <cell r="I1078" t="str">
            <v>9.9% WA STATE SALES TAX</v>
          </cell>
        </row>
        <row r="1079">
          <cell r="H1079" t="str">
            <v xml:space="preserve">PIERCE COUNTY REFUSE </v>
          </cell>
          <cell r="I1079" t="str">
            <v>3.6% PIERCE COUNTY REFUSE</v>
          </cell>
        </row>
        <row r="1080">
          <cell r="H1080" t="str">
            <v xml:space="preserve">PIERCE COUNTY REFUSE  </v>
          </cell>
          <cell r="I1080" t="str">
            <v>3.6% PIERCE COUNTY REFUSE</v>
          </cell>
        </row>
        <row r="1081">
          <cell r="H1081" t="str">
            <v>PIERCE COUNTY REFUSE</v>
          </cell>
          <cell r="I1081" t="str">
            <v>3.6% PIERCE COUNTY REFUSE</v>
          </cell>
        </row>
        <row r="1082">
          <cell r="H1082" t="str">
            <v>PIERCE REFUSE TAX</v>
          </cell>
          <cell r="I1082" t="str">
            <v>3.6% WA STATE REFUSE TAX</v>
          </cell>
        </row>
        <row r="1083">
          <cell r="H1083" t="str">
            <v>PIERCE STATE SALES TAX</v>
          </cell>
          <cell r="I1083" t="str">
            <v>9.9% WA STATE SALES TAX</v>
          </cell>
        </row>
        <row r="1084">
          <cell r="H1084" t="str">
            <v xml:space="preserve">PIERCE COUNTY REFUSE </v>
          </cell>
          <cell r="I1084" t="str">
            <v>3.6% PIERCE COUNTY REFUSE</v>
          </cell>
        </row>
        <row r="1085">
          <cell r="H1085" t="str">
            <v xml:space="preserve">PIERCE COUNTY REFUSE  </v>
          </cell>
          <cell r="I1085" t="str">
            <v>3.6% PIERCE COUNTY REFUSE</v>
          </cell>
        </row>
        <row r="1086">
          <cell r="H1086" t="str">
            <v>PIERCE COUNTY REFUSE</v>
          </cell>
          <cell r="I1086" t="str">
            <v>3.6% PIERCE COUNTY REFUSE</v>
          </cell>
        </row>
        <row r="1087">
          <cell r="H1087" t="str">
            <v>PIERCE REFUSE TAX</v>
          </cell>
          <cell r="I1087" t="str">
            <v>3.6% WA STATE REFUSE TAX</v>
          </cell>
        </row>
        <row r="1088">
          <cell r="H1088" t="str">
            <v xml:space="preserve">PIERCE COUNTY REFUSE </v>
          </cell>
          <cell r="I1088" t="str">
            <v>3.6% PIERCE COUNTY REFUSE</v>
          </cell>
        </row>
        <row r="1089">
          <cell r="H1089" t="str">
            <v xml:space="preserve">PIERCE COUNTY REFUSE  </v>
          </cell>
          <cell r="I1089" t="str">
            <v>3.6% PIERCE COUNTY REFUSE</v>
          </cell>
        </row>
        <row r="1090">
          <cell r="H1090" t="str">
            <v>PIERCE COUNTY REFUSE</v>
          </cell>
          <cell r="I1090" t="str">
            <v>3.6% PIERCE COUNTY REFUSE</v>
          </cell>
        </row>
        <row r="1091">
          <cell r="H1091" t="str">
            <v>PIERCE REFUSE TAX</v>
          </cell>
          <cell r="I1091" t="str">
            <v>3.6% WA STATE REFUSE TAX</v>
          </cell>
        </row>
        <row r="1092">
          <cell r="H1092" t="str">
            <v xml:space="preserve">PIERCE COUNTY REFUSE </v>
          </cell>
          <cell r="I1092" t="str">
            <v>3.6% PIERCE COUNTY REFUSE</v>
          </cell>
        </row>
        <row r="1093">
          <cell r="H1093" t="str">
            <v xml:space="preserve">PIERCE COUNTY REFUSE  </v>
          </cell>
          <cell r="I1093" t="str">
            <v>3.6% PIERCE COUNTY REFUSE</v>
          </cell>
        </row>
        <row r="1094">
          <cell r="H1094" t="str">
            <v>PIERCE COUNTY SALES 7.9%</v>
          </cell>
          <cell r="I1094" t="str">
            <v>7.9% WA STATE SALES TAX</v>
          </cell>
        </row>
        <row r="1095">
          <cell r="H1095" t="str">
            <v>PIERCE COUNTY SALES 9.3%</v>
          </cell>
          <cell r="I1095" t="str">
            <v>9.3% WA STATE SALES TAX</v>
          </cell>
        </row>
        <row r="1096">
          <cell r="H1096" t="str">
            <v>PIERCE REFUSE TAX</v>
          </cell>
          <cell r="I1096" t="str">
            <v>3.6% WA STATE REFUSE TAX</v>
          </cell>
        </row>
        <row r="1097">
          <cell r="H1097" t="str">
            <v>PIERCE STATE SALES TAX</v>
          </cell>
          <cell r="I1097" t="str">
            <v>9.9% WA STATE SALES TAX</v>
          </cell>
        </row>
        <row r="1098">
          <cell r="H1098" t="str">
            <v>PIERCE REFUSE TAX</v>
          </cell>
          <cell r="I1098" t="str">
            <v>3.6% WA STATE REFUSE TAX</v>
          </cell>
        </row>
        <row r="1099">
          <cell r="H1099" t="str">
            <v>FINCHG</v>
          </cell>
          <cell r="I1099" t="str">
            <v>LATE FEE</v>
          </cell>
        </row>
        <row r="1100">
          <cell r="H1100" t="str">
            <v>BD</v>
          </cell>
          <cell r="I1100" t="str">
            <v>BAD DEBT WRITE OFF</v>
          </cell>
        </row>
        <row r="1101">
          <cell r="H1101" t="str">
            <v>BDR</v>
          </cell>
          <cell r="I1101" t="str">
            <v>BAD DEBT RECOVERY</v>
          </cell>
        </row>
        <row r="1102">
          <cell r="H1102" t="str">
            <v>COLLFEE</v>
          </cell>
          <cell r="I1102" t="str">
            <v>COLLECTION AGENCY FEE</v>
          </cell>
        </row>
        <row r="1103">
          <cell r="H1103" t="str">
            <v>FINCHG</v>
          </cell>
          <cell r="I1103" t="str">
            <v>LATE FEE</v>
          </cell>
        </row>
        <row r="1104">
          <cell r="H1104" t="str">
            <v>MM</v>
          </cell>
          <cell r="I1104" t="str">
            <v>ADJUST BALANCE (MM)</v>
          </cell>
        </row>
        <row r="1105">
          <cell r="H1105" t="str">
            <v>MM</v>
          </cell>
          <cell r="I1105" t="str">
            <v>ADJUST BALANCE (MM)</v>
          </cell>
        </row>
        <row r="1106">
          <cell r="H1106" t="str">
            <v>REFUND</v>
          </cell>
          <cell r="I1106" t="str">
            <v>REFUND</v>
          </cell>
        </row>
        <row r="1107">
          <cell r="H1107" t="str">
            <v>ACCESS-COMM</v>
          </cell>
          <cell r="I1107" t="str">
            <v>ACCESS FEE - COMM</v>
          </cell>
        </row>
        <row r="1108">
          <cell r="H1108" t="str">
            <v>DONATIONC</v>
          </cell>
          <cell r="I1108" t="str">
            <v>DONATED SERVICE COMM</v>
          </cell>
        </row>
        <row r="1109">
          <cell r="H1109" t="str">
            <v>DRIVEIN1-COMM</v>
          </cell>
          <cell r="I1109" t="str">
            <v>DRIVE IN 125-250' - COMM</v>
          </cell>
        </row>
        <row r="1110">
          <cell r="H1110" t="str">
            <v>FL001.0Y1W001</v>
          </cell>
          <cell r="I1110" t="str">
            <v>1 YD 1X WK 1</v>
          </cell>
        </row>
        <row r="1111">
          <cell r="H1111" t="str">
            <v>FL001.0Y1W001MF</v>
          </cell>
          <cell r="I1111" t="str">
            <v>1 YD 1X WK MULTI-FAMILY 1</v>
          </cell>
        </row>
        <row r="1112">
          <cell r="H1112" t="str">
            <v>FL001.5Y1W001</v>
          </cell>
          <cell r="I1112" t="str">
            <v>1.5 YD 1X WK 1</v>
          </cell>
        </row>
        <row r="1113">
          <cell r="H1113" t="str">
            <v>FL001.5Y1W001MF</v>
          </cell>
          <cell r="I1113" t="str">
            <v>1.5 YD 1X WK MULTI-FAMILY 1</v>
          </cell>
        </row>
        <row r="1114">
          <cell r="H1114" t="str">
            <v>FL001.5Y2W001</v>
          </cell>
          <cell r="I1114" t="str">
            <v>1.5 YD 2X WK 1</v>
          </cell>
        </row>
        <row r="1115">
          <cell r="H1115" t="str">
            <v>FL001.5Y2W001MF</v>
          </cell>
          <cell r="I1115" t="str">
            <v>1.5 YD 2X WK MULTI-FAMILY 1</v>
          </cell>
        </row>
        <row r="1116">
          <cell r="H1116" t="str">
            <v>FL002.0Y1W001</v>
          </cell>
          <cell r="I1116" t="str">
            <v>2 YD 1X WK 1</v>
          </cell>
        </row>
        <row r="1117">
          <cell r="H1117" t="str">
            <v>FL002.0Y1W001MF</v>
          </cell>
          <cell r="I1117" t="str">
            <v>2 YD 1X WK MULTI-FAMILY 1</v>
          </cell>
        </row>
        <row r="1118">
          <cell r="H1118" t="str">
            <v>FL002.0Y2W001</v>
          </cell>
          <cell r="I1118" t="str">
            <v>2 YD 2X WK 1</v>
          </cell>
        </row>
        <row r="1119">
          <cell r="H1119" t="str">
            <v>FL002.0Y2W001MF</v>
          </cell>
          <cell r="I1119" t="str">
            <v>2 YD 2X WK MULTI-FAMILY 1</v>
          </cell>
        </row>
        <row r="1120">
          <cell r="H1120" t="str">
            <v>FL003.0Y1W001MF</v>
          </cell>
          <cell r="I1120" t="str">
            <v>3 YD 1X WK MULTI-FAMILY 1</v>
          </cell>
        </row>
        <row r="1121">
          <cell r="H1121" t="str">
            <v>FL004.0Y1W001</v>
          </cell>
          <cell r="I1121" t="str">
            <v>4 YD 1X WK 1</v>
          </cell>
        </row>
        <row r="1122">
          <cell r="H1122" t="str">
            <v>FL004.0Y1W001MF</v>
          </cell>
          <cell r="I1122" t="str">
            <v>4 YD 1X WK MULTI-FAMILY 1</v>
          </cell>
        </row>
        <row r="1123">
          <cell r="H1123" t="str">
            <v>FL004.0Y2W001MF</v>
          </cell>
          <cell r="I1123" t="str">
            <v>4 YD 2X WK MULTI-FAMILY 1</v>
          </cell>
        </row>
        <row r="1124">
          <cell r="H1124" t="str">
            <v>FL006.0Y1W001</v>
          </cell>
          <cell r="I1124" t="str">
            <v>6 YD 1X WK 1</v>
          </cell>
        </row>
        <row r="1125">
          <cell r="H1125" t="str">
            <v>FL006.0Y1W001MF</v>
          </cell>
          <cell r="I1125" t="str">
            <v>6 YD 1X WK MULTI-FAMILY 1</v>
          </cell>
        </row>
        <row r="1126">
          <cell r="H1126" t="str">
            <v>FL006.0Y2W001</v>
          </cell>
          <cell r="I1126" t="str">
            <v>6 YD 2X WK 1</v>
          </cell>
        </row>
        <row r="1127">
          <cell r="H1127" t="str">
            <v>GWCOMM</v>
          </cell>
          <cell r="I1127" t="str">
            <v>GREENWASTE SERVICE - COMM</v>
          </cell>
        </row>
        <row r="1128">
          <cell r="H1128" t="str">
            <v>RL032.0G1W001WRECC</v>
          </cell>
          <cell r="I1128" t="str">
            <v>32 GL 1X WK W/RECY COMM 1</v>
          </cell>
        </row>
        <row r="1129">
          <cell r="H1129" t="str">
            <v>RL032.0G1W002WRECC</v>
          </cell>
          <cell r="I1129" t="str">
            <v>32 GL 1X WK W/RECY COMM 2</v>
          </cell>
        </row>
        <row r="1130">
          <cell r="H1130" t="str">
            <v>RL032.0G1W006WRECC</v>
          </cell>
          <cell r="I1130" t="str">
            <v>32 GL 1X WK W/RECY COMM 6</v>
          </cell>
        </row>
        <row r="1131">
          <cell r="H1131" t="str">
            <v>SL065.0G1W001WRECC</v>
          </cell>
          <cell r="I1131" t="str">
            <v>65 GL 1X WK W/RECY COMM 1</v>
          </cell>
        </row>
        <row r="1132">
          <cell r="H1132" t="str">
            <v>SL065.0GEO001WRECC</v>
          </cell>
          <cell r="I1132" t="str">
            <v>65 GL EOW W/RECY COMM 1</v>
          </cell>
        </row>
        <row r="1133">
          <cell r="H1133" t="str">
            <v>SL095.0G1W001WRECC</v>
          </cell>
          <cell r="I1133" t="str">
            <v>95 GL 1X WK W/RECY COMM 1</v>
          </cell>
        </row>
        <row r="1134">
          <cell r="H1134" t="str">
            <v>SL095.0GEO001WRECC</v>
          </cell>
          <cell r="I1134" t="str">
            <v>95 GL EOW W/RECY COMM 1</v>
          </cell>
        </row>
        <row r="1135">
          <cell r="H1135" t="str">
            <v>WI1-COMM</v>
          </cell>
          <cell r="I1135" t="str">
            <v>WALK IN 6-25' - COMM</v>
          </cell>
        </row>
        <row r="1136">
          <cell r="H1136" t="str">
            <v>CLEAN2-COMM</v>
          </cell>
          <cell r="I1136" t="str">
            <v>CLEANING FEE 2 YD - COMM</v>
          </cell>
        </row>
        <row r="1137">
          <cell r="H1137" t="str">
            <v>DEL-COMM</v>
          </cell>
          <cell r="I1137" t="str">
            <v>DELIVERY FEE - COMM</v>
          </cell>
        </row>
        <row r="1138">
          <cell r="H1138" t="str">
            <v>DEL2TEMP-COMM</v>
          </cell>
          <cell r="I1138" t="str">
            <v xml:space="preserve">DELIVERY FEE 2 YD TEMP - </v>
          </cell>
        </row>
        <row r="1139">
          <cell r="H1139" t="str">
            <v>EXTRA-COMM</v>
          </cell>
          <cell r="I1139" t="str">
            <v>EXTRA CAN, BAG, BOX - COM</v>
          </cell>
        </row>
        <row r="1140">
          <cell r="H1140" t="str">
            <v>EXTRAGRAD1-COMM</v>
          </cell>
          <cell r="I1140" t="str">
            <v>EXTRAS GRADUATED 1-2 - COMM</v>
          </cell>
        </row>
        <row r="1141">
          <cell r="H1141" t="str">
            <v>FL002.0YXX001TEMPC</v>
          </cell>
          <cell r="I1141" t="str">
            <v xml:space="preserve">2 YD TEMP </v>
          </cell>
        </row>
        <row r="1142">
          <cell r="H1142" t="str">
            <v>REINSTATE-COMM</v>
          </cell>
          <cell r="I1142" t="str">
            <v>REINSTATE FEE - COMM</v>
          </cell>
        </row>
        <row r="1143">
          <cell r="H1143" t="str">
            <v>RENT2TEMP-COMM</v>
          </cell>
          <cell r="I1143" t="str">
            <v>RENT 2 YD TEMP - COMM</v>
          </cell>
        </row>
        <row r="1144">
          <cell r="H1144" t="str">
            <v>SP2-COMM</v>
          </cell>
          <cell r="I1144" t="str">
            <v>SPECIAL PICK UP 2 YD - CO</v>
          </cell>
        </row>
        <row r="1145">
          <cell r="H1145" t="str">
            <v>FL002.0Y1W001BCMGL</v>
          </cell>
          <cell r="I1145" t="str">
            <v>2 YD 1X WK BUS CMGL 1</v>
          </cell>
        </row>
        <row r="1146">
          <cell r="H1146" t="str">
            <v>FL002.0Y1W001BOCC</v>
          </cell>
          <cell r="I1146" t="str">
            <v>2 YD 1X WK BUS OCC 1</v>
          </cell>
        </row>
        <row r="1147">
          <cell r="H1147" t="str">
            <v>FL002.0Y1W001SCMGL</v>
          </cell>
          <cell r="I1147" t="str">
            <v>2 YD 1X WK SCHL CMGL 1</v>
          </cell>
        </row>
        <row r="1148">
          <cell r="H1148" t="str">
            <v>FL002.0Y2W001BCMGL</v>
          </cell>
          <cell r="I1148" t="str">
            <v>2 YD 2X WK BUS CMGL 1</v>
          </cell>
        </row>
        <row r="1149">
          <cell r="H1149" t="str">
            <v>FL002.0Y2W001SCMGL</v>
          </cell>
          <cell r="I1149" t="str">
            <v>2 YD 2X WK SCHL CMGL 1</v>
          </cell>
        </row>
        <row r="1150">
          <cell r="H1150" t="str">
            <v>FL006.0Y2W001SCMGL</v>
          </cell>
          <cell r="I1150" t="str">
            <v>6 YD 2X WK SCHL CMGL 1</v>
          </cell>
        </row>
        <row r="1151">
          <cell r="H1151" t="str">
            <v>MFWBINS</v>
          </cell>
          <cell r="I1151" t="str">
            <v>MULTI-FAMILY REC UNIT W/B</v>
          </cell>
        </row>
        <row r="1152">
          <cell r="H1152" t="str">
            <v>SL096.0G1W001BCMGLOUT</v>
          </cell>
          <cell r="I1152" t="str">
            <v>96 GL WKLY BUS CMGL OUT</v>
          </cell>
        </row>
        <row r="1153">
          <cell r="H1153" t="str">
            <v>SL096.0G1W001SCMGLOUT</v>
          </cell>
          <cell r="I1153" t="str">
            <v>96 GL WKLY SCHL CMGL OUT</v>
          </cell>
        </row>
        <row r="1154">
          <cell r="H1154" t="str">
            <v>SL096.0GEO001BCMGLOUT</v>
          </cell>
          <cell r="I1154" t="str">
            <v>96 GL EOW BUS CMGL OUT</v>
          </cell>
        </row>
        <row r="1155">
          <cell r="H1155" t="str">
            <v>SL096.0GEO001SCMGLOUT</v>
          </cell>
          <cell r="I1155" t="str">
            <v>96 GL EOW SCHL CMGL OUT</v>
          </cell>
        </row>
        <row r="1156">
          <cell r="H1156" t="str">
            <v>CC-KOL</v>
          </cell>
          <cell r="I1156" t="str">
            <v>ONLINE PAYMENT-CC</v>
          </cell>
        </row>
        <row r="1157">
          <cell r="H1157" t="str">
            <v>CCREF-KOL</v>
          </cell>
          <cell r="I1157" t="str">
            <v>CREDIT CARD REFUND</v>
          </cell>
        </row>
        <row r="1158">
          <cell r="H1158" t="str">
            <v>PAY</v>
          </cell>
          <cell r="I1158" t="str">
            <v>PAYMENT THANK YOU</v>
          </cell>
        </row>
        <row r="1159">
          <cell r="H1159" t="str">
            <v>PAY-CFREE</v>
          </cell>
          <cell r="I1159" t="str">
            <v>CHECKFREE PAYMENT</v>
          </cell>
        </row>
        <row r="1160">
          <cell r="H1160" t="str">
            <v>PAY-KOL</v>
          </cell>
          <cell r="I1160" t="str">
            <v>PAYMENT-THANK YOU - OL</v>
          </cell>
        </row>
        <row r="1161">
          <cell r="H1161" t="str">
            <v>PAY-ORCC</v>
          </cell>
          <cell r="I1161" t="str">
            <v>ORCC PAYMENT</v>
          </cell>
        </row>
        <row r="1162">
          <cell r="H1162" t="str">
            <v>PAY-RPPS</v>
          </cell>
          <cell r="I1162" t="str">
            <v>RPPS MASTERCARD PAYMENT</v>
          </cell>
        </row>
        <row r="1163">
          <cell r="H1163" t="str">
            <v>PAYL</v>
          </cell>
          <cell r="I1163" t="str">
            <v>PAYMENT THANK YOU</v>
          </cell>
        </row>
        <row r="1164">
          <cell r="H1164" t="str">
            <v>PAYMET</v>
          </cell>
          <cell r="I1164" t="str">
            <v>METAVANTE ONLINE PAYMENT</v>
          </cell>
        </row>
        <row r="1165">
          <cell r="H1165" t="str">
            <v>PAYUSBL</v>
          </cell>
          <cell r="I1165" t="str">
            <v>PAYMENT THANK YOU</v>
          </cell>
        </row>
        <row r="1166">
          <cell r="H1166" t="str">
            <v>RET-KOL</v>
          </cell>
          <cell r="I1166" t="str">
            <v>ONLINE PAYMENT RETURN</v>
          </cell>
        </row>
        <row r="1167">
          <cell r="H1167" t="str">
            <v>DRIVEIN1-RES</v>
          </cell>
          <cell r="I1167" t="str">
            <v>DRIVE IN 1 - RES</v>
          </cell>
        </row>
        <row r="1168">
          <cell r="H1168" t="str">
            <v>DRIVEIN2-RES</v>
          </cell>
          <cell r="I1168" t="str">
            <v>DRIVE IN 2 - RES</v>
          </cell>
        </row>
        <row r="1169">
          <cell r="H1169" t="str">
            <v>GW3RES</v>
          </cell>
          <cell r="I1169" t="str">
            <v>GREENWASTE SVC 3 - RES</v>
          </cell>
        </row>
        <row r="1170">
          <cell r="H1170" t="str">
            <v>GWRES</v>
          </cell>
          <cell r="I1170" t="str">
            <v>GREENWASTE SERVICE - RES</v>
          </cell>
        </row>
        <row r="1171">
          <cell r="H1171" t="str">
            <v>RECBINONLYR</v>
          </cell>
          <cell r="I1171" t="str">
            <v>RECYCLE SERVICE ONLY</v>
          </cell>
        </row>
        <row r="1172">
          <cell r="H1172" t="str">
            <v>RL010.0G1W001WREC</v>
          </cell>
          <cell r="I1172" t="str">
            <v>10 GL 1X WK RECYCLE 1</v>
          </cell>
        </row>
        <row r="1173">
          <cell r="H1173" t="str">
            <v>RL020.0G1W001</v>
          </cell>
          <cell r="I1173" t="str">
            <v>20 GL 1X WK 1</v>
          </cell>
        </row>
        <row r="1174">
          <cell r="H1174" t="str">
            <v>RL032.0G1W001WREC</v>
          </cell>
          <cell r="I1174" t="str">
            <v>32 GL 1X WK W/RECY 1</v>
          </cell>
        </row>
        <row r="1175">
          <cell r="H1175" t="str">
            <v>RL032.0G1W002WREC</v>
          </cell>
          <cell r="I1175" t="str">
            <v>32 GL 1X WK W/RECY 2</v>
          </cell>
        </row>
        <row r="1176">
          <cell r="H1176" t="str">
            <v>RL032.0G1W003WREC</v>
          </cell>
          <cell r="I1176" t="str">
            <v>32 GL 1X WK W/RECY 3</v>
          </cell>
        </row>
        <row r="1177">
          <cell r="H1177" t="str">
            <v>RL032.0G1W004WREC</v>
          </cell>
          <cell r="I1177" t="str">
            <v>32 GL 1X WK W/RECY 4</v>
          </cell>
        </row>
        <row r="1178">
          <cell r="H1178" t="str">
            <v>SL032.0G1W001FOOD</v>
          </cell>
          <cell r="I1178" t="str">
            <v>32 GL 1X WK FOOD 1</v>
          </cell>
        </row>
        <row r="1179">
          <cell r="H1179" t="str">
            <v>SL035.0G1W001WREC</v>
          </cell>
          <cell r="I1179" t="str">
            <v>35 GL 1X WK W/ RECY 1</v>
          </cell>
        </row>
        <row r="1180">
          <cell r="H1180" t="str">
            <v>SL065.0G1M001WREC</v>
          </cell>
          <cell r="I1180" t="str">
            <v>65 GL 1X MO W/RECY 1</v>
          </cell>
        </row>
        <row r="1181">
          <cell r="H1181" t="str">
            <v>SL065.0G1W001WREC</v>
          </cell>
          <cell r="I1181" t="str">
            <v>65 GL 1X WK W/RECY 1</v>
          </cell>
        </row>
        <row r="1182">
          <cell r="H1182" t="str">
            <v>SL065.0GEO001WREC</v>
          </cell>
          <cell r="I1182" t="str">
            <v>65 GL EOW W/RECY 1</v>
          </cell>
        </row>
        <row r="1183">
          <cell r="H1183" t="str">
            <v>SL095.0G1W001WREC</v>
          </cell>
          <cell r="I1183" t="str">
            <v>95 GL 1X WK W/RECY 1</v>
          </cell>
        </row>
        <row r="1184">
          <cell r="H1184" t="str">
            <v>SL095.0GEO001WREC</v>
          </cell>
          <cell r="I1184" t="str">
            <v>95 GL EOW W/RECY 1</v>
          </cell>
        </row>
        <row r="1185">
          <cell r="H1185" t="str">
            <v>WI1-RES</v>
          </cell>
          <cell r="I1185" t="str">
            <v>WALK IN 6-25' - RES</v>
          </cell>
        </row>
        <row r="1186">
          <cell r="H1186" t="str">
            <v>BULKY-RES</v>
          </cell>
          <cell r="I1186" t="str">
            <v>BULKY ITEM PICK UP - RES</v>
          </cell>
        </row>
        <row r="1187">
          <cell r="H1187" t="str">
            <v>EXTRA-RES</v>
          </cell>
          <cell r="I1187" t="str">
            <v>EXTRA CAN, BAG, BOX - RES</v>
          </cell>
        </row>
        <row r="1188">
          <cell r="H1188" t="str">
            <v>GWRES</v>
          </cell>
          <cell r="I1188" t="str">
            <v>GREENWASTE SERVICE - RES</v>
          </cell>
        </row>
        <row r="1189">
          <cell r="H1189" t="str">
            <v>OW-RES</v>
          </cell>
          <cell r="I1189" t="str">
            <v>OVERFILL / OVERWEIGHT CAN</v>
          </cell>
        </row>
        <row r="1190">
          <cell r="H1190" t="str">
            <v>REINSTATE-RES</v>
          </cell>
          <cell r="I1190" t="str">
            <v>REINSTATE FEE - RES</v>
          </cell>
        </row>
        <row r="1191">
          <cell r="H1191" t="str">
            <v>RL032.0G1W001WREC</v>
          </cell>
          <cell r="I1191" t="str">
            <v>32 GL 1X WK W/RECY 1</v>
          </cell>
        </row>
        <row r="1192">
          <cell r="H1192" t="str">
            <v>RTRNCART65-RES</v>
          </cell>
          <cell r="I1192" t="str">
            <v>RETURN TRIP 65 GL - RES</v>
          </cell>
        </row>
        <row r="1193">
          <cell r="H1193" t="str">
            <v>SP65-RES</v>
          </cell>
          <cell r="I1193" t="str">
            <v>SPECIAL PICK UP 65 GL - R</v>
          </cell>
        </row>
        <row r="1194">
          <cell r="H1194" t="str">
            <v>SP95-RES</v>
          </cell>
          <cell r="I1194" t="str">
            <v>SPECIAL PICK UP 95 GL - R</v>
          </cell>
        </row>
        <row r="1195">
          <cell r="H1195" t="str">
            <v>LIDRO</v>
          </cell>
          <cell r="I1195" t="str">
            <v>LID CHARGE - RO</v>
          </cell>
        </row>
        <row r="1196">
          <cell r="H1196" t="str">
            <v>RENT20MO-RO</v>
          </cell>
          <cell r="I1196" t="str">
            <v>RENTAL FEE 20 YD MONTHLY</v>
          </cell>
        </row>
        <row r="1197">
          <cell r="H1197" t="str">
            <v>DISCO-CP</v>
          </cell>
          <cell r="I1197" t="str">
            <v xml:space="preserve">COMPACTOR DISCONNECT FEE </v>
          </cell>
        </row>
        <row r="1198">
          <cell r="H1198" t="str">
            <v>DISP-RO</v>
          </cell>
          <cell r="I1198" t="str">
            <v>DISPOSAL CHARGE - RO</v>
          </cell>
        </row>
        <row r="1199">
          <cell r="H1199" t="str">
            <v>DISPCMGL-RO</v>
          </cell>
          <cell r="I1199" t="str">
            <v xml:space="preserve">DISPOSAL FEE COMMINGLE - </v>
          </cell>
        </row>
        <row r="1200">
          <cell r="H1200" t="str">
            <v>DISPOCC-RO</v>
          </cell>
          <cell r="I1200" t="str">
            <v xml:space="preserve">DISPOSAL FEE CARDBOARD - </v>
          </cell>
        </row>
        <row r="1201">
          <cell r="H1201" t="str">
            <v>HAUL20-CP</v>
          </cell>
          <cell r="I1201" t="str">
            <v>COMPACTOR HAUL 20 YD - RO</v>
          </cell>
        </row>
        <row r="1202">
          <cell r="H1202" t="str">
            <v>HAUL25-CP</v>
          </cell>
          <cell r="I1202" t="str">
            <v>COMPACTOR HAUL 25 YD - RO</v>
          </cell>
        </row>
        <row r="1203">
          <cell r="H1203" t="str">
            <v>HAUL30-RO</v>
          </cell>
          <cell r="I1203" t="str">
            <v>HAUL 30 YD - RO</v>
          </cell>
        </row>
        <row r="1204">
          <cell r="H1204" t="str">
            <v>RENT20TEMP-RO</v>
          </cell>
          <cell r="I1204" t="str">
            <v>RENTAL FEE 20 YD TEMP - R</v>
          </cell>
        </row>
        <row r="1205">
          <cell r="H1205" t="str">
            <v>DISPGLASS-RO</v>
          </cell>
          <cell r="I1205" t="str">
            <v>DISPOSAL FEE GLASS - RO</v>
          </cell>
        </row>
        <row r="1206">
          <cell r="H1206" t="str">
            <v>HAUL30-RO</v>
          </cell>
          <cell r="I1206" t="str">
            <v>HAUL 30 YD - RO</v>
          </cell>
        </row>
        <row r="1207">
          <cell r="H1207" t="str">
            <v>COMMODITY SURCHARGE</v>
          </cell>
          <cell r="I1207" t="str">
            <v>COMMODITY SURCHARGE</v>
          </cell>
        </row>
        <row r="1208">
          <cell r="H1208" t="str">
            <v>STEILACOOM CITY  TAX</v>
          </cell>
          <cell r="I1208" t="str">
            <v>6% CITY UTILITY TAX</v>
          </cell>
        </row>
        <row r="1209">
          <cell r="H1209" t="str">
            <v>STEILACOOM REFUSE TAX</v>
          </cell>
          <cell r="I1209" t="str">
            <v>3.6% WA STATE REFUSE TAX</v>
          </cell>
        </row>
        <row r="1210">
          <cell r="H1210" t="str">
            <v>STEILACOOM CITY  TAX</v>
          </cell>
          <cell r="I1210" t="str">
            <v>6% CITY UTILITY TAX</v>
          </cell>
        </row>
        <row r="1211">
          <cell r="H1211" t="str">
            <v>STEILACOOM REFUSE TAX</v>
          </cell>
          <cell r="I1211" t="str">
            <v>3.6% WA STATE REFUSE TAX</v>
          </cell>
        </row>
        <row r="1212">
          <cell r="H1212" t="str">
            <v>STEILACOOM ST SALES TAX</v>
          </cell>
          <cell r="I1212" t="str">
            <v>9.9% WA STATE SALES TAX</v>
          </cell>
        </row>
        <row r="1213">
          <cell r="H1213" t="str">
            <v>STEILACOOM CITY  TAX</v>
          </cell>
          <cell r="I1213" t="str">
            <v>6% CITY UTILITY TAX</v>
          </cell>
        </row>
        <row r="1214">
          <cell r="H1214" t="str">
            <v>STEILACOOM REFUSE TAX</v>
          </cell>
          <cell r="I1214" t="str">
            <v>3.6% WA STATE REFUSE TAX</v>
          </cell>
        </row>
        <row r="1215">
          <cell r="H1215" t="str">
            <v>STEILACOOM ST SALES TAX</v>
          </cell>
          <cell r="I1215" t="str">
            <v>9.9% WA STATE SALES TAX</v>
          </cell>
        </row>
        <row r="1216">
          <cell r="H1216" t="str">
            <v>STEILACOOM CITY  TAX</v>
          </cell>
          <cell r="I1216" t="str">
            <v>6% CITY UTILITY TAX</v>
          </cell>
        </row>
        <row r="1217">
          <cell r="H1217" t="str">
            <v>STEILACOOM REFUSE TAX</v>
          </cell>
          <cell r="I1217" t="str">
            <v>3.6% WA STATE REFUSE TAX</v>
          </cell>
        </row>
        <row r="1218">
          <cell r="H1218" t="str">
            <v>STEILACOOM CITY  TAX</v>
          </cell>
          <cell r="I1218" t="str">
            <v>6% CITY UTILITY TAX</v>
          </cell>
        </row>
        <row r="1219">
          <cell r="H1219" t="str">
            <v>STEILACOOM REFUSE TAX</v>
          </cell>
          <cell r="I1219" t="str">
            <v>3.6% WA STATE REFUSE TAX</v>
          </cell>
        </row>
        <row r="1220">
          <cell r="H1220" t="str">
            <v>STEILACOOM ST SALES TAX</v>
          </cell>
          <cell r="I1220" t="str">
            <v>9.9% WA STATE SALES TAX</v>
          </cell>
        </row>
        <row r="1221">
          <cell r="H1221" t="str">
            <v>STEILACOOM CITY  TAX</v>
          </cell>
          <cell r="I1221" t="str">
            <v>6% CITY UTILITY TAX</v>
          </cell>
        </row>
        <row r="1222">
          <cell r="H1222" t="str">
            <v>STEILACOOM REFUSE TAX</v>
          </cell>
          <cell r="I1222" t="str">
            <v>3.6% WA STATE REFUSE TAX</v>
          </cell>
        </row>
        <row r="1223">
          <cell r="H1223" t="str">
            <v>BD</v>
          </cell>
          <cell r="I1223" t="str">
            <v>BAD DEBT WRITE OFF</v>
          </cell>
        </row>
        <row r="1224">
          <cell r="H1224" t="str">
            <v>FINCHG</v>
          </cell>
          <cell r="I1224" t="str">
            <v>LATE FEE</v>
          </cell>
        </row>
        <row r="1225">
          <cell r="H1225" t="str">
            <v>FINCHG</v>
          </cell>
          <cell r="I1225" t="str">
            <v>LATE FEE</v>
          </cell>
        </row>
        <row r="1226">
          <cell r="H1226" t="str">
            <v>ACCESS-COMM</v>
          </cell>
          <cell r="I1226" t="str">
            <v>ACCESS FEE - COMM</v>
          </cell>
        </row>
        <row r="1227">
          <cell r="H1227" t="str">
            <v>FL001.0Y1W001</v>
          </cell>
          <cell r="I1227" t="str">
            <v>1 YD 1X WK 1</v>
          </cell>
        </row>
        <row r="1228">
          <cell r="H1228" t="str">
            <v>FL001.5Y1W001</v>
          </cell>
          <cell r="I1228" t="str">
            <v>1.5 YD 1X WK 1</v>
          </cell>
        </row>
        <row r="1229">
          <cell r="H1229" t="str">
            <v>FL002.0Y1W001</v>
          </cell>
          <cell r="I1229" t="str">
            <v>2 YD 1X WK 1</v>
          </cell>
        </row>
        <row r="1230">
          <cell r="H1230" t="str">
            <v>FL002.0Y2W001</v>
          </cell>
          <cell r="I1230" t="str">
            <v>2 YD 2X WK 1</v>
          </cell>
        </row>
        <row r="1231">
          <cell r="H1231" t="str">
            <v>FL002.0Y4W001</v>
          </cell>
          <cell r="I1231" t="str">
            <v>2 YD 4X WK 1</v>
          </cell>
        </row>
        <row r="1232">
          <cell r="H1232" t="str">
            <v>FL003.0Y2W001</v>
          </cell>
          <cell r="I1232" t="str">
            <v>3 YD 2X WK 1</v>
          </cell>
        </row>
        <row r="1233">
          <cell r="H1233" t="str">
            <v>FL004.0Y1W001</v>
          </cell>
          <cell r="I1233" t="str">
            <v>4 YD 1X WK 1</v>
          </cell>
        </row>
        <row r="1234">
          <cell r="H1234" t="str">
            <v>FL006.0Y1W001</v>
          </cell>
          <cell r="I1234" t="str">
            <v>6 YD 1X WK 1</v>
          </cell>
        </row>
        <row r="1235">
          <cell r="H1235" t="str">
            <v>FL006.0Y2W001</v>
          </cell>
          <cell r="I1235" t="str">
            <v>6 YD 2X WK 1</v>
          </cell>
        </row>
        <row r="1236">
          <cell r="H1236" t="str">
            <v>SL065.0G1W001NORECC</v>
          </cell>
          <cell r="I1236" t="str">
            <v xml:space="preserve">65 GL 1X WK NO RECY COMM </v>
          </cell>
        </row>
        <row r="1237">
          <cell r="H1237" t="str">
            <v>SL065.0G1W001WRECC</v>
          </cell>
          <cell r="I1237" t="str">
            <v>65 GL 1X WK W/RECY COMM 1</v>
          </cell>
        </row>
        <row r="1238">
          <cell r="H1238" t="str">
            <v>SL065.0GEO001WRECC</v>
          </cell>
          <cell r="I1238" t="str">
            <v>65 GL EOW W/RECY COMM 1</v>
          </cell>
        </row>
        <row r="1239">
          <cell r="H1239" t="str">
            <v>SL095.0G1W001WRECC</v>
          </cell>
          <cell r="I1239" t="str">
            <v>95 GL 1X WK W/RECY COMM 1</v>
          </cell>
        </row>
        <row r="1240">
          <cell r="H1240" t="str">
            <v>EXTRA-COMM</v>
          </cell>
          <cell r="I1240" t="str">
            <v>EXTRA CAN, BAG, BOX - COM</v>
          </cell>
        </row>
        <row r="1241">
          <cell r="H1241" t="str">
            <v>EXTRAYDG-COM</v>
          </cell>
          <cell r="I1241" t="str">
            <v>EXTRA YARDAGE - COMM</v>
          </cell>
        </row>
        <row r="1242">
          <cell r="H1242" t="str">
            <v>SP6-COMM</v>
          </cell>
          <cell r="I1242" t="str">
            <v>SPECIAL PICK UP 6 YD - CO</v>
          </cell>
        </row>
        <row r="1243">
          <cell r="H1243" t="str">
            <v>FL005.0Y1W001BOCC</v>
          </cell>
          <cell r="I1243" t="str">
            <v>5 YD 1X WK BUS OCC 1</v>
          </cell>
        </row>
        <row r="1244">
          <cell r="H1244" t="str">
            <v>FL005.0Y3W001BOCC</v>
          </cell>
          <cell r="I1244" t="str">
            <v>5 YD 3X WK BUS OCC 1</v>
          </cell>
        </row>
        <row r="1245">
          <cell r="H1245" t="str">
            <v>MFWBINS</v>
          </cell>
          <cell r="I1245" t="str">
            <v>MULTI-FAMILY REC UNIT W/B</v>
          </cell>
        </row>
        <row r="1246">
          <cell r="H1246" t="str">
            <v>SL096.0G1W001BCMGLOUT</v>
          </cell>
          <cell r="I1246" t="str">
            <v>96 GL WKLY BUS CMGL OUT</v>
          </cell>
        </row>
        <row r="1247">
          <cell r="H1247" t="str">
            <v>SL096.0GEO001BCMGLOUT</v>
          </cell>
          <cell r="I1247" t="str">
            <v>96 GL EOW BUS CMGL OUT</v>
          </cell>
        </row>
        <row r="1248">
          <cell r="H1248" t="str">
            <v>CC-KOL</v>
          </cell>
          <cell r="I1248" t="str">
            <v>ONLINE PAYMENT-CC</v>
          </cell>
        </row>
        <row r="1249">
          <cell r="H1249" t="str">
            <v>PAY</v>
          </cell>
          <cell r="I1249" t="str">
            <v>PAYMENT THANK YOU</v>
          </cell>
        </row>
        <row r="1250">
          <cell r="H1250" t="str">
            <v>PAY-CFREE</v>
          </cell>
          <cell r="I1250" t="str">
            <v>CHECKFREE PAYMENT</v>
          </cell>
        </row>
        <row r="1251">
          <cell r="H1251" t="str">
            <v>PAY-KOL</v>
          </cell>
          <cell r="I1251" t="str">
            <v>PAYMENT-THANK YOU - OL</v>
          </cell>
        </row>
        <row r="1252">
          <cell r="H1252" t="str">
            <v>PAY-ORCC</v>
          </cell>
          <cell r="I1252" t="str">
            <v>ORCC PAYMENT</v>
          </cell>
        </row>
        <row r="1253">
          <cell r="H1253" t="str">
            <v>PAY-RPPS</v>
          </cell>
          <cell r="I1253" t="str">
            <v>RPPS MASTERCARD PAYMENT</v>
          </cell>
        </row>
        <row r="1254">
          <cell r="H1254" t="str">
            <v>PAYMET</v>
          </cell>
          <cell r="I1254" t="str">
            <v>METAVANTE ONLINE PAYMENT</v>
          </cell>
        </row>
        <row r="1255">
          <cell r="H1255" t="str">
            <v>PAYUSBL</v>
          </cell>
          <cell r="I1255" t="str">
            <v>PAYMENT THANK YOU</v>
          </cell>
        </row>
        <row r="1256">
          <cell r="H1256" t="str">
            <v>CC-KOL</v>
          </cell>
          <cell r="I1256" t="str">
            <v>ONLINE PAYMENT-CC</v>
          </cell>
        </row>
        <row r="1257">
          <cell r="H1257" t="str">
            <v>PAY</v>
          </cell>
          <cell r="I1257" t="str">
            <v>PAYMENT THANK YOU</v>
          </cell>
        </row>
        <row r="1258">
          <cell r="H1258" t="str">
            <v>PAY-CFREE</v>
          </cell>
          <cell r="I1258" t="str">
            <v>CHECKFREE PAYMENT</v>
          </cell>
        </row>
        <row r="1259">
          <cell r="H1259" t="str">
            <v>PAY-KOL</v>
          </cell>
          <cell r="I1259" t="str">
            <v>PAYMENT-THANK YOU - OL</v>
          </cell>
        </row>
        <row r="1260">
          <cell r="H1260" t="str">
            <v>PAYMET</v>
          </cell>
          <cell r="I1260" t="str">
            <v>METAVANTE ONLINE PAYMENT</v>
          </cell>
        </row>
        <row r="1261">
          <cell r="H1261" t="str">
            <v>PAYUSBL</v>
          </cell>
          <cell r="I1261" t="str">
            <v>PAYMENT THANK YOU</v>
          </cell>
        </row>
        <row r="1262">
          <cell r="H1262" t="str">
            <v>CC-KOL</v>
          </cell>
          <cell r="I1262" t="str">
            <v>ONLINE PAYMENT-CC</v>
          </cell>
        </row>
        <row r="1263">
          <cell r="H1263" t="str">
            <v>PAY</v>
          </cell>
          <cell r="I1263" t="str">
            <v>PAYMENT THANK YOU</v>
          </cell>
        </row>
        <row r="1264">
          <cell r="H1264" t="str">
            <v>PAY-CFREE</v>
          </cell>
          <cell r="I1264" t="str">
            <v>CHECKFREE PAYMENT</v>
          </cell>
        </row>
        <row r="1265">
          <cell r="H1265" t="str">
            <v>PAY-KOL</v>
          </cell>
          <cell r="I1265" t="str">
            <v>PAYMENT-THANK YOU - OL</v>
          </cell>
        </row>
        <row r="1266">
          <cell r="H1266" t="str">
            <v>PAY-OAK</v>
          </cell>
          <cell r="I1266" t="str">
            <v>OAKLEAF PAYMENT</v>
          </cell>
        </row>
        <row r="1267">
          <cell r="H1267" t="str">
            <v>PAY-RPPS</v>
          </cell>
          <cell r="I1267" t="str">
            <v>RPPS MASTERCARD PAYMENT</v>
          </cell>
        </row>
        <row r="1268">
          <cell r="H1268" t="str">
            <v>PAYMET</v>
          </cell>
          <cell r="I1268" t="str">
            <v>METAVANTE ONLINE PAYMENT</v>
          </cell>
        </row>
        <row r="1269">
          <cell r="H1269" t="str">
            <v>PAYUSBL</v>
          </cell>
          <cell r="I1269" t="str">
            <v>PAYMENT THANK YOU</v>
          </cell>
        </row>
        <row r="1270">
          <cell r="H1270" t="str">
            <v>GWRES</v>
          </cell>
          <cell r="I1270" t="str">
            <v>GREENWASTE SERVICE - RES</v>
          </cell>
        </row>
        <row r="1271">
          <cell r="H1271" t="str">
            <v>EXTRA-RES</v>
          </cell>
          <cell r="I1271" t="str">
            <v>EXTRA CAN, BAG, BOX - RES</v>
          </cell>
        </row>
        <row r="1272">
          <cell r="H1272" t="str">
            <v>OW-RES</v>
          </cell>
          <cell r="I1272" t="str">
            <v>OVERFILL / OVERWEIGHT CAN</v>
          </cell>
        </row>
        <row r="1273">
          <cell r="H1273" t="str">
            <v>REINSTATE-RES</v>
          </cell>
          <cell r="I1273" t="str">
            <v>REINSTATE FEE - RES</v>
          </cell>
        </row>
        <row r="1274">
          <cell r="H1274" t="str">
            <v>GWRES</v>
          </cell>
          <cell r="I1274" t="str">
            <v>GREENWASTE SERVICE - RES</v>
          </cell>
        </row>
        <row r="1275">
          <cell r="H1275" t="str">
            <v>RECBINONLYR</v>
          </cell>
          <cell r="I1275" t="str">
            <v>RECYCLE SERVICE ONLY</v>
          </cell>
        </row>
        <row r="1276">
          <cell r="H1276" t="str">
            <v>SL035.0GEO001WREC</v>
          </cell>
          <cell r="I1276" t="str">
            <v>35 GL EOW W/RECY 1</v>
          </cell>
        </row>
        <row r="1277">
          <cell r="H1277" t="str">
            <v>SL065.0G1W001WREC</v>
          </cell>
          <cell r="I1277" t="str">
            <v>65 GL 1X WK W/RECY 1</v>
          </cell>
        </row>
        <row r="1278">
          <cell r="H1278" t="str">
            <v>SL065.0GEO001NOREC</v>
          </cell>
          <cell r="I1278" t="str">
            <v>65 GL EOW NO RECY 1</v>
          </cell>
        </row>
        <row r="1279">
          <cell r="H1279" t="str">
            <v>SL065.0GEO001WREC</v>
          </cell>
          <cell r="I1279" t="str">
            <v>65 GL EOW W/RECY 1</v>
          </cell>
        </row>
        <row r="1280">
          <cell r="H1280" t="str">
            <v>SL095.0G1W001WREC</v>
          </cell>
          <cell r="I1280" t="str">
            <v>95 GL 1X WK W/RECY 1</v>
          </cell>
        </row>
        <row r="1281">
          <cell r="H1281" t="str">
            <v>EXTRA-RES</v>
          </cell>
          <cell r="I1281" t="str">
            <v>EXTRA CAN, BAG, BOX - RES</v>
          </cell>
        </row>
        <row r="1282">
          <cell r="H1282" t="str">
            <v>EXTRAGWC-RES</v>
          </cell>
          <cell r="I1282" t="str">
            <v>EXTRA GREENWASTE FEE - RE</v>
          </cell>
        </row>
        <row r="1283">
          <cell r="H1283" t="str">
            <v>OW-RES</v>
          </cell>
          <cell r="I1283" t="str">
            <v>OVERFILL / OVERWEIGHT CAN</v>
          </cell>
        </row>
        <row r="1284">
          <cell r="H1284" t="str">
            <v>RENT20MO-RO</v>
          </cell>
          <cell r="I1284" t="str">
            <v>RENTAL FEE 20 YD MONTHLY</v>
          </cell>
        </row>
        <row r="1285">
          <cell r="H1285" t="str">
            <v>DISCO-CP</v>
          </cell>
          <cell r="I1285" t="str">
            <v xml:space="preserve">COMPACTOR DISCONNECT FEE </v>
          </cell>
        </row>
        <row r="1286">
          <cell r="H1286" t="str">
            <v>DISP-RO</v>
          </cell>
          <cell r="I1286" t="str">
            <v>DISPOSAL CHARGE - RO</v>
          </cell>
        </row>
        <row r="1287">
          <cell r="H1287" t="str">
            <v>FINAL30TEMP-RO</v>
          </cell>
          <cell r="I1287" t="str">
            <v>FINAL PULL 30 YD TEMP - R</v>
          </cell>
        </row>
        <row r="1288">
          <cell r="H1288" t="str">
            <v>HAUL25-CP</v>
          </cell>
          <cell r="I1288" t="str">
            <v>COMPACTOR HAUL 25 YD - RO</v>
          </cell>
        </row>
        <row r="1289">
          <cell r="H1289" t="str">
            <v>RENT30TEMP-RO</v>
          </cell>
          <cell r="I1289" t="str">
            <v>RENTAL FEE 30 YD TEMP - R</v>
          </cell>
        </row>
        <row r="1290">
          <cell r="H1290" t="str">
            <v>COMMODITY SURCHARGE</v>
          </cell>
          <cell r="I1290" t="str">
            <v>COMMODITY SURCHARGE</v>
          </cell>
        </row>
        <row r="1291">
          <cell r="H1291" t="str">
            <v>UP CITY UTILITY TAX</v>
          </cell>
          <cell r="I1291" t="str">
            <v>6% CITY UTILITY TAX</v>
          </cell>
        </row>
        <row r="1292">
          <cell r="H1292" t="str">
            <v>UP CITY ONLY</v>
          </cell>
          <cell r="I1292" t="str">
            <v>6% CITY UTILITY TAX</v>
          </cell>
        </row>
        <row r="1293">
          <cell r="H1293" t="str">
            <v>UP CITY UTILITY TAX</v>
          </cell>
          <cell r="I1293" t="str">
            <v>6% CITY UTILITY TAX</v>
          </cell>
        </row>
        <row r="1294">
          <cell r="H1294" t="str">
            <v>UP REFUSE TAX</v>
          </cell>
          <cell r="I1294" t="str">
            <v>3.6% WA STATE REFUSE TAX</v>
          </cell>
        </row>
        <row r="1295">
          <cell r="H1295" t="str">
            <v>UP CITY UTILITY TAX</v>
          </cell>
          <cell r="I1295" t="str">
            <v>6% CITY UTILITY TAX</v>
          </cell>
        </row>
        <row r="1296">
          <cell r="H1296" t="str">
            <v>UP REFUSE TAX</v>
          </cell>
          <cell r="I1296" t="str">
            <v>3.6% WA STATE REFUSE TAX</v>
          </cell>
        </row>
        <row r="1297">
          <cell r="H1297" t="str">
            <v>UP CITY UTILITY TAX</v>
          </cell>
          <cell r="I1297" t="str">
            <v>6% CITY UTILITY TAX</v>
          </cell>
        </row>
        <row r="1298">
          <cell r="H1298" t="str">
            <v>UP REFUSE TAX</v>
          </cell>
          <cell r="I1298" t="str">
            <v>3.6% WA STATE REFUSE TAX</v>
          </cell>
        </row>
        <row r="1299">
          <cell r="H1299" t="str">
            <v>UP CITY UTILITY TAX</v>
          </cell>
          <cell r="I1299" t="str">
            <v>6% CITY UTILITY TAX</v>
          </cell>
        </row>
        <row r="1300">
          <cell r="H1300" t="str">
            <v>UP REFUSE TAX</v>
          </cell>
          <cell r="I1300" t="str">
            <v>3.6% WA STATE REFUSE TAX</v>
          </cell>
        </row>
        <row r="1301">
          <cell r="H1301" t="str">
            <v>UP CITY UTILITY TAX</v>
          </cell>
          <cell r="I1301" t="str">
            <v>6% CITY UTILITY TAX</v>
          </cell>
        </row>
        <row r="1302">
          <cell r="H1302" t="str">
            <v>UP REFUSE TAX</v>
          </cell>
          <cell r="I1302" t="str">
            <v>3.6% WA STATE REFUSE TAX</v>
          </cell>
        </row>
        <row r="1303">
          <cell r="H1303" t="str">
            <v>UP STATE SALES TAX</v>
          </cell>
          <cell r="I1303" t="str">
            <v>9.9% WA STATE SALES TAX</v>
          </cell>
        </row>
        <row r="1304">
          <cell r="H1304" t="str">
            <v>MM</v>
          </cell>
          <cell r="I1304" t="str">
            <v>ADJUST BALANCE (MM)</v>
          </cell>
        </row>
        <row r="1305">
          <cell r="H1305" t="str">
            <v>DISPFEDMSW-COMM</v>
          </cell>
          <cell r="I1305" t="str">
            <v>DISPOSAL FEDERAL MSW - CO</v>
          </cell>
        </row>
        <row r="1306">
          <cell r="H1306" t="str">
            <v>FL001.5Y1W001</v>
          </cell>
          <cell r="I1306" t="str">
            <v>1.5 YD 1X WK 1</v>
          </cell>
        </row>
        <row r="1307">
          <cell r="H1307" t="str">
            <v>CONTRACTEDC</v>
          </cell>
          <cell r="I1307" t="str">
            <v>CONTRACTED SERVICE - COMM</v>
          </cell>
        </row>
        <row r="1308">
          <cell r="H1308" t="str">
            <v>DISPMIX-COMM</v>
          </cell>
          <cell r="I1308" t="str">
            <v>DISPOSAL MIX CMGL OCC - COMM</v>
          </cell>
        </row>
        <row r="1309">
          <cell r="H1309" t="str">
            <v>DISPTONER-COMM</v>
          </cell>
          <cell r="I1309" t="str">
            <v>DISPOSAL TONER - COMM</v>
          </cell>
        </row>
        <row r="1310">
          <cell r="H1310" t="str">
            <v>PAYEFT</v>
          </cell>
          <cell r="I1310" t="str">
            <v>EFT PAYMENT</v>
          </cell>
        </row>
        <row r="1311">
          <cell r="H1311" t="str">
            <v>PAYICT</v>
          </cell>
          <cell r="I1311" t="str">
            <v>I/C PAYMENT THANK YOU</v>
          </cell>
        </row>
        <row r="1312">
          <cell r="H1312" t="str">
            <v>DISPCMGL-RES</v>
          </cell>
          <cell r="I1312" t="str">
            <v>DISPOSAL COMINGLE - RES</v>
          </cell>
        </row>
        <row r="1313">
          <cell r="H1313" t="str">
            <v>DISPASB-RO</v>
          </cell>
          <cell r="I1313" t="str">
            <v>DISPOSAL FEE ASBESTOS - R</v>
          </cell>
        </row>
        <row r="1314">
          <cell r="H1314" t="str">
            <v>DISPBATT-RO</v>
          </cell>
          <cell r="I1314" t="str">
            <v>DISPOSAL BATTERIES - RO</v>
          </cell>
        </row>
        <row r="1315">
          <cell r="H1315" t="str">
            <v>DISPBOOKS-RO</v>
          </cell>
          <cell r="I1315" t="str">
            <v>DISPOSAL BOOKS - RO</v>
          </cell>
        </row>
        <row r="1316">
          <cell r="H1316" t="str">
            <v>DISPCMGL-RO</v>
          </cell>
          <cell r="I1316" t="str">
            <v xml:space="preserve">DISPOSAL FEE COMMINGLE - </v>
          </cell>
        </row>
        <row r="1317">
          <cell r="H1317" t="str">
            <v>DISPEWASTE-RO</v>
          </cell>
          <cell r="I1317" t="str">
            <v>DISPOSAL FEE EWASTE - RO</v>
          </cell>
        </row>
        <row r="1318">
          <cell r="H1318" t="str">
            <v>DISPFEDMSW-RO</v>
          </cell>
          <cell r="I1318" t="str">
            <v xml:space="preserve">DISPOSAL FEE FEDERAL MSW </v>
          </cell>
        </row>
        <row r="1319">
          <cell r="H1319" t="str">
            <v>DISPFOOD-RO</v>
          </cell>
          <cell r="I1319" t="str">
            <v>DISPOSAL FEE FOOD WASTE -</v>
          </cell>
        </row>
        <row r="1320">
          <cell r="H1320" t="str">
            <v>DISPGLASS-RO</v>
          </cell>
          <cell r="I1320" t="str">
            <v>DISPOSAL FEE GLASS - RO</v>
          </cell>
        </row>
        <row r="1321">
          <cell r="H1321" t="str">
            <v>DISPGW-RO</v>
          </cell>
          <cell r="I1321" t="str">
            <v>DISPOSAL FEE GREENWASTE -</v>
          </cell>
        </row>
        <row r="1322">
          <cell r="H1322" t="str">
            <v>DISPMETAL-RO</v>
          </cell>
          <cell r="I1322" t="str">
            <v>DISPOSAL FEE METAL - RO</v>
          </cell>
        </row>
        <row r="1323">
          <cell r="H1323" t="str">
            <v>DISPOCC-RO</v>
          </cell>
          <cell r="I1323" t="str">
            <v xml:space="preserve">DISPOSAL FEE CARDBOARD - </v>
          </cell>
        </row>
        <row r="1324">
          <cell r="H1324" t="str">
            <v>DISPTEX-RO</v>
          </cell>
          <cell r="I1324" t="str">
            <v>DISPOSAL TEXTILE - RO</v>
          </cell>
        </row>
        <row r="1325">
          <cell r="H1325" t="str">
            <v>DISPWD-RO</v>
          </cell>
          <cell r="I1325" t="str">
            <v>DISPOSAL FEE WOOD - RO</v>
          </cell>
        </row>
        <row r="1326">
          <cell r="H1326" t="str">
            <v>HAUL50-RO</v>
          </cell>
          <cell r="I1326" t="str">
            <v>HAUL 50 YD - RO</v>
          </cell>
        </row>
        <row r="1327">
          <cell r="H1327" t="str">
            <v>FINCHG</v>
          </cell>
          <cell r="I1327" t="str">
            <v>LATE FEE</v>
          </cell>
        </row>
        <row r="1328">
          <cell r="H1328" t="str">
            <v>BD</v>
          </cell>
          <cell r="I1328" t="str">
            <v>BAD DEBT WRITE OFF</v>
          </cell>
        </row>
        <row r="1329">
          <cell r="H1329" t="str">
            <v>BDR</v>
          </cell>
          <cell r="I1329" t="str">
            <v>BAD DEBT RECOVERY</v>
          </cell>
        </row>
        <row r="1330">
          <cell r="H1330" t="str">
            <v>MM</v>
          </cell>
          <cell r="I1330" t="str">
            <v>ADJUST BALANCE (MM)</v>
          </cell>
        </row>
        <row r="1331">
          <cell r="H1331" t="str">
            <v>MM</v>
          </cell>
          <cell r="I1331" t="str">
            <v>ADJUST BALANCE (MM)</v>
          </cell>
        </row>
        <row r="1332">
          <cell r="H1332" t="str">
            <v>REFUND</v>
          </cell>
          <cell r="I1332" t="str">
            <v>REFUND</v>
          </cell>
        </row>
        <row r="1333">
          <cell r="H1333" t="str">
            <v>BD</v>
          </cell>
          <cell r="I1333" t="str">
            <v>BAD DEBT WRITE OFF</v>
          </cell>
        </row>
        <row r="1334">
          <cell r="H1334" t="str">
            <v>BDR</v>
          </cell>
          <cell r="I1334" t="str">
            <v>BAD DEBT RECOVERY</v>
          </cell>
        </row>
        <row r="1335">
          <cell r="H1335" t="str">
            <v>COLLFEE</v>
          </cell>
          <cell r="I1335" t="str">
            <v>COLLECTION AGENCY FEE</v>
          </cell>
        </row>
        <row r="1336">
          <cell r="H1336" t="str">
            <v>MM</v>
          </cell>
          <cell r="I1336" t="str">
            <v>ADJUST BALANCE (MM)</v>
          </cell>
        </row>
        <row r="1337">
          <cell r="H1337" t="str">
            <v>MM</v>
          </cell>
          <cell r="I1337" t="str">
            <v>ADJUST BALANCE (MM)</v>
          </cell>
        </row>
        <row r="1338">
          <cell r="H1338" t="str">
            <v>REFUND</v>
          </cell>
          <cell r="I1338" t="str">
            <v>REFUND</v>
          </cell>
        </row>
        <row r="1339">
          <cell r="H1339" t="str">
            <v>FINCHG</v>
          </cell>
          <cell r="I1339" t="str">
            <v>LATE FEE</v>
          </cell>
        </row>
        <row r="1340">
          <cell r="H1340" t="str">
            <v>FINCHG</v>
          </cell>
          <cell r="I1340" t="str">
            <v>LATE FEE</v>
          </cell>
        </row>
        <row r="1341">
          <cell r="H1341" t="str">
            <v>MM</v>
          </cell>
          <cell r="I1341" t="str">
            <v>ADJUST BALANCE (MM)</v>
          </cell>
        </row>
        <row r="1342">
          <cell r="H1342" t="str">
            <v>REFUND</v>
          </cell>
          <cell r="I1342" t="str">
            <v>REFUND</v>
          </cell>
        </row>
        <row r="1343">
          <cell r="H1343" t="str">
            <v>ACCESS-COMM</v>
          </cell>
          <cell r="I1343" t="str">
            <v>ACCESS FEE - COMM</v>
          </cell>
        </row>
        <row r="1344">
          <cell r="H1344" t="str">
            <v>DONATIONC</v>
          </cell>
          <cell r="I1344" t="str">
            <v>DONATED SERVICE COMM</v>
          </cell>
        </row>
        <row r="1345">
          <cell r="H1345" t="str">
            <v>DRIVEIN1-COMM</v>
          </cell>
          <cell r="I1345" t="str">
            <v>DRIVE IN 125-250' - COMM</v>
          </cell>
        </row>
        <row r="1346">
          <cell r="H1346" t="str">
            <v>FL001.0Y1W001</v>
          </cell>
          <cell r="I1346" t="str">
            <v>1 YD 1X WK 1</v>
          </cell>
        </row>
        <row r="1347">
          <cell r="H1347" t="str">
            <v>FL001.5Y1W001</v>
          </cell>
          <cell r="I1347" t="str">
            <v>1.5 YD 1X WK 1</v>
          </cell>
        </row>
        <row r="1348">
          <cell r="H1348" t="str">
            <v>FL001.5Y2W001</v>
          </cell>
          <cell r="I1348" t="str">
            <v>1.5 YD 2X WK 1</v>
          </cell>
        </row>
        <row r="1349">
          <cell r="H1349" t="str">
            <v>FL002.0Y1W001</v>
          </cell>
          <cell r="I1349" t="str">
            <v>2 YD 1X WK 1</v>
          </cell>
        </row>
        <row r="1350">
          <cell r="H1350" t="str">
            <v>FL002.0Y2W001</v>
          </cell>
          <cell r="I1350" t="str">
            <v>2 YD 2X WK 1</v>
          </cell>
        </row>
        <row r="1351">
          <cell r="H1351" t="str">
            <v>FL002.0Y3W001</v>
          </cell>
          <cell r="I1351" t="str">
            <v>2 YD 3X WK 1</v>
          </cell>
        </row>
        <row r="1352">
          <cell r="H1352" t="str">
            <v>FL003.0Y1W001</v>
          </cell>
          <cell r="I1352" t="str">
            <v>3 YD 1X WK 1</v>
          </cell>
        </row>
        <row r="1353">
          <cell r="H1353" t="str">
            <v>FL003.0Y2W001</v>
          </cell>
          <cell r="I1353" t="str">
            <v>3 YD 2X WK 1</v>
          </cell>
        </row>
        <row r="1354">
          <cell r="H1354" t="str">
            <v>FL003.0Y3W001</v>
          </cell>
          <cell r="I1354" t="str">
            <v>3 YD 3X WK 1</v>
          </cell>
        </row>
        <row r="1355">
          <cell r="H1355" t="str">
            <v>FL004.0Y1W001</v>
          </cell>
          <cell r="I1355" t="str">
            <v>4 YD 1X WK 1</v>
          </cell>
        </row>
        <row r="1356">
          <cell r="H1356" t="str">
            <v>FL004.0Y2W001</v>
          </cell>
          <cell r="I1356" t="str">
            <v>4 YD 2X WK 1</v>
          </cell>
        </row>
        <row r="1357">
          <cell r="H1357" t="str">
            <v>FL004.0Y3W001</v>
          </cell>
          <cell r="I1357" t="str">
            <v>4 YD 3X WK 1</v>
          </cell>
        </row>
        <row r="1358">
          <cell r="H1358" t="str">
            <v>FL006.0Y1W001</v>
          </cell>
          <cell r="I1358" t="str">
            <v>6 YD 1X WK 1</v>
          </cell>
        </row>
        <row r="1359">
          <cell r="H1359" t="str">
            <v>FL006.0Y2W001</v>
          </cell>
          <cell r="I1359" t="str">
            <v>6 YD 2X WK 1</v>
          </cell>
        </row>
        <row r="1360">
          <cell r="H1360" t="str">
            <v>FL006.0Y4W001</v>
          </cell>
          <cell r="I1360" t="str">
            <v>6 YD 4X WK 1</v>
          </cell>
        </row>
        <row r="1361">
          <cell r="H1361" t="str">
            <v>ROLL-COMM</v>
          </cell>
          <cell r="I1361" t="str">
            <v>ROLL OUT CHARGE - COMM</v>
          </cell>
        </row>
        <row r="1362">
          <cell r="H1362" t="str">
            <v>SL065.0G1W001NORECC</v>
          </cell>
          <cell r="I1362" t="str">
            <v xml:space="preserve">65 GL 1X WK NO RECY COMM </v>
          </cell>
        </row>
        <row r="1363">
          <cell r="H1363" t="str">
            <v>SL065.0G1W001WRECC</v>
          </cell>
          <cell r="I1363" t="str">
            <v>65 GL 1X WK W/RECY COMM 1</v>
          </cell>
        </row>
        <row r="1364">
          <cell r="H1364" t="str">
            <v>SL065.0GEO001WRECC</v>
          </cell>
          <cell r="I1364" t="str">
            <v>65 GL EOW W/RECY COMM 1</v>
          </cell>
        </row>
        <row r="1365">
          <cell r="H1365" t="str">
            <v>SL095.0G1W001WRECC</v>
          </cell>
          <cell r="I1365" t="str">
            <v>95 GL 1X WK W/RECY COMM 1</v>
          </cell>
        </row>
        <row r="1366">
          <cell r="H1366" t="str">
            <v>CLEAN-COMM</v>
          </cell>
          <cell r="I1366" t="str">
            <v xml:space="preserve">CONTAINER CLEANING FEE - </v>
          </cell>
        </row>
        <row r="1367">
          <cell r="H1367" t="str">
            <v>CLEAN2-COMM</v>
          </cell>
          <cell r="I1367" t="str">
            <v>CLEANING FEE 2 YD - COMM</v>
          </cell>
        </row>
        <row r="1368">
          <cell r="H1368" t="str">
            <v>DEL1TEMP-COMM</v>
          </cell>
          <cell r="I1368" t="str">
            <v xml:space="preserve">DELIVERY FEE 1 YD TEMP - </v>
          </cell>
        </row>
        <row r="1369">
          <cell r="H1369" t="str">
            <v>DEL2TEMP-COMM</v>
          </cell>
          <cell r="I1369" t="str">
            <v xml:space="preserve">DELIVERY FEE 2 YD TEMP - </v>
          </cell>
        </row>
        <row r="1370">
          <cell r="H1370" t="str">
            <v>EXTRA-COMM</v>
          </cell>
          <cell r="I1370" t="str">
            <v>EXTRA CAN, BAG, BOX - COM</v>
          </cell>
        </row>
        <row r="1371">
          <cell r="H1371" t="str">
            <v>FL001.0YXX001TEMPC</v>
          </cell>
          <cell r="I1371" t="str">
            <v xml:space="preserve">1 YD TEMP </v>
          </cell>
        </row>
        <row r="1372">
          <cell r="H1372" t="str">
            <v>FL002.0YXX001TEMPC</v>
          </cell>
          <cell r="I1372" t="str">
            <v xml:space="preserve">2 YD TEMP </v>
          </cell>
        </row>
        <row r="1373">
          <cell r="H1373" t="str">
            <v>RENT1TEMP-COMM</v>
          </cell>
          <cell r="I1373" t="str">
            <v>RENT 1 YD TEMP - COMM</v>
          </cell>
        </row>
        <row r="1374">
          <cell r="H1374" t="str">
            <v>RENT2TEMP-COMM</v>
          </cell>
          <cell r="I1374" t="str">
            <v>RENT 2 YD TEMP - COMM</v>
          </cell>
        </row>
        <row r="1375">
          <cell r="H1375" t="str">
            <v>SP6-COMM</v>
          </cell>
          <cell r="I1375" t="str">
            <v>SPECIAL PICK UP 6 YD - CO</v>
          </cell>
        </row>
        <row r="1376">
          <cell r="H1376" t="str">
            <v>ACCESSCREC-COMM</v>
          </cell>
          <cell r="I1376" t="str">
            <v>ACCESS FEE COMM RECY - CO</v>
          </cell>
        </row>
        <row r="1377">
          <cell r="H1377" t="str">
            <v>FL002.0Y1W001BCMGL</v>
          </cell>
          <cell r="I1377" t="str">
            <v>2 YD 1X WK BUS CMGL 1</v>
          </cell>
        </row>
        <row r="1378">
          <cell r="H1378" t="str">
            <v>FL002.0Y1W001BOCC</v>
          </cell>
          <cell r="I1378" t="str">
            <v>2 YD 1X WK BUS OCC 1</v>
          </cell>
        </row>
        <row r="1379">
          <cell r="H1379" t="str">
            <v>FL004.0Y2W001CMGL</v>
          </cell>
          <cell r="I1379" t="str">
            <v>4 YD 2X WK BUS CMGL 1</v>
          </cell>
        </row>
        <row r="1380">
          <cell r="H1380" t="str">
            <v>FL005.0Y1W001BOCC</v>
          </cell>
          <cell r="I1380" t="str">
            <v>5 YD 1X WK BUS OCC 1</v>
          </cell>
        </row>
        <row r="1381">
          <cell r="H1381" t="str">
            <v>FL005.0Y2W001BOCC</v>
          </cell>
          <cell r="I1381" t="str">
            <v>5 YD 2X WK BUS OCC 1</v>
          </cell>
        </row>
        <row r="1382">
          <cell r="H1382" t="str">
            <v>FL005.0Y3W001BOCC</v>
          </cell>
          <cell r="I1382" t="str">
            <v>5 YD 3X WK BUS OCC 1</v>
          </cell>
        </row>
        <row r="1383">
          <cell r="H1383" t="str">
            <v>FL006.0Y1W001BCMGL</v>
          </cell>
          <cell r="I1383" t="str">
            <v>6 YD 1X WK BUS COMINGLE 1</v>
          </cell>
        </row>
        <row r="1384">
          <cell r="H1384" t="str">
            <v>FL006.0Y2W001BCMGL</v>
          </cell>
          <cell r="I1384" t="str">
            <v>6 YD 2X WK BUS COMINGLE 1</v>
          </cell>
        </row>
        <row r="1385">
          <cell r="H1385" t="str">
            <v>FL006.0Y4W001OCC</v>
          </cell>
          <cell r="I1385" t="str">
            <v>6 YD 4X WK OCC 1</v>
          </cell>
        </row>
        <row r="1386">
          <cell r="H1386" t="str">
            <v>MFWBINS</v>
          </cell>
          <cell r="I1386" t="str">
            <v>MULTI-FAMILY REC UNIT W/B</v>
          </cell>
        </row>
        <row r="1387">
          <cell r="H1387" t="str">
            <v>SL096.0G1W001BCMGLOUT</v>
          </cell>
          <cell r="I1387" t="str">
            <v>96 GL WKLY BUS CMGL OUT</v>
          </cell>
        </row>
        <row r="1388">
          <cell r="H1388" t="str">
            <v>SL096.0GEO001BCMGLOUT</v>
          </cell>
          <cell r="I1388" t="str">
            <v>96 GL EOW BUS CMGL OUT</v>
          </cell>
        </row>
        <row r="1389">
          <cell r="H1389" t="str">
            <v>CC-KOL</v>
          </cell>
          <cell r="I1389" t="str">
            <v>ONLINE PAYMENT-CC</v>
          </cell>
        </row>
        <row r="1390">
          <cell r="H1390" t="str">
            <v>CCREF-KOL</v>
          </cell>
          <cell r="I1390" t="str">
            <v>CREDIT CARD REFUND</v>
          </cell>
        </row>
        <row r="1391">
          <cell r="H1391" t="str">
            <v>PAY</v>
          </cell>
          <cell r="I1391" t="str">
            <v>PAYMENT THANK YOU</v>
          </cell>
        </row>
        <row r="1392">
          <cell r="H1392" t="str">
            <v>PAY-CFREE</v>
          </cell>
          <cell r="I1392" t="str">
            <v>CHECKFREE PAYMENT</v>
          </cell>
        </row>
        <row r="1393">
          <cell r="H1393" t="str">
            <v>PAY-KOL</v>
          </cell>
          <cell r="I1393" t="str">
            <v>PAYMENT-THANK YOU - OL</v>
          </cell>
        </row>
        <row r="1394">
          <cell r="H1394" t="str">
            <v>PAY-ORCC</v>
          </cell>
          <cell r="I1394" t="str">
            <v>ORCC PAYMENT</v>
          </cell>
        </row>
        <row r="1395">
          <cell r="H1395" t="str">
            <v>PAY-RPPS</v>
          </cell>
          <cell r="I1395" t="str">
            <v>RPPS MASTERCARD PAYMENT</v>
          </cell>
        </row>
        <row r="1396">
          <cell r="H1396" t="str">
            <v>PAYAD</v>
          </cell>
          <cell r="I1396" t="str">
            <v>ADJUST PAYMENT AD</v>
          </cell>
        </row>
        <row r="1397">
          <cell r="H1397" t="str">
            <v>PAYMET</v>
          </cell>
          <cell r="I1397" t="str">
            <v>METAVANTE ONLINE PAYMENT</v>
          </cell>
        </row>
        <row r="1398">
          <cell r="H1398" t="str">
            <v>PAYUSBL</v>
          </cell>
          <cell r="I1398" t="str">
            <v>PAYMENT THANK YOU</v>
          </cell>
        </row>
        <row r="1399">
          <cell r="H1399" t="str">
            <v>CC-KOL</v>
          </cell>
          <cell r="I1399" t="str">
            <v>ONLINE PAYMENT-CC</v>
          </cell>
        </row>
        <row r="1400">
          <cell r="H1400" t="str">
            <v>CCREF-KOL</v>
          </cell>
          <cell r="I1400" t="str">
            <v>CREDIT CARD REFUND</v>
          </cell>
        </row>
        <row r="1401">
          <cell r="H1401" t="str">
            <v>PAY</v>
          </cell>
          <cell r="I1401" t="str">
            <v>PAYMENT THANK YOU</v>
          </cell>
        </row>
        <row r="1402">
          <cell r="H1402" t="str">
            <v>PAY-CFREE</v>
          </cell>
          <cell r="I1402" t="str">
            <v>CHECKFREE PAYMENT</v>
          </cell>
        </row>
        <row r="1403">
          <cell r="H1403" t="str">
            <v>PAY-KOL</v>
          </cell>
          <cell r="I1403" t="str">
            <v>PAYMENT-THANK YOU - OL</v>
          </cell>
        </row>
        <row r="1404">
          <cell r="H1404" t="str">
            <v>PAY-ORCC</v>
          </cell>
          <cell r="I1404" t="str">
            <v>ORCC PAYMENT</v>
          </cell>
        </row>
        <row r="1405">
          <cell r="H1405" t="str">
            <v>PAY-RPPS</v>
          </cell>
          <cell r="I1405" t="str">
            <v>RPPS MASTERCARD PAYMENT</v>
          </cell>
        </row>
        <row r="1406">
          <cell r="H1406" t="str">
            <v>PAYMET</v>
          </cell>
          <cell r="I1406" t="str">
            <v>METAVANTE ONLINE PAYMENT</v>
          </cell>
        </row>
        <row r="1407">
          <cell r="H1407" t="str">
            <v>PAYUSBL</v>
          </cell>
          <cell r="I1407" t="str">
            <v>PAYMENT THANK YOU</v>
          </cell>
        </row>
        <row r="1408">
          <cell r="H1408" t="str">
            <v>RET-KOL</v>
          </cell>
          <cell r="I1408" t="str">
            <v>ONLINE PAYMENT RETURN</v>
          </cell>
        </row>
        <row r="1409">
          <cell r="H1409" t="str">
            <v>CC-KOL</v>
          </cell>
          <cell r="I1409" t="str">
            <v>ONLINE PAYMENT-CC</v>
          </cell>
        </row>
        <row r="1410">
          <cell r="H1410" t="str">
            <v>PAY</v>
          </cell>
          <cell r="I1410" t="str">
            <v>PAYMENT THANK YOU</v>
          </cell>
        </row>
        <row r="1411">
          <cell r="H1411" t="str">
            <v>PAY-CFREE</v>
          </cell>
          <cell r="I1411" t="str">
            <v>CHECKFREE PAYMENT</v>
          </cell>
        </row>
        <row r="1412">
          <cell r="H1412" t="str">
            <v>PAY-KOL</v>
          </cell>
          <cell r="I1412" t="str">
            <v>PAYMENT-THANK YOU - OL</v>
          </cell>
        </row>
        <row r="1413">
          <cell r="H1413" t="str">
            <v>PAY-NATL</v>
          </cell>
          <cell r="I1413" t="str">
            <v>PAYMENT THANK YOU</v>
          </cell>
        </row>
        <row r="1414">
          <cell r="H1414" t="str">
            <v>PAY-OAK</v>
          </cell>
          <cell r="I1414" t="str">
            <v>OAKLEAF PAYMENT</v>
          </cell>
        </row>
        <row r="1415">
          <cell r="H1415" t="str">
            <v>PAY-ORCC</v>
          </cell>
          <cell r="I1415" t="str">
            <v>ORCC PAYMENT</v>
          </cell>
        </row>
        <row r="1416">
          <cell r="H1416" t="str">
            <v>PAY-RPPS</v>
          </cell>
          <cell r="I1416" t="str">
            <v>RPPS MASTERCARD PAYMENT</v>
          </cell>
        </row>
        <row r="1417">
          <cell r="H1417" t="str">
            <v>PAYL</v>
          </cell>
          <cell r="I1417" t="str">
            <v>PAYMENT THANK YOU</v>
          </cell>
        </row>
        <row r="1418">
          <cell r="H1418" t="str">
            <v>PAYMET</v>
          </cell>
          <cell r="I1418" t="str">
            <v>METAVANTE ONLINE PAYMENT</v>
          </cell>
        </row>
        <row r="1419">
          <cell r="H1419" t="str">
            <v>PAYUSBL</v>
          </cell>
          <cell r="I1419" t="str">
            <v>PAYMENT THANK YOU</v>
          </cell>
        </row>
        <row r="1420">
          <cell r="H1420" t="str">
            <v>GWRES</v>
          </cell>
          <cell r="I1420" t="str">
            <v>GREENWASTE SERVICE - RES</v>
          </cell>
        </row>
        <row r="1421">
          <cell r="H1421" t="str">
            <v>RECBINONLYR</v>
          </cell>
          <cell r="I1421" t="str">
            <v>RECYCLE SERVICE ONLY</v>
          </cell>
        </row>
        <row r="1422">
          <cell r="H1422" t="str">
            <v>RECPROGADJ-RES</v>
          </cell>
          <cell r="I1422" t="str">
            <v>RECYCLING PROGRAM ADJUSTM</v>
          </cell>
        </row>
        <row r="1423">
          <cell r="H1423" t="str">
            <v>RECVALRES</v>
          </cell>
          <cell r="I1423" t="str">
            <v>RECYCLABLES VALUE - RES</v>
          </cell>
        </row>
        <row r="1424">
          <cell r="H1424" t="str">
            <v>S45G1W1</v>
          </cell>
          <cell r="I1424" t="str">
            <v>45 GL 1X WK 1</v>
          </cell>
        </row>
        <row r="1425">
          <cell r="H1425" t="str">
            <v>S45G1W2</v>
          </cell>
          <cell r="I1425" t="str">
            <v>45 GL 1X WK 2</v>
          </cell>
        </row>
        <row r="1426">
          <cell r="H1426" t="str">
            <v>S45G1W3</v>
          </cell>
          <cell r="I1426" t="str">
            <v>45 GL 1X WK 3</v>
          </cell>
        </row>
        <row r="1427">
          <cell r="H1427" t="str">
            <v>S45GEO1</v>
          </cell>
          <cell r="I1427" t="str">
            <v>45 GL EOW 1</v>
          </cell>
        </row>
        <row r="1428">
          <cell r="H1428" t="str">
            <v>SL065.0G1W001WREC</v>
          </cell>
          <cell r="I1428" t="str">
            <v>65 GL 1X WK W/RECY 1</v>
          </cell>
        </row>
        <row r="1429">
          <cell r="H1429" t="str">
            <v>SL095.0G1W001WREC</v>
          </cell>
          <cell r="I1429" t="str">
            <v>95 GL 1X WK W/RECY 1</v>
          </cell>
        </row>
        <row r="1430">
          <cell r="H1430" t="str">
            <v>WI1-RES</v>
          </cell>
          <cell r="I1430" t="str">
            <v>WALK IN 6-25' - RES</v>
          </cell>
        </row>
        <row r="1431">
          <cell r="H1431" t="str">
            <v>BULKY-RES</v>
          </cell>
          <cell r="I1431" t="str">
            <v>BULKY ITEM PICK UP - RES</v>
          </cell>
        </row>
        <row r="1432">
          <cell r="H1432" t="str">
            <v>EXTRA-RES</v>
          </cell>
          <cell r="I1432" t="str">
            <v>EXTRA CAN, BAG, BOX - RES</v>
          </cell>
        </row>
        <row r="1433">
          <cell r="H1433" t="str">
            <v>OW-RES</v>
          </cell>
          <cell r="I1433" t="str">
            <v>OVERFILL / OVERWEIGHT CAN</v>
          </cell>
        </row>
        <row r="1434">
          <cell r="H1434" t="str">
            <v>RTRNCART45-RES</v>
          </cell>
          <cell r="I1434" t="str">
            <v>RETURN TRIP 45 GL - RES</v>
          </cell>
        </row>
        <row r="1435">
          <cell r="H1435" t="str">
            <v>RTRNCART95-RES</v>
          </cell>
          <cell r="I1435" t="str">
            <v>RETURN TRIP 95 GL - RES</v>
          </cell>
        </row>
        <row r="1436">
          <cell r="H1436" t="str">
            <v>GWRES</v>
          </cell>
          <cell r="I1436" t="str">
            <v>GREENWASTE SERVICE - RES</v>
          </cell>
        </row>
        <row r="1437">
          <cell r="H1437" t="str">
            <v>S45G1W1</v>
          </cell>
          <cell r="I1437" t="str">
            <v>45 GL 1X WK 1</v>
          </cell>
        </row>
        <row r="1438">
          <cell r="H1438" t="str">
            <v>S45G1W2</v>
          </cell>
          <cell r="I1438" t="str">
            <v>45 GL 1X WK 2</v>
          </cell>
        </row>
        <row r="1439">
          <cell r="H1439" t="str">
            <v>S45GEO1</v>
          </cell>
          <cell r="I1439" t="str">
            <v>45 GL EOW 1</v>
          </cell>
        </row>
        <row r="1440">
          <cell r="H1440" t="str">
            <v>SL065.0G1W001WREC</v>
          </cell>
          <cell r="I1440" t="str">
            <v>65 GL 1X WK W/RECY 1</v>
          </cell>
        </row>
        <row r="1441">
          <cell r="H1441" t="str">
            <v>SL095.0G1W001WREC</v>
          </cell>
          <cell r="I1441" t="str">
            <v>95 GL 1X WK W/RECY 1</v>
          </cell>
        </row>
        <row r="1442">
          <cell r="H1442" t="str">
            <v>BULKY-RES</v>
          </cell>
          <cell r="I1442" t="str">
            <v>BULKY ITEM PICK UP - RES</v>
          </cell>
        </row>
        <row r="1443">
          <cell r="H1443" t="str">
            <v>EXTRA-RES</v>
          </cell>
          <cell r="I1443" t="str">
            <v>EXTRA CAN, BAG, BOX - RES</v>
          </cell>
        </row>
        <row r="1444">
          <cell r="H1444" t="str">
            <v>OC-RES</v>
          </cell>
          <cell r="I1444" t="str">
            <v>ON CALL SERVICE - RES</v>
          </cell>
        </row>
        <row r="1445">
          <cell r="H1445" t="str">
            <v>OW-RES</v>
          </cell>
          <cell r="I1445" t="str">
            <v>OVERFILL / OVERWEIGHT CAN</v>
          </cell>
        </row>
        <row r="1446">
          <cell r="H1446" t="str">
            <v>REINSTATE-RES</v>
          </cell>
          <cell r="I1446" t="str">
            <v>REINSTATE FEE - RES</v>
          </cell>
        </row>
        <row r="1447">
          <cell r="H1447" t="str">
            <v>RTRNCART45-RES</v>
          </cell>
          <cell r="I1447" t="str">
            <v>RETURN TRIP 45 GL - RES</v>
          </cell>
        </row>
        <row r="1448">
          <cell r="H1448" t="str">
            <v>RTRNCART65-RES</v>
          </cell>
          <cell r="I1448" t="str">
            <v>RETURN TRIP 65 GL - RES</v>
          </cell>
        </row>
        <row r="1449">
          <cell r="H1449" t="str">
            <v>S45G1W1</v>
          </cell>
          <cell r="I1449" t="str">
            <v>45 GL 1X WK 1</v>
          </cell>
        </row>
        <row r="1450">
          <cell r="H1450" t="str">
            <v>TIME-RES</v>
          </cell>
          <cell r="I1450" t="str">
            <v>TIME FEE 1 - RES</v>
          </cell>
        </row>
        <row r="1451">
          <cell r="H1451" t="str">
            <v>OW-RES</v>
          </cell>
          <cell r="I1451" t="str">
            <v>OVERFILL / OVERWEIGHT CAN</v>
          </cell>
        </row>
        <row r="1452">
          <cell r="H1452" t="str">
            <v>LIDRO</v>
          </cell>
          <cell r="I1452" t="str">
            <v>LID CHARGE - RO</v>
          </cell>
        </row>
        <row r="1453">
          <cell r="H1453" t="str">
            <v>RENT20MO-RO</v>
          </cell>
          <cell r="I1453" t="str">
            <v>RENTAL FEE 20 YD MONTHLY</v>
          </cell>
        </row>
        <row r="1454">
          <cell r="H1454" t="str">
            <v>RENT30MO-RO</v>
          </cell>
          <cell r="I1454" t="str">
            <v>RENTAL FEE 30 YD MONTHLY</v>
          </cell>
        </row>
        <row r="1455">
          <cell r="H1455" t="str">
            <v>RENT40MO-RO</v>
          </cell>
          <cell r="I1455" t="str">
            <v>RENTAL FEE 40 YD MONTHLY</v>
          </cell>
        </row>
        <row r="1456">
          <cell r="H1456" t="str">
            <v>CLEAN25-RO</v>
          </cell>
          <cell r="I1456" t="str">
            <v>CLEANING FEE 25 YD - RO</v>
          </cell>
        </row>
        <row r="1457">
          <cell r="H1457" t="str">
            <v>DEL20-RO</v>
          </cell>
          <cell r="I1457" t="str">
            <v>DELIVERY FEE 20 YD - RO</v>
          </cell>
        </row>
        <row r="1458">
          <cell r="H1458" t="str">
            <v>DEL40TEMP-RO</v>
          </cell>
          <cell r="I1458" t="str">
            <v>DELIVERY FEE 40 YD TEMP -</v>
          </cell>
        </row>
        <row r="1459">
          <cell r="H1459" t="str">
            <v>DISCO-CP</v>
          </cell>
          <cell r="I1459" t="str">
            <v xml:space="preserve">COMPACTOR DISCONNECT FEE </v>
          </cell>
        </row>
        <row r="1460">
          <cell r="H1460" t="str">
            <v>DISP-RO</v>
          </cell>
          <cell r="I1460" t="str">
            <v>DISPOSAL CHARGE - RO</v>
          </cell>
        </row>
        <row r="1461">
          <cell r="H1461" t="str">
            <v>DISPGW-RO</v>
          </cell>
          <cell r="I1461" t="str">
            <v>DISPOSAL FEE GREENWASTE -</v>
          </cell>
        </row>
        <row r="1462">
          <cell r="H1462" t="str">
            <v>DISPTRANS-RO</v>
          </cell>
          <cell r="I1462" t="str">
            <v>DISPOSAL FEE TRANSFER HAU</v>
          </cell>
        </row>
        <row r="1463">
          <cell r="H1463" t="str">
            <v>FINAL30TEMP-RO</v>
          </cell>
          <cell r="I1463" t="str">
            <v>FINAL PULL 30 YD TEMP - R</v>
          </cell>
        </row>
        <row r="1464">
          <cell r="H1464" t="str">
            <v>HAUL25-CP</v>
          </cell>
          <cell r="I1464" t="str">
            <v>COMPACTOR HAUL 25 YD - RO</v>
          </cell>
        </row>
        <row r="1465">
          <cell r="H1465" t="str">
            <v>HAUL30-RO</v>
          </cell>
          <cell r="I1465" t="str">
            <v>HAUL 30 YD - RO</v>
          </cell>
        </row>
        <row r="1466">
          <cell r="H1466" t="str">
            <v>HAUL30TEMP-RO</v>
          </cell>
          <cell r="I1466" t="str">
            <v>HAUL 30 YD TEMP - RO</v>
          </cell>
        </row>
        <row r="1467">
          <cell r="H1467" t="str">
            <v>HAUL40-CP</v>
          </cell>
          <cell r="I1467" t="str">
            <v>COMPACTOR HAUL 40 YD</v>
          </cell>
        </row>
        <row r="1468">
          <cell r="H1468" t="str">
            <v>HAUL40-RO</v>
          </cell>
          <cell r="I1468" t="str">
            <v>HAUL 40 YD - RO</v>
          </cell>
        </row>
        <row r="1469">
          <cell r="H1469" t="str">
            <v>MILE-RO</v>
          </cell>
          <cell r="I1469" t="str">
            <v>MILEAGE FEE - RO</v>
          </cell>
        </row>
        <row r="1470">
          <cell r="H1470" t="str">
            <v>RENT30TEMP-RO</v>
          </cell>
          <cell r="I1470" t="str">
            <v>RENTAL FEE 30 YD TEMP - R</v>
          </cell>
        </row>
        <row r="1471">
          <cell r="H1471" t="str">
            <v>DISPOCC-RO</v>
          </cell>
          <cell r="I1471" t="str">
            <v xml:space="preserve">DISPOSAL FEE CARDBOARD - </v>
          </cell>
        </row>
        <row r="1472">
          <cell r="H1472" t="str">
            <v>HAUL30-RO</v>
          </cell>
          <cell r="I1472" t="str">
            <v>HAUL 30 YD - RO</v>
          </cell>
        </row>
        <row r="1473">
          <cell r="H1473" t="str">
            <v>COMMODITY SURCHARGE</v>
          </cell>
          <cell r="I1473" t="str">
            <v>COMMODITY SURCHARGE</v>
          </cell>
        </row>
        <row r="1474">
          <cell r="H1474" t="str">
            <v>COMMODITY SURCHARGE</v>
          </cell>
          <cell r="I1474" t="str">
            <v>COMMODITY SURCHARGE</v>
          </cell>
        </row>
        <row r="1475">
          <cell r="H1475" t="str">
            <v>DUPONT CITY UTILITY TAX</v>
          </cell>
          <cell r="I1475" t="str">
            <v>8% CITY UTILITY TAX</v>
          </cell>
        </row>
        <row r="1476">
          <cell r="H1476" t="str">
            <v>DUPONT REFUSE TAX</v>
          </cell>
          <cell r="I1476" t="str">
            <v>3.6% WA STATE REFUSE TAX</v>
          </cell>
        </row>
        <row r="1477">
          <cell r="H1477" t="str">
            <v>DUPONT CITY ONLY</v>
          </cell>
          <cell r="I1477" t="str">
            <v>8% CITY UTILITY TAX</v>
          </cell>
        </row>
        <row r="1478">
          <cell r="H1478" t="str">
            <v>DUPONT CITY UTILITY TAX</v>
          </cell>
          <cell r="I1478" t="str">
            <v>8% CITY UTILITY TAX</v>
          </cell>
        </row>
        <row r="1479">
          <cell r="H1479" t="str">
            <v>DUPONT REFUSE TAX</v>
          </cell>
          <cell r="I1479" t="str">
            <v>3.6% WA STATE REFUSE TAX</v>
          </cell>
        </row>
        <row r="1480">
          <cell r="H1480" t="str">
            <v>DUPONT STATE SALES TAX</v>
          </cell>
          <cell r="I1480" t="str">
            <v>9.3% WA STATE SALES TAX</v>
          </cell>
        </row>
        <row r="1481">
          <cell r="H1481" t="str">
            <v>PIERCE REFUSE TAX</v>
          </cell>
          <cell r="I1481" t="str">
            <v>3.6% WA STATE REFUSE TAX</v>
          </cell>
        </row>
        <row r="1482">
          <cell r="H1482" t="str">
            <v>DUPONT CITY UTILITY TAX</v>
          </cell>
          <cell r="I1482" t="str">
            <v>8% CITY UTILITY TAX</v>
          </cell>
        </row>
        <row r="1483">
          <cell r="H1483" t="str">
            <v>DUPONT REFUSE TAX</v>
          </cell>
          <cell r="I1483" t="str">
            <v>3.6% WA STATE REFUSE TAX</v>
          </cell>
        </row>
        <row r="1484">
          <cell r="H1484" t="str">
            <v>DUPONT STATE SALES TAX</v>
          </cell>
          <cell r="I1484" t="str">
            <v>9.3% WA STATE SALES TAX</v>
          </cell>
        </row>
        <row r="1485">
          <cell r="H1485" t="str">
            <v>DUPONT CITY UTILITY TAX</v>
          </cell>
          <cell r="I1485" t="str">
            <v>8% CITY UTILITY TAX</v>
          </cell>
        </row>
        <row r="1486">
          <cell r="H1486" t="str">
            <v>DUPONT REFUSE TAX</v>
          </cell>
          <cell r="I1486" t="str">
            <v>3.6% WA STATE REFUSE TAX</v>
          </cell>
        </row>
        <row r="1487">
          <cell r="H1487" t="str">
            <v>DUPONT CITY UTILITY TAX</v>
          </cell>
          <cell r="I1487" t="str">
            <v>8% CITY UTILITY TAX</v>
          </cell>
        </row>
        <row r="1488">
          <cell r="H1488" t="str">
            <v>DUPONT REFUSE TAX</v>
          </cell>
          <cell r="I1488" t="str">
            <v>3.6% WA STATE REFUSE TAX</v>
          </cell>
        </row>
        <row r="1489">
          <cell r="H1489" t="str">
            <v>DUPONT CITY ONLY</v>
          </cell>
          <cell r="I1489" t="str">
            <v>8% CITY UTILITY TAX</v>
          </cell>
        </row>
        <row r="1490">
          <cell r="H1490" t="str">
            <v>DUPONT CITY UTILITY TAX</v>
          </cell>
          <cell r="I1490" t="str">
            <v>8% CITY UTILITY TAX</v>
          </cell>
        </row>
        <row r="1491">
          <cell r="H1491" t="str">
            <v>DUPONT REFUSE TAX</v>
          </cell>
          <cell r="I1491" t="str">
            <v>3.6% WA STATE REFUSE TAX</v>
          </cell>
        </row>
        <row r="1492">
          <cell r="H1492" t="str">
            <v>DUPONT STATE SALES TAX</v>
          </cell>
          <cell r="I1492" t="str">
            <v>9.3% WA STATE SALES TAX</v>
          </cell>
        </row>
        <row r="1493">
          <cell r="H1493" t="str">
            <v>DUPONT CITY UTILITY TAX</v>
          </cell>
          <cell r="I1493" t="str">
            <v>8% CITY UTILITY TAX</v>
          </cell>
        </row>
        <row r="1494">
          <cell r="H1494" t="str">
            <v>DUPONT REFUSE TAX</v>
          </cell>
          <cell r="I1494" t="str">
            <v>3.6% WA STATE REFUSE TAX</v>
          </cell>
        </row>
        <row r="1495">
          <cell r="H1495" t="str">
            <v>ACCESS-COMM</v>
          </cell>
          <cell r="I1495" t="str">
            <v>ACCESS FEE - COMM</v>
          </cell>
        </row>
        <row r="1496">
          <cell r="H1496" t="str">
            <v>DONATIONC</v>
          </cell>
          <cell r="I1496" t="str">
            <v>DONATED SERVICE COMM</v>
          </cell>
        </row>
        <row r="1497">
          <cell r="H1497" t="str">
            <v>FL001.0Y1W001</v>
          </cell>
          <cell r="I1497" t="str">
            <v>1 YD 1X WK 1</v>
          </cell>
        </row>
        <row r="1498">
          <cell r="H1498" t="str">
            <v>FL001.0Y2W001</v>
          </cell>
          <cell r="I1498" t="str">
            <v>1 YD 2X WK 1</v>
          </cell>
        </row>
        <row r="1499">
          <cell r="H1499" t="str">
            <v>FL001.5Y1W001</v>
          </cell>
          <cell r="I1499" t="str">
            <v>1.5 YD 1X WK 1</v>
          </cell>
        </row>
        <row r="1500">
          <cell r="H1500" t="str">
            <v>FL001.5Y2W001</v>
          </cell>
          <cell r="I1500" t="str">
            <v>1.5 YD 2X WK 1</v>
          </cell>
        </row>
        <row r="1501">
          <cell r="H1501" t="str">
            <v>FL002.0Y1W001</v>
          </cell>
          <cell r="I1501" t="str">
            <v>2 YD 1X WK 1</v>
          </cell>
        </row>
        <row r="1502">
          <cell r="H1502" t="str">
            <v>FL002.0Y2W001</v>
          </cell>
          <cell r="I1502" t="str">
            <v>2 YD 2X WK 1</v>
          </cell>
        </row>
        <row r="1503">
          <cell r="H1503" t="str">
            <v>GWCOMM</v>
          </cell>
          <cell r="I1503" t="str">
            <v>GREENWASTE SERVICE - COMM</v>
          </cell>
        </row>
        <row r="1504">
          <cell r="H1504" t="str">
            <v>RL001.0Y1W001</v>
          </cell>
          <cell r="I1504" t="str">
            <v>1 YD 1X WK 1</v>
          </cell>
        </row>
        <row r="1505">
          <cell r="H1505" t="str">
            <v>RL001.5Y1W001</v>
          </cell>
          <cell r="I1505" t="str">
            <v>1.5 YD 1X WK 1</v>
          </cell>
        </row>
        <row r="1506">
          <cell r="H1506" t="str">
            <v>SL035.0G1M001WRECC</v>
          </cell>
          <cell r="I1506" t="str">
            <v>35 GL 1X MO W/RECY COMM 1</v>
          </cell>
        </row>
        <row r="1507">
          <cell r="H1507" t="str">
            <v>SL065.0G1M001WRECC</v>
          </cell>
          <cell r="I1507" t="str">
            <v>65 GL 1X MO W/RECY COMM 1</v>
          </cell>
        </row>
        <row r="1508">
          <cell r="H1508" t="str">
            <v>SL065.0G1W001WRECC</v>
          </cell>
          <cell r="I1508" t="str">
            <v>65 GL 1X WK W/RECY COMM 1</v>
          </cell>
        </row>
        <row r="1509">
          <cell r="H1509" t="str">
            <v>SL065.0GEO001WRECC</v>
          </cell>
          <cell r="I1509" t="str">
            <v>65 GL EOW W/RECY COMM 1</v>
          </cell>
        </row>
        <row r="1510">
          <cell r="H1510" t="str">
            <v>SL095.0G1W001NORECC</v>
          </cell>
          <cell r="I1510" t="str">
            <v xml:space="preserve">95 GL 1X WK NO RECY COMM </v>
          </cell>
        </row>
        <row r="1511">
          <cell r="H1511" t="str">
            <v>SL095.0G1W001WRECC</v>
          </cell>
          <cell r="I1511" t="str">
            <v>95 GL 1X WK W/RECY COMM 1</v>
          </cell>
        </row>
        <row r="1512">
          <cell r="H1512" t="str">
            <v>SL095.0GEO001WRECC</v>
          </cell>
          <cell r="I1512" t="str">
            <v>95 GL EOW W/RECY COMM 1</v>
          </cell>
        </row>
        <row r="1513">
          <cell r="H1513" t="str">
            <v>EXTRA-COMM</v>
          </cell>
          <cell r="I1513" t="str">
            <v>EXTRA CAN, BAG, BOX - COM</v>
          </cell>
        </row>
        <row r="1514">
          <cell r="H1514" t="str">
            <v>ACCESSCREC-COMM</v>
          </cell>
          <cell r="I1514" t="str">
            <v>ACCESS FEE COMM RECY - CO</v>
          </cell>
        </row>
        <row r="1515">
          <cell r="H1515" t="str">
            <v>FL002.0Y1W001BCMGL</v>
          </cell>
          <cell r="I1515" t="str">
            <v>2 YD 1X WK BUS CMGL 1</v>
          </cell>
        </row>
        <row r="1516">
          <cell r="H1516" t="str">
            <v>FL002.0Y1W001BOCC</v>
          </cell>
          <cell r="I1516" t="str">
            <v>2 YD 1X WK BUS OCC 1</v>
          </cell>
        </row>
        <row r="1517">
          <cell r="H1517" t="str">
            <v>FL002.0Y2W001SCMGL</v>
          </cell>
          <cell r="I1517" t="str">
            <v>2 YD 2X WK SCHL CMGL 1</v>
          </cell>
        </row>
        <row r="1518">
          <cell r="H1518" t="str">
            <v>FL005.0Y1W001BOCC</v>
          </cell>
          <cell r="I1518" t="str">
            <v>5 YD 1X WK BUS OCC 1</v>
          </cell>
        </row>
        <row r="1519">
          <cell r="H1519" t="str">
            <v>FL006.0Y1W001SCMGL</v>
          </cell>
          <cell r="I1519" t="str">
            <v>6 YD 1X WK SCHL CMGL 1</v>
          </cell>
        </row>
        <row r="1520">
          <cell r="H1520" t="str">
            <v>SL096.0GEO001BCMGLIN</v>
          </cell>
          <cell r="I1520" t="str">
            <v>96 GL EOW BUS CMGL IN</v>
          </cell>
        </row>
        <row r="1521">
          <cell r="H1521" t="str">
            <v>SL096.0GEO001BCMGLOUT</v>
          </cell>
          <cell r="I1521" t="str">
            <v>96 GL EOW BUS CMGL OUT</v>
          </cell>
        </row>
        <row r="1522">
          <cell r="H1522" t="str">
            <v>SL096.0GEO001SCMGLOUT</v>
          </cell>
          <cell r="I1522" t="str">
            <v>96 GL EOW SCHL CMGL OUT</v>
          </cell>
        </row>
        <row r="1523">
          <cell r="H1523" t="str">
            <v>CC-KOL</v>
          </cell>
          <cell r="I1523" t="str">
            <v>ONLINE PAYMENT-CC</v>
          </cell>
        </row>
        <row r="1524">
          <cell r="H1524" t="str">
            <v>PAYUSBL</v>
          </cell>
          <cell r="I1524" t="str">
            <v>PAYMENT THANK YOU</v>
          </cell>
        </row>
        <row r="1525">
          <cell r="H1525" t="str">
            <v>CC-KOL</v>
          </cell>
          <cell r="I1525" t="str">
            <v>ONLINE PAYMENT-CC</v>
          </cell>
        </row>
        <row r="1526">
          <cell r="H1526" t="str">
            <v>BULKY-RES</v>
          </cell>
          <cell r="I1526" t="str">
            <v>BULKY ITEM PICK UP - RES</v>
          </cell>
        </row>
        <row r="1527">
          <cell r="H1527" t="str">
            <v>GWRES</v>
          </cell>
          <cell r="I1527" t="str">
            <v>GREENWASTE SERVICE - RES</v>
          </cell>
        </row>
        <row r="1528">
          <cell r="H1528" t="str">
            <v>RECBINONLYR</v>
          </cell>
          <cell r="I1528" t="str">
            <v>RECYCLE SERVICE ONLY</v>
          </cell>
        </row>
        <row r="1529">
          <cell r="H1529" t="str">
            <v>SL035.0G1M001WREC</v>
          </cell>
          <cell r="I1529" t="str">
            <v>35 GL 1X MO W/RECY 1</v>
          </cell>
        </row>
        <row r="1530">
          <cell r="H1530" t="str">
            <v>SL065.0G1M001NOREC</v>
          </cell>
          <cell r="I1530" t="str">
            <v>65 GL 1X MO NO RECY 1</v>
          </cell>
        </row>
        <row r="1531">
          <cell r="H1531" t="str">
            <v>SL065.0G1M001WREC</v>
          </cell>
          <cell r="I1531" t="str">
            <v>65 GL 1X MO W/RECY 1</v>
          </cell>
        </row>
        <row r="1532">
          <cell r="H1532" t="str">
            <v>SL065.0G1W001WREC</v>
          </cell>
          <cell r="I1532" t="str">
            <v>65 GL 1X WK W/RECY 1</v>
          </cell>
        </row>
        <row r="1533">
          <cell r="H1533" t="str">
            <v>SL065.0GEO001</v>
          </cell>
          <cell r="I1533" t="str">
            <v>65 GL EOW 1</v>
          </cell>
        </row>
        <row r="1534">
          <cell r="H1534" t="str">
            <v>SL065.0GEO001WREC</v>
          </cell>
          <cell r="I1534" t="str">
            <v>65 GL EOW W/RECY 1</v>
          </cell>
        </row>
        <row r="1535">
          <cell r="H1535" t="str">
            <v>SL095.0G1W001WREC</v>
          </cell>
          <cell r="I1535" t="str">
            <v>95 GL 1X WK W/RECY 1</v>
          </cell>
        </row>
        <row r="1536">
          <cell r="H1536" t="str">
            <v>SL095.0GEO001</v>
          </cell>
          <cell r="I1536" t="str">
            <v>95 GL EOW 1</v>
          </cell>
        </row>
        <row r="1537">
          <cell r="H1537" t="str">
            <v>SL095.0GEO001WREC</v>
          </cell>
          <cell r="I1537" t="str">
            <v>95 GL EOW W/RECY 1</v>
          </cell>
        </row>
        <row r="1538">
          <cell r="H1538" t="str">
            <v>EXTRA-RES</v>
          </cell>
          <cell r="I1538" t="str">
            <v>EXTRA CAN, BAG, BOX - RES</v>
          </cell>
        </row>
        <row r="1539">
          <cell r="H1539" t="str">
            <v>OC-RES</v>
          </cell>
          <cell r="I1539" t="str">
            <v>ON CALL SERVICE - RES</v>
          </cell>
        </row>
        <row r="1540">
          <cell r="H1540" t="str">
            <v>OW-RES</v>
          </cell>
          <cell r="I1540" t="str">
            <v>OVERFILL / OVERWEIGHT CAN</v>
          </cell>
        </row>
        <row r="1541">
          <cell r="H1541" t="str">
            <v>DONATIONRO</v>
          </cell>
          <cell r="I1541" t="str">
            <v>DONATED SERVICE ROLL OFF</v>
          </cell>
        </row>
        <row r="1542">
          <cell r="H1542" t="str">
            <v>RENT30MO-RO</v>
          </cell>
          <cell r="I1542" t="str">
            <v>RENTAL FEE 30 YD MONTHLY</v>
          </cell>
        </row>
        <row r="1543">
          <cell r="H1543" t="str">
            <v>DISCO-CP</v>
          </cell>
          <cell r="I1543" t="str">
            <v xml:space="preserve">COMPACTOR DISCONNECT FEE </v>
          </cell>
        </row>
        <row r="1544">
          <cell r="H1544" t="str">
            <v>DISP-RO</v>
          </cell>
          <cell r="I1544" t="str">
            <v>DISPOSAL CHARGE - RO</v>
          </cell>
        </row>
        <row r="1545">
          <cell r="H1545" t="str">
            <v>DISPOCC-RO</v>
          </cell>
          <cell r="I1545" t="str">
            <v xml:space="preserve">DISPOSAL FEE CARDBOARD - </v>
          </cell>
        </row>
        <row r="1546">
          <cell r="H1546" t="str">
            <v>HAUL30-CP</v>
          </cell>
          <cell r="I1546" t="str">
            <v>COMPACTOR HAUL 30 YD</v>
          </cell>
        </row>
        <row r="1547">
          <cell r="H1547" t="str">
            <v>HAUL30-RO</v>
          </cell>
          <cell r="I1547" t="str">
            <v>HAUL 30 YD - RO</v>
          </cell>
        </row>
        <row r="1548">
          <cell r="H1548" t="str">
            <v>MILE-RO</v>
          </cell>
          <cell r="I1548" t="str">
            <v>MILEAGE FEE - RO</v>
          </cell>
        </row>
        <row r="1549">
          <cell r="H1549" t="str">
            <v>DEL20TEMP-RO</v>
          </cell>
          <cell r="I1549" t="str">
            <v>DELIVERY FEE 20 YD TEMP -</v>
          </cell>
        </row>
        <row r="1550">
          <cell r="H1550" t="str">
            <v>DISP-RO</v>
          </cell>
          <cell r="I1550" t="str">
            <v>DISPOSAL CHARGE - RO</v>
          </cell>
        </row>
        <row r="1551">
          <cell r="H1551" t="str">
            <v>FINAL20TEMP-RO</v>
          </cell>
          <cell r="I1551" t="str">
            <v>FINAL PULL 20 YD TEMP - R</v>
          </cell>
        </row>
        <row r="1552">
          <cell r="H1552" t="str">
            <v>MILE-RO</v>
          </cell>
          <cell r="I1552" t="str">
            <v>MILEAGE FEE - RO</v>
          </cell>
        </row>
        <row r="1553">
          <cell r="H1553" t="str">
            <v>RENT20TEMP-RO</v>
          </cell>
          <cell r="I1553" t="str">
            <v>RENTAL FEE 20 YD TEMP - R</v>
          </cell>
        </row>
        <row r="1554">
          <cell r="H1554" t="str">
            <v>COMMODITY SURCHARGE</v>
          </cell>
          <cell r="I1554" t="str">
            <v>COMMODITY SURCHARGE</v>
          </cell>
        </row>
        <row r="1555">
          <cell r="H1555" t="str">
            <v>FINCHG</v>
          </cell>
          <cell r="I1555" t="str">
            <v>LATE FEE</v>
          </cell>
        </row>
        <row r="1556">
          <cell r="H1556" t="str">
            <v>FL004.0Y2W001MF</v>
          </cell>
          <cell r="I1556" t="str">
            <v>4 YD 2X WK MULTI-FAMILY 1</v>
          </cell>
        </row>
        <row r="1557">
          <cell r="H1557" t="str">
            <v>FL006.0Y1W001MF</v>
          </cell>
          <cell r="I1557" t="str">
            <v>6 YD 1X WK MULTI-FAMILY 1</v>
          </cell>
        </row>
        <row r="1558">
          <cell r="H1558" t="str">
            <v>FL006.0Y2W001MF</v>
          </cell>
          <cell r="I1558" t="str">
            <v>6 YD 2X WK MULTI-FAMILY 1</v>
          </cell>
        </row>
        <row r="1559">
          <cell r="H1559" t="str">
            <v>SL096.0G1M001BCMGLOUT</v>
          </cell>
          <cell r="I1559" t="str">
            <v>96 GL MTHLY BUS CMGL OUT</v>
          </cell>
        </row>
        <row r="1560">
          <cell r="H1560" t="str">
            <v>MFWBINS</v>
          </cell>
          <cell r="I1560" t="str">
            <v>MULTI-FAMILY REC UNIT W/B</v>
          </cell>
        </row>
        <row r="1561">
          <cell r="H1561" t="str">
            <v>CC-KOL</v>
          </cell>
          <cell r="I1561" t="str">
            <v>ONLINE PAYMENT-CC</v>
          </cell>
        </row>
        <row r="1562">
          <cell r="H1562" t="str">
            <v>PAY</v>
          </cell>
          <cell r="I1562" t="str">
            <v>PAYMENT THANK YOU</v>
          </cell>
        </row>
        <row r="1563">
          <cell r="H1563" t="str">
            <v>PAY-KOL</v>
          </cell>
          <cell r="I1563" t="str">
            <v>PAYMENT-THANK YOU - OL</v>
          </cell>
        </row>
        <row r="1564">
          <cell r="H1564" t="str">
            <v>RECBINONLYR</v>
          </cell>
          <cell r="I1564" t="str">
            <v>RECYCLE SERVICE ONLY</v>
          </cell>
        </row>
        <row r="1565">
          <cell r="H1565" t="str">
            <v>RECVALRES</v>
          </cell>
          <cell r="I1565" t="str">
            <v>RECYCLABLES VALUE - RES</v>
          </cell>
        </row>
        <row r="1566">
          <cell r="H1566" t="str">
            <v>SL065.0G1W001WREC</v>
          </cell>
          <cell r="I1566" t="str">
            <v>65 GL 1X WK W/RECY 1</v>
          </cell>
        </row>
        <row r="1567">
          <cell r="H1567" t="str">
            <v>SL095.0G1W001WREC</v>
          </cell>
          <cell r="I1567" t="str">
            <v>95 GL 1X WK W/RECY 1</v>
          </cell>
        </row>
        <row r="1568">
          <cell r="H1568" t="str">
            <v>DISPFEDMSW-RES</v>
          </cell>
          <cell r="I1568" t="str">
            <v>DISPOSAL FEDERAL MSW - RE</v>
          </cell>
        </row>
        <row r="1569">
          <cell r="H1569" t="str">
            <v>GWRES</v>
          </cell>
          <cell r="I1569" t="str">
            <v>GREENWASTE SERVICE - RES</v>
          </cell>
        </row>
        <row r="1570">
          <cell r="H1570" t="str">
            <v>RECPROGADJ-RES</v>
          </cell>
          <cell r="I1570" t="str">
            <v>RECYCLING PROGRAM ADJUSTM</v>
          </cell>
        </row>
        <row r="1571">
          <cell r="H1571" t="str">
            <v>RECVALRES</v>
          </cell>
          <cell r="I1571" t="str">
            <v>RECYCLABLES VALUE - RES</v>
          </cell>
        </row>
        <row r="1572">
          <cell r="H1572" t="str">
            <v>SL065.0G1W001WREC</v>
          </cell>
          <cell r="I1572" t="str">
            <v>65 GL 1X WK W/RECY 1</v>
          </cell>
        </row>
        <row r="1573">
          <cell r="H1573" t="str">
            <v>SL095.0G1W001WREC</v>
          </cell>
          <cell r="I1573" t="str">
            <v>95 GL 1X WK W/RECY 1</v>
          </cell>
        </row>
        <row r="1574">
          <cell r="H1574" t="str">
            <v>TIME-RES</v>
          </cell>
          <cell r="I1574" t="str">
            <v>TIME FEE 1 - RES</v>
          </cell>
        </row>
        <row r="1575">
          <cell r="H1575" t="str">
            <v>RENT20MO-RO</v>
          </cell>
          <cell r="I1575" t="str">
            <v>RENTAL FEE 20 YD MONTHLY</v>
          </cell>
        </row>
        <row r="1576">
          <cell r="H1576" t="str">
            <v>RENT30MO-RO</v>
          </cell>
          <cell r="I1576" t="str">
            <v>RENTAL FEE 30 YD MONTHLY</v>
          </cell>
        </row>
        <row r="1577">
          <cell r="H1577" t="str">
            <v>RENT40MO-RO</v>
          </cell>
          <cell r="I1577" t="str">
            <v>RENTAL FEE 40 YD MONTHLY</v>
          </cell>
        </row>
        <row r="1578">
          <cell r="H1578" t="str">
            <v>DISPFEDMSW-RO</v>
          </cell>
          <cell r="I1578" t="str">
            <v xml:space="preserve">DISPOSAL FEE FEDERAL MSW </v>
          </cell>
        </row>
        <row r="1579">
          <cell r="H1579" t="str">
            <v>HAUL20-RO</v>
          </cell>
          <cell r="I1579" t="str">
            <v>HAUL 20 YD - RO</v>
          </cell>
        </row>
        <row r="1580">
          <cell r="H1580" t="str">
            <v>HAUL30-RO</v>
          </cell>
          <cell r="I1580" t="str">
            <v>HAUL 30 YD - RO</v>
          </cell>
        </row>
        <row r="1581">
          <cell r="H1581" t="str">
            <v>HAUL40-RO</v>
          </cell>
          <cell r="I1581" t="str">
            <v>HAUL 40 YD - RO</v>
          </cell>
        </row>
        <row r="1582">
          <cell r="H1582" t="str">
            <v>MILE-RO</v>
          </cell>
          <cell r="I1582" t="str">
            <v>MILEAGE FEE - RO</v>
          </cell>
        </row>
        <row r="1583">
          <cell r="H1583" t="str">
            <v>RTRNTRIP-RO</v>
          </cell>
          <cell r="I1583" t="str">
            <v>RETURN TRIP FEE - RO</v>
          </cell>
        </row>
        <row r="1584">
          <cell r="H1584" t="str">
            <v>FT LEWIS REFUSE TAX</v>
          </cell>
          <cell r="I1584" t="str">
            <v>3.6% WA STATE REFUSE TAX</v>
          </cell>
        </row>
        <row r="1585">
          <cell r="H1585" t="str">
            <v>FT LEWIS STATE SALES TAX</v>
          </cell>
          <cell r="I1585" t="str">
            <v>9.3% WA STATE SALES TAX</v>
          </cell>
        </row>
        <row r="1586">
          <cell r="H1586" t="str">
            <v>FT LEWIS REFUSE TAX</v>
          </cell>
          <cell r="I1586" t="str">
            <v>3.6% WA STATE REFUSE TAX</v>
          </cell>
        </row>
        <row r="1587">
          <cell r="H1587" t="str">
            <v>FINCHG</v>
          </cell>
          <cell r="I1587" t="str">
            <v>LATE FEE</v>
          </cell>
        </row>
        <row r="1588">
          <cell r="H1588" t="str">
            <v>FINCHG</v>
          </cell>
          <cell r="I1588" t="str">
            <v>LATE FEE</v>
          </cell>
        </row>
        <row r="1589">
          <cell r="H1589" t="str">
            <v>MM</v>
          </cell>
          <cell r="I1589" t="str">
            <v>ADJUST BALANCE (MM)</v>
          </cell>
        </row>
        <row r="1590">
          <cell r="H1590" t="str">
            <v>ACCESS-COMM</v>
          </cell>
          <cell r="I1590" t="str">
            <v>ACCESS FEE - COMM</v>
          </cell>
        </row>
        <row r="1591">
          <cell r="H1591" t="str">
            <v>FL001.0Y1W001</v>
          </cell>
          <cell r="I1591" t="str">
            <v>1 YD 1X WK 1</v>
          </cell>
        </row>
        <row r="1592">
          <cell r="H1592" t="str">
            <v>FL001.5Y1W001</v>
          </cell>
          <cell r="I1592" t="str">
            <v>1.5 YD 1X WK 1</v>
          </cell>
        </row>
        <row r="1593">
          <cell r="H1593" t="str">
            <v>FL001.5Y2W001</v>
          </cell>
          <cell r="I1593" t="str">
            <v>1.5 YD 2X WK 1</v>
          </cell>
        </row>
        <row r="1594">
          <cell r="H1594" t="str">
            <v>FL001.5Y3W001</v>
          </cell>
          <cell r="I1594" t="str">
            <v>1.5 YD 3X WK 1</v>
          </cell>
        </row>
        <row r="1595">
          <cell r="H1595" t="str">
            <v>FL001.5Y4W001</v>
          </cell>
          <cell r="I1595" t="str">
            <v>1.5 YD 4X WK 1</v>
          </cell>
        </row>
        <row r="1596">
          <cell r="H1596" t="str">
            <v>FL001.5Y5W001</v>
          </cell>
          <cell r="I1596" t="str">
            <v>1.5 YD 5X WK 1</v>
          </cell>
        </row>
        <row r="1597">
          <cell r="H1597" t="str">
            <v>FL002.0Y1W001</v>
          </cell>
          <cell r="I1597" t="str">
            <v>2 YD 1X WK 1</v>
          </cell>
        </row>
        <row r="1598">
          <cell r="H1598" t="str">
            <v>FL002.0Y3W001</v>
          </cell>
          <cell r="I1598" t="str">
            <v>2 YD 3X WK 1</v>
          </cell>
        </row>
        <row r="1599">
          <cell r="H1599" t="str">
            <v>FL002.0Y5W001</v>
          </cell>
          <cell r="I1599" t="str">
            <v>2 YD 5X WK 1</v>
          </cell>
        </row>
        <row r="1600">
          <cell r="H1600" t="str">
            <v>FL003.0Y1W001</v>
          </cell>
          <cell r="I1600" t="str">
            <v>3 YD 1X WK 1</v>
          </cell>
        </row>
        <row r="1601">
          <cell r="H1601" t="str">
            <v>FL003.0Y2W001</v>
          </cell>
          <cell r="I1601" t="str">
            <v>3 YD 2X WK 1</v>
          </cell>
        </row>
        <row r="1602">
          <cell r="H1602" t="str">
            <v>FL004.0Y1W001</v>
          </cell>
          <cell r="I1602" t="str">
            <v>4 YD 1X WK 1</v>
          </cell>
        </row>
        <row r="1603">
          <cell r="H1603" t="str">
            <v>FL006.0Y1W001</v>
          </cell>
          <cell r="I1603" t="str">
            <v>6 YD 1X WK 1</v>
          </cell>
        </row>
        <row r="1604">
          <cell r="H1604" t="str">
            <v>FL006.0Y2W001</v>
          </cell>
          <cell r="I1604" t="str">
            <v>6 YD 2X WK 1</v>
          </cell>
        </row>
        <row r="1605">
          <cell r="H1605" t="str">
            <v>FL006.0Y3W001</v>
          </cell>
          <cell r="I1605" t="str">
            <v>6 YD 3X WK 1</v>
          </cell>
        </row>
        <row r="1606">
          <cell r="H1606" t="str">
            <v>SL065.0G1W001NORECC</v>
          </cell>
          <cell r="I1606" t="str">
            <v xml:space="preserve">65 GL 1X WK NO RECY COMM </v>
          </cell>
        </row>
        <row r="1607">
          <cell r="H1607" t="str">
            <v>SL065.0G1W001WRECC</v>
          </cell>
          <cell r="I1607" t="str">
            <v>65 GL 1X WK W/RECY COMM 1</v>
          </cell>
        </row>
        <row r="1608">
          <cell r="H1608" t="str">
            <v>SL095.0G1W001NORECC</v>
          </cell>
          <cell r="I1608" t="str">
            <v xml:space="preserve">95 GL 1X WK NO RECY COMM </v>
          </cell>
        </row>
        <row r="1609">
          <cell r="H1609" t="str">
            <v>EXTRA-COMM</v>
          </cell>
          <cell r="I1609" t="str">
            <v>EXTRA CAN, BAG, BOX - COM</v>
          </cell>
        </row>
        <row r="1610">
          <cell r="H1610" t="str">
            <v>REINSTATE-COMM</v>
          </cell>
          <cell r="I1610" t="str">
            <v>REINSTATE FEE - COMM</v>
          </cell>
        </row>
        <row r="1611">
          <cell r="H1611" t="str">
            <v>SP6-COMM</v>
          </cell>
          <cell r="I1611" t="str">
            <v>SPECIAL PICK UP 6 YD - CO</v>
          </cell>
        </row>
        <row r="1612">
          <cell r="H1612" t="str">
            <v>FL002.0Y1W001BCMGL</v>
          </cell>
          <cell r="I1612" t="str">
            <v>2 YD 1X WK BUS CMGL 1</v>
          </cell>
        </row>
        <row r="1613">
          <cell r="H1613" t="str">
            <v>FL002.0Y1W001BOCC</v>
          </cell>
          <cell r="I1613" t="str">
            <v>2 YD 1X WK BUS OCC 1</v>
          </cell>
        </row>
        <row r="1614">
          <cell r="H1614" t="str">
            <v>FL002.0Y2W001BCMGL</v>
          </cell>
          <cell r="I1614" t="str">
            <v>2 YD 2X WK BUS CMGL 1</v>
          </cell>
        </row>
        <row r="1615">
          <cell r="H1615" t="str">
            <v>FL004.0Y2W001CMGL</v>
          </cell>
          <cell r="I1615" t="str">
            <v>4 YD 2X WK BUS CMGL 1</v>
          </cell>
        </row>
        <row r="1616">
          <cell r="H1616" t="str">
            <v>FL005.0Y1W001BOCC</v>
          </cell>
          <cell r="I1616" t="str">
            <v>5 YD 1X WK BUS OCC 1</v>
          </cell>
        </row>
        <row r="1617">
          <cell r="H1617" t="str">
            <v>FL005.0Y2W001BOCC</v>
          </cell>
          <cell r="I1617" t="str">
            <v>5 YD 2X WK BUS OCC 1</v>
          </cell>
        </row>
        <row r="1618">
          <cell r="H1618" t="str">
            <v>FL006.0Y1W001BCMGL</v>
          </cell>
          <cell r="I1618" t="str">
            <v>6 YD 1X WK BUS COMINGLE 1</v>
          </cell>
        </row>
        <row r="1619">
          <cell r="H1619" t="str">
            <v>SL096.0GEO001BCMGLOUT</v>
          </cell>
          <cell r="I1619" t="str">
            <v>96 GL EOW BUS CMGL OUT</v>
          </cell>
        </row>
        <row r="1620">
          <cell r="H1620" t="str">
            <v>CC-KOL</v>
          </cell>
          <cell r="I1620" t="str">
            <v>ONLINE PAYMENT-CC</v>
          </cell>
        </row>
        <row r="1621">
          <cell r="H1621" t="str">
            <v>PAY</v>
          </cell>
          <cell r="I1621" t="str">
            <v>PAYMENT THANK YOU</v>
          </cell>
        </row>
        <row r="1622">
          <cell r="H1622" t="str">
            <v>PAY-KOL</v>
          </cell>
          <cell r="I1622" t="str">
            <v>PAYMENT-THANK YOU - OL</v>
          </cell>
        </row>
        <row r="1623">
          <cell r="H1623" t="str">
            <v>PAY-NATL</v>
          </cell>
          <cell r="I1623" t="str">
            <v>PAYMENT THANK YOU</v>
          </cell>
        </row>
        <row r="1624">
          <cell r="H1624" t="str">
            <v>PAYEFT</v>
          </cell>
          <cell r="I1624" t="str">
            <v>EFT PAYMENT</v>
          </cell>
        </row>
        <row r="1625">
          <cell r="H1625" t="str">
            <v>PAYICT</v>
          </cell>
          <cell r="I1625" t="str">
            <v>I/C PAYMENT THANK YOU</v>
          </cell>
        </row>
        <row r="1626">
          <cell r="H1626" t="str">
            <v>PAYL</v>
          </cell>
          <cell r="I1626" t="str">
            <v>PAYMENT THANK YOU</v>
          </cell>
        </row>
        <row r="1627">
          <cell r="H1627" t="str">
            <v>PAYUSBL</v>
          </cell>
          <cell r="I1627" t="str">
            <v>PAYMENT THANK YOU</v>
          </cell>
        </row>
        <row r="1628">
          <cell r="H1628" t="str">
            <v>LIDRO</v>
          </cell>
          <cell r="I1628" t="str">
            <v>LID CHARGE - RO</v>
          </cell>
        </row>
        <row r="1629">
          <cell r="H1629" t="str">
            <v>RENT20MO-RO</v>
          </cell>
          <cell r="I1629" t="str">
            <v>RENTAL FEE 20 YD MONTHLY</v>
          </cell>
        </row>
        <row r="1630">
          <cell r="H1630" t="str">
            <v>RENT20TEMP-RO</v>
          </cell>
          <cell r="I1630" t="str">
            <v>RENTAL FEE 20 YD TEMP - R</v>
          </cell>
        </row>
        <row r="1631">
          <cell r="H1631" t="str">
            <v>RENT30MO-RO</v>
          </cell>
          <cell r="I1631" t="str">
            <v>RENTAL FEE 30 YD MONTHLY</v>
          </cell>
        </row>
        <row r="1632">
          <cell r="H1632" t="str">
            <v>RENT40MO-RO</v>
          </cell>
          <cell r="I1632" t="str">
            <v>RENTAL FEE 40 YD MONTHLY</v>
          </cell>
        </row>
        <row r="1633">
          <cell r="H1633" t="str">
            <v>CLEAN20-RO</v>
          </cell>
          <cell r="I1633" t="str">
            <v>CLEANING FEE 20 YD - RO</v>
          </cell>
        </row>
        <row r="1634">
          <cell r="H1634" t="str">
            <v>DEL20TEMP-RO</v>
          </cell>
          <cell r="I1634" t="str">
            <v>DELIVERY FEE 20 YD TEMP -</v>
          </cell>
        </row>
        <row r="1635">
          <cell r="H1635" t="str">
            <v>DEL40-RO</v>
          </cell>
          <cell r="I1635" t="str">
            <v>DELIVERY FEE 40 YD - RO</v>
          </cell>
        </row>
        <row r="1636">
          <cell r="H1636" t="str">
            <v>DISCO-CP</v>
          </cell>
          <cell r="I1636" t="str">
            <v xml:space="preserve">COMPACTOR DISCONNECT FEE </v>
          </cell>
        </row>
        <row r="1637">
          <cell r="H1637" t="str">
            <v>DISPFEDMSW-RO</v>
          </cell>
          <cell r="I1637" t="str">
            <v xml:space="preserve">DISPOSAL FEE FEDERAL MSW </v>
          </cell>
        </row>
        <row r="1638">
          <cell r="H1638" t="str">
            <v>FINAL20-RO</v>
          </cell>
          <cell r="I1638" t="str">
            <v>FINAL PULL 20 YD - RO</v>
          </cell>
        </row>
        <row r="1639">
          <cell r="H1639" t="str">
            <v>FINAL30TEMP-RO</v>
          </cell>
          <cell r="I1639" t="str">
            <v>FINAL PULL 30 YD TEMP - R</v>
          </cell>
        </row>
        <row r="1640">
          <cell r="H1640" t="str">
            <v>HAUL20-CP</v>
          </cell>
          <cell r="I1640" t="str">
            <v>COMPACTOR HAUL 20 YD - RO</v>
          </cell>
        </row>
        <row r="1641">
          <cell r="H1641" t="str">
            <v>HAUL20-RO</v>
          </cell>
          <cell r="I1641" t="str">
            <v>HAUL 20 YD - RO</v>
          </cell>
        </row>
        <row r="1642">
          <cell r="H1642" t="str">
            <v>HAUL30-RO</v>
          </cell>
          <cell r="I1642" t="str">
            <v>HAUL 30 YD - RO</v>
          </cell>
        </row>
        <row r="1643">
          <cell r="H1643" t="str">
            <v>HAUL40-RO</v>
          </cell>
          <cell r="I1643" t="str">
            <v>HAUL 40 YD - RO</v>
          </cell>
        </row>
        <row r="1644">
          <cell r="H1644" t="str">
            <v>MILE-RO</v>
          </cell>
          <cell r="I1644" t="str">
            <v>MILEAGE FEE - RO</v>
          </cell>
        </row>
        <row r="1645">
          <cell r="H1645" t="str">
            <v>RENT20TEMP-RO</v>
          </cell>
          <cell r="I1645" t="str">
            <v>RENTAL FEE 20 YD TEMP - R</v>
          </cell>
        </row>
        <row r="1646">
          <cell r="H1646" t="str">
            <v>RENT30TEMP-RO</v>
          </cell>
          <cell r="I1646" t="str">
            <v>RENTAL FEE 30 YD TEMP - R</v>
          </cell>
        </row>
        <row r="1647">
          <cell r="H1647" t="str">
            <v>RTRNTRIP-RO</v>
          </cell>
          <cell r="I1647" t="str">
            <v>RETURN TRIP FEE - RO</v>
          </cell>
        </row>
        <row r="1648">
          <cell r="H1648" t="str">
            <v>COMMODITY SURCHARGE</v>
          </cell>
          <cell r="I1648" t="str">
            <v>COMMODITY SURCHARGE</v>
          </cell>
        </row>
        <row r="1649">
          <cell r="H1649" t="str">
            <v>FT LEWIS REFUSE TAX</v>
          </cell>
          <cell r="I1649" t="str">
            <v>3.6% WA STATE REFUSE TAX</v>
          </cell>
        </row>
        <row r="1650">
          <cell r="H1650" t="str">
            <v>FT LEWIS REFUSE TAX</v>
          </cell>
          <cell r="I1650" t="str">
            <v>3.6% WA STATE REFUSE TAX</v>
          </cell>
        </row>
        <row r="1651">
          <cell r="H1651" t="str">
            <v>FT LEWIS STATE SALES TAX</v>
          </cell>
          <cell r="I1651" t="str">
            <v>9.3% WA STATE SALES TAX</v>
          </cell>
        </row>
        <row r="1652">
          <cell r="H1652" t="str">
            <v>FT LEWIS REFUSE TAX</v>
          </cell>
          <cell r="I1652" t="str">
            <v>3.6% WA STATE REFUSE TAX</v>
          </cell>
        </row>
        <row r="1653">
          <cell r="H1653" t="str">
            <v>FT LEWIS STATE SALES TAX</v>
          </cell>
          <cell r="I1653" t="str">
            <v>9.3% WA STATE SALES TAX</v>
          </cell>
        </row>
        <row r="1654">
          <cell r="H1654" t="str">
            <v>FINCHG</v>
          </cell>
          <cell r="I1654" t="str">
            <v>LATE FEE</v>
          </cell>
        </row>
        <row r="1655">
          <cell r="H1655" t="str">
            <v>BD</v>
          </cell>
          <cell r="I1655" t="str">
            <v>BAD DEBT WRITE OFF</v>
          </cell>
        </row>
        <row r="1656">
          <cell r="H1656" t="str">
            <v>BDR</v>
          </cell>
          <cell r="I1656" t="str">
            <v>BAD DEBT RECOVERY</v>
          </cell>
        </row>
        <row r="1657">
          <cell r="H1657" t="str">
            <v>COLLFEE</v>
          </cell>
          <cell r="I1657" t="str">
            <v>COLLECTION AGENCY FEE</v>
          </cell>
        </row>
        <row r="1658">
          <cell r="H1658" t="str">
            <v>FINCHG</v>
          </cell>
          <cell r="I1658" t="str">
            <v>LATE FEE</v>
          </cell>
        </row>
        <row r="1659">
          <cell r="H1659" t="str">
            <v>MM</v>
          </cell>
          <cell r="I1659" t="str">
            <v>ADJUST BALANCE (MM)</v>
          </cell>
        </row>
        <row r="1660">
          <cell r="H1660" t="str">
            <v>MM</v>
          </cell>
          <cell r="I1660" t="str">
            <v>ADJUST BALANCE (MM)</v>
          </cell>
        </row>
        <row r="1661">
          <cell r="H1661" t="str">
            <v>REFUND</v>
          </cell>
          <cell r="I1661" t="str">
            <v>REFUND</v>
          </cell>
        </row>
        <row r="1662">
          <cell r="H1662" t="str">
            <v>BD</v>
          </cell>
          <cell r="I1662" t="str">
            <v>BAD DEBT WRITE OFF</v>
          </cell>
        </row>
        <row r="1663">
          <cell r="H1663" t="str">
            <v>BDR</v>
          </cell>
          <cell r="I1663" t="str">
            <v>BAD DEBT RECOVERY</v>
          </cell>
        </row>
        <row r="1664">
          <cell r="H1664" t="str">
            <v>COLLFEE</v>
          </cell>
          <cell r="I1664" t="str">
            <v>COLLECTION AGENCY FEE</v>
          </cell>
        </row>
        <row r="1665">
          <cell r="H1665" t="str">
            <v>FINCHG</v>
          </cell>
          <cell r="I1665" t="str">
            <v>LATE FEE</v>
          </cell>
        </row>
        <row r="1666">
          <cell r="H1666" t="str">
            <v>MM</v>
          </cell>
          <cell r="I1666" t="str">
            <v>ADJUST BALANCE (MM)</v>
          </cell>
        </row>
        <row r="1667">
          <cell r="H1667" t="str">
            <v>MM</v>
          </cell>
          <cell r="I1667" t="str">
            <v>ADJUST BALANCE (MM)</v>
          </cell>
        </row>
        <row r="1668">
          <cell r="H1668" t="str">
            <v>REFUND</v>
          </cell>
          <cell r="I1668" t="str">
            <v>REFUND</v>
          </cell>
        </row>
        <row r="1669">
          <cell r="H1669" t="str">
            <v>RETCK-LB</v>
          </cell>
          <cell r="I1669" t="str">
            <v>RETURNED CHECK - LOCKBOX</v>
          </cell>
        </row>
        <row r="1670">
          <cell r="H1670" t="str">
            <v>RETCKC</v>
          </cell>
          <cell r="I1670" t="str">
            <v>RETURN CHECK CHARGE</v>
          </cell>
        </row>
        <row r="1671">
          <cell r="H1671" t="str">
            <v>FINCHG</v>
          </cell>
          <cell r="I1671" t="str">
            <v>LATE FEE</v>
          </cell>
        </row>
        <row r="1672">
          <cell r="H1672" t="str">
            <v>BD</v>
          </cell>
          <cell r="I1672" t="str">
            <v>BAD DEBT WRITE OFF</v>
          </cell>
        </row>
        <row r="1673">
          <cell r="H1673" t="str">
            <v>BDR</v>
          </cell>
          <cell r="I1673" t="str">
            <v>BAD DEBT RECOVERY</v>
          </cell>
        </row>
        <row r="1674">
          <cell r="H1674" t="str">
            <v>COLLFEE</v>
          </cell>
          <cell r="I1674" t="str">
            <v>COLLECTION AGENCY FEE</v>
          </cell>
        </row>
        <row r="1675">
          <cell r="H1675" t="str">
            <v>FINCHG</v>
          </cell>
          <cell r="I1675" t="str">
            <v>LATE FEE</v>
          </cell>
        </row>
        <row r="1676">
          <cell r="H1676" t="str">
            <v>MM</v>
          </cell>
          <cell r="I1676" t="str">
            <v>ADJUST BALANCE (MM)</v>
          </cell>
        </row>
        <row r="1677">
          <cell r="H1677" t="str">
            <v>MM</v>
          </cell>
          <cell r="I1677" t="str">
            <v>ADJUST BALANCE (MM)</v>
          </cell>
        </row>
        <row r="1678">
          <cell r="H1678" t="str">
            <v>REFUND</v>
          </cell>
          <cell r="I1678" t="str">
            <v>REFUND</v>
          </cell>
        </row>
        <row r="1679">
          <cell r="H1679" t="str">
            <v>RETCK-LB</v>
          </cell>
          <cell r="I1679" t="str">
            <v>RETURNED CHECK - LOCKBOX</v>
          </cell>
        </row>
        <row r="1680">
          <cell r="H1680" t="str">
            <v>MM</v>
          </cell>
          <cell r="I1680" t="str">
            <v>ADJUST BALANCE (MM)</v>
          </cell>
        </row>
        <row r="1681">
          <cell r="H1681" t="str">
            <v>ACCESS-COMM</v>
          </cell>
          <cell r="I1681" t="str">
            <v>ACCESS FEE - COMM</v>
          </cell>
        </row>
        <row r="1682">
          <cell r="H1682" t="str">
            <v>ACCESS-MF</v>
          </cell>
          <cell r="I1682" t="str">
            <v>ACCESS FEE - MF</v>
          </cell>
        </row>
        <row r="1683">
          <cell r="H1683" t="str">
            <v>DONATIONC</v>
          </cell>
          <cell r="I1683" t="str">
            <v>DONATED SERVICE COMM</v>
          </cell>
        </row>
        <row r="1684">
          <cell r="H1684" t="str">
            <v>DRIVEIN1-COMM</v>
          </cell>
          <cell r="I1684" t="str">
            <v>DRIVE IN 125-250' - COMM</v>
          </cell>
        </row>
        <row r="1685">
          <cell r="H1685" t="str">
            <v>DRIVEIN3-COMM</v>
          </cell>
          <cell r="I1685" t="str">
            <v>DRIVE IN 779-1306' - COMM</v>
          </cell>
        </row>
        <row r="1686">
          <cell r="H1686" t="str">
            <v>FL001.0Y1W001</v>
          </cell>
          <cell r="I1686" t="str">
            <v>1 YD 1X WK 1</v>
          </cell>
        </row>
        <row r="1687">
          <cell r="H1687" t="str">
            <v>FL001.0Y2W001</v>
          </cell>
          <cell r="I1687" t="str">
            <v>1 YD 2X WK 1</v>
          </cell>
        </row>
        <row r="1688">
          <cell r="H1688" t="str">
            <v>FL001.0Y3W001</v>
          </cell>
          <cell r="I1688" t="str">
            <v>1 YD 3X WK 1</v>
          </cell>
        </row>
        <row r="1689">
          <cell r="H1689" t="str">
            <v>FL001.5Y1W001</v>
          </cell>
          <cell r="I1689" t="str">
            <v>1.5 YD 1X WK 1</v>
          </cell>
        </row>
        <row r="1690">
          <cell r="H1690" t="str">
            <v>FL001.5Y2W001</v>
          </cell>
          <cell r="I1690" t="str">
            <v>1.5 YD 2X WK 1</v>
          </cell>
        </row>
        <row r="1691">
          <cell r="H1691" t="str">
            <v>FL001.5Y3W001</v>
          </cell>
          <cell r="I1691" t="str">
            <v>1.5 YD 3X WK 1</v>
          </cell>
        </row>
        <row r="1692">
          <cell r="H1692" t="str">
            <v>FL002.0Y1W001</v>
          </cell>
          <cell r="I1692" t="str">
            <v>2 YD 1X WK 1</v>
          </cell>
        </row>
        <row r="1693">
          <cell r="H1693" t="str">
            <v>FL002.0Y2W001</v>
          </cell>
          <cell r="I1693" t="str">
            <v>2 YD 2X WK 1</v>
          </cell>
        </row>
        <row r="1694">
          <cell r="H1694" t="str">
            <v>FL002.0Y3W001</v>
          </cell>
          <cell r="I1694" t="str">
            <v>2 YD 3X WK 1</v>
          </cell>
        </row>
        <row r="1695">
          <cell r="H1695" t="str">
            <v>FL002.0Y4W001</v>
          </cell>
          <cell r="I1695" t="str">
            <v>2 YD 4X WK 1</v>
          </cell>
        </row>
        <row r="1696">
          <cell r="H1696" t="str">
            <v>FL002.0Y5W001</v>
          </cell>
          <cell r="I1696" t="str">
            <v>2 YD 5X WK 1</v>
          </cell>
        </row>
        <row r="1697">
          <cell r="H1697" t="str">
            <v>FL003.0Y1W001</v>
          </cell>
          <cell r="I1697" t="str">
            <v>3 YD 1X WK 1</v>
          </cell>
        </row>
        <row r="1698">
          <cell r="H1698" t="str">
            <v>FL003.0Y2W001</v>
          </cell>
          <cell r="I1698" t="str">
            <v>3 YD 2X WK 1</v>
          </cell>
        </row>
        <row r="1699">
          <cell r="H1699" t="str">
            <v>FL003.0Y3W001</v>
          </cell>
          <cell r="I1699" t="str">
            <v>3 YD 3X WK 1</v>
          </cell>
        </row>
        <row r="1700">
          <cell r="H1700" t="str">
            <v>FL003.0Y5W001</v>
          </cell>
          <cell r="I1700" t="str">
            <v>3 YD 5X WK 1</v>
          </cell>
        </row>
        <row r="1701">
          <cell r="H1701" t="str">
            <v>FL004.0Y1W001</v>
          </cell>
          <cell r="I1701" t="str">
            <v>4 YD 1X WK 1</v>
          </cell>
        </row>
        <row r="1702">
          <cell r="H1702" t="str">
            <v>FL004.0Y2W001</v>
          </cell>
          <cell r="I1702" t="str">
            <v>4 YD 2X WK 1</v>
          </cell>
        </row>
        <row r="1703">
          <cell r="H1703" t="str">
            <v>FL004.0Y2W001CMP</v>
          </cell>
          <cell r="I1703" t="str">
            <v>4 YD 2X WK COMP 1</v>
          </cell>
        </row>
        <row r="1704">
          <cell r="H1704" t="str">
            <v>FL004.0Y3W001</v>
          </cell>
          <cell r="I1704" t="str">
            <v>4 YD 3X WK 1</v>
          </cell>
        </row>
        <row r="1705">
          <cell r="H1705" t="str">
            <v>FL004.0Y4W001</v>
          </cell>
          <cell r="I1705" t="str">
            <v>4 YD 4X WK 1</v>
          </cell>
        </row>
        <row r="1706">
          <cell r="H1706" t="str">
            <v>FL004.0Y5W001</v>
          </cell>
          <cell r="I1706" t="str">
            <v>4 YD 5X WK 1</v>
          </cell>
        </row>
        <row r="1707">
          <cell r="H1707" t="str">
            <v>FL006.0Y1W001</v>
          </cell>
          <cell r="I1707" t="str">
            <v>6 YD 1X WK 1</v>
          </cell>
        </row>
        <row r="1708">
          <cell r="H1708" t="str">
            <v>FL006.0Y2W001</v>
          </cell>
          <cell r="I1708" t="str">
            <v>6 YD 2X WK 1</v>
          </cell>
        </row>
        <row r="1709">
          <cell r="H1709" t="str">
            <v>FL006.0Y2W001CMP</v>
          </cell>
          <cell r="I1709" t="str">
            <v>6 YD 2X WK COMP 1</v>
          </cell>
        </row>
        <row r="1710">
          <cell r="H1710" t="str">
            <v>FL006.0Y3W001</v>
          </cell>
          <cell r="I1710" t="str">
            <v>6 YD 3X WK 1</v>
          </cell>
        </row>
        <row r="1711">
          <cell r="H1711" t="str">
            <v>FL006.0Y4W001</v>
          </cell>
          <cell r="I1711" t="str">
            <v>6 YD 4X WK 1</v>
          </cell>
        </row>
        <row r="1712">
          <cell r="H1712" t="str">
            <v>FL006.0Y5W001</v>
          </cell>
          <cell r="I1712" t="str">
            <v>6 YD 5X WK 1</v>
          </cell>
        </row>
        <row r="1713">
          <cell r="H1713" t="str">
            <v>GWCOMM</v>
          </cell>
          <cell r="I1713" t="str">
            <v>GREENWASTE SERVICE - COMM</v>
          </cell>
        </row>
        <row r="1714">
          <cell r="H1714" t="str">
            <v>RL032.0G1W001WRECC</v>
          </cell>
          <cell r="I1714" t="str">
            <v>32 GL 1X WK W/RECY COMM 1</v>
          </cell>
        </row>
        <row r="1715">
          <cell r="H1715" t="str">
            <v>ROLL-COMM</v>
          </cell>
          <cell r="I1715" t="str">
            <v>ROLL OUT CHARGE - COMM</v>
          </cell>
        </row>
        <row r="1716">
          <cell r="H1716" t="str">
            <v>SL065.0G1M001NORECC</v>
          </cell>
          <cell r="I1716" t="str">
            <v xml:space="preserve">65 GL 1X MO NO RECY COMM </v>
          </cell>
        </row>
        <row r="1717">
          <cell r="H1717" t="str">
            <v>SL065.0G1W001NORECC</v>
          </cell>
          <cell r="I1717" t="str">
            <v xml:space="preserve">65 GL 1X WK NO RECY COMM </v>
          </cell>
        </row>
        <row r="1718">
          <cell r="H1718" t="str">
            <v>SL065.0G1W001WRECC</v>
          </cell>
          <cell r="I1718" t="str">
            <v>65 GL 1X WK W/RECY COMM 1</v>
          </cell>
        </row>
        <row r="1719">
          <cell r="H1719" t="str">
            <v>SL065.0GEO001NORECC</v>
          </cell>
          <cell r="I1719" t="str">
            <v>65 GL EOW NO RECY COMM 1</v>
          </cell>
        </row>
        <row r="1720">
          <cell r="H1720" t="str">
            <v>SL065.0GEO001WRECC</v>
          </cell>
          <cell r="I1720" t="str">
            <v>65 GL EOW W/RECY COMM 1</v>
          </cell>
        </row>
        <row r="1721">
          <cell r="H1721" t="str">
            <v>SL095.0G1W001NORECC</v>
          </cell>
          <cell r="I1721" t="str">
            <v xml:space="preserve">95 GL 1X WK NO RECY COMM </v>
          </cell>
        </row>
        <row r="1722">
          <cell r="H1722" t="str">
            <v>SL095.0G1W001WRECC</v>
          </cell>
          <cell r="I1722" t="str">
            <v>95 GL 1X WK W/RECY COMM 1</v>
          </cell>
        </row>
        <row r="1723">
          <cell r="H1723" t="str">
            <v>SL095.0GEO001NORECC</v>
          </cell>
          <cell r="I1723" t="str">
            <v>95 GL EOW NO RECY COMM 1</v>
          </cell>
        </row>
        <row r="1724">
          <cell r="H1724" t="str">
            <v>SL095.0GEO001WRECC</v>
          </cell>
          <cell r="I1724" t="str">
            <v>95 GL EOW W/RECY COMM 1</v>
          </cell>
        </row>
        <row r="1725">
          <cell r="H1725" t="str">
            <v>WI1-COMM</v>
          </cell>
          <cell r="I1725" t="str">
            <v>WALK IN 6-25' - COMM</v>
          </cell>
        </row>
        <row r="1726">
          <cell r="H1726" t="str">
            <v>WI2-COMM</v>
          </cell>
          <cell r="I1726" t="str">
            <v>WALK IN 26-50' - COMM</v>
          </cell>
        </row>
        <row r="1727">
          <cell r="H1727" t="str">
            <v>ACCESS-COMM</v>
          </cell>
          <cell r="I1727" t="str">
            <v>ACCESS FEE - COMM</v>
          </cell>
        </row>
        <row r="1728">
          <cell r="H1728" t="str">
            <v>BULKY-COMM</v>
          </cell>
          <cell r="I1728" t="str">
            <v>BULKY ITEM PICK UP - COMM</v>
          </cell>
        </row>
        <row r="1729">
          <cell r="H1729" t="str">
            <v>CANCOUNT-COMM</v>
          </cell>
          <cell r="I1729" t="str">
            <v>CAN COUNT - COMM</v>
          </cell>
        </row>
        <row r="1730">
          <cell r="H1730" t="str">
            <v>CLEAN2-COMM</v>
          </cell>
          <cell r="I1730" t="str">
            <v>CLEANING FEE 2 YD - COMM</v>
          </cell>
        </row>
        <row r="1731">
          <cell r="H1731" t="str">
            <v>CLEAN6-COMM</v>
          </cell>
          <cell r="I1731" t="str">
            <v>CLEANING FEE 6 YD - COMM</v>
          </cell>
        </row>
        <row r="1732">
          <cell r="H1732" t="str">
            <v>DEL2TEMP-COMM</v>
          </cell>
          <cell r="I1732" t="str">
            <v xml:space="preserve">DELIVERY FEE 2 YD TEMP - </v>
          </cell>
        </row>
        <row r="1733">
          <cell r="H1733" t="str">
            <v>EXTRAGRAD1-COMM</v>
          </cell>
          <cell r="I1733" t="str">
            <v>EXTRAS GRADUATED 1-2 - COMM</v>
          </cell>
        </row>
        <row r="1734">
          <cell r="H1734" t="str">
            <v>EXTRAGRAD2-COMM</v>
          </cell>
          <cell r="I1734" t="str">
            <v>EXTRAS GRADUATED 3+ - COMM</v>
          </cell>
        </row>
        <row r="1735">
          <cell r="H1735" t="str">
            <v>EXTRAYDG-COM</v>
          </cell>
          <cell r="I1735" t="str">
            <v>EXTRA YARDAGE - COMM</v>
          </cell>
        </row>
        <row r="1736">
          <cell r="H1736" t="str">
            <v>FL002.0YXX001TEMPC</v>
          </cell>
          <cell r="I1736" t="str">
            <v xml:space="preserve">2 YD TEMP </v>
          </cell>
        </row>
        <row r="1737">
          <cell r="H1737" t="str">
            <v>FL003.0Y2W001</v>
          </cell>
          <cell r="I1737" t="str">
            <v>3 YD 2X WK 1</v>
          </cell>
        </row>
        <row r="1738">
          <cell r="H1738" t="str">
            <v>FL006.0YXX001TEMPC</v>
          </cell>
          <cell r="I1738" t="str">
            <v>6 YD TEMP 1</v>
          </cell>
        </row>
        <row r="1739">
          <cell r="H1739" t="str">
            <v>REDEL-COMM</v>
          </cell>
          <cell r="I1739" t="str">
            <v>REDELIVER FEE LVL 1 - COM</v>
          </cell>
        </row>
        <row r="1740">
          <cell r="H1740" t="str">
            <v>REINSTATE-COMM</v>
          </cell>
          <cell r="I1740" t="str">
            <v>REINSTATE FEE - COMM</v>
          </cell>
        </row>
        <row r="1741">
          <cell r="H1741" t="str">
            <v>RENT2TEMP-COMM</v>
          </cell>
          <cell r="I1741" t="str">
            <v>RENT 2 YD TEMP - COMM</v>
          </cell>
        </row>
        <row r="1742">
          <cell r="H1742" t="str">
            <v>RENT6TEMP-COMM</v>
          </cell>
          <cell r="I1742" t="str">
            <v>RENT 6 YD TEMP - COMM</v>
          </cell>
        </row>
        <row r="1743">
          <cell r="H1743" t="str">
            <v>RTRNTRIP-COMM</v>
          </cell>
          <cell r="I1743" t="str">
            <v>RETURN TRIP FEE - COMM</v>
          </cell>
        </row>
        <row r="1744">
          <cell r="H1744" t="str">
            <v>SP1-COMM</v>
          </cell>
          <cell r="I1744" t="str">
            <v>SPECIAL PICK UP 1 YD - CO</v>
          </cell>
        </row>
        <row r="1745">
          <cell r="H1745" t="str">
            <v>SP1.5-COMM</v>
          </cell>
          <cell r="I1745" t="str">
            <v xml:space="preserve">SPECIAL PICK UP 1.5 YD - </v>
          </cell>
        </row>
        <row r="1746">
          <cell r="H1746" t="str">
            <v>SP2-COMM</v>
          </cell>
          <cell r="I1746" t="str">
            <v>SPECIAL PICK UP 2 YD - CO</v>
          </cell>
        </row>
        <row r="1747">
          <cell r="H1747" t="str">
            <v>SP3-COMM</v>
          </cell>
          <cell r="I1747" t="str">
            <v>SPECIAL PICK UP 3 YD - CO</v>
          </cell>
        </row>
        <row r="1748">
          <cell r="H1748" t="str">
            <v>SP4-COMM</v>
          </cell>
          <cell r="I1748" t="str">
            <v>SPECIAL PICK UP 4 YD - CO</v>
          </cell>
        </row>
        <row r="1749">
          <cell r="H1749" t="str">
            <v>SP6-COMM</v>
          </cell>
          <cell r="I1749" t="str">
            <v>SPECIAL PICK UP 6 YD - CO</v>
          </cell>
        </row>
        <row r="1750">
          <cell r="H1750" t="str">
            <v>SPGRAD1S-COMM</v>
          </cell>
          <cell r="I1750" t="str">
            <v>SPECIAL UNIT GRAD1 SCHL - COMM</v>
          </cell>
        </row>
        <row r="1751">
          <cell r="H1751" t="str">
            <v>SPGRAD2S-COMM</v>
          </cell>
          <cell r="I1751" t="str">
            <v>SPECIAL UNIT GRAD2 SCHL - COMM</v>
          </cell>
        </row>
        <row r="1752">
          <cell r="H1752" t="str">
            <v>ACCESSCREC-COMM</v>
          </cell>
          <cell r="I1752" t="str">
            <v>ACCESS FEE COMM RECY - CO</v>
          </cell>
        </row>
        <row r="1753">
          <cell r="H1753" t="str">
            <v>FL002.0Y1W001BCMGL</v>
          </cell>
          <cell r="I1753" t="str">
            <v>2 YD 1X WK BUS CMGL 1</v>
          </cell>
        </row>
        <row r="1754">
          <cell r="H1754" t="str">
            <v>FL002.0Y1W001BOCC</v>
          </cell>
          <cell r="I1754" t="str">
            <v>2 YD 1X WK BUS OCC 1</v>
          </cell>
        </row>
        <row r="1755">
          <cell r="H1755" t="str">
            <v>FL002.0Y1W001SCMGL</v>
          </cell>
          <cell r="I1755" t="str">
            <v>2 YD 1X WK SCHL CMGL 1</v>
          </cell>
        </row>
        <row r="1756">
          <cell r="H1756" t="str">
            <v>FL002.0Y1W001SOCC</v>
          </cell>
          <cell r="I1756" t="str">
            <v>2 YD 1X WK SCHOOL OCC</v>
          </cell>
        </row>
        <row r="1757">
          <cell r="H1757" t="str">
            <v>FL002.0Y2W001BCMGL</v>
          </cell>
          <cell r="I1757" t="str">
            <v>2 YD 2X WK BUS CMGL 1</v>
          </cell>
        </row>
        <row r="1758">
          <cell r="H1758" t="str">
            <v>FL002.0Y2W001BOCC</v>
          </cell>
          <cell r="I1758" t="str">
            <v>2 YD 2X WK BUS OCC 1</v>
          </cell>
        </row>
        <row r="1759">
          <cell r="H1759" t="str">
            <v>FL002.0Y2W001SOCC</v>
          </cell>
          <cell r="I1759" t="str">
            <v>2 YD 2X WK SCHOOL OCC</v>
          </cell>
        </row>
        <row r="1760">
          <cell r="H1760" t="str">
            <v>FL002.0Y3W001BOCC</v>
          </cell>
          <cell r="I1760" t="str">
            <v>2 YD 3X WK BUS OCC 1</v>
          </cell>
        </row>
        <row r="1761">
          <cell r="H1761" t="str">
            <v>FL004.0Y1W001CMGL</v>
          </cell>
          <cell r="I1761" t="str">
            <v>4 YD 1X WK BUS CMGL 1</v>
          </cell>
        </row>
        <row r="1762">
          <cell r="H1762" t="str">
            <v>FL004.0Y2W001CMGL</v>
          </cell>
          <cell r="I1762" t="str">
            <v>4 YD 2X WK BUS CMGL 1</v>
          </cell>
        </row>
        <row r="1763">
          <cell r="H1763" t="str">
            <v>FL004.0Y3W001BCMGL</v>
          </cell>
          <cell r="I1763" t="str">
            <v>4 YD 3X WK BUS CMGL 1</v>
          </cell>
        </row>
        <row r="1764">
          <cell r="H1764" t="str">
            <v>FL005.0Y1W001BOCC</v>
          </cell>
          <cell r="I1764" t="str">
            <v>5 YD 1X WK BUS OCC 1</v>
          </cell>
        </row>
        <row r="1765">
          <cell r="H1765" t="str">
            <v>FL005.0Y1W001SOCC</v>
          </cell>
          <cell r="I1765" t="str">
            <v>5 YD 1X WK SCHOOL OCC</v>
          </cell>
        </row>
        <row r="1766">
          <cell r="H1766" t="str">
            <v>FL005.0Y2W001BOCC</v>
          </cell>
          <cell r="I1766" t="str">
            <v>5 YD 2X WK BUS OCC 1</v>
          </cell>
        </row>
        <row r="1767">
          <cell r="H1767" t="str">
            <v>FL005.0Y2W001SOCC</v>
          </cell>
          <cell r="I1767" t="str">
            <v>5 YD 2X WK SCHOOL OCC</v>
          </cell>
        </row>
        <row r="1768">
          <cell r="H1768" t="str">
            <v>FL005.0Y3W001BOCC</v>
          </cell>
          <cell r="I1768" t="str">
            <v>5 YD 3X WK BUS OCC 1</v>
          </cell>
        </row>
        <row r="1769">
          <cell r="H1769" t="str">
            <v>FL005.0Y4W001BOCC</v>
          </cell>
          <cell r="I1769" t="str">
            <v>5 YD 4X WK BUS OCC 1</v>
          </cell>
        </row>
        <row r="1770">
          <cell r="H1770" t="str">
            <v>FL005.0Y5W001BOCC</v>
          </cell>
          <cell r="I1770" t="str">
            <v>5 YD 5X WK BUS OCC 1</v>
          </cell>
        </row>
        <row r="1771">
          <cell r="H1771" t="str">
            <v>FL006.0Y1W001BCMGL</v>
          </cell>
          <cell r="I1771" t="str">
            <v>6 YD 1X WK BUS COMINGLE 1</v>
          </cell>
        </row>
        <row r="1772">
          <cell r="H1772" t="str">
            <v>FL006.0Y2W001BCMGL</v>
          </cell>
          <cell r="I1772" t="str">
            <v>6 YD 2X WK BUS COMINGLE 1</v>
          </cell>
        </row>
        <row r="1773">
          <cell r="H1773" t="str">
            <v>FL006.0Y3W001BCMGL</v>
          </cell>
          <cell r="I1773" t="str">
            <v>6 YD 3X WK BUS CMGL 1</v>
          </cell>
        </row>
        <row r="1774">
          <cell r="H1774" t="str">
            <v>FL006.0Y4W001BCMGL</v>
          </cell>
          <cell r="I1774" t="str">
            <v>6 YD 4X WK BUS CMGL 1</v>
          </cell>
        </row>
        <row r="1775">
          <cell r="H1775" t="str">
            <v>MFNBINS</v>
          </cell>
          <cell r="I1775" t="str">
            <v>MULTI-FAMILY REC UNIT N/B</v>
          </cell>
        </row>
        <row r="1776">
          <cell r="H1776" t="str">
            <v>MFWBINS</v>
          </cell>
          <cell r="I1776" t="str">
            <v>MULTI-FAMILY REC UNIT W/B</v>
          </cell>
        </row>
        <row r="1777">
          <cell r="H1777" t="str">
            <v>RENTRECCNT-COMM</v>
          </cell>
          <cell r="I1777" t="str">
            <v>RENTAL FEE RECYCLE CONTAI</v>
          </cell>
        </row>
        <row r="1778">
          <cell r="H1778" t="str">
            <v>ROLL-REC</v>
          </cell>
          <cell r="I1778" t="str">
            <v>ROLL OUT CHARGE - RECYCLI</v>
          </cell>
        </row>
        <row r="1779">
          <cell r="H1779" t="str">
            <v>SL064.0G1M001BCMGLOUT</v>
          </cell>
          <cell r="I1779" t="str">
            <v>64 GL MTHLY BUS CMGL OUT</v>
          </cell>
        </row>
        <row r="1780">
          <cell r="H1780" t="str">
            <v>SL064.0G1W001BCMGLOUT</v>
          </cell>
          <cell r="I1780" t="str">
            <v>64 GL WKLY BUS CMGL OUT</v>
          </cell>
        </row>
        <row r="1781">
          <cell r="H1781" t="str">
            <v>SL064.0GEO001BCMGLOUT</v>
          </cell>
          <cell r="I1781" t="str">
            <v>64 GL EOW BUS CMGL OUT</v>
          </cell>
        </row>
        <row r="1782">
          <cell r="H1782" t="str">
            <v>SL096.0G1M001BCMGLOUT</v>
          </cell>
          <cell r="I1782" t="str">
            <v>96 GL MTHLY BUS CMGL OUT</v>
          </cell>
        </row>
        <row r="1783">
          <cell r="H1783" t="str">
            <v>SL096.0G1W001BCMGLIN</v>
          </cell>
          <cell r="I1783" t="str">
            <v>96 GL WKLY BUS CMGL IN</v>
          </cell>
        </row>
        <row r="1784">
          <cell r="H1784" t="str">
            <v>SL096.0G1W001BCMGLOUT</v>
          </cell>
          <cell r="I1784" t="str">
            <v>96 GL WKLY BUS CMGL OUT</v>
          </cell>
        </row>
        <row r="1785">
          <cell r="H1785" t="str">
            <v>SL096.0G1W001SCMGLOUT</v>
          </cell>
          <cell r="I1785" t="str">
            <v>96 GL WKLY SCHL CMGL OUT</v>
          </cell>
        </row>
        <row r="1786">
          <cell r="H1786" t="str">
            <v>SL096.0GEO001BCMGLIN</v>
          </cell>
          <cell r="I1786" t="str">
            <v>96 GL EOW BUS CMGL IN</v>
          </cell>
        </row>
        <row r="1787">
          <cell r="H1787" t="str">
            <v>SL096.0GEO001BCMGLOUT</v>
          </cell>
          <cell r="I1787" t="str">
            <v>96 GL EOW BUS CMGL OUT</v>
          </cell>
        </row>
        <row r="1788">
          <cell r="H1788" t="str">
            <v>SL096.0GEO001SCMGLOUT</v>
          </cell>
          <cell r="I1788" t="str">
            <v>96 GL EOW SCHL CMGL OUT</v>
          </cell>
        </row>
        <row r="1789">
          <cell r="H1789" t="str">
            <v>MFWBINS</v>
          </cell>
          <cell r="I1789" t="str">
            <v>MULTI-FAMILY REC UNIT W/B</v>
          </cell>
        </row>
        <row r="1790">
          <cell r="H1790" t="str">
            <v>SP2BCMGL-COMM</v>
          </cell>
          <cell r="I1790" t="str">
            <v>SPECIAL P/U 2 YD BUS CMGL</v>
          </cell>
        </row>
        <row r="1791">
          <cell r="H1791" t="str">
            <v>CC-KOL</v>
          </cell>
          <cell r="I1791" t="str">
            <v>ONLINE PAYMENT-CC</v>
          </cell>
        </row>
        <row r="1792">
          <cell r="H1792" t="str">
            <v>CCREF-KOL</v>
          </cell>
          <cell r="I1792" t="str">
            <v>CREDIT CARD REFUND</v>
          </cell>
        </row>
        <row r="1793">
          <cell r="H1793" t="str">
            <v>PAY</v>
          </cell>
          <cell r="I1793" t="str">
            <v>PAYMENT THANK YOU</v>
          </cell>
        </row>
        <row r="1794">
          <cell r="H1794" t="str">
            <v>PAY-CFREE</v>
          </cell>
          <cell r="I1794" t="str">
            <v>CHECKFREE PAYMENT</v>
          </cell>
        </row>
        <row r="1795">
          <cell r="H1795" t="str">
            <v>PAY-KOL</v>
          </cell>
          <cell r="I1795" t="str">
            <v>PAYMENT-THANK YOU - OL</v>
          </cell>
        </row>
        <row r="1796">
          <cell r="H1796" t="str">
            <v>PAY-ORCC</v>
          </cell>
          <cell r="I1796" t="str">
            <v>ORCC PAYMENT</v>
          </cell>
        </row>
        <row r="1797">
          <cell r="H1797" t="str">
            <v>PAY-RPPS</v>
          </cell>
          <cell r="I1797" t="str">
            <v>RPPS MASTERCARD PAYMENT</v>
          </cell>
        </row>
        <row r="1798">
          <cell r="H1798" t="str">
            <v>PAYICT</v>
          </cell>
          <cell r="I1798" t="str">
            <v>I/C PAYMENT THANK YOU</v>
          </cell>
        </row>
        <row r="1799">
          <cell r="H1799" t="str">
            <v>PAYL</v>
          </cell>
          <cell r="I1799" t="str">
            <v>PAYMENT THANK YOU</v>
          </cell>
        </row>
        <row r="1800">
          <cell r="H1800" t="str">
            <v>PAYMET</v>
          </cell>
          <cell r="I1800" t="str">
            <v>METAVANTE ONLINE PAYMENT</v>
          </cell>
        </row>
        <row r="1801">
          <cell r="H1801" t="str">
            <v>PAYUSBL</v>
          </cell>
          <cell r="I1801" t="str">
            <v>PAYMENT THANK YOU</v>
          </cell>
        </row>
        <row r="1802">
          <cell r="H1802" t="str">
            <v>RET-KOL</v>
          </cell>
          <cell r="I1802" t="str">
            <v>ONLINE PAYMENT RETURN</v>
          </cell>
        </row>
        <row r="1803">
          <cell r="H1803" t="str">
            <v>CC-KOL</v>
          </cell>
          <cell r="I1803" t="str">
            <v>ONLINE PAYMENT-CC</v>
          </cell>
        </row>
        <row r="1804">
          <cell r="H1804" t="str">
            <v>CCREF-KOL</v>
          </cell>
          <cell r="I1804" t="str">
            <v>CREDIT CARD REFUND</v>
          </cell>
        </row>
        <row r="1805">
          <cell r="H1805" t="str">
            <v>PAY</v>
          </cell>
          <cell r="I1805" t="str">
            <v>PAYMENT THANK YOU</v>
          </cell>
        </row>
        <row r="1806">
          <cell r="H1806" t="str">
            <v>PAY-CFREE</v>
          </cell>
          <cell r="I1806" t="str">
            <v>CHECKFREE PAYMENT</v>
          </cell>
        </row>
        <row r="1807">
          <cell r="H1807" t="str">
            <v>PAY-KOL</v>
          </cell>
          <cell r="I1807" t="str">
            <v>PAYMENT-THANK YOU - OL</v>
          </cell>
        </row>
        <row r="1808">
          <cell r="H1808" t="str">
            <v>PAY-ORCC</v>
          </cell>
          <cell r="I1808" t="str">
            <v>ORCC PAYMENT</v>
          </cell>
        </row>
        <row r="1809">
          <cell r="H1809" t="str">
            <v>PAY-RPPS</v>
          </cell>
          <cell r="I1809" t="str">
            <v>RPPS MASTERCARD PAYMENT</v>
          </cell>
        </row>
        <row r="1810">
          <cell r="H1810" t="str">
            <v>PAYMET</v>
          </cell>
          <cell r="I1810" t="str">
            <v>METAVANTE ONLINE PAYMENT</v>
          </cell>
        </row>
        <row r="1811">
          <cell r="H1811" t="str">
            <v>PAYUSBL</v>
          </cell>
          <cell r="I1811" t="str">
            <v>PAYMENT THANK YOU</v>
          </cell>
        </row>
        <row r="1812">
          <cell r="H1812" t="str">
            <v>RET-KOL</v>
          </cell>
          <cell r="I1812" t="str">
            <v>ONLINE PAYMENT RETURN</v>
          </cell>
        </row>
        <row r="1813">
          <cell r="H1813" t="str">
            <v>CC-KOL</v>
          </cell>
          <cell r="I1813" t="str">
            <v>ONLINE PAYMENT-CC</v>
          </cell>
        </row>
        <row r="1814">
          <cell r="H1814" t="str">
            <v>CCREF-KOL</v>
          </cell>
          <cell r="I1814" t="str">
            <v>CREDIT CARD REFUND</v>
          </cell>
        </row>
        <row r="1815">
          <cell r="H1815" t="str">
            <v>PAY</v>
          </cell>
          <cell r="I1815" t="str">
            <v>PAYMENT THANK YOU</v>
          </cell>
        </row>
        <row r="1816">
          <cell r="H1816" t="str">
            <v>PAY-CFREE</v>
          </cell>
          <cell r="I1816" t="str">
            <v>CHECKFREE PAYMENT</v>
          </cell>
        </row>
        <row r="1817">
          <cell r="H1817" t="str">
            <v>PAY-KOL</v>
          </cell>
          <cell r="I1817" t="str">
            <v>PAYMENT-THANK YOU - OL</v>
          </cell>
        </row>
        <row r="1818">
          <cell r="H1818" t="str">
            <v>PAY-NATL</v>
          </cell>
          <cell r="I1818" t="str">
            <v>PAYMENT THANK YOU</v>
          </cell>
        </row>
        <row r="1819">
          <cell r="H1819" t="str">
            <v>PAY-OAK</v>
          </cell>
          <cell r="I1819" t="str">
            <v>OAKLEAF PAYMENT</v>
          </cell>
        </row>
        <row r="1820">
          <cell r="H1820" t="str">
            <v>PAY-ORCC</v>
          </cell>
          <cell r="I1820" t="str">
            <v>ORCC PAYMENT</v>
          </cell>
        </row>
        <row r="1821">
          <cell r="H1821" t="str">
            <v>PAY-RPPS</v>
          </cell>
          <cell r="I1821" t="str">
            <v>RPPS MASTERCARD PAYMENT</v>
          </cell>
        </row>
        <row r="1822">
          <cell r="H1822" t="str">
            <v>PAYEFT</v>
          </cell>
          <cell r="I1822" t="str">
            <v>EFT PAYMENT</v>
          </cell>
        </row>
        <row r="1823">
          <cell r="H1823" t="str">
            <v>PAYICLRI</v>
          </cell>
          <cell r="I1823" t="str">
            <v>PAYMENT THANK YOU</v>
          </cell>
        </row>
        <row r="1824">
          <cell r="H1824" t="str">
            <v>PAYICT</v>
          </cell>
          <cell r="I1824" t="str">
            <v>I/C PAYMENT THANK YOU</v>
          </cell>
        </row>
        <row r="1825">
          <cell r="H1825" t="str">
            <v>PAYL</v>
          </cell>
          <cell r="I1825" t="str">
            <v>PAYMENT THANK YOU</v>
          </cell>
        </row>
        <row r="1826">
          <cell r="H1826" t="str">
            <v>PAYMET</v>
          </cell>
          <cell r="I1826" t="str">
            <v>METAVANTE ONLINE PAYMENT</v>
          </cell>
        </row>
        <row r="1827">
          <cell r="H1827" t="str">
            <v>PAYUSBL</v>
          </cell>
          <cell r="I1827" t="str">
            <v>PAYMENT THANK YOU</v>
          </cell>
        </row>
        <row r="1828">
          <cell r="H1828" t="str">
            <v>RET-KOL</v>
          </cell>
          <cell r="I1828" t="str">
            <v>ONLINE PAYMENT RETURN</v>
          </cell>
        </row>
        <row r="1829">
          <cell r="H1829" t="str">
            <v>ACCESS-RES</v>
          </cell>
          <cell r="I1829" t="str">
            <v>ACCESS FEE - RES</v>
          </cell>
        </row>
        <row r="1830">
          <cell r="H1830" t="str">
            <v>DRIVEIN-RES</v>
          </cell>
          <cell r="I1830" t="str">
            <v>DRIVE IN SERVICE - RES</v>
          </cell>
        </row>
        <row r="1831">
          <cell r="H1831" t="str">
            <v>DRIVEIN1-RES</v>
          </cell>
          <cell r="I1831" t="str">
            <v>DRIVE IN 1 - RES</v>
          </cell>
        </row>
        <row r="1832">
          <cell r="H1832" t="str">
            <v>DRIVEIN2-RES</v>
          </cell>
          <cell r="I1832" t="str">
            <v>DRIVE IN 2 - RES</v>
          </cell>
        </row>
        <row r="1833">
          <cell r="H1833" t="str">
            <v>DRIVEIN3-RES</v>
          </cell>
          <cell r="I1833" t="str">
            <v>DRIVE IN 3 - RES</v>
          </cell>
        </row>
        <row r="1834">
          <cell r="H1834" t="str">
            <v>DRIVEIN7-RES</v>
          </cell>
          <cell r="I1834" t="str">
            <v>DRIVE IN 7 - RES</v>
          </cell>
        </row>
        <row r="1835">
          <cell r="H1835" t="str">
            <v>EMPLOYEER</v>
          </cell>
          <cell r="I1835" t="str">
            <v>EMPLOYEE SERVICE RES</v>
          </cell>
        </row>
        <row r="1836">
          <cell r="H1836" t="str">
            <v>GW3RES</v>
          </cell>
          <cell r="I1836" t="str">
            <v>GREENWASTE SVC 3 - RES</v>
          </cell>
        </row>
        <row r="1837">
          <cell r="H1837" t="str">
            <v>GWRES</v>
          </cell>
          <cell r="I1837" t="str">
            <v>GREENWASTE SERVICE - RES</v>
          </cell>
        </row>
        <row r="1838">
          <cell r="H1838" t="str">
            <v>GWSPCL-RES</v>
          </cell>
          <cell r="I1838" t="str">
            <v>GREENWASTE SEN/DIS - RES</v>
          </cell>
        </row>
        <row r="1839">
          <cell r="H1839" t="str">
            <v>RECBINONLYR</v>
          </cell>
          <cell r="I1839" t="str">
            <v>RECYCLE SERVICE ONLY</v>
          </cell>
        </row>
        <row r="1840">
          <cell r="H1840" t="str">
            <v>RECPROGADJ-RES</v>
          </cell>
          <cell r="I1840" t="str">
            <v>RECYCLING PROGRAM ADJUSTM</v>
          </cell>
        </row>
        <row r="1841">
          <cell r="H1841" t="str">
            <v>RECVALRES</v>
          </cell>
          <cell r="I1841" t="str">
            <v>RECYCLABLES VALUE - RES</v>
          </cell>
        </row>
        <row r="1842">
          <cell r="H1842" t="str">
            <v>RL032.0G1M001WREC</v>
          </cell>
          <cell r="I1842" t="str">
            <v>32 GL 1X MO W/RECY 1</v>
          </cell>
        </row>
        <row r="1843">
          <cell r="H1843" t="str">
            <v>RL032.0G1W001WREC</v>
          </cell>
          <cell r="I1843" t="str">
            <v>32 GL 1X WK W/RECY 1</v>
          </cell>
        </row>
        <row r="1844">
          <cell r="H1844" t="str">
            <v>SL032.0G1W001WREC</v>
          </cell>
          <cell r="I1844" t="str">
            <v>32 GL 1X WK W/RECY 1</v>
          </cell>
        </row>
        <row r="1845">
          <cell r="H1845" t="str">
            <v>SL035.0G1M001NOREC</v>
          </cell>
          <cell r="I1845" t="str">
            <v>35 GL 1X MO NO RECY 1</v>
          </cell>
        </row>
        <row r="1846">
          <cell r="H1846" t="str">
            <v>SL035.0G1M001WREC</v>
          </cell>
          <cell r="I1846" t="str">
            <v>35 GL 1X MO W/RECY 1</v>
          </cell>
        </row>
        <row r="1847">
          <cell r="H1847" t="str">
            <v>SL035.0G1W001NOREC</v>
          </cell>
          <cell r="I1847" t="str">
            <v>35 GL 1X WK NO RECY 1</v>
          </cell>
        </row>
        <row r="1848">
          <cell r="H1848" t="str">
            <v>SL035.0G1W001WREC</v>
          </cell>
          <cell r="I1848" t="str">
            <v>35 GL 1X WK W/ RECY 1</v>
          </cell>
        </row>
        <row r="1849">
          <cell r="H1849" t="str">
            <v>SL035.0GEO001WREC</v>
          </cell>
          <cell r="I1849" t="str">
            <v>35 GL EOW W/RECY 1</v>
          </cell>
        </row>
        <row r="1850">
          <cell r="H1850" t="str">
            <v>SL065.0G1M001NOREC</v>
          </cell>
          <cell r="I1850" t="str">
            <v>65 GL 1X MO NO RECY 1</v>
          </cell>
        </row>
        <row r="1851">
          <cell r="H1851" t="str">
            <v>SL065.0G1M001WREC</v>
          </cell>
          <cell r="I1851" t="str">
            <v>65 GL 1X MO W/RECY 1</v>
          </cell>
        </row>
        <row r="1852">
          <cell r="H1852" t="str">
            <v>SL065.0G1M001WRECSPCL</v>
          </cell>
          <cell r="I1852" t="str">
            <v>65 GL 1X MO W/RECY S/D 1</v>
          </cell>
        </row>
        <row r="1853">
          <cell r="H1853" t="str">
            <v>SL065.0G1W001NOREC</v>
          </cell>
          <cell r="I1853" t="str">
            <v>65 GL 1X WK NO RECY 1</v>
          </cell>
        </row>
        <row r="1854">
          <cell r="H1854" t="str">
            <v>SL065.0G1W001SPCLNOREC</v>
          </cell>
          <cell r="I1854" t="str">
            <v>65 GL 1X WK S/D NO REC 1</v>
          </cell>
        </row>
        <row r="1855">
          <cell r="H1855" t="str">
            <v>SL065.0G1W001SPCLWREC</v>
          </cell>
          <cell r="I1855" t="str">
            <v>65 GL 1X WK S/D W/REC 1</v>
          </cell>
        </row>
        <row r="1856">
          <cell r="H1856" t="str">
            <v>SL065.0G1W001WREC</v>
          </cell>
          <cell r="I1856" t="str">
            <v>65 GL 1X WK W/RECY 1</v>
          </cell>
        </row>
        <row r="1857">
          <cell r="H1857" t="str">
            <v>SL065.0GEO001NOREC</v>
          </cell>
          <cell r="I1857" t="str">
            <v>65 GL EOW NO RECY 1</v>
          </cell>
        </row>
        <row r="1858">
          <cell r="H1858" t="str">
            <v>SL065.0GEO001SPCLNOREC</v>
          </cell>
          <cell r="I1858" t="str">
            <v>65 GL EOW S/D NO RECY 1</v>
          </cell>
        </row>
        <row r="1859">
          <cell r="H1859" t="str">
            <v>SL065.0GEO001SPCLWREC</v>
          </cell>
          <cell r="I1859" t="str">
            <v>65 GL EOW S/D W/RECY 1</v>
          </cell>
        </row>
        <row r="1860">
          <cell r="H1860" t="str">
            <v>SL065.0GEO001WREC</v>
          </cell>
          <cell r="I1860" t="str">
            <v>65 GL EOW W/RECY 1</v>
          </cell>
        </row>
        <row r="1861">
          <cell r="H1861" t="str">
            <v>SL095.0G1M0001WRECSPCL</v>
          </cell>
          <cell r="I1861" t="str">
            <v>95 GL 1X MO S/D W/RECY 1</v>
          </cell>
        </row>
        <row r="1862">
          <cell r="H1862" t="str">
            <v>SL095.0G1M001WREC</v>
          </cell>
          <cell r="I1862" t="str">
            <v>95 GL 1X MO W/RECY 1</v>
          </cell>
        </row>
        <row r="1863">
          <cell r="H1863" t="str">
            <v>SL095.0G1W001NOREC</v>
          </cell>
          <cell r="I1863" t="str">
            <v>95 GL 1X WK NO RECY 1</v>
          </cell>
        </row>
        <row r="1864">
          <cell r="H1864" t="str">
            <v>SL095.0G1W001WREC</v>
          </cell>
          <cell r="I1864" t="str">
            <v>95 GL 1X WK W/RECY 1</v>
          </cell>
        </row>
        <row r="1865">
          <cell r="H1865" t="str">
            <v>SL095.0GEO001NOREC</v>
          </cell>
          <cell r="I1865" t="str">
            <v>95 GL EOW NO RECY 1</v>
          </cell>
        </row>
        <row r="1866">
          <cell r="H1866" t="str">
            <v>SL095.0GEO001WREC</v>
          </cell>
          <cell r="I1866" t="str">
            <v>95 GL EOW W/RECY 1</v>
          </cell>
        </row>
        <row r="1867">
          <cell r="H1867" t="str">
            <v>WI1-RES</v>
          </cell>
          <cell r="I1867" t="str">
            <v>WALK IN 6-25' - RES</v>
          </cell>
        </row>
        <row r="1868">
          <cell r="H1868" t="str">
            <v>WI2-RES</v>
          </cell>
          <cell r="I1868" t="str">
            <v>WALK IN 26-50' - RES</v>
          </cell>
        </row>
        <row r="1869">
          <cell r="H1869" t="str">
            <v>WI3-RES</v>
          </cell>
          <cell r="I1869" t="str">
            <v>WALK IN 51-75' - RES</v>
          </cell>
        </row>
        <row r="1870">
          <cell r="H1870" t="str">
            <v>WI4-RES</v>
          </cell>
          <cell r="I1870" t="str">
            <v>WALK IN 76-100' - RES</v>
          </cell>
        </row>
        <row r="1871">
          <cell r="H1871" t="str">
            <v>WI5-RES</v>
          </cell>
          <cell r="I1871" t="str">
            <v>WALK IN 101-125' - RES</v>
          </cell>
        </row>
        <row r="1872">
          <cell r="H1872" t="str">
            <v>WI8-RES</v>
          </cell>
          <cell r="I1872" t="str">
            <v>WALK IN 176-200' - RES</v>
          </cell>
        </row>
        <row r="1873">
          <cell r="H1873" t="str">
            <v>ADJ-RES</v>
          </cell>
          <cell r="I1873" t="str">
            <v>ADJUSTMENT SERVICE - RES</v>
          </cell>
        </row>
        <row r="1874">
          <cell r="H1874" t="str">
            <v>BULKY-RES</v>
          </cell>
          <cell r="I1874" t="str">
            <v>BULKY ITEM PICK UP - RES</v>
          </cell>
        </row>
        <row r="1875">
          <cell r="H1875" t="str">
            <v>EP96GWC-RES</v>
          </cell>
          <cell r="I1875" t="str">
            <v>EXTRA PICK UP 96 GW - RES</v>
          </cell>
        </row>
        <row r="1876">
          <cell r="H1876" t="str">
            <v>EXTRA65-RES</v>
          </cell>
          <cell r="I1876" t="str">
            <v>EXTRA 65 GL RES</v>
          </cell>
        </row>
        <row r="1877">
          <cell r="H1877" t="str">
            <v>EXTRAGRAD1-RES</v>
          </cell>
          <cell r="I1877" t="str">
            <v>EXTRAS GRADUATED 1-2 - RES</v>
          </cell>
        </row>
        <row r="1878">
          <cell r="H1878" t="str">
            <v>EXTRAGRAD2-RES</v>
          </cell>
          <cell r="I1878" t="str">
            <v>EXTRAS GRADUATED 3+ - RES</v>
          </cell>
        </row>
        <row r="1879">
          <cell r="H1879" t="str">
            <v>EXTRAGWC-RES</v>
          </cell>
          <cell r="I1879" t="str">
            <v>EXTRA GREENWASTE FEE - RE</v>
          </cell>
        </row>
        <row r="1880">
          <cell r="H1880" t="str">
            <v>GWRES</v>
          </cell>
          <cell r="I1880" t="str">
            <v>GREENWASTE SERVICE - RES</v>
          </cell>
        </row>
        <row r="1881">
          <cell r="H1881" t="str">
            <v>OW-RES</v>
          </cell>
          <cell r="I1881" t="str">
            <v>OVERFILL / OVERWEIGHT CAN</v>
          </cell>
        </row>
        <row r="1882">
          <cell r="H1882" t="str">
            <v>REDEL-RES</v>
          </cell>
          <cell r="I1882" t="str">
            <v>REDELIVER FEE - RES</v>
          </cell>
        </row>
        <row r="1883">
          <cell r="H1883" t="str">
            <v>REINSTATE-RES</v>
          </cell>
          <cell r="I1883" t="str">
            <v>REINSTATE FEE - RES</v>
          </cell>
        </row>
        <row r="1884">
          <cell r="H1884" t="str">
            <v>RTRNCART65-RES</v>
          </cell>
          <cell r="I1884" t="str">
            <v>RETURN TRIP 65 GL - RES</v>
          </cell>
        </row>
        <row r="1885">
          <cell r="H1885" t="str">
            <v>SL035.0G1W001NOREC</v>
          </cell>
          <cell r="I1885" t="str">
            <v>35 GL 1X WK NO RECY 1</v>
          </cell>
        </row>
        <row r="1886">
          <cell r="H1886" t="str">
            <v>SL065.0G1W001WREC</v>
          </cell>
          <cell r="I1886" t="str">
            <v>65 GL 1X WK W/RECY 1</v>
          </cell>
        </row>
        <row r="1887">
          <cell r="H1887" t="str">
            <v>SPGRAD1-RES</v>
          </cell>
          <cell r="I1887" t="str">
            <v>SPECIAL GRADUATED 1-2 - R</v>
          </cell>
        </row>
        <row r="1888">
          <cell r="H1888" t="str">
            <v>UNRETURN-RES</v>
          </cell>
          <cell r="I1888" t="str">
            <v xml:space="preserve">CONTAINER UNRETURNED FEE </v>
          </cell>
        </row>
        <row r="1889">
          <cell r="H1889" t="str">
            <v>GWRES</v>
          </cell>
          <cell r="I1889" t="str">
            <v>GREENWASTE SERVICE - RES</v>
          </cell>
        </row>
        <row r="1890">
          <cell r="H1890" t="str">
            <v>RECBINONLYR</v>
          </cell>
          <cell r="I1890" t="str">
            <v>RECYCLE SERVICE ONLY</v>
          </cell>
        </row>
        <row r="1891">
          <cell r="H1891" t="str">
            <v>SL035.0G1M001WREC</v>
          </cell>
          <cell r="I1891" t="str">
            <v>35 GL 1X MO W/RECY 1</v>
          </cell>
        </row>
        <row r="1892">
          <cell r="H1892" t="str">
            <v>SL035.0G1W001WREC</v>
          </cell>
          <cell r="I1892" t="str">
            <v>35 GL 1X WK W/ RECY 1</v>
          </cell>
        </row>
        <row r="1893">
          <cell r="H1893" t="str">
            <v>SL065.0G1M001WREC</v>
          </cell>
          <cell r="I1893" t="str">
            <v>65 GL 1X MO W/RECY 1</v>
          </cell>
        </row>
        <row r="1894">
          <cell r="H1894" t="str">
            <v>SL065.0G1W001NOREC</v>
          </cell>
          <cell r="I1894" t="str">
            <v>65 GL 1X WK NO RECY 1</v>
          </cell>
        </row>
        <row r="1895">
          <cell r="H1895" t="str">
            <v>SL065.0G1W001WREC</v>
          </cell>
          <cell r="I1895" t="str">
            <v>65 GL 1X WK W/RECY 1</v>
          </cell>
        </row>
        <row r="1896">
          <cell r="H1896" t="str">
            <v>SL065.0GEO001SPCLWREC</v>
          </cell>
          <cell r="I1896" t="str">
            <v>65 GL EOW S/D W/RECY 1</v>
          </cell>
        </row>
        <row r="1897">
          <cell r="H1897" t="str">
            <v>SL065.0GEO001WREC</v>
          </cell>
          <cell r="I1897" t="str">
            <v>65 GL EOW W/RECY 1</v>
          </cell>
        </row>
        <row r="1898">
          <cell r="H1898" t="str">
            <v>SL095.0G1M001WREC</v>
          </cell>
          <cell r="I1898" t="str">
            <v>95 GL 1X MO W/RECY 1</v>
          </cell>
        </row>
        <row r="1899">
          <cell r="H1899" t="str">
            <v>SL095.0G1W001WREC</v>
          </cell>
          <cell r="I1899" t="str">
            <v>95 GL 1X WK W/RECY 1</v>
          </cell>
        </row>
        <row r="1900">
          <cell r="H1900" t="str">
            <v>SL095.0GEO001WREC</v>
          </cell>
          <cell r="I1900" t="str">
            <v>95 GL EOW W/RECY 1</v>
          </cell>
        </row>
        <row r="1901">
          <cell r="H1901" t="str">
            <v>BULKY-RES</v>
          </cell>
          <cell r="I1901" t="str">
            <v>BULKY ITEM PICK UP - RES</v>
          </cell>
        </row>
        <row r="1902">
          <cell r="H1902" t="str">
            <v>EP96GWC-RES</v>
          </cell>
          <cell r="I1902" t="str">
            <v>EXTRA PICK UP 96 GW - RES</v>
          </cell>
        </row>
        <row r="1903">
          <cell r="H1903" t="str">
            <v>EXTRA-RES</v>
          </cell>
          <cell r="I1903" t="str">
            <v>EXTRA CAN, BAG, BOX - RES</v>
          </cell>
        </row>
        <row r="1904">
          <cell r="H1904" t="str">
            <v>EXTRAGRAD1-RES</v>
          </cell>
          <cell r="I1904" t="str">
            <v>EXTRAS GRADUATED 1-2 - RES</v>
          </cell>
        </row>
        <row r="1905">
          <cell r="H1905" t="str">
            <v>EXTRAGRAD2-RES</v>
          </cell>
          <cell r="I1905" t="str">
            <v>EXTRAS GRADUATED 3+ - RES</v>
          </cell>
        </row>
        <row r="1906">
          <cell r="H1906" t="str">
            <v>EXTRAGWC-RES</v>
          </cell>
          <cell r="I1906" t="str">
            <v>EXTRA GREENWASTE FEE - RE</v>
          </cell>
        </row>
        <row r="1907">
          <cell r="H1907" t="str">
            <v>GWRES</v>
          </cell>
          <cell r="I1907" t="str">
            <v>GREENWASTE SERVICE - RES</v>
          </cell>
        </row>
        <row r="1908">
          <cell r="H1908" t="str">
            <v>OW-RES</v>
          </cell>
          <cell r="I1908" t="str">
            <v>OVERFILL / OVERWEIGHT CAN</v>
          </cell>
        </row>
        <row r="1909">
          <cell r="H1909" t="str">
            <v>RECPROGADJ-RES</v>
          </cell>
          <cell r="I1909" t="str">
            <v>RECYCLING PROGRAM ADJUSTM</v>
          </cell>
        </row>
        <row r="1910">
          <cell r="H1910" t="str">
            <v>RECVALRES</v>
          </cell>
          <cell r="I1910" t="str">
            <v>RECYCLABLES VALUE - RES</v>
          </cell>
        </row>
        <row r="1911">
          <cell r="H1911" t="str">
            <v>REINSTATE-RES</v>
          </cell>
          <cell r="I1911" t="str">
            <v>REINSTATE FEE - RES</v>
          </cell>
        </row>
        <row r="1912">
          <cell r="H1912" t="str">
            <v>RL010.0G1W001WREC</v>
          </cell>
          <cell r="I1912" t="str">
            <v>10 GL 1X WK RECYCLE 1</v>
          </cell>
        </row>
        <row r="1913">
          <cell r="H1913" t="str">
            <v>RTRNCART65-RES</v>
          </cell>
          <cell r="I1913" t="str">
            <v>RETURN TRIP 65 GL - RES</v>
          </cell>
        </row>
        <row r="1914">
          <cell r="H1914" t="str">
            <v>RTRNCART95-RES</v>
          </cell>
          <cell r="I1914" t="str">
            <v>RETURN TRIP 95 GL - RES</v>
          </cell>
        </row>
        <row r="1915">
          <cell r="H1915" t="str">
            <v>SL065.0G1W001WREC</v>
          </cell>
          <cell r="I1915" t="str">
            <v>65 GL 1X WK W/RECY 1</v>
          </cell>
        </row>
        <row r="1916">
          <cell r="H1916" t="str">
            <v>SL095.0G1W001WREC</v>
          </cell>
          <cell r="I1916" t="str">
            <v>95 GL 1X WK W/RECY 1</v>
          </cell>
        </row>
        <row r="1917">
          <cell r="H1917" t="str">
            <v>SL095.0GEO001WREC</v>
          </cell>
          <cell r="I1917" t="str">
            <v>95 GL EOW W/RECY 1</v>
          </cell>
        </row>
        <row r="1918">
          <cell r="H1918" t="str">
            <v>SPGRAD1-RES</v>
          </cell>
          <cell r="I1918" t="str">
            <v>SPECIAL GRADUATED 1-2 - R</v>
          </cell>
        </row>
        <row r="1919">
          <cell r="H1919" t="str">
            <v>SPGRAD2-RES</v>
          </cell>
          <cell r="I1919" t="str">
            <v>SPECIAL GRADUATED 3+ - RE</v>
          </cell>
        </row>
        <row r="1920">
          <cell r="H1920" t="str">
            <v>TIRELG-RES</v>
          </cell>
          <cell r="I1920" t="str">
            <v>TIRE FEE LARGE - RES</v>
          </cell>
        </row>
        <row r="1921">
          <cell r="H1921" t="str">
            <v>BULKY-RES</v>
          </cell>
          <cell r="I1921" t="str">
            <v>BULKY ITEM PICK UP - RES</v>
          </cell>
        </row>
        <row r="1922">
          <cell r="H1922" t="str">
            <v>EXTRAGRAD1-RES</v>
          </cell>
          <cell r="I1922" t="str">
            <v>EXTRAS GRADUATED 1-2 - RES</v>
          </cell>
        </row>
        <row r="1923">
          <cell r="H1923" t="str">
            <v>OW-RES</v>
          </cell>
          <cell r="I1923" t="str">
            <v>OVERFILL / OVERWEIGHT CAN</v>
          </cell>
        </row>
        <row r="1924">
          <cell r="H1924" t="str">
            <v>SPGRAD1-RES</v>
          </cell>
          <cell r="I1924" t="str">
            <v>SPECIAL GRADUATED 1-2 - R</v>
          </cell>
        </row>
        <row r="1925">
          <cell r="H1925" t="str">
            <v>DISCO-CP</v>
          </cell>
          <cell r="I1925" t="str">
            <v xml:space="preserve">COMPACTOR DISCONNECT FEE </v>
          </cell>
        </row>
        <row r="1926">
          <cell r="H1926" t="str">
            <v>HAUL30-RO</v>
          </cell>
          <cell r="I1926" t="str">
            <v>HAUL 30 YD - RO</v>
          </cell>
        </row>
        <row r="1927">
          <cell r="H1927" t="str">
            <v>LIDRO</v>
          </cell>
          <cell r="I1927" t="str">
            <v>LID CHARGE - RO</v>
          </cell>
        </row>
        <row r="1928">
          <cell r="H1928" t="str">
            <v>RENT15MO-RO</v>
          </cell>
          <cell r="I1928" t="str">
            <v>RENTAL FEE 15 YD MONTHLY</v>
          </cell>
        </row>
        <row r="1929">
          <cell r="H1929" t="str">
            <v>RENT20MO-RO</v>
          </cell>
          <cell r="I1929" t="str">
            <v>RENTAL FEE 20 YD MONTHLY</v>
          </cell>
        </row>
        <row r="1930">
          <cell r="H1930" t="str">
            <v>RENT30MO-RO</v>
          </cell>
          <cell r="I1930" t="str">
            <v>RENTAL FEE 30 YD MONTHLY</v>
          </cell>
        </row>
        <row r="1931">
          <cell r="H1931" t="str">
            <v>RENT40MO-RO</v>
          </cell>
          <cell r="I1931" t="str">
            <v>RENTAL FEE 40 YD MONTHLY</v>
          </cell>
        </row>
        <row r="1932">
          <cell r="H1932" t="str">
            <v>RENT40TEMP-RO</v>
          </cell>
          <cell r="I1932" t="str">
            <v>RENTAL FEE 40 YD TEMP - R</v>
          </cell>
        </row>
        <row r="1933">
          <cell r="H1933" t="str">
            <v>CLEAN25-RO</v>
          </cell>
          <cell r="I1933" t="str">
            <v>CLEANING FEE 25 YD - RO</v>
          </cell>
        </row>
        <row r="1934">
          <cell r="H1934" t="str">
            <v>DEL20-RO</v>
          </cell>
          <cell r="I1934" t="str">
            <v>DELIVERY FEE 20 YD - RO</v>
          </cell>
        </row>
        <row r="1935">
          <cell r="H1935" t="str">
            <v>DEL20TEMP-RO</v>
          </cell>
          <cell r="I1935" t="str">
            <v>DELIVERY FEE 20 YD TEMP -</v>
          </cell>
        </row>
        <row r="1936">
          <cell r="H1936" t="str">
            <v>DEL30TEMP-RO</v>
          </cell>
          <cell r="I1936" t="str">
            <v>DELIVERY FEE 30 YD TEMP -</v>
          </cell>
        </row>
        <row r="1937">
          <cell r="H1937" t="str">
            <v>DEL40-RO</v>
          </cell>
          <cell r="I1937" t="str">
            <v>DELIVERY FEE 40 YD - RO</v>
          </cell>
        </row>
        <row r="1938">
          <cell r="H1938" t="str">
            <v>DEL40TEMP-RO</v>
          </cell>
          <cell r="I1938" t="str">
            <v>DELIVERY FEE 40 YD TEMP -</v>
          </cell>
        </row>
        <row r="1939">
          <cell r="H1939" t="str">
            <v>DISCO-CP</v>
          </cell>
          <cell r="I1939" t="str">
            <v xml:space="preserve">COMPACTOR DISCONNECT FEE </v>
          </cell>
        </row>
        <row r="1940">
          <cell r="H1940" t="str">
            <v>DISP-RO</v>
          </cell>
          <cell r="I1940" t="str">
            <v>DISPOSAL CHARGE - RO</v>
          </cell>
        </row>
        <row r="1941">
          <cell r="H1941" t="str">
            <v>DISPTRANS-RO</v>
          </cell>
          <cell r="I1941" t="str">
            <v>DISPOSAL FEE TRANSFER HAU</v>
          </cell>
        </row>
        <row r="1942">
          <cell r="H1942" t="str">
            <v>EXWGHT-RO</v>
          </cell>
          <cell r="I1942" t="str">
            <v>EXCESS WEIGHT - RO</v>
          </cell>
        </row>
        <row r="1943">
          <cell r="H1943" t="str">
            <v>FINAL20-RO</v>
          </cell>
          <cell r="I1943" t="str">
            <v>FINAL PULL 20 YD - RO</v>
          </cell>
        </row>
        <row r="1944">
          <cell r="H1944" t="str">
            <v>FINAL20TEMP-RO</v>
          </cell>
          <cell r="I1944" t="str">
            <v>FINAL PULL 20 YD TEMP - R</v>
          </cell>
        </row>
        <row r="1945">
          <cell r="H1945" t="str">
            <v>FINAL30-RO</v>
          </cell>
          <cell r="I1945" t="str">
            <v>FINAL PULL 30 YD - RO</v>
          </cell>
        </row>
        <row r="1946">
          <cell r="H1946" t="str">
            <v>FINAL30TEMP-RO</v>
          </cell>
          <cell r="I1946" t="str">
            <v>FINAL PULL 30 YD TEMP - R</v>
          </cell>
        </row>
        <row r="1947">
          <cell r="H1947" t="str">
            <v>FINAL40TEMP-RO</v>
          </cell>
          <cell r="I1947" t="str">
            <v>FINAL PULL 40 YD TEMP - R</v>
          </cell>
        </row>
        <row r="1948">
          <cell r="H1948" t="str">
            <v>HAUL10-CP</v>
          </cell>
          <cell r="I1948" t="str">
            <v>COMPACTOR HAUL 10 YD - RO</v>
          </cell>
        </row>
        <row r="1949">
          <cell r="H1949" t="str">
            <v>HAUL15-CP</v>
          </cell>
          <cell r="I1949" t="str">
            <v>COMPACTOR HAUL 15 YD</v>
          </cell>
        </row>
        <row r="1950">
          <cell r="H1950" t="str">
            <v>HAUL20-CP</v>
          </cell>
          <cell r="I1950" t="str">
            <v>COMPACTOR HAUL 20 YD - RO</v>
          </cell>
        </row>
        <row r="1951">
          <cell r="H1951" t="str">
            <v>HAUL20-RO</v>
          </cell>
          <cell r="I1951" t="str">
            <v>HAUL 20 YD - RO</v>
          </cell>
        </row>
        <row r="1952">
          <cell r="H1952" t="str">
            <v>HAUL20TEMP-RO</v>
          </cell>
          <cell r="I1952" t="str">
            <v>HAUL 20 YD TEMP - RO</v>
          </cell>
        </row>
        <row r="1953">
          <cell r="H1953" t="str">
            <v>HAUL25-CP</v>
          </cell>
          <cell r="I1953" t="str">
            <v>COMPACTOR HAUL 25 YD - RO</v>
          </cell>
        </row>
        <row r="1954">
          <cell r="H1954" t="str">
            <v>HAUL26-CP</v>
          </cell>
          <cell r="I1954" t="str">
            <v>COMPACTOR HAUL 26 YD - RO</v>
          </cell>
        </row>
        <row r="1955">
          <cell r="H1955" t="str">
            <v>HAUL30-CP</v>
          </cell>
          <cell r="I1955" t="str">
            <v>COMPACTOR HAUL 30 YD</v>
          </cell>
        </row>
        <row r="1956">
          <cell r="H1956" t="str">
            <v>HAUL30-RO</v>
          </cell>
          <cell r="I1956" t="str">
            <v>HAUL 30 YD - RO</v>
          </cell>
        </row>
        <row r="1957">
          <cell r="H1957" t="str">
            <v>HAUL30TEMP-RO</v>
          </cell>
          <cell r="I1957" t="str">
            <v>HAUL 30 YD TEMP - RO</v>
          </cell>
        </row>
        <row r="1958">
          <cell r="H1958" t="str">
            <v>HAUL35-CP</v>
          </cell>
          <cell r="I1958" t="str">
            <v>COMPACTOR HAUL 35 YD - RO</v>
          </cell>
        </row>
        <row r="1959">
          <cell r="H1959" t="str">
            <v>HAUL37-CP</v>
          </cell>
          <cell r="I1959" t="str">
            <v>COMPACTOR HAUL 37 YD - RO</v>
          </cell>
        </row>
        <row r="1960">
          <cell r="H1960" t="str">
            <v>HAUL40-CP</v>
          </cell>
          <cell r="I1960" t="str">
            <v>COMPACTOR HAUL 40 YD</v>
          </cell>
        </row>
        <row r="1961">
          <cell r="H1961" t="str">
            <v>HAUL40-RO</v>
          </cell>
          <cell r="I1961" t="str">
            <v>HAUL 40 YD - RO</v>
          </cell>
        </row>
        <row r="1962">
          <cell r="H1962" t="str">
            <v>HAUL40TEMP-RO</v>
          </cell>
          <cell r="I1962" t="str">
            <v>HAUL 40 YD TEMP - RO</v>
          </cell>
        </row>
        <row r="1963">
          <cell r="H1963" t="str">
            <v>RENT20TEMP-RO</v>
          </cell>
          <cell r="I1963" t="str">
            <v>RENTAL FEE 20 YD TEMP - R</v>
          </cell>
        </row>
        <row r="1964">
          <cell r="H1964" t="str">
            <v>RENT30TEMP-RO</v>
          </cell>
          <cell r="I1964" t="str">
            <v>RENTAL FEE 30 YD TEMP - R</v>
          </cell>
        </row>
        <row r="1965">
          <cell r="H1965" t="str">
            <v>RENT40TEMP-RO</v>
          </cell>
          <cell r="I1965" t="str">
            <v>RENTAL FEE 40 YD TEMP - R</v>
          </cell>
        </row>
        <row r="1966">
          <cell r="H1966" t="str">
            <v>RTRNTRIP-RO</v>
          </cell>
          <cell r="I1966" t="str">
            <v>RETURN TRIP FEE - RO</v>
          </cell>
        </row>
        <row r="1967">
          <cell r="H1967" t="str">
            <v>TIME-RO</v>
          </cell>
          <cell r="I1967" t="str">
            <v>TIME FEE - RO</v>
          </cell>
        </row>
        <row r="1968">
          <cell r="H1968" t="str">
            <v>DEL40TEMP-RO</v>
          </cell>
          <cell r="I1968" t="str">
            <v>DELIVERY FEE 40 YD TEMP -</v>
          </cell>
        </row>
        <row r="1969">
          <cell r="H1969" t="str">
            <v>DISP-RO</v>
          </cell>
          <cell r="I1969" t="str">
            <v>DISPOSAL CHARGE - RO</v>
          </cell>
        </row>
        <row r="1970">
          <cell r="H1970" t="str">
            <v>DISPGLASS-RO</v>
          </cell>
          <cell r="I1970" t="str">
            <v>DISPOSAL FEE GLASS - RO</v>
          </cell>
        </row>
        <row r="1971">
          <cell r="H1971" t="str">
            <v>FINAL30TEMP-RO</v>
          </cell>
          <cell r="I1971" t="str">
            <v>FINAL PULL 30 YD TEMP - R</v>
          </cell>
        </row>
        <row r="1972">
          <cell r="H1972" t="str">
            <v>FINAL40TEMP-RO</v>
          </cell>
          <cell r="I1972" t="str">
            <v>FINAL PULL 40 YD TEMP - R</v>
          </cell>
        </row>
        <row r="1973">
          <cell r="H1973" t="str">
            <v>HAUL30-RO</v>
          </cell>
          <cell r="I1973" t="str">
            <v>HAUL 30 YD - RO</v>
          </cell>
        </row>
        <row r="1974">
          <cell r="H1974" t="str">
            <v>HAUL40TEMP-RO</v>
          </cell>
          <cell r="I1974" t="str">
            <v>HAUL 40 YD TEMP - RO</v>
          </cell>
        </row>
        <row r="1975">
          <cell r="H1975" t="str">
            <v>RENT30TEMP-RO</v>
          </cell>
          <cell r="I1975" t="str">
            <v>RENTAL FEE 30 YD TEMP - R</v>
          </cell>
        </row>
        <row r="1976">
          <cell r="H1976" t="str">
            <v>RENT40TEMP-RO</v>
          </cell>
          <cell r="I1976" t="str">
            <v>RENTAL FEE 40 YD TEMP - R</v>
          </cell>
        </row>
        <row r="1977">
          <cell r="H1977" t="str">
            <v>COMMODITY SURCHARGE</v>
          </cell>
          <cell r="I1977" t="str">
            <v>COMMODITY SURCHARGE</v>
          </cell>
        </row>
        <row r="1978">
          <cell r="H1978" t="str">
            <v>COMMODITY SURCHARGE</v>
          </cell>
          <cell r="I1978" t="str">
            <v>COMMODITY SURCHARGE</v>
          </cell>
        </row>
        <row r="1979">
          <cell r="H1979" t="str">
            <v>LAKEWOOD CITY ONLY</v>
          </cell>
          <cell r="I1979" t="str">
            <v>6% CITY UTILITY TAX</v>
          </cell>
        </row>
        <row r="1980">
          <cell r="H1980" t="str">
            <v>LAKEWOOD CITY UTILITY TAX</v>
          </cell>
          <cell r="I1980" t="str">
            <v>6% CITY UTILITY TAX</v>
          </cell>
        </row>
        <row r="1981">
          <cell r="H1981" t="str">
            <v>LAKEWOOD REFUSE TAX</v>
          </cell>
          <cell r="I1981" t="str">
            <v>3.6% WA STATE REFUSE TAX</v>
          </cell>
        </row>
        <row r="1982">
          <cell r="H1982" t="str">
            <v>LAKEWOOD STATE SALES TAX</v>
          </cell>
          <cell r="I1982" t="str">
            <v>9.9% WA STATE SALES TAX</v>
          </cell>
        </row>
        <row r="1983">
          <cell r="H1983" t="str">
            <v>LAKEWOOD CITY ONLY</v>
          </cell>
          <cell r="I1983" t="str">
            <v>6% CITY UTILITY TAX</v>
          </cell>
        </row>
        <row r="1984">
          <cell r="H1984" t="str">
            <v>LAKEWOOD CITY UTILITY TAX</v>
          </cell>
          <cell r="I1984" t="str">
            <v>6% CITY UTILITY TAX</v>
          </cell>
        </row>
        <row r="1985">
          <cell r="H1985" t="str">
            <v>LAKEWOOD REFUSE TAX</v>
          </cell>
          <cell r="I1985" t="str">
            <v>3.6% WA STATE REFUSE TAX</v>
          </cell>
        </row>
        <row r="1986">
          <cell r="H1986" t="str">
            <v>LAKEWOOD STATE SALES TAX</v>
          </cell>
          <cell r="I1986" t="str">
            <v>9.9% WA STATE SALES TAX</v>
          </cell>
        </row>
        <row r="1987">
          <cell r="H1987" t="str">
            <v>LAKEWOOD CITY UTILITY TAX</v>
          </cell>
          <cell r="I1987" t="str">
            <v>6% CITY UTILITY TAX</v>
          </cell>
        </row>
        <row r="1988">
          <cell r="H1988" t="str">
            <v>LAKEWOOD REFUSE TAX</v>
          </cell>
          <cell r="I1988" t="str">
            <v>3.6% WA STATE REFUSE TAX</v>
          </cell>
        </row>
        <row r="1989">
          <cell r="H1989" t="str">
            <v>LAKEWOOD STATE SALES TAX</v>
          </cell>
          <cell r="I1989" t="str">
            <v>9.9% WA STATE SALES TAX</v>
          </cell>
        </row>
        <row r="1990">
          <cell r="H1990" t="str">
            <v>LAKEWOOD CITY ONLY</v>
          </cell>
          <cell r="I1990" t="str">
            <v>6% CITY UTILITY TAX</v>
          </cell>
        </row>
        <row r="1991">
          <cell r="H1991" t="str">
            <v>LAKEWOOD CITY UTILITY TAX</v>
          </cell>
          <cell r="I1991" t="str">
            <v>6% CITY UTILITY TAX</v>
          </cell>
        </row>
        <row r="1992">
          <cell r="H1992" t="str">
            <v>LAKEWOOD REFUSE TAX</v>
          </cell>
          <cell r="I1992" t="str">
            <v>3.6% WA STATE REFUSE TAX</v>
          </cell>
        </row>
        <row r="1993">
          <cell r="H1993" t="str">
            <v>LAKEWOOD STATE SALES TAX</v>
          </cell>
          <cell r="I1993" t="str">
            <v>9.9% WA STATE SALES TAX</v>
          </cell>
        </row>
        <row r="1994">
          <cell r="H1994" t="str">
            <v>LAKEWOOD CITY ONLY</v>
          </cell>
          <cell r="I1994" t="str">
            <v>6% CITY UTILITY TAX</v>
          </cell>
        </row>
        <row r="1995">
          <cell r="H1995" t="str">
            <v>LAKEWOOD CITY UTILITY TAX</v>
          </cell>
          <cell r="I1995" t="str">
            <v>6% CITY UTILITY TAX</v>
          </cell>
        </row>
        <row r="1996">
          <cell r="H1996" t="str">
            <v>LAKEWOOD REFUSE TAX</v>
          </cell>
          <cell r="I1996" t="str">
            <v>3.6% WA STATE REFUSE TAX</v>
          </cell>
        </row>
        <row r="1997">
          <cell r="H1997" t="str">
            <v>PIERCE REFUSE TAX</v>
          </cell>
          <cell r="I1997" t="str">
            <v>3.6% WA STATE REFUSE TAX</v>
          </cell>
        </row>
        <row r="1998">
          <cell r="H1998" t="str">
            <v>LAKEWOOD CITY ONLY</v>
          </cell>
          <cell r="I1998" t="str">
            <v>6% CITY UTILITY TAX</v>
          </cell>
        </row>
        <row r="1999">
          <cell r="H1999" t="str">
            <v>LAKEWOOD CITY UTILITY TAX</v>
          </cell>
          <cell r="I1999" t="str">
            <v>6% CITY UTILITY TAX</v>
          </cell>
        </row>
        <row r="2000">
          <cell r="H2000" t="str">
            <v>LAKEWOOD REFUSE TAX</v>
          </cell>
          <cell r="I2000" t="str">
            <v>3.6% WA STATE REFUSE TAX</v>
          </cell>
        </row>
        <row r="2001">
          <cell r="H2001" t="str">
            <v>LAKEWOOD STATE SALES TAX</v>
          </cell>
          <cell r="I2001" t="str">
            <v>9.9% WA STATE SALES TAX</v>
          </cell>
        </row>
        <row r="2002">
          <cell r="H2002" t="str">
            <v>LAKEWOOD CITY UTILITY TAX</v>
          </cell>
          <cell r="I2002" t="str">
            <v>6% CITY UTILITY TAX</v>
          </cell>
        </row>
        <row r="2003">
          <cell r="H2003" t="str">
            <v>LAKEWOOD REFUSE TAX</v>
          </cell>
          <cell r="I2003" t="str">
            <v>3.6% WA STATE REFUSE TAX</v>
          </cell>
        </row>
        <row r="2004">
          <cell r="H2004" t="str">
            <v>LAKEWOOD STATE SALES TAX</v>
          </cell>
          <cell r="I2004" t="str">
            <v>9.9% WA STATE SALES TAX</v>
          </cell>
        </row>
        <row r="2005">
          <cell r="H2005" t="str">
            <v>FINCHG</v>
          </cell>
          <cell r="I2005" t="str">
            <v>LATE FEE</v>
          </cell>
        </row>
        <row r="2006">
          <cell r="H2006" t="str">
            <v>BD</v>
          </cell>
          <cell r="I2006" t="str">
            <v>BAD DEBT WRITE OFF</v>
          </cell>
        </row>
        <row r="2007">
          <cell r="H2007" t="str">
            <v>BDR</v>
          </cell>
          <cell r="I2007" t="str">
            <v>BAD DEBT RECOVERY</v>
          </cell>
        </row>
        <row r="2008">
          <cell r="H2008" t="str">
            <v>COLLFEE</v>
          </cell>
          <cell r="I2008" t="str">
            <v>COLLECTION AGENCY FEE</v>
          </cell>
        </row>
        <row r="2009">
          <cell r="H2009" t="str">
            <v>FINCHG</v>
          </cell>
          <cell r="I2009" t="str">
            <v>LATE FEE</v>
          </cell>
        </row>
        <row r="2010">
          <cell r="H2010" t="str">
            <v>MM</v>
          </cell>
          <cell r="I2010" t="str">
            <v>ADJUST BALANCE (MM)</v>
          </cell>
        </row>
        <row r="2011">
          <cell r="H2011" t="str">
            <v>MM</v>
          </cell>
          <cell r="I2011" t="str">
            <v>ADJUST BALANCE (MM)</v>
          </cell>
        </row>
        <row r="2012">
          <cell r="H2012" t="str">
            <v>REFUND</v>
          </cell>
          <cell r="I2012" t="str">
            <v>REFUND</v>
          </cell>
        </row>
        <row r="2013">
          <cell r="H2013" t="str">
            <v>RETCK</v>
          </cell>
          <cell r="I2013" t="str">
            <v>RETURNED CHECK</v>
          </cell>
        </row>
        <row r="2014">
          <cell r="H2014" t="str">
            <v>RETCK-LB</v>
          </cell>
          <cell r="I2014" t="str">
            <v>RETURNED CHECK - LOCKBOX</v>
          </cell>
        </row>
        <row r="2015">
          <cell r="H2015" t="str">
            <v>RETCKC</v>
          </cell>
          <cell r="I2015" t="str">
            <v>RETURN CHECK CHARGE</v>
          </cell>
        </row>
        <row r="2016">
          <cell r="H2016" t="str">
            <v>BD</v>
          </cell>
          <cell r="I2016" t="str">
            <v>BAD DEBT WRITE OFF</v>
          </cell>
        </row>
        <row r="2017">
          <cell r="H2017" t="str">
            <v>BDR</v>
          </cell>
          <cell r="I2017" t="str">
            <v>BAD DEBT RECOVERY</v>
          </cell>
        </row>
        <row r="2018">
          <cell r="H2018" t="str">
            <v>COLLFEE</v>
          </cell>
          <cell r="I2018" t="str">
            <v>COLLECTION AGENCY FEE</v>
          </cell>
        </row>
        <row r="2019">
          <cell r="H2019" t="str">
            <v>FINCHG</v>
          </cell>
          <cell r="I2019" t="str">
            <v>LATE FEE</v>
          </cell>
        </row>
        <row r="2020">
          <cell r="H2020" t="str">
            <v>MM</v>
          </cell>
          <cell r="I2020" t="str">
            <v>ADJUST BALANCE (MM)</v>
          </cell>
        </row>
        <row r="2021">
          <cell r="H2021" t="str">
            <v>MM</v>
          </cell>
          <cell r="I2021" t="str">
            <v>ADJUST BALANCE (MM)</v>
          </cell>
        </row>
        <row r="2022">
          <cell r="H2022" t="str">
            <v>REFUND</v>
          </cell>
          <cell r="I2022" t="str">
            <v>REFUND</v>
          </cell>
        </row>
        <row r="2023">
          <cell r="H2023" t="str">
            <v>RETCK</v>
          </cell>
          <cell r="I2023" t="str">
            <v>RETURNED CHECK</v>
          </cell>
        </row>
        <row r="2024">
          <cell r="H2024" t="str">
            <v>RETCK-CFREE</v>
          </cell>
          <cell r="I2024" t="str">
            <v>CHECKFREE RETURN CHECK</v>
          </cell>
        </row>
        <row r="2025">
          <cell r="H2025" t="str">
            <v>RETCK-LB</v>
          </cell>
          <cell r="I2025" t="str">
            <v>RETURNED CHECK - LOCKBOX</v>
          </cell>
        </row>
        <row r="2026">
          <cell r="H2026" t="str">
            <v>RETCKC</v>
          </cell>
          <cell r="I2026" t="str">
            <v>RETURN CHECK CHARGE</v>
          </cell>
        </row>
        <row r="2027">
          <cell r="H2027" t="str">
            <v>FINCHG</v>
          </cell>
          <cell r="I2027" t="str">
            <v>LATE FEE</v>
          </cell>
        </row>
        <row r="2028">
          <cell r="H2028" t="str">
            <v>BD</v>
          </cell>
          <cell r="I2028" t="str">
            <v>BAD DEBT WRITE OFF</v>
          </cell>
        </row>
        <row r="2029">
          <cell r="H2029" t="str">
            <v>BDR</v>
          </cell>
          <cell r="I2029" t="str">
            <v>BAD DEBT RECOVERY</v>
          </cell>
        </row>
        <row r="2030">
          <cell r="H2030" t="str">
            <v>COLLFEE</v>
          </cell>
          <cell r="I2030" t="str">
            <v>COLLECTION AGENCY FEE</v>
          </cell>
        </row>
        <row r="2031">
          <cell r="H2031" t="str">
            <v>FINCHG</v>
          </cell>
          <cell r="I2031" t="str">
            <v>LATE FEE</v>
          </cell>
        </row>
        <row r="2032">
          <cell r="H2032" t="str">
            <v>MM</v>
          </cell>
          <cell r="I2032" t="str">
            <v>ADJUST BALANCE (MM)</v>
          </cell>
        </row>
        <row r="2033">
          <cell r="H2033" t="str">
            <v>MM</v>
          </cell>
          <cell r="I2033" t="str">
            <v>ADJUST BALANCE (MM)</v>
          </cell>
        </row>
        <row r="2034">
          <cell r="H2034" t="str">
            <v>REFUND</v>
          </cell>
          <cell r="I2034" t="str">
            <v>REFUND</v>
          </cell>
        </row>
        <row r="2035">
          <cell r="H2035" t="str">
            <v>RETCK</v>
          </cell>
          <cell r="I2035" t="str">
            <v>RETURNED CHECK</v>
          </cell>
        </row>
        <row r="2036">
          <cell r="H2036" t="str">
            <v>RETCKC</v>
          </cell>
          <cell r="I2036" t="str">
            <v>RETURN CHECK CHARGE</v>
          </cell>
        </row>
        <row r="2037">
          <cell r="H2037" t="str">
            <v>FINCHG</v>
          </cell>
          <cell r="I2037" t="str">
            <v>LATE FEE</v>
          </cell>
        </row>
        <row r="2038">
          <cell r="H2038" t="str">
            <v>FL001.0Y1W001</v>
          </cell>
          <cell r="I2038" t="str">
            <v>1 YD 1X WK 1</v>
          </cell>
        </row>
        <row r="2039">
          <cell r="H2039" t="str">
            <v>RTRNCART32-COMM</v>
          </cell>
          <cell r="I2039" t="str">
            <v>RETURN TRIP 32 GL - COMM</v>
          </cell>
        </row>
        <row r="2040">
          <cell r="H2040" t="str">
            <v>ACCESS-COMM</v>
          </cell>
          <cell r="I2040" t="str">
            <v>ACCESS FEE - COMM</v>
          </cell>
        </row>
        <row r="2041">
          <cell r="H2041" t="str">
            <v>CANCOUNT95-COMM</v>
          </cell>
          <cell r="I2041" t="str">
            <v>CAN COUNT 95 GL - COMM</v>
          </cell>
        </row>
        <row r="2042">
          <cell r="H2042" t="str">
            <v>DIST4CAN-COMM</v>
          </cell>
          <cell r="I2042" t="str">
            <v>DISTRIBUTED 4 CANS - COMM</v>
          </cell>
        </row>
        <row r="2043">
          <cell r="H2043" t="str">
            <v>DONATIONC</v>
          </cell>
          <cell r="I2043" t="str">
            <v>DONATED SERVICE COMM</v>
          </cell>
        </row>
        <row r="2044">
          <cell r="H2044" t="str">
            <v>DRIVEIN1-COMM</v>
          </cell>
          <cell r="I2044" t="str">
            <v>DRIVE IN 125-250' - COMM</v>
          </cell>
        </row>
        <row r="2045">
          <cell r="H2045" t="str">
            <v>FL001.0Y1W001</v>
          </cell>
          <cell r="I2045" t="str">
            <v>1 YD 1X WK 1</v>
          </cell>
        </row>
        <row r="2046">
          <cell r="H2046" t="str">
            <v>FL001.0Y2W001</v>
          </cell>
          <cell r="I2046" t="str">
            <v>1 YD 2X WK 1</v>
          </cell>
        </row>
        <row r="2047">
          <cell r="H2047" t="str">
            <v>FL001.0Y3W001</v>
          </cell>
          <cell r="I2047" t="str">
            <v>1 YD 3X WK 1</v>
          </cell>
        </row>
        <row r="2048">
          <cell r="H2048" t="str">
            <v>FL001.5Y1W001</v>
          </cell>
          <cell r="I2048" t="str">
            <v>1.5 YD 1X WK 1</v>
          </cell>
        </row>
        <row r="2049">
          <cell r="H2049" t="str">
            <v>FL001.5Y2W001</v>
          </cell>
          <cell r="I2049" t="str">
            <v>1.5 YD 2X WK 1</v>
          </cell>
        </row>
        <row r="2050">
          <cell r="H2050" t="str">
            <v>FL001.5Y3W001</v>
          </cell>
          <cell r="I2050" t="str">
            <v>1.5 YD 3X WK 1</v>
          </cell>
        </row>
        <row r="2051">
          <cell r="H2051" t="str">
            <v>FL002.0Y1W001</v>
          </cell>
          <cell r="I2051" t="str">
            <v>2 YD 1X WK 1</v>
          </cell>
        </row>
        <row r="2052">
          <cell r="H2052" t="str">
            <v>FL002.0Y1W001CMP</v>
          </cell>
          <cell r="I2052" t="str">
            <v>2 YD 1X WK COMP 1</v>
          </cell>
        </row>
        <row r="2053">
          <cell r="H2053" t="str">
            <v>FL002.0Y2W001</v>
          </cell>
          <cell r="I2053" t="str">
            <v>2 YD 2X WK 1</v>
          </cell>
        </row>
        <row r="2054">
          <cell r="H2054" t="str">
            <v>FL002.0Y3W001</v>
          </cell>
          <cell r="I2054" t="str">
            <v>2 YD 3X WK 1</v>
          </cell>
        </row>
        <row r="2055">
          <cell r="H2055" t="str">
            <v>FL003.0Y1W001</v>
          </cell>
          <cell r="I2055" t="str">
            <v>3 YD 1X WK 1</v>
          </cell>
        </row>
        <row r="2056">
          <cell r="H2056" t="str">
            <v>FL003.0Y2W001</v>
          </cell>
          <cell r="I2056" t="str">
            <v>3 YD 2X WK 1</v>
          </cell>
        </row>
        <row r="2057">
          <cell r="H2057" t="str">
            <v>FL003.0Y2W001CMP</v>
          </cell>
          <cell r="I2057" t="str">
            <v>3 YD 2X WK COMP 1</v>
          </cell>
        </row>
        <row r="2058">
          <cell r="H2058" t="str">
            <v>FL003.0Y3W001</v>
          </cell>
          <cell r="I2058" t="str">
            <v>3 YD 3X WK 1</v>
          </cell>
        </row>
        <row r="2059">
          <cell r="H2059" t="str">
            <v>FL003.0Y4W001</v>
          </cell>
          <cell r="I2059" t="str">
            <v>3 YD 4X WK 1</v>
          </cell>
        </row>
        <row r="2060">
          <cell r="H2060" t="str">
            <v>FL004.0Y1W001</v>
          </cell>
          <cell r="I2060" t="str">
            <v>4 YD 1X WK 1</v>
          </cell>
        </row>
        <row r="2061">
          <cell r="H2061" t="str">
            <v>FL004.0Y1W001CMP</v>
          </cell>
          <cell r="I2061" t="str">
            <v>4 YD 1X WK COMP 1</v>
          </cell>
        </row>
        <row r="2062">
          <cell r="H2062" t="str">
            <v>FL004.0Y2W001</v>
          </cell>
          <cell r="I2062" t="str">
            <v>4 YD 2X WK 1</v>
          </cell>
        </row>
        <row r="2063">
          <cell r="H2063" t="str">
            <v>FL004.0Y2W001CMP</v>
          </cell>
          <cell r="I2063" t="str">
            <v>4 YD 2X WK COMP 1</v>
          </cell>
        </row>
        <row r="2064">
          <cell r="H2064" t="str">
            <v>FL004.0Y3W001</v>
          </cell>
          <cell r="I2064" t="str">
            <v>4 YD 3X WK 1</v>
          </cell>
        </row>
        <row r="2065">
          <cell r="H2065" t="str">
            <v>FL006.0Y1W001</v>
          </cell>
          <cell r="I2065" t="str">
            <v>6 YD 1X WK 1</v>
          </cell>
        </row>
        <row r="2066">
          <cell r="H2066" t="str">
            <v>FL006.0Y2W001</v>
          </cell>
          <cell r="I2066" t="str">
            <v>6 YD 2X WK 1</v>
          </cell>
        </row>
        <row r="2067">
          <cell r="H2067" t="str">
            <v>FL006.0Y2W001CMP</v>
          </cell>
          <cell r="I2067" t="str">
            <v>6 YD 2X WK COMP 1</v>
          </cell>
        </row>
        <row r="2068">
          <cell r="H2068" t="str">
            <v>FL006.0Y3W001</v>
          </cell>
          <cell r="I2068" t="str">
            <v>6 YD 3X WK 1</v>
          </cell>
        </row>
        <row r="2069">
          <cell r="H2069" t="str">
            <v>FL006.0Y4W001</v>
          </cell>
          <cell r="I2069" t="str">
            <v>6 YD 4X WK 1</v>
          </cell>
        </row>
        <row r="2070">
          <cell r="H2070" t="str">
            <v>GWCOMM</v>
          </cell>
          <cell r="I2070" t="str">
            <v>GREENWASTE SERVICE - COMM</v>
          </cell>
        </row>
        <row r="2071">
          <cell r="H2071" t="str">
            <v>RENT2TEMP-COMM</v>
          </cell>
          <cell r="I2071" t="str">
            <v>RENT 2 YD TEMP - COMM</v>
          </cell>
        </row>
        <row r="2072">
          <cell r="H2072" t="str">
            <v>RL032.0G1W001NORECC</v>
          </cell>
          <cell r="I2072" t="str">
            <v xml:space="preserve">32 GL 1X WK NO RECY COMM </v>
          </cell>
        </row>
        <row r="2073">
          <cell r="H2073" t="str">
            <v>RL032.0G1W001WRECC</v>
          </cell>
          <cell r="I2073" t="str">
            <v>32 GL 1X WK W/RECY COMM 1</v>
          </cell>
        </row>
        <row r="2074">
          <cell r="H2074" t="str">
            <v>RL032.0G1W002NORECC</v>
          </cell>
          <cell r="I2074" t="str">
            <v xml:space="preserve">32 GL 1X WK NO RECY COMM </v>
          </cell>
        </row>
        <row r="2075">
          <cell r="H2075" t="str">
            <v>RL032.0G1W002WRECC</v>
          </cell>
          <cell r="I2075" t="str">
            <v>32 GL 1X WK W/RECY COMM 2</v>
          </cell>
        </row>
        <row r="2076">
          <cell r="H2076" t="str">
            <v>RL032.0G1W003WRECC</v>
          </cell>
          <cell r="I2076" t="str">
            <v>32 GL 1X WK W/RECY COMM 3</v>
          </cell>
        </row>
        <row r="2077">
          <cell r="H2077" t="str">
            <v>RL032.0G1W004WRECC</v>
          </cell>
          <cell r="I2077" t="str">
            <v>32 GL 1X WK W/RECY COMM 4</v>
          </cell>
        </row>
        <row r="2078">
          <cell r="H2078" t="str">
            <v>ROLL-COMM</v>
          </cell>
          <cell r="I2078" t="str">
            <v>ROLL OUT CHARGE - COMM</v>
          </cell>
        </row>
        <row r="2079">
          <cell r="H2079" t="str">
            <v>SL065.0G1W001NORECC</v>
          </cell>
          <cell r="I2079" t="str">
            <v xml:space="preserve">65 GL 1X WK NO RECY COMM </v>
          </cell>
        </row>
        <row r="2080">
          <cell r="H2080" t="str">
            <v>SL065.0G1W001WRECC</v>
          </cell>
          <cell r="I2080" t="str">
            <v>65 GL 1X WK W/RECY COMM 1</v>
          </cell>
        </row>
        <row r="2081">
          <cell r="H2081" t="str">
            <v>SL065.0GEO001NORECC</v>
          </cell>
          <cell r="I2081" t="str">
            <v>65 GL EOW NO RECY COMM 1</v>
          </cell>
        </row>
        <row r="2082">
          <cell r="H2082" t="str">
            <v>SL065.0GEO001WRECC</v>
          </cell>
          <cell r="I2082" t="str">
            <v>65 GL EOW W/RECY COMM 1</v>
          </cell>
        </row>
        <row r="2083">
          <cell r="H2083" t="str">
            <v>SL095.0G1W001NORECC</v>
          </cell>
          <cell r="I2083" t="str">
            <v xml:space="preserve">95 GL 1X WK NO RECY COMM </v>
          </cell>
        </row>
        <row r="2084">
          <cell r="H2084" t="str">
            <v>SL095.0G1W001WRECC</v>
          </cell>
          <cell r="I2084" t="str">
            <v>95 GL 1X WK W/RECY COMM 1</v>
          </cell>
        </row>
        <row r="2085">
          <cell r="H2085" t="str">
            <v>SL095.0GEO001NORECC</v>
          </cell>
          <cell r="I2085" t="str">
            <v>95 GL EOW NO RECY COMM 1</v>
          </cell>
        </row>
        <row r="2086">
          <cell r="H2086" t="str">
            <v>SL095.0GEO001WRECC</v>
          </cell>
          <cell r="I2086" t="str">
            <v>95 GL EOW W/RECY COMM 1</v>
          </cell>
        </row>
        <row r="2087">
          <cell r="H2087" t="str">
            <v>WI1-COMM</v>
          </cell>
          <cell r="I2087" t="str">
            <v>WALK IN 6-25' - COMM</v>
          </cell>
        </row>
        <row r="2088">
          <cell r="H2088" t="str">
            <v>WI2-COMM</v>
          </cell>
          <cell r="I2088" t="str">
            <v>WALK IN 26-50' - COMM</v>
          </cell>
        </row>
        <row r="2089">
          <cell r="H2089" t="str">
            <v>WI4-COMM</v>
          </cell>
          <cell r="I2089" t="str">
            <v>WALK IN 76-100' - COMM</v>
          </cell>
        </row>
        <row r="2090">
          <cell r="H2090" t="str">
            <v>ACCESS-COMM</v>
          </cell>
          <cell r="I2090" t="str">
            <v>ACCESS FEE - COMM</v>
          </cell>
        </row>
        <row r="2091">
          <cell r="H2091" t="str">
            <v>ADJ-COMM</v>
          </cell>
          <cell r="I2091" t="str">
            <v>ADJUSTMENT SERVICE - COMM</v>
          </cell>
        </row>
        <row r="2092">
          <cell r="H2092" t="str">
            <v>BULKY-COMM</v>
          </cell>
          <cell r="I2092" t="str">
            <v>BULKY ITEM PICK UP - COMM</v>
          </cell>
        </row>
        <row r="2093">
          <cell r="H2093" t="str">
            <v>CANCOUNT-COMM</v>
          </cell>
          <cell r="I2093" t="str">
            <v>CAN COUNT - COMM</v>
          </cell>
        </row>
        <row r="2094">
          <cell r="H2094" t="str">
            <v>CANCOUNT65-COMM</v>
          </cell>
          <cell r="I2094" t="str">
            <v>CAN COUNT 65 GL - COMM</v>
          </cell>
        </row>
        <row r="2095">
          <cell r="H2095" t="str">
            <v>CANCOUNT95-COMM</v>
          </cell>
          <cell r="I2095" t="str">
            <v>CAN COUNT 95 GL - COMM</v>
          </cell>
        </row>
        <row r="2096">
          <cell r="H2096" t="str">
            <v>CANCOUNTFD65-COMM</v>
          </cell>
          <cell r="I2096" t="str">
            <v>CAN COUNT FOOD 65 GL - CO</v>
          </cell>
        </row>
        <row r="2097">
          <cell r="H2097" t="str">
            <v>CLEAN1-COMM</v>
          </cell>
          <cell r="I2097" t="str">
            <v>CLEANING FEE 1 YD - COMM</v>
          </cell>
        </row>
        <row r="2098">
          <cell r="H2098" t="str">
            <v>CLEAN1.5-COMM</v>
          </cell>
          <cell r="I2098" t="str">
            <v>CLEANING FEE 1.5 YD - COM</v>
          </cell>
        </row>
        <row r="2099">
          <cell r="H2099" t="str">
            <v>CLEAN2-COMM</v>
          </cell>
          <cell r="I2099" t="str">
            <v>CLEANING FEE 2 YD - COMM</v>
          </cell>
        </row>
        <row r="2100">
          <cell r="H2100" t="str">
            <v>CLEAN6-COMM</v>
          </cell>
          <cell r="I2100" t="str">
            <v>CLEANING FEE 6 YD - COMM</v>
          </cell>
        </row>
        <row r="2101">
          <cell r="H2101" t="str">
            <v>DEL1.5TEMP-COMM</v>
          </cell>
          <cell r="I2101" t="str">
            <v xml:space="preserve">DELIVERY FEE 1.5 YD TEMP </v>
          </cell>
        </row>
        <row r="2102">
          <cell r="H2102" t="str">
            <v>DEL1TEMP-COMM</v>
          </cell>
          <cell r="I2102" t="str">
            <v xml:space="preserve">DELIVERY FEE 1 YD TEMP - </v>
          </cell>
        </row>
        <row r="2103">
          <cell r="H2103" t="str">
            <v>DEL2TEMP-COMM</v>
          </cell>
          <cell r="I2103" t="str">
            <v xml:space="preserve">DELIVERY FEE 2 YD TEMP - </v>
          </cell>
        </row>
        <row r="2104">
          <cell r="H2104" t="str">
            <v>DEL6TEMP-COMM</v>
          </cell>
          <cell r="I2104" t="str">
            <v xml:space="preserve">DELIVERY FEE 6 YD TEMP - </v>
          </cell>
        </row>
        <row r="2105">
          <cell r="H2105" t="str">
            <v>DISP-COMM</v>
          </cell>
          <cell r="I2105" t="str">
            <v>DISPOSAL FEE - COMM</v>
          </cell>
        </row>
        <row r="2106">
          <cell r="H2106" t="str">
            <v>DISPFEDMSW-COMM</v>
          </cell>
          <cell r="I2106" t="str">
            <v>DISPOSAL FEDERAL MSW - CO</v>
          </cell>
        </row>
        <row r="2107">
          <cell r="H2107" t="str">
            <v>DISPMIX-COMM</v>
          </cell>
          <cell r="I2107" t="str">
            <v>DISPOSAL MIX CMGL OCC - COMM</v>
          </cell>
        </row>
        <row r="2108">
          <cell r="H2108" t="str">
            <v>EXTRA-COMM</v>
          </cell>
          <cell r="I2108" t="str">
            <v>EXTRA CAN, BAG, BOX - COM</v>
          </cell>
        </row>
        <row r="2109">
          <cell r="H2109" t="str">
            <v>EXTRAGWC-COMM</v>
          </cell>
          <cell r="I2109" t="str">
            <v>EXTRA GREENWASTE FEE - CO</v>
          </cell>
        </row>
        <row r="2110">
          <cell r="H2110" t="str">
            <v>EXTRAYDG-COM</v>
          </cell>
          <cell r="I2110" t="str">
            <v>EXTRA YARDAGE - COMM</v>
          </cell>
        </row>
        <row r="2111">
          <cell r="H2111" t="str">
            <v>FL001.0YXX001TEMPC</v>
          </cell>
          <cell r="I2111" t="str">
            <v xml:space="preserve">1 YD TEMP </v>
          </cell>
        </row>
        <row r="2112">
          <cell r="H2112" t="str">
            <v>FL001.5YXX001TEMPC</v>
          </cell>
          <cell r="I2112" t="str">
            <v xml:space="preserve">1.5 YD TEMP </v>
          </cell>
        </row>
        <row r="2113">
          <cell r="H2113" t="str">
            <v>FL002.0YXX001TEMPC</v>
          </cell>
          <cell r="I2113" t="str">
            <v xml:space="preserve">2 YD TEMP </v>
          </cell>
        </row>
        <row r="2114">
          <cell r="H2114" t="str">
            <v>FL003.0Y2W001</v>
          </cell>
          <cell r="I2114" t="str">
            <v>3 YD 2X WK 1</v>
          </cell>
        </row>
        <row r="2115">
          <cell r="H2115" t="str">
            <v>FL004.0Y1W001</v>
          </cell>
          <cell r="I2115" t="str">
            <v>4 YD 1X WK 1</v>
          </cell>
        </row>
        <row r="2116">
          <cell r="H2116" t="str">
            <v>FL004.0Y3W001</v>
          </cell>
          <cell r="I2116" t="str">
            <v>4 YD 3X WK 1</v>
          </cell>
        </row>
        <row r="2117">
          <cell r="H2117" t="str">
            <v>FL006.0YXX001TEMPC</v>
          </cell>
          <cell r="I2117" t="str">
            <v>6 YD TEMP 1</v>
          </cell>
        </row>
        <row r="2118">
          <cell r="H2118" t="str">
            <v>REDEL-COMM</v>
          </cell>
          <cell r="I2118" t="str">
            <v>REDELIVER FEE LVL 1 - COM</v>
          </cell>
        </row>
        <row r="2119">
          <cell r="H2119" t="str">
            <v>REINSTATE-COMM</v>
          </cell>
          <cell r="I2119" t="str">
            <v>REINSTATE FEE - COMM</v>
          </cell>
        </row>
        <row r="2120">
          <cell r="H2120" t="str">
            <v>RENT1.5TEMP-COMM</v>
          </cell>
          <cell r="I2120" t="str">
            <v>RENT 1.5 YD TEMP - COMM</v>
          </cell>
        </row>
        <row r="2121">
          <cell r="H2121" t="str">
            <v>RENT1TEMP-COMM</v>
          </cell>
          <cell r="I2121" t="str">
            <v>RENT 1 YD TEMP - COMM</v>
          </cell>
        </row>
        <row r="2122">
          <cell r="H2122" t="str">
            <v>RENT2TEMP-COMM</v>
          </cell>
          <cell r="I2122" t="str">
            <v>RENT 2 YD TEMP - COMM</v>
          </cell>
        </row>
        <row r="2123">
          <cell r="H2123" t="str">
            <v>RENT6TEMP-COMM</v>
          </cell>
          <cell r="I2123" t="str">
            <v>RENT 6 YD TEMP - COMM</v>
          </cell>
        </row>
        <row r="2124">
          <cell r="H2124" t="str">
            <v>RTRNTRIP-COMM</v>
          </cell>
          <cell r="I2124" t="str">
            <v>RETURN TRIP FEE - COMM</v>
          </cell>
        </row>
        <row r="2125">
          <cell r="H2125" t="str">
            <v>SP1-COMM</v>
          </cell>
          <cell r="I2125" t="str">
            <v>SPECIAL PICK UP 1 YD - CO</v>
          </cell>
        </row>
        <row r="2126">
          <cell r="H2126" t="str">
            <v>SP1.5-COMM</v>
          </cell>
          <cell r="I2126" t="str">
            <v xml:space="preserve">SPECIAL PICK UP 1.5 YD - </v>
          </cell>
        </row>
        <row r="2127">
          <cell r="H2127" t="str">
            <v>SP2-COMM</v>
          </cell>
          <cell r="I2127" t="str">
            <v>SPECIAL PICK UP 2 YD - CO</v>
          </cell>
        </row>
        <row r="2128">
          <cell r="H2128" t="str">
            <v>SP3-COMM</v>
          </cell>
          <cell r="I2128" t="str">
            <v>SPECIAL PICK UP 3 YD - CO</v>
          </cell>
        </row>
        <row r="2129">
          <cell r="H2129" t="str">
            <v>SP6-COMM</v>
          </cell>
          <cell r="I2129" t="str">
            <v>SPECIAL PICK UP 6 YD - CO</v>
          </cell>
        </row>
        <row r="2130">
          <cell r="H2130" t="str">
            <v>SPGRAD1-COMM</v>
          </cell>
          <cell r="I2130" t="str">
            <v>SPECIAL PICKUP GRADUATED 1 - COMM</v>
          </cell>
        </row>
        <row r="2131">
          <cell r="H2131" t="str">
            <v>SPGRAD1S-COMM</v>
          </cell>
          <cell r="I2131" t="str">
            <v>SPECIAL UNIT GRAD1 SCHL - COMM</v>
          </cell>
        </row>
        <row r="2132">
          <cell r="H2132" t="str">
            <v>SPGRAD2S-COMM</v>
          </cell>
          <cell r="I2132" t="str">
            <v>SPECIAL UNIT GRAD2 SCHL - COMM</v>
          </cell>
        </row>
        <row r="2133">
          <cell r="H2133" t="str">
            <v>TIME-COMM</v>
          </cell>
          <cell r="I2133" t="str">
            <v>TIME FEE 1 - COMM</v>
          </cell>
        </row>
        <row r="2134">
          <cell r="H2134" t="str">
            <v>DISP-COMM</v>
          </cell>
          <cell r="I2134" t="str">
            <v>DISPOSAL FEE - COMM</v>
          </cell>
        </row>
        <row r="2135">
          <cell r="H2135" t="str">
            <v>DISPFEDMSW-COMM</v>
          </cell>
          <cell r="I2135" t="str">
            <v>DISPOSAL FEDERAL MSW - CO</v>
          </cell>
        </row>
        <row r="2136">
          <cell r="H2136" t="str">
            <v>ACCESSCREC-COMM</v>
          </cell>
          <cell r="I2136" t="str">
            <v>ACCESS FEE COMM RECY - CO</v>
          </cell>
        </row>
        <row r="2137">
          <cell r="H2137" t="str">
            <v>COMDESKREC</v>
          </cell>
          <cell r="I2137" t="str">
            <v>COMM DESKSIDE RECYCLING</v>
          </cell>
        </row>
        <row r="2138">
          <cell r="H2138" t="str">
            <v>FL002.0Y1M001BCMGL</v>
          </cell>
          <cell r="I2138" t="str">
            <v>2 YD 1X MO BUS CMGL 1</v>
          </cell>
        </row>
        <row r="2139">
          <cell r="H2139" t="str">
            <v>FL002.0Y1W001BCMGL</v>
          </cell>
          <cell r="I2139" t="str">
            <v>2 YD 1X WK BUS CMGL 1</v>
          </cell>
        </row>
        <row r="2140">
          <cell r="H2140" t="str">
            <v>FL002.0Y1W001BOCC</v>
          </cell>
          <cell r="I2140" t="str">
            <v>2 YD 1X WK BUS OCC 1</v>
          </cell>
        </row>
        <row r="2141">
          <cell r="H2141" t="str">
            <v>FL002.0Y1W001OCC</v>
          </cell>
          <cell r="I2141" t="str">
            <v>2 YD 1X WK OCC 1</v>
          </cell>
        </row>
        <row r="2142">
          <cell r="H2142" t="str">
            <v>FL002.0Y1W001SCMGL</v>
          </cell>
          <cell r="I2142" t="str">
            <v>2 YD 1X WK SCHL CMGL 1</v>
          </cell>
        </row>
        <row r="2143">
          <cell r="H2143" t="str">
            <v>FL002.0Y1W001SOCC</v>
          </cell>
          <cell r="I2143" t="str">
            <v>2 YD 1X WK SCHOOL OCC</v>
          </cell>
        </row>
        <row r="2144">
          <cell r="H2144" t="str">
            <v>FL002.0Y2W001BCMGL</v>
          </cell>
          <cell r="I2144" t="str">
            <v>2 YD 2X WK BUS CMGL 1</v>
          </cell>
        </row>
        <row r="2145">
          <cell r="H2145" t="str">
            <v>FL002.0Y2W001BOCC</v>
          </cell>
          <cell r="I2145" t="str">
            <v>2 YD 2X WK BUS OCC 1</v>
          </cell>
        </row>
        <row r="2146">
          <cell r="H2146" t="str">
            <v>FL002.0Y2W001SCMGL</v>
          </cell>
          <cell r="I2146" t="str">
            <v>2 YD 2X WK SCHL CMGL 1</v>
          </cell>
        </row>
        <row r="2147">
          <cell r="H2147" t="str">
            <v>FL002.0Y2W001SOCC</v>
          </cell>
          <cell r="I2147" t="str">
            <v>2 YD 2X WK SCHOOL OCC</v>
          </cell>
        </row>
        <row r="2148">
          <cell r="H2148" t="str">
            <v>FL002.0Y3W001BOCC</v>
          </cell>
          <cell r="I2148" t="str">
            <v>2 YD 3X WK BUS OCC 1</v>
          </cell>
        </row>
        <row r="2149">
          <cell r="H2149" t="str">
            <v>FL002.0Y4W001BOCC</v>
          </cell>
          <cell r="I2149" t="str">
            <v>2 YD 4X WK BUS OCC 1</v>
          </cell>
        </row>
        <row r="2150">
          <cell r="H2150" t="str">
            <v>FL004.0Y1W001CMGL</v>
          </cell>
          <cell r="I2150" t="str">
            <v>4 YD 1X WK BUS CMGL 1</v>
          </cell>
        </row>
        <row r="2151">
          <cell r="H2151" t="str">
            <v>FL004.0Y1W001SCMGL</v>
          </cell>
          <cell r="I2151" t="str">
            <v>4 YD 1X WK SCH CMGL 1</v>
          </cell>
        </row>
        <row r="2152">
          <cell r="H2152" t="str">
            <v>FL004.0Y2W001CMGL</v>
          </cell>
          <cell r="I2152" t="str">
            <v>4 YD 2X WK BUS CMGL 1</v>
          </cell>
        </row>
        <row r="2153">
          <cell r="H2153" t="str">
            <v>FL004.0Y3W001BCMGL</v>
          </cell>
          <cell r="I2153" t="str">
            <v>4 YD 3X WK BUS CMGL 1</v>
          </cell>
        </row>
        <row r="2154">
          <cell r="H2154" t="str">
            <v>FL004.0Y4W001BCMGL</v>
          </cell>
          <cell r="I2154" t="str">
            <v>4 YD 4X WK BUS CMGL 1</v>
          </cell>
        </row>
        <row r="2155">
          <cell r="H2155" t="str">
            <v>FL004.0Y5W001BCMGL</v>
          </cell>
          <cell r="I2155" t="str">
            <v>4 YD 5X WK BUS CMGL 1</v>
          </cell>
        </row>
        <row r="2156">
          <cell r="H2156" t="str">
            <v>FL005.0Y1W001BOCC</v>
          </cell>
          <cell r="I2156" t="str">
            <v>5 YD 1X WK BUS OCC 1</v>
          </cell>
        </row>
        <row r="2157">
          <cell r="H2157" t="str">
            <v>FL005.0Y1W001OCC</v>
          </cell>
          <cell r="I2157" t="str">
            <v>5 YD 1X WK OCC  1</v>
          </cell>
        </row>
        <row r="2158">
          <cell r="H2158" t="str">
            <v>FL005.0Y1W001SOCC</v>
          </cell>
          <cell r="I2158" t="str">
            <v>5 YD 1X WK SCHOOL OCC</v>
          </cell>
        </row>
        <row r="2159">
          <cell r="H2159" t="str">
            <v>FL005.0Y2W001BOCC</v>
          </cell>
          <cell r="I2159" t="str">
            <v>5 YD 2X WK BUS OCC 1</v>
          </cell>
        </row>
        <row r="2160">
          <cell r="H2160" t="str">
            <v>FL005.0Y2W001OCC</v>
          </cell>
          <cell r="I2160" t="str">
            <v>5 YD 2X WK OCC 1</v>
          </cell>
        </row>
        <row r="2161">
          <cell r="H2161" t="str">
            <v>FL005.0Y3W001BOCC</v>
          </cell>
          <cell r="I2161" t="str">
            <v>5 YD 3X WK BUS OCC 1</v>
          </cell>
        </row>
        <row r="2162">
          <cell r="H2162" t="str">
            <v>FL005.0Y4W001BOCC</v>
          </cell>
          <cell r="I2162" t="str">
            <v>5 YD 4X WK BUS OCC 1</v>
          </cell>
        </row>
        <row r="2163">
          <cell r="H2163" t="str">
            <v>FL005.0Y5W001BOCC</v>
          </cell>
          <cell r="I2163" t="str">
            <v>5 YD 5X WK BUS OCC 1</v>
          </cell>
        </row>
        <row r="2164">
          <cell r="H2164" t="str">
            <v>FL006.0Y1W001BCMGL</v>
          </cell>
          <cell r="I2164" t="str">
            <v>6 YD 1X WK BUS COMINGLE 1</v>
          </cell>
        </row>
        <row r="2165">
          <cell r="H2165" t="str">
            <v>FL006.0Y1W001SCMGL</v>
          </cell>
          <cell r="I2165" t="str">
            <v>6 YD 1X WK SCHL CMGL 1</v>
          </cell>
        </row>
        <row r="2166">
          <cell r="H2166" t="str">
            <v>FL006.0Y2W001BCMGL</v>
          </cell>
          <cell r="I2166" t="str">
            <v>6 YD 2X WK BUS COMINGLE 1</v>
          </cell>
        </row>
        <row r="2167">
          <cell r="H2167" t="str">
            <v>FL006.0Y3W001BCMGL</v>
          </cell>
          <cell r="I2167" t="str">
            <v>6 YD 3X WK BUS CMGL 1</v>
          </cell>
        </row>
        <row r="2168">
          <cell r="H2168" t="str">
            <v>MFNBINS</v>
          </cell>
          <cell r="I2168" t="str">
            <v>MULTI-FAMILY REC UNIT N/B</v>
          </cell>
        </row>
        <row r="2169">
          <cell r="H2169" t="str">
            <v>MFWBINS</v>
          </cell>
          <cell r="I2169" t="str">
            <v>MULTI-FAMILY REC UNIT W/B</v>
          </cell>
        </row>
        <row r="2170">
          <cell r="H2170" t="str">
            <v>ROLL-REC</v>
          </cell>
          <cell r="I2170" t="str">
            <v>ROLL OUT CHARGE - RECYCLI</v>
          </cell>
        </row>
        <row r="2171">
          <cell r="H2171" t="str">
            <v>SL064.0G1M001BCMGLIN</v>
          </cell>
          <cell r="I2171" t="str">
            <v>64 GL MTHLY BUS CMGL IN</v>
          </cell>
        </row>
        <row r="2172">
          <cell r="H2172" t="str">
            <v>SL064.0G1W001BCMGLOUT</v>
          </cell>
          <cell r="I2172" t="str">
            <v>64 GL WKLY BUS CMGL OUT</v>
          </cell>
        </row>
        <row r="2173">
          <cell r="H2173" t="str">
            <v>SL064.0GEO001BCMGLOUT</v>
          </cell>
          <cell r="I2173" t="str">
            <v>64 GL EOW BUS CMGL OUT</v>
          </cell>
        </row>
        <row r="2174">
          <cell r="H2174" t="str">
            <v>SL096.0G1M001BCMGLIN</v>
          </cell>
          <cell r="I2174" t="str">
            <v>96 GL MTHLY BUS CMGL IN</v>
          </cell>
        </row>
        <row r="2175">
          <cell r="H2175" t="str">
            <v>SL096.0G1M001BCMGLOUT</v>
          </cell>
          <cell r="I2175" t="str">
            <v>96 GL MTHLY BUS CMGL OUT</v>
          </cell>
        </row>
        <row r="2176">
          <cell r="H2176" t="str">
            <v>SL096.0G1W001BCMGLIN</v>
          </cell>
          <cell r="I2176" t="str">
            <v>96 GL WKLY BUS CMGL IN</v>
          </cell>
        </row>
        <row r="2177">
          <cell r="H2177" t="str">
            <v>SL096.0G1W001BCMGLOUT</v>
          </cell>
          <cell r="I2177" t="str">
            <v>96 GL WKLY BUS CMGL OUT</v>
          </cell>
        </row>
        <row r="2178">
          <cell r="H2178" t="str">
            <v>SL096.0G1W001RECC</v>
          </cell>
          <cell r="I2178" t="str">
            <v xml:space="preserve">96 GL 1X WK RECYCLE COMM </v>
          </cell>
        </row>
        <row r="2179">
          <cell r="H2179" t="str">
            <v>SL096.0G1W001SCMGLIN</v>
          </cell>
          <cell r="I2179" t="str">
            <v>96 GL WKLY SCHL CMGL IN</v>
          </cell>
        </row>
        <row r="2180">
          <cell r="H2180" t="str">
            <v>SL096.0G1W001SCMGLOUT</v>
          </cell>
          <cell r="I2180" t="str">
            <v>96 GL WKLY SCHL CMGL OUT</v>
          </cell>
        </row>
        <row r="2181">
          <cell r="H2181" t="str">
            <v>SL096.0GEO001BCMGLIN</v>
          </cell>
          <cell r="I2181" t="str">
            <v>96 GL EOW BUS CMGL IN</v>
          </cell>
        </row>
        <row r="2182">
          <cell r="H2182" t="str">
            <v>SL096.0GEO001BCMGLOUT</v>
          </cell>
          <cell r="I2182" t="str">
            <v>96 GL EOW BUS CMGL OUT</v>
          </cell>
        </row>
        <row r="2183">
          <cell r="H2183" t="str">
            <v>SL096.0GEO001SCMGLOUT</v>
          </cell>
          <cell r="I2183" t="str">
            <v>96 GL EOW SCHL CMGL OUT</v>
          </cell>
        </row>
        <row r="2184">
          <cell r="H2184" t="str">
            <v>FL005.0Y4W001BOCC</v>
          </cell>
          <cell r="I2184" t="str">
            <v>5 YD 4X WK BUS OCC 1</v>
          </cell>
        </row>
        <row r="2185">
          <cell r="H2185" t="str">
            <v>SP6BCMGL-COMM</v>
          </cell>
          <cell r="I2185" t="str">
            <v>SPECIAL P/U 6 YD BUS CMGL</v>
          </cell>
        </row>
        <row r="2186">
          <cell r="H2186" t="str">
            <v>CC-KOL</v>
          </cell>
          <cell r="I2186" t="str">
            <v>ONLINE PAYMENT-CC</v>
          </cell>
        </row>
        <row r="2187">
          <cell r="H2187" t="str">
            <v>CCREF-KOL</v>
          </cell>
          <cell r="I2187" t="str">
            <v>CREDIT CARD REFUND</v>
          </cell>
        </row>
        <row r="2188">
          <cell r="H2188" t="str">
            <v>PAY</v>
          </cell>
          <cell r="I2188" t="str">
            <v>PAYMENT THANK YOU</v>
          </cell>
        </row>
        <row r="2189">
          <cell r="H2189" t="str">
            <v>PAY-CFREE</v>
          </cell>
          <cell r="I2189" t="str">
            <v>CHECKFREE PAYMENT</v>
          </cell>
        </row>
        <row r="2190">
          <cell r="H2190" t="str">
            <v>PAY-KOL</v>
          </cell>
          <cell r="I2190" t="str">
            <v>PAYMENT-THANK YOU - OL</v>
          </cell>
        </row>
        <row r="2191">
          <cell r="H2191" t="str">
            <v>PAY-ORCC</v>
          </cell>
          <cell r="I2191" t="str">
            <v>ORCC PAYMENT</v>
          </cell>
        </row>
        <row r="2192">
          <cell r="H2192" t="str">
            <v>PAY-RPPS</v>
          </cell>
          <cell r="I2192" t="str">
            <v>RPPS MASTERCARD PAYMENT</v>
          </cell>
        </row>
        <row r="2193">
          <cell r="H2193" t="str">
            <v>PAYICT</v>
          </cell>
          <cell r="I2193" t="str">
            <v>I/C PAYMENT THANK YOU</v>
          </cell>
        </row>
        <row r="2194">
          <cell r="H2194" t="str">
            <v>PAYL</v>
          </cell>
          <cell r="I2194" t="str">
            <v>PAYMENT THANK YOU</v>
          </cell>
        </row>
        <row r="2195">
          <cell r="H2195" t="str">
            <v>PAYMET</v>
          </cell>
          <cell r="I2195" t="str">
            <v>METAVANTE ONLINE PAYMENT</v>
          </cell>
        </row>
        <row r="2196">
          <cell r="H2196" t="str">
            <v>PAYUSBL</v>
          </cell>
          <cell r="I2196" t="str">
            <v>PAYMENT THANK YOU</v>
          </cell>
        </row>
        <row r="2197">
          <cell r="H2197" t="str">
            <v>RET-KOL</v>
          </cell>
          <cell r="I2197" t="str">
            <v>ONLINE PAYMENT RETURN</v>
          </cell>
        </row>
        <row r="2198">
          <cell r="H2198" t="str">
            <v>CC-KOL</v>
          </cell>
          <cell r="I2198" t="str">
            <v>ONLINE PAYMENT-CC</v>
          </cell>
        </row>
        <row r="2199">
          <cell r="H2199" t="str">
            <v>CCREF-KOL</v>
          </cell>
          <cell r="I2199" t="str">
            <v>CREDIT CARD REFUND</v>
          </cell>
        </row>
        <row r="2200">
          <cell r="H2200" t="str">
            <v>PAY</v>
          </cell>
          <cell r="I2200" t="str">
            <v>PAYMENT THANK YOU</v>
          </cell>
        </row>
        <row r="2201">
          <cell r="H2201" t="str">
            <v>PAY-CFREE</v>
          </cell>
          <cell r="I2201" t="str">
            <v>CHECKFREE PAYMENT</v>
          </cell>
        </row>
        <row r="2202">
          <cell r="H2202" t="str">
            <v>PAY-KOL</v>
          </cell>
          <cell r="I2202" t="str">
            <v>PAYMENT-THANK YOU - OL</v>
          </cell>
        </row>
        <row r="2203">
          <cell r="H2203" t="str">
            <v>PAY-ORCC</v>
          </cell>
          <cell r="I2203" t="str">
            <v>ORCC PAYMENT</v>
          </cell>
        </row>
        <row r="2204">
          <cell r="H2204" t="str">
            <v>PAY-RPPS</v>
          </cell>
          <cell r="I2204" t="str">
            <v>RPPS MASTERCARD PAYMENT</v>
          </cell>
        </row>
        <row r="2205">
          <cell r="H2205" t="str">
            <v>PAYAD</v>
          </cell>
          <cell r="I2205" t="str">
            <v>ADJUST PAYMENT AD</v>
          </cell>
        </row>
        <row r="2206">
          <cell r="H2206" t="str">
            <v>PAYICT</v>
          </cell>
          <cell r="I2206" t="str">
            <v>I/C PAYMENT THANK YOU</v>
          </cell>
        </row>
        <row r="2207">
          <cell r="H2207" t="str">
            <v>PAYL</v>
          </cell>
          <cell r="I2207" t="str">
            <v>PAYMENT THANK YOU</v>
          </cell>
        </row>
        <row r="2208">
          <cell r="H2208" t="str">
            <v>PAYMET</v>
          </cell>
          <cell r="I2208" t="str">
            <v>METAVANTE ONLINE PAYMENT</v>
          </cell>
        </row>
        <row r="2209">
          <cell r="H2209" t="str">
            <v>PAYUSBL</v>
          </cell>
          <cell r="I2209" t="str">
            <v>PAYMENT THANK YOU</v>
          </cell>
        </row>
        <row r="2210">
          <cell r="H2210" t="str">
            <v>RET-KOL</v>
          </cell>
          <cell r="I2210" t="str">
            <v>ONLINE PAYMENT RETURN</v>
          </cell>
        </row>
        <row r="2211">
          <cell r="H2211" t="str">
            <v>CC</v>
          </cell>
          <cell r="I2211" t="str">
            <v>PAYMENT THANK YOU!</v>
          </cell>
        </row>
        <row r="2212">
          <cell r="H2212" t="str">
            <v>CC-KOL</v>
          </cell>
          <cell r="I2212" t="str">
            <v>ONLINE PAYMENT-CC</v>
          </cell>
        </row>
        <row r="2213">
          <cell r="H2213" t="str">
            <v>CCREF-KOL</v>
          </cell>
          <cell r="I2213" t="str">
            <v>CREDIT CARD REFUND</v>
          </cell>
        </row>
        <row r="2214">
          <cell r="H2214" t="str">
            <v>PAY</v>
          </cell>
          <cell r="I2214" t="str">
            <v>PAYMENT THANK YOU</v>
          </cell>
        </row>
        <row r="2215">
          <cell r="H2215" t="str">
            <v>PAY-CFREE</v>
          </cell>
          <cell r="I2215" t="str">
            <v>CHECKFREE PAYMENT</v>
          </cell>
        </row>
        <row r="2216">
          <cell r="H2216" t="str">
            <v>PAY-KOL</v>
          </cell>
          <cell r="I2216" t="str">
            <v>PAYMENT-THANK YOU - OL</v>
          </cell>
        </row>
        <row r="2217">
          <cell r="H2217" t="str">
            <v>PAY-NATL</v>
          </cell>
          <cell r="I2217" t="str">
            <v>PAYMENT THANK YOU</v>
          </cell>
        </row>
        <row r="2218">
          <cell r="H2218" t="str">
            <v>PAY-OAK</v>
          </cell>
          <cell r="I2218" t="str">
            <v>OAKLEAF PAYMENT</v>
          </cell>
        </row>
        <row r="2219">
          <cell r="H2219" t="str">
            <v>PAY-ORCC</v>
          </cell>
          <cell r="I2219" t="str">
            <v>ORCC PAYMENT</v>
          </cell>
        </row>
        <row r="2220">
          <cell r="H2220" t="str">
            <v>PAY-RPPS</v>
          </cell>
          <cell r="I2220" t="str">
            <v>RPPS MASTERCARD PAYMENT</v>
          </cell>
        </row>
        <row r="2221">
          <cell r="H2221" t="str">
            <v>PAYEFT</v>
          </cell>
          <cell r="I2221" t="str">
            <v>EFT PAYMENT</v>
          </cell>
        </row>
        <row r="2222">
          <cell r="H2222" t="str">
            <v>PAYICLRI</v>
          </cell>
          <cell r="I2222" t="str">
            <v>PAYMENT THANK YOU</v>
          </cell>
        </row>
        <row r="2223">
          <cell r="H2223" t="str">
            <v>PAYICT</v>
          </cell>
          <cell r="I2223" t="str">
            <v>I/C PAYMENT THANK YOU</v>
          </cell>
        </row>
        <row r="2224">
          <cell r="H2224" t="str">
            <v>PAYL</v>
          </cell>
          <cell r="I2224" t="str">
            <v>PAYMENT THANK YOU</v>
          </cell>
        </row>
        <row r="2225">
          <cell r="H2225" t="str">
            <v>PAYMET</v>
          </cell>
          <cell r="I2225" t="str">
            <v>METAVANTE ONLINE PAYMENT</v>
          </cell>
        </row>
        <row r="2226">
          <cell r="H2226" t="str">
            <v>PAYUSBL</v>
          </cell>
          <cell r="I2226" t="str">
            <v>PAYMENT THANK YOU</v>
          </cell>
        </row>
        <row r="2227">
          <cell r="H2227" t="str">
            <v>RET-KOL</v>
          </cell>
          <cell r="I2227" t="str">
            <v>ONLINE PAYMENT RETURN</v>
          </cell>
        </row>
        <row r="2228">
          <cell r="H2228" t="str">
            <v>ACCESS-RES</v>
          </cell>
          <cell r="I2228" t="str">
            <v>ACCESS FEE - RES</v>
          </cell>
        </row>
        <row r="2229">
          <cell r="H2229" t="str">
            <v>DRIVEIN-RES</v>
          </cell>
          <cell r="I2229" t="str">
            <v>DRIVE IN SERVICE - RES</v>
          </cell>
        </row>
        <row r="2230">
          <cell r="H2230" t="str">
            <v>DRIVEIN1-RES</v>
          </cell>
          <cell r="I2230" t="str">
            <v>DRIVE IN 1 - RES</v>
          </cell>
        </row>
        <row r="2231">
          <cell r="H2231" t="str">
            <v>DRIVEIN2-RES</v>
          </cell>
          <cell r="I2231" t="str">
            <v>DRIVE IN 2 - RES</v>
          </cell>
        </row>
        <row r="2232">
          <cell r="H2232" t="str">
            <v>DRIVEIN4-RES</v>
          </cell>
          <cell r="I2232" t="str">
            <v>DRIVE IN 4 - RES</v>
          </cell>
        </row>
        <row r="2233">
          <cell r="H2233" t="str">
            <v>DRIVEINMUL-RES</v>
          </cell>
          <cell r="I2233" t="str">
            <v>DRIVE IN SVC MULTIPLE</v>
          </cell>
        </row>
        <row r="2234">
          <cell r="H2234" t="str">
            <v>EMPLOYEER</v>
          </cell>
          <cell r="I2234" t="str">
            <v>EMPLOYEE SERVICE RES</v>
          </cell>
        </row>
        <row r="2235">
          <cell r="H2235" t="str">
            <v>GWRES</v>
          </cell>
          <cell r="I2235" t="str">
            <v>GREENWASTE SERVICE - RES</v>
          </cell>
        </row>
        <row r="2236">
          <cell r="H2236" t="str">
            <v>RECBINONLYR</v>
          </cell>
          <cell r="I2236" t="str">
            <v>RECYCLE SERVICE ONLY</v>
          </cell>
        </row>
        <row r="2237">
          <cell r="H2237" t="str">
            <v>RECPROGADJ-RES</v>
          </cell>
          <cell r="I2237" t="str">
            <v>RECYCLING PROGRAM ADJUSTM</v>
          </cell>
        </row>
        <row r="2238">
          <cell r="H2238" t="str">
            <v>RECVALRES</v>
          </cell>
          <cell r="I2238" t="str">
            <v>RECYCLABLES VALUE - RES</v>
          </cell>
        </row>
        <row r="2239">
          <cell r="H2239" t="str">
            <v>RL020.0G1W001</v>
          </cell>
          <cell r="I2239" t="str">
            <v>20 GL 1X WK 1</v>
          </cell>
        </row>
        <row r="2240">
          <cell r="H2240" t="str">
            <v>RL032.0G1M001NOREC</v>
          </cell>
          <cell r="I2240" t="str">
            <v>32 GL 1X MO NO RECY 1</v>
          </cell>
        </row>
        <row r="2241">
          <cell r="H2241" t="str">
            <v>RL032.0G1M001WREC</v>
          </cell>
          <cell r="I2241" t="str">
            <v>32 GL 1X MO W/RECY 1</v>
          </cell>
        </row>
        <row r="2242">
          <cell r="H2242" t="str">
            <v>RL032.0G1W001NOREC</v>
          </cell>
          <cell r="I2242" t="str">
            <v>32 GL 1X WK NO RECY 1</v>
          </cell>
        </row>
        <row r="2243">
          <cell r="H2243" t="str">
            <v>RL032.0G1W001WREC</v>
          </cell>
          <cell r="I2243" t="str">
            <v>32 GL 1X WK W/RECY 1</v>
          </cell>
        </row>
        <row r="2244">
          <cell r="H2244" t="str">
            <v>RL032.0G1W002NOREC</v>
          </cell>
          <cell r="I2244" t="str">
            <v>32 GL 1X WK NO RECY 2</v>
          </cell>
        </row>
        <row r="2245">
          <cell r="H2245" t="str">
            <v>RL032.0G1W002WREC</v>
          </cell>
          <cell r="I2245" t="str">
            <v>32 GL 1X WK W/RECY 2</v>
          </cell>
        </row>
        <row r="2246">
          <cell r="H2246" t="str">
            <v>RL032.0G1W003WREC</v>
          </cell>
          <cell r="I2246" t="str">
            <v>32 GL 1X WK W/RECY 3</v>
          </cell>
        </row>
        <row r="2247">
          <cell r="H2247" t="str">
            <v>SL035.0G1M001WREC</v>
          </cell>
          <cell r="I2247" t="str">
            <v>35 GL 1X MO W/RECY 1</v>
          </cell>
        </row>
        <row r="2248">
          <cell r="H2248" t="str">
            <v>SL035.0G1W001NOREC</v>
          </cell>
          <cell r="I2248" t="str">
            <v>35 GL 1X WK NO RECY 1</v>
          </cell>
        </row>
        <row r="2249">
          <cell r="H2249" t="str">
            <v>SL035.0G1W001WREC</v>
          </cell>
          <cell r="I2249" t="str">
            <v>35 GL 1X WK W/ RECY 1</v>
          </cell>
        </row>
        <row r="2250">
          <cell r="H2250" t="str">
            <v>SL035.0G1W002WREC</v>
          </cell>
          <cell r="I2250" t="str">
            <v>35 GL 1X WK W/RECY 2</v>
          </cell>
        </row>
        <row r="2251">
          <cell r="H2251" t="str">
            <v>SL035.0GEO001NOREC</v>
          </cell>
          <cell r="I2251" t="str">
            <v>35 GL EOW NO RECY 1</v>
          </cell>
        </row>
        <row r="2252">
          <cell r="H2252" t="str">
            <v>SL035.0GEO001WREC</v>
          </cell>
          <cell r="I2252" t="str">
            <v>35 GL EOW W/RECY 1</v>
          </cell>
        </row>
        <row r="2253">
          <cell r="H2253" t="str">
            <v>SL065.0G1M001</v>
          </cell>
          <cell r="I2253" t="str">
            <v>65 GL 1X MO 1</v>
          </cell>
        </row>
        <row r="2254">
          <cell r="H2254" t="str">
            <v>SL065.0G1M001NOREC</v>
          </cell>
          <cell r="I2254" t="str">
            <v>65 GL 1X MO NO RECY 1</v>
          </cell>
        </row>
        <row r="2255">
          <cell r="H2255" t="str">
            <v>SL065.0G1M001WREC</v>
          </cell>
          <cell r="I2255" t="str">
            <v>65 GL 1X MO W/RECY 1</v>
          </cell>
        </row>
        <row r="2256">
          <cell r="H2256" t="str">
            <v>SL065.0G1W001NOREC</v>
          </cell>
          <cell r="I2256" t="str">
            <v>65 GL 1X WK NO RECY 1</v>
          </cell>
        </row>
        <row r="2257">
          <cell r="H2257" t="str">
            <v>SL065.0G1W001WREC</v>
          </cell>
          <cell r="I2257" t="str">
            <v>65 GL 1X WK W/RECY 1</v>
          </cell>
        </row>
        <row r="2258">
          <cell r="H2258" t="str">
            <v>SL065.0GEO001NOREC</v>
          </cell>
          <cell r="I2258" t="str">
            <v>65 GL EOW NO RECY 1</v>
          </cell>
        </row>
        <row r="2259">
          <cell r="H2259" t="str">
            <v>SL065.0GEO001WREC</v>
          </cell>
          <cell r="I2259" t="str">
            <v>65 GL EOW W/RECY 1</v>
          </cell>
        </row>
        <row r="2260">
          <cell r="H2260" t="str">
            <v>SL095.0G1M001NOREC</v>
          </cell>
          <cell r="I2260" t="str">
            <v>95 GL 1X MO NO RECY 1</v>
          </cell>
        </row>
        <row r="2261">
          <cell r="H2261" t="str">
            <v>SL095.0G1M001WREC</v>
          </cell>
          <cell r="I2261" t="str">
            <v>95 GL 1X MO W/RECY 1</v>
          </cell>
        </row>
        <row r="2262">
          <cell r="H2262" t="str">
            <v>SL095.0G1W001NOREC</v>
          </cell>
          <cell r="I2262" t="str">
            <v>95 GL 1X WK NO RECY 1</v>
          </cell>
        </row>
        <row r="2263">
          <cell r="H2263" t="str">
            <v>SL095.0G1W001WREC</v>
          </cell>
          <cell r="I2263" t="str">
            <v>95 GL 1X WK W/RECY 1</v>
          </cell>
        </row>
        <row r="2264">
          <cell r="H2264" t="str">
            <v>SL095.0GEO001NOREC</v>
          </cell>
          <cell r="I2264" t="str">
            <v>95 GL EOW NO RECY 1</v>
          </cell>
        </row>
        <row r="2265">
          <cell r="H2265" t="str">
            <v>SL095.0GEO001WREC</v>
          </cell>
          <cell r="I2265" t="str">
            <v>95 GL EOW W/RECY 1</v>
          </cell>
        </row>
        <row r="2266">
          <cell r="H2266" t="str">
            <v>WI1-RES</v>
          </cell>
          <cell r="I2266" t="str">
            <v>WALK IN 6-25' - RES</v>
          </cell>
        </row>
        <row r="2267">
          <cell r="H2267" t="str">
            <v>WI2-RES</v>
          </cell>
          <cell r="I2267" t="str">
            <v>WALK IN 26-50' - RES</v>
          </cell>
        </row>
        <row r="2268">
          <cell r="H2268" t="str">
            <v>ADJ-RES</v>
          </cell>
          <cell r="I2268" t="str">
            <v>ADJUSTMENT SERVICE - RES</v>
          </cell>
        </row>
        <row r="2269">
          <cell r="H2269" t="str">
            <v>BULKY-RES</v>
          </cell>
          <cell r="I2269" t="str">
            <v>BULKY ITEM PICK UP - RES</v>
          </cell>
        </row>
        <row r="2270">
          <cell r="H2270" t="str">
            <v>EP96GWC-RES</v>
          </cell>
          <cell r="I2270" t="str">
            <v>EXTRA PICK UP 96 GW - RES</v>
          </cell>
        </row>
        <row r="2271">
          <cell r="H2271" t="str">
            <v>EXTRA-RES</v>
          </cell>
          <cell r="I2271" t="str">
            <v>EXTRA CAN, BAG, BOX - RES</v>
          </cell>
        </row>
        <row r="2272">
          <cell r="H2272" t="str">
            <v>EXTRA95-RES</v>
          </cell>
          <cell r="I2272" t="str">
            <v>EXTRA 95 GL RES</v>
          </cell>
        </row>
        <row r="2273">
          <cell r="H2273" t="str">
            <v>EXTRAGWC-RES</v>
          </cell>
          <cell r="I2273" t="str">
            <v>EXTRA GREENWASTE FEE - RE</v>
          </cell>
        </row>
        <row r="2274">
          <cell r="H2274" t="str">
            <v>GWRES</v>
          </cell>
          <cell r="I2274" t="str">
            <v>GREENWASTE SERVICE - RES</v>
          </cell>
        </row>
        <row r="2275">
          <cell r="H2275" t="str">
            <v>OC-RES</v>
          </cell>
          <cell r="I2275" t="str">
            <v>ON CALL SERVICE - RES</v>
          </cell>
        </row>
        <row r="2276">
          <cell r="H2276" t="str">
            <v>OS-RES</v>
          </cell>
          <cell r="I2276" t="str">
            <v>OVERSIZE CAN - RES</v>
          </cell>
        </row>
        <row r="2277">
          <cell r="H2277" t="str">
            <v>OW-RES</v>
          </cell>
          <cell r="I2277" t="str">
            <v>OVERFILL / OVERWEIGHT CAN</v>
          </cell>
        </row>
        <row r="2278">
          <cell r="H2278" t="str">
            <v>RECBINONLYR</v>
          </cell>
          <cell r="I2278" t="str">
            <v>RECYCLE SERVICE ONLY</v>
          </cell>
        </row>
        <row r="2279">
          <cell r="H2279" t="str">
            <v>RECPROGADJ-RES</v>
          </cell>
          <cell r="I2279" t="str">
            <v>RECYCLING PROGRAM ADJUSTM</v>
          </cell>
        </row>
        <row r="2280">
          <cell r="H2280" t="str">
            <v>RECVALRES</v>
          </cell>
          <cell r="I2280" t="str">
            <v>RECYCLABLES VALUE - RES</v>
          </cell>
        </row>
        <row r="2281">
          <cell r="H2281" t="str">
            <v>REDEL-RES</v>
          </cell>
          <cell r="I2281" t="str">
            <v>REDELIVER FEE - RES</v>
          </cell>
        </row>
        <row r="2282">
          <cell r="H2282" t="str">
            <v>REINSTATE-RES</v>
          </cell>
          <cell r="I2282" t="str">
            <v>REINSTATE FEE - RES</v>
          </cell>
        </row>
        <row r="2283">
          <cell r="H2283" t="str">
            <v>RTRNCART65-RES</v>
          </cell>
          <cell r="I2283" t="str">
            <v>RETURN TRIP 65 GL - RES</v>
          </cell>
        </row>
        <row r="2284">
          <cell r="H2284" t="str">
            <v>RTRNCART95-RES</v>
          </cell>
          <cell r="I2284" t="str">
            <v>RETURN TRIP 95 GL - RES</v>
          </cell>
        </row>
        <row r="2285">
          <cell r="H2285" t="str">
            <v>RTRNCART96REC-RES</v>
          </cell>
          <cell r="I2285" t="str">
            <v>RETURN TRIP 96 GL REC - RES</v>
          </cell>
        </row>
        <row r="2286">
          <cell r="H2286" t="str">
            <v>SL065.0G1W001WREC</v>
          </cell>
          <cell r="I2286" t="str">
            <v>65 GL 1X WK W/RECY 1</v>
          </cell>
        </row>
        <row r="2287">
          <cell r="H2287" t="str">
            <v>SL065.0GEO001WREC</v>
          </cell>
          <cell r="I2287" t="str">
            <v>65 GL EOW W/RECY 1</v>
          </cell>
        </row>
        <row r="2288">
          <cell r="H2288" t="str">
            <v>SL095.0G1W001</v>
          </cell>
          <cell r="I2288" t="str">
            <v>95 GL 1X WK 1</v>
          </cell>
        </row>
        <row r="2289">
          <cell r="H2289" t="str">
            <v>SL095.0G1W001WREC</v>
          </cell>
          <cell r="I2289" t="str">
            <v>95 GL 1X WK W/RECY 1</v>
          </cell>
        </row>
        <row r="2290">
          <cell r="H2290" t="str">
            <v>SPECIAL-RES</v>
          </cell>
          <cell r="I2290" t="str">
            <v>SPECIAL SERVICE - RES</v>
          </cell>
        </row>
        <row r="2291">
          <cell r="H2291" t="str">
            <v>TIME-RES</v>
          </cell>
          <cell r="I2291" t="str">
            <v>TIME FEE 1 - RES</v>
          </cell>
        </row>
        <row r="2292">
          <cell r="H2292" t="str">
            <v>UNRETURN-RES</v>
          </cell>
          <cell r="I2292" t="str">
            <v xml:space="preserve">CONTAINER UNRETURNED FEE </v>
          </cell>
        </row>
        <row r="2293">
          <cell r="H2293" t="str">
            <v>DRIVEIN-RES</v>
          </cell>
          <cell r="I2293" t="str">
            <v>DRIVE IN SERVICE - RES</v>
          </cell>
        </row>
        <row r="2294">
          <cell r="H2294" t="str">
            <v>GWRES</v>
          </cell>
          <cell r="I2294" t="str">
            <v>GREENWASTE SERVICE - RES</v>
          </cell>
        </row>
        <row r="2295">
          <cell r="H2295" t="str">
            <v>RECBINONLYR</v>
          </cell>
          <cell r="I2295" t="str">
            <v>RECYCLE SERVICE ONLY</v>
          </cell>
        </row>
        <row r="2296">
          <cell r="H2296" t="str">
            <v>RECPROGADJ-RES</v>
          </cell>
          <cell r="I2296" t="str">
            <v>RECYCLING PROGRAM ADJUSTM</v>
          </cell>
        </row>
        <row r="2297">
          <cell r="H2297" t="str">
            <v>RECVALRES</v>
          </cell>
          <cell r="I2297" t="str">
            <v>RECYCLABLES VALUE - RES</v>
          </cell>
        </row>
        <row r="2298">
          <cell r="H2298" t="str">
            <v>RL032.0G1M001WREC</v>
          </cell>
          <cell r="I2298" t="str">
            <v>32 GL 1X MO W/RECY 1</v>
          </cell>
        </row>
        <row r="2299">
          <cell r="H2299" t="str">
            <v>RL032.0G1W001NOREC</v>
          </cell>
          <cell r="I2299" t="str">
            <v>32 GL 1X WK NO RECY 1</v>
          </cell>
        </row>
        <row r="2300">
          <cell r="H2300" t="str">
            <v>RL032.0G1W001WREC</v>
          </cell>
          <cell r="I2300" t="str">
            <v>32 GL 1X WK W/RECY 1</v>
          </cell>
        </row>
        <row r="2301">
          <cell r="H2301" t="str">
            <v>RL032.0G1W002NOREC</v>
          </cell>
          <cell r="I2301" t="str">
            <v>32 GL 1X WK NO RECY 2</v>
          </cell>
        </row>
        <row r="2302">
          <cell r="H2302" t="str">
            <v>RL032.0G1W002WREC</v>
          </cell>
          <cell r="I2302" t="str">
            <v>32 GL 1X WK W/RECY 2</v>
          </cell>
        </row>
        <row r="2303">
          <cell r="H2303" t="str">
            <v>SL035.0G1M001WREC</v>
          </cell>
          <cell r="I2303" t="str">
            <v>35 GL 1X MO W/RECY 1</v>
          </cell>
        </row>
        <row r="2304">
          <cell r="H2304" t="str">
            <v>SL035.0G1W001NOREC</v>
          </cell>
          <cell r="I2304" t="str">
            <v>35 GL 1X WK NO RECY 1</v>
          </cell>
        </row>
        <row r="2305">
          <cell r="H2305" t="str">
            <v>SL035.0G1W001WREC</v>
          </cell>
          <cell r="I2305" t="str">
            <v>35 GL 1X WK W/ RECY 1</v>
          </cell>
        </row>
        <row r="2306">
          <cell r="H2306" t="str">
            <v>SL035.0GEO001WREC</v>
          </cell>
          <cell r="I2306" t="str">
            <v>35 GL EOW W/RECY 1</v>
          </cell>
        </row>
        <row r="2307">
          <cell r="H2307" t="str">
            <v>SL065.0G1M001WREC</v>
          </cell>
          <cell r="I2307" t="str">
            <v>65 GL 1X MO W/RECY 1</v>
          </cell>
        </row>
        <row r="2308">
          <cell r="H2308" t="str">
            <v>SL065.0G1W001NOREC</v>
          </cell>
          <cell r="I2308" t="str">
            <v>65 GL 1X WK NO RECY 1</v>
          </cell>
        </row>
        <row r="2309">
          <cell r="H2309" t="str">
            <v>SL065.0G1W001WREC</v>
          </cell>
          <cell r="I2309" t="str">
            <v>65 GL 1X WK W/RECY 1</v>
          </cell>
        </row>
        <row r="2310">
          <cell r="H2310" t="str">
            <v>SL065.0GEO001NOREC</v>
          </cell>
          <cell r="I2310" t="str">
            <v>65 GL EOW NO RECY 1</v>
          </cell>
        </row>
        <row r="2311">
          <cell r="H2311" t="str">
            <v>SL065.0GEO001WREC</v>
          </cell>
          <cell r="I2311" t="str">
            <v>65 GL EOW W/RECY 1</v>
          </cell>
        </row>
        <row r="2312">
          <cell r="H2312" t="str">
            <v>SL095.0G1M001WREC</v>
          </cell>
          <cell r="I2312" t="str">
            <v>95 GL 1X MO W/RECY 1</v>
          </cell>
        </row>
        <row r="2313">
          <cell r="H2313" t="str">
            <v>SL095.0G1W001NOREC</v>
          </cell>
          <cell r="I2313" t="str">
            <v>95 GL 1X WK NO RECY 1</v>
          </cell>
        </row>
        <row r="2314">
          <cell r="H2314" t="str">
            <v>SL095.0G1W001WREC</v>
          </cell>
          <cell r="I2314" t="str">
            <v>95 GL 1X WK W/RECY 1</v>
          </cell>
        </row>
        <row r="2315">
          <cell r="H2315" t="str">
            <v>SL095.0GEO001WREC</v>
          </cell>
          <cell r="I2315" t="str">
            <v>95 GL EOW W/RECY 1</v>
          </cell>
        </row>
        <row r="2316">
          <cell r="H2316" t="str">
            <v>WI1-RES</v>
          </cell>
          <cell r="I2316" t="str">
            <v>WALK IN 6-25' - RES</v>
          </cell>
        </row>
        <row r="2317">
          <cell r="H2317" t="str">
            <v>ADJ-RES</v>
          </cell>
          <cell r="I2317" t="str">
            <v>ADJUSTMENT SERVICE - RES</v>
          </cell>
        </row>
        <row r="2318">
          <cell r="H2318" t="str">
            <v>BULKY-RES</v>
          </cell>
          <cell r="I2318" t="str">
            <v>BULKY ITEM PICK UP - RES</v>
          </cell>
        </row>
        <row r="2319">
          <cell r="H2319" t="str">
            <v>EP96GWC-RES</v>
          </cell>
          <cell r="I2319" t="str">
            <v>EXTRA PICK UP 96 GW - RES</v>
          </cell>
        </row>
        <row r="2320">
          <cell r="H2320" t="str">
            <v>EXTRA-RES</v>
          </cell>
          <cell r="I2320" t="str">
            <v>EXTRA CAN, BAG, BOX - RES</v>
          </cell>
        </row>
        <row r="2321">
          <cell r="H2321" t="str">
            <v>EXTRA95-RES</v>
          </cell>
          <cell r="I2321" t="str">
            <v>EXTRA 95 GL RES</v>
          </cell>
        </row>
        <row r="2322">
          <cell r="H2322" t="str">
            <v>EXTRAGWC-RES</v>
          </cell>
          <cell r="I2322" t="str">
            <v>EXTRA GREENWASTE FEE - RE</v>
          </cell>
        </row>
        <row r="2323">
          <cell r="H2323" t="str">
            <v>GWRES</v>
          </cell>
          <cell r="I2323" t="str">
            <v>GREENWASTE SERVICE - RES</v>
          </cell>
        </row>
        <row r="2324">
          <cell r="H2324" t="str">
            <v>OC-RES</v>
          </cell>
          <cell r="I2324" t="str">
            <v>ON CALL SERVICE - RES</v>
          </cell>
        </row>
        <row r="2325">
          <cell r="H2325" t="str">
            <v>OW-RES</v>
          </cell>
          <cell r="I2325" t="str">
            <v>OVERFILL / OVERWEIGHT CAN</v>
          </cell>
        </row>
        <row r="2326">
          <cell r="H2326" t="str">
            <v>RECPROGADJ-RES</v>
          </cell>
          <cell r="I2326" t="str">
            <v>RECYCLING PROGRAM ADJUSTM</v>
          </cell>
        </row>
        <row r="2327">
          <cell r="H2327" t="str">
            <v>RECVALRES</v>
          </cell>
          <cell r="I2327" t="str">
            <v>RECYCLABLES VALUE - RES</v>
          </cell>
        </row>
        <row r="2328">
          <cell r="H2328" t="str">
            <v>REDEL-RES</v>
          </cell>
          <cell r="I2328" t="str">
            <v>REDELIVER FEE - RES</v>
          </cell>
        </row>
        <row r="2329">
          <cell r="H2329" t="str">
            <v>REINSTATE-RES</v>
          </cell>
          <cell r="I2329" t="str">
            <v>REINSTATE FEE - RES</v>
          </cell>
        </row>
        <row r="2330">
          <cell r="H2330" t="str">
            <v>RL032.0G1W002WREC</v>
          </cell>
          <cell r="I2330" t="str">
            <v>32 GL 1X WK W/RECY 2</v>
          </cell>
        </row>
        <row r="2331">
          <cell r="H2331" t="str">
            <v>RTRNCART32-RES</v>
          </cell>
          <cell r="I2331" t="str">
            <v>RETURN TRIP 32 GL - RES</v>
          </cell>
        </row>
        <row r="2332">
          <cell r="H2332" t="str">
            <v>RTRNCART65-RES</v>
          </cell>
          <cell r="I2332" t="str">
            <v>RETURN TRIP 65 GL - RES</v>
          </cell>
        </row>
        <row r="2333">
          <cell r="H2333" t="str">
            <v>RTRNCART95-RES</v>
          </cell>
          <cell r="I2333" t="str">
            <v>RETURN TRIP 95 GL - RES</v>
          </cell>
        </row>
        <row r="2334">
          <cell r="H2334" t="str">
            <v>RTRNCART96REC-RES</v>
          </cell>
          <cell r="I2334" t="str">
            <v>RETURN TRIP 96 GL REC - RES</v>
          </cell>
        </row>
        <row r="2335">
          <cell r="H2335" t="str">
            <v>SL035.0G1W001WREC</v>
          </cell>
          <cell r="I2335" t="str">
            <v>35 GL 1X WK W/ RECY 1</v>
          </cell>
        </row>
        <row r="2336">
          <cell r="H2336" t="str">
            <v>SL065.0G1W001WREC</v>
          </cell>
          <cell r="I2336" t="str">
            <v>65 GL 1X WK W/RECY 1</v>
          </cell>
        </row>
        <row r="2337">
          <cell r="H2337" t="str">
            <v>SL065.0GEO001WREC</v>
          </cell>
          <cell r="I2337" t="str">
            <v>65 GL EOW W/RECY 1</v>
          </cell>
        </row>
        <row r="2338">
          <cell r="H2338" t="str">
            <v>SL095.0G1W001WREC</v>
          </cell>
          <cell r="I2338" t="str">
            <v>95 GL 1X WK W/RECY 1</v>
          </cell>
        </row>
        <row r="2339">
          <cell r="H2339" t="str">
            <v>SL095.0GEO001WREC</v>
          </cell>
          <cell r="I2339" t="str">
            <v>95 GL EOW W/RECY 1</v>
          </cell>
        </row>
        <row r="2340">
          <cell r="H2340" t="str">
            <v>TIME-RES</v>
          </cell>
          <cell r="I2340" t="str">
            <v>TIME FEE 1 - RES</v>
          </cell>
        </row>
        <row r="2341">
          <cell r="H2341" t="str">
            <v>UNRETURN-RES</v>
          </cell>
          <cell r="I2341" t="str">
            <v xml:space="preserve">CONTAINER UNRETURNED FEE </v>
          </cell>
        </row>
        <row r="2342">
          <cell r="H2342" t="str">
            <v>EMPLOYEER</v>
          </cell>
          <cell r="I2342" t="str">
            <v>EMPLOYEE SERVICE RES</v>
          </cell>
        </row>
        <row r="2343">
          <cell r="H2343" t="str">
            <v>GWRES</v>
          </cell>
          <cell r="I2343" t="str">
            <v>GREENWASTE SERVICE - RES</v>
          </cell>
        </row>
        <row r="2344">
          <cell r="H2344" t="str">
            <v>SL035.0G1W001WREC</v>
          </cell>
          <cell r="I2344" t="str">
            <v>35 GL 1X WK W/ RECY 1</v>
          </cell>
        </row>
        <row r="2345">
          <cell r="H2345" t="str">
            <v>SL065.0G1W001NOREC</v>
          </cell>
          <cell r="I2345" t="str">
            <v>65 GL 1X WK NO RECY 1</v>
          </cell>
        </row>
        <row r="2346">
          <cell r="H2346" t="str">
            <v>SL065.0G1W001WREC</v>
          </cell>
          <cell r="I2346" t="str">
            <v>65 GL 1X WK W/RECY 1</v>
          </cell>
        </row>
        <row r="2347">
          <cell r="H2347" t="str">
            <v>SL095.0G1W001WREC</v>
          </cell>
          <cell r="I2347" t="str">
            <v>95 GL 1X WK W/RECY 1</v>
          </cell>
        </row>
        <row r="2348">
          <cell r="H2348" t="str">
            <v>DISP-RES</v>
          </cell>
          <cell r="I2348" t="str">
            <v>DISPOSAL FEE -RES</v>
          </cell>
        </row>
        <row r="2349">
          <cell r="H2349" t="str">
            <v>DISPCMGL-RES</v>
          </cell>
          <cell r="I2349" t="str">
            <v>DISPOSAL COMINGLE - RES</v>
          </cell>
        </row>
        <row r="2350">
          <cell r="H2350" t="str">
            <v>DISPFEDMSW-RES</v>
          </cell>
          <cell r="I2350" t="str">
            <v>DISPOSAL FEDERAL MSW - RE</v>
          </cell>
        </row>
        <row r="2351">
          <cell r="H2351" t="str">
            <v>DISPGW-RES</v>
          </cell>
          <cell r="I2351" t="str">
            <v>DISPOSAL FEE GREENWASTE -</v>
          </cell>
        </row>
        <row r="2352">
          <cell r="H2352" t="str">
            <v>EXTRAGWC-RES</v>
          </cell>
          <cell r="I2352" t="str">
            <v>EXTRA GREENWASTE FEE - RE</v>
          </cell>
        </row>
        <row r="2353">
          <cell r="H2353" t="str">
            <v>OW-RES</v>
          </cell>
          <cell r="I2353" t="str">
            <v>OVERFILL / OVERWEIGHT CAN</v>
          </cell>
        </row>
        <row r="2354">
          <cell r="H2354" t="str">
            <v>RTRNCART65-RES</v>
          </cell>
          <cell r="I2354" t="str">
            <v>RETURN TRIP 65 GL - RES</v>
          </cell>
        </row>
        <row r="2355">
          <cell r="H2355" t="str">
            <v>SL065.0G1W001WREC</v>
          </cell>
          <cell r="I2355" t="str">
            <v>65 GL 1X WK W/RECY 1</v>
          </cell>
        </row>
        <row r="2356">
          <cell r="H2356" t="str">
            <v>DISP-RES</v>
          </cell>
          <cell r="I2356" t="str">
            <v>DISPOSAL FEE -RES</v>
          </cell>
        </row>
        <row r="2357">
          <cell r="H2357" t="str">
            <v>DISPCMGL-RES</v>
          </cell>
          <cell r="I2357" t="str">
            <v>DISPOSAL COMINGLE - RES</v>
          </cell>
        </row>
        <row r="2358">
          <cell r="H2358" t="str">
            <v>DISPGW-RES</v>
          </cell>
          <cell r="I2358" t="str">
            <v>DISPOSAL FEE GREENWASTE -</v>
          </cell>
        </row>
        <row r="2359">
          <cell r="H2359" t="str">
            <v>DEL30TEMP-RO</v>
          </cell>
          <cell r="I2359" t="str">
            <v>DELIVERY FEE 30 YD TEMP -</v>
          </cell>
        </row>
        <row r="2360">
          <cell r="H2360" t="str">
            <v>DISP-RO</v>
          </cell>
          <cell r="I2360" t="str">
            <v>DISPOSAL CHARGE - RO</v>
          </cell>
        </row>
        <row r="2361">
          <cell r="H2361" t="str">
            <v>RENT30TEMP-RO</v>
          </cell>
          <cell r="I2361" t="str">
            <v>RENTAL FEE 30 YD TEMP - R</v>
          </cell>
        </row>
        <row r="2362">
          <cell r="H2362" t="str">
            <v>HAUL20-RO</v>
          </cell>
          <cell r="I2362" t="str">
            <v>HAUL 20 YD - RO</v>
          </cell>
        </row>
        <row r="2363">
          <cell r="H2363" t="str">
            <v>LIDRO</v>
          </cell>
          <cell r="I2363" t="str">
            <v>LID CHARGE - RO</v>
          </cell>
        </row>
        <row r="2364">
          <cell r="H2364" t="str">
            <v>RENT10MO-RO</v>
          </cell>
          <cell r="I2364" t="str">
            <v>RENTAL FEE 10 YD MONTHLY</v>
          </cell>
        </row>
        <row r="2365">
          <cell r="H2365" t="str">
            <v>RENT20MO-RO</v>
          </cell>
          <cell r="I2365" t="str">
            <v>RENTAL FEE 20 YD MONTHLY</v>
          </cell>
        </row>
        <row r="2366">
          <cell r="H2366" t="str">
            <v>RENT20TEMP-RO</v>
          </cell>
          <cell r="I2366" t="str">
            <v>RENTAL FEE 20 YD TEMP - R</v>
          </cell>
        </row>
        <row r="2367">
          <cell r="H2367" t="str">
            <v>RENT30MO-RO</v>
          </cell>
          <cell r="I2367" t="str">
            <v>RENTAL FEE 30 YD MONTHLY</v>
          </cell>
        </row>
        <row r="2368">
          <cell r="H2368" t="str">
            <v>RENT30TEMP-RO</v>
          </cell>
          <cell r="I2368" t="str">
            <v>RENTAL FEE 30 YD TEMP - R</v>
          </cell>
        </row>
        <row r="2369">
          <cell r="H2369" t="str">
            <v>RENT40MO-RO</v>
          </cell>
          <cell r="I2369" t="str">
            <v>RENTAL FEE 40 YD MONTHLY</v>
          </cell>
        </row>
        <row r="2370">
          <cell r="H2370" t="str">
            <v>RENT40TEMP-RO</v>
          </cell>
          <cell r="I2370" t="str">
            <v>RENTAL FEE 40 YD TEMP - R</v>
          </cell>
        </row>
        <row r="2371">
          <cell r="H2371" t="str">
            <v>CLEAN30-RO</v>
          </cell>
          <cell r="I2371" t="str">
            <v>CLEANING FEE 30 YD - RO</v>
          </cell>
        </row>
        <row r="2372">
          <cell r="H2372" t="str">
            <v>COMMODITY</v>
          </cell>
          <cell r="I2372" t="str">
            <v>COMMODITY</v>
          </cell>
        </row>
        <row r="2373">
          <cell r="H2373" t="str">
            <v>DEL20-RO</v>
          </cell>
          <cell r="I2373" t="str">
            <v>DELIVERY FEE 20 YD - RO</v>
          </cell>
        </row>
        <row r="2374">
          <cell r="H2374" t="str">
            <v>DEL20TEMP-RO</v>
          </cell>
          <cell r="I2374" t="str">
            <v>DELIVERY FEE 20 YD TEMP -</v>
          </cell>
        </row>
        <row r="2375">
          <cell r="H2375" t="str">
            <v>DEL30-RO</v>
          </cell>
          <cell r="I2375" t="str">
            <v>DELIVERY FEE 30 YD - RO</v>
          </cell>
        </row>
        <row r="2376">
          <cell r="H2376" t="str">
            <v>DEL30TEMP-RO</v>
          </cell>
          <cell r="I2376" t="str">
            <v>DELIVERY FEE 30 YD TEMP -</v>
          </cell>
        </row>
        <row r="2377">
          <cell r="H2377" t="str">
            <v>DEL40-RO</v>
          </cell>
          <cell r="I2377" t="str">
            <v>DELIVERY FEE 40 YD - RO</v>
          </cell>
        </row>
        <row r="2378">
          <cell r="H2378" t="str">
            <v>DEL40TEMP-RO</v>
          </cell>
          <cell r="I2378" t="str">
            <v>DELIVERY FEE 40 YD TEMP -</v>
          </cell>
        </row>
        <row r="2379">
          <cell r="H2379" t="str">
            <v>DISCO-CP</v>
          </cell>
          <cell r="I2379" t="str">
            <v xml:space="preserve">COMPACTOR DISCONNECT FEE </v>
          </cell>
        </row>
        <row r="2380">
          <cell r="H2380" t="str">
            <v>DISP-RO</v>
          </cell>
          <cell r="I2380" t="str">
            <v>DISPOSAL CHARGE - RO</v>
          </cell>
        </row>
        <row r="2381">
          <cell r="H2381" t="str">
            <v>DISPCMGL-RO</v>
          </cell>
          <cell r="I2381" t="str">
            <v xml:space="preserve">DISPOSAL FEE COMMINGLE - </v>
          </cell>
        </row>
        <row r="2382">
          <cell r="H2382" t="str">
            <v>DISPGLASS-RO</v>
          </cell>
          <cell r="I2382" t="str">
            <v>DISPOSAL FEE GLASS - RO</v>
          </cell>
        </row>
        <row r="2383">
          <cell r="H2383" t="str">
            <v>DISPSPEC-RO</v>
          </cell>
          <cell r="I2383" t="str">
            <v>DISPOSAL FEE SPECIAL - RO</v>
          </cell>
        </row>
        <row r="2384">
          <cell r="H2384" t="str">
            <v>DISPTIRES-RO</v>
          </cell>
          <cell r="I2384" t="str">
            <v>DISPOSAL FEE TIRES - RO</v>
          </cell>
        </row>
        <row r="2385">
          <cell r="H2385" t="str">
            <v>DISPTOTERS-RO</v>
          </cell>
          <cell r="I2385" t="str">
            <v>DISPOSAL FEE TOTERS</v>
          </cell>
        </row>
        <row r="2386">
          <cell r="H2386" t="str">
            <v>DISPTRANS-RO</v>
          </cell>
          <cell r="I2386" t="str">
            <v>DISPOSAL FEE TRANSFER HAU</v>
          </cell>
        </row>
        <row r="2387">
          <cell r="H2387" t="str">
            <v>EXWGHT-RO</v>
          </cell>
          <cell r="I2387" t="str">
            <v>EXCESS WEIGHT - RO</v>
          </cell>
        </row>
        <row r="2388">
          <cell r="H2388" t="str">
            <v>FERRY-RO</v>
          </cell>
          <cell r="I2388" t="str">
            <v>FERRY FEE - RO</v>
          </cell>
        </row>
        <row r="2389">
          <cell r="H2389" t="str">
            <v>FINAL20-RO</v>
          </cell>
          <cell r="I2389" t="str">
            <v>FINAL PULL 20 YD - RO</v>
          </cell>
        </row>
        <row r="2390">
          <cell r="H2390" t="str">
            <v>FINAL20TEMP-RO</v>
          </cell>
          <cell r="I2390" t="str">
            <v>FINAL PULL 20 YD TEMP - R</v>
          </cell>
        </row>
        <row r="2391">
          <cell r="H2391" t="str">
            <v>FINAL30-RO</v>
          </cell>
          <cell r="I2391" t="str">
            <v>FINAL PULL 30 YD - RO</v>
          </cell>
        </row>
        <row r="2392">
          <cell r="H2392" t="str">
            <v>FINAL30TEMP-RO</v>
          </cell>
          <cell r="I2392" t="str">
            <v>FINAL PULL 30 YD TEMP - R</v>
          </cell>
        </row>
        <row r="2393">
          <cell r="H2393" t="str">
            <v>FINAL40-RO</v>
          </cell>
          <cell r="I2393" t="str">
            <v>FINAL PULL 40 YD - RO</v>
          </cell>
        </row>
        <row r="2394">
          <cell r="H2394" t="str">
            <v>FINAL40TEMP-RO</v>
          </cell>
          <cell r="I2394" t="str">
            <v>FINAL PULL 40 YD TEMP - R</v>
          </cell>
        </row>
        <row r="2395">
          <cell r="H2395" t="str">
            <v>HAUL10-CP</v>
          </cell>
          <cell r="I2395" t="str">
            <v>COMPACTOR HAUL 10 YD - RO</v>
          </cell>
        </row>
        <row r="2396">
          <cell r="H2396" t="str">
            <v>HAUL10-RO</v>
          </cell>
          <cell r="I2396" t="str">
            <v>HAUL 10 YD - RO</v>
          </cell>
        </row>
        <row r="2397">
          <cell r="H2397" t="str">
            <v>HAUL20-CP</v>
          </cell>
          <cell r="I2397" t="str">
            <v>COMPACTOR HAUL 20 YD - RO</v>
          </cell>
        </row>
        <row r="2398">
          <cell r="H2398" t="str">
            <v>HAUL20-RO</v>
          </cell>
          <cell r="I2398" t="str">
            <v>HAUL 20 YD - RO</v>
          </cell>
        </row>
        <row r="2399">
          <cell r="H2399" t="str">
            <v>HAUL20CUST-RO</v>
          </cell>
          <cell r="I2399" t="str">
            <v>HAUL 20 YD CUST - RO</v>
          </cell>
        </row>
        <row r="2400">
          <cell r="H2400" t="str">
            <v>HAUL20TEMP-RO</v>
          </cell>
          <cell r="I2400" t="str">
            <v>HAUL 20 YD TEMP - RO</v>
          </cell>
        </row>
        <row r="2401">
          <cell r="H2401" t="str">
            <v>HAUL25-CP</v>
          </cell>
          <cell r="I2401" t="str">
            <v>COMPACTOR HAUL 25 YD - RO</v>
          </cell>
        </row>
        <row r="2402">
          <cell r="H2402" t="str">
            <v>HAUL30-CP</v>
          </cell>
          <cell r="I2402" t="str">
            <v>COMPACTOR HAUL 30 YD</v>
          </cell>
        </row>
        <row r="2403">
          <cell r="H2403" t="str">
            <v>HAUL30-RO</v>
          </cell>
          <cell r="I2403" t="str">
            <v>HAUL 30 YD - RO</v>
          </cell>
        </row>
        <row r="2404">
          <cell r="H2404" t="str">
            <v>HAUL30TEMP-RO</v>
          </cell>
          <cell r="I2404" t="str">
            <v>HAUL 30 YD TEMP - RO</v>
          </cell>
        </row>
        <row r="2405">
          <cell r="H2405" t="str">
            <v>HAUL40-CP</v>
          </cell>
          <cell r="I2405" t="str">
            <v>COMPACTOR HAUL 40 YD</v>
          </cell>
        </row>
        <row r="2406">
          <cell r="H2406" t="str">
            <v>HAUL40-RO</v>
          </cell>
          <cell r="I2406" t="str">
            <v>HAUL 40 YD - RO</v>
          </cell>
        </row>
        <row r="2407">
          <cell r="H2407" t="str">
            <v>HAUL40TEMP-RO</v>
          </cell>
          <cell r="I2407" t="str">
            <v>HAUL 40 YD TEMP - RO</v>
          </cell>
        </row>
        <row r="2408">
          <cell r="H2408" t="str">
            <v>MILE-RO</v>
          </cell>
          <cell r="I2408" t="str">
            <v>MILEAGE FEE - RO</v>
          </cell>
        </row>
        <row r="2409">
          <cell r="H2409" t="str">
            <v>RENT20TEMP-RO</v>
          </cell>
          <cell r="I2409" t="str">
            <v>RENTAL FEE 20 YD TEMP - R</v>
          </cell>
        </row>
        <row r="2410">
          <cell r="H2410" t="str">
            <v>RENT30TEMP-RO</v>
          </cell>
          <cell r="I2410" t="str">
            <v>RENTAL FEE 30 YD TEMP - R</v>
          </cell>
        </row>
        <row r="2411">
          <cell r="H2411" t="str">
            <v>RENT40TEMP-RO</v>
          </cell>
          <cell r="I2411" t="str">
            <v>RENTAL FEE 40 YD TEMP - R</v>
          </cell>
        </row>
        <row r="2412">
          <cell r="H2412" t="str">
            <v>RTRNTRIP-RO</v>
          </cell>
          <cell r="I2412" t="str">
            <v>RETURN TRIP FEE - RO</v>
          </cell>
        </row>
        <row r="2413">
          <cell r="H2413" t="str">
            <v>TIME-RO</v>
          </cell>
          <cell r="I2413" t="str">
            <v>TIME FEE - RO</v>
          </cell>
        </row>
        <row r="2414">
          <cell r="H2414" t="str">
            <v>DISPGLASS-RO</v>
          </cell>
          <cell r="I2414" t="str">
            <v>DISPOSAL FEE GLASS - RO</v>
          </cell>
        </row>
        <row r="2415">
          <cell r="H2415" t="str">
            <v>HAUL30-RO</v>
          </cell>
          <cell r="I2415" t="str">
            <v>HAUL 30 YD - RO</v>
          </cell>
        </row>
        <row r="2416">
          <cell r="H2416" t="str">
            <v>COMMODITY SURCHARGE</v>
          </cell>
          <cell r="I2416" t="str">
            <v>COMMODITY SURCHARGE</v>
          </cell>
        </row>
        <row r="2417">
          <cell r="H2417" t="str">
            <v>COMMODITY SURCHARGE</v>
          </cell>
          <cell r="I2417" t="str">
            <v>COMMODITY SURCHARGE</v>
          </cell>
        </row>
        <row r="2418">
          <cell r="H2418" t="str">
            <v>COMMODITY SURCHARGE</v>
          </cell>
          <cell r="I2418" t="str">
            <v>COMMODITY SURCHARGE</v>
          </cell>
        </row>
        <row r="2419">
          <cell r="H2419" t="str">
            <v xml:space="preserve">PIERCE COUNTY REFUSE </v>
          </cell>
          <cell r="I2419" t="str">
            <v>3.6% PIERCE COUNTY REFUSE</v>
          </cell>
        </row>
        <row r="2420">
          <cell r="H2420" t="str">
            <v xml:space="preserve">PIERCE COUNTY REFUSE  </v>
          </cell>
          <cell r="I2420" t="str">
            <v>3.6% PIERCE COUNTY REFUSE</v>
          </cell>
        </row>
        <row r="2421">
          <cell r="H2421" t="str">
            <v>PIERCE REFUSE TAX</v>
          </cell>
          <cell r="I2421" t="str">
            <v>3.6% WA STATE REFUSE TAX</v>
          </cell>
        </row>
        <row r="2422">
          <cell r="H2422" t="str">
            <v>PIERCE REFUSE TAX</v>
          </cell>
          <cell r="I2422" t="str">
            <v>3.6% WA STATE REFUSE TAX</v>
          </cell>
        </row>
        <row r="2423">
          <cell r="H2423" t="str">
            <v xml:space="preserve">PIERCE COUNTY REFUSE </v>
          </cell>
          <cell r="I2423" t="str">
            <v>3.6% PIERCE COUNTY REFUSE</v>
          </cell>
        </row>
        <row r="2424">
          <cell r="H2424" t="str">
            <v xml:space="preserve">PIERCE COUNTY REFUSE  </v>
          </cell>
          <cell r="I2424" t="str">
            <v>3.6% PIERCE COUNTY REFUSE</v>
          </cell>
        </row>
        <row r="2425">
          <cell r="H2425" t="str">
            <v>PIERCE COUNTY REFUSE</v>
          </cell>
          <cell r="I2425" t="str">
            <v>3.6% PIERCE COUNTY REFUSE</v>
          </cell>
        </row>
        <row r="2426">
          <cell r="H2426" t="str">
            <v>PIERCE COUNTY SALES 7.9%</v>
          </cell>
          <cell r="I2426" t="str">
            <v>7.9% WA STATE SALES TAX</v>
          </cell>
        </row>
        <row r="2427">
          <cell r="H2427" t="str">
            <v>PIERCE COUNTY SALES 9.3%</v>
          </cell>
          <cell r="I2427" t="str">
            <v>9.3% WA STATE SALES TAX</v>
          </cell>
        </row>
        <row r="2428">
          <cell r="H2428" t="str">
            <v>PIERCE REFUSE TAX</v>
          </cell>
          <cell r="I2428" t="str">
            <v>3.6% WA STATE REFUSE TAX</v>
          </cell>
        </row>
        <row r="2429">
          <cell r="H2429" t="str">
            <v>PIERCE STATE SALES TAX</v>
          </cell>
          <cell r="I2429" t="str">
            <v>9.9% WA STATE SALES TAX</v>
          </cell>
        </row>
        <row r="2430">
          <cell r="H2430" t="str">
            <v xml:space="preserve">PIERCE COUNTY REFUSE </v>
          </cell>
          <cell r="I2430" t="str">
            <v>3.6% PIERCE COUNTY REFUSE</v>
          </cell>
        </row>
        <row r="2431">
          <cell r="H2431" t="str">
            <v xml:space="preserve">PIERCE COUNTY REFUSE  </v>
          </cell>
          <cell r="I2431" t="str">
            <v>3.6% PIERCE COUNTY REFUSE</v>
          </cell>
        </row>
        <row r="2432">
          <cell r="H2432" t="str">
            <v>PIERCE COUNTY REFUSE</v>
          </cell>
          <cell r="I2432" t="str">
            <v>3.6% PIERCE COUNTY REFUSE</v>
          </cell>
        </row>
        <row r="2433">
          <cell r="H2433" t="str">
            <v>PIERCE REFUSE TAX</v>
          </cell>
          <cell r="I2433" t="str">
            <v>3.6% WA STATE REFUSE TAX</v>
          </cell>
        </row>
        <row r="2434">
          <cell r="H2434" t="str">
            <v>PIERCE STATE SALES TAX</v>
          </cell>
          <cell r="I2434" t="str">
            <v>9.9% WA STATE SALES TAX</v>
          </cell>
        </row>
        <row r="2435">
          <cell r="H2435" t="str">
            <v xml:space="preserve">PIERCE COUNTY REFUSE </v>
          </cell>
          <cell r="I2435" t="str">
            <v>3.6% PIERCE COUNTY REFUSE</v>
          </cell>
        </row>
        <row r="2436">
          <cell r="H2436" t="str">
            <v xml:space="preserve">PIERCE COUNTY REFUSE  </v>
          </cell>
          <cell r="I2436" t="str">
            <v>3.6% PIERCE COUNTY REFUSE</v>
          </cell>
        </row>
        <row r="2437">
          <cell r="H2437" t="str">
            <v>PIERCE COUNTY REFUSE</v>
          </cell>
          <cell r="I2437" t="str">
            <v>3.6% PIERCE COUNTY REFUSE</v>
          </cell>
        </row>
        <row r="2438">
          <cell r="H2438" t="str">
            <v>PIERCE REFUSE TAX</v>
          </cell>
          <cell r="I2438" t="str">
            <v>3.6% WA STATE REFUSE TAX</v>
          </cell>
        </row>
        <row r="2439">
          <cell r="H2439" t="str">
            <v>LAKEWOOD CITY UTILITY TAX</v>
          </cell>
          <cell r="I2439" t="str">
            <v>6% CITY UTILITY TAX</v>
          </cell>
        </row>
        <row r="2440">
          <cell r="H2440" t="str">
            <v>LAKEWOOD REFUSE TAX</v>
          </cell>
          <cell r="I2440" t="str">
            <v>3.6% WA STATE REFUSE TAX</v>
          </cell>
        </row>
        <row r="2441">
          <cell r="H2441" t="str">
            <v xml:space="preserve">PIERCE COUNTY REFUSE </v>
          </cell>
          <cell r="I2441" t="str">
            <v>3.6% PIERCE COUNTY REFUSE</v>
          </cell>
        </row>
        <row r="2442">
          <cell r="H2442" t="str">
            <v xml:space="preserve">PIERCE COUNTY REFUSE  </v>
          </cell>
          <cell r="I2442" t="str">
            <v>3.6% PIERCE COUNTY REFUSE</v>
          </cell>
        </row>
        <row r="2443">
          <cell r="H2443" t="str">
            <v>PIERCE COUNTY REFUSE</v>
          </cell>
          <cell r="I2443" t="str">
            <v>3.6% PIERCE COUNTY REFUSE</v>
          </cell>
        </row>
        <row r="2444">
          <cell r="H2444" t="str">
            <v>PIERCE REFUSE TAX</v>
          </cell>
          <cell r="I2444" t="str">
            <v>3.6% WA STATE REFUSE TAX</v>
          </cell>
        </row>
        <row r="2445">
          <cell r="H2445" t="str">
            <v xml:space="preserve">PIERCE COUNTY REFUSE </v>
          </cell>
          <cell r="I2445" t="str">
            <v>3.6% PIERCE COUNTY REFUSE</v>
          </cell>
        </row>
        <row r="2446">
          <cell r="H2446" t="str">
            <v>PIERCE COUNTY REFUSE TAX</v>
          </cell>
          <cell r="I2446" t="str">
            <v>3.6% PIERCE COUNTY REFUSE</v>
          </cell>
        </row>
        <row r="2447">
          <cell r="H2447" t="str">
            <v>PIERCE COUNTY SALES 7.9%</v>
          </cell>
          <cell r="I2447" t="str">
            <v>7.9% WA STATE SALES TAX</v>
          </cell>
        </row>
        <row r="2448">
          <cell r="H2448" t="str">
            <v>PIERCE COUNTY SALES TAX</v>
          </cell>
          <cell r="I2448" t="str">
            <v>7.9% WA STATE SALES TAX</v>
          </cell>
        </row>
        <row r="2449">
          <cell r="H2449" t="str">
            <v>PIERCE COUNTY SALES 9.3%</v>
          </cell>
          <cell r="I2449" t="str">
            <v>9.3% WA STATE SALES TAX</v>
          </cell>
        </row>
        <row r="2450">
          <cell r="H2450" t="str">
            <v xml:space="preserve">PIERCE COUNTY REFUSE </v>
          </cell>
          <cell r="I2450" t="str">
            <v>3.6% PIERCE COUNTY REFUSE</v>
          </cell>
        </row>
        <row r="2451">
          <cell r="H2451" t="str">
            <v xml:space="preserve">PIERCE COUNTY REFUSE  </v>
          </cell>
          <cell r="I2451" t="str">
            <v>3.6% PIERCE COUNTY REFUSE</v>
          </cell>
        </row>
        <row r="2452">
          <cell r="H2452" t="str">
            <v>PIERCE COUNTY SALES 7.9%</v>
          </cell>
          <cell r="I2452" t="str">
            <v>7.9% WA STATE SALES TAX</v>
          </cell>
        </row>
        <row r="2453">
          <cell r="H2453" t="str">
            <v>PIERCE COUNTY SALES 9.3%</v>
          </cell>
          <cell r="I2453" t="str">
            <v>9.3% WA STATE SALES TAX</v>
          </cell>
        </row>
        <row r="2454">
          <cell r="H2454" t="str">
            <v>PIERCE REFUSE TAX</v>
          </cell>
          <cell r="I2454" t="str">
            <v>3.6% WA STATE REFUSE TAX</v>
          </cell>
        </row>
        <row r="2455">
          <cell r="H2455" t="str">
            <v>PIERCE STATE SALES TAX</v>
          </cell>
          <cell r="I2455" t="str">
            <v>9.9% WA STATE SALES TAX</v>
          </cell>
        </row>
        <row r="2456">
          <cell r="H2456" t="str">
            <v>PIERCE REFUSE TAX</v>
          </cell>
          <cell r="I2456" t="str">
            <v>3.6% WA STATE REFUSE TAX</v>
          </cell>
        </row>
        <row r="2457">
          <cell r="H2457" t="str">
            <v>FINCHG</v>
          </cell>
          <cell r="I2457" t="str">
            <v>LATE FEE</v>
          </cell>
        </row>
        <row r="2458">
          <cell r="H2458" t="str">
            <v>BD</v>
          </cell>
          <cell r="I2458" t="str">
            <v>BAD DEBT WRITE OFF</v>
          </cell>
        </row>
        <row r="2459">
          <cell r="H2459" t="str">
            <v>BDR</v>
          </cell>
          <cell r="I2459" t="str">
            <v>BAD DEBT RECOVERY</v>
          </cell>
        </row>
        <row r="2460">
          <cell r="H2460" t="str">
            <v>FINCHG</v>
          </cell>
          <cell r="I2460" t="str">
            <v>LATE FEE</v>
          </cell>
        </row>
        <row r="2461">
          <cell r="H2461" t="str">
            <v>MM</v>
          </cell>
          <cell r="I2461" t="str">
            <v>ADJUST BALANCE (MM)</v>
          </cell>
        </row>
        <row r="2462">
          <cell r="H2462" t="str">
            <v>MM</v>
          </cell>
          <cell r="I2462" t="str">
            <v>ADJUST BALANCE (MM)</v>
          </cell>
        </row>
        <row r="2463">
          <cell r="H2463" t="str">
            <v>REFUND</v>
          </cell>
          <cell r="I2463" t="str">
            <v>REFUND</v>
          </cell>
        </row>
        <row r="2464">
          <cell r="H2464" t="str">
            <v>RETCK-LB</v>
          </cell>
          <cell r="I2464" t="str">
            <v>RETURNED CHECK - LOCKBOX</v>
          </cell>
        </row>
        <row r="2465">
          <cell r="H2465" t="str">
            <v>RETCKC</v>
          </cell>
          <cell r="I2465" t="str">
            <v>RETURN CHECK CHARGE</v>
          </cell>
        </row>
        <row r="2466">
          <cell r="H2466" t="str">
            <v>ACCESS-COMM</v>
          </cell>
          <cell r="I2466" t="str">
            <v>ACCESS FEE - COMM</v>
          </cell>
        </row>
        <row r="2467">
          <cell r="H2467" t="str">
            <v>DONATIONC</v>
          </cell>
          <cell r="I2467" t="str">
            <v>DONATED SERVICE COMM</v>
          </cell>
        </row>
        <row r="2468">
          <cell r="H2468" t="str">
            <v>DRIVEIN1-COMM</v>
          </cell>
          <cell r="I2468" t="str">
            <v>DRIVE IN 125-250' - COMM</v>
          </cell>
        </row>
        <row r="2469">
          <cell r="H2469" t="str">
            <v>FL001.0Y1W001</v>
          </cell>
          <cell r="I2469" t="str">
            <v>1 YD 1X WK 1</v>
          </cell>
        </row>
        <row r="2470">
          <cell r="H2470" t="str">
            <v>FL001.0Y1W001MF</v>
          </cell>
          <cell r="I2470" t="str">
            <v>1 YD 1X WK MULTI-FAMILY 1</v>
          </cell>
        </row>
        <row r="2471">
          <cell r="H2471" t="str">
            <v>FL001.5Y1W001</v>
          </cell>
          <cell r="I2471" t="str">
            <v>1.5 YD 1X WK 1</v>
          </cell>
        </row>
        <row r="2472">
          <cell r="H2472" t="str">
            <v>FL001.5Y1W001MF</v>
          </cell>
          <cell r="I2472" t="str">
            <v>1.5 YD 1X WK MULTI-FAMILY 1</v>
          </cell>
        </row>
        <row r="2473">
          <cell r="H2473" t="str">
            <v>FL001.5Y2W001</v>
          </cell>
          <cell r="I2473" t="str">
            <v>1.5 YD 2X WK 1</v>
          </cell>
        </row>
        <row r="2474">
          <cell r="H2474" t="str">
            <v>FL001.5Y2W001MF</v>
          </cell>
          <cell r="I2474" t="str">
            <v>1.5 YD 2X WK MULTI-FAMILY 1</v>
          </cell>
        </row>
        <row r="2475">
          <cell r="H2475" t="str">
            <v>FL002.0Y1W001</v>
          </cell>
          <cell r="I2475" t="str">
            <v>2 YD 1X WK 1</v>
          </cell>
        </row>
        <row r="2476">
          <cell r="H2476" t="str">
            <v>FL002.0Y1W001MF</v>
          </cell>
          <cell r="I2476" t="str">
            <v>2 YD 1X WK MULTI-FAMILY 1</v>
          </cell>
        </row>
        <row r="2477">
          <cell r="H2477" t="str">
            <v>FL002.0Y2W001</v>
          </cell>
          <cell r="I2477" t="str">
            <v>2 YD 2X WK 1</v>
          </cell>
        </row>
        <row r="2478">
          <cell r="H2478" t="str">
            <v>FL002.0Y2W001MF</v>
          </cell>
          <cell r="I2478" t="str">
            <v>2 YD 2X WK MULTI-FAMILY 1</v>
          </cell>
        </row>
        <row r="2479">
          <cell r="H2479" t="str">
            <v>FL003.0Y1W001MF</v>
          </cell>
          <cell r="I2479" t="str">
            <v>3 YD 1X WK MULTI-FAMILY 1</v>
          </cell>
        </row>
        <row r="2480">
          <cell r="H2480" t="str">
            <v>FL004.0Y1W001</v>
          </cell>
          <cell r="I2480" t="str">
            <v>4 YD 1X WK 1</v>
          </cell>
        </row>
        <row r="2481">
          <cell r="H2481" t="str">
            <v>FL004.0Y1W001MF</v>
          </cell>
          <cell r="I2481" t="str">
            <v>4 YD 1X WK MULTI-FAMILY 1</v>
          </cell>
        </row>
        <row r="2482">
          <cell r="H2482" t="str">
            <v>FL004.0Y2W001MF</v>
          </cell>
          <cell r="I2482" t="str">
            <v>4 YD 2X WK MULTI-FAMILY 1</v>
          </cell>
        </row>
        <row r="2483">
          <cell r="H2483" t="str">
            <v>FL006.0Y1W001</v>
          </cell>
          <cell r="I2483" t="str">
            <v>6 YD 1X WK 1</v>
          </cell>
        </row>
        <row r="2484">
          <cell r="H2484" t="str">
            <v>FL006.0Y1W001MF</v>
          </cell>
          <cell r="I2484" t="str">
            <v>6 YD 1X WK MULTI-FAMILY 1</v>
          </cell>
        </row>
        <row r="2485">
          <cell r="H2485" t="str">
            <v>FL006.0Y2W001</v>
          </cell>
          <cell r="I2485" t="str">
            <v>6 YD 2X WK 1</v>
          </cell>
        </row>
        <row r="2486">
          <cell r="H2486" t="str">
            <v>GWCOMM</v>
          </cell>
          <cell r="I2486" t="str">
            <v>GREENWASTE SERVICE - COMM</v>
          </cell>
        </row>
        <row r="2487">
          <cell r="H2487" t="str">
            <v>RL032.0G1W001WRECC</v>
          </cell>
          <cell r="I2487" t="str">
            <v>32 GL 1X WK W/RECY COMM 1</v>
          </cell>
        </row>
        <row r="2488">
          <cell r="H2488" t="str">
            <v>RL032.0G1W002WRECC</v>
          </cell>
          <cell r="I2488" t="str">
            <v>32 GL 1X WK W/RECY COMM 2</v>
          </cell>
        </row>
        <row r="2489">
          <cell r="H2489" t="str">
            <v>RL032.0G1W006WRECC</v>
          </cell>
          <cell r="I2489" t="str">
            <v>32 GL 1X WK W/RECY COMM 6</v>
          </cell>
        </row>
        <row r="2490">
          <cell r="H2490" t="str">
            <v>SL065.0G1W001WRECC</v>
          </cell>
          <cell r="I2490" t="str">
            <v>65 GL 1X WK W/RECY COMM 1</v>
          </cell>
        </row>
        <row r="2491">
          <cell r="H2491" t="str">
            <v>SL065.0GEO001WRECC</v>
          </cell>
          <cell r="I2491" t="str">
            <v>65 GL EOW W/RECY COMM 1</v>
          </cell>
        </row>
        <row r="2492">
          <cell r="H2492" t="str">
            <v>SL095.0G1W001WRECC</v>
          </cell>
          <cell r="I2492" t="str">
            <v>95 GL 1X WK W/RECY COMM 1</v>
          </cell>
        </row>
        <row r="2493">
          <cell r="H2493" t="str">
            <v>SL095.0GEO001WRECC</v>
          </cell>
          <cell r="I2493" t="str">
            <v>95 GL EOW W/RECY COMM 1</v>
          </cell>
        </row>
        <row r="2494">
          <cell r="H2494" t="str">
            <v>WI1-COMM</v>
          </cell>
          <cell r="I2494" t="str">
            <v>WALK IN 6-25' - COMM</v>
          </cell>
        </row>
        <row r="2495">
          <cell r="H2495" t="str">
            <v>CLEAN2-COMM</v>
          </cell>
          <cell r="I2495" t="str">
            <v>CLEANING FEE 2 YD - COMM</v>
          </cell>
        </row>
        <row r="2496">
          <cell r="H2496" t="str">
            <v>DEL2TEMP-COMM</v>
          </cell>
          <cell r="I2496" t="str">
            <v xml:space="preserve">DELIVERY FEE 2 YD TEMP - </v>
          </cell>
        </row>
        <row r="2497">
          <cell r="H2497" t="str">
            <v>EXTRAGRAD1-COMM</v>
          </cell>
          <cell r="I2497" t="str">
            <v>EXTRAS GRADUATED 1-2 - COMM</v>
          </cell>
        </row>
        <row r="2498">
          <cell r="H2498" t="str">
            <v>FL002.0YXX001TEMPC</v>
          </cell>
          <cell r="I2498" t="str">
            <v xml:space="preserve">2 YD TEMP </v>
          </cell>
        </row>
        <row r="2499">
          <cell r="H2499" t="str">
            <v>RENT2TEMP-COMM</v>
          </cell>
          <cell r="I2499" t="str">
            <v>RENT 2 YD TEMP - COMM</v>
          </cell>
        </row>
        <row r="2500">
          <cell r="H2500" t="str">
            <v>FL002.0Y1W001BCMGL</v>
          </cell>
          <cell r="I2500" t="str">
            <v>2 YD 1X WK BUS CMGL 1</v>
          </cell>
        </row>
        <row r="2501">
          <cell r="H2501" t="str">
            <v>FL002.0Y1W001BOCC</v>
          </cell>
          <cell r="I2501" t="str">
            <v>2 YD 1X WK BUS OCC 1</v>
          </cell>
        </row>
        <row r="2502">
          <cell r="H2502" t="str">
            <v>FL002.0Y1W001SCMGL</v>
          </cell>
          <cell r="I2502" t="str">
            <v>2 YD 1X WK SCHL CMGL 1</v>
          </cell>
        </row>
        <row r="2503">
          <cell r="H2503" t="str">
            <v>FL002.0Y2W001BCMGL</v>
          </cell>
          <cell r="I2503" t="str">
            <v>2 YD 2X WK BUS CMGL 1</v>
          </cell>
        </row>
        <row r="2504">
          <cell r="H2504" t="str">
            <v>FL002.0Y2W001SCMGL</v>
          </cell>
          <cell r="I2504" t="str">
            <v>2 YD 2X WK SCHL CMGL 1</v>
          </cell>
        </row>
        <row r="2505">
          <cell r="H2505" t="str">
            <v>FL006.0Y2W001SCMGL</v>
          </cell>
          <cell r="I2505" t="str">
            <v>6 YD 2X WK SCHL CMGL 1</v>
          </cell>
        </row>
        <row r="2506">
          <cell r="H2506" t="str">
            <v>MFWBINS</v>
          </cell>
          <cell r="I2506" t="str">
            <v>MULTI-FAMILY REC UNIT W/B</v>
          </cell>
        </row>
        <row r="2507">
          <cell r="H2507" t="str">
            <v>SL096.0G1W001BCMGLOUT</v>
          </cell>
          <cell r="I2507" t="str">
            <v>96 GL WKLY BUS CMGL OUT</v>
          </cell>
        </row>
        <row r="2508">
          <cell r="H2508" t="str">
            <v>SL096.0G1W001SCMGLOUT</v>
          </cell>
          <cell r="I2508" t="str">
            <v>96 GL WKLY SCHL CMGL OUT</v>
          </cell>
        </row>
        <row r="2509">
          <cell r="H2509" t="str">
            <v>SL096.0GEO001BCMGLOUT</v>
          </cell>
          <cell r="I2509" t="str">
            <v>96 GL EOW BUS CMGL OUT</v>
          </cell>
        </row>
        <row r="2510">
          <cell r="H2510" t="str">
            <v>SL096.0GEO001SCMGLOUT</v>
          </cell>
          <cell r="I2510" t="str">
            <v>96 GL EOW SCHL CMGL OUT</v>
          </cell>
        </row>
        <row r="2511">
          <cell r="H2511" t="str">
            <v>CC-KOL</v>
          </cell>
          <cell r="I2511" t="str">
            <v>ONLINE PAYMENT-CC</v>
          </cell>
        </row>
        <row r="2512">
          <cell r="H2512" t="str">
            <v>CCREF-KOL</v>
          </cell>
          <cell r="I2512" t="str">
            <v>CREDIT CARD REFUND</v>
          </cell>
        </row>
        <row r="2513">
          <cell r="H2513" t="str">
            <v>PAY</v>
          </cell>
          <cell r="I2513" t="str">
            <v>PAYMENT THANK YOU</v>
          </cell>
        </row>
        <row r="2514">
          <cell r="H2514" t="str">
            <v>PAY-CFREE</v>
          </cell>
          <cell r="I2514" t="str">
            <v>CHECKFREE PAYMENT</v>
          </cell>
        </row>
        <row r="2515">
          <cell r="H2515" t="str">
            <v>PAY-KOL</v>
          </cell>
          <cell r="I2515" t="str">
            <v>PAYMENT-THANK YOU - OL</v>
          </cell>
        </row>
        <row r="2516">
          <cell r="H2516" t="str">
            <v>PAY-ORCC</v>
          </cell>
          <cell r="I2516" t="str">
            <v>ORCC PAYMENT</v>
          </cell>
        </row>
        <row r="2517">
          <cell r="H2517" t="str">
            <v>PAY-RPPS</v>
          </cell>
          <cell r="I2517" t="str">
            <v>RPPS MASTERCARD PAYMENT</v>
          </cell>
        </row>
        <row r="2518">
          <cell r="H2518" t="str">
            <v>PAYL</v>
          </cell>
          <cell r="I2518" t="str">
            <v>PAYMENT THANK YOU</v>
          </cell>
        </row>
        <row r="2519">
          <cell r="H2519" t="str">
            <v>PAYMET</v>
          </cell>
          <cell r="I2519" t="str">
            <v>METAVANTE ONLINE PAYMENT</v>
          </cell>
        </row>
        <row r="2520">
          <cell r="H2520" t="str">
            <v>PAYUSBL</v>
          </cell>
          <cell r="I2520" t="str">
            <v>PAYMENT THANK YOU</v>
          </cell>
        </row>
        <row r="2521">
          <cell r="H2521" t="str">
            <v>RET-KOL</v>
          </cell>
          <cell r="I2521" t="str">
            <v>ONLINE PAYMENT RETURN</v>
          </cell>
        </row>
        <row r="2522">
          <cell r="H2522" t="str">
            <v>DRIVEIN1-RES</v>
          </cell>
          <cell r="I2522" t="str">
            <v>DRIVE IN 1 - RES</v>
          </cell>
        </row>
        <row r="2523">
          <cell r="H2523" t="str">
            <v>DRIVEIN2-RES</v>
          </cell>
          <cell r="I2523" t="str">
            <v>DRIVE IN 2 - RES</v>
          </cell>
        </row>
        <row r="2524">
          <cell r="H2524" t="str">
            <v>EMPLOYEER</v>
          </cell>
          <cell r="I2524" t="str">
            <v>EMPLOYEE SERVICE RES</v>
          </cell>
        </row>
        <row r="2525">
          <cell r="H2525" t="str">
            <v>GW3RES</v>
          </cell>
          <cell r="I2525" t="str">
            <v>GREENWASTE SVC 3 - RES</v>
          </cell>
        </row>
        <row r="2526">
          <cell r="H2526" t="str">
            <v>GWRES</v>
          </cell>
          <cell r="I2526" t="str">
            <v>GREENWASTE SERVICE - RES</v>
          </cell>
        </row>
        <row r="2527">
          <cell r="H2527" t="str">
            <v>RECBINONLYR</v>
          </cell>
          <cell r="I2527" t="str">
            <v>RECYCLE SERVICE ONLY</v>
          </cell>
        </row>
        <row r="2528">
          <cell r="H2528" t="str">
            <v>RL010.0G1W001WREC</v>
          </cell>
          <cell r="I2528" t="str">
            <v>10 GL 1X WK RECYCLE 1</v>
          </cell>
        </row>
        <row r="2529">
          <cell r="H2529" t="str">
            <v>RL020.0G1W001</v>
          </cell>
          <cell r="I2529" t="str">
            <v>20 GL 1X WK 1</v>
          </cell>
        </row>
        <row r="2530">
          <cell r="H2530" t="str">
            <v>RL032.0G1W001WREC</v>
          </cell>
          <cell r="I2530" t="str">
            <v>32 GL 1X WK W/RECY 1</v>
          </cell>
        </row>
        <row r="2531">
          <cell r="H2531" t="str">
            <v>RL032.0G1W002WREC</v>
          </cell>
          <cell r="I2531" t="str">
            <v>32 GL 1X WK W/RECY 2</v>
          </cell>
        </row>
        <row r="2532">
          <cell r="H2532" t="str">
            <v>RL032.0G1W003WREC</v>
          </cell>
          <cell r="I2532" t="str">
            <v>32 GL 1X WK W/RECY 3</v>
          </cell>
        </row>
        <row r="2533">
          <cell r="H2533" t="str">
            <v>SL032.0G1W001FOOD</v>
          </cell>
          <cell r="I2533" t="str">
            <v>32 GL 1X WK FOOD 1</v>
          </cell>
        </row>
        <row r="2534">
          <cell r="H2534" t="str">
            <v>SL035.0G1W001WREC</v>
          </cell>
          <cell r="I2534" t="str">
            <v>35 GL 1X WK W/ RECY 1</v>
          </cell>
        </row>
        <row r="2535">
          <cell r="H2535" t="str">
            <v>SL065.0G1M001WREC</v>
          </cell>
          <cell r="I2535" t="str">
            <v>65 GL 1X MO W/RECY 1</v>
          </cell>
        </row>
        <row r="2536">
          <cell r="H2536" t="str">
            <v>SL065.0G1W001</v>
          </cell>
          <cell r="I2536" t="str">
            <v>65 GL 1X WK 1</v>
          </cell>
        </row>
        <row r="2537">
          <cell r="H2537" t="str">
            <v>SL065.0G1W001WREC</v>
          </cell>
          <cell r="I2537" t="str">
            <v>65 GL 1X WK W/RECY 1</v>
          </cell>
        </row>
        <row r="2538">
          <cell r="H2538" t="str">
            <v>SL065.0GEO001WREC</v>
          </cell>
          <cell r="I2538" t="str">
            <v>65 GL EOW W/RECY 1</v>
          </cell>
        </row>
        <row r="2539">
          <cell r="H2539" t="str">
            <v>SL095.0G1W001WREC</v>
          </cell>
          <cell r="I2539" t="str">
            <v>95 GL 1X WK W/RECY 1</v>
          </cell>
        </row>
        <row r="2540">
          <cell r="H2540" t="str">
            <v>SL095.0GEO001WREC</v>
          </cell>
          <cell r="I2540" t="str">
            <v>95 GL EOW W/RECY 1</v>
          </cell>
        </row>
        <row r="2541">
          <cell r="H2541" t="str">
            <v>WI1-RES</v>
          </cell>
          <cell r="I2541" t="str">
            <v>WALK IN 6-25' - RES</v>
          </cell>
        </row>
        <row r="2542">
          <cell r="H2542" t="str">
            <v>BULKY-RES</v>
          </cell>
          <cell r="I2542" t="str">
            <v>BULKY ITEM PICK UP - RES</v>
          </cell>
        </row>
        <row r="2543">
          <cell r="H2543" t="str">
            <v>EXTRA-RES</v>
          </cell>
          <cell r="I2543" t="str">
            <v>EXTRA CAN, BAG, BOX - RES</v>
          </cell>
        </row>
        <row r="2544">
          <cell r="H2544" t="str">
            <v>EXTRAGWC-RES</v>
          </cell>
          <cell r="I2544" t="str">
            <v>EXTRA GREENWASTE FEE - RE</v>
          </cell>
        </row>
        <row r="2545">
          <cell r="H2545" t="str">
            <v>OW-RES</v>
          </cell>
          <cell r="I2545" t="str">
            <v>OVERFILL / OVERWEIGHT CAN</v>
          </cell>
        </row>
        <row r="2546">
          <cell r="H2546" t="str">
            <v>REINSTATE-RES</v>
          </cell>
          <cell r="I2546" t="str">
            <v>REINSTATE FEE - RES</v>
          </cell>
        </row>
        <row r="2547">
          <cell r="H2547" t="str">
            <v>RL010.0G1W001WREC</v>
          </cell>
          <cell r="I2547" t="str">
            <v>10 GL 1X WK RECYCLE 1</v>
          </cell>
        </row>
        <row r="2548">
          <cell r="H2548" t="str">
            <v>RTRNCART65-RES</v>
          </cell>
          <cell r="I2548" t="str">
            <v>RETURN TRIP 65 GL - RES</v>
          </cell>
        </row>
        <row r="2549">
          <cell r="H2549" t="str">
            <v>SP32-RES</v>
          </cell>
          <cell r="I2549" t="str">
            <v>SPECIAL PICK UP 32 GL - RES</v>
          </cell>
        </row>
        <row r="2550">
          <cell r="H2550" t="str">
            <v>SP65-RES</v>
          </cell>
          <cell r="I2550" t="str">
            <v>SPECIAL PICK UP 65 GL - R</v>
          </cell>
        </row>
        <row r="2551">
          <cell r="H2551" t="str">
            <v>LIDRO</v>
          </cell>
          <cell r="I2551" t="str">
            <v>LID CHARGE - RO</v>
          </cell>
        </row>
        <row r="2552">
          <cell r="H2552" t="str">
            <v>RENT20MO-RO</v>
          </cell>
          <cell r="I2552" t="str">
            <v>RENTAL FEE 20 YD MONTHLY</v>
          </cell>
        </row>
        <row r="2553">
          <cell r="H2553" t="str">
            <v>RENT20TEMP-RO</v>
          </cell>
          <cell r="I2553" t="str">
            <v>RENTAL FEE 20 YD TEMP - R</v>
          </cell>
        </row>
        <row r="2554">
          <cell r="H2554" t="str">
            <v>DEL20TEMP-RO</v>
          </cell>
          <cell r="I2554" t="str">
            <v>DELIVERY FEE 20 YD TEMP -</v>
          </cell>
        </row>
        <row r="2555">
          <cell r="H2555" t="str">
            <v>DEL40TEMP-RO</v>
          </cell>
          <cell r="I2555" t="str">
            <v>DELIVERY FEE 40 YD TEMP -</v>
          </cell>
        </row>
        <row r="2556">
          <cell r="H2556" t="str">
            <v>DISCO-CP</v>
          </cell>
          <cell r="I2556" t="str">
            <v xml:space="preserve">COMPACTOR DISCONNECT FEE </v>
          </cell>
        </row>
        <row r="2557">
          <cell r="H2557" t="str">
            <v>DISP-RO</v>
          </cell>
          <cell r="I2557" t="str">
            <v>DISPOSAL CHARGE - RO</v>
          </cell>
        </row>
        <row r="2558">
          <cell r="H2558" t="str">
            <v>DISPGW-RO</v>
          </cell>
          <cell r="I2558" t="str">
            <v>DISPOSAL FEE GREENWASTE -</v>
          </cell>
        </row>
        <row r="2559">
          <cell r="H2559" t="str">
            <v>DISPOCC-RO</v>
          </cell>
          <cell r="I2559" t="str">
            <v xml:space="preserve">DISPOSAL FEE CARDBOARD - </v>
          </cell>
        </row>
        <row r="2560">
          <cell r="H2560" t="str">
            <v>DISPTRANS-RO</v>
          </cell>
          <cell r="I2560" t="str">
            <v>DISPOSAL FEE TRANSFER HAU</v>
          </cell>
        </row>
        <row r="2561">
          <cell r="H2561" t="str">
            <v>FINAL20TEMP-RO</v>
          </cell>
          <cell r="I2561" t="str">
            <v>FINAL PULL 20 YD TEMP - R</v>
          </cell>
        </row>
        <row r="2562">
          <cell r="H2562" t="str">
            <v>FINAL40TEMP-RO</v>
          </cell>
          <cell r="I2562" t="str">
            <v>FINAL PULL 40 YD TEMP - R</v>
          </cell>
        </row>
        <row r="2563">
          <cell r="H2563" t="str">
            <v>HAUL20-CP</v>
          </cell>
          <cell r="I2563" t="str">
            <v>COMPACTOR HAUL 20 YD - RO</v>
          </cell>
        </row>
        <row r="2564">
          <cell r="H2564" t="str">
            <v>HAUL20-RO</v>
          </cell>
          <cell r="I2564" t="str">
            <v>HAUL 20 YD - RO</v>
          </cell>
        </row>
        <row r="2565">
          <cell r="H2565" t="str">
            <v>HAUL20TEMP-RO</v>
          </cell>
          <cell r="I2565" t="str">
            <v>HAUL 20 YD TEMP - RO</v>
          </cell>
        </row>
        <row r="2566">
          <cell r="H2566" t="str">
            <v>HAUL25-CP</v>
          </cell>
          <cell r="I2566" t="str">
            <v>COMPACTOR HAUL 25 YD - RO</v>
          </cell>
        </row>
        <row r="2567">
          <cell r="H2567" t="str">
            <v>HAUL30-RO</v>
          </cell>
          <cell r="I2567" t="str">
            <v>HAUL 30 YD - RO</v>
          </cell>
        </row>
        <row r="2568">
          <cell r="H2568" t="str">
            <v>MILE-RO</v>
          </cell>
          <cell r="I2568" t="str">
            <v>MILEAGE FEE - RO</v>
          </cell>
        </row>
        <row r="2569">
          <cell r="H2569" t="str">
            <v>RENT20TEMP-RO</v>
          </cell>
          <cell r="I2569" t="str">
            <v>RENTAL FEE 20 YD TEMP - R</v>
          </cell>
        </row>
        <row r="2570">
          <cell r="H2570" t="str">
            <v>DISPGLASS-RO</v>
          </cell>
          <cell r="I2570" t="str">
            <v>DISPOSAL FEE GLASS - RO</v>
          </cell>
        </row>
        <row r="2571">
          <cell r="H2571" t="str">
            <v>DISPOCC-RO</v>
          </cell>
          <cell r="I2571" t="str">
            <v xml:space="preserve">DISPOSAL FEE CARDBOARD - </v>
          </cell>
        </row>
        <row r="2572">
          <cell r="H2572" t="str">
            <v>HAUL30-RO</v>
          </cell>
          <cell r="I2572" t="str">
            <v>HAUL 30 YD - RO</v>
          </cell>
        </row>
        <row r="2573">
          <cell r="H2573" t="str">
            <v>COMMODITY SURCHARGE</v>
          </cell>
          <cell r="I2573" t="str">
            <v>COMMODITY SURCHARGE</v>
          </cell>
        </row>
        <row r="2574">
          <cell r="H2574" t="str">
            <v>STEILACOOM CITY  TAX</v>
          </cell>
          <cell r="I2574" t="str">
            <v>6% CITY UTILITY TAX</v>
          </cell>
        </row>
        <row r="2575">
          <cell r="H2575" t="str">
            <v>STEILACOOM REFUSE TAX</v>
          </cell>
          <cell r="I2575" t="str">
            <v>3.6% WA STATE REFUSE TAX</v>
          </cell>
        </row>
        <row r="2576">
          <cell r="H2576" t="str">
            <v>STEILACOOM ST SALES TAX</v>
          </cell>
          <cell r="I2576" t="str">
            <v>9.9% WA STATE SALES TAX</v>
          </cell>
        </row>
        <row r="2577">
          <cell r="H2577" t="str">
            <v>STEILACOOM CITY  TAX</v>
          </cell>
          <cell r="I2577" t="str">
            <v>6% CITY UTILITY TAX</v>
          </cell>
        </row>
        <row r="2578">
          <cell r="H2578" t="str">
            <v>STEILACOOM REFUSE TAX</v>
          </cell>
          <cell r="I2578" t="str">
            <v>3.6% WA STATE REFUSE TAX</v>
          </cell>
        </row>
        <row r="2579">
          <cell r="H2579" t="str">
            <v>PIERCE REFUSE TAX</v>
          </cell>
          <cell r="I2579" t="str">
            <v>3.6% WA STATE REFUSE TAX</v>
          </cell>
        </row>
        <row r="2580">
          <cell r="H2580" t="str">
            <v>STEILACOOM CITY  TAX</v>
          </cell>
          <cell r="I2580" t="str">
            <v>6% CITY UTILITY TAX</v>
          </cell>
        </row>
        <row r="2581">
          <cell r="H2581" t="str">
            <v>STEILACOOM REFUSE TAX</v>
          </cell>
          <cell r="I2581" t="str">
            <v>3.6% WA STATE REFUSE TAX</v>
          </cell>
        </row>
        <row r="2582">
          <cell r="H2582" t="str">
            <v>STEILACOOM CITY  TAX</v>
          </cell>
          <cell r="I2582" t="str">
            <v>6% CITY UTILITY TAX</v>
          </cell>
        </row>
        <row r="2583">
          <cell r="H2583" t="str">
            <v>STEILACOOM CITY ONLY</v>
          </cell>
          <cell r="I2583" t="str">
            <v>6% CITY UTILITY TAX</v>
          </cell>
        </row>
        <row r="2584">
          <cell r="H2584" t="str">
            <v>STEILACOOM REFUSE TAX</v>
          </cell>
          <cell r="I2584" t="str">
            <v>3.6% WA STATE REFUSE TAX</v>
          </cell>
        </row>
        <row r="2585">
          <cell r="H2585" t="str">
            <v>STEILACOOM ST SALES TAX</v>
          </cell>
          <cell r="I2585" t="str">
            <v>9.9% WA STATE SALES TAX</v>
          </cell>
        </row>
        <row r="2586">
          <cell r="H2586" t="str">
            <v>STEILACOOM CITY  TAX</v>
          </cell>
          <cell r="I2586" t="str">
            <v>6% CITY UTILITY TAX</v>
          </cell>
        </row>
        <row r="2587">
          <cell r="H2587" t="str">
            <v>STEILACOOM REFUSE TAX</v>
          </cell>
          <cell r="I2587" t="str">
            <v>3.6% WA STATE REFUSE TAX</v>
          </cell>
        </row>
        <row r="2588">
          <cell r="H2588" t="str">
            <v>FINCHG</v>
          </cell>
          <cell r="I2588" t="str">
            <v>LATE FEE</v>
          </cell>
        </row>
        <row r="2589">
          <cell r="H2589" t="str">
            <v>BD</v>
          </cell>
          <cell r="I2589" t="str">
            <v>BAD DEBT WRITE OFF</v>
          </cell>
        </row>
        <row r="2590">
          <cell r="H2590" t="str">
            <v>BDR</v>
          </cell>
          <cell r="I2590" t="str">
            <v>BAD DEBT RECOVERY</v>
          </cell>
        </row>
        <row r="2591">
          <cell r="H2591" t="str">
            <v>MM</v>
          </cell>
          <cell r="I2591" t="str">
            <v>ADJUST BALANCE (MM)</v>
          </cell>
        </row>
        <row r="2592">
          <cell r="H2592" t="str">
            <v>MM</v>
          </cell>
          <cell r="I2592" t="str">
            <v>ADJUST BALANCE (MM)</v>
          </cell>
        </row>
        <row r="2593">
          <cell r="H2593" t="str">
            <v>BD</v>
          </cell>
          <cell r="I2593" t="str">
            <v>BAD DEBT WRITE OFF</v>
          </cell>
        </row>
        <row r="2594">
          <cell r="H2594" t="str">
            <v>BDR</v>
          </cell>
          <cell r="I2594" t="str">
            <v>BAD DEBT RECOVERY</v>
          </cell>
        </row>
        <row r="2595">
          <cell r="H2595" t="str">
            <v>COLLFEE</v>
          </cell>
          <cell r="I2595" t="str">
            <v>COLLECTION AGENCY FEE</v>
          </cell>
        </row>
        <row r="2596">
          <cell r="H2596" t="str">
            <v>FINCHG</v>
          </cell>
          <cell r="I2596" t="str">
            <v>LATE FEE</v>
          </cell>
        </row>
        <row r="2597">
          <cell r="H2597" t="str">
            <v>ACCESS-COMM</v>
          </cell>
          <cell r="I2597" t="str">
            <v>ACCESS FEE - COMM</v>
          </cell>
        </row>
        <row r="2598">
          <cell r="H2598" t="str">
            <v>FL001.0Y1W001</v>
          </cell>
          <cell r="I2598" t="str">
            <v>1 YD 1X WK 1</v>
          </cell>
        </row>
        <row r="2599">
          <cell r="H2599" t="str">
            <v>FL001.5Y1W001</v>
          </cell>
          <cell r="I2599" t="str">
            <v>1.5 YD 1X WK 1</v>
          </cell>
        </row>
        <row r="2600">
          <cell r="H2600" t="str">
            <v>FL002.0Y1W001</v>
          </cell>
          <cell r="I2600" t="str">
            <v>2 YD 1X WK 1</v>
          </cell>
        </row>
        <row r="2601">
          <cell r="H2601" t="str">
            <v>FL002.0Y2W001</v>
          </cell>
          <cell r="I2601" t="str">
            <v>2 YD 2X WK 1</v>
          </cell>
        </row>
        <row r="2602">
          <cell r="H2602" t="str">
            <v>FL002.0Y4W001</v>
          </cell>
          <cell r="I2602" t="str">
            <v>2 YD 4X WK 1</v>
          </cell>
        </row>
        <row r="2603">
          <cell r="H2603" t="str">
            <v>FL003.0Y2W001</v>
          </cell>
          <cell r="I2603" t="str">
            <v>3 YD 2X WK 1</v>
          </cell>
        </row>
        <row r="2604">
          <cell r="H2604" t="str">
            <v>FL004.0Y1W001</v>
          </cell>
          <cell r="I2604" t="str">
            <v>4 YD 1X WK 1</v>
          </cell>
        </row>
        <row r="2605">
          <cell r="H2605" t="str">
            <v>FL006.0Y1W001</v>
          </cell>
          <cell r="I2605" t="str">
            <v>6 YD 1X WK 1</v>
          </cell>
        </row>
        <row r="2606">
          <cell r="H2606" t="str">
            <v>FL006.0Y2W001</v>
          </cell>
          <cell r="I2606" t="str">
            <v>6 YD 2X WK 1</v>
          </cell>
        </row>
        <row r="2607">
          <cell r="H2607" t="str">
            <v>SL065.0G1W001NORECC</v>
          </cell>
          <cell r="I2607" t="str">
            <v xml:space="preserve">65 GL 1X WK NO RECY COMM </v>
          </cell>
        </row>
        <row r="2608">
          <cell r="H2608" t="str">
            <v>SL065.0G1W001WRECC</v>
          </cell>
          <cell r="I2608" t="str">
            <v>65 GL 1X WK W/RECY COMM 1</v>
          </cell>
        </row>
        <row r="2609">
          <cell r="H2609" t="str">
            <v>SL065.0GEO001WRECC</v>
          </cell>
          <cell r="I2609" t="str">
            <v>65 GL EOW W/RECY COMM 1</v>
          </cell>
        </row>
        <row r="2610">
          <cell r="H2610" t="str">
            <v>SL095.0G1W001WRECC</v>
          </cell>
          <cell r="I2610" t="str">
            <v>95 GL 1X WK W/RECY COMM 1</v>
          </cell>
        </row>
        <row r="2611">
          <cell r="H2611" t="str">
            <v>EXTRA-COMM</v>
          </cell>
          <cell r="I2611" t="str">
            <v>EXTRA CAN, BAG, BOX - COM</v>
          </cell>
        </row>
        <row r="2612">
          <cell r="H2612" t="str">
            <v>EXTRAYDG-COM</v>
          </cell>
          <cell r="I2612" t="str">
            <v>EXTRA YARDAGE - COMM</v>
          </cell>
        </row>
        <row r="2613">
          <cell r="H2613" t="str">
            <v>FL002.0Y1W001BCMGL</v>
          </cell>
          <cell r="I2613" t="str">
            <v>2 YD 1X WK BUS CMGL 1</v>
          </cell>
        </row>
        <row r="2614">
          <cell r="H2614" t="str">
            <v>FL002.0Y1W001BOCC</v>
          </cell>
          <cell r="I2614" t="str">
            <v>2 YD 1X WK BUS OCC 1</v>
          </cell>
        </row>
        <row r="2615">
          <cell r="H2615" t="str">
            <v>FL005.0Y1W001BOCC</v>
          </cell>
          <cell r="I2615" t="str">
            <v>5 YD 1X WK BUS OCC 1</v>
          </cell>
        </row>
        <row r="2616">
          <cell r="H2616" t="str">
            <v>FL005.0Y3W001BOCC</v>
          </cell>
          <cell r="I2616" t="str">
            <v>5 YD 3X WK BUS OCC 1</v>
          </cell>
        </row>
        <row r="2617">
          <cell r="H2617" t="str">
            <v>MFWBINS</v>
          </cell>
          <cell r="I2617" t="str">
            <v>MULTI-FAMILY REC UNIT W/B</v>
          </cell>
        </row>
        <row r="2618">
          <cell r="H2618" t="str">
            <v>SL096.0GEO001BCMGLOUT</v>
          </cell>
          <cell r="I2618" t="str">
            <v>96 GL EOW BUS CMGL OUT</v>
          </cell>
        </row>
        <row r="2619">
          <cell r="H2619" t="str">
            <v>CC-KOL</v>
          </cell>
          <cell r="I2619" t="str">
            <v>ONLINE PAYMENT-CC</v>
          </cell>
        </row>
        <row r="2620">
          <cell r="H2620" t="str">
            <v>PAY</v>
          </cell>
          <cell r="I2620" t="str">
            <v>PAYMENT THANK YOU</v>
          </cell>
        </row>
        <row r="2621">
          <cell r="H2621" t="str">
            <v>PAY-CFREE</v>
          </cell>
          <cell r="I2621" t="str">
            <v>CHECKFREE PAYMENT</v>
          </cell>
        </row>
        <row r="2622">
          <cell r="H2622" t="str">
            <v>PAY-KOL</v>
          </cell>
          <cell r="I2622" t="str">
            <v>PAYMENT-THANK YOU - OL</v>
          </cell>
        </row>
        <row r="2623">
          <cell r="H2623" t="str">
            <v>PAY-ORCC</v>
          </cell>
          <cell r="I2623" t="str">
            <v>ORCC PAYMENT</v>
          </cell>
        </row>
        <row r="2624">
          <cell r="H2624" t="str">
            <v>PAY-RPPS</v>
          </cell>
          <cell r="I2624" t="str">
            <v>RPPS MASTERCARD PAYMENT</v>
          </cell>
        </row>
        <row r="2625">
          <cell r="H2625" t="str">
            <v>PAYMET</v>
          </cell>
          <cell r="I2625" t="str">
            <v>METAVANTE ONLINE PAYMENT</v>
          </cell>
        </row>
        <row r="2626">
          <cell r="H2626" t="str">
            <v>PAYUSBL</v>
          </cell>
          <cell r="I2626" t="str">
            <v>PAYMENT THANK YOU</v>
          </cell>
        </row>
        <row r="2627">
          <cell r="H2627" t="str">
            <v>CC-KOL</v>
          </cell>
          <cell r="I2627" t="str">
            <v>ONLINE PAYMENT-CC</v>
          </cell>
        </row>
        <row r="2628">
          <cell r="H2628" t="str">
            <v>PAY</v>
          </cell>
          <cell r="I2628" t="str">
            <v>PAYMENT THANK YOU</v>
          </cell>
        </row>
        <row r="2629">
          <cell r="H2629" t="str">
            <v>PAY-CFREE</v>
          </cell>
          <cell r="I2629" t="str">
            <v>CHECKFREE PAYMENT</v>
          </cell>
        </row>
        <row r="2630">
          <cell r="H2630" t="str">
            <v>PAY-KOL</v>
          </cell>
          <cell r="I2630" t="str">
            <v>PAYMENT-THANK YOU - OL</v>
          </cell>
        </row>
        <row r="2631">
          <cell r="H2631" t="str">
            <v>PAY-RPPS</v>
          </cell>
          <cell r="I2631" t="str">
            <v>RPPS MASTERCARD PAYMENT</v>
          </cell>
        </row>
        <row r="2632">
          <cell r="H2632" t="str">
            <v>PAYL</v>
          </cell>
          <cell r="I2632" t="str">
            <v>PAYMENT THANK YOU</v>
          </cell>
        </row>
        <row r="2633">
          <cell r="H2633" t="str">
            <v>PAYMET</v>
          </cell>
          <cell r="I2633" t="str">
            <v>METAVANTE ONLINE PAYMENT</v>
          </cell>
        </row>
        <row r="2634">
          <cell r="H2634" t="str">
            <v>PAYUSBL</v>
          </cell>
          <cell r="I2634" t="str">
            <v>PAYMENT THANK YOU</v>
          </cell>
        </row>
        <row r="2635">
          <cell r="H2635" t="str">
            <v>CC-KOL</v>
          </cell>
          <cell r="I2635" t="str">
            <v>ONLINE PAYMENT-CC</v>
          </cell>
        </row>
        <row r="2636">
          <cell r="H2636" t="str">
            <v>PAY-CFREE</v>
          </cell>
          <cell r="I2636" t="str">
            <v>CHECKFREE PAYMENT</v>
          </cell>
        </row>
        <row r="2637">
          <cell r="H2637" t="str">
            <v>PAY-KOL</v>
          </cell>
          <cell r="I2637" t="str">
            <v>PAYMENT-THANK YOU - OL</v>
          </cell>
        </row>
        <row r="2638">
          <cell r="H2638" t="str">
            <v>PAY-OAK</v>
          </cell>
          <cell r="I2638" t="str">
            <v>OAKLEAF PAYMENT</v>
          </cell>
        </row>
        <row r="2639">
          <cell r="H2639" t="str">
            <v>PAY-RPPS</v>
          </cell>
          <cell r="I2639" t="str">
            <v>RPPS MASTERCARD PAYMENT</v>
          </cell>
        </row>
        <row r="2640">
          <cell r="H2640" t="str">
            <v>PAYL</v>
          </cell>
          <cell r="I2640" t="str">
            <v>PAYMENT THANK YOU</v>
          </cell>
        </row>
        <row r="2641">
          <cell r="H2641" t="str">
            <v>PAYMET</v>
          </cell>
          <cell r="I2641" t="str">
            <v>METAVANTE ONLINE PAYMENT</v>
          </cell>
        </row>
        <row r="2642">
          <cell r="H2642" t="str">
            <v>PAYUSBL</v>
          </cell>
          <cell r="I2642" t="str">
            <v>PAYMENT THANK YOU</v>
          </cell>
        </row>
        <row r="2643">
          <cell r="H2643" t="str">
            <v>GWRES</v>
          </cell>
          <cell r="I2643" t="str">
            <v>GREENWASTE SERVICE - RES</v>
          </cell>
        </row>
        <row r="2644">
          <cell r="H2644" t="str">
            <v>RECBINONLYR</v>
          </cell>
          <cell r="I2644" t="str">
            <v>RECYCLE SERVICE ONLY</v>
          </cell>
        </row>
        <row r="2645">
          <cell r="H2645" t="str">
            <v>SL035.0GEO001WREC</v>
          </cell>
          <cell r="I2645" t="str">
            <v>35 GL EOW W/RECY 1</v>
          </cell>
        </row>
        <row r="2646">
          <cell r="H2646" t="str">
            <v>SL065.0G1W001WREC</v>
          </cell>
          <cell r="I2646" t="str">
            <v>65 GL 1X WK W/RECY 1</v>
          </cell>
        </row>
        <row r="2647">
          <cell r="H2647" t="str">
            <v>SL065.0GEO001NOREC</v>
          </cell>
          <cell r="I2647" t="str">
            <v>65 GL EOW NO RECY 1</v>
          </cell>
        </row>
        <row r="2648">
          <cell r="H2648" t="str">
            <v>SL065.0GEO001WREC</v>
          </cell>
          <cell r="I2648" t="str">
            <v>65 GL EOW W/RECY 1</v>
          </cell>
        </row>
        <row r="2649">
          <cell r="H2649" t="str">
            <v>SL095.0G1W001WREC</v>
          </cell>
          <cell r="I2649" t="str">
            <v>95 GL 1X WK W/RECY 1</v>
          </cell>
        </row>
        <row r="2650">
          <cell r="H2650" t="str">
            <v>EXTRA-RES</v>
          </cell>
          <cell r="I2650" t="str">
            <v>EXTRA CAN, BAG, BOX - RES</v>
          </cell>
        </row>
        <row r="2651">
          <cell r="H2651" t="str">
            <v>OW-RES</v>
          </cell>
          <cell r="I2651" t="str">
            <v>OVERFILL / OVERWEIGHT CAN</v>
          </cell>
        </row>
        <row r="2652">
          <cell r="H2652" t="str">
            <v>REINSTATE-RES</v>
          </cell>
          <cell r="I2652" t="str">
            <v>REINSTATE FEE - RES</v>
          </cell>
        </row>
        <row r="2653">
          <cell r="H2653" t="str">
            <v>GWRES</v>
          </cell>
          <cell r="I2653" t="str">
            <v>GREENWASTE SERVICE - RES</v>
          </cell>
        </row>
        <row r="2654">
          <cell r="H2654" t="str">
            <v>SL065.0G1W001WREC</v>
          </cell>
          <cell r="I2654" t="str">
            <v>65 GL 1X WK W/RECY 1</v>
          </cell>
        </row>
        <row r="2655">
          <cell r="H2655" t="str">
            <v>SL065.0GEO001WREC</v>
          </cell>
          <cell r="I2655" t="str">
            <v>65 GL EOW W/RECY 1</v>
          </cell>
        </row>
        <row r="2656">
          <cell r="H2656" t="str">
            <v>BULKY-RES</v>
          </cell>
          <cell r="I2656" t="str">
            <v>BULKY ITEM PICK UP - RES</v>
          </cell>
        </row>
        <row r="2657">
          <cell r="H2657" t="str">
            <v>EXTRA-RES</v>
          </cell>
          <cell r="I2657" t="str">
            <v>EXTRA CAN, BAG, BOX - RES</v>
          </cell>
        </row>
        <row r="2658">
          <cell r="H2658" t="str">
            <v>OW-RES</v>
          </cell>
          <cell r="I2658" t="str">
            <v>OVERFILL / OVERWEIGHT CAN</v>
          </cell>
        </row>
        <row r="2659">
          <cell r="H2659" t="str">
            <v>REINSTATE-RES</v>
          </cell>
          <cell r="I2659" t="str">
            <v>REINSTATE FEE - RES</v>
          </cell>
        </row>
        <row r="2660">
          <cell r="H2660" t="str">
            <v>SPCL65-RES</v>
          </cell>
          <cell r="I2660" t="str">
            <v>SPECIAL 65 GL - RES</v>
          </cell>
        </row>
        <row r="2661">
          <cell r="H2661" t="str">
            <v>SPCLREC-RES</v>
          </cell>
          <cell r="I2661" t="str">
            <v>SPECIAL RECYCLE - RES</v>
          </cell>
        </row>
        <row r="2662">
          <cell r="H2662" t="str">
            <v>RENT20MO-RO</v>
          </cell>
          <cell r="I2662" t="str">
            <v>RENTAL FEE 20 YD MONTHLY</v>
          </cell>
        </row>
        <row r="2663">
          <cell r="H2663" t="str">
            <v>DISCO-CP</v>
          </cell>
          <cell r="I2663" t="str">
            <v xml:space="preserve">COMPACTOR DISCONNECT FEE </v>
          </cell>
        </row>
        <row r="2664">
          <cell r="H2664" t="str">
            <v>DISP-RO</v>
          </cell>
          <cell r="I2664" t="str">
            <v>DISPOSAL CHARGE - RO</v>
          </cell>
        </row>
        <row r="2665">
          <cell r="H2665" t="str">
            <v>HAUL25-CP</v>
          </cell>
          <cell r="I2665" t="str">
            <v>COMPACTOR HAUL 25 YD - RO</v>
          </cell>
        </row>
        <row r="2666">
          <cell r="H2666" t="str">
            <v>HAUL30-CP</v>
          </cell>
          <cell r="I2666" t="str">
            <v>COMPACTOR HAUL 30 YD</v>
          </cell>
        </row>
        <row r="2667">
          <cell r="H2667" t="str">
            <v>COMMODITY SURCHARGE</v>
          </cell>
          <cell r="I2667" t="str">
            <v>COMMODITY SURCHARGE</v>
          </cell>
        </row>
        <row r="2668">
          <cell r="H2668" t="str">
            <v>UP CITY UTILITY TAX</v>
          </cell>
          <cell r="I2668" t="str">
            <v>6% CITY UTILITY TAX</v>
          </cell>
        </row>
        <row r="2669">
          <cell r="H2669" t="str">
            <v>UP CITY ONLY</v>
          </cell>
          <cell r="I2669" t="str">
            <v>6% CITY UTILITY TAX</v>
          </cell>
        </row>
        <row r="2670">
          <cell r="H2670" t="str">
            <v>UP CITY UTILITY TAX</v>
          </cell>
          <cell r="I2670" t="str">
            <v>6% CITY UTILITY TAX</v>
          </cell>
        </row>
        <row r="2671">
          <cell r="H2671" t="str">
            <v>UP REFUSE TAX</v>
          </cell>
          <cell r="I2671" t="str">
            <v>3.6% WA STATE REFUSE TAX</v>
          </cell>
        </row>
        <row r="2672">
          <cell r="H2672" t="str">
            <v>PIERCE REFUSE TAX</v>
          </cell>
          <cell r="I2672" t="str">
            <v>3.6% WA STATE REFUSE TAX</v>
          </cell>
        </row>
        <row r="2673">
          <cell r="H2673" t="str">
            <v>UP CITY UTILITY TAX</v>
          </cell>
          <cell r="I2673" t="str">
            <v>6% CITY UTILITY TAX</v>
          </cell>
        </row>
        <row r="2674">
          <cell r="H2674" t="str">
            <v>UP REFUSE TAX</v>
          </cell>
          <cell r="I2674" t="str">
            <v>3.6% WA STATE REFUSE TAX</v>
          </cell>
        </row>
        <row r="2675">
          <cell r="H2675" t="str">
            <v>UP CITY UTILITY TAX</v>
          </cell>
          <cell r="I2675" t="str">
            <v>6% CITY UTILITY TAX</v>
          </cell>
        </row>
        <row r="2676">
          <cell r="H2676" t="str">
            <v>UP REFUSE TAX</v>
          </cell>
          <cell r="I2676" t="str">
            <v>3.6% WA STATE REFUSE TAX</v>
          </cell>
        </row>
        <row r="2677">
          <cell r="H2677" t="str">
            <v>UP CITY UTILITY TAX</v>
          </cell>
          <cell r="I2677" t="str">
            <v>6% CITY UTILITY TAX</v>
          </cell>
        </row>
        <row r="2678">
          <cell r="H2678" t="str">
            <v>UP REFUSE TAX</v>
          </cell>
          <cell r="I2678" t="str">
            <v>3.6% WA STATE REFUSE TAX</v>
          </cell>
        </row>
        <row r="2679">
          <cell r="H2679" t="str">
            <v>UP STATE SALES TAX</v>
          </cell>
          <cell r="I2679" t="str">
            <v>9.9% WA STATE SALES TAX</v>
          </cell>
        </row>
        <row r="2680">
          <cell r="H2680" t="str">
            <v>MM</v>
          </cell>
          <cell r="I2680" t="str">
            <v>ADJUST BALANCE (MM)</v>
          </cell>
        </row>
        <row r="2681">
          <cell r="H2681" t="str">
            <v>DISPFEDMSW-COMM</v>
          </cell>
          <cell r="I2681" t="str">
            <v>DISPOSAL FEDERAL MSW - CO</v>
          </cell>
        </row>
        <row r="2682">
          <cell r="H2682" t="str">
            <v>FL001.5Y1W001</v>
          </cell>
          <cell r="I2682" t="str">
            <v>1.5 YD 1X WK 1</v>
          </cell>
        </row>
        <row r="2683">
          <cell r="H2683" t="str">
            <v>CONTRACTEDC</v>
          </cell>
          <cell r="I2683" t="str">
            <v>CONTRACTED SERVICE - COMM</v>
          </cell>
        </row>
        <row r="2684">
          <cell r="H2684" t="str">
            <v>DISPMIX-COMM</v>
          </cell>
          <cell r="I2684" t="str">
            <v>DISPOSAL MIX CMGL OCC - COMM</v>
          </cell>
        </row>
        <row r="2685">
          <cell r="H2685" t="str">
            <v>DISPTONER-COMM</v>
          </cell>
          <cell r="I2685" t="str">
            <v>DISPOSAL TONER - COMM</v>
          </cell>
        </row>
        <row r="2686">
          <cell r="H2686" t="str">
            <v>PAYEFT</v>
          </cell>
          <cell r="I2686" t="str">
            <v>EFT PAYMENT</v>
          </cell>
        </row>
        <row r="2687">
          <cell r="H2687" t="str">
            <v>PAYICT</v>
          </cell>
          <cell r="I2687" t="str">
            <v>I/C PAYMENT THANK YOU</v>
          </cell>
        </row>
        <row r="2688">
          <cell r="H2688" t="str">
            <v>DISPCMGL-RES</v>
          </cell>
          <cell r="I2688" t="str">
            <v>DISPOSAL COMINGLE - RES</v>
          </cell>
        </row>
        <row r="2689">
          <cell r="H2689" t="str">
            <v>DISPBATT-RO</v>
          </cell>
          <cell r="I2689" t="str">
            <v>DISPOSAL BATTERIES - RO</v>
          </cell>
        </row>
        <row r="2690">
          <cell r="H2690" t="str">
            <v>DISPBOOKS-RO</v>
          </cell>
          <cell r="I2690" t="str">
            <v>DISPOSAL BOOKS - RO</v>
          </cell>
        </row>
        <row r="2691">
          <cell r="H2691" t="str">
            <v>DISPCMGL-RO</v>
          </cell>
          <cell r="I2691" t="str">
            <v xml:space="preserve">DISPOSAL FEE COMMINGLE - </v>
          </cell>
        </row>
        <row r="2692">
          <cell r="H2692" t="str">
            <v>DISPFEDMSW-RO</v>
          </cell>
          <cell r="I2692" t="str">
            <v xml:space="preserve">DISPOSAL FEE FEDERAL MSW </v>
          </cell>
        </row>
        <row r="2693">
          <cell r="H2693" t="str">
            <v>DISPFOOD-RO</v>
          </cell>
          <cell r="I2693" t="str">
            <v>DISPOSAL FEE FOOD WASTE -</v>
          </cell>
        </row>
        <row r="2694">
          <cell r="H2694" t="str">
            <v>DISPGLASS-RO</v>
          </cell>
          <cell r="I2694" t="str">
            <v>DISPOSAL FEE GLASS - RO</v>
          </cell>
        </row>
        <row r="2695">
          <cell r="H2695" t="str">
            <v>DISPGW-RO</v>
          </cell>
          <cell r="I2695" t="str">
            <v>DISPOSAL FEE GREENWASTE -</v>
          </cell>
        </row>
        <row r="2696">
          <cell r="H2696" t="str">
            <v>DISPMETAL-RO</v>
          </cell>
          <cell r="I2696" t="str">
            <v>DISPOSAL FEE METAL - RO</v>
          </cell>
        </row>
        <row r="2697">
          <cell r="H2697" t="str">
            <v>DISPOCC-RO</v>
          </cell>
          <cell r="I2697" t="str">
            <v xml:space="preserve">DISPOSAL FEE CARDBOARD - </v>
          </cell>
        </row>
        <row r="2698">
          <cell r="H2698" t="str">
            <v>DISPTEX-RO</v>
          </cell>
          <cell r="I2698" t="str">
            <v>DISPOSAL TEXTILE - RO</v>
          </cell>
        </row>
        <row r="2699">
          <cell r="H2699" t="str">
            <v>DISPWD-RO</v>
          </cell>
          <cell r="I2699" t="str">
            <v>DISPOSAL FEE WOOD - RO</v>
          </cell>
        </row>
        <row r="2700">
          <cell r="H2700" t="str">
            <v>BD</v>
          </cell>
          <cell r="I2700" t="str">
            <v>BAD DEBT WRITE OFF</v>
          </cell>
        </row>
        <row r="2701">
          <cell r="H2701" t="str">
            <v>BDR</v>
          </cell>
          <cell r="I2701" t="str">
            <v>BAD DEBT RECOVERY</v>
          </cell>
        </row>
        <row r="2702">
          <cell r="H2702" t="str">
            <v>MM</v>
          </cell>
          <cell r="I2702" t="str">
            <v>ADJUST BALANCE (MM)</v>
          </cell>
        </row>
        <row r="2703">
          <cell r="H2703" t="str">
            <v>MM</v>
          </cell>
          <cell r="I2703" t="str">
            <v>ADJUST BALANCE (MM)</v>
          </cell>
        </row>
        <row r="2704">
          <cell r="H2704" t="str">
            <v>REFUND</v>
          </cell>
          <cell r="I2704" t="str">
            <v>REFUND</v>
          </cell>
        </row>
        <row r="2705">
          <cell r="H2705" t="str">
            <v>FINCHG</v>
          </cell>
          <cell r="I2705" t="str">
            <v>LATE FEE</v>
          </cell>
        </row>
        <row r="2706">
          <cell r="H2706" t="str">
            <v>BD</v>
          </cell>
          <cell r="I2706" t="str">
            <v>BAD DEBT WRITE OFF</v>
          </cell>
        </row>
        <row r="2707">
          <cell r="H2707" t="str">
            <v>MM</v>
          </cell>
          <cell r="I2707" t="str">
            <v>ADJUST BALANCE (MM)</v>
          </cell>
        </row>
        <row r="2708">
          <cell r="H2708" t="str">
            <v>MM</v>
          </cell>
          <cell r="I2708" t="str">
            <v>ADJUST BALANCE (MM)</v>
          </cell>
        </row>
        <row r="2709">
          <cell r="H2709" t="str">
            <v>REFUND</v>
          </cell>
          <cell r="I2709" t="str">
            <v>REFUND</v>
          </cell>
        </row>
        <row r="2710">
          <cell r="H2710" t="str">
            <v>FINCHG</v>
          </cell>
          <cell r="I2710" t="str">
            <v>LATE FEE</v>
          </cell>
        </row>
        <row r="2711">
          <cell r="H2711" t="str">
            <v>MM</v>
          </cell>
          <cell r="I2711" t="str">
            <v>ADJUST BALANCE (MM)</v>
          </cell>
        </row>
        <row r="2712">
          <cell r="H2712" t="str">
            <v>MM</v>
          </cell>
          <cell r="I2712" t="str">
            <v>ADJUST BALANCE (MM)</v>
          </cell>
        </row>
        <row r="2713">
          <cell r="H2713" t="str">
            <v>ACCESS-COMM</v>
          </cell>
          <cell r="I2713" t="str">
            <v>ACCESS FEE - COMM</v>
          </cell>
        </row>
        <row r="2714">
          <cell r="H2714" t="str">
            <v>DONATIONC</v>
          </cell>
          <cell r="I2714" t="str">
            <v>DONATED SERVICE COMM</v>
          </cell>
        </row>
        <row r="2715">
          <cell r="H2715" t="str">
            <v>DRIVEIN1-COMM</v>
          </cell>
          <cell r="I2715" t="str">
            <v>DRIVE IN 125-250' - COMM</v>
          </cell>
        </row>
        <row r="2716">
          <cell r="H2716" t="str">
            <v>FL001.0Y1W001</v>
          </cell>
          <cell r="I2716" t="str">
            <v>1 YD 1X WK 1</v>
          </cell>
        </row>
        <row r="2717">
          <cell r="H2717" t="str">
            <v>FL001.5Y1W001</v>
          </cell>
          <cell r="I2717" t="str">
            <v>1.5 YD 1X WK 1</v>
          </cell>
        </row>
        <row r="2718">
          <cell r="H2718" t="str">
            <v>FL001.5Y2W001</v>
          </cell>
          <cell r="I2718" t="str">
            <v>1.5 YD 2X WK 1</v>
          </cell>
        </row>
        <row r="2719">
          <cell r="H2719" t="str">
            <v>FL002.0Y1W001</v>
          </cell>
          <cell r="I2719" t="str">
            <v>2 YD 1X WK 1</v>
          </cell>
        </row>
        <row r="2720">
          <cell r="H2720" t="str">
            <v>FL002.0Y2W001</v>
          </cell>
          <cell r="I2720" t="str">
            <v>2 YD 2X WK 1</v>
          </cell>
        </row>
        <row r="2721">
          <cell r="H2721" t="str">
            <v>FL002.0Y3W001</v>
          </cell>
          <cell r="I2721" t="str">
            <v>2 YD 3X WK 1</v>
          </cell>
        </row>
        <row r="2722">
          <cell r="H2722" t="str">
            <v>FL003.0Y1W001</v>
          </cell>
          <cell r="I2722" t="str">
            <v>3 YD 1X WK 1</v>
          </cell>
        </row>
        <row r="2723">
          <cell r="H2723" t="str">
            <v>FL003.0Y2W001</v>
          </cell>
          <cell r="I2723" t="str">
            <v>3 YD 2X WK 1</v>
          </cell>
        </row>
        <row r="2724">
          <cell r="H2724" t="str">
            <v>FL003.0Y3W001</v>
          </cell>
          <cell r="I2724" t="str">
            <v>3 YD 3X WK 1</v>
          </cell>
        </row>
        <row r="2725">
          <cell r="H2725" t="str">
            <v>FL004.0Y1W001</v>
          </cell>
          <cell r="I2725" t="str">
            <v>4 YD 1X WK 1</v>
          </cell>
        </row>
        <row r="2726">
          <cell r="H2726" t="str">
            <v>FL004.0Y2W001</v>
          </cell>
          <cell r="I2726" t="str">
            <v>4 YD 2X WK 1</v>
          </cell>
        </row>
        <row r="2727">
          <cell r="H2727" t="str">
            <v>FL004.0Y3W001</v>
          </cell>
          <cell r="I2727" t="str">
            <v>4 YD 3X WK 1</v>
          </cell>
        </row>
        <row r="2728">
          <cell r="H2728" t="str">
            <v>FL006.0Y1W001</v>
          </cell>
          <cell r="I2728" t="str">
            <v>6 YD 1X WK 1</v>
          </cell>
        </row>
        <row r="2729">
          <cell r="H2729" t="str">
            <v>FL006.0Y2W001</v>
          </cell>
          <cell r="I2729" t="str">
            <v>6 YD 2X WK 1</v>
          </cell>
        </row>
        <row r="2730">
          <cell r="H2730" t="str">
            <v>FL006.0Y4W001</v>
          </cell>
          <cell r="I2730" t="str">
            <v>6 YD 4X WK 1</v>
          </cell>
        </row>
        <row r="2731">
          <cell r="H2731" t="str">
            <v>ROLL-COMM</v>
          </cell>
          <cell r="I2731" t="str">
            <v>ROLL OUT CHARGE - COMM</v>
          </cell>
        </row>
        <row r="2732">
          <cell r="H2732" t="str">
            <v>SL065.0G1W001NORECC</v>
          </cell>
          <cell r="I2732" t="str">
            <v xml:space="preserve">65 GL 1X WK NO RECY COMM </v>
          </cell>
        </row>
        <row r="2733">
          <cell r="H2733" t="str">
            <v>SL065.0G1W001WRECC</v>
          </cell>
          <cell r="I2733" t="str">
            <v>65 GL 1X WK W/RECY COMM 1</v>
          </cell>
        </row>
        <row r="2734">
          <cell r="H2734" t="str">
            <v>SL065.0GEO001WRECC</v>
          </cell>
          <cell r="I2734" t="str">
            <v>65 GL EOW W/RECY COMM 1</v>
          </cell>
        </row>
        <row r="2735">
          <cell r="H2735" t="str">
            <v>SL095.0G1W001WRECC</v>
          </cell>
          <cell r="I2735" t="str">
            <v>95 GL 1X WK W/RECY COMM 1</v>
          </cell>
        </row>
        <row r="2736">
          <cell r="H2736" t="str">
            <v>EXTRA-COMM</v>
          </cell>
          <cell r="I2736" t="str">
            <v>EXTRA CAN, BAG, BOX - COM</v>
          </cell>
        </row>
        <row r="2737">
          <cell r="H2737" t="str">
            <v>FL002.0YXX001TEMPC</v>
          </cell>
          <cell r="I2737" t="str">
            <v xml:space="preserve">2 YD TEMP </v>
          </cell>
        </row>
        <row r="2738">
          <cell r="H2738" t="str">
            <v>RENT2TEMP-COMM</v>
          </cell>
          <cell r="I2738" t="str">
            <v>RENT 2 YD TEMP - COMM</v>
          </cell>
        </row>
        <row r="2739">
          <cell r="H2739" t="str">
            <v>ACCESSCREC-COMM</v>
          </cell>
          <cell r="I2739" t="str">
            <v>ACCESS FEE COMM RECY - CO</v>
          </cell>
        </row>
        <row r="2740">
          <cell r="H2740" t="str">
            <v>FL002.0Y1W001BCMGL</v>
          </cell>
          <cell r="I2740" t="str">
            <v>2 YD 1X WK BUS CMGL 1</v>
          </cell>
        </row>
        <row r="2741">
          <cell r="H2741" t="str">
            <v>FL002.0Y1W001BOCC</v>
          </cell>
          <cell r="I2741" t="str">
            <v>2 YD 1X WK BUS OCC 1</v>
          </cell>
        </row>
        <row r="2742">
          <cell r="H2742" t="str">
            <v>FL004.0Y2W001CMGL</v>
          </cell>
          <cell r="I2742" t="str">
            <v>4 YD 2X WK BUS CMGL 1</v>
          </cell>
        </row>
        <row r="2743">
          <cell r="H2743" t="str">
            <v>FL005.0Y1W001BOCC</v>
          </cell>
          <cell r="I2743" t="str">
            <v>5 YD 1X WK BUS OCC 1</v>
          </cell>
        </row>
        <row r="2744">
          <cell r="H2744" t="str">
            <v>FL005.0Y2W001BOCC</v>
          </cell>
          <cell r="I2744" t="str">
            <v>5 YD 2X WK BUS OCC 1</v>
          </cell>
        </row>
        <row r="2745">
          <cell r="H2745" t="str">
            <v>FL005.0Y3W001BOCC</v>
          </cell>
          <cell r="I2745" t="str">
            <v>5 YD 3X WK BUS OCC 1</v>
          </cell>
        </row>
        <row r="2746">
          <cell r="H2746" t="str">
            <v>FL006.0Y1W001BCMGL</v>
          </cell>
          <cell r="I2746" t="str">
            <v>6 YD 1X WK BUS COMINGLE 1</v>
          </cell>
        </row>
        <row r="2747">
          <cell r="H2747" t="str">
            <v>FL006.0Y2W001BCMGL</v>
          </cell>
          <cell r="I2747" t="str">
            <v>6 YD 2X WK BUS COMINGLE 1</v>
          </cell>
        </row>
        <row r="2748">
          <cell r="H2748" t="str">
            <v>FL006.0Y4W001OCC</v>
          </cell>
          <cell r="I2748" t="str">
            <v>6 YD 4X WK OCC 1</v>
          </cell>
        </row>
        <row r="2749">
          <cell r="H2749" t="str">
            <v>MFWBINS</v>
          </cell>
          <cell r="I2749" t="str">
            <v>MULTI-FAMILY REC UNIT W/B</v>
          </cell>
        </row>
        <row r="2750">
          <cell r="H2750" t="str">
            <v>SL096.0G1W001BCMGLOUT</v>
          </cell>
          <cell r="I2750" t="str">
            <v>96 GL WKLY BUS CMGL OUT</v>
          </cell>
        </row>
        <row r="2751">
          <cell r="H2751" t="str">
            <v>SL096.0GEO001BCMGLOUT</v>
          </cell>
          <cell r="I2751" t="str">
            <v>96 GL EOW BUS CMGL OUT</v>
          </cell>
        </row>
        <row r="2752">
          <cell r="H2752" t="str">
            <v>SP2SCMGL-COMM</v>
          </cell>
          <cell r="I2752" t="str">
            <v>SPECIAL P/U 2 YD SCHL CMGL</v>
          </cell>
        </row>
        <row r="2753">
          <cell r="H2753" t="str">
            <v>CC-KOL</v>
          </cell>
          <cell r="I2753" t="str">
            <v>ONLINE PAYMENT-CC</v>
          </cell>
        </row>
        <row r="2754">
          <cell r="H2754" t="str">
            <v>CCREF-KOL</v>
          </cell>
          <cell r="I2754" t="str">
            <v>CREDIT CARD REFUND</v>
          </cell>
        </row>
        <row r="2755">
          <cell r="H2755" t="str">
            <v>PAY</v>
          </cell>
          <cell r="I2755" t="str">
            <v>PAYMENT THANK YOU</v>
          </cell>
        </row>
        <row r="2756">
          <cell r="H2756" t="str">
            <v>PAY-CFREE</v>
          </cell>
          <cell r="I2756" t="str">
            <v>CHECKFREE PAYMENT</v>
          </cell>
        </row>
        <row r="2757">
          <cell r="H2757" t="str">
            <v>PAY-KOL</v>
          </cell>
          <cell r="I2757" t="str">
            <v>PAYMENT-THANK YOU - OL</v>
          </cell>
        </row>
        <row r="2758">
          <cell r="H2758" t="str">
            <v>PAY-ORCC</v>
          </cell>
          <cell r="I2758" t="str">
            <v>ORCC PAYMENT</v>
          </cell>
        </row>
        <row r="2759">
          <cell r="H2759" t="str">
            <v>PAY-RPPS</v>
          </cell>
          <cell r="I2759" t="str">
            <v>RPPS MASTERCARD PAYMENT</v>
          </cell>
        </row>
        <row r="2760">
          <cell r="H2760" t="str">
            <v>PAYAD</v>
          </cell>
          <cell r="I2760" t="str">
            <v>ADJUST PAYMENT AD</v>
          </cell>
        </row>
        <row r="2761">
          <cell r="H2761" t="str">
            <v>PAYMET</v>
          </cell>
          <cell r="I2761" t="str">
            <v>METAVANTE ONLINE PAYMENT</v>
          </cell>
        </row>
        <row r="2762">
          <cell r="H2762" t="str">
            <v>PAYUSBL</v>
          </cell>
          <cell r="I2762" t="str">
            <v>PAYMENT THANK YOU</v>
          </cell>
        </row>
        <row r="2763">
          <cell r="H2763" t="str">
            <v>RET-KOL</v>
          </cell>
          <cell r="I2763" t="str">
            <v>ONLINE PAYMENT RETURN</v>
          </cell>
        </row>
        <row r="2764">
          <cell r="H2764" t="str">
            <v>CC-KOL</v>
          </cell>
          <cell r="I2764" t="str">
            <v>ONLINE PAYMENT-CC</v>
          </cell>
        </row>
        <row r="2765">
          <cell r="H2765" t="str">
            <v>CCREF-KOL</v>
          </cell>
          <cell r="I2765" t="str">
            <v>CREDIT CARD REFUND</v>
          </cell>
        </row>
        <row r="2766">
          <cell r="H2766" t="str">
            <v>PAY</v>
          </cell>
          <cell r="I2766" t="str">
            <v>PAYMENT THANK YOU</v>
          </cell>
        </row>
        <row r="2767">
          <cell r="H2767" t="str">
            <v>PAY-CFREE</v>
          </cell>
          <cell r="I2767" t="str">
            <v>CHECKFREE PAYMENT</v>
          </cell>
        </row>
        <row r="2768">
          <cell r="H2768" t="str">
            <v>PAY-KOL</v>
          </cell>
          <cell r="I2768" t="str">
            <v>PAYMENT-THANK YOU - OL</v>
          </cell>
        </row>
        <row r="2769">
          <cell r="H2769" t="str">
            <v>PAY-ORCC</v>
          </cell>
          <cell r="I2769" t="str">
            <v>ORCC PAYMENT</v>
          </cell>
        </row>
        <row r="2770">
          <cell r="H2770" t="str">
            <v>PAY-RPPS</v>
          </cell>
          <cell r="I2770" t="str">
            <v>RPPS MASTERCARD PAYMENT</v>
          </cell>
        </row>
        <row r="2771">
          <cell r="H2771" t="str">
            <v>PAYMET</v>
          </cell>
          <cell r="I2771" t="str">
            <v>METAVANTE ONLINE PAYMENT</v>
          </cell>
        </row>
        <row r="2772">
          <cell r="H2772" t="str">
            <v>PAYUSBL</v>
          </cell>
          <cell r="I2772" t="str">
            <v>PAYMENT THANK YOU</v>
          </cell>
        </row>
        <row r="2773">
          <cell r="H2773" t="str">
            <v>RET-KOL</v>
          </cell>
          <cell r="I2773" t="str">
            <v>ONLINE PAYMENT RETURN</v>
          </cell>
        </row>
        <row r="2774">
          <cell r="H2774" t="str">
            <v>CC-KOL</v>
          </cell>
          <cell r="I2774" t="str">
            <v>ONLINE PAYMENT-CC</v>
          </cell>
        </row>
        <row r="2775">
          <cell r="H2775" t="str">
            <v>PAY</v>
          </cell>
          <cell r="I2775" t="str">
            <v>PAYMENT THANK YOU</v>
          </cell>
        </row>
        <row r="2776">
          <cell r="H2776" t="str">
            <v>PAY-CFREE</v>
          </cell>
          <cell r="I2776" t="str">
            <v>CHECKFREE PAYMENT</v>
          </cell>
        </row>
        <row r="2777">
          <cell r="H2777" t="str">
            <v>PAY-KOL</v>
          </cell>
          <cell r="I2777" t="str">
            <v>PAYMENT-THANK YOU - OL</v>
          </cell>
        </row>
        <row r="2778">
          <cell r="H2778" t="str">
            <v>PAY-NATL</v>
          </cell>
          <cell r="I2778" t="str">
            <v>PAYMENT THANK YOU</v>
          </cell>
        </row>
        <row r="2779">
          <cell r="H2779" t="str">
            <v>PAY-OAK</v>
          </cell>
          <cell r="I2779" t="str">
            <v>OAKLEAF PAYMENT</v>
          </cell>
        </row>
        <row r="2780">
          <cell r="H2780" t="str">
            <v>PAY-ORCC</v>
          </cell>
          <cell r="I2780" t="str">
            <v>ORCC PAYMENT</v>
          </cell>
        </row>
        <row r="2781">
          <cell r="H2781" t="str">
            <v>PAY-RPPS</v>
          </cell>
          <cell r="I2781" t="str">
            <v>RPPS MASTERCARD PAYMENT</v>
          </cell>
        </row>
        <row r="2782">
          <cell r="H2782" t="str">
            <v>PAYMET</v>
          </cell>
          <cell r="I2782" t="str">
            <v>METAVANTE ONLINE PAYMENT</v>
          </cell>
        </row>
        <row r="2783">
          <cell r="H2783" t="str">
            <v>PAYUSBL</v>
          </cell>
          <cell r="I2783" t="str">
            <v>PAYMENT THANK YOU</v>
          </cell>
        </row>
        <row r="2784">
          <cell r="H2784" t="str">
            <v>GWRES</v>
          </cell>
          <cell r="I2784" t="str">
            <v>GREENWASTE SERVICE - RES</v>
          </cell>
        </row>
        <row r="2785">
          <cell r="H2785" t="str">
            <v>S45G1W1</v>
          </cell>
          <cell r="I2785" t="str">
            <v>45 GL 1X WK 1</v>
          </cell>
        </row>
        <row r="2786">
          <cell r="H2786" t="str">
            <v>S45G1W2</v>
          </cell>
          <cell r="I2786" t="str">
            <v>45 GL 1X WK 2</v>
          </cell>
        </row>
        <row r="2787">
          <cell r="H2787" t="str">
            <v>S45GEO1</v>
          </cell>
          <cell r="I2787" t="str">
            <v>45 GL EOW 1</v>
          </cell>
        </row>
        <row r="2788">
          <cell r="H2788" t="str">
            <v>SL065.0G1W001WREC</v>
          </cell>
          <cell r="I2788" t="str">
            <v>65 GL 1X WK W/RECY 1</v>
          </cell>
        </row>
        <row r="2789">
          <cell r="H2789" t="str">
            <v>SL095.0G1W001WREC</v>
          </cell>
          <cell r="I2789" t="str">
            <v>95 GL 1X WK W/RECY 1</v>
          </cell>
        </row>
        <row r="2790">
          <cell r="H2790" t="str">
            <v>EXTRA-RES</v>
          </cell>
          <cell r="I2790" t="str">
            <v>EXTRA CAN, BAG, BOX - RES</v>
          </cell>
        </row>
        <row r="2791">
          <cell r="H2791" t="str">
            <v>OC-RES</v>
          </cell>
          <cell r="I2791" t="str">
            <v>ON CALL SERVICE - RES</v>
          </cell>
        </row>
        <row r="2792">
          <cell r="H2792" t="str">
            <v>OW-RES</v>
          </cell>
          <cell r="I2792" t="str">
            <v>OVERFILL / OVERWEIGHT CAN</v>
          </cell>
        </row>
        <row r="2793">
          <cell r="H2793" t="str">
            <v>REINSTATE-RES</v>
          </cell>
          <cell r="I2793" t="str">
            <v>REINSTATE FEE - RES</v>
          </cell>
        </row>
        <row r="2794">
          <cell r="H2794" t="str">
            <v>S45G1W1</v>
          </cell>
          <cell r="I2794" t="str">
            <v>45 GL 1X WK 1</v>
          </cell>
        </row>
        <row r="2795">
          <cell r="H2795" t="str">
            <v>S45GEO1</v>
          </cell>
          <cell r="I2795" t="str">
            <v>45 GL EOW 1</v>
          </cell>
        </row>
        <row r="2796">
          <cell r="H2796" t="str">
            <v>SL065.0G1W001WREC</v>
          </cell>
          <cell r="I2796" t="str">
            <v>65 GL 1X WK W/RECY 1</v>
          </cell>
        </row>
        <row r="2797">
          <cell r="H2797" t="str">
            <v>GWRES</v>
          </cell>
          <cell r="I2797" t="str">
            <v>GREENWASTE SERVICE - RES</v>
          </cell>
        </row>
        <row r="2798">
          <cell r="H2798" t="str">
            <v>RECBINONLYR</v>
          </cell>
          <cell r="I2798" t="str">
            <v>RECYCLE SERVICE ONLY</v>
          </cell>
        </row>
        <row r="2799">
          <cell r="H2799" t="str">
            <v>S45G1W1</v>
          </cell>
          <cell r="I2799" t="str">
            <v>45 GL 1X WK 1</v>
          </cell>
        </row>
        <row r="2800">
          <cell r="H2800" t="str">
            <v>S45G1W2</v>
          </cell>
          <cell r="I2800" t="str">
            <v>45 GL 1X WK 2</v>
          </cell>
        </row>
        <row r="2801">
          <cell r="H2801" t="str">
            <v>S45G1W3</v>
          </cell>
          <cell r="I2801" t="str">
            <v>45 GL 1X WK 3</v>
          </cell>
        </row>
        <row r="2802">
          <cell r="H2802" t="str">
            <v>S45GEO1</v>
          </cell>
          <cell r="I2802" t="str">
            <v>45 GL EOW 1</v>
          </cell>
        </row>
        <row r="2803">
          <cell r="H2803" t="str">
            <v>SL020.0G1W001</v>
          </cell>
          <cell r="I2803" t="str">
            <v>20 GL 1X WK 1</v>
          </cell>
        </row>
        <row r="2804">
          <cell r="H2804" t="str">
            <v>SL065.0G1W001WREC</v>
          </cell>
          <cell r="I2804" t="str">
            <v>65 GL 1X WK W/RECY 1</v>
          </cell>
        </row>
        <row r="2805">
          <cell r="H2805" t="str">
            <v>SL095.0G1W001WREC</v>
          </cell>
          <cell r="I2805" t="str">
            <v>95 GL 1X WK W/RECY 1</v>
          </cell>
        </row>
        <row r="2806">
          <cell r="H2806" t="str">
            <v>EXTRA-RES</v>
          </cell>
          <cell r="I2806" t="str">
            <v>EXTRA CAN, BAG, BOX - RES</v>
          </cell>
        </row>
        <row r="2807">
          <cell r="H2807" t="str">
            <v>OW-RES</v>
          </cell>
          <cell r="I2807" t="str">
            <v>OVERFILL / OVERWEIGHT CAN</v>
          </cell>
        </row>
        <row r="2808">
          <cell r="H2808" t="str">
            <v>REINSTATE-RES</v>
          </cell>
          <cell r="I2808" t="str">
            <v>REINSTATE FEE - RES</v>
          </cell>
        </row>
        <row r="2809">
          <cell r="H2809" t="str">
            <v>OW-RES</v>
          </cell>
          <cell r="I2809" t="str">
            <v>OVERFILL / OVERWEIGHT CAN</v>
          </cell>
        </row>
        <row r="2810">
          <cell r="H2810" t="str">
            <v>LIDRO</v>
          </cell>
          <cell r="I2810" t="str">
            <v>LID CHARGE - RO</v>
          </cell>
        </row>
        <row r="2811">
          <cell r="H2811" t="str">
            <v>RENT20MO-RO</v>
          </cell>
          <cell r="I2811" t="str">
            <v>RENTAL FEE 20 YD MONTHLY</v>
          </cell>
        </row>
        <row r="2812">
          <cell r="H2812" t="str">
            <v>RENT30MO-RO</v>
          </cell>
          <cell r="I2812" t="str">
            <v>RENTAL FEE 30 YD MONTHLY</v>
          </cell>
        </row>
        <row r="2813">
          <cell r="H2813" t="str">
            <v>RENT40MO-RO</v>
          </cell>
          <cell r="I2813" t="str">
            <v>RENTAL FEE 40 YD MONTHLY</v>
          </cell>
        </row>
        <row r="2814">
          <cell r="H2814" t="str">
            <v>CLEAN25-RO</v>
          </cell>
          <cell r="I2814" t="str">
            <v>CLEANING FEE 25 YD - RO</v>
          </cell>
        </row>
        <row r="2815">
          <cell r="H2815" t="str">
            <v>DEL30TEMP-RO</v>
          </cell>
          <cell r="I2815" t="str">
            <v>DELIVERY FEE 30 YD TEMP -</v>
          </cell>
        </row>
        <row r="2816">
          <cell r="H2816" t="str">
            <v>DEL40-RO</v>
          </cell>
          <cell r="I2816" t="str">
            <v>DELIVERY FEE 40 YD - RO</v>
          </cell>
        </row>
        <row r="2817">
          <cell r="H2817" t="str">
            <v>DISCO-CP</v>
          </cell>
          <cell r="I2817" t="str">
            <v xml:space="preserve">COMPACTOR DISCONNECT FEE </v>
          </cell>
        </row>
        <row r="2818">
          <cell r="H2818" t="str">
            <v>DISP-RO</v>
          </cell>
          <cell r="I2818" t="str">
            <v>DISPOSAL CHARGE - RO</v>
          </cell>
        </row>
        <row r="2819">
          <cell r="H2819" t="str">
            <v>DISPTRANS-RO</v>
          </cell>
          <cell r="I2819" t="str">
            <v>DISPOSAL FEE TRANSFER HAU</v>
          </cell>
        </row>
        <row r="2820">
          <cell r="H2820" t="str">
            <v>HAUL20-CP</v>
          </cell>
          <cell r="I2820" t="str">
            <v>COMPACTOR HAUL 20 YD - RO</v>
          </cell>
        </row>
        <row r="2821">
          <cell r="H2821" t="str">
            <v>HAUL20-RO</v>
          </cell>
          <cell r="I2821" t="str">
            <v>HAUL 20 YD - RO</v>
          </cell>
        </row>
        <row r="2822">
          <cell r="H2822" t="str">
            <v>HAUL25-CP</v>
          </cell>
          <cell r="I2822" t="str">
            <v>COMPACTOR HAUL 25 YD - RO</v>
          </cell>
        </row>
        <row r="2823">
          <cell r="H2823" t="str">
            <v>HAUL30-RO</v>
          </cell>
          <cell r="I2823" t="str">
            <v>HAUL 30 YD - RO</v>
          </cell>
        </row>
        <row r="2824">
          <cell r="H2824" t="str">
            <v>HAUL40-CP</v>
          </cell>
          <cell r="I2824" t="str">
            <v>COMPACTOR HAUL 40 YD</v>
          </cell>
        </row>
        <row r="2825">
          <cell r="H2825" t="str">
            <v>HAUL40-RO</v>
          </cell>
          <cell r="I2825" t="str">
            <v>HAUL 40 YD - RO</v>
          </cell>
        </row>
        <row r="2826">
          <cell r="H2826" t="str">
            <v>MILE-RO</v>
          </cell>
          <cell r="I2826" t="str">
            <v>MILEAGE FEE - RO</v>
          </cell>
        </row>
        <row r="2827">
          <cell r="H2827" t="str">
            <v>RENT30TEMP-RO</v>
          </cell>
          <cell r="I2827" t="str">
            <v>RENTAL FEE 30 YD TEMP - R</v>
          </cell>
        </row>
        <row r="2828">
          <cell r="H2828" t="str">
            <v>RTRNTRIP-RO</v>
          </cell>
          <cell r="I2828" t="str">
            <v>RETURN TRIP FEE - RO</v>
          </cell>
        </row>
        <row r="2829">
          <cell r="H2829" t="str">
            <v>DISPCMGL-RO</v>
          </cell>
          <cell r="I2829" t="str">
            <v xml:space="preserve">DISPOSAL FEE COMMINGLE - </v>
          </cell>
        </row>
        <row r="2830">
          <cell r="H2830" t="str">
            <v>DISPGLASS-RO</v>
          </cell>
          <cell r="I2830" t="str">
            <v>DISPOSAL FEE GLASS - RO</v>
          </cell>
        </row>
        <row r="2831">
          <cell r="H2831" t="str">
            <v>DISPOCC-RO</v>
          </cell>
          <cell r="I2831" t="str">
            <v xml:space="preserve">DISPOSAL FEE CARDBOARD - </v>
          </cell>
        </row>
        <row r="2832">
          <cell r="H2832" t="str">
            <v>HAUL30-RO</v>
          </cell>
          <cell r="I2832" t="str">
            <v>HAUL 30 YD - RO</v>
          </cell>
        </row>
        <row r="2833">
          <cell r="H2833" t="str">
            <v>COMMODITY SURCHARGE</v>
          </cell>
          <cell r="I2833" t="str">
            <v>COMMODITY SURCHARGE</v>
          </cell>
        </row>
        <row r="2834">
          <cell r="H2834" t="str">
            <v>COMMODITY SURCHARGE</v>
          </cell>
          <cell r="I2834" t="str">
            <v>COMMODITY SURCHARGE</v>
          </cell>
        </row>
        <row r="2835">
          <cell r="H2835" t="str">
            <v>DUPONT CITY UTILITY TAX</v>
          </cell>
          <cell r="I2835" t="str">
            <v>8% CITY UTILITY TAX</v>
          </cell>
        </row>
        <row r="2836">
          <cell r="H2836" t="str">
            <v>DUPONT REFUSE TAX</v>
          </cell>
          <cell r="I2836" t="str">
            <v>3.6% WA STATE REFUSE TAX</v>
          </cell>
        </row>
        <row r="2837">
          <cell r="H2837" t="str">
            <v>DUPONT CITY ONLY</v>
          </cell>
          <cell r="I2837" t="str">
            <v>8% CITY UTILITY TAX</v>
          </cell>
        </row>
        <row r="2838">
          <cell r="H2838" t="str">
            <v>DUPONT CITY UTILITY TAX</v>
          </cell>
          <cell r="I2838" t="str">
            <v>8% CITY UTILITY TAX</v>
          </cell>
        </row>
        <row r="2839">
          <cell r="H2839" t="str">
            <v>DUPONT REFUSE TAX</v>
          </cell>
          <cell r="I2839" t="str">
            <v>3.6% WA STATE REFUSE TAX</v>
          </cell>
        </row>
        <row r="2840">
          <cell r="H2840" t="str">
            <v>DUPONT STATE SALES TAX</v>
          </cell>
          <cell r="I2840" t="str">
            <v>9.3% WA STATE SALES TAX</v>
          </cell>
        </row>
        <row r="2841">
          <cell r="H2841" t="str">
            <v>DUPONT CITY UTILITY TAX</v>
          </cell>
          <cell r="I2841" t="str">
            <v>8% CITY UTILITY TAX</v>
          </cell>
        </row>
        <row r="2842">
          <cell r="H2842" t="str">
            <v>DUPONT REFUSE TAX</v>
          </cell>
          <cell r="I2842" t="str">
            <v>3.6% WA STATE REFUSE TAX</v>
          </cell>
        </row>
        <row r="2843">
          <cell r="H2843" t="str">
            <v>DUPONT STATE SALES TAX</v>
          </cell>
          <cell r="I2843" t="str">
            <v>9.3% WA STATE SALES TAX</v>
          </cell>
        </row>
        <row r="2844">
          <cell r="H2844" t="str">
            <v>DUPONT CITY UTILITY TAX</v>
          </cell>
          <cell r="I2844" t="str">
            <v>8% CITY UTILITY TAX</v>
          </cell>
        </row>
        <row r="2845">
          <cell r="H2845" t="str">
            <v>DUPONT REFUSE TAX</v>
          </cell>
          <cell r="I2845" t="str">
            <v>3.6% WA STATE REFUSE TAX</v>
          </cell>
        </row>
        <row r="2846">
          <cell r="H2846" t="str">
            <v>DUPONT CITY UTILITY TAX</v>
          </cell>
          <cell r="I2846" t="str">
            <v>8% CITY UTILITY TAX</v>
          </cell>
        </row>
        <row r="2847">
          <cell r="H2847" t="str">
            <v>DUPONT REFUSE TAX</v>
          </cell>
          <cell r="I2847" t="str">
            <v>3.6% WA STATE REFUSE TAX</v>
          </cell>
        </row>
        <row r="2848">
          <cell r="H2848" t="str">
            <v>DUPONT CITY ONLY</v>
          </cell>
          <cell r="I2848" t="str">
            <v>8% CITY UTILITY TAX</v>
          </cell>
        </row>
        <row r="2849">
          <cell r="H2849" t="str">
            <v>DUPONT CITY UTILITY TAX</v>
          </cell>
          <cell r="I2849" t="str">
            <v>8% CITY UTILITY TAX</v>
          </cell>
        </row>
        <row r="2850">
          <cell r="H2850" t="str">
            <v>DUPONT REFUSE TAX</v>
          </cell>
          <cell r="I2850" t="str">
            <v>3.6% WA STATE REFUSE TAX</v>
          </cell>
        </row>
        <row r="2851">
          <cell r="H2851" t="str">
            <v>DUPONT STATE SALES TAX</v>
          </cell>
          <cell r="I2851" t="str">
            <v>9.3% WA STATE SALES TAX</v>
          </cell>
        </row>
        <row r="2852">
          <cell r="H2852" t="str">
            <v>DUPONT CITY UTILITY TAX</v>
          </cell>
          <cell r="I2852" t="str">
            <v>8% CITY UTILITY TAX</v>
          </cell>
        </row>
        <row r="2853">
          <cell r="H2853" t="str">
            <v>DUPONT REFUSE TAX</v>
          </cell>
          <cell r="I2853" t="str">
            <v>3.6% WA STATE REFUSE TAX</v>
          </cell>
        </row>
        <row r="2854">
          <cell r="H2854" t="str">
            <v>MM</v>
          </cell>
          <cell r="I2854" t="str">
            <v>ADJUST BALANCE (MM)</v>
          </cell>
        </row>
        <row r="2855">
          <cell r="H2855" t="str">
            <v>FINCHG</v>
          </cell>
          <cell r="I2855" t="str">
            <v>LATE FEE</v>
          </cell>
        </row>
        <row r="2856">
          <cell r="H2856" t="str">
            <v>ACCESS-COMM</v>
          </cell>
          <cell r="I2856" t="str">
            <v>ACCESS FEE - COMM</v>
          </cell>
        </row>
        <row r="2857">
          <cell r="H2857" t="str">
            <v>DONATIONC</v>
          </cell>
          <cell r="I2857" t="str">
            <v>DONATED SERVICE COMM</v>
          </cell>
        </row>
        <row r="2858">
          <cell r="H2858" t="str">
            <v>FL001.0Y1W001</v>
          </cell>
          <cell r="I2858" t="str">
            <v>1 YD 1X WK 1</v>
          </cell>
        </row>
        <row r="2859">
          <cell r="H2859" t="str">
            <v>FL001.0Y2W001</v>
          </cell>
          <cell r="I2859" t="str">
            <v>1 YD 2X WK 1</v>
          </cell>
        </row>
        <row r="2860">
          <cell r="H2860" t="str">
            <v>FL001.5Y1W001</v>
          </cell>
          <cell r="I2860" t="str">
            <v>1.5 YD 1X WK 1</v>
          </cell>
        </row>
        <row r="2861">
          <cell r="H2861" t="str">
            <v>FL001.5Y2W001</v>
          </cell>
          <cell r="I2861" t="str">
            <v>1.5 YD 2X WK 1</v>
          </cell>
        </row>
        <row r="2862">
          <cell r="H2862" t="str">
            <v>FL002.0Y1W001</v>
          </cell>
          <cell r="I2862" t="str">
            <v>2 YD 1X WK 1</v>
          </cell>
        </row>
        <row r="2863">
          <cell r="H2863" t="str">
            <v>FL002.0Y2W001</v>
          </cell>
          <cell r="I2863" t="str">
            <v>2 YD 2X WK 1</v>
          </cell>
        </row>
        <row r="2864">
          <cell r="H2864" t="str">
            <v>GWCOMM</v>
          </cell>
          <cell r="I2864" t="str">
            <v>GREENWASTE SERVICE - COMM</v>
          </cell>
        </row>
        <row r="2865">
          <cell r="H2865" t="str">
            <v>RL001.0Y1W001</v>
          </cell>
          <cell r="I2865" t="str">
            <v>1 YD 1X WK 1</v>
          </cell>
        </row>
        <row r="2866">
          <cell r="H2866" t="str">
            <v>RL001.5Y1W001</v>
          </cell>
          <cell r="I2866" t="str">
            <v>1.5 YD 1X WK 1</v>
          </cell>
        </row>
        <row r="2867">
          <cell r="H2867" t="str">
            <v>SL035.0G1M001WRECC</v>
          </cell>
          <cell r="I2867" t="str">
            <v>35 GL 1X MO W/RECY COMM 1</v>
          </cell>
        </row>
        <row r="2868">
          <cell r="H2868" t="str">
            <v>SL065.0G1M001WRECC</v>
          </cell>
          <cell r="I2868" t="str">
            <v>65 GL 1X MO W/RECY COMM 1</v>
          </cell>
        </row>
        <row r="2869">
          <cell r="H2869" t="str">
            <v>SL065.0G1W001WRECC</v>
          </cell>
          <cell r="I2869" t="str">
            <v>65 GL 1X WK W/RECY COMM 1</v>
          </cell>
        </row>
        <row r="2870">
          <cell r="H2870" t="str">
            <v>SL065.0GEO001WRECC</v>
          </cell>
          <cell r="I2870" t="str">
            <v>65 GL EOW W/RECY COMM 1</v>
          </cell>
        </row>
        <row r="2871">
          <cell r="H2871" t="str">
            <v>SL095.0G1W001NORECC</v>
          </cell>
          <cell r="I2871" t="str">
            <v xml:space="preserve">95 GL 1X WK NO RECY COMM </v>
          </cell>
        </row>
        <row r="2872">
          <cell r="H2872" t="str">
            <v>SL095.0G1W001WRECC</v>
          </cell>
          <cell r="I2872" t="str">
            <v>95 GL 1X WK W/RECY COMM 1</v>
          </cell>
        </row>
        <row r="2873">
          <cell r="H2873" t="str">
            <v>SL095.0GEO001WRECC</v>
          </cell>
          <cell r="I2873" t="str">
            <v>95 GL EOW W/RECY COMM 1</v>
          </cell>
        </row>
        <row r="2874">
          <cell r="H2874" t="str">
            <v>EXTRA-COMM</v>
          </cell>
          <cell r="I2874" t="str">
            <v>EXTRA CAN, BAG, BOX - COM</v>
          </cell>
        </row>
        <row r="2875">
          <cell r="H2875" t="str">
            <v>ACCESSCREC-COMM</v>
          </cell>
          <cell r="I2875" t="str">
            <v>ACCESS FEE COMM RECY - CO</v>
          </cell>
        </row>
        <row r="2876">
          <cell r="H2876" t="str">
            <v>FL002.0Y1W001BOCC</v>
          </cell>
          <cell r="I2876" t="str">
            <v>2 YD 1X WK BUS OCC 1</v>
          </cell>
        </row>
        <row r="2877">
          <cell r="H2877" t="str">
            <v>FL002.0Y2W001SCMGL</v>
          </cell>
          <cell r="I2877" t="str">
            <v>2 YD 2X WK SCHL CMGL 1</v>
          </cell>
        </row>
        <row r="2878">
          <cell r="H2878" t="str">
            <v>FL005.0Y1W001BOCC</v>
          </cell>
          <cell r="I2878" t="str">
            <v>5 YD 1X WK BUS OCC 1</v>
          </cell>
        </row>
        <row r="2879">
          <cell r="H2879" t="str">
            <v>FL006.0Y1W001SCMGL</v>
          </cell>
          <cell r="I2879" t="str">
            <v>6 YD 1X WK SCHL CMGL 1</v>
          </cell>
        </row>
        <row r="2880">
          <cell r="H2880" t="str">
            <v>SL096.0GEO001BCMGLIN</v>
          </cell>
          <cell r="I2880" t="str">
            <v>96 GL EOW BUS CMGL IN</v>
          </cell>
        </row>
        <row r="2881">
          <cell r="H2881" t="str">
            <v>SL096.0GEO001BCMGLOUT</v>
          </cell>
          <cell r="I2881" t="str">
            <v>96 GL EOW BUS CMGL OUT</v>
          </cell>
        </row>
        <row r="2882">
          <cell r="H2882" t="str">
            <v>SL096.0GEO001SCMGLOUT</v>
          </cell>
          <cell r="I2882" t="str">
            <v>96 GL EOW SCHL CMGL OUT</v>
          </cell>
        </row>
        <row r="2883">
          <cell r="H2883" t="str">
            <v>CCREF-KOL</v>
          </cell>
          <cell r="I2883" t="str">
            <v>CREDIT CARD REFUND</v>
          </cell>
        </row>
        <row r="2884">
          <cell r="H2884" t="str">
            <v>PAYUSBL</v>
          </cell>
          <cell r="I2884" t="str">
            <v>PAYMENT THANK YOU</v>
          </cell>
        </row>
        <row r="2885">
          <cell r="H2885" t="str">
            <v>GWRES</v>
          </cell>
          <cell r="I2885" t="str">
            <v>GREENWASTE SERVICE - RES</v>
          </cell>
        </row>
        <row r="2886">
          <cell r="H2886" t="str">
            <v>RECBINONLYR</v>
          </cell>
          <cell r="I2886" t="str">
            <v>RECYCLE SERVICE ONLY</v>
          </cell>
        </row>
        <row r="2887">
          <cell r="H2887" t="str">
            <v>SL035.0G1M001WREC</v>
          </cell>
          <cell r="I2887" t="str">
            <v>35 GL 1X MO W/RECY 1</v>
          </cell>
        </row>
        <row r="2888">
          <cell r="H2888" t="str">
            <v>SL065.0G1M001NOREC</v>
          </cell>
          <cell r="I2888" t="str">
            <v>65 GL 1X MO NO RECY 1</v>
          </cell>
        </row>
        <row r="2889">
          <cell r="H2889" t="str">
            <v>SL065.0G1M001WREC</v>
          </cell>
          <cell r="I2889" t="str">
            <v>65 GL 1X MO W/RECY 1</v>
          </cell>
        </row>
        <row r="2890">
          <cell r="H2890" t="str">
            <v>SL065.0G1W001WREC</v>
          </cell>
          <cell r="I2890" t="str">
            <v>65 GL 1X WK W/RECY 1</v>
          </cell>
        </row>
        <row r="2891">
          <cell r="H2891" t="str">
            <v>SL065.0GEO001</v>
          </cell>
          <cell r="I2891" t="str">
            <v>65 GL EOW 1</v>
          </cell>
        </row>
        <row r="2892">
          <cell r="H2892" t="str">
            <v>SL065.0GEO001WREC</v>
          </cell>
          <cell r="I2892" t="str">
            <v>65 GL EOW W/RECY 1</v>
          </cell>
        </row>
        <row r="2893">
          <cell r="H2893" t="str">
            <v>SL095.0G1W001WREC</v>
          </cell>
          <cell r="I2893" t="str">
            <v>95 GL 1X WK W/RECY 1</v>
          </cell>
        </row>
        <row r="2894">
          <cell r="H2894" t="str">
            <v>SL095.0GEO001</v>
          </cell>
          <cell r="I2894" t="str">
            <v>95 GL EOW 1</v>
          </cell>
        </row>
        <row r="2895">
          <cell r="H2895" t="str">
            <v>SL095.0GEO001WREC</v>
          </cell>
          <cell r="I2895" t="str">
            <v>95 GL EOW W/RECY 1</v>
          </cell>
        </row>
        <row r="2896">
          <cell r="H2896" t="str">
            <v>EXTRA-RES</v>
          </cell>
          <cell r="I2896" t="str">
            <v>EXTRA CAN, BAG, BOX - RES</v>
          </cell>
        </row>
        <row r="2897">
          <cell r="H2897" t="str">
            <v>OW-RES</v>
          </cell>
          <cell r="I2897" t="str">
            <v>OVERFILL / OVERWEIGHT CAN</v>
          </cell>
        </row>
        <row r="2898">
          <cell r="H2898" t="str">
            <v>DONATIONRO</v>
          </cell>
          <cell r="I2898" t="str">
            <v>DONATED SERVICE ROLL OFF</v>
          </cell>
        </row>
        <row r="2899">
          <cell r="H2899" t="str">
            <v>RENT30MO-RO</v>
          </cell>
          <cell r="I2899" t="str">
            <v>RENTAL FEE 30 YD MONTHLY</v>
          </cell>
        </row>
        <row r="2900">
          <cell r="H2900" t="str">
            <v>DISCO-CP</v>
          </cell>
          <cell r="I2900" t="str">
            <v xml:space="preserve">COMPACTOR DISCONNECT FEE </v>
          </cell>
        </row>
        <row r="2901">
          <cell r="H2901" t="str">
            <v>DISP-RO</v>
          </cell>
          <cell r="I2901" t="str">
            <v>DISPOSAL CHARGE - RO</v>
          </cell>
        </row>
        <row r="2902">
          <cell r="H2902" t="str">
            <v>DISPOCC-RO</v>
          </cell>
          <cell r="I2902" t="str">
            <v xml:space="preserve">DISPOSAL FEE CARDBOARD - </v>
          </cell>
        </row>
        <row r="2903">
          <cell r="H2903" t="str">
            <v>HAUL30-CP</v>
          </cell>
          <cell r="I2903" t="str">
            <v>COMPACTOR HAUL 30 YD</v>
          </cell>
        </row>
        <row r="2904">
          <cell r="H2904" t="str">
            <v>HAUL30-RO</v>
          </cell>
          <cell r="I2904" t="str">
            <v>HAUL 30 YD - RO</v>
          </cell>
        </row>
        <row r="2905">
          <cell r="H2905" t="str">
            <v>MILE-RO</v>
          </cell>
          <cell r="I2905" t="str">
            <v>MILEAGE FEE - RO</v>
          </cell>
        </row>
        <row r="2906">
          <cell r="H2906" t="str">
            <v>COMMODITY SURCHARGE</v>
          </cell>
          <cell r="I2906" t="str">
            <v>COMMODITY SURCHARGE</v>
          </cell>
        </row>
        <row r="2907">
          <cell r="H2907" t="str">
            <v>FINCHG</v>
          </cell>
          <cell r="I2907" t="str">
            <v>LATE FEE</v>
          </cell>
        </row>
        <row r="2908">
          <cell r="H2908" t="str">
            <v>BDR</v>
          </cell>
          <cell r="I2908" t="str">
            <v>BAD DEBT RECOVERY</v>
          </cell>
        </row>
        <row r="2909">
          <cell r="H2909" t="str">
            <v>COLLFEE</v>
          </cell>
          <cell r="I2909" t="str">
            <v>COLLECTION AGENCY FEE</v>
          </cell>
        </row>
        <row r="2910">
          <cell r="H2910" t="str">
            <v>FL004.0Y2W001MF</v>
          </cell>
          <cell r="I2910" t="str">
            <v>4 YD 2X WK MULTI-FAMILY 1</v>
          </cell>
        </row>
        <row r="2911">
          <cell r="H2911" t="str">
            <v>FL006.0Y1W001MF</v>
          </cell>
          <cell r="I2911" t="str">
            <v>6 YD 1X WK MULTI-FAMILY 1</v>
          </cell>
        </row>
        <row r="2912">
          <cell r="H2912" t="str">
            <v>FL006.0Y2W001MF</v>
          </cell>
          <cell r="I2912" t="str">
            <v>6 YD 2X WK MULTI-FAMILY 1</v>
          </cell>
        </row>
        <row r="2913">
          <cell r="H2913" t="str">
            <v>SL065.0G1W001NORECC</v>
          </cell>
          <cell r="I2913" t="str">
            <v xml:space="preserve">65 GL 1X WK NO RECY COMM </v>
          </cell>
        </row>
        <row r="2914">
          <cell r="H2914" t="str">
            <v>SL096.0G1M001BCMGLOUT</v>
          </cell>
          <cell r="I2914" t="str">
            <v>96 GL MTHLY BUS CMGL OUT</v>
          </cell>
        </row>
        <row r="2915">
          <cell r="H2915" t="str">
            <v>MFWBINS</v>
          </cell>
          <cell r="I2915" t="str">
            <v>MULTI-FAMILY REC UNIT W/B</v>
          </cell>
        </row>
        <row r="2916">
          <cell r="H2916" t="str">
            <v>CC-KOL</v>
          </cell>
          <cell r="I2916" t="str">
            <v>ONLINE PAYMENT-CC</v>
          </cell>
        </row>
        <row r="2917">
          <cell r="H2917" t="str">
            <v>PAY</v>
          </cell>
          <cell r="I2917" t="str">
            <v>PAYMENT THANK YOU</v>
          </cell>
        </row>
        <row r="2918">
          <cell r="H2918" t="str">
            <v>PAY-KOL</v>
          </cell>
          <cell r="I2918" t="str">
            <v>PAYMENT-THANK YOU - OL</v>
          </cell>
        </row>
        <row r="2919">
          <cell r="H2919" t="str">
            <v>RECBINONLYR</v>
          </cell>
          <cell r="I2919" t="str">
            <v>RECYCLE SERVICE ONLY</v>
          </cell>
        </row>
        <row r="2920">
          <cell r="H2920" t="str">
            <v>RECVALRES</v>
          </cell>
          <cell r="I2920" t="str">
            <v>RECYCLABLES VALUE - RES</v>
          </cell>
        </row>
        <row r="2921">
          <cell r="H2921" t="str">
            <v>SL065.0G1W001WREC</v>
          </cell>
          <cell r="I2921" t="str">
            <v>65 GL 1X WK W/RECY 1</v>
          </cell>
        </row>
        <row r="2922">
          <cell r="H2922" t="str">
            <v>SL095.0G1W001WREC</v>
          </cell>
          <cell r="I2922" t="str">
            <v>95 GL 1X WK W/RECY 1</v>
          </cell>
        </row>
        <row r="2923">
          <cell r="H2923" t="str">
            <v>DISPFEDMSW-RES</v>
          </cell>
          <cell r="I2923" t="str">
            <v>DISPOSAL FEDERAL MSW - RE</v>
          </cell>
        </row>
        <row r="2924">
          <cell r="H2924" t="str">
            <v>GWRES</v>
          </cell>
          <cell r="I2924" t="str">
            <v>GREENWASTE SERVICE - RES</v>
          </cell>
        </row>
        <row r="2925">
          <cell r="H2925" t="str">
            <v>RECPROGADJ-RES</v>
          </cell>
          <cell r="I2925" t="str">
            <v>RECYCLING PROGRAM ADJUSTM</v>
          </cell>
        </row>
        <row r="2926">
          <cell r="H2926" t="str">
            <v>RECVALRES</v>
          </cell>
          <cell r="I2926" t="str">
            <v>RECYCLABLES VALUE - RES</v>
          </cell>
        </row>
        <row r="2927">
          <cell r="H2927" t="str">
            <v>SL065.0G1W001WREC</v>
          </cell>
          <cell r="I2927" t="str">
            <v>65 GL 1X WK W/RECY 1</v>
          </cell>
        </row>
        <row r="2928">
          <cell r="H2928" t="str">
            <v>SL095.0G1W001WREC</v>
          </cell>
          <cell r="I2928" t="str">
            <v>95 GL 1X WK W/RECY 1</v>
          </cell>
        </row>
        <row r="2929">
          <cell r="H2929" t="str">
            <v>TIME-RES</v>
          </cell>
          <cell r="I2929" t="str">
            <v>TIME FEE 1 - RES</v>
          </cell>
        </row>
        <row r="2930">
          <cell r="H2930" t="str">
            <v>RENT20MO-RO</v>
          </cell>
          <cell r="I2930" t="str">
            <v>RENTAL FEE 20 YD MONTHLY</v>
          </cell>
        </row>
        <row r="2931">
          <cell r="H2931" t="str">
            <v>RENT30MO-RO</v>
          </cell>
          <cell r="I2931" t="str">
            <v>RENTAL FEE 30 YD MONTHLY</v>
          </cell>
        </row>
        <row r="2932">
          <cell r="H2932" t="str">
            <v>RENT40MO-RO</v>
          </cell>
          <cell r="I2932" t="str">
            <v>RENTAL FEE 40 YD MONTHLY</v>
          </cell>
        </row>
        <row r="2933">
          <cell r="H2933" t="str">
            <v>DISPFEDMSW-RO</v>
          </cell>
          <cell r="I2933" t="str">
            <v xml:space="preserve">DISPOSAL FEE FEDERAL MSW </v>
          </cell>
        </row>
        <row r="2934">
          <cell r="H2934" t="str">
            <v>HAUL20-RO</v>
          </cell>
          <cell r="I2934" t="str">
            <v>HAUL 20 YD - RO</v>
          </cell>
        </row>
        <row r="2935">
          <cell r="H2935" t="str">
            <v>HAUL30-RO</v>
          </cell>
          <cell r="I2935" t="str">
            <v>HAUL 30 YD - RO</v>
          </cell>
        </row>
        <row r="2936">
          <cell r="H2936" t="str">
            <v>HAUL40-RO</v>
          </cell>
          <cell r="I2936" t="str">
            <v>HAUL 40 YD - RO</v>
          </cell>
        </row>
        <row r="2937">
          <cell r="H2937" t="str">
            <v>MILE-RO</v>
          </cell>
          <cell r="I2937" t="str">
            <v>MILEAGE FEE - RO</v>
          </cell>
        </row>
        <row r="2938">
          <cell r="H2938" t="str">
            <v>FT LEWIS REFUSE TAX</v>
          </cell>
          <cell r="I2938" t="str">
            <v>3.6% WA STATE REFUSE TAX</v>
          </cell>
        </row>
        <row r="2939">
          <cell r="H2939" t="str">
            <v>FT LEWIS STATE SALES TAX</v>
          </cell>
          <cell r="I2939" t="str">
            <v>9.3% WA STATE SALES TAX</v>
          </cell>
        </row>
        <row r="2940">
          <cell r="H2940" t="str">
            <v>FT LEWIS REFUSE TAX</v>
          </cell>
          <cell r="I2940" t="str">
            <v>3.6% WA STATE REFUSE TAX</v>
          </cell>
        </row>
        <row r="2941">
          <cell r="H2941" t="str">
            <v>FINCHG</v>
          </cell>
          <cell r="I2941" t="str">
            <v>LATE FEE</v>
          </cell>
        </row>
        <row r="2942">
          <cell r="H2942" t="str">
            <v>FINCHG</v>
          </cell>
          <cell r="I2942" t="str">
            <v>LATE FEE</v>
          </cell>
        </row>
        <row r="2943">
          <cell r="H2943" t="str">
            <v>MM</v>
          </cell>
          <cell r="I2943" t="str">
            <v>ADJUST BALANCE (MM)</v>
          </cell>
        </row>
        <row r="2944">
          <cell r="H2944" t="str">
            <v>MM</v>
          </cell>
          <cell r="I2944" t="str">
            <v>ADJUST BALANCE (MM)</v>
          </cell>
        </row>
        <row r="2945">
          <cell r="H2945" t="str">
            <v>ACCESS-COMM</v>
          </cell>
          <cell r="I2945" t="str">
            <v>ACCESS FEE - COMM</v>
          </cell>
        </row>
        <row r="2946">
          <cell r="H2946" t="str">
            <v>FL001.0Y1W001</v>
          </cell>
          <cell r="I2946" t="str">
            <v>1 YD 1X WK 1</v>
          </cell>
        </row>
        <row r="2947">
          <cell r="H2947" t="str">
            <v>FL001.5Y1W001</v>
          </cell>
          <cell r="I2947" t="str">
            <v>1.5 YD 1X WK 1</v>
          </cell>
        </row>
        <row r="2948">
          <cell r="H2948" t="str">
            <v>FL001.5Y2W001</v>
          </cell>
          <cell r="I2948" t="str">
            <v>1.5 YD 2X WK 1</v>
          </cell>
        </row>
        <row r="2949">
          <cell r="H2949" t="str">
            <v>FL001.5Y3W001</v>
          </cell>
          <cell r="I2949" t="str">
            <v>1.5 YD 3X WK 1</v>
          </cell>
        </row>
        <row r="2950">
          <cell r="H2950" t="str">
            <v>FL001.5Y4W001</v>
          </cell>
          <cell r="I2950" t="str">
            <v>1.5 YD 4X WK 1</v>
          </cell>
        </row>
        <row r="2951">
          <cell r="H2951" t="str">
            <v>FL001.5Y5W001</v>
          </cell>
          <cell r="I2951" t="str">
            <v>1.5 YD 5X WK 1</v>
          </cell>
        </row>
        <row r="2952">
          <cell r="H2952" t="str">
            <v>FL002.0Y1W001</v>
          </cell>
          <cell r="I2952" t="str">
            <v>2 YD 1X WK 1</v>
          </cell>
        </row>
        <row r="2953">
          <cell r="H2953" t="str">
            <v>FL002.0Y3W001</v>
          </cell>
          <cell r="I2953" t="str">
            <v>2 YD 3X WK 1</v>
          </cell>
        </row>
        <row r="2954">
          <cell r="H2954" t="str">
            <v>FL002.0Y5W001</v>
          </cell>
          <cell r="I2954" t="str">
            <v>2 YD 5X WK 1</v>
          </cell>
        </row>
        <row r="2955">
          <cell r="H2955" t="str">
            <v>FL003.0Y1W001</v>
          </cell>
          <cell r="I2955" t="str">
            <v>3 YD 1X WK 1</v>
          </cell>
        </row>
        <row r="2956">
          <cell r="H2956" t="str">
            <v>FL003.0Y2W001</v>
          </cell>
          <cell r="I2956" t="str">
            <v>3 YD 2X WK 1</v>
          </cell>
        </row>
        <row r="2957">
          <cell r="H2957" t="str">
            <v>FL004.0Y1W001</v>
          </cell>
          <cell r="I2957" t="str">
            <v>4 YD 1X WK 1</v>
          </cell>
        </row>
        <row r="2958">
          <cell r="H2958" t="str">
            <v>FL006.0Y1W001</v>
          </cell>
          <cell r="I2958" t="str">
            <v>6 YD 1X WK 1</v>
          </cell>
        </row>
        <row r="2959">
          <cell r="H2959" t="str">
            <v>FL006.0Y2W001</v>
          </cell>
          <cell r="I2959" t="str">
            <v>6 YD 2X WK 1</v>
          </cell>
        </row>
        <row r="2960">
          <cell r="H2960" t="str">
            <v>FL006.0Y3W001</v>
          </cell>
          <cell r="I2960" t="str">
            <v>6 YD 3X WK 1</v>
          </cell>
        </row>
        <row r="2961">
          <cell r="H2961" t="str">
            <v>SL065.0G1W001NORECC</v>
          </cell>
          <cell r="I2961" t="str">
            <v xml:space="preserve">65 GL 1X WK NO RECY COMM </v>
          </cell>
        </row>
        <row r="2962">
          <cell r="H2962" t="str">
            <v>SL065.0G1W001WRECC</v>
          </cell>
          <cell r="I2962" t="str">
            <v>65 GL 1X WK W/RECY COMM 1</v>
          </cell>
        </row>
        <row r="2963">
          <cell r="H2963" t="str">
            <v>SL095.0G1W001NORECC</v>
          </cell>
          <cell r="I2963" t="str">
            <v xml:space="preserve">95 GL 1X WK NO RECY COMM </v>
          </cell>
        </row>
        <row r="2964">
          <cell r="H2964" t="str">
            <v>EXTRA-COMM</v>
          </cell>
          <cell r="I2964" t="str">
            <v>EXTRA CAN, BAG, BOX - COM</v>
          </cell>
        </row>
        <row r="2965">
          <cell r="H2965" t="str">
            <v>EXTRAYDG-COM</v>
          </cell>
          <cell r="I2965" t="str">
            <v>EXTRA YARDAGE - COMM</v>
          </cell>
        </row>
        <row r="2966">
          <cell r="H2966" t="str">
            <v>FL002.0Y1W001BCMGL</v>
          </cell>
          <cell r="I2966" t="str">
            <v>2 YD 1X WK BUS CMGL 1</v>
          </cell>
        </row>
        <row r="2967">
          <cell r="H2967" t="str">
            <v>FL002.0Y1W001BOCC</v>
          </cell>
          <cell r="I2967" t="str">
            <v>2 YD 1X WK BUS OCC 1</v>
          </cell>
        </row>
        <row r="2968">
          <cell r="H2968" t="str">
            <v>FL002.0Y2W001BCMGL</v>
          </cell>
          <cell r="I2968" t="str">
            <v>2 YD 2X WK BUS CMGL 1</v>
          </cell>
        </row>
        <row r="2969">
          <cell r="H2969" t="str">
            <v>FL004.0Y2W001CMGL</v>
          </cell>
          <cell r="I2969" t="str">
            <v>4 YD 2X WK BUS CMGL 1</v>
          </cell>
        </row>
        <row r="2970">
          <cell r="H2970" t="str">
            <v>FL005.0Y1W001BOCC</v>
          </cell>
          <cell r="I2970" t="str">
            <v>5 YD 1X WK BUS OCC 1</v>
          </cell>
        </row>
        <row r="2971">
          <cell r="H2971" t="str">
            <v>FL005.0Y2W001BOCC</v>
          </cell>
          <cell r="I2971" t="str">
            <v>5 YD 2X WK BUS OCC 1</v>
          </cell>
        </row>
        <row r="2972">
          <cell r="H2972" t="str">
            <v>FL006.0Y1W001BCMGL</v>
          </cell>
          <cell r="I2972" t="str">
            <v>6 YD 1X WK BUS COMINGLE 1</v>
          </cell>
        </row>
        <row r="2973">
          <cell r="H2973" t="str">
            <v>SL096.0GEO001BCMGLOUT</v>
          </cell>
          <cell r="I2973" t="str">
            <v>96 GL EOW BUS CMGL OUT</v>
          </cell>
        </row>
        <row r="2974">
          <cell r="H2974" t="str">
            <v>CC-KOL</v>
          </cell>
          <cell r="I2974" t="str">
            <v>ONLINE PAYMENT-CC</v>
          </cell>
        </row>
        <row r="2975">
          <cell r="H2975" t="str">
            <v>CCREF-KOL</v>
          </cell>
          <cell r="I2975" t="str">
            <v>CREDIT CARD REFUND</v>
          </cell>
        </row>
        <row r="2976">
          <cell r="H2976" t="str">
            <v>PAY</v>
          </cell>
          <cell r="I2976" t="str">
            <v>PAYMENT THANK YOU</v>
          </cell>
        </row>
        <row r="2977">
          <cell r="H2977" t="str">
            <v>PAY-KOL</v>
          </cell>
          <cell r="I2977" t="str">
            <v>PAYMENT-THANK YOU - OL</v>
          </cell>
        </row>
        <row r="2978">
          <cell r="H2978" t="str">
            <v>PAY-NATL</v>
          </cell>
          <cell r="I2978" t="str">
            <v>PAYMENT THANK YOU</v>
          </cell>
        </row>
        <row r="2979">
          <cell r="H2979" t="str">
            <v>PAYEFT</v>
          </cell>
          <cell r="I2979" t="str">
            <v>EFT PAYMENT</v>
          </cell>
        </row>
        <row r="2980">
          <cell r="H2980" t="str">
            <v>PAYUSBL</v>
          </cell>
          <cell r="I2980" t="str">
            <v>PAYMENT THANK YOU</v>
          </cell>
        </row>
        <row r="2981">
          <cell r="H2981" t="str">
            <v>LIDRO</v>
          </cell>
          <cell r="I2981" t="str">
            <v>LID CHARGE - RO</v>
          </cell>
        </row>
        <row r="2982">
          <cell r="H2982" t="str">
            <v>RENT20MO-RO</v>
          </cell>
          <cell r="I2982" t="str">
            <v>RENTAL FEE 20 YD MONTHLY</v>
          </cell>
        </row>
        <row r="2983">
          <cell r="H2983" t="str">
            <v>RENT20TEMP-RO</v>
          </cell>
          <cell r="I2983" t="str">
            <v>RENTAL FEE 20 YD TEMP - R</v>
          </cell>
        </row>
        <row r="2984">
          <cell r="H2984" t="str">
            <v>RENT30MO-RO</v>
          </cell>
          <cell r="I2984" t="str">
            <v>RENTAL FEE 30 YD MONTHLY</v>
          </cell>
        </row>
        <row r="2985">
          <cell r="H2985" t="str">
            <v>RENT40MO-RO</v>
          </cell>
          <cell r="I2985" t="str">
            <v>RENTAL FEE 40 YD MONTHLY</v>
          </cell>
        </row>
        <row r="2986">
          <cell r="H2986" t="str">
            <v>CLEAN20-RO</v>
          </cell>
          <cell r="I2986" t="str">
            <v>CLEANING FEE 20 YD - RO</v>
          </cell>
        </row>
        <row r="2987">
          <cell r="H2987" t="str">
            <v>DEL20-RO</v>
          </cell>
          <cell r="I2987" t="str">
            <v>DELIVERY FEE 20 YD - RO</v>
          </cell>
        </row>
        <row r="2988">
          <cell r="H2988" t="str">
            <v>DEL30TEMP-RO</v>
          </cell>
          <cell r="I2988" t="str">
            <v>DELIVERY FEE 30 YD TEMP -</v>
          </cell>
        </row>
        <row r="2989">
          <cell r="H2989" t="str">
            <v>DEL40-RO</v>
          </cell>
          <cell r="I2989" t="str">
            <v>DELIVERY FEE 40 YD - RO</v>
          </cell>
        </row>
        <row r="2990">
          <cell r="H2990" t="str">
            <v>DEL40TEMP-RO</v>
          </cell>
          <cell r="I2990" t="str">
            <v>DELIVERY FEE 40 YD TEMP -</v>
          </cell>
        </row>
        <row r="2991">
          <cell r="H2991" t="str">
            <v>DISCO-CP</v>
          </cell>
          <cell r="I2991" t="str">
            <v xml:space="preserve">COMPACTOR DISCONNECT FEE </v>
          </cell>
        </row>
        <row r="2992">
          <cell r="H2992" t="str">
            <v>DISP-RO</v>
          </cell>
          <cell r="I2992" t="str">
            <v>DISPOSAL CHARGE - RO</v>
          </cell>
        </row>
        <row r="2993">
          <cell r="H2993" t="str">
            <v>DISPFEDMSW-RO</v>
          </cell>
          <cell r="I2993" t="str">
            <v xml:space="preserve">DISPOSAL FEE FEDERAL MSW </v>
          </cell>
        </row>
        <row r="2994">
          <cell r="H2994" t="str">
            <v>FINAL20-RO</v>
          </cell>
          <cell r="I2994" t="str">
            <v>FINAL PULL 20 YD - RO</v>
          </cell>
        </row>
        <row r="2995">
          <cell r="H2995" t="str">
            <v>FINAL20TEMP-RO</v>
          </cell>
          <cell r="I2995" t="str">
            <v>FINAL PULL 20 YD TEMP - R</v>
          </cell>
        </row>
        <row r="2996">
          <cell r="H2996" t="str">
            <v>FINAL40TEMP-RO</v>
          </cell>
          <cell r="I2996" t="str">
            <v>FINAL PULL 40 YD TEMP - R</v>
          </cell>
        </row>
        <row r="2997">
          <cell r="H2997" t="str">
            <v>HAUL20-CP</v>
          </cell>
          <cell r="I2997" t="str">
            <v>COMPACTOR HAUL 20 YD - RO</v>
          </cell>
        </row>
        <row r="2998">
          <cell r="H2998" t="str">
            <v>HAUL20-RO</v>
          </cell>
          <cell r="I2998" t="str">
            <v>HAUL 20 YD - RO</v>
          </cell>
        </row>
        <row r="2999">
          <cell r="H2999" t="str">
            <v>HAUL20TEMP-RO</v>
          </cell>
          <cell r="I2999" t="str">
            <v>HAUL 20 YD TEMP - RO</v>
          </cell>
        </row>
        <row r="3000">
          <cell r="H3000" t="str">
            <v>HAUL30TEMP-RO</v>
          </cell>
          <cell r="I3000" t="str">
            <v>HAUL 30 YD TEMP - RO</v>
          </cell>
        </row>
        <row r="3001">
          <cell r="H3001" t="str">
            <v>HAUL40-RO</v>
          </cell>
          <cell r="I3001" t="str">
            <v>HAUL 40 YD - RO</v>
          </cell>
        </row>
        <row r="3002">
          <cell r="H3002" t="str">
            <v>MILE-RO</v>
          </cell>
          <cell r="I3002" t="str">
            <v>MILEAGE FEE - RO</v>
          </cell>
        </row>
        <row r="3003">
          <cell r="H3003" t="str">
            <v>RENT20TEMP-RO</v>
          </cell>
          <cell r="I3003" t="str">
            <v>RENTAL FEE 20 YD TEMP - R</v>
          </cell>
        </row>
        <row r="3004">
          <cell r="H3004" t="str">
            <v>RENT30TEMP-RO</v>
          </cell>
          <cell r="I3004" t="str">
            <v>RENTAL FEE 30 YD TEMP - R</v>
          </cell>
        </row>
        <row r="3005">
          <cell r="H3005" t="str">
            <v>RENT40TEMP-RO</v>
          </cell>
          <cell r="I3005" t="str">
            <v>RENTAL FEE 40 YD TEMP - R</v>
          </cell>
        </row>
        <row r="3006">
          <cell r="H3006" t="str">
            <v>RTRNTRIP-RO</v>
          </cell>
          <cell r="I3006" t="str">
            <v>RETURN TRIP FEE - RO</v>
          </cell>
        </row>
        <row r="3007">
          <cell r="H3007" t="str">
            <v>COMMODITY SURCHARGE</v>
          </cell>
          <cell r="I3007" t="str">
            <v>COMMODITY SURCHARGE</v>
          </cell>
        </row>
        <row r="3008">
          <cell r="H3008" t="str">
            <v>COMMODITY SURCHARGE</v>
          </cell>
          <cell r="I3008" t="str">
            <v>COMMODITY SURCHARGE</v>
          </cell>
        </row>
        <row r="3009">
          <cell r="H3009" t="str">
            <v>FT LEWIS REFUSE TAX</v>
          </cell>
          <cell r="I3009" t="str">
            <v>3.6% WA STATE REFUSE TAX</v>
          </cell>
        </row>
        <row r="3010">
          <cell r="H3010" t="str">
            <v>FT LEWIS REFUSE TAX</v>
          </cell>
          <cell r="I3010" t="str">
            <v>3.6% WA STATE REFUSE TAX</v>
          </cell>
        </row>
        <row r="3011">
          <cell r="H3011" t="str">
            <v xml:space="preserve">PIERCE COUNTY REFUSE  </v>
          </cell>
          <cell r="I3011" t="str">
            <v>3.6% PIERCE COUNTY REFUSE</v>
          </cell>
        </row>
        <row r="3012">
          <cell r="H3012" t="str">
            <v>FT LEWIS REFUSE TAX</v>
          </cell>
          <cell r="I3012" t="str">
            <v>3.6% WA STATE REFUSE TAX</v>
          </cell>
        </row>
        <row r="3013">
          <cell r="H3013" t="str">
            <v>FT LEWIS STATE SALES TAX</v>
          </cell>
          <cell r="I3013" t="str">
            <v>9.3% WA STATE SALES TAX</v>
          </cell>
        </row>
        <row r="3014">
          <cell r="H3014" t="str">
            <v>FT LEWIS REFUSE TAX</v>
          </cell>
          <cell r="I3014" t="str">
            <v>3.6% WA STATE REFUSE TAX</v>
          </cell>
        </row>
        <row r="3015">
          <cell r="H3015" t="str">
            <v>FT LEWIS STATE SALES TAX</v>
          </cell>
          <cell r="I3015" t="str">
            <v>9.3% WA STATE SALES TAX</v>
          </cell>
        </row>
        <row r="3016">
          <cell r="H3016" t="str">
            <v>PIERCE REFUSE TAX</v>
          </cell>
          <cell r="I3016" t="str">
            <v>3.6% WA STATE REFUSE TAX</v>
          </cell>
        </row>
        <row r="3017">
          <cell r="H3017" t="str">
            <v>PIERCE STATE SALES TAX</v>
          </cell>
          <cell r="I3017" t="str">
            <v>9.9% WA STATE SALES TAX</v>
          </cell>
        </row>
        <row r="3018">
          <cell r="H3018" t="str">
            <v>BD</v>
          </cell>
          <cell r="I3018" t="str">
            <v>BAD DEBT WRITE OFF</v>
          </cell>
        </row>
        <row r="3019">
          <cell r="H3019" t="str">
            <v>BDR</v>
          </cell>
          <cell r="I3019" t="str">
            <v>BAD DEBT RECOVERY</v>
          </cell>
        </row>
        <row r="3020">
          <cell r="H3020" t="str">
            <v>COLLFEE</v>
          </cell>
          <cell r="I3020" t="str">
            <v>COLLECTION AGENCY FEE</v>
          </cell>
        </row>
        <row r="3021">
          <cell r="H3021" t="str">
            <v>FINCHG</v>
          </cell>
          <cell r="I3021" t="str">
            <v>LATE FEE</v>
          </cell>
        </row>
        <row r="3022">
          <cell r="H3022" t="str">
            <v>MM</v>
          </cell>
          <cell r="I3022" t="str">
            <v>ADJUST BALANCE (MM)</v>
          </cell>
        </row>
        <row r="3023">
          <cell r="H3023" t="str">
            <v>MM</v>
          </cell>
          <cell r="I3023" t="str">
            <v>ADJUST BALANCE (MM)</v>
          </cell>
        </row>
        <row r="3024">
          <cell r="H3024" t="str">
            <v>REFUND</v>
          </cell>
          <cell r="I3024" t="str">
            <v>REFUND</v>
          </cell>
        </row>
        <row r="3025">
          <cell r="H3025" t="str">
            <v>RETCK</v>
          </cell>
          <cell r="I3025" t="str">
            <v>RETURNED CHECK</v>
          </cell>
        </row>
        <row r="3026">
          <cell r="H3026" t="str">
            <v>RETCK-LB</v>
          </cell>
          <cell r="I3026" t="str">
            <v>RETURNED CHECK - LOCKBOX</v>
          </cell>
        </row>
        <row r="3027">
          <cell r="H3027" t="str">
            <v>RETCKC</v>
          </cell>
          <cell r="I3027" t="str">
            <v>RETURN CHECK CHARGE</v>
          </cell>
        </row>
        <row r="3028">
          <cell r="H3028" t="str">
            <v>FINCHG</v>
          </cell>
          <cell r="I3028" t="str">
            <v>LATE FEE</v>
          </cell>
        </row>
        <row r="3029">
          <cell r="H3029" t="str">
            <v>BD</v>
          </cell>
          <cell r="I3029" t="str">
            <v>BAD DEBT WRITE OFF</v>
          </cell>
        </row>
        <row r="3030">
          <cell r="H3030" t="str">
            <v>BDR</v>
          </cell>
          <cell r="I3030" t="str">
            <v>BAD DEBT RECOVERY</v>
          </cell>
        </row>
        <row r="3031">
          <cell r="H3031" t="str">
            <v>FINCHG</v>
          </cell>
          <cell r="I3031" t="str">
            <v>LATE FEE</v>
          </cell>
        </row>
        <row r="3032">
          <cell r="H3032" t="str">
            <v>MM</v>
          </cell>
          <cell r="I3032" t="str">
            <v>ADJUST BALANCE (MM)</v>
          </cell>
        </row>
        <row r="3033">
          <cell r="H3033" t="str">
            <v>MM</v>
          </cell>
          <cell r="I3033" t="str">
            <v>ADJUST BALANCE (MM)</v>
          </cell>
        </row>
        <row r="3034">
          <cell r="H3034" t="str">
            <v>REFUND</v>
          </cell>
          <cell r="I3034" t="str">
            <v>REFUND</v>
          </cell>
        </row>
        <row r="3035">
          <cell r="H3035" t="str">
            <v>RETCK-LB</v>
          </cell>
          <cell r="I3035" t="str">
            <v>RETURNED CHECK - LOCKBOX</v>
          </cell>
        </row>
        <row r="3036">
          <cell r="H3036" t="str">
            <v>RETCKC</v>
          </cell>
          <cell r="I3036" t="str">
            <v>RETURN CHECK CHARGE</v>
          </cell>
        </row>
        <row r="3037">
          <cell r="H3037" t="str">
            <v>FINCHG</v>
          </cell>
          <cell r="I3037" t="str">
            <v>LATE FEE</v>
          </cell>
        </row>
        <row r="3038">
          <cell r="H3038" t="str">
            <v>BD</v>
          </cell>
          <cell r="I3038" t="str">
            <v>BAD DEBT WRITE OFF</v>
          </cell>
        </row>
        <row r="3039">
          <cell r="H3039" t="str">
            <v>BDR</v>
          </cell>
          <cell r="I3039" t="str">
            <v>BAD DEBT RECOVERY</v>
          </cell>
        </row>
        <row r="3040">
          <cell r="H3040" t="str">
            <v>COLLFEE</v>
          </cell>
          <cell r="I3040" t="str">
            <v>COLLECTION AGENCY FEE</v>
          </cell>
        </row>
        <row r="3041">
          <cell r="H3041" t="str">
            <v>FINCHG</v>
          </cell>
          <cell r="I3041" t="str">
            <v>LATE FEE</v>
          </cell>
        </row>
        <row r="3042">
          <cell r="H3042" t="str">
            <v>MM</v>
          </cell>
          <cell r="I3042" t="str">
            <v>ADJUST BALANCE (MM)</v>
          </cell>
        </row>
        <row r="3043">
          <cell r="H3043" t="str">
            <v>MM</v>
          </cell>
          <cell r="I3043" t="str">
            <v>ADJUST BALANCE (MM)</v>
          </cell>
        </row>
        <row r="3044">
          <cell r="H3044" t="str">
            <v>REFUND</v>
          </cell>
          <cell r="I3044" t="str">
            <v>REFUND</v>
          </cell>
        </row>
        <row r="3045">
          <cell r="H3045" t="str">
            <v>RETCK</v>
          </cell>
          <cell r="I3045" t="str">
            <v>RETURNED CHECK</v>
          </cell>
        </row>
        <row r="3046">
          <cell r="H3046" t="str">
            <v>RETCK-LB</v>
          </cell>
          <cell r="I3046" t="str">
            <v>RETURNED CHECK - LOCKBOX</v>
          </cell>
        </row>
        <row r="3047">
          <cell r="H3047" t="str">
            <v>FINCHG</v>
          </cell>
          <cell r="I3047" t="str">
            <v>LATE FEE</v>
          </cell>
        </row>
        <row r="3048">
          <cell r="H3048" t="str">
            <v>REINSTATE-COMM</v>
          </cell>
          <cell r="I3048" t="str">
            <v>REINSTATE FEE - COMM</v>
          </cell>
        </row>
        <row r="3049">
          <cell r="H3049" t="str">
            <v>ACCESS-COMM</v>
          </cell>
          <cell r="I3049" t="str">
            <v>ACCESS FEE - COMM</v>
          </cell>
        </row>
        <row r="3050">
          <cell r="H3050" t="str">
            <v>ACCESS-MF</v>
          </cell>
          <cell r="I3050" t="str">
            <v>ACCESS FEE - MF</v>
          </cell>
        </row>
        <row r="3051">
          <cell r="H3051" t="str">
            <v>DONATIONC</v>
          </cell>
          <cell r="I3051" t="str">
            <v>DONATED SERVICE COMM</v>
          </cell>
        </row>
        <row r="3052">
          <cell r="H3052" t="str">
            <v>DRIVEIN1-COMM</v>
          </cell>
          <cell r="I3052" t="str">
            <v>DRIVE IN 125-250' - COMM</v>
          </cell>
        </row>
        <row r="3053">
          <cell r="H3053" t="str">
            <v>DRIVEIN3-COMM</v>
          </cell>
          <cell r="I3053" t="str">
            <v>DRIVE IN 779-1306' - COMM</v>
          </cell>
        </row>
        <row r="3054">
          <cell r="H3054" t="str">
            <v>FL001.0Y1W001</v>
          </cell>
          <cell r="I3054" t="str">
            <v>1 YD 1X WK 1</v>
          </cell>
        </row>
        <row r="3055">
          <cell r="H3055" t="str">
            <v>FL001.0Y2W001</v>
          </cell>
          <cell r="I3055" t="str">
            <v>1 YD 2X WK 1</v>
          </cell>
        </row>
        <row r="3056">
          <cell r="H3056" t="str">
            <v>FL001.0Y3W001</v>
          </cell>
          <cell r="I3056" t="str">
            <v>1 YD 3X WK 1</v>
          </cell>
        </row>
        <row r="3057">
          <cell r="H3057" t="str">
            <v>FL001.5Y1W001</v>
          </cell>
          <cell r="I3057" t="str">
            <v>1.5 YD 1X WK 1</v>
          </cell>
        </row>
        <row r="3058">
          <cell r="H3058" t="str">
            <v>FL001.5Y2W001</v>
          </cell>
          <cell r="I3058" t="str">
            <v>1.5 YD 2X WK 1</v>
          </cell>
        </row>
        <row r="3059">
          <cell r="H3059" t="str">
            <v>FL001.5Y3W001</v>
          </cell>
          <cell r="I3059" t="str">
            <v>1.5 YD 3X WK 1</v>
          </cell>
        </row>
        <row r="3060">
          <cell r="H3060" t="str">
            <v>FL002.0Y1W001</v>
          </cell>
          <cell r="I3060" t="str">
            <v>2 YD 1X WK 1</v>
          </cell>
        </row>
        <row r="3061">
          <cell r="H3061" t="str">
            <v>FL002.0Y2W001</v>
          </cell>
          <cell r="I3061" t="str">
            <v>2 YD 2X WK 1</v>
          </cell>
        </row>
        <row r="3062">
          <cell r="H3062" t="str">
            <v>FL002.0Y3W001</v>
          </cell>
          <cell r="I3062" t="str">
            <v>2 YD 3X WK 1</v>
          </cell>
        </row>
        <row r="3063">
          <cell r="H3063" t="str">
            <v>FL002.0Y4W001</v>
          </cell>
          <cell r="I3063" t="str">
            <v>2 YD 4X WK 1</v>
          </cell>
        </row>
        <row r="3064">
          <cell r="H3064" t="str">
            <v>FL002.0Y5W001</v>
          </cell>
          <cell r="I3064" t="str">
            <v>2 YD 5X WK 1</v>
          </cell>
        </row>
        <row r="3065">
          <cell r="H3065" t="str">
            <v>FL003.0Y1W001</v>
          </cell>
          <cell r="I3065" t="str">
            <v>3 YD 1X WK 1</v>
          </cell>
        </row>
        <row r="3066">
          <cell r="H3066" t="str">
            <v>FL003.0Y2W001</v>
          </cell>
          <cell r="I3066" t="str">
            <v>3 YD 2X WK 1</v>
          </cell>
        </row>
        <row r="3067">
          <cell r="H3067" t="str">
            <v>FL003.0Y3W001</v>
          </cell>
          <cell r="I3067" t="str">
            <v>3 YD 3X WK 1</v>
          </cell>
        </row>
        <row r="3068">
          <cell r="H3068" t="str">
            <v>FL003.0Y5W001</v>
          </cell>
          <cell r="I3068" t="str">
            <v>3 YD 5X WK 1</v>
          </cell>
        </row>
        <row r="3069">
          <cell r="H3069" t="str">
            <v>FL004.0Y1W001</v>
          </cell>
          <cell r="I3069" t="str">
            <v>4 YD 1X WK 1</v>
          </cell>
        </row>
        <row r="3070">
          <cell r="H3070" t="str">
            <v>FL004.0Y2W001</v>
          </cell>
          <cell r="I3070" t="str">
            <v>4 YD 2X WK 1</v>
          </cell>
        </row>
        <row r="3071">
          <cell r="H3071" t="str">
            <v>FL004.0Y2W001CMP</v>
          </cell>
          <cell r="I3071" t="str">
            <v>4 YD 2X WK COMP 1</v>
          </cell>
        </row>
        <row r="3072">
          <cell r="H3072" t="str">
            <v>FL004.0Y3W001</v>
          </cell>
          <cell r="I3072" t="str">
            <v>4 YD 3X WK 1</v>
          </cell>
        </row>
        <row r="3073">
          <cell r="H3073" t="str">
            <v>FL004.0Y4W001</v>
          </cell>
          <cell r="I3073" t="str">
            <v>4 YD 4X WK 1</v>
          </cell>
        </row>
        <row r="3074">
          <cell r="H3074" t="str">
            <v>FL004.0Y5W001</v>
          </cell>
          <cell r="I3074" t="str">
            <v>4 YD 5X WK 1</v>
          </cell>
        </row>
        <row r="3075">
          <cell r="H3075" t="str">
            <v>FL006.0Y1W001</v>
          </cell>
          <cell r="I3075" t="str">
            <v>6 YD 1X WK 1</v>
          </cell>
        </row>
        <row r="3076">
          <cell r="H3076" t="str">
            <v>FL006.0Y2W001</v>
          </cell>
          <cell r="I3076" t="str">
            <v>6 YD 2X WK 1</v>
          </cell>
        </row>
        <row r="3077">
          <cell r="H3077" t="str">
            <v>FL006.0Y2W001CMP</v>
          </cell>
          <cell r="I3077" t="str">
            <v>6 YD 2X WK COMP 1</v>
          </cell>
        </row>
        <row r="3078">
          <cell r="H3078" t="str">
            <v>FL006.0Y3W001</v>
          </cell>
          <cell r="I3078" t="str">
            <v>6 YD 3X WK 1</v>
          </cell>
        </row>
        <row r="3079">
          <cell r="H3079" t="str">
            <v>FL006.0Y4W001</v>
          </cell>
          <cell r="I3079" t="str">
            <v>6 YD 4X WK 1</v>
          </cell>
        </row>
        <row r="3080">
          <cell r="H3080" t="str">
            <v>FL006.0Y5W001</v>
          </cell>
          <cell r="I3080" t="str">
            <v>6 YD 5X WK 1</v>
          </cell>
        </row>
        <row r="3081">
          <cell r="H3081" t="str">
            <v>GWCOMM</v>
          </cell>
          <cell r="I3081" t="str">
            <v>GREENWASTE SERVICE - COMM</v>
          </cell>
        </row>
        <row r="3082">
          <cell r="H3082" t="str">
            <v>RENT2TEMP-COMM</v>
          </cell>
          <cell r="I3082" t="str">
            <v>RENT 2 YD TEMP - COMM</v>
          </cell>
        </row>
        <row r="3083">
          <cell r="H3083" t="str">
            <v>RL032.0G1W001WRECC</v>
          </cell>
          <cell r="I3083" t="str">
            <v>32 GL 1X WK W/RECY COMM 1</v>
          </cell>
        </row>
        <row r="3084">
          <cell r="H3084" t="str">
            <v>ROLL-COMM</v>
          </cell>
          <cell r="I3084" t="str">
            <v>ROLL OUT CHARGE - COMM</v>
          </cell>
        </row>
        <row r="3085">
          <cell r="H3085" t="str">
            <v>SL065.0G1M001NORECC</v>
          </cell>
          <cell r="I3085" t="str">
            <v xml:space="preserve">65 GL 1X MO NO RECY COMM </v>
          </cell>
        </row>
        <row r="3086">
          <cell r="H3086" t="str">
            <v>SL065.0G1W001NORECC</v>
          </cell>
          <cell r="I3086" t="str">
            <v xml:space="preserve">65 GL 1X WK NO RECY COMM </v>
          </cell>
        </row>
        <row r="3087">
          <cell r="H3087" t="str">
            <v>SL065.0G1W001WRECC</v>
          </cell>
          <cell r="I3087" t="str">
            <v>65 GL 1X WK W/RECY COMM 1</v>
          </cell>
        </row>
        <row r="3088">
          <cell r="H3088" t="str">
            <v>SL065.0GEO001NORECC</v>
          </cell>
          <cell r="I3088" t="str">
            <v>65 GL EOW NO RECY COMM 1</v>
          </cell>
        </row>
        <row r="3089">
          <cell r="H3089" t="str">
            <v>SL065.0GEO001WRECC</v>
          </cell>
          <cell r="I3089" t="str">
            <v>65 GL EOW W/RECY COMM 1</v>
          </cell>
        </row>
        <row r="3090">
          <cell r="H3090" t="str">
            <v>SL095.0G1W001NORECC</v>
          </cell>
          <cell r="I3090" t="str">
            <v xml:space="preserve">95 GL 1X WK NO RECY COMM </v>
          </cell>
        </row>
        <row r="3091">
          <cell r="H3091" t="str">
            <v>SL095.0G1W001WRECC</v>
          </cell>
          <cell r="I3091" t="str">
            <v>95 GL 1X WK W/RECY COMM 1</v>
          </cell>
        </row>
        <row r="3092">
          <cell r="H3092" t="str">
            <v>SL095.0GEO001NORECC</v>
          </cell>
          <cell r="I3092" t="str">
            <v>95 GL EOW NO RECY COMM 1</v>
          </cell>
        </row>
        <row r="3093">
          <cell r="H3093" t="str">
            <v>SL095.0GEO001WRECC</v>
          </cell>
          <cell r="I3093" t="str">
            <v>95 GL EOW W/RECY COMM 1</v>
          </cell>
        </row>
        <row r="3094">
          <cell r="H3094" t="str">
            <v>WI1-COMM</v>
          </cell>
          <cell r="I3094" t="str">
            <v>WALK IN 6-25' - COMM</v>
          </cell>
        </row>
        <row r="3095">
          <cell r="H3095" t="str">
            <v>WI2-COMM</v>
          </cell>
          <cell r="I3095" t="str">
            <v>WALK IN 26-50' - COMM</v>
          </cell>
        </row>
        <row r="3096">
          <cell r="H3096" t="str">
            <v>ACCESS-MF</v>
          </cell>
          <cell r="I3096" t="str">
            <v>ACCESS FEE - MF</v>
          </cell>
        </row>
        <row r="3097">
          <cell r="H3097" t="str">
            <v>BULKY-COMM</v>
          </cell>
          <cell r="I3097" t="str">
            <v>BULKY ITEM PICK UP - COMM</v>
          </cell>
        </row>
        <row r="3098">
          <cell r="H3098" t="str">
            <v>CANCOUNT-COMM</v>
          </cell>
          <cell r="I3098" t="str">
            <v>CAN COUNT - COMM</v>
          </cell>
        </row>
        <row r="3099">
          <cell r="H3099" t="str">
            <v>CLEAN2-COMM</v>
          </cell>
          <cell r="I3099" t="str">
            <v>CLEANING FEE 2 YD - COMM</v>
          </cell>
        </row>
        <row r="3100">
          <cell r="H3100" t="str">
            <v>DEL1.5TEMP-COMM</v>
          </cell>
          <cell r="I3100" t="str">
            <v xml:space="preserve">DELIVERY FEE 1.5 YD TEMP </v>
          </cell>
        </row>
        <row r="3101">
          <cell r="H3101" t="str">
            <v>DEL2TEMP-COMM</v>
          </cell>
          <cell r="I3101" t="str">
            <v xml:space="preserve">DELIVERY FEE 2 YD TEMP - </v>
          </cell>
        </row>
        <row r="3102">
          <cell r="H3102" t="str">
            <v>EXTRA-COMM</v>
          </cell>
          <cell r="I3102" t="str">
            <v>EXTRA CAN, BAG, BOX - COM</v>
          </cell>
        </row>
        <row r="3103">
          <cell r="H3103" t="str">
            <v>EXTRAGRAD1-COMM</v>
          </cell>
          <cell r="I3103" t="str">
            <v>EXTRAS GRADUATED 1-2 - COMM</v>
          </cell>
        </row>
        <row r="3104">
          <cell r="H3104" t="str">
            <v>EXTRAGRAD2-COMM</v>
          </cell>
          <cell r="I3104" t="str">
            <v>EXTRAS GRADUATED 3+ - COMM</v>
          </cell>
        </row>
        <row r="3105">
          <cell r="H3105" t="str">
            <v>EXTRAYDG-COM</v>
          </cell>
          <cell r="I3105" t="str">
            <v>EXTRA YARDAGE - COMM</v>
          </cell>
        </row>
        <row r="3106">
          <cell r="H3106" t="str">
            <v>FL002.0Y1W001</v>
          </cell>
          <cell r="I3106" t="str">
            <v>2 YD 1X WK 1</v>
          </cell>
        </row>
        <row r="3107">
          <cell r="H3107" t="str">
            <v>FL002.0YXX001TEMPC</v>
          </cell>
          <cell r="I3107" t="str">
            <v xml:space="preserve">2 YD TEMP </v>
          </cell>
        </row>
        <row r="3108">
          <cell r="H3108" t="str">
            <v>REDEL-COMM</v>
          </cell>
          <cell r="I3108" t="str">
            <v>REDELIVER FEE LVL 1 - COM</v>
          </cell>
        </row>
        <row r="3109">
          <cell r="H3109" t="str">
            <v>REINSTATE-COMM</v>
          </cell>
          <cell r="I3109" t="str">
            <v>REINSTATE FEE - COMM</v>
          </cell>
        </row>
        <row r="3110">
          <cell r="H3110" t="str">
            <v>RENT1.5TEMP-COMM</v>
          </cell>
          <cell r="I3110" t="str">
            <v>RENT 1.5 YD TEMP - COMM</v>
          </cell>
        </row>
        <row r="3111">
          <cell r="H3111" t="str">
            <v>RENT2TEMP-COMM</v>
          </cell>
          <cell r="I3111" t="str">
            <v>RENT 2 YD TEMP - COMM</v>
          </cell>
        </row>
        <row r="3112">
          <cell r="H3112" t="str">
            <v>RTRNTRIP-COMM</v>
          </cell>
          <cell r="I3112" t="str">
            <v>RETURN TRIP FEE - COMM</v>
          </cell>
        </row>
        <row r="3113">
          <cell r="H3113" t="str">
            <v>SP-COMM</v>
          </cell>
          <cell r="I3113" t="str">
            <v>SPECIAL HAUL - COMM</v>
          </cell>
        </row>
        <row r="3114">
          <cell r="H3114" t="str">
            <v>SP1.5-COMM</v>
          </cell>
          <cell r="I3114" t="str">
            <v xml:space="preserve">SPECIAL PICK UP 1.5 YD - </v>
          </cell>
        </row>
        <row r="3115">
          <cell r="H3115" t="str">
            <v>SP2-COMM</v>
          </cell>
          <cell r="I3115" t="str">
            <v>SPECIAL PICK UP 2 YD - CO</v>
          </cell>
        </row>
        <row r="3116">
          <cell r="H3116" t="str">
            <v>SP3-COMM</v>
          </cell>
          <cell r="I3116" t="str">
            <v>SPECIAL PICK UP 3 YD - CO</v>
          </cell>
        </row>
        <row r="3117">
          <cell r="H3117" t="str">
            <v>SP4-COMM</v>
          </cell>
          <cell r="I3117" t="str">
            <v>SPECIAL PICK UP 4 YD - CO</v>
          </cell>
        </row>
        <row r="3118">
          <cell r="H3118" t="str">
            <v>SP6-COMM</v>
          </cell>
          <cell r="I3118" t="str">
            <v>SPECIAL PICK UP 6 YD - CO</v>
          </cell>
        </row>
        <row r="3119">
          <cell r="H3119" t="str">
            <v>ACCESSCREC-COMM</v>
          </cell>
          <cell r="I3119" t="str">
            <v>ACCESS FEE COMM RECY - CO</v>
          </cell>
        </row>
        <row r="3120">
          <cell r="H3120" t="str">
            <v>FL002.0Y1W001BCMGL</v>
          </cell>
          <cell r="I3120" t="str">
            <v>2 YD 1X WK BUS CMGL 1</v>
          </cell>
        </row>
        <row r="3121">
          <cell r="H3121" t="str">
            <v>FL002.0Y1W001BOCC</v>
          </cell>
          <cell r="I3121" t="str">
            <v>2 YD 1X WK BUS OCC 1</v>
          </cell>
        </row>
        <row r="3122">
          <cell r="H3122" t="str">
            <v>FL002.0Y1W001SCMGL</v>
          </cell>
          <cell r="I3122" t="str">
            <v>2 YD 1X WK SCHL CMGL 1</v>
          </cell>
        </row>
        <row r="3123">
          <cell r="H3123" t="str">
            <v>FL002.0Y1W001SOCC</v>
          </cell>
          <cell r="I3123" t="str">
            <v>2 YD 1X WK SCHOOL OCC</v>
          </cell>
        </row>
        <row r="3124">
          <cell r="H3124" t="str">
            <v>FL002.0Y2W001BCMGL</v>
          </cell>
          <cell r="I3124" t="str">
            <v>2 YD 2X WK BUS CMGL 1</v>
          </cell>
        </row>
        <row r="3125">
          <cell r="H3125" t="str">
            <v>FL002.0Y2W001BOCC</v>
          </cell>
          <cell r="I3125" t="str">
            <v>2 YD 2X WK BUS OCC 1</v>
          </cell>
        </row>
        <row r="3126">
          <cell r="H3126" t="str">
            <v>FL002.0Y2W001SOCC</v>
          </cell>
          <cell r="I3126" t="str">
            <v>2 YD 2X WK SCHOOL OCC</v>
          </cell>
        </row>
        <row r="3127">
          <cell r="H3127" t="str">
            <v>FL002.0Y3W001BOCC</v>
          </cell>
          <cell r="I3127" t="str">
            <v>2 YD 3X WK BUS OCC 1</v>
          </cell>
        </row>
        <row r="3128">
          <cell r="H3128" t="str">
            <v>FL004.0Y1W001CMGL</v>
          </cell>
          <cell r="I3128" t="str">
            <v>4 YD 1X WK BUS CMGL 1</v>
          </cell>
        </row>
        <row r="3129">
          <cell r="H3129" t="str">
            <v>FL004.0Y2W001CMGL</v>
          </cell>
          <cell r="I3129" t="str">
            <v>4 YD 2X WK BUS CMGL 1</v>
          </cell>
        </row>
        <row r="3130">
          <cell r="H3130" t="str">
            <v>FL004.0Y3W001BCMGL</v>
          </cell>
          <cell r="I3130" t="str">
            <v>4 YD 3X WK BUS CMGL 1</v>
          </cell>
        </row>
        <row r="3131">
          <cell r="H3131" t="str">
            <v>FL005.0Y1W001BOCC</v>
          </cell>
          <cell r="I3131" t="str">
            <v>5 YD 1X WK BUS OCC 1</v>
          </cell>
        </row>
        <row r="3132">
          <cell r="H3132" t="str">
            <v>FL005.0Y1W001SOCC</v>
          </cell>
          <cell r="I3132" t="str">
            <v>5 YD 1X WK SCHOOL OCC</v>
          </cell>
        </row>
        <row r="3133">
          <cell r="H3133" t="str">
            <v>FL005.0Y2W001BOCC</v>
          </cell>
          <cell r="I3133" t="str">
            <v>5 YD 2X WK BUS OCC 1</v>
          </cell>
        </row>
        <row r="3134">
          <cell r="H3134" t="str">
            <v>FL005.0Y2W001SOCC</v>
          </cell>
          <cell r="I3134" t="str">
            <v>5 YD 2X WK SCHOOL OCC</v>
          </cell>
        </row>
        <row r="3135">
          <cell r="H3135" t="str">
            <v>FL005.0Y3W001BOCC</v>
          </cell>
          <cell r="I3135" t="str">
            <v>5 YD 3X WK BUS OCC 1</v>
          </cell>
        </row>
        <row r="3136">
          <cell r="H3136" t="str">
            <v>FL005.0Y4W001BOCC</v>
          </cell>
          <cell r="I3136" t="str">
            <v>5 YD 4X WK BUS OCC 1</v>
          </cell>
        </row>
        <row r="3137">
          <cell r="H3137" t="str">
            <v>FL005.0Y5W001BOCC</v>
          </cell>
          <cell r="I3137" t="str">
            <v>5 YD 5X WK BUS OCC 1</v>
          </cell>
        </row>
        <row r="3138">
          <cell r="H3138" t="str">
            <v>FL006.0Y1W001BCMGL</v>
          </cell>
          <cell r="I3138" t="str">
            <v>6 YD 1X WK BUS COMINGLE 1</v>
          </cell>
        </row>
        <row r="3139">
          <cell r="H3139" t="str">
            <v>FL006.0Y2W001BCMGL</v>
          </cell>
          <cell r="I3139" t="str">
            <v>6 YD 2X WK BUS COMINGLE 1</v>
          </cell>
        </row>
        <row r="3140">
          <cell r="H3140" t="str">
            <v>FL006.0Y3W001BCMGL</v>
          </cell>
          <cell r="I3140" t="str">
            <v>6 YD 3X WK BUS CMGL 1</v>
          </cell>
        </row>
        <row r="3141">
          <cell r="H3141" t="str">
            <v>FL006.0Y4W001BCMGL</v>
          </cell>
          <cell r="I3141" t="str">
            <v>6 YD 4X WK BUS CMGL 1</v>
          </cell>
        </row>
        <row r="3142">
          <cell r="H3142" t="str">
            <v>MFNBINS</v>
          </cell>
          <cell r="I3142" t="str">
            <v>MULTI-FAMILY REC UNIT N/B</v>
          </cell>
        </row>
        <row r="3143">
          <cell r="H3143" t="str">
            <v>MFWBINS</v>
          </cell>
          <cell r="I3143" t="str">
            <v>MULTI-FAMILY REC UNIT W/B</v>
          </cell>
        </row>
        <row r="3144">
          <cell r="H3144" t="str">
            <v>RENTRECCNT-COMM</v>
          </cell>
          <cell r="I3144" t="str">
            <v>RENTAL FEE RECYCLE CONTAI</v>
          </cell>
        </row>
        <row r="3145">
          <cell r="H3145" t="str">
            <v>ROLL-REC</v>
          </cell>
          <cell r="I3145" t="str">
            <v>ROLL OUT CHARGE - RECYCLI</v>
          </cell>
        </row>
        <row r="3146">
          <cell r="H3146" t="str">
            <v>SL064.0G1M001BCMGLOUT</v>
          </cell>
          <cell r="I3146" t="str">
            <v>64 GL MTHLY BUS CMGL OUT</v>
          </cell>
        </row>
        <row r="3147">
          <cell r="H3147" t="str">
            <v>SL064.0G1W001BCMGLOUT</v>
          </cell>
          <cell r="I3147" t="str">
            <v>64 GL WKLY BUS CMGL OUT</v>
          </cell>
        </row>
        <row r="3148">
          <cell r="H3148" t="str">
            <v>SL064.0GEO001BCMGLOUT</v>
          </cell>
          <cell r="I3148" t="str">
            <v>64 GL EOW BUS CMGL OUT</v>
          </cell>
        </row>
        <row r="3149">
          <cell r="H3149" t="str">
            <v>SL096.0G1M001BCMGLOUT</v>
          </cell>
          <cell r="I3149" t="str">
            <v>96 GL MTHLY BUS CMGL OUT</v>
          </cell>
        </row>
        <row r="3150">
          <cell r="H3150" t="str">
            <v>SL096.0G1W001BCMGLIN</v>
          </cell>
          <cell r="I3150" t="str">
            <v>96 GL WKLY BUS CMGL IN</v>
          </cell>
        </row>
        <row r="3151">
          <cell r="H3151" t="str">
            <v>SL096.0G1W001BCMGLOUT</v>
          </cell>
          <cell r="I3151" t="str">
            <v>96 GL WKLY BUS CMGL OUT</v>
          </cell>
        </row>
        <row r="3152">
          <cell r="H3152" t="str">
            <v>SL096.0G1W001SCMGLOUT</v>
          </cell>
          <cell r="I3152" t="str">
            <v>96 GL WKLY SCHL CMGL OUT</v>
          </cell>
        </row>
        <row r="3153">
          <cell r="H3153" t="str">
            <v>SL096.0GEO001BCMGLIN</v>
          </cell>
          <cell r="I3153" t="str">
            <v>96 GL EOW BUS CMGL IN</v>
          </cell>
        </row>
        <row r="3154">
          <cell r="H3154" t="str">
            <v>SL096.0GEO001BCMGLOUT</v>
          </cell>
          <cell r="I3154" t="str">
            <v>96 GL EOW BUS CMGL OUT</v>
          </cell>
        </row>
        <row r="3155">
          <cell r="H3155" t="str">
            <v>SL096.0GEO001SCMGLOUT</v>
          </cell>
          <cell r="I3155" t="str">
            <v>96 GL EOW SCHL CMGL OUT</v>
          </cell>
        </row>
        <row r="3156">
          <cell r="H3156" t="str">
            <v>RTRNCART96REC-COMM</v>
          </cell>
          <cell r="I3156" t="str">
            <v>RETURN TRIP 96 GL REC - C</v>
          </cell>
        </row>
        <row r="3157">
          <cell r="H3157" t="str">
            <v>CC-KOL</v>
          </cell>
          <cell r="I3157" t="str">
            <v>ONLINE PAYMENT-CC</v>
          </cell>
        </row>
        <row r="3158">
          <cell r="H3158" t="str">
            <v>CCREF-KOL</v>
          </cell>
          <cell r="I3158" t="str">
            <v>CREDIT CARD REFUND</v>
          </cell>
        </row>
        <row r="3159">
          <cell r="H3159" t="str">
            <v>PAY</v>
          </cell>
          <cell r="I3159" t="str">
            <v>PAYMENT THANK YOU</v>
          </cell>
        </row>
        <row r="3160">
          <cell r="H3160" t="str">
            <v>PAY-CFREE</v>
          </cell>
          <cell r="I3160" t="str">
            <v>CHECKFREE PAYMENT</v>
          </cell>
        </row>
        <row r="3161">
          <cell r="H3161" t="str">
            <v>PAY-KOL</v>
          </cell>
          <cell r="I3161" t="str">
            <v>PAYMENT-THANK YOU - OL</v>
          </cell>
        </row>
        <row r="3162">
          <cell r="H3162" t="str">
            <v>PAY-ORCC</v>
          </cell>
          <cell r="I3162" t="str">
            <v>ORCC PAYMENT</v>
          </cell>
        </row>
        <row r="3163">
          <cell r="H3163" t="str">
            <v>PAY-RPPS</v>
          </cell>
          <cell r="I3163" t="str">
            <v>RPPS MASTERCARD PAYMENT</v>
          </cell>
        </row>
        <row r="3164">
          <cell r="H3164" t="str">
            <v>PAYMET</v>
          </cell>
          <cell r="I3164" t="str">
            <v>METAVANTE ONLINE PAYMENT</v>
          </cell>
        </row>
        <row r="3165">
          <cell r="H3165" t="str">
            <v>PAYUSBL</v>
          </cell>
          <cell r="I3165" t="str">
            <v>PAYMENT THANK YOU</v>
          </cell>
        </row>
        <row r="3166">
          <cell r="H3166" t="str">
            <v>RET-KOL</v>
          </cell>
          <cell r="I3166" t="str">
            <v>ONLINE PAYMENT RETURN</v>
          </cell>
        </row>
        <row r="3167">
          <cell r="H3167" t="str">
            <v>CC-KOL</v>
          </cell>
          <cell r="I3167" t="str">
            <v>ONLINE PAYMENT-CC</v>
          </cell>
        </row>
        <row r="3168">
          <cell r="H3168" t="str">
            <v>CCREF-KOL</v>
          </cell>
          <cell r="I3168" t="str">
            <v>CREDIT CARD REFUND</v>
          </cell>
        </row>
        <row r="3169">
          <cell r="H3169" t="str">
            <v>PAY</v>
          </cell>
          <cell r="I3169" t="str">
            <v>PAYMENT THANK YOU</v>
          </cell>
        </row>
        <row r="3170">
          <cell r="H3170" t="str">
            <v>PAY-CFREE</v>
          </cell>
          <cell r="I3170" t="str">
            <v>CHECKFREE PAYMENT</v>
          </cell>
        </row>
        <row r="3171">
          <cell r="H3171" t="str">
            <v>PAY-KOL</v>
          </cell>
          <cell r="I3171" t="str">
            <v>PAYMENT-THANK YOU - OL</v>
          </cell>
        </row>
        <row r="3172">
          <cell r="H3172" t="str">
            <v>PAY-ORCC</v>
          </cell>
          <cell r="I3172" t="str">
            <v>ORCC PAYMENT</v>
          </cell>
        </row>
        <row r="3173">
          <cell r="H3173" t="str">
            <v>PAY-RPPS</v>
          </cell>
          <cell r="I3173" t="str">
            <v>RPPS MASTERCARD PAYMENT</v>
          </cell>
        </row>
        <row r="3174">
          <cell r="H3174" t="str">
            <v>PAYMET</v>
          </cell>
          <cell r="I3174" t="str">
            <v>METAVANTE ONLINE PAYMENT</v>
          </cell>
        </row>
        <row r="3175">
          <cell r="H3175" t="str">
            <v>PAYUSBL</v>
          </cell>
          <cell r="I3175" t="str">
            <v>PAYMENT THANK YOU</v>
          </cell>
        </row>
        <row r="3176">
          <cell r="H3176" t="str">
            <v>RET-KOL</v>
          </cell>
          <cell r="I3176" t="str">
            <v>ONLINE PAYMENT RETURN</v>
          </cell>
        </row>
        <row r="3177">
          <cell r="H3177" t="str">
            <v>CC-KOL</v>
          </cell>
          <cell r="I3177" t="str">
            <v>ONLINE PAYMENT-CC</v>
          </cell>
        </row>
        <row r="3178">
          <cell r="H3178" t="str">
            <v>CCREF-KOL</v>
          </cell>
          <cell r="I3178" t="str">
            <v>CREDIT CARD REFUND</v>
          </cell>
        </row>
        <row r="3179">
          <cell r="H3179" t="str">
            <v>PAY</v>
          </cell>
          <cell r="I3179" t="str">
            <v>PAYMENT THANK YOU</v>
          </cell>
        </row>
        <row r="3180">
          <cell r="H3180" t="str">
            <v>PAY-CFREE</v>
          </cell>
          <cell r="I3180" t="str">
            <v>CHECKFREE PAYMENT</v>
          </cell>
        </row>
        <row r="3181">
          <cell r="H3181" t="str">
            <v>PAY-KOL</v>
          </cell>
          <cell r="I3181" t="str">
            <v>PAYMENT-THANK YOU - OL</v>
          </cell>
        </row>
        <row r="3182">
          <cell r="H3182" t="str">
            <v>PAY-NATL</v>
          </cell>
          <cell r="I3182" t="str">
            <v>PAYMENT THANK YOU</v>
          </cell>
        </row>
        <row r="3183">
          <cell r="H3183" t="str">
            <v>PAY-OAK</v>
          </cell>
          <cell r="I3183" t="str">
            <v>OAKLEAF PAYMENT</v>
          </cell>
        </row>
        <row r="3184">
          <cell r="H3184" t="str">
            <v>PAY-ORCC</v>
          </cell>
          <cell r="I3184" t="str">
            <v>ORCC PAYMENT</v>
          </cell>
        </row>
        <row r="3185">
          <cell r="H3185" t="str">
            <v>PAY-RPPS</v>
          </cell>
          <cell r="I3185" t="str">
            <v>RPPS MASTERCARD PAYMENT</v>
          </cell>
        </row>
        <row r="3186">
          <cell r="H3186" t="str">
            <v>PAYEFT</v>
          </cell>
          <cell r="I3186" t="str">
            <v>EFT PAYMENT</v>
          </cell>
        </row>
        <row r="3187">
          <cell r="H3187" t="str">
            <v>PAYICLRI</v>
          </cell>
          <cell r="I3187" t="str">
            <v>PAYMENT THANK YOU</v>
          </cell>
        </row>
        <row r="3188">
          <cell r="H3188" t="str">
            <v>PAYICT</v>
          </cell>
          <cell r="I3188" t="str">
            <v>I/C PAYMENT THANK YOU</v>
          </cell>
        </row>
        <row r="3189">
          <cell r="H3189" t="str">
            <v>PAYMET</v>
          </cell>
          <cell r="I3189" t="str">
            <v>METAVANTE ONLINE PAYMENT</v>
          </cell>
        </row>
        <row r="3190">
          <cell r="H3190" t="str">
            <v>PAYUSBL</v>
          </cell>
          <cell r="I3190" t="str">
            <v>PAYMENT THANK YOU</v>
          </cell>
        </row>
        <row r="3191">
          <cell r="H3191" t="str">
            <v>RET-KOL</v>
          </cell>
          <cell r="I3191" t="str">
            <v>ONLINE PAYMENT RETURN</v>
          </cell>
        </row>
        <row r="3192">
          <cell r="H3192" t="str">
            <v>DRIVEIN1-RES</v>
          </cell>
          <cell r="I3192" t="str">
            <v>DRIVE IN 1 - RES</v>
          </cell>
        </row>
        <row r="3193">
          <cell r="H3193" t="str">
            <v>GWRES</v>
          </cell>
          <cell r="I3193" t="str">
            <v>GREENWASTE SERVICE - RES</v>
          </cell>
        </row>
        <row r="3194">
          <cell r="H3194" t="str">
            <v>RECBINONLYR</v>
          </cell>
          <cell r="I3194" t="str">
            <v>RECYCLE SERVICE ONLY</v>
          </cell>
        </row>
        <row r="3195">
          <cell r="H3195" t="str">
            <v>SL035.0G1W001WREC</v>
          </cell>
          <cell r="I3195" t="str">
            <v>35 GL 1X WK W/ RECY 1</v>
          </cell>
        </row>
        <row r="3196">
          <cell r="H3196" t="str">
            <v>SL065.0G1M001WREC</v>
          </cell>
          <cell r="I3196" t="str">
            <v>65 GL 1X MO W/RECY 1</v>
          </cell>
        </row>
        <row r="3197">
          <cell r="H3197" t="str">
            <v>SL065.0G1M001WRECSPCL</v>
          </cell>
          <cell r="I3197" t="str">
            <v>65 GL 1X MO W/RECY S/D 1</v>
          </cell>
        </row>
        <row r="3198">
          <cell r="H3198" t="str">
            <v>SL065.0G1W001WREC</v>
          </cell>
          <cell r="I3198" t="str">
            <v>65 GL 1X WK W/RECY 1</v>
          </cell>
        </row>
        <row r="3199">
          <cell r="H3199" t="str">
            <v>SL065.0GEO001WREC</v>
          </cell>
          <cell r="I3199" t="str">
            <v>65 GL EOW W/RECY 1</v>
          </cell>
        </row>
        <row r="3200">
          <cell r="H3200" t="str">
            <v>SL095.0G1M001WREC</v>
          </cell>
          <cell r="I3200" t="str">
            <v>95 GL 1X MO W/RECY 1</v>
          </cell>
        </row>
        <row r="3201">
          <cell r="H3201" t="str">
            <v>SL095.0G1W001NOREC</v>
          </cell>
          <cell r="I3201" t="str">
            <v>95 GL 1X WK NO RECY 1</v>
          </cell>
        </row>
        <row r="3202">
          <cell r="H3202" t="str">
            <v>SL095.0G1W001WREC</v>
          </cell>
          <cell r="I3202" t="str">
            <v>95 GL 1X WK W/RECY 1</v>
          </cell>
        </row>
        <row r="3203">
          <cell r="H3203" t="str">
            <v>SL095.0GEO001WREC</v>
          </cell>
          <cell r="I3203" t="str">
            <v>95 GL EOW W/RECY 1</v>
          </cell>
        </row>
        <row r="3204">
          <cell r="H3204" t="str">
            <v>ADJ-RES</v>
          </cell>
          <cell r="I3204" t="str">
            <v>ADJUSTMENT SERVICE - RES</v>
          </cell>
        </row>
        <row r="3205">
          <cell r="H3205" t="str">
            <v>EXTRA-RES</v>
          </cell>
          <cell r="I3205" t="str">
            <v>EXTRA CAN, BAG, BOX - RES</v>
          </cell>
        </row>
        <row r="3206">
          <cell r="H3206" t="str">
            <v>EXTRAGRAD1-RES</v>
          </cell>
          <cell r="I3206" t="str">
            <v>EXTRAS GRADUATED 1-2 - RES</v>
          </cell>
        </row>
        <row r="3207">
          <cell r="H3207" t="str">
            <v>EXTRAGRAD2-RES</v>
          </cell>
          <cell r="I3207" t="str">
            <v>EXTRAS GRADUATED 3+ - RES</v>
          </cell>
        </row>
        <row r="3208">
          <cell r="H3208" t="str">
            <v>EXTRAGWC-RES</v>
          </cell>
          <cell r="I3208" t="str">
            <v>EXTRA GREENWASTE FEE - RE</v>
          </cell>
        </row>
        <row r="3209">
          <cell r="H3209" t="str">
            <v>GWRES</v>
          </cell>
          <cell r="I3209" t="str">
            <v>GREENWASTE SERVICE - RES</v>
          </cell>
        </row>
        <row r="3210">
          <cell r="H3210" t="str">
            <v>OW-RES</v>
          </cell>
          <cell r="I3210" t="str">
            <v>OVERFILL / OVERWEIGHT CAN</v>
          </cell>
        </row>
        <row r="3211">
          <cell r="H3211" t="str">
            <v>REINSTATE-RES</v>
          </cell>
          <cell r="I3211" t="str">
            <v>REINSTATE FEE - RES</v>
          </cell>
        </row>
        <row r="3212">
          <cell r="H3212" t="str">
            <v>RTRNCART65-RES</v>
          </cell>
          <cell r="I3212" t="str">
            <v>RETURN TRIP 65 GL - RES</v>
          </cell>
        </row>
        <row r="3213">
          <cell r="H3213" t="str">
            <v>RTRNCART95-RES</v>
          </cell>
          <cell r="I3213" t="str">
            <v>RETURN TRIP 95 GL - RES</v>
          </cell>
        </row>
        <row r="3214">
          <cell r="H3214" t="str">
            <v>RTRNCART96REC-RES</v>
          </cell>
          <cell r="I3214" t="str">
            <v>RETURN TRIP 96 GL REC - RES</v>
          </cell>
        </row>
        <row r="3215">
          <cell r="H3215" t="str">
            <v>SL065.0G1W001WREC</v>
          </cell>
          <cell r="I3215" t="str">
            <v>65 GL 1X WK W/RECY 1</v>
          </cell>
        </row>
        <row r="3216">
          <cell r="H3216" t="str">
            <v>SL065.0GEO001WREC</v>
          </cell>
          <cell r="I3216" t="str">
            <v>65 GL EOW W/RECY 1</v>
          </cell>
        </row>
        <row r="3217">
          <cell r="H3217" t="str">
            <v>SL095.0GEO001WREC</v>
          </cell>
          <cell r="I3217" t="str">
            <v>95 GL EOW W/RECY 1</v>
          </cell>
        </row>
        <row r="3218">
          <cell r="H3218" t="str">
            <v>SPGRAD1-RES</v>
          </cell>
          <cell r="I3218" t="str">
            <v>SPECIAL GRADUATED 1-2 - R</v>
          </cell>
        </row>
        <row r="3219">
          <cell r="H3219" t="str">
            <v>ACCESS-RES</v>
          </cell>
          <cell r="I3219" t="str">
            <v>ACCESS FEE - RES</v>
          </cell>
        </row>
        <row r="3220">
          <cell r="H3220" t="str">
            <v>DRIVEIN-RES</v>
          </cell>
          <cell r="I3220" t="str">
            <v>DRIVE IN SERVICE - RES</v>
          </cell>
        </row>
        <row r="3221">
          <cell r="H3221" t="str">
            <v>DRIVEIN1-RES</v>
          </cell>
          <cell r="I3221" t="str">
            <v>DRIVE IN 1 - RES</v>
          </cell>
        </row>
        <row r="3222">
          <cell r="H3222" t="str">
            <v>DRIVEIN2-RES</v>
          </cell>
          <cell r="I3222" t="str">
            <v>DRIVE IN 2 - RES</v>
          </cell>
        </row>
        <row r="3223">
          <cell r="H3223" t="str">
            <v>DRIVEIN4-RES</v>
          </cell>
          <cell r="I3223" t="str">
            <v>DRIVE IN 4 - RES</v>
          </cell>
        </row>
        <row r="3224">
          <cell r="H3224" t="str">
            <v>EMPLOYEER</v>
          </cell>
          <cell r="I3224" t="str">
            <v>EMPLOYEE SERVICE RES</v>
          </cell>
        </row>
        <row r="3225">
          <cell r="H3225" t="str">
            <v>GWRES</v>
          </cell>
          <cell r="I3225" t="str">
            <v>GREENWASTE SERVICE - RES</v>
          </cell>
        </row>
        <row r="3226">
          <cell r="H3226" t="str">
            <v>GWSPCL-RES</v>
          </cell>
          <cell r="I3226" t="str">
            <v>GREENWASTE SEN/DIS - RES</v>
          </cell>
        </row>
        <row r="3227">
          <cell r="H3227" t="str">
            <v>RECBINONLYR</v>
          </cell>
          <cell r="I3227" t="str">
            <v>RECYCLE SERVICE ONLY</v>
          </cell>
        </row>
        <row r="3228">
          <cell r="H3228" t="str">
            <v>RECVALRES</v>
          </cell>
          <cell r="I3228" t="str">
            <v>RECYCLABLES VALUE - RES</v>
          </cell>
        </row>
        <row r="3229">
          <cell r="H3229" t="str">
            <v>RL020.0G1W001</v>
          </cell>
          <cell r="I3229" t="str">
            <v>20 GL 1X WK 1</v>
          </cell>
        </row>
        <row r="3230">
          <cell r="H3230" t="str">
            <v>RL032.0G1M001WRECSPCL</v>
          </cell>
          <cell r="I3230" t="str">
            <v>32 GL 1X MO S/D W/RECY</v>
          </cell>
        </row>
        <row r="3231">
          <cell r="H3231" t="str">
            <v>SL035.0G1M001WREC</v>
          </cell>
          <cell r="I3231" t="str">
            <v>35 GL 1X MO W/RECY 1</v>
          </cell>
        </row>
        <row r="3232">
          <cell r="H3232" t="str">
            <v>SL035.0G1W001NOREC</v>
          </cell>
          <cell r="I3232" t="str">
            <v>35 GL 1X WK NO RECY 1</v>
          </cell>
        </row>
        <row r="3233">
          <cell r="H3233" t="str">
            <v>SL035.0G1W001WREC</v>
          </cell>
          <cell r="I3233" t="str">
            <v>35 GL 1X WK W/ RECY 1</v>
          </cell>
        </row>
        <row r="3234">
          <cell r="H3234" t="str">
            <v>SL065.0G1M001NOREC</v>
          </cell>
          <cell r="I3234" t="str">
            <v>65 GL 1X MO NO RECY 1</v>
          </cell>
        </row>
        <row r="3235">
          <cell r="H3235" t="str">
            <v>SL065.0G1M001SPCLNOREC</v>
          </cell>
          <cell r="I3235" t="str">
            <v>65 GL 1X MO S/D NO REC 1</v>
          </cell>
        </row>
        <row r="3236">
          <cell r="H3236" t="str">
            <v>SL065.0G1M001WREC</v>
          </cell>
          <cell r="I3236" t="str">
            <v>65 GL 1X MO W/RECY 1</v>
          </cell>
        </row>
        <row r="3237">
          <cell r="H3237" t="str">
            <v>SL065.0G1M001WRECSPCL</v>
          </cell>
          <cell r="I3237" t="str">
            <v>65 GL 1X MO W/RECY S/D 1</v>
          </cell>
        </row>
        <row r="3238">
          <cell r="H3238" t="str">
            <v>SL065.0G1W001NOREC</v>
          </cell>
          <cell r="I3238" t="str">
            <v>65 GL 1X WK NO RECY 1</v>
          </cell>
        </row>
        <row r="3239">
          <cell r="H3239" t="str">
            <v>SL065.0G1W001SPCLWREC</v>
          </cell>
          <cell r="I3239" t="str">
            <v>65 GL 1X WK S/D W/REC 1</v>
          </cell>
        </row>
        <row r="3240">
          <cell r="H3240" t="str">
            <v>SL065.0G1W001WREC</v>
          </cell>
          <cell r="I3240" t="str">
            <v>65 GL 1X WK W/RECY 1</v>
          </cell>
        </row>
        <row r="3241">
          <cell r="H3241" t="str">
            <v>SL065.0GEO001NOREC</v>
          </cell>
          <cell r="I3241" t="str">
            <v>65 GL EOW NO RECY 1</v>
          </cell>
        </row>
        <row r="3242">
          <cell r="H3242" t="str">
            <v>SL065.0GEO001SPCLWREC</v>
          </cell>
          <cell r="I3242" t="str">
            <v>65 GL EOW S/D W/RECY 1</v>
          </cell>
        </row>
        <row r="3243">
          <cell r="H3243" t="str">
            <v>SL065.0GEO001WREC</v>
          </cell>
          <cell r="I3243" t="str">
            <v>65 GL EOW W/RECY 1</v>
          </cell>
        </row>
        <row r="3244">
          <cell r="H3244" t="str">
            <v>SL095.0G1M001WREC</v>
          </cell>
          <cell r="I3244" t="str">
            <v>95 GL 1X MO W/RECY 1</v>
          </cell>
        </row>
        <row r="3245">
          <cell r="H3245" t="str">
            <v>SL095.0G1W001NOREC</v>
          </cell>
          <cell r="I3245" t="str">
            <v>95 GL 1X WK NO RECY 1</v>
          </cell>
        </row>
        <row r="3246">
          <cell r="H3246" t="str">
            <v>SL095.0G1W001WREC</v>
          </cell>
          <cell r="I3246" t="str">
            <v>95 GL 1X WK W/RECY 1</v>
          </cell>
        </row>
        <row r="3247">
          <cell r="H3247" t="str">
            <v>SL095.0GEO001NOREC</v>
          </cell>
          <cell r="I3247" t="str">
            <v>95 GL EOW NO RECY 1</v>
          </cell>
        </row>
        <row r="3248">
          <cell r="H3248" t="str">
            <v>SL095.0GEO001SPCLWREC</v>
          </cell>
          <cell r="I3248" t="str">
            <v>95 GL EOW S/D W/RECY 1</v>
          </cell>
        </row>
        <row r="3249">
          <cell r="H3249" t="str">
            <v>SL095.0GEO001WREC</v>
          </cell>
          <cell r="I3249" t="str">
            <v>95 GL EOW W/RECY 1</v>
          </cell>
        </row>
        <row r="3250">
          <cell r="H3250" t="str">
            <v>WI1-RES</v>
          </cell>
          <cell r="I3250" t="str">
            <v>WALK IN 6-25' - RES</v>
          </cell>
        </row>
        <row r="3251">
          <cell r="H3251" t="str">
            <v>WI2-RES</v>
          </cell>
          <cell r="I3251" t="str">
            <v>WALK IN 26-50' - RES</v>
          </cell>
        </row>
        <row r="3252">
          <cell r="H3252" t="str">
            <v>BULKY-RES</v>
          </cell>
          <cell r="I3252" t="str">
            <v>BULKY ITEM PICK UP - RES</v>
          </cell>
        </row>
        <row r="3253">
          <cell r="H3253" t="str">
            <v>EP96GWC-RES</v>
          </cell>
          <cell r="I3253" t="str">
            <v>EXTRA PICK UP 96 GW - RES</v>
          </cell>
        </row>
        <row r="3254">
          <cell r="H3254" t="str">
            <v>EXTRA-RES</v>
          </cell>
          <cell r="I3254" t="str">
            <v>EXTRA CAN, BAG, BOX - RES</v>
          </cell>
        </row>
        <row r="3255">
          <cell r="H3255" t="str">
            <v>EXTRAGRAD1-RES</v>
          </cell>
          <cell r="I3255" t="str">
            <v>EXTRAS GRADUATED 1-2 - RES</v>
          </cell>
        </row>
        <row r="3256">
          <cell r="H3256" t="str">
            <v>EXTRAGRAD2-RES</v>
          </cell>
          <cell r="I3256" t="str">
            <v>EXTRAS GRADUATED 3+ - RES</v>
          </cell>
        </row>
        <row r="3257">
          <cell r="H3257" t="str">
            <v>EXTRAGWC-RES</v>
          </cell>
          <cell r="I3257" t="str">
            <v>EXTRA GREENWASTE FEE - RE</v>
          </cell>
        </row>
        <row r="3258">
          <cell r="H3258" t="str">
            <v>GWRES</v>
          </cell>
          <cell r="I3258" t="str">
            <v>GREENWASTE SERVICE - RES</v>
          </cell>
        </row>
        <row r="3259">
          <cell r="H3259" t="str">
            <v>OW-RES</v>
          </cell>
          <cell r="I3259" t="str">
            <v>OVERFILL / OVERWEIGHT CAN</v>
          </cell>
        </row>
        <row r="3260">
          <cell r="H3260" t="str">
            <v>REINSTATE-RES</v>
          </cell>
          <cell r="I3260" t="str">
            <v>REINSTATE FEE - RES</v>
          </cell>
        </row>
        <row r="3261">
          <cell r="H3261" t="str">
            <v>RL010.0G1W001WREC</v>
          </cell>
          <cell r="I3261" t="str">
            <v>10 GL 1X WK RECYCLE 1</v>
          </cell>
        </row>
        <row r="3262">
          <cell r="H3262" t="str">
            <v>RTRNCART32-RES</v>
          </cell>
          <cell r="I3262" t="str">
            <v>RETURN TRIP 32 GL - RES</v>
          </cell>
        </row>
        <row r="3263">
          <cell r="H3263" t="str">
            <v>RTRNCART65-RES</v>
          </cell>
          <cell r="I3263" t="str">
            <v>RETURN TRIP 65 GL - RES</v>
          </cell>
        </row>
        <row r="3264">
          <cell r="H3264" t="str">
            <v>SL065.0G1W001WREC</v>
          </cell>
          <cell r="I3264" t="str">
            <v>65 GL 1X WK W/RECY 1</v>
          </cell>
        </row>
        <row r="3265">
          <cell r="H3265" t="str">
            <v>SL095.0G1W001WREC</v>
          </cell>
          <cell r="I3265" t="str">
            <v>95 GL 1X WK W/RECY 1</v>
          </cell>
        </row>
        <row r="3266">
          <cell r="H3266" t="str">
            <v>SPGRAD1-RES</v>
          </cell>
          <cell r="I3266" t="str">
            <v>SPECIAL GRADUATED 1-2 - R</v>
          </cell>
        </row>
        <row r="3267">
          <cell r="H3267" t="str">
            <v>SL095.0G1W001WREC</v>
          </cell>
          <cell r="I3267" t="str">
            <v>95 GL 1X WK W/RECY 1</v>
          </cell>
        </row>
        <row r="3268">
          <cell r="H3268" t="str">
            <v>OW-RES</v>
          </cell>
          <cell r="I3268" t="str">
            <v>OVERFILL / OVERWEIGHT CAN</v>
          </cell>
        </row>
        <row r="3269">
          <cell r="H3269" t="str">
            <v>DISPGLASS-RES</v>
          </cell>
          <cell r="I3269" t="str">
            <v>DISPOSAL GLASS - RES</v>
          </cell>
        </row>
        <row r="3270">
          <cell r="H3270" t="str">
            <v>DISCO-CP</v>
          </cell>
          <cell r="I3270" t="str">
            <v xml:space="preserve">COMPACTOR DISCONNECT FEE </v>
          </cell>
        </row>
        <row r="3271">
          <cell r="H3271" t="str">
            <v>HAUL30-RO</v>
          </cell>
          <cell r="I3271" t="str">
            <v>HAUL 30 YD - RO</v>
          </cell>
        </row>
        <row r="3272">
          <cell r="H3272" t="str">
            <v>LIDRO</v>
          </cell>
          <cell r="I3272" t="str">
            <v>LID CHARGE - RO</v>
          </cell>
        </row>
        <row r="3273">
          <cell r="H3273" t="str">
            <v>RENT15MO-RO</v>
          </cell>
          <cell r="I3273" t="str">
            <v>RENTAL FEE 15 YD MONTHLY</v>
          </cell>
        </row>
        <row r="3274">
          <cell r="H3274" t="str">
            <v>RENT20MO-RO</v>
          </cell>
          <cell r="I3274" t="str">
            <v>RENTAL FEE 20 YD MONTHLY</v>
          </cell>
        </row>
        <row r="3275">
          <cell r="H3275" t="str">
            <v>RENT20TEMP-RO</v>
          </cell>
          <cell r="I3275" t="str">
            <v>RENTAL FEE 20 YD TEMP - R</v>
          </cell>
        </row>
        <row r="3276">
          <cell r="H3276" t="str">
            <v>RENT30MO-RO</v>
          </cell>
          <cell r="I3276" t="str">
            <v>RENTAL FEE 30 YD MONTHLY</v>
          </cell>
        </row>
        <row r="3277">
          <cell r="H3277" t="str">
            <v>RENT40MO-RO</v>
          </cell>
          <cell r="I3277" t="str">
            <v>RENTAL FEE 40 YD MONTHLY</v>
          </cell>
        </row>
        <row r="3278">
          <cell r="H3278" t="str">
            <v>RENT40TEMP-RO</v>
          </cell>
          <cell r="I3278" t="str">
            <v>RENTAL FEE 40 YD TEMP - R</v>
          </cell>
        </row>
        <row r="3279">
          <cell r="H3279" t="str">
            <v>DEL20TEMP-RO</v>
          </cell>
          <cell r="I3279" t="str">
            <v>DELIVERY FEE 20 YD TEMP -</v>
          </cell>
        </row>
        <row r="3280">
          <cell r="H3280" t="str">
            <v>DEL30TEMP-RO</v>
          </cell>
          <cell r="I3280" t="str">
            <v>DELIVERY FEE 30 YD TEMP -</v>
          </cell>
        </row>
        <row r="3281">
          <cell r="H3281" t="str">
            <v>DEL40TEMP-RO</v>
          </cell>
          <cell r="I3281" t="str">
            <v>DELIVERY FEE 40 YD TEMP -</v>
          </cell>
        </row>
        <row r="3282">
          <cell r="H3282" t="str">
            <v>DISCO-CP</v>
          </cell>
          <cell r="I3282" t="str">
            <v xml:space="preserve">COMPACTOR DISCONNECT FEE </v>
          </cell>
        </row>
        <row r="3283">
          <cell r="H3283" t="str">
            <v>DISP-RO</v>
          </cell>
          <cell r="I3283" t="str">
            <v>DISPOSAL CHARGE - RO</v>
          </cell>
        </row>
        <row r="3284">
          <cell r="H3284" t="str">
            <v>DISPTRANS-RO</v>
          </cell>
          <cell r="I3284" t="str">
            <v>DISPOSAL FEE TRANSFER HAU</v>
          </cell>
        </row>
        <row r="3285">
          <cell r="H3285" t="str">
            <v>FINAL20-RO</v>
          </cell>
          <cell r="I3285" t="str">
            <v>FINAL PULL 20 YD - RO</v>
          </cell>
        </row>
        <row r="3286">
          <cell r="H3286" t="str">
            <v>FINAL20TEMP-RO</v>
          </cell>
          <cell r="I3286" t="str">
            <v>FINAL PULL 20 YD TEMP - R</v>
          </cell>
        </row>
        <row r="3287">
          <cell r="H3287" t="str">
            <v>FINAL30-RO</v>
          </cell>
          <cell r="I3287" t="str">
            <v>FINAL PULL 30 YD - RO</v>
          </cell>
        </row>
        <row r="3288">
          <cell r="H3288" t="str">
            <v>FINAL30TEMP-RO</v>
          </cell>
          <cell r="I3288" t="str">
            <v>FINAL PULL 30 YD TEMP - R</v>
          </cell>
        </row>
        <row r="3289">
          <cell r="H3289" t="str">
            <v>FINAL40-RO</v>
          </cell>
          <cell r="I3289" t="str">
            <v>FINAL PULL 40 YD - RO</v>
          </cell>
        </row>
        <row r="3290">
          <cell r="H3290" t="str">
            <v>FINAL40TEMP-RO</v>
          </cell>
          <cell r="I3290" t="str">
            <v>FINAL PULL 40 YD TEMP - R</v>
          </cell>
        </row>
        <row r="3291">
          <cell r="H3291" t="str">
            <v>HAUL10-CP</v>
          </cell>
          <cell r="I3291" t="str">
            <v>COMPACTOR HAUL 10 YD - RO</v>
          </cell>
        </row>
        <row r="3292">
          <cell r="H3292" t="str">
            <v>HAUL15-CP</v>
          </cell>
          <cell r="I3292" t="str">
            <v>COMPACTOR HAUL 15 YD</v>
          </cell>
        </row>
        <row r="3293">
          <cell r="H3293" t="str">
            <v>HAUL20-CP</v>
          </cell>
          <cell r="I3293" t="str">
            <v>COMPACTOR HAUL 20 YD - RO</v>
          </cell>
        </row>
        <row r="3294">
          <cell r="H3294" t="str">
            <v>HAUL20-RO</v>
          </cell>
          <cell r="I3294" t="str">
            <v>HAUL 20 YD - RO</v>
          </cell>
        </row>
        <row r="3295">
          <cell r="H3295" t="str">
            <v>HAUL20TEMP-RO</v>
          </cell>
          <cell r="I3295" t="str">
            <v>HAUL 20 YD TEMP - RO</v>
          </cell>
        </row>
        <row r="3296">
          <cell r="H3296" t="str">
            <v>HAUL25-CP</v>
          </cell>
          <cell r="I3296" t="str">
            <v>COMPACTOR HAUL 25 YD - RO</v>
          </cell>
        </row>
        <row r="3297">
          <cell r="H3297" t="str">
            <v>HAUL26-CP</v>
          </cell>
          <cell r="I3297" t="str">
            <v>COMPACTOR HAUL 26 YD - RO</v>
          </cell>
        </row>
        <row r="3298">
          <cell r="H3298" t="str">
            <v>HAUL30-CP</v>
          </cell>
          <cell r="I3298" t="str">
            <v>COMPACTOR HAUL 30 YD</v>
          </cell>
        </row>
        <row r="3299">
          <cell r="H3299" t="str">
            <v>HAUL30-RO</v>
          </cell>
          <cell r="I3299" t="str">
            <v>HAUL 30 YD - RO</v>
          </cell>
        </row>
        <row r="3300">
          <cell r="H3300" t="str">
            <v>HAUL30TEMP-RO</v>
          </cell>
          <cell r="I3300" t="str">
            <v>HAUL 30 YD TEMP - RO</v>
          </cell>
        </row>
        <row r="3301">
          <cell r="H3301" t="str">
            <v>HAUL35-CP</v>
          </cell>
          <cell r="I3301" t="str">
            <v>COMPACTOR HAUL 35 YD - RO</v>
          </cell>
        </row>
        <row r="3302">
          <cell r="H3302" t="str">
            <v>HAUL37-CP</v>
          </cell>
          <cell r="I3302" t="str">
            <v>COMPACTOR HAUL 37 YD - RO</v>
          </cell>
        </row>
        <row r="3303">
          <cell r="H3303" t="str">
            <v>HAUL40-CP</v>
          </cell>
          <cell r="I3303" t="str">
            <v>COMPACTOR HAUL 40 YD</v>
          </cell>
        </row>
        <row r="3304">
          <cell r="H3304" t="str">
            <v>HAUL40-RO</v>
          </cell>
          <cell r="I3304" t="str">
            <v>HAUL 40 YD - RO</v>
          </cell>
        </row>
        <row r="3305">
          <cell r="H3305" t="str">
            <v>HAUL40TEMP-RO</v>
          </cell>
          <cell r="I3305" t="str">
            <v>HAUL 40 YD TEMP - RO</v>
          </cell>
        </row>
        <row r="3306">
          <cell r="H3306" t="str">
            <v>RENT20TEMP-RO</v>
          </cell>
          <cell r="I3306" t="str">
            <v>RENTAL FEE 20 YD TEMP - R</v>
          </cell>
        </row>
        <row r="3307">
          <cell r="H3307" t="str">
            <v>RENT30TEMP-RO</v>
          </cell>
          <cell r="I3307" t="str">
            <v>RENTAL FEE 30 YD TEMP - R</v>
          </cell>
        </row>
        <row r="3308">
          <cell r="H3308" t="str">
            <v>RENT40TEMP-RO</v>
          </cell>
          <cell r="I3308" t="str">
            <v>RENTAL FEE 40 YD TEMP - R</v>
          </cell>
        </row>
        <row r="3309">
          <cell r="H3309" t="str">
            <v>RTRNTRIP-RO</v>
          </cell>
          <cell r="I3309" t="str">
            <v>RETURN TRIP FEE - RO</v>
          </cell>
        </row>
        <row r="3310">
          <cell r="H3310" t="str">
            <v>DISPGLASS-RO</v>
          </cell>
          <cell r="I3310" t="str">
            <v>DISPOSAL FEE GLASS - RO</v>
          </cell>
        </row>
        <row r="3311">
          <cell r="H3311" t="str">
            <v>HAUL30-RO</v>
          </cell>
          <cell r="I3311" t="str">
            <v>HAUL 30 YD - RO</v>
          </cell>
        </row>
        <row r="3312">
          <cell r="H3312" t="str">
            <v>COMMODITY SURCHARGE</v>
          </cell>
          <cell r="I3312" t="str">
            <v>COMMODITY SURCHARGE</v>
          </cell>
        </row>
        <row r="3313">
          <cell r="H3313" t="str">
            <v>COMMODITY SURCHARGE</v>
          </cell>
          <cell r="I3313" t="str">
            <v>COMMODITY SURCHARGE</v>
          </cell>
        </row>
        <row r="3314">
          <cell r="H3314" t="str">
            <v>LAKEWOOD CITY ONLY</v>
          </cell>
          <cell r="I3314" t="str">
            <v>6% CITY UTILITY TAX</v>
          </cell>
        </row>
        <row r="3315">
          <cell r="H3315" t="str">
            <v>LAKEWOOD CITY UTILITY TAX</v>
          </cell>
          <cell r="I3315" t="str">
            <v>6% CITY UTILITY TAX</v>
          </cell>
        </row>
        <row r="3316">
          <cell r="H3316" t="str">
            <v>LAKEWOOD REFUSE TAX</v>
          </cell>
          <cell r="I3316" t="str">
            <v>3.6% WA STATE REFUSE TAX</v>
          </cell>
        </row>
        <row r="3317">
          <cell r="H3317" t="str">
            <v>LAKEWOOD STATE SALES TAX</v>
          </cell>
          <cell r="I3317" t="str">
            <v>9.9% WA STATE SALES TAX</v>
          </cell>
        </row>
        <row r="3318">
          <cell r="H3318" t="str">
            <v>LAKEWOOD CITY ONLY</v>
          </cell>
          <cell r="I3318" t="str">
            <v>6% CITY UTILITY TAX</v>
          </cell>
        </row>
        <row r="3319">
          <cell r="H3319" t="str">
            <v>LAKEWOOD CITY UTILITY TAX</v>
          </cell>
          <cell r="I3319" t="str">
            <v>6% CITY UTILITY TAX</v>
          </cell>
        </row>
        <row r="3320">
          <cell r="H3320" t="str">
            <v>LAKEWOOD REFUSE TAX</v>
          </cell>
          <cell r="I3320" t="str">
            <v>3.6% WA STATE REFUSE TAX</v>
          </cell>
        </row>
        <row r="3321">
          <cell r="H3321" t="str">
            <v>LAKEWOOD STATE SALES TAX</v>
          </cell>
          <cell r="I3321" t="str">
            <v>9.9% WA STATE SALES TAX</v>
          </cell>
        </row>
        <row r="3322">
          <cell r="H3322" t="str">
            <v>LAKEWOOD CITY UTILITY TAX</v>
          </cell>
          <cell r="I3322" t="str">
            <v>6% CITY UTILITY TAX</v>
          </cell>
        </row>
        <row r="3323">
          <cell r="H3323" t="str">
            <v>LAKEWOOD REFUSE TAX</v>
          </cell>
          <cell r="I3323" t="str">
            <v>3.6% WA STATE REFUSE TAX</v>
          </cell>
        </row>
        <row r="3324">
          <cell r="H3324" t="str">
            <v>LAKEWOOD STATE SALES TAX</v>
          </cell>
          <cell r="I3324" t="str">
            <v>9.9% WA STATE SALES TAX</v>
          </cell>
        </row>
        <row r="3325">
          <cell r="H3325" t="str">
            <v>LAKEWOOD CITY UTILITY TAX</v>
          </cell>
          <cell r="I3325" t="str">
            <v>6% CITY UTILITY TAX</v>
          </cell>
        </row>
        <row r="3326">
          <cell r="H3326" t="str">
            <v>LAKEWOOD REFUSE TAX</v>
          </cell>
          <cell r="I3326" t="str">
            <v>3.6% WA STATE REFUSE TAX</v>
          </cell>
        </row>
        <row r="3327">
          <cell r="H3327" t="str">
            <v>LAKEWOOD CITY ONLY</v>
          </cell>
          <cell r="I3327" t="str">
            <v>6% CITY UTILITY TAX</v>
          </cell>
        </row>
        <row r="3328">
          <cell r="H3328" t="str">
            <v>LAKEWOOD CITY UTILITY TAX</v>
          </cell>
          <cell r="I3328" t="str">
            <v>6% CITY UTILITY TAX</v>
          </cell>
        </row>
        <row r="3329">
          <cell r="H3329" t="str">
            <v>LAKEWOOD REFUSE TAX</v>
          </cell>
          <cell r="I3329" t="str">
            <v>3.6% WA STATE REFUSE TAX</v>
          </cell>
        </row>
        <row r="3330">
          <cell r="H3330" t="str">
            <v>LAKEWOOD CITY ONLY</v>
          </cell>
          <cell r="I3330" t="str">
            <v>6% CITY UTILITY TAX</v>
          </cell>
        </row>
        <row r="3331">
          <cell r="H3331" t="str">
            <v>LAKEWOOD CITY UTILITY TAX</v>
          </cell>
          <cell r="I3331" t="str">
            <v>6% CITY UTILITY TAX</v>
          </cell>
        </row>
        <row r="3332">
          <cell r="H3332" t="str">
            <v>LAKEWOOD REFUSE TAX</v>
          </cell>
          <cell r="I3332" t="str">
            <v>3.6% WA STATE REFUSE TAX</v>
          </cell>
        </row>
        <row r="3333">
          <cell r="H3333" t="str">
            <v>LAKEWOOD STATE SALES TAX</v>
          </cell>
          <cell r="I3333" t="str">
            <v>9.9% WA STATE SALES TAX</v>
          </cell>
        </row>
        <row r="3334">
          <cell r="H3334" t="str">
            <v>LAKEWOOD CITY UTILITY TAX</v>
          </cell>
          <cell r="I3334" t="str">
            <v>6% CITY UTILITY TAX</v>
          </cell>
        </row>
        <row r="3335">
          <cell r="H3335" t="str">
            <v>LAKEWOOD REFUSE TAX</v>
          </cell>
          <cell r="I3335" t="str">
            <v>3.6% WA STATE REFUSE TAX</v>
          </cell>
        </row>
        <row r="3336">
          <cell r="H3336" t="str">
            <v>BD</v>
          </cell>
          <cell r="I3336" t="str">
            <v>BAD DEBT WRITE OFF</v>
          </cell>
        </row>
        <row r="3337">
          <cell r="H3337" t="str">
            <v>BDR</v>
          </cell>
          <cell r="I3337" t="str">
            <v>BAD DEBT RECOVERY</v>
          </cell>
        </row>
        <row r="3338">
          <cell r="H3338" t="str">
            <v>COLLFEE</v>
          </cell>
          <cell r="I3338" t="str">
            <v>COLLECTION AGENCY FEE</v>
          </cell>
        </row>
        <row r="3339">
          <cell r="H3339" t="str">
            <v>FINCHG</v>
          </cell>
          <cell r="I3339" t="str">
            <v>LATE FEE</v>
          </cell>
        </row>
        <row r="3340">
          <cell r="H3340" t="str">
            <v>MM</v>
          </cell>
          <cell r="I3340" t="str">
            <v>ADJUST BALANCE (MM)</v>
          </cell>
        </row>
        <row r="3341">
          <cell r="H3341" t="str">
            <v>MM</v>
          </cell>
          <cell r="I3341" t="str">
            <v>ADJUST BALANCE (MM)</v>
          </cell>
        </row>
        <row r="3342">
          <cell r="H3342" t="str">
            <v>REFUND</v>
          </cell>
          <cell r="I3342" t="str">
            <v>REFUND</v>
          </cell>
        </row>
        <row r="3343">
          <cell r="H3343" t="str">
            <v>RETCK</v>
          </cell>
          <cell r="I3343" t="str">
            <v>RETURNED CHECK</v>
          </cell>
        </row>
        <row r="3344">
          <cell r="H3344" t="str">
            <v>RETCK-LB</v>
          </cell>
          <cell r="I3344" t="str">
            <v>RETURNED CHECK - LOCKBOX</v>
          </cell>
        </row>
        <row r="3345">
          <cell r="H3345" t="str">
            <v>RETCKC</v>
          </cell>
          <cell r="I3345" t="str">
            <v>RETURN CHECK CHARGE</v>
          </cell>
        </row>
        <row r="3346">
          <cell r="H3346" t="str">
            <v>FINCHG</v>
          </cell>
          <cell r="I3346" t="str">
            <v>LATE FEE</v>
          </cell>
        </row>
        <row r="3347">
          <cell r="H3347" t="str">
            <v>BD</v>
          </cell>
          <cell r="I3347" t="str">
            <v>BAD DEBT WRITE OFF</v>
          </cell>
        </row>
        <row r="3348">
          <cell r="H3348" t="str">
            <v>BDR</v>
          </cell>
          <cell r="I3348" t="str">
            <v>BAD DEBT RECOVERY</v>
          </cell>
        </row>
        <row r="3349">
          <cell r="H3349" t="str">
            <v>COLLFEE</v>
          </cell>
          <cell r="I3349" t="str">
            <v>COLLECTION AGENCY FEE</v>
          </cell>
        </row>
        <row r="3350">
          <cell r="H3350" t="str">
            <v>FINCHG</v>
          </cell>
          <cell r="I3350" t="str">
            <v>LATE FEE</v>
          </cell>
        </row>
        <row r="3351">
          <cell r="H3351" t="str">
            <v>MM</v>
          </cell>
          <cell r="I3351" t="str">
            <v>ADJUST BALANCE (MM)</v>
          </cell>
        </row>
        <row r="3352">
          <cell r="H3352" t="str">
            <v>MM</v>
          </cell>
          <cell r="I3352" t="str">
            <v>ADJUST BALANCE (MM)</v>
          </cell>
        </row>
        <row r="3353">
          <cell r="H3353" t="str">
            <v>REFUND</v>
          </cell>
          <cell r="I3353" t="str">
            <v>REFUND</v>
          </cell>
        </row>
        <row r="3354">
          <cell r="H3354" t="str">
            <v>RETCK</v>
          </cell>
          <cell r="I3354" t="str">
            <v>RETURNED CHECK</v>
          </cell>
        </row>
        <row r="3355">
          <cell r="H3355" t="str">
            <v>RETCK-LB</v>
          </cell>
          <cell r="I3355" t="str">
            <v>RETURNED CHECK - LOCKBOX</v>
          </cell>
        </row>
        <row r="3356">
          <cell r="H3356" t="str">
            <v>RETCKC</v>
          </cell>
          <cell r="I3356" t="str">
            <v>RETURN CHECK CHARGE</v>
          </cell>
        </row>
        <row r="3357">
          <cell r="H3357" t="str">
            <v>FINCHG</v>
          </cell>
          <cell r="I3357" t="str">
            <v>LATE FEE</v>
          </cell>
        </row>
        <row r="3358">
          <cell r="H3358" t="str">
            <v>BD</v>
          </cell>
          <cell r="I3358" t="str">
            <v>BAD DEBT WRITE OFF</v>
          </cell>
        </row>
        <row r="3359">
          <cell r="H3359" t="str">
            <v>BDR</v>
          </cell>
          <cell r="I3359" t="str">
            <v>BAD DEBT RECOVERY</v>
          </cell>
        </row>
        <row r="3360">
          <cell r="H3360" t="str">
            <v>COLLFEE</v>
          </cell>
          <cell r="I3360" t="str">
            <v>COLLECTION AGENCY FEE</v>
          </cell>
        </row>
        <row r="3361">
          <cell r="H3361" t="str">
            <v>FINCHG</v>
          </cell>
          <cell r="I3361" t="str">
            <v>LATE FEE</v>
          </cell>
        </row>
        <row r="3362">
          <cell r="H3362" t="str">
            <v>MM</v>
          </cell>
          <cell r="I3362" t="str">
            <v>ADJUST BALANCE (MM)</v>
          </cell>
        </row>
        <row r="3363">
          <cell r="H3363" t="str">
            <v>MM</v>
          </cell>
          <cell r="I3363" t="str">
            <v>ADJUST BALANCE (MM)</v>
          </cell>
        </row>
        <row r="3364">
          <cell r="H3364" t="str">
            <v>REFUND</v>
          </cell>
          <cell r="I3364" t="str">
            <v>REFUND</v>
          </cell>
        </row>
        <row r="3365">
          <cell r="H3365" t="str">
            <v>RETCK-LB</v>
          </cell>
          <cell r="I3365" t="str">
            <v>RETURNED CHECK - LOCKBOX</v>
          </cell>
        </row>
        <row r="3366">
          <cell r="H3366" t="str">
            <v>RETCKC</v>
          </cell>
          <cell r="I3366" t="str">
            <v>RETURN CHECK CHARGE</v>
          </cell>
        </row>
        <row r="3367">
          <cell r="H3367" t="str">
            <v>TIME-COMM</v>
          </cell>
          <cell r="I3367" t="str">
            <v>TIME FEE 1 - COMM</v>
          </cell>
        </row>
        <row r="3368">
          <cell r="H3368" t="str">
            <v>ACCESS-COMM</v>
          </cell>
          <cell r="I3368" t="str">
            <v>ACCESS FEE - COMM</v>
          </cell>
        </row>
        <row r="3369">
          <cell r="H3369" t="str">
            <v>CANCOUNT95-COMM</v>
          </cell>
          <cell r="I3369" t="str">
            <v>CAN COUNT 95 GL - COMM</v>
          </cell>
        </row>
        <row r="3370">
          <cell r="H3370" t="str">
            <v>DIST4CAN-COMM</v>
          </cell>
          <cell r="I3370" t="str">
            <v>DISTRIBUTED 4 CANS - COMM</v>
          </cell>
        </row>
        <row r="3371">
          <cell r="H3371" t="str">
            <v>DONATIONC</v>
          </cell>
          <cell r="I3371" t="str">
            <v>DONATED SERVICE COMM</v>
          </cell>
        </row>
        <row r="3372">
          <cell r="H3372" t="str">
            <v>DRIVEIN-COMM</v>
          </cell>
          <cell r="I3372" t="str">
            <v>DRIVE IN SERVICE - COMM</v>
          </cell>
        </row>
        <row r="3373">
          <cell r="H3373" t="str">
            <v>DRIVEIN1-COMM</v>
          </cell>
          <cell r="I3373" t="str">
            <v>DRIVE IN 125-250' - COMM</v>
          </cell>
        </row>
        <row r="3374">
          <cell r="H3374" t="str">
            <v>FL001.0Y1W001</v>
          </cell>
          <cell r="I3374" t="str">
            <v>1 YD 1X WK 1</v>
          </cell>
        </row>
        <row r="3375">
          <cell r="H3375" t="str">
            <v>FL001.0Y2W001</v>
          </cell>
          <cell r="I3375" t="str">
            <v>1 YD 2X WK 1</v>
          </cell>
        </row>
        <row r="3376">
          <cell r="H3376" t="str">
            <v>FL001.0Y3W001</v>
          </cell>
          <cell r="I3376" t="str">
            <v>1 YD 3X WK 1</v>
          </cell>
        </row>
        <row r="3377">
          <cell r="H3377" t="str">
            <v>FL001.5Y1W001</v>
          </cell>
          <cell r="I3377" t="str">
            <v>1.5 YD 1X WK 1</v>
          </cell>
        </row>
        <row r="3378">
          <cell r="H3378" t="str">
            <v>FL001.5Y2W001</v>
          </cell>
          <cell r="I3378" t="str">
            <v>1.5 YD 2X WK 1</v>
          </cell>
        </row>
        <row r="3379">
          <cell r="H3379" t="str">
            <v>FL001.5Y3W001</v>
          </cell>
          <cell r="I3379" t="str">
            <v>1.5 YD 3X WK 1</v>
          </cell>
        </row>
        <row r="3380">
          <cell r="H3380" t="str">
            <v>FL002.0Y1W001</v>
          </cell>
          <cell r="I3380" t="str">
            <v>2 YD 1X WK 1</v>
          </cell>
        </row>
        <row r="3381">
          <cell r="H3381" t="str">
            <v>FL002.0Y1W001CMP</v>
          </cell>
          <cell r="I3381" t="str">
            <v>2 YD 1X WK COMP 1</v>
          </cell>
        </row>
        <row r="3382">
          <cell r="H3382" t="str">
            <v>FL002.0Y2W001</v>
          </cell>
          <cell r="I3382" t="str">
            <v>2 YD 2X WK 1</v>
          </cell>
        </row>
        <row r="3383">
          <cell r="H3383" t="str">
            <v>FL002.0Y3W001</v>
          </cell>
          <cell r="I3383" t="str">
            <v>2 YD 3X WK 1</v>
          </cell>
        </row>
        <row r="3384">
          <cell r="H3384" t="str">
            <v>FL003.0Y1W001</v>
          </cell>
          <cell r="I3384" t="str">
            <v>3 YD 1X WK 1</v>
          </cell>
        </row>
        <row r="3385">
          <cell r="H3385" t="str">
            <v>FL003.0Y2W001</v>
          </cell>
          <cell r="I3385" t="str">
            <v>3 YD 2X WK 1</v>
          </cell>
        </row>
        <row r="3386">
          <cell r="H3386" t="str">
            <v>FL003.0Y2W001CMP</v>
          </cell>
          <cell r="I3386" t="str">
            <v>3 YD 2X WK COMP 1</v>
          </cell>
        </row>
        <row r="3387">
          <cell r="H3387" t="str">
            <v>FL003.0Y3W001</v>
          </cell>
          <cell r="I3387" t="str">
            <v>3 YD 3X WK 1</v>
          </cell>
        </row>
        <row r="3388">
          <cell r="H3388" t="str">
            <v>FL003.0Y4W001</v>
          </cell>
          <cell r="I3388" t="str">
            <v>3 YD 4X WK 1</v>
          </cell>
        </row>
        <row r="3389">
          <cell r="H3389" t="str">
            <v>FL004.0Y1W001</v>
          </cell>
          <cell r="I3389" t="str">
            <v>4 YD 1X WK 1</v>
          </cell>
        </row>
        <row r="3390">
          <cell r="H3390" t="str">
            <v>FL004.0Y1W001CMP</v>
          </cell>
          <cell r="I3390" t="str">
            <v>4 YD 1X WK COMP 1</v>
          </cell>
        </row>
        <row r="3391">
          <cell r="H3391" t="str">
            <v>FL004.0Y2W001</v>
          </cell>
          <cell r="I3391" t="str">
            <v>4 YD 2X WK 1</v>
          </cell>
        </row>
        <row r="3392">
          <cell r="H3392" t="str">
            <v>FL004.0Y2W001CMP</v>
          </cell>
          <cell r="I3392" t="str">
            <v>4 YD 2X WK COMP 1</v>
          </cell>
        </row>
        <row r="3393">
          <cell r="H3393" t="str">
            <v>FL004.0Y3W001</v>
          </cell>
          <cell r="I3393" t="str">
            <v>4 YD 3X WK 1</v>
          </cell>
        </row>
        <row r="3394">
          <cell r="H3394" t="str">
            <v>FL006.0Y1W001</v>
          </cell>
          <cell r="I3394" t="str">
            <v>6 YD 1X WK 1</v>
          </cell>
        </row>
        <row r="3395">
          <cell r="H3395" t="str">
            <v>FL006.0Y2W001</v>
          </cell>
          <cell r="I3395" t="str">
            <v>6 YD 2X WK 1</v>
          </cell>
        </row>
        <row r="3396">
          <cell r="H3396" t="str">
            <v>FL006.0Y2W001CMP</v>
          </cell>
          <cell r="I3396" t="str">
            <v>6 YD 2X WK COMP 1</v>
          </cell>
        </row>
        <row r="3397">
          <cell r="H3397" t="str">
            <v>FL006.0Y3W001</v>
          </cell>
          <cell r="I3397" t="str">
            <v>6 YD 3X WK 1</v>
          </cell>
        </row>
        <row r="3398">
          <cell r="H3398" t="str">
            <v>FL006.0Y4W001</v>
          </cell>
          <cell r="I3398" t="str">
            <v>6 YD 4X WK 1</v>
          </cell>
        </row>
        <row r="3399">
          <cell r="H3399" t="str">
            <v>GWCOMM</v>
          </cell>
          <cell r="I3399" t="str">
            <v>GREENWASTE SERVICE - COMM</v>
          </cell>
        </row>
        <row r="3400">
          <cell r="H3400" t="str">
            <v>RL032.0G1W001NORECC</v>
          </cell>
          <cell r="I3400" t="str">
            <v xml:space="preserve">32 GL 1X WK NO RECY COMM </v>
          </cell>
        </row>
        <row r="3401">
          <cell r="H3401" t="str">
            <v>RL032.0G1W001WRECC</v>
          </cell>
          <cell r="I3401" t="str">
            <v>32 GL 1X WK W/RECY COMM 1</v>
          </cell>
        </row>
        <row r="3402">
          <cell r="H3402" t="str">
            <v>RL032.0G1W002NORECC</v>
          </cell>
          <cell r="I3402" t="str">
            <v xml:space="preserve">32 GL 1X WK NO RECY COMM </v>
          </cell>
        </row>
        <row r="3403">
          <cell r="H3403" t="str">
            <v>RL032.0G1W002WRECC</v>
          </cell>
          <cell r="I3403" t="str">
            <v>32 GL 1X WK W/RECY COMM 2</v>
          </cell>
        </row>
        <row r="3404">
          <cell r="H3404" t="str">
            <v>RL032.0G1W003WRECC</v>
          </cell>
          <cell r="I3404" t="str">
            <v>32 GL 1X WK W/RECY COMM 3</v>
          </cell>
        </row>
        <row r="3405">
          <cell r="H3405" t="str">
            <v>RL032.0G1W004WRECC</v>
          </cell>
          <cell r="I3405" t="str">
            <v>32 GL 1X WK W/RECY COMM 4</v>
          </cell>
        </row>
        <row r="3406">
          <cell r="H3406" t="str">
            <v>ROLL-COMM</v>
          </cell>
          <cell r="I3406" t="str">
            <v>ROLL OUT CHARGE - COMM</v>
          </cell>
        </row>
        <row r="3407">
          <cell r="H3407" t="str">
            <v>SL065.0G1W001NORECC</v>
          </cell>
          <cell r="I3407" t="str">
            <v xml:space="preserve">65 GL 1X WK NO RECY COMM </v>
          </cell>
        </row>
        <row r="3408">
          <cell r="H3408" t="str">
            <v>SL065.0G1W001WRECC</v>
          </cell>
          <cell r="I3408" t="str">
            <v>65 GL 1X WK W/RECY COMM 1</v>
          </cell>
        </row>
        <row r="3409">
          <cell r="H3409" t="str">
            <v>SL065.0GEO001NORECC</v>
          </cell>
          <cell r="I3409" t="str">
            <v>65 GL EOW NO RECY COMM 1</v>
          </cell>
        </row>
        <row r="3410">
          <cell r="H3410" t="str">
            <v>SL065.0GEO001WRECC</v>
          </cell>
          <cell r="I3410" t="str">
            <v>65 GL EOW W/RECY COMM 1</v>
          </cell>
        </row>
        <row r="3411">
          <cell r="H3411" t="str">
            <v>SL095.0G1W001NORECC</v>
          </cell>
          <cell r="I3411" t="str">
            <v xml:space="preserve">95 GL 1X WK NO RECY COMM </v>
          </cell>
        </row>
        <row r="3412">
          <cell r="H3412" t="str">
            <v>SL095.0G1W001WRECC</v>
          </cell>
          <cell r="I3412" t="str">
            <v>95 GL 1X WK W/RECY COMM 1</v>
          </cell>
        </row>
        <row r="3413">
          <cell r="H3413" t="str">
            <v>SL095.0GEO001NORECC</v>
          </cell>
          <cell r="I3413" t="str">
            <v>95 GL EOW NO RECY COMM 1</v>
          </cell>
        </row>
        <row r="3414">
          <cell r="H3414" t="str">
            <v>SL095.0GEO001WRECC</v>
          </cell>
          <cell r="I3414" t="str">
            <v>95 GL EOW W/RECY COMM 1</v>
          </cell>
        </row>
        <row r="3415">
          <cell r="H3415" t="str">
            <v>WI1-COMM</v>
          </cell>
          <cell r="I3415" t="str">
            <v>WALK IN 6-25' - COMM</v>
          </cell>
        </row>
        <row r="3416">
          <cell r="H3416" t="str">
            <v>WI2-COMM</v>
          </cell>
          <cell r="I3416" t="str">
            <v>WALK IN 26-50' - COMM</v>
          </cell>
        </row>
        <row r="3417">
          <cell r="H3417" t="str">
            <v>WI4-COMM</v>
          </cell>
          <cell r="I3417" t="str">
            <v>WALK IN 76-100' - COMM</v>
          </cell>
        </row>
        <row r="3418">
          <cell r="H3418" t="str">
            <v>ACCESS-COMM</v>
          </cell>
          <cell r="I3418" t="str">
            <v>ACCESS FEE - COMM</v>
          </cell>
        </row>
        <row r="3419">
          <cell r="H3419" t="str">
            <v>CANCOUNT-COMM</v>
          </cell>
          <cell r="I3419" t="str">
            <v>CAN COUNT - COMM</v>
          </cell>
        </row>
        <row r="3420">
          <cell r="H3420" t="str">
            <v>CANCOUNT65-COMM</v>
          </cell>
          <cell r="I3420" t="str">
            <v>CAN COUNT 65 GL - COMM</v>
          </cell>
        </row>
        <row r="3421">
          <cell r="H3421" t="str">
            <v>CANCOUNT95-COMM</v>
          </cell>
          <cell r="I3421" t="str">
            <v>CAN COUNT 95 GL - COMM</v>
          </cell>
        </row>
        <row r="3422">
          <cell r="H3422" t="str">
            <v>CANCOUNTFD65-COMM</v>
          </cell>
          <cell r="I3422" t="str">
            <v>CAN COUNT FOOD 65 GL - CO</v>
          </cell>
        </row>
        <row r="3423">
          <cell r="H3423" t="str">
            <v>CLEAN2-COMM</v>
          </cell>
          <cell r="I3423" t="str">
            <v>CLEANING FEE 2 YD - COMM</v>
          </cell>
        </row>
        <row r="3424">
          <cell r="H3424" t="str">
            <v>CLEAN6-COMM</v>
          </cell>
          <cell r="I3424" t="str">
            <v>CLEANING FEE 6 YD - COMM</v>
          </cell>
        </row>
        <row r="3425">
          <cell r="H3425" t="str">
            <v>DEL1.5TEMP-COMM</v>
          </cell>
          <cell r="I3425" t="str">
            <v xml:space="preserve">DELIVERY FEE 1.5 YD TEMP </v>
          </cell>
        </row>
        <row r="3426">
          <cell r="H3426" t="str">
            <v>DEL2TEMP-COMM</v>
          </cell>
          <cell r="I3426" t="str">
            <v xml:space="preserve">DELIVERY FEE 2 YD TEMP - </v>
          </cell>
        </row>
        <row r="3427">
          <cell r="H3427" t="str">
            <v>DISP-COMM</v>
          </cell>
          <cell r="I3427" t="str">
            <v>DISPOSAL FEE - COMM</v>
          </cell>
        </row>
        <row r="3428">
          <cell r="H3428" t="str">
            <v>DISPFEDMSW-COMM</v>
          </cell>
          <cell r="I3428" t="str">
            <v>DISPOSAL FEDERAL MSW - CO</v>
          </cell>
        </row>
        <row r="3429">
          <cell r="H3429" t="str">
            <v>DISPMIX-COMM</v>
          </cell>
          <cell r="I3429" t="str">
            <v>DISPOSAL MIX CMGL OCC - COMM</v>
          </cell>
        </row>
        <row r="3430">
          <cell r="H3430" t="str">
            <v>EXTRA-COMM</v>
          </cell>
          <cell r="I3430" t="str">
            <v>EXTRA CAN, BAG, BOX - COM</v>
          </cell>
        </row>
        <row r="3431">
          <cell r="H3431" t="str">
            <v>EXTRAGRAD2-COMM</v>
          </cell>
          <cell r="I3431" t="str">
            <v>EXTRAS GRADUATED 3+ - COMM</v>
          </cell>
        </row>
        <row r="3432">
          <cell r="H3432" t="str">
            <v>EXTRAYDG-COM</v>
          </cell>
          <cell r="I3432" t="str">
            <v>EXTRA YARDAGE - COMM</v>
          </cell>
        </row>
        <row r="3433">
          <cell r="H3433" t="str">
            <v>FL001.0Y1W001</v>
          </cell>
          <cell r="I3433" t="str">
            <v>1 YD 1X WK 1</v>
          </cell>
        </row>
        <row r="3434">
          <cell r="H3434" t="str">
            <v>FL001.0YXX001TEMPC</v>
          </cell>
          <cell r="I3434" t="str">
            <v xml:space="preserve">1 YD TEMP </v>
          </cell>
        </row>
        <row r="3435">
          <cell r="H3435" t="str">
            <v>FL001.5YXX001TEMPC</v>
          </cell>
          <cell r="I3435" t="str">
            <v xml:space="preserve">1.5 YD TEMP </v>
          </cell>
        </row>
        <row r="3436">
          <cell r="H3436" t="str">
            <v>FL002.0YXX001TEMPC</v>
          </cell>
          <cell r="I3436" t="str">
            <v xml:space="preserve">2 YD TEMP </v>
          </cell>
        </row>
        <row r="3437">
          <cell r="H3437" t="str">
            <v>FL004.0Y2W001</v>
          </cell>
          <cell r="I3437" t="str">
            <v>4 YD 2X WK 1</v>
          </cell>
        </row>
        <row r="3438">
          <cell r="H3438" t="str">
            <v>FL006.0YXX001TEMPC</v>
          </cell>
          <cell r="I3438" t="str">
            <v>6 YD TEMP 1</v>
          </cell>
        </row>
        <row r="3439">
          <cell r="H3439" t="str">
            <v>REDEL-COMM</v>
          </cell>
          <cell r="I3439" t="str">
            <v>REDELIVER FEE LVL 1 - COM</v>
          </cell>
        </row>
        <row r="3440">
          <cell r="H3440" t="str">
            <v>REINSTATE-COMM</v>
          </cell>
          <cell r="I3440" t="str">
            <v>REINSTATE FEE - COMM</v>
          </cell>
        </row>
        <row r="3441">
          <cell r="H3441" t="str">
            <v>RENT1.5TEMP-COMM</v>
          </cell>
          <cell r="I3441" t="str">
            <v>RENT 1.5 YD TEMP - COMM</v>
          </cell>
        </row>
        <row r="3442">
          <cell r="H3442" t="str">
            <v>RENT1TEMP-COMM</v>
          </cell>
          <cell r="I3442" t="str">
            <v>RENT 1 YD TEMP - COMM</v>
          </cell>
        </row>
        <row r="3443">
          <cell r="H3443" t="str">
            <v>RENT2TEMP-COMM</v>
          </cell>
          <cell r="I3443" t="str">
            <v>RENT 2 YD TEMP - COMM</v>
          </cell>
        </row>
        <row r="3444">
          <cell r="H3444" t="str">
            <v>RENT6TEMP-COMM</v>
          </cell>
          <cell r="I3444" t="str">
            <v>RENT 6 YD TEMP - COMM</v>
          </cell>
        </row>
        <row r="3445">
          <cell r="H3445" t="str">
            <v>RTRNTRIP-COMM</v>
          </cell>
          <cell r="I3445" t="str">
            <v>RETURN TRIP FEE - COMM</v>
          </cell>
        </row>
        <row r="3446">
          <cell r="H3446" t="str">
            <v>SP1-COMM</v>
          </cell>
          <cell r="I3446" t="str">
            <v>SPECIAL PICK UP 1 YD - CO</v>
          </cell>
        </row>
        <row r="3447">
          <cell r="H3447" t="str">
            <v>SP2-COMM</v>
          </cell>
          <cell r="I3447" t="str">
            <v>SPECIAL PICK UP 2 YD - CO</v>
          </cell>
        </row>
        <row r="3448">
          <cell r="H3448" t="str">
            <v>SP6-COMM</v>
          </cell>
          <cell r="I3448" t="str">
            <v>SPECIAL PICK UP 6 YD - CO</v>
          </cell>
        </row>
        <row r="3449">
          <cell r="H3449" t="str">
            <v>SPGRAD1S-COMM</v>
          </cell>
          <cell r="I3449" t="str">
            <v>SPECIAL UNIT GRAD1 SCHL - COMM</v>
          </cell>
        </row>
        <row r="3450">
          <cell r="H3450" t="str">
            <v>SPGRAD2S-COMM</v>
          </cell>
          <cell r="I3450" t="str">
            <v>SPECIAL UNIT GRAD2 SCHL - COMM</v>
          </cell>
        </row>
        <row r="3451">
          <cell r="H3451" t="str">
            <v>DISP-COMM</v>
          </cell>
          <cell r="I3451" t="str">
            <v>DISPOSAL FEE - COMM</v>
          </cell>
        </row>
        <row r="3452">
          <cell r="H3452" t="str">
            <v>DISPFEDMSW-COMM</v>
          </cell>
          <cell r="I3452" t="str">
            <v>DISPOSAL FEDERAL MSW - CO</v>
          </cell>
        </row>
        <row r="3453">
          <cell r="H3453" t="str">
            <v>SL096.0GEO001BCMGLOUT</v>
          </cell>
          <cell r="I3453" t="str">
            <v>96 GL EOW BUS CMGL OUT</v>
          </cell>
        </row>
        <row r="3454">
          <cell r="H3454" t="str">
            <v>ACCESSCREC-COMM</v>
          </cell>
          <cell r="I3454" t="str">
            <v>ACCESS FEE COMM RECY - CO</v>
          </cell>
        </row>
        <row r="3455">
          <cell r="H3455" t="str">
            <v>COMDESKREC</v>
          </cell>
          <cell r="I3455" t="str">
            <v>COMM DESKSIDE RECYCLING</v>
          </cell>
        </row>
        <row r="3456">
          <cell r="H3456" t="str">
            <v>FL002.0Y1M001BCMGL</v>
          </cell>
          <cell r="I3456" t="str">
            <v>2 YD 1X MO BUS CMGL 1</v>
          </cell>
        </row>
        <row r="3457">
          <cell r="H3457" t="str">
            <v>FL002.0Y1W001BCMGL</v>
          </cell>
          <cell r="I3457" t="str">
            <v>2 YD 1X WK BUS CMGL 1</v>
          </cell>
        </row>
        <row r="3458">
          <cell r="H3458" t="str">
            <v>FL002.0Y1W001BOCC</v>
          </cell>
          <cell r="I3458" t="str">
            <v>2 YD 1X WK BUS OCC 1</v>
          </cell>
        </row>
        <row r="3459">
          <cell r="H3459" t="str">
            <v>FL002.0Y1W001OCC</v>
          </cell>
          <cell r="I3459" t="str">
            <v>2 YD 1X WK OCC 1</v>
          </cell>
        </row>
        <row r="3460">
          <cell r="H3460" t="str">
            <v>FL002.0Y1W001SCMGL</v>
          </cell>
          <cell r="I3460" t="str">
            <v>2 YD 1X WK SCHL CMGL 1</v>
          </cell>
        </row>
        <row r="3461">
          <cell r="H3461" t="str">
            <v>FL002.0Y1W001SOCC</v>
          </cell>
          <cell r="I3461" t="str">
            <v>2 YD 1X WK SCHOOL OCC</v>
          </cell>
        </row>
        <row r="3462">
          <cell r="H3462" t="str">
            <v>FL002.0Y2W001BCMGL</v>
          </cell>
          <cell r="I3462" t="str">
            <v>2 YD 2X WK BUS CMGL 1</v>
          </cell>
        </row>
        <row r="3463">
          <cell r="H3463" t="str">
            <v>FL002.0Y2W001BOCC</v>
          </cell>
          <cell r="I3463" t="str">
            <v>2 YD 2X WK BUS OCC 1</v>
          </cell>
        </row>
        <row r="3464">
          <cell r="H3464" t="str">
            <v>FL002.0Y2W001SCMGL</v>
          </cell>
          <cell r="I3464" t="str">
            <v>2 YD 2X WK SCHL CMGL 1</v>
          </cell>
        </row>
        <row r="3465">
          <cell r="H3465" t="str">
            <v>FL002.0Y2W001SOCC</v>
          </cell>
          <cell r="I3465" t="str">
            <v>2 YD 2X WK SCHOOL OCC</v>
          </cell>
        </row>
        <row r="3466">
          <cell r="H3466" t="str">
            <v>FL002.0Y3W001BOCC</v>
          </cell>
          <cell r="I3466" t="str">
            <v>2 YD 3X WK BUS OCC 1</v>
          </cell>
        </row>
        <row r="3467">
          <cell r="H3467" t="str">
            <v>FL002.0Y4W001BOCC</v>
          </cell>
          <cell r="I3467" t="str">
            <v>2 YD 4X WK BUS OCC 1</v>
          </cell>
        </row>
        <row r="3468">
          <cell r="H3468" t="str">
            <v>FL004.0Y1W001CMGL</v>
          </cell>
          <cell r="I3468" t="str">
            <v>4 YD 1X WK BUS CMGL 1</v>
          </cell>
        </row>
        <row r="3469">
          <cell r="H3469" t="str">
            <v>FL004.0Y1W001SCMGL</v>
          </cell>
          <cell r="I3469" t="str">
            <v>4 YD 1X WK SCH CMGL 1</v>
          </cell>
        </row>
        <row r="3470">
          <cell r="H3470" t="str">
            <v>FL004.0Y2W001CMGL</v>
          </cell>
          <cell r="I3470" t="str">
            <v>4 YD 2X WK BUS CMGL 1</v>
          </cell>
        </row>
        <row r="3471">
          <cell r="H3471" t="str">
            <v>FL004.0Y3W001BCMGL</v>
          </cell>
          <cell r="I3471" t="str">
            <v>4 YD 3X WK BUS CMGL 1</v>
          </cell>
        </row>
        <row r="3472">
          <cell r="H3472" t="str">
            <v>FL004.0Y4W001BCMGL</v>
          </cell>
          <cell r="I3472" t="str">
            <v>4 YD 4X WK BUS CMGL 1</v>
          </cell>
        </row>
        <row r="3473">
          <cell r="H3473" t="str">
            <v>FL004.0Y5W001BCMGL</v>
          </cell>
          <cell r="I3473" t="str">
            <v>4 YD 5X WK BUS CMGL 1</v>
          </cell>
        </row>
        <row r="3474">
          <cell r="H3474" t="str">
            <v>FL005.0Y1W001BOCC</v>
          </cell>
          <cell r="I3474" t="str">
            <v>5 YD 1X WK BUS OCC 1</v>
          </cell>
        </row>
        <row r="3475">
          <cell r="H3475" t="str">
            <v>FL005.0Y1W001OCC</v>
          </cell>
          <cell r="I3475" t="str">
            <v>5 YD 1X WK OCC  1</v>
          </cell>
        </row>
        <row r="3476">
          <cell r="H3476" t="str">
            <v>FL005.0Y1W001SOCC</v>
          </cell>
          <cell r="I3476" t="str">
            <v>5 YD 1X WK SCHOOL OCC</v>
          </cell>
        </row>
        <row r="3477">
          <cell r="H3477" t="str">
            <v>FL005.0Y2W001BOCC</v>
          </cell>
          <cell r="I3477" t="str">
            <v>5 YD 2X WK BUS OCC 1</v>
          </cell>
        </row>
        <row r="3478">
          <cell r="H3478" t="str">
            <v>FL005.0Y2W001OCC</v>
          </cell>
          <cell r="I3478" t="str">
            <v>5 YD 2X WK OCC 1</v>
          </cell>
        </row>
        <row r="3479">
          <cell r="H3479" t="str">
            <v>FL005.0Y3W001BOCC</v>
          </cell>
          <cell r="I3479" t="str">
            <v>5 YD 3X WK BUS OCC 1</v>
          </cell>
        </row>
        <row r="3480">
          <cell r="H3480" t="str">
            <v>FL005.0Y4W001BOCC</v>
          </cell>
          <cell r="I3480" t="str">
            <v>5 YD 4X WK BUS OCC 1</v>
          </cell>
        </row>
        <row r="3481">
          <cell r="H3481" t="str">
            <v>FL006.0Y1W001BCMGL</v>
          </cell>
          <cell r="I3481" t="str">
            <v>6 YD 1X WK BUS COMINGLE 1</v>
          </cell>
        </row>
        <row r="3482">
          <cell r="H3482" t="str">
            <v>FL006.0Y1W001SCMGL</v>
          </cell>
          <cell r="I3482" t="str">
            <v>6 YD 1X WK SCHL CMGL 1</v>
          </cell>
        </row>
        <row r="3483">
          <cell r="H3483" t="str">
            <v>FL006.0Y2W001BCMGL</v>
          </cell>
          <cell r="I3483" t="str">
            <v>6 YD 2X WK BUS COMINGLE 1</v>
          </cell>
        </row>
        <row r="3484">
          <cell r="H3484" t="str">
            <v>FL006.0Y3W001BCMGL</v>
          </cell>
          <cell r="I3484" t="str">
            <v>6 YD 3X WK BUS CMGL 1</v>
          </cell>
        </row>
        <row r="3485">
          <cell r="H3485" t="str">
            <v>MFNBINS</v>
          </cell>
          <cell r="I3485" t="str">
            <v>MULTI-FAMILY REC UNIT N/B</v>
          </cell>
        </row>
        <row r="3486">
          <cell r="H3486" t="str">
            <v>MFWBINS</v>
          </cell>
          <cell r="I3486" t="str">
            <v>MULTI-FAMILY REC UNIT W/B</v>
          </cell>
        </row>
        <row r="3487">
          <cell r="H3487" t="str">
            <v>ROLL-REC</v>
          </cell>
          <cell r="I3487" t="str">
            <v>ROLL OUT CHARGE - RECYCLI</v>
          </cell>
        </row>
        <row r="3488">
          <cell r="H3488" t="str">
            <v>SL064.0G1M001BCMGLIN</v>
          </cell>
          <cell r="I3488" t="str">
            <v>64 GL MTHLY BUS CMGL IN</v>
          </cell>
        </row>
        <row r="3489">
          <cell r="H3489" t="str">
            <v>SL064.0G1W001BCMGLOUT</v>
          </cell>
          <cell r="I3489" t="str">
            <v>64 GL WKLY BUS CMGL OUT</v>
          </cell>
        </row>
        <row r="3490">
          <cell r="H3490" t="str">
            <v>SL064.0GEO001BCMGLOUT</v>
          </cell>
          <cell r="I3490" t="str">
            <v>64 GL EOW BUS CMGL OUT</v>
          </cell>
        </row>
        <row r="3491">
          <cell r="H3491" t="str">
            <v>SL096.0G1M001BCMGLIN</v>
          </cell>
          <cell r="I3491" t="str">
            <v>96 GL MTHLY BUS CMGL IN</v>
          </cell>
        </row>
        <row r="3492">
          <cell r="H3492" t="str">
            <v>SL096.0G1M001BCMGLOUT</v>
          </cell>
          <cell r="I3492" t="str">
            <v>96 GL MTHLY BUS CMGL OUT</v>
          </cell>
        </row>
        <row r="3493">
          <cell r="H3493" t="str">
            <v>SL096.0G1W001BCMGLIN</v>
          </cell>
          <cell r="I3493" t="str">
            <v>96 GL WKLY BUS CMGL IN</v>
          </cell>
        </row>
        <row r="3494">
          <cell r="H3494" t="str">
            <v>SL096.0G1W001BCMGLOUT</v>
          </cell>
          <cell r="I3494" t="str">
            <v>96 GL WKLY BUS CMGL OUT</v>
          </cell>
        </row>
        <row r="3495">
          <cell r="H3495" t="str">
            <v>SL096.0G1W001RECC</v>
          </cell>
          <cell r="I3495" t="str">
            <v xml:space="preserve">96 GL 1X WK RECYCLE COMM </v>
          </cell>
        </row>
        <row r="3496">
          <cell r="H3496" t="str">
            <v>SL096.0G1W001SCMGLIN</v>
          </cell>
          <cell r="I3496" t="str">
            <v>96 GL WKLY SCHL CMGL IN</v>
          </cell>
        </row>
        <row r="3497">
          <cell r="H3497" t="str">
            <v>SL096.0G1W001SCMGLOUT</v>
          </cell>
          <cell r="I3497" t="str">
            <v>96 GL WKLY SCHL CMGL OUT</v>
          </cell>
        </row>
        <row r="3498">
          <cell r="H3498" t="str">
            <v>SL096.0GEO001BCMGLIN</v>
          </cell>
          <cell r="I3498" t="str">
            <v>96 GL EOW BUS CMGL IN</v>
          </cell>
        </row>
        <row r="3499">
          <cell r="H3499" t="str">
            <v>SL096.0GEO001BCMGLOUT</v>
          </cell>
          <cell r="I3499" t="str">
            <v>96 GL EOW BUS CMGL OUT</v>
          </cell>
        </row>
        <row r="3500">
          <cell r="H3500" t="str">
            <v>SL096.0GEO001SCMGLOUT</v>
          </cell>
          <cell r="I3500" t="str">
            <v>96 GL EOW SCHL CMGL OUT</v>
          </cell>
        </row>
        <row r="3501">
          <cell r="H3501" t="str">
            <v>FL006.0Y2W001BCMGL</v>
          </cell>
          <cell r="I3501" t="str">
            <v>6 YD 2X WK BUS COMINGLE 1</v>
          </cell>
        </row>
        <row r="3502">
          <cell r="H3502" t="str">
            <v>SL096.0G1W001BCMGLOUT</v>
          </cell>
          <cell r="I3502" t="str">
            <v>96 GL WKLY BUS CMGL OUT</v>
          </cell>
        </row>
        <row r="3503">
          <cell r="H3503" t="str">
            <v>SP5OCC-COMM</v>
          </cell>
          <cell r="I3503" t="str">
            <v>SPECIAL PICKUP 5 YD OCC -</v>
          </cell>
        </row>
        <row r="3504">
          <cell r="H3504" t="str">
            <v>CC-KOL</v>
          </cell>
          <cell r="I3504" t="str">
            <v>ONLINE PAYMENT-CC</v>
          </cell>
        </row>
        <row r="3505">
          <cell r="H3505" t="str">
            <v>CCREF-KOL</v>
          </cell>
          <cell r="I3505" t="str">
            <v>CREDIT CARD REFUND</v>
          </cell>
        </row>
        <row r="3506">
          <cell r="H3506" t="str">
            <v>PAY</v>
          </cell>
          <cell r="I3506" t="str">
            <v>PAYMENT THANK YOU</v>
          </cell>
        </row>
        <row r="3507">
          <cell r="H3507" t="str">
            <v>PAY-CFREE</v>
          </cell>
          <cell r="I3507" t="str">
            <v>CHECKFREE PAYMENT</v>
          </cell>
        </row>
        <row r="3508">
          <cell r="H3508" t="str">
            <v>PAY-KOL</v>
          </cell>
          <cell r="I3508" t="str">
            <v>PAYMENT-THANK YOU - OL</v>
          </cell>
        </row>
        <row r="3509">
          <cell r="H3509" t="str">
            <v>PAY-ORCC</v>
          </cell>
          <cell r="I3509" t="str">
            <v>ORCC PAYMENT</v>
          </cell>
        </row>
        <row r="3510">
          <cell r="H3510" t="str">
            <v>PAY-RPPS</v>
          </cell>
          <cell r="I3510" t="str">
            <v>RPPS MASTERCARD PAYMENT</v>
          </cell>
        </row>
        <row r="3511">
          <cell r="H3511" t="str">
            <v>PAYAD</v>
          </cell>
          <cell r="I3511" t="str">
            <v>ADJUST PAYMENT AD</v>
          </cell>
        </row>
        <row r="3512">
          <cell r="H3512" t="str">
            <v>PAYICT</v>
          </cell>
          <cell r="I3512" t="str">
            <v>I/C PAYMENT THANK YOU</v>
          </cell>
        </row>
        <row r="3513">
          <cell r="H3513" t="str">
            <v>PAYMET</v>
          </cell>
          <cell r="I3513" t="str">
            <v>METAVANTE ONLINE PAYMENT</v>
          </cell>
        </row>
        <row r="3514">
          <cell r="H3514" t="str">
            <v>PAYUSBL</v>
          </cell>
          <cell r="I3514" t="str">
            <v>PAYMENT THANK YOU</v>
          </cell>
        </row>
        <row r="3515">
          <cell r="H3515" t="str">
            <v>RET-KOL</v>
          </cell>
          <cell r="I3515" t="str">
            <v>ONLINE PAYMENT RETURN</v>
          </cell>
        </row>
        <row r="3516">
          <cell r="H3516" t="str">
            <v>CC-KOL</v>
          </cell>
          <cell r="I3516" t="str">
            <v>ONLINE PAYMENT-CC</v>
          </cell>
        </row>
        <row r="3517">
          <cell r="H3517" t="str">
            <v>CCREF-KOL</v>
          </cell>
          <cell r="I3517" t="str">
            <v>CREDIT CARD REFUND</v>
          </cell>
        </row>
        <row r="3518">
          <cell r="H3518" t="str">
            <v>PAY</v>
          </cell>
          <cell r="I3518" t="str">
            <v>PAYMENT THANK YOU</v>
          </cell>
        </row>
        <row r="3519">
          <cell r="H3519" t="str">
            <v>PAY-CFREE</v>
          </cell>
          <cell r="I3519" t="str">
            <v>CHECKFREE PAYMENT</v>
          </cell>
        </row>
        <row r="3520">
          <cell r="H3520" t="str">
            <v>PAY-KOL</v>
          </cell>
          <cell r="I3520" t="str">
            <v>PAYMENT-THANK YOU - OL</v>
          </cell>
        </row>
        <row r="3521">
          <cell r="H3521" t="str">
            <v>PAY-ORCC</v>
          </cell>
          <cell r="I3521" t="str">
            <v>ORCC PAYMENT</v>
          </cell>
        </row>
        <row r="3522">
          <cell r="H3522" t="str">
            <v>PAY-RPPS</v>
          </cell>
          <cell r="I3522" t="str">
            <v>RPPS MASTERCARD PAYMENT</v>
          </cell>
        </row>
        <row r="3523">
          <cell r="H3523" t="str">
            <v>PAYICT</v>
          </cell>
          <cell r="I3523" t="str">
            <v>I/C PAYMENT THANK YOU</v>
          </cell>
        </row>
        <row r="3524">
          <cell r="H3524" t="str">
            <v>PAYMET</v>
          </cell>
          <cell r="I3524" t="str">
            <v>METAVANTE ONLINE PAYMENT</v>
          </cell>
        </row>
        <row r="3525">
          <cell r="H3525" t="str">
            <v>PAYUSBL</v>
          </cell>
          <cell r="I3525" t="str">
            <v>PAYMENT THANK YOU</v>
          </cell>
        </row>
        <row r="3526">
          <cell r="H3526" t="str">
            <v>RET-KOL</v>
          </cell>
          <cell r="I3526" t="str">
            <v>ONLINE PAYMENT RETURN</v>
          </cell>
        </row>
        <row r="3527">
          <cell r="H3527" t="str">
            <v>CC-KOL</v>
          </cell>
          <cell r="I3527" t="str">
            <v>ONLINE PAYMENT-CC</v>
          </cell>
        </row>
        <row r="3528">
          <cell r="H3528" t="str">
            <v>CCREF-KOL</v>
          </cell>
          <cell r="I3528" t="str">
            <v>CREDIT CARD REFUND</v>
          </cell>
        </row>
        <row r="3529">
          <cell r="H3529" t="str">
            <v>PAY</v>
          </cell>
          <cell r="I3529" t="str">
            <v>PAYMENT THANK YOU</v>
          </cell>
        </row>
        <row r="3530">
          <cell r="H3530" t="str">
            <v>PAY-CFREE</v>
          </cell>
          <cell r="I3530" t="str">
            <v>CHECKFREE PAYMENT</v>
          </cell>
        </row>
        <row r="3531">
          <cell r="H3531" t="str">
            <v>PAY-KOL</v>
          </cell>
          <cell r="I3531" t="str">
            <v>PAYMENT-THANK YOU - OL</v>
          </cell>
        </row>
        <row r="3532">
          <cell r="H3532" t="str">
            <v>PAY-NATL</v>
          </cell>
          <cell r="I3532" t="str">
            <v>PAYMENT THANK YOU</v>
          </cell>
        </row>
        <row r="3533">
          <cell r="H3533" t="str">
            <v>PAY-OAK</v>
          </cell>
          <cell r="I3533" t="str">
            <v>OAKLEAF PAYMENT</v>
          </cell>
        </row>
        <row r="3534">
          <cell r="H3534" t="str">
            <v>PAY-ORCC</v>
          </cell>
          <cell r="I3534" t="str">
            <v>ORCC PAYMENT</v>
          </cell>
        </row>
        <row r="3535">
          <cell r="H3535" t="str">
            <v>PAY-RPPS</v>
          </cell>
          <cell r="I3535" t="str">
            <v>RPPS MASTERCARD PAYMENT</v>
          </cell>
        </row>
        <row r="3536">
          <cell r="H3536" t="str">
            <v>PAYEFT</v>
          </cell>
          <cell r="I3536" t="str">
            <v>EFT PAYMENT</v>
          </cell>
        </row>
        <row r="3537">
          <cell r="H3537" t="str">
            <v>PAYICLRI</v>
          </cell>
          <cell r="I3537" t="str">
            <v>PAYMENT THANK YOU</v>
          </cell>
        </row>
        <row r="3538">
          <cell r="H3538" t="str">
            <v>PAYICT</v>
          </cell>
          <cell r="I3538" t="str">
            <v>I/C PAYMENT THANK YOU</v>
          </cell>
        </row>
        <row r="3539">
          <cell r="H3539" t="str">
            <v>PAYMET</v>
          </cell>
          <cell r="I3539" t="str">
            <v>METAVANTE ONLINE PAYMENT</v>
          </cell>
        </row>
        <row r="3540">
          <cell r="H3540" t="str">
            <v>PAYUSBL</v>
          </cell>
          <cell r="I3540" t="str">
            <v>PAYMENT THANK YOU</v>
          </cell>
        </row>
        <row r="3541">
          <cell r="H3541" t="str">
            <v>RET-KOL</v>
          </cell>
          <cell r="I3541" t="str">
            <v>ONLINE PAYMENT RETURN</v>
          </cell>
        </row>
        <row r="3542">
          <cell r="H3542" t="str">
            <v>DRIVEIN-RES</v>
          </cell>
          <cell r="I3542" t="str">
            <v>DRIVE IN SERVICE - RES</v>
          </cell>
        </row>
        <row r="3543">
          <cell r="H3543" t="str">
            <v>GWRES</v>
          </cell>
          <cell r="I3543" t="str">
            <v>GREENWASTE SERVICE - RES</v>
          </cell>
        </row>
        <row r="3544">
          <cell r="H3544" t="str">
            <v>RECBINONLYR</v>
          </cell>
          <cell r="I3544" t="str">
            <v>RECYCLE SERVICE ONLY</v>
          </cell>
        </row>
        <row r="3545">
          <cell r="H3545" t="str">
            <v>RECPROGADJ-RES</v>
          </cell>
          <cell r="I3545" t="str">
            <v>RECYCLING PROGRAM ADJUSTM</v>
          </cell>
        </row>
        <row r="3546">
          <cell r="H3546" t="str">
            <v>RECVALRES</v>
          </cell>
          <cell r="I3546" t="str">
            <v>RECYCLABLES VALUE - RES</v>
          </cell>
        </row>
        <row r="3547">
          <cell r="H3547" t="str">
            <v>RL032.0G1M001WREC</v>
          </cell>
          <cell r="I3547" t="str">
            <v>32 GL 1X MO W/RECY 1</v>
          </cell>
        </row>
        <row r="3548">
          <cell r="H3548" t="str">
            <v>RL032.0G1W001WREC</v>
          </cell>
          <cell r="I3548" t="str">
            <v>32 GL 1X WK W/RECY 1</v>
          </cell>
        </row>
        <row r="3549">
          <cell r="H3549" t="str">
            <v>SL035.0G1W001NOREC</v>
          </cell>
          <cell r="I3549" t="str">
            <v>35 GL 1X WK NO RECY 1</v>
          </cell>
        </row>
        <row r="3550">
          <cell r="H3550" t="str">
            <v>SL035.0G1W001WREC</v>
          </cell>
          <cell r="I3550" t="str">
            <v>35 GL 1X WK W/ RECY 1</v>
          </cell>
        </row>
        <row r="3551">
          <cell r="H3551" t="str">
            <v>SL035.0GEO001WREC</v>
          </cell>
          <cell r="I3551" t="str">
            <v>35 GL EOW W/RECY 1</v>
          </cell>
        </row>
        <row r="3552">
          <cell r="H3552" t="str">
            <v>SL065.0G1M001WREC</v>
          </cell>
          <cell r="I3552" t="str">
            <v>65 GL 1X MO W/RECY 1</v>
          </cell>
        </row>
        <row r="3553">
          <cell r="H3553" t="str">
            <v>SL065.0G1W001NOREC</v>
          </cell>
          <cell r="I3553" t="str">
            <v>65 GL 1X WK NO RECY 1</v>
          </cell>
        </row>
        <row r="3554">
          <cell r="H3554" t="str">
            <v>SL065.0G1W001WREC</v>
          </cell>
          <cell r="I3554" t="str">
            <v>65 GL 1X WK W/RECY 1</v>
          </cell>
        </row>
        <row r="3555">
          <cell r="H3555" t="str">
            <v>SL065.0GEO001WREC</v>
          </cell>
          <cell r="I3555" t="str">
            <v>65 GL EOW W/RECY 1</v>
          </cell>
        </row>
        <row r="3556">
          <cell r="H3556" t="str">
            <v>SL095.0G1M001WREC</v>
          </cell>
          <cell r="I3556" t="str">
            <v>95 GL 1X MO W/RECY 1</v>
          </cell>
        </row>
        <row r="3557">
          <cell r="H3557" t="str">
            <v>SL095.0G1W001NOREC</v>
          </cell>
          <cell r="I3557" t="str">
            <v>95 GL 1X WK NO RECY 1</v>
          </cell>
        </row>
        <row r="3558">
          <cell r="H3558" t="str">
            <v>SL095.0G1W001WREC</v>
          </cell>
          <cell r="I3558" t="str">
            <v>95 GL 1X WK W/RECY 1</v>
          </cell>
        </row>
        <row r="3559">
          <cell r="H3559" t="str">
            <v>SL095.0GEO001WREC</v>
          </cell>
          <cell r="I3559" t="str">
            <v>95 GL EOW W/RECY 1</v>
          </cell>
        </row>
        <row r="3560">
          <cell r="H3560" t="str">
            <v>WI1-RES</v>
          </cell>
          <cell r="I3560" t="str">
            <v>WALK IN 6-25' - RES</v>
          </cell>
        </row>
        <row r="3561">
          <cell r="H3561" t="str">
            <v>ADJ-RES</v>
          </cell>
          <cell r="I3561" t="str">
            <v>ADJUSTMENT SERVICE - RES</v>
          </cell>
        </row>
        <row r="3562">
          <cell r="H3562" t="str">
            <v>BULKY-RES</v>
          </cell>
          <cell r="I3562" t="str">
            <v>BULKY ITEM PICK UP - RES</v>
          </cell>
        </row>
        <row r="3563">
          <cell r="H3563" t="str">
            <v>EXTRA-RES</v>
          </cell>
          <cell r="I3563" t="str">
            <v>EXTRA CAN, BAG, BOX - RES</v>
          </cell>
        </row>
        <row r="3564">
          <cell r="H3564" t="str">
            <v>EXTRA95-RES</v>
          </cell>
          <cell r="I3564" t="str">
            <v>EXTRA 95 GL RES</v>
          </cell>
        </row>
        <row r="3565">
          <cell r="H3565" t="str">
            <v>EXTRAGWC-RES</v>
          </cell>
          <cell r="I3565" t="str">
            <v>EXTRA GREENWASTE FEE - RE</v>
          </cell>
        </row>
        <row r="3566">
          <cell r="H3566" t="str">
            <v>GWRES</v>
          </cell>
          <cell r="I3566" t="str">
            <v>GREENWASTE SERVICE - RES</v>
          </cell>
        </row>
        <row r="3567">
          <cell r="H3567" t="str">
            <v>OC-RES</v>
          </cell>
          <cell r="I3567" t="str">
            <v>ON CALL SERVICE - RES</v>
          </cell>
        </row>
        <row r="3568">
          <cell r="H3568" t="str">
            <v>OW-RES</v>
          </cell>
          <cell r="I3568" t="str">
            <v>OVERFILL / OVERWEIGHT CAN</v>
          </cell>
        </row>
        <row r="3569">
          <cell r="H3569" t="str">
            <v>RECPROGADJ-RES</v>
          </cell>
          <cell r="I3569" t="str">
            <v>RECYCLING PROGRAM ADJUSTM</v>
          </cell>
        </row>
        <row r="3570">
          <cell r="H3570" t="str">
            <v>RECVALRES</v>
          </cell>
          <cell r="I3570" t="str">
            <v>RECYCLABLES VALUE - RES</v>
          </cell>
        </row>
        <row r="3571">
          <cell r="H3571" t="str">
            <v>REINSTATE-RES</v>
          </cell>
          <cell r="I3571" t="str">
            <v>REINSTATE FEE - RES</v>
          </cell>
        </row>
        <row r="3572">
          <cell r="H3572" t="str">
            <v>RL032.0G1W001WREC</v>
          </cell>
          <cell r="I3572" t="str">
            <v>32 GL 1X WK W/RECY 1</v>
          </cell>
        </row>
        <row r="3573">
          <cell r="H3573" t="str">
            <v>RTRNCART65-RES</v>
          </cell>
          <cell r="I3573" t="str">
            <v>RETURN TRIP 65 GL - RES</v>
          </cell>
        </row>
        <row r="3574">
          <cell r="H3574" t="str">
            <v>RTRNCART95-RES</v>
          </cell>
          <cell r="I3574" t="str">
            <v>RETURN TRIP 95 GL - RES</v>
          </cell>
        </row>
        <row r="3575">
          <cell r="H3575" t="str">
            <v>RTRNCART96REC-RES</v>
          </cell>
          <cell r="I3575" t="str">
            <v>RETURN TRIP 96 GL REC - RES</v>
          </cell>
        </row>
        <row r="3576">
          <cell r="H3576" t="str">
            <v>SL035.0G1W001WREC</v>
          </cell>
          <cell r="I3576" t="str">
            <v>35 GL 1X WK W/ RECY 1</v>
          </cell>
        </row>
        <row r="3577">
          <cell r="H3577" t="str">
            <v>SL065.0G1M001WREC</v>
          </cell>
          <cell r="I3577" t="str">
            <v>65 GL 1X MO W/RECY 1</v>
          </cell>
        </row>
        <row r="3578">
          <cell r="H3578" t="str">
            <v>SL065.0G1W001WREC</v>
          </cell>
          <cell r="I3578" t="str">
            <v>65 GL 1X WK W/RECY 1</v>
          </cell>
        </row>
        <row r="3579">
          <cell r="H3579" t="str">
            <v>SL065.0GEO001WREC</v>
          </cell>
          <cell r="I3579" t="str">
            <v>65 GL EOW W/RECY 1</v>
          </cell>
        </row>
        <row r="3580">
          <cell r="H3580" t="str">
            <v>SL095.0G1W001WREC</v>
          </cell>
          <cell r="I3580" t="str">
            <v>95 GL 1X WK W/RECY 1</v>
          </cell>
        </row>
        <row r="3581">
          <cell r="H3581" t="str">
            <v>TIME-RES</v>
          </cell>
          <cell r="I3581" t="str">
            <v>TIME FEE 1 - RES</v>
          </cell>
        </row>
        <row r="3582">
          <cell r="H3582" t="str">
            <v>UNRETURN-RES</v>
          </cell>
          <cell r="I3582" t="str">
            <v xml:space="preserve">CONTAINER UNRETURNED FEE </v>
          </cell>
        </row>
        <row r="3583">
          <cell r="H3583" t="str">
            <v>ACCESS-RES</v>
          </cell>
          <cell r="I3583" t="str">
            <v>ACCESS FEE - RES</v>
          </cell>
        </row>
        <row r="3584">
          <cell r="H3584" t="str">
            <v>DRIVEIN-RES</v>
          </cell>
          <cell r="I3584" t="str">
            <v>DRIVE IN SERVICE - RES</v>
          </cell>
        </row>
        <row r="3585">
          <cell r="H3585" t="str">
            <v>DRIVEINMUL-RES</v>
          </cell>
          <cell r="I3585" t="str">
            <v>DRIVE IN SVC MULTIPLE</v>
          </cell>
        </row>
        <row r="3586">
          <cell r="H3586" t="str">
            <v>EMPLOYEER</v>
          </cell>
          <cell r="I3586" t="str">
            <v>EMPLOYEE SERVICE RES</v>
          </cell>
        </row>
        <row r="3587">
          <cell r="H3587" t="str">
            <v>GWRES</v>
          </cell>
          <cell r="I3587" t="str">
            <v>GREENWASTE SERVICE - RES</v>
          </cell>
        </row>
        <row r="3588">
          <cell r="H3588" t="str">
            <v>RECBINONLYR</v>
          </cell>
          <cell r="I3588" t="str">
            <v>RECYCLE SERVICE ONLY</v>
          </cell>
        </row>
        <row r="3589">
          <cell r="H3589" t="str">
            <v>RECPROGADJ-RES</v>
          </cell>
          <cell r="I3589" t="str">
            <v>RECYCLING PROGRAM ADJUSTM</v>
          </cell>
        </row>
        <row r="3590">
          <cell r="H3590" t="str">
            <v>RECVALRES</v>
          </cell>
          <cell r="I3590" t="str">
            <v>RECYCLABLES VALUE - RES</v>
          </cell>
        </row>
        <row r="3591">
          <cell r="H3591" t="str">
            <v>RL020.0G1W001</v>
          </cell>
          <cell r="I3591" t="str">
            <v>20 GL 1X WK 1</v>
          </cell>
        </row>
        <row r="3592">
          <cell r="H3592" t="str">
            <v>RL032.0G1M001NOREC</v>
          </cell>
          <cell r="I3592" t="str">
            <v>32 GL 1X MO NO RECY 1</v>
          </cell>
        </row>
        <row r="3593">
          <cell r="H3593" t="str">
            <v>RL032.0G1M001WREC</v>
          </cell>
          <cell r="I3593" t="str">
            <v>32 GL 1X MO W/RECY 1</v>
          </cell>
        </row>
        <row r="3594">
          <cell r="H3594" t="str">
            <v>RL032.0G1W001NOREC</v>
          </cell>
          <cell r="I3594" t="str">
            <v>32 GL 1X WK NO RECY 1</v>
          </cell>
        </row>
        <row r="3595">
          <cell r="H3595" t="str">
            <v>RL032.0G1W001WREC</v>
          </cell>
          <cell r="I3595" t="str">
            <v>32 GL 1X WK W/RECY 1</v>
          </cell>
        </row>
        <row r="3596">
          <cell r="H3596" t="str">
            <v>RL032.0G1W002NOREC</v>
          </cell>
          <cell r="I3596" t="str">
            <v>32 GL 1X WK NO RECY 2</v>
          </cell>
        </row>
        <row r="3597">
          <cell r="H3597" t="str">
            <v>RL032.0G1W002WREC</v>
          </cell>
          <cell r="I3597" t="str">
            <v>32 GL 1X WK W/RECY 2</v>
          </cell>
        </row>
        <row r="3598">
          <cell r="H3598" t="str">
            <v>RL032.0G1W003WREC</v>
          </cell>
          <cell r="I3598" t="str">
            <v>32 GL 1X WK W/RECY 3</v>
          </cell>
        </row>
        <row r="3599">
          <cell r="H3599" t="str">
            <v>RL032.0G1W004NOREC</v>
          </cell>
          <cell r="I3599" t="str">
            <v>32 GL 1X WK NO RECY 4</v>
          </cell>
        </row>
        <row r="3600">
          <cell r="H3600" t="str">
            <v>RL032.0G1W004WREC</v>
          </cell>
          <cell r="I3600" t="str">
            <v>32 GL 1X WK W/RECY 4</v>
          </cell>
        </row>
        <row r="3601">
          <cell r="H3601" t="str">
            <v>SL035.0G1M001WREC</v>
          </cell>
          <cell r="I3601" t="str">
            <v>35 GL 1X MO W/RECY 1</v>
          </cell>
        </row>
        <row r="3602">
          <cell r="H3602" t="str">
            <v>SL035.0G1W001NOREC</v>
          </cell>
          <cell r="I3602" t="str">
            <v>35 GL 1X WK NO RECY 1</v>
          </cell>
        </row>
        <row r="3603">
          <cell r="H3603" t="str">
            <v>SL035.0G1W001WREC</v>
          </cell>
          <cell r="I3603" t="str">
            <v>35 GL 1X WK W/ RECY 1</v>
          </cell>
        </row>
        <row r="3604">
          <cell r="H3604" t="str">
            <v>SL035.0G1W002WREC</v>
          </cell>
          <cell r="I3604" t="str">
            <v>35 GL 1X WK W/RECY 2</v>
          </cell>
        </row>
        <row r="3605">
          <cell r="H3605" t="str">
            <v>SL035.0GEO001NOREC</v>
          </cell>
          <cell r="I3605" t="str">
            <v>35 GL EOW NO RECY 1</v>
          </cell>
        </row>
        <row r="3606">
          <cell r="H3606" t="str">
            <v>SL035.0GEO001WREC</v>
          </cell>
          <cell r="I3606" t="str">
            <v>35 GL EOW W/RECY 1</v>
          </cell>
        </row>
        <row r="3607">
          <cell r="H3607" t="str">
            <v>SL060.0G1M001WREC</v>
          </cell>
          <cell r="I3607" t="str">
            <v>60 GL 1X MO W/RECY 1</v>
          </cell>
        </row>
        <row r="3608">
          <cell r="H3608" t="str">
            <v>SL065.0G1M001NOREC</v>
          </cell>
          <cell r="I3608" t="str">
            <v>65 GL 1X MO NO RECY 1</v>
          </cell>
        </row>
        <row r="3609">
          <cell r="H3609" t="str">
            <v>SL065.0G1M001WREC</v>
          </cell>
          <cell r="I3609" t="str">
            <v>65 GL 1X MO W/RECY 1</v>
          </cell>
        </row>
        <row r="3610">
          <cell r="H3610" t="str">
            <v>SL065.0G1W001NOREC</v>
          </cell>
          <cell r="I3610" t="str">
            <v>65 GL 1X WK NO RECY 1</v>
          </cell>
        </row>
        <row r="3611">
          <cell r="H3611" t="str">
            <v>SL065.0G1W001WREC</v>
          </cell>
          <cell r="I3611" t="str">
            <v>65 GL 1X WK W/RECY 1</v>
          </cell>
        </row>
        <row r="3612">
          <cell r="H3612" t="str">
            <v>SL065.0GEO001NOREC</v>
          </cell>
          <cell r="I3612" t="str">
            <v>65 GL EOW NO RECY 1</v>
          </cell>
        </row>
        <row r="3613">
          <cell r="H3613" t="str">
            <v>SL065.0GEO001WREC</v>
          </cell>
          <cell r="I3613" t="str">
            <v>65 GL EOW W/RECY 1</v>
          </cell>
        </row>
        <row r="3614">
          <cell r="H3614" t="str">
            <v>SL095.0G1M001NOREC</v>
          </cell>
          <cell r="I3614" t="str">
            <v>95 GL 1X MO NO RECY 1</v>
          </cell>
        </row>
        <row r="3615">
          <cell r="H3615" t="str">
            <v>SL095.0G1M001WREC</v>
          </cell>
          <cell r="I3615" t="str">
            <v>95 GL 1X MO W/RECY 1</v>
          </cell>
        </row>
        <row r="3616">
          <cell r="H3616" t="str">
            <v>SL095.0G1W001NOREC</v>
          </cell>
          <cell r="I3616" t="str">
            <v>95 GL 1X WK NO RECY 1</v>
          </cell>
        </row>
        <row r="3617">
          <cell r="H3617" t="str">
            <v>SL095.0G1W001WREC</v>
          </cell>
          <cell r="I3617" t="str">
            <v>95 GL 1X WK W/RECY 1</v>
          </cell>
        </row>
        <row r="3618">
          <cell r="H3618" t="str">
            <v>SL095.0GEO001NOREC</v>
          </cell>
          <cell r="I3618" t="str">
            <v>95 GL EOW NO RECY 1</v>
          </cell>
        </row>
        <row r="3619">
          <cell r="H3619" t="str">
            <v>SL095.0GEO001WREC</v>
          </cell>
          <cell r="I3619" t="str">
            <v>95 GL EOW W/RECY 1</v>
          </cell>
        </row>
        <row r="3620">
          <cell r="H3620" t="str">
            <v>WI-RES</v>
          </cell>
          <cell r="I3620" t="str">
            <v>WALK IN 6-25' - RES</v>
          </cell>
        </row>
        <row r="3621">
          <cell r="H3621" t="str">
            <v>WI1-RES</v>
          </cell>
          <cell r="I3621" t="str">
            <v>WALK IN 6-25' - RES</v>
          </cell>
        </row>
        <row r="3622">
          <cell r="H3622" t="str">
            <v>WI2-RES</v>
          </cell>
          <cell r="I3622" t="str">
            <v>WALK IN 26-50' - RES</v>
          </cell>
        </row>
        <row r="3623">
          <cell r="H3623" t="str">
            <v>ADJ-RES</v>
          </cell>
          <cell r="I3623" t="str">
            <v>ADJUSTMENT SERVICE - RES</v>
          </cell>
        </row>
        <row r="3624">
          <cell r="H3624" t="str">
            <v>BULKY-RES</v>
          </cell>
          <cell r="I3624" t="str">
            <v>BULKY ITEM PICK UP - RES</v>
          </cell>
        </row>
        <row r="3625">
          <cell r="H3625" t="str">
            <v>EXTRA-RES</v>
          </cell>
          <cell r="I3625" t="str">
            <v>EXTRA CAN, BAG, BOX - RES</v>
          </cell>
        </row>
        <row r="3626">
          <cell r="H3626" t="str">
            <v>EXTRA95-RES</v>
          </cell>
          <cell r="I3626" t="str">
            <v>EXTRA 95 GL RES</v>
          </cell>
        </row>
        <row r="3627">
          <cell r="H3627" t="str">
            <v>EXTRAGWC-RES</v>
          </cell>
          <cell r="I3627" t="str">
            <v>EXTRA GREENWASTE FEE - RE</v>
          </cell>
        </row>
        <row r="3628">
          <cell r="H3628" t="str">
            <v>GWRES</v>
          </cell>
          <cell r="I3628" t="str">
            <v>GREENWASTE SERVICE - RES</v>
          </cell>
        </row>
        <row r="3629">
          <cell r="H3629" t="str">
            <v>OC-RES</v>
          </cell>
          <cell r="I3629" t="str">
            <v>ON CALL SERVICE - RES</v>
          </cell>
        </row>
        <row r="3630">
          <cell r="H3630" t="str">
            <v>OW-RES</v>
          </cell>
          <cell r="I3630" t="str">
            <v>OVERFILL / OVERWEIGHT CAN</v>
          </cell>
        </row>
        <row r="3631">
          <cell r="H3631" t="str">
            <v>RECPROGADJ-RES</v>
          </cell>
          <cell r="I3631" t="str">
            <v>RECYCLING PROGRAM ADJUSTM</v>
          </cell>
        </row>
        <row r="3632">
          <cell r="H3632" t="str">
            <v>RECVALRES</v>
          </cell>
          <cell r="I3632" t="str">
            <v>RECYCLABLES VALUE - RES</v>
          </cell>
        </row>
        <row r="3633">
          <cell r="H3633" t="str">
            <v>REINSTATE-RES</v>
          </cell>
          <cell r="I3633" t="str">
            <v>REINSTATE FEE - RES</v>
          </cell>
        </row>
        <row r="3634">
          <cell r="H3634" t="str">
            <v>RTRNCART65-RES</v>
          </cell>
          <cell r="I3634" t="str">
            <v>RETURN TRIP 65 GL - RES</v>
          </cell>
        </row>
        <row r="3635">
          <cell r="H3635" t="str">
            <v>RTRNCART95-RES</v>
          </cell>
          <cell r="I3635" t="str">
            <v>RETURN TRIP 95 GL - RES</v>
          </cell>
        </row>
        <row r="3636">
          <cell r="H3636" t="str">
            <v>RTRNCART96REC-RES</v>
          </cell>
          <cell r="I3636" t="str">
            <v>RETURN TRIP 96 GL REC - RES</v>
          </cell>
        </row>
        <row r="3637">
          <cell r="H3637" t="str">
            <v>SL065.0G1M001WREC</v>
          </cell>
          <cell r="I3637" t="str">
            <v>65 GL 1X MO W/RECY 1</v>
          </cell>
        </row>
        <row r="3638">
          <cell r="H3638" t="str">
            <v>SL065.0G1W001WREC</v>
          </cell>
          <cell r="I3638" t="str">
            <v>65 GL 1X WK W/RECY 1</v>
          </cell>
        </row>
        <row r="3639">
          <cell r="H3639" t="str">
            <v>SL065.0GEO001WREC</v>
          </cell>
          <cell r="I3639" t="str">
            <v>65 GL EOW W/RECY 1</v>
          </cell>
        </row>
        <row r="3640">
          <cell r="H3640" t="str">
            <v>SL095.0G1W001WREC</v>
          </cell>
          <cell r="I3640" t="str">
            <v>95 GL 1X WK W/RECY 1</v>
          </cell>
        </row>
        <row r="3641">
          <cell r="H3641" t="str">
            <v>SPGRAD1-RES</v>
          </cell>
          <cell r="I3641" t="str">
            <v>SPECIAL GRADUATED 1-2 - R</v>
          </cell>
        </row>
        <row r="3642">
          <cell r="H3642" t="str">
            <v>TIME-RES</v>
          </cell>
          <cell r="I3642" t="str">
            <v>TIME FEE 1 - RES</v>
          </cell>
        </row>
        <row r="3643">
          <cell r="H3643" t="str">
            <v>EMPLOYEER</v>
          </cell>
          <cell r="I3643" t="str">
            <v>EMPLOYEE SERVICE RES</v>
          </cell>
        </row>
        <row r="3644">
          <cell r="H3644" t="str">
            <v>GWRES</v>
          </cell>
          <cell r="I3644" t="str">
            <v>GREENWASTE SERVICE - RES</v>
          </cell>
        </row>
        <row r="3645">
          <cell r="H3645" t="str">
            <v>SL035.0G1W001WREC</v>
          </cell>
          <cell r="I3645" t="str">
            <v>35 GL 1X WK W/ RECY 1</v>
          </cell>
        </row>
        <row r="3646">
          <cell r="H3646" t="str">
            <v>SL065.0G1W001NOREC</v>
          </cell>
          <cell r="I3646" t="str">
            <v>65 GL 1X WK NO RECY 1</v>
          </cell>
        </row>
        <row r="3647">
          <cell r="H3647" t="str">
            <v>SL065.0G1W001WREC</v>
          </cell>
          <cell r="I3647" t="str">
            <v>65 GL 1X WK W/RECY 1</v>
          </cell>
        </row>
        <row r="3648">
          <cell r="H3648" t="str">
            <v>SL095.0G1W001WREC</v>
          </cell>
          <cell r="I3648" t="str">
            <v>95 GL 1X WK W/RECY 1</v>
          </cell>
        </row>
        <row r="3649">
          <cell r="H3649" t="str">
            <v>BULKY-RES</v>
          </cell>
          <cell r="I3649" t="str">
            <v>BULKY ITEM PICK UP - RES</v>
          </cell>
        </row>
        <row r="3650">
          <cell r="H3650" t="str">
            <v>DISP-RES</v>
          </cell>
          <cell r="I3650" t="str">
            <v>DISPOSAL FEE -RES</v>
          </cell>
        </row>
        <row r="3651">
          <cell r="H3651" t="str">
            <v>DISPCMGL-RES</v>
          </cell>
          <cell r="I3651" t="str">
            <v>DISPOSAL COMINGLE - RES</v>
          </cell>
        </row>
        <row r="3652">
          <cell r="H3652" t="str">
            <v>DISPFEDMSW-RES</v>
          </cell>
          <cell r="I3652" t="str">
            <v>DISPOSAL FEDERAL MSW - RE</v>
          </cell>
        </row>
        <row r="3653">
          <cell r="H3653" t="str">
            <v>DISPGW-RES</v>
          </cell>
          <cell r="I3653" t="str">
            <v>DISPOSAL FEE GREENWASTE -</v>
          </cell>
        </row>
        <row r="3654">
          <cell r="H3654" t="str">
            <v>OW-RES</v>
          </cell>
          <cell r="I3654" t="str">
            <v>OVERFILL / OVERWEIGHT CAN</v>
          </cell>
        </row>
        <row r="3655">
          <cell r="H3655" t="str">
            <v>SL065.0G1W001WREC</v>
          </cell>
          <cell r="I3655" t="str">
            <v>65 GL 1X WK W/RECY 1</v>
          </cell>
        </row>
        <row r="3656">
          <cell r="H3656" t="str">
            <v>DISP-RES</v>
          </cell>
          <cell r="I3656" t="str">
            <v>DISPOSAL FEE -RES</v>
          </cell>
        </row>
        <row r="3657">
          <cell r="H3657" t="str">
            <v>DISPCMGL-RES</v>
          </cell>
          <cell r="I3657" t="str">
            <v>DISPOSAL COMINGLE - RES</v>
          </cell>
        </row>
        <row r="3658">
          <cell r="H3658" t="str">
            <v>DISPGW-RES</v>
          </cell>
          <cell r="I3658" t="str">
            <v>DISPOSAL FEE GREENWASTE -</v>
          </cell>
        </row>
        <row r="3659">
          <cell r="H3659" t="str">
            <v>HAUL20-RO</v>
          </cell>
          <cell r="I3659" t="str">
            <v>HAUL 20 YD - RO</v>
          </cell>
        </row>
        <row r="3660">
          <cell r="H3660" t="str">
            <v>LIDRO</v>
          </cell>
          <cell r="I3660" t="str">
            <v>LID CHARGE - RO</v>
          </cell>
        </row>
        <row r="3661">
          <cell r="H3661" t="str">
            <v>RENT10MO-RO</v>
          </cell>
          <cell r="I3661" t="str">
            <v>RENTAL FEE 10 YD MONTHLY</v>
          </cell>
        </row>
        <row r="3662">
          <cell r="H3662" t="str">
            <v>RENT20MO-RO</v>
          </cell>
          <cell r="I3662" t="str">
            <v>RENTAL FEE 20 YD MONTHLY</v>
          </cell>
        </row>
        <row r="3663">
          <cell r="H3663" t="str">
            <v>RENT30MO-RO</v>
          </cell>
          <cell r="I3663" t="str">
            <v>RENTAL FEE 30 YD MONTHLY</v>
          </cell>
        </row>
        <row r="3664">
          <cell r="H3664" t="str">
            <v>RENT30TEMP-RO</v>
          </cell>
          <cell r="I3664" t="str">
            <v>RENTAL FEE 30 YD TEMP - R</v>
          </cell>
        </row>
        <row r="3665">
          <cell r="H3665" t="str">
            <v>RENT40MO-RO</v>
          </cell>
          <cell r="I3665" t="str">
            <v>RENTAL FEE 40 YD MONTHLY</v>
          </cell>
        </row>
        <row r="3666">
          <cell r="H3666" t="str">
            <v>RENT40TEMP-RO</v>
          </cell>
          <cell r="I3666" t="str">
            <v>RENTAL FEE 40 YD TEMP - R</v>
          </cell>
        </row>
        <row r="3667">
          <cell r="H3667" t="str">
            <v>CLEAN30-RO</v>
          </cell>
          <cell r="I3667" t="str">
            <v>CLEANING FEE 30 YD - RO</v>
          </cell>
        </row>
        <row r="3668">
          <cell r="H3668" t="str">
            <v>DEL20TEMP-RO</v>
          </cell>
          <cell r="I3668" t="str">
            <v>DELIVERY FEE 20 YD TEMP -</v>
          </cell>
        </row>
        <row r="3669">
          <cell r="H3669" t="str">
            <v>DEL30TEMP-RO</v>
          </cell>
          <cell r="I3669" t="str">
            <v>DELIVERY FEE 30 YD TEMP -</v>
          </cell>
        </row>
        <row r="3670">
          <cell r="H3670" t="str">
            <v>DEL40-RO</v>
          </cell>
          <cell r="I3670" t="str">
            <v>DELIVERY FEE 40 YD - RO</v>
          </cell>
        </row>
        <row r="3671">
          <cell r="H3671" t="str">
            <v>DEL40TEMP-RO</v>
          </cell>
          <cell r="I3671" t="str">
            <v>DELIVERY FEE 40 YD TEMP -</v>
          </cell>
        </row>
        <row r="3672">
          <cell r="H3672" t="str">
            <v>DISCO-CP</v>
          </cell>
          <cell r="I3672" t="str">
            <v xml:space="preserve">COMPACTOR DISCONNECT FEE </v>
          </cell>
        </row>
        <row r="3673">
          <cell r="H3673" t="str">
            <v>DISP-RO</v>
          </cell>
          <cell r="I3673" t="str">
            <v>DISPOSAL CHARGE - RO</v>
          </cell>
        </row>
        <row r="3674">
          <cell r="H3674" t="str">
            <v>DISPCMGL-RO</v>
          </cell>
          <cell r="I3674" t="str">
            <v xml:space="preserve">DISPOSAL FEE COMMINGLE - </v>
          </cell>
        </row>
        <row r="3675">
          <cell r="H3675" t="str">
            <v>DISPTIRES-RO</v>
          </cell>
          <cell r="I3675" t="str">
            <v>DISPOSAL FEE TIRES - RO</v>
          </cell>
        </row>
        <row r="3676">
          <cell r="H3676" t="str">
            <v>DISPTOTERS-RO</v>
          </cell>
          <cell r="I3676" t="str">
            <v>DISPOSAL FEE TOTERS</v>
          </cell>
        </row>
        <row r="3677">
          <cell r="H3677" t="str">
            <v>DISPTRANS-RO</v>
          </cell>
          <cell r="I3677" t="str">
            <v>DISPOSAL FEE TRANSFER HAU</v>
          </cell>
        </row>
        <row r="3678">
          <cell r="H3678" t="str">
            <v>FERRY-RO</v>
          </cell>
          <cell r="I3678" t="str">
            <v>FERRY FEE - RO</v>
          </cell>
        </row>
        <row r="3679">
          <cell r="H3679" t="str">
            <v>FINAL20-RO</v>
          </cell>
          <cell r="I3679" t="str">
            <v>FINAL PULL 20 YD - RO</v>
          </cell>
        </row>
        <row r="3680">
          <cell r="H3680" t="str">
            <v>FINAL20TEMP-RO</v>
          </cell>
          <cell r="I3680" t="str">
            <v>FINAL PULL 20 YD TEMP - R</v>
          </cell>
        </row>
        <row r="3681">
          <cell r="H3681" t="str">
            <v>FINAL30-RO</v>
          </cell>
          <cell r="I3681" t="str">
            <v>FINAL PULL 30 YD - RO</v>
          </cell>
        </row>
        <row r="3682">
          <cell r="H3682" t="str">
            <v>FINAL30TEMP-RO</v>
          </cell>
          <cell r="I3682" t="str">
            <v>FINAL PULL 30 YD TEMP - R</v>
          </cell>
        </row>
        <row r="3683">
          <cell r="H3683" t="str">
            <v>FINAL40-RO</v>
          </cell>
          <cell r="I3683" t="str">
            <v>FINAL PULL 40 YD - RO</v>
          </cell>
        </row>
        <row r="3684">
          <cell r="H3684" t="str">
            <v>FINAL40TEMP-RO</v>
          </cell>
          <cell r="I3684" t="str">
            <v>FINAL PULL 40 YD TEMP - R</v>
          </cell>
        </row>
        <row r="3685">
          <cell r="H3685" t="str">
            <v>HAUL10-CP</v>
          </cell>
          <cell r="I3685" t="str">
            <v>COMPACTOR HAUL 10 YD - RO</v>
          </cell>
        </row>
        <row r="3686">
          <cell r="H3686" t="str">
            <v>HAUL20-CP</v>
          </cell>
          <cell r="I3686" t="str">
            <v>COMPACTOR HAUL 20 YD - RO</v>
          </cell>
        </row>
        <row r="3687">
          <cell r="H3687" t="str">
            <v>HAUL20-RO</v>
          </cell>
          <cell r="I3687" t="str">
            <v>HAUL 20 YD - RO</v>
          </cell>
        </row>
        <row r="3688">
          <cell r="H3688" t="str">
            <v>HAUL20CUST-RO</v>
          </cell>
          <cell r="I3688" t="str">
            <v>HAUL 20 YD CUST - RO</v>
          </cell>
        </row>
        <row r="3689">
          <cell r="H3689" t="str">
            <v>HAUL20TEMP-RO</v>
          </cell>
          <cell r="I3689" t="str">
            <v>HAUL 20 YD TEMP - RO</v>
          </cell>
        </row>
        <row r="3690">
          <cell r="H3690" t="str">
            <v>HAUL25-CP</v>
          </cell>
          <cell r="I3690" t="str">
            <v>COMPACTOR HAUL 25 YD - RO</v>
          </cell>
        </row>
        <row r="3691">
          <cell r="H3691" t="str">
            <v>HAUL30-CP</v>
          </cell>
          <cell r="I3691" t="str">
            <v>COMPACTOR HAUL 30 YD</v>
          </cell>
        </row>
        <row r="3692">
          <cell r="H3692" t="str">
            <v>HAUL30-RO</v>
          </cell>
          <cell r="I3692" t="str">
            <v>HAUL 30 YD - RO</v>
          </cell>
        </row>
        <row r="3693">
          <cell r="H3693" t="str">
            <v>HAUL30TEMP-RO</v>
          </cell>
          <cell r="I3693" t="str">
            <v>HAUL 30 YD TEMP - RO</v>
          </cell>
        </row>
        <row r="3694">
          <cell r="H3694" t="str">
            <v>HAUL40-CP</v>
          </cell>
          <cell r="I3694" t="str">
            <v>COMPACTOR HAUL 40 YD</v>
          </cell>
        </row>
        <row r="3695">
          <cell r="H3695" t="str">
            <v>HAUL40-RO</v>
          </cell>
          <cell r="I3695" t="str">
            <v>HAUL 40 YD - RO</v>
          </cell>
        </row>
        <row r="3696">
          <cell r="H3696" t="str">
            <v>HAUL40TEMP-RO</v>
          </cell>
          <cell r="I3696" t="str">
            <v>HAUL 40 YD TEMP - RO</v>
          </cell>
        </row>
        <row r="3697">
          <cell r="H3697" t="str">
            <v>MILE-RO</v>
          </cell>
          <cell r="I3697" t="str">
            <v>MILEAGE FEE - RO</v>
          </cell>
        </row>
        <row r="3698">
          <cell r="H3698" t="str">
            <v>RENT20TEMP-RO</v>
          </cell>
          <cell r="I3698" t="str">
            <v>RENTAL FEE 20 YD TEMP - R</v>
          </cell>
        </row>
        <row r="3699">
          <cell r="H3699" t="str">
            <v>RENT30TEMP-RO</v>
          </cell>
          <cell r="I3699" t="str">
            <v>RENTAL FEE 30 YD TEMP - R</v>
          </cell>
        </row>
        <row r="3700">
          <cell r="H3700" t="str">
            <v>RENT40TEMP-RO</v>
          </cell>
          <cell r="I3700" t="str">
            <v>RENTAL FEE 40 YD TEMP - R</v>
          </cell>
        </row>
        <row r="3701">
          <cell r="H3701" t="str">
            <v>RTRNTRIP-RO</v>
          </cell>
          <cell r="I3701" t="str">
            <v>RETURN TRIP FEE - RO</v>
          </cell>
        </row>
        <row r="3702">
          <cell r="H3702" t="str">
            <v>TIME-RO</v>
          </cell>
          <cell r="I3702" t="str">
            <v>TIME FEE - RO</v>
          </cell>
        </row>
        <row r="3703">
          <cell r="H3703" t="str">
            <v>COMMODITY SURCHARGE</v>
          </cell>
          <cell r="I3703" t="str">
            <v>COMMODITY SURCHARGE</v>
          </cell>
        </row>
        <row r="3704">
          <cell r="H3704" t="str">
            <v>COMMODITY SURCHARGE</v>
          </cell>
          <cell r="I3704" t="str">
            <v>COMMODITY SURCHARGE</v>
          </cell>
        </row>
        <row r="3705">
          <cell r="H3705" t="str">
            <v>COMMODITY SURCHARGE</v>
          </cell>
          <cell r="I3705" t="str">
            <v>COMMODITY SURCHARGE</v>
          </cell>
        </row>
        <row r="3706">
          <cell r="H3706" t="str">
            <v xml:space="preserve">PIERCE COUNTY REFUSE </v>
          </cell>
          <cell r="I3706" t="str">
            <v>3.6% PIERCE COUNTY REFUSE</v>
          </cell>
        </row>
        <row r="3707">
          <cell r="H3707" t="str">
            <v xml:space="preserve">PIERCE COUNTY REFUSE  </v>
          </cell>
          <cell r="I3707" t="str">
            <v>3.6% PIERCE COUNTY REFUSE</v>
          </cell>
        </row>
        <row r="3708">
          <cell r="H3708" t="str">
            <v>PIERCE REFUSE TAX</v>
          </cell>
          <cell r="I3708" t="str">
            <v>3.6% WA STATE REFUSE TAX</v>
          </cell>
        </row>
        <row r="3709">
          <cell r="H3709" t="str">
            <v xml:space="preserve">PIERCE COUNTY REFUSE </v>
          </cell>
          <cell r="I3709" t="str">
            <v>3.6% PIERCE COUNTY REFUSE</v>
          </cell>
        </row>
        <row r="3710">
          <cell r="H3710" t="str">
            <v xml:space="preserve">PIERCE COUNTY REFUSE  </v>
          </cell>
          <cell r="I3710" t="str">
            <v>3.6% PIERCE COUNTY REFUSE</v>
          </cell>
        </row>
        <row r="3711">
          <cell r="H3711" t="str">
            <v>PIERCE COUNTY REFUSE</v>
          </cell>
          <cell r="I3711" t="str">
            <v>3.6% PIERCE COUNTY REFUSE</v>
          </cell>
        </row>
        <row r="3712">
          <cell r="H3712" t="str">
            <v>PIERCE COUNTY SALES 7.9%</v>
          </cell>
          <cell r="I3712" t="str">
            <v>7.9% WA STATE SALES TAX</v>
          </cell>
        </row>
        <row r="3713">
          <cell r="H3713" t="str">
            <v>PIERCE COUNTY SALES 9.3%</v>
          </cell>
          <cell r="I3713" t="str">
            <v>9.3% WA STATE SALES TAX</v>
          </cell>
        </row>
        <row r="3714">
          <cell r="H3714" t="str">
            <v>PIERCE REFUSE TAX</v>
          </cell>
          <cell r="I3714" t="str">
            <v>3.6% WA STATE REFUSE TAX</v>
          </cell>
        </row>
        <row r="3715">
          <cell r="H3715" t="str">
            <v>PIERCE STATE SALES TAX</v>
          </cell>
          <cell r="I3715" t="str">
            <v>9.9% WA STATE SALES TAX</v>
          </cell>
        </row>
        <row r="3716">
          <cell r="H3716" t="str">
            <v xml:space="preserve">PIERCE COUNTY REFUSE </v>
          </cell>
          <cell r="I3716" t="str">
            <v>3.6% PIERCE COUNTY REFUSE</v>
          </cell>
        </row>
        <row r="3717">
          <cell r="H3717" t="str">
            <v xml:space="preserve">PIERCE COUNTY REFUSE  </v>
          </cell>
          <cell r="I3717" t="str">
            <v>3.6% PIERCE COUNTY REFUSE</v>
          </cell>
        </row>
        <row r="3718">
          <cell r="H3718" t="str">
            <v>PIERCE COUNTY REFUSE</v>
          </cell>
          <cell r="I3718" t="str">
            <v>3.6% PIERCE COUNTY REFUSE</v>
          </cell>
        </row>
        <row r="3719">
          <cell r="H3719" t="str">
            <v>PIERCE REFUSE TAX</v>
          </cell>
          <cell r="I3719" t="str">
            <v>3.6% WA STATE REFUSE TAX</v>
          </cell>
        </row>
        <row r="3720">
          <cell r="H3720" t="str">
            <v xml:space="preserve">PIERCE COUNTY REFUSE </v>
          </cell>
          <cell r="I3720" t="str">
            <v>3.6% PIERCE COUNTY REFUSE</v>
          </cell>
        </row>
        <row r="3721">
          <cell r="H3721" t="str">
            <v xml:space="preserve">PIERCE COUNTY REFUSE  </v>
          </cell>
          <cell r="I3721" t="str">
            <v>3.6% PIERCE COUNTY REFUSE</v>
          </cell>
        </row>
        <row r="3722">
          <cell r="H3722" t="str">
            <v>PIERCE COUNTY REFUSE</v>
          </cell>
          <cell r="I3722" t="str">
            <v>3.6% PIERCE COUNTY REFUSE</v>
          </cell>
        </row>
        <row r="3723">
          <cell r="H3723" t="str">
            <v>PIERCE REFUSE TAX</v>
          </cell>
          <cell r="I3723" t="str">
            <v>3.6% WA STATE REFUSE TAX</v>
          </cell>
        </row>
        <row r="3724">
          <cell r="H3724" t="str">
            <v xml:space="preserve">PIERCE COUNTY REFUSE </v>
          </cell>
          <cell r="I3724" t="str">
            <v>3.6% PIERCE COUNTY REFUSE</v>
          </cell>
        </row>
        <row r="3725">
          <cell r="H3725" t="str">
            <v xml:space="preserve">PIERCE COUNTY REFUSE  </v>
          </cell>
          <cell r="I3725" t="str">
            <v>3.6% PIERCE COUNTY REFUSE</v>
          </cell>
        </row>
        <row r="3726">
          <cell r="H3726" t="str">
            <v>PIERCE COUNTY REFUSE</v>
          </cell>
          <cell r="I3726" t="str">
            <v>3.6% PIERCE COUNTY REFUSE</v>
          </cell>
        </row>
        <row r="3727">
          <cell r="H3727" t="str">
            <v>PIERCE REFUSE TAX</v>
          </cell>
          <cell r="I3727" t="str">
            <v>3.6% WA STATE REFUSE TAX</v>
          </cell>
        </row>
        <row r="3728">
          <cell r="H3728" t="str">
            <v xml:space="preserve">PIERCE COUNTY REFUSE </v>
          </cell>
          <cell r="I3728" t="str">
            <v>3.6% PIERCE COUNTY REFUSE</v>
          </cell>
        </row>
        <row r="3729">
          <cell r="H3729" t="str">
            <v xml:space="preserve">PIERCE COUNTY REFUSE  </v>
          </cell>
          <cell r="I3729" t="str">
            <v>3.6% PIERCE COUNTY REFUSE</v>
          </cell>
        </row>
        <row r="3730">
          <cell r="H3730" t="str">
            <v>PIERCE COUNTY SALES 7.9%</v>
          </cell>
          <cell r="I3730" t="str">
            <v>7.9% WA STATE SALES TAX</v>
          </cell>
        </row>
        <row r="3731">
          <cell r="H3731" t="str">
            <v>PIERCE COUNTY SALES 9.3%</v>
          </cell>
          <cell r="I3731" t="str">
            <v>9.3% WA STATE SALES TAX</v>
          </cell>
        </row>
        <row r="3732">
          <cell r="H3732" t="str">
            <v>PIERCE REFUSE TAX</v>
          </cell>
          <cell r="I3732" t="str">
            <v>3.6% WA STATE REFUSE TAX</v>
          </cell>
        </row>
        <row r="3733">
          <cell r="H3733" t="str">
            <v>PIERCE STATE SALES TAX</v>
          </cell>
          <cell r="I3733" t="str">
            <v>9.9% WA STATE SALES TAX</v>
          </cell>
        </row>
        <row r="3734">
          <cell r="H3734" t="str">
            <v>FINCHG</v>
          </cell>
          <cell r="I3734" t="str">
            <v>LATE FEE</v>
          </cell>
        </row>
        <row r="3735">
          <cell r="H3735" t="str">
            <v>BD</v>
          </cell>
          <cell r="I3735" t="str">
            <v>BAD DEBT WRITE OFF</v>
          </cell>
        </row>
        <row r="3736">
          <cell r="H3736" t="str">
            <v>BDR</v>
          </cell>
          <cell r="I3736" t="str">
            <v>BAD DEBT RECOVERY</v>
          </cell>
        </row>
        <row r="3737">
          <cell r="H3737" t="str">
            <v>COLLFEE</v>
          </cell>
          <cell r="I3737" t="str">
            <v>COLLECTION AGENCY FEE</v>
          </cell>
        </row>
        <row r="3738">
          <cell r="H3738" t="str">
            <v>FINCHG</v>
          </cell>
          <cell r="I3738" t="str">
            <v>LATE FEE</v>
          </cell>
        </row>
        <row r="3739">
          <cell r="H3739" t="str">
            <v>MM</v>
          </cell>
          <cell r="I3739" t="str">
            <v>ADJUST BALANCE (MM)</v>
          </cell>
        </row>
        <row r="3740">
          <cell r="H3740" t="str">
            <v>MM</v>
          </cell>
          <cell r="I3740" t="str">
            <v>ADJUST BALANCE (MM)</v>
          </cell>
        </row>
        <row r="3741">
          <cell r="H3741" t="str">
            <v>ACCESS-COMM</v>
          </cell>
          <cell r="I3741" t="str">
            <v>ACCESS FEE - COMM</v>
          </cell>
        </row>
        <row r="3742">
          <cell r="H3742" t="str">
            <v>DONATIONC</v>
          </cell>
          <cell r="I3742" t="str">
            <v>DONATED SERVICE COMM</v>
          </cell>
        </row>
        <row r="3743">
          <cell r="H3743" t="str">
            <v>DRIVEIN1-COMM</v>
          </cell>
          <cell r="I3743" t="str">
            <v>DRIVE IN 125-250' - COMM</v>
          </cell>
        </row>
        <row r="3744">
          <cell r="H3744" t="str">
            <v>FL001.0Y1W001</v>
          </cell>
          <cell r="I3744" t="str">
            <v>1 YD 1X WK 1</v>
          </cell>
        </row>
        <row r="3745">
          <cell r="H3745" t="str">
            <v>FL001.0Y1W001MF</v>
          </cell>
          <cell r="I3745" t="str">
            <v>1 YD 1X WK MULTI-FAMILY 1</v>
          </cell>
        </row>
        <row r="3746">
          <cell r="H3746" t="str">
            <v>FL001.5Y1W001</v>
          </cell>
          <cell r="I3746" t="str">
            <v>1.5 YD 1X WK 1</v>
          </cell>
        </row>
        <row r="3747">
          <cell r="H3747" t="str">
            <v>FL001.5Y1W001MF</v>
          </cell>
          <cell r="I3747" t="str">
            <v>1.5 YD 1X WK MULTI-FAMILY 1</v>
          </cell>
        </row>
        <row r="3748">
          <cell r="H3748" t="str">
            <v>FL001.5Y2W001</v>
          </cell>
          <cell r="I3748" t="str">
            <v>1.5 YD 2X WK 1</v>
          </cell>
        </row>
        <row r="3749">
          <cell r="H3749" t="str">
            <v>FL001.5Y2W001MF</v>
          </cell>
          <cell r="I3749" t="str">
            <v>1.5 YD 2X WK MULTI-FAMILY 1</v>
          </cell>
        </row>
        <row r="3750">
          <cell r="H3750" t="str">
            <v>FL002.0Y1W001</v>
          </cell>
          <cell r="I3750" t="str">
            <v>2 YD 1X WK 1</v>
          </cell>
        </row>
        <row r="3751">
          <cell r="H3751" t="str">
            <v>FL002.0Y1W001MF</v>
          </cell>
          <cell r="I3751" t="str">
            <v>2 YD 1X WK MULTI-FAMILY 1</v>
          </cell>
        </row>
        <row r="3752">
          <cell r="H3752" t="str">
            <v>FL002.0Y2W001</v>
          </cell>
          <cell r="I3752" t="str">
            <v>2 YD 2X WK 1</v>
          </cell>
        </row>
        <row r="3753">
          <cell r="H3753" t="str">
            <v>FL002.0Y2W001MF</v>
          </cell>
          <cell r="I3753" t="str">
            <v>2 YD 2X WK MULTI-FAMILY 1</v>
          </cell>
        </row>
        <row r="3754">
          <cell r="H3754" t="str">
            <v>FL003.0Y1W001MF</v>
          </cell>
          <cell r="I3754" t="str">
            <v>3 YD 1X WK MULTI-FAMILY 1</v>
          </cell>
        </row>
        <row r="3755">
          <cell r="H3755" t="str">
            <v>FL004.0Y1W001</v>
          </cell>
          <cell r="I3755" t="str">
            <v>4 YD 1X WK 1</v>
          </cell>
        </row>
        <row r="3756">
          <cell r="H3756" t="str">
            <v>FL004.0Y1W001MF</v>
          </cell>
          <cell r="I3756" t="str">
            <v>4 YD 1X WK MULTI-FAMILY 1</v>
          </cell>
        </row>
        <row r="3757">
          <cell r="H3757" t="str">
            <v>FL004.0Y2W001MF</v>
          </cell>
          <cell r="I3757" t="str">
            <v>4 YD 2X WK MULTI-FAMILY 1</v>
          </cell>
        </row>
        <row r="3758">
          <cell r="H3758" t="str">
            <v>FL006.0Y1W001</v>
          </cell>
          <cell r="I3758" t="str">
            <v>6 YD 1X WK 1</v>
          </cell>
        </row>
        <row r="3759">
          <cell r="H3759" t="str">
            <v>FL006.0Y1W001MF</v>
          </cell>
          <cell r="I3759" t="str">
            <v>6 YD 1X WK MULTI-FAMILY 1</v>
          </cell>
        </row>
        <row r="3760">
          <cell r="H3760" t="str">
            <v>FL006.0Y2W001</v>
          </cell>
          <cell r="I3760" t="str">
            <v>6 YD 2X WK 1</v>
          </cell>
        </row>
        <row r="3761">
          <cell r="H3761" t="str">
            <v>GWCOMM</v>
          </cell>
          <cell r="I3761" t="str">
            <v>GREENWASTE SERVICE - COMM</v>
          </cell>
        </row>
        <row r="3762">
          <cell r="H3762" t="str">
            <v>RENT1.5TEMP-COMM</v>
          </cell>
          <cell r="I3762" t="str">
            <v>RENT 1.5 YD TEMP - COMM</v>
          </cell>
        </row>
        <row r="3763">
          <cell r="H3763" t="str">
            <v>RENT2TEMP-COMM</v>
          </cell>
          <cell r="I3763" t="str">
            <v>RENT 2 YD TEMP - COMM</v>
          </cell>
        </row>
        <row r="3764">
          <cell r="H3764" t="str">
            <v>RL032.0G1W001WRECC</v>
          </cell>
          <cell r="I3764" t="str">
            <v>32 GL 1X WK W/RECY COMM 1</v>
          </cell>
        </row>
        <row r="3765">
          <cell r="H3765" t="str">
            <v>RL032.0G1W002WRECC</v>
          </cell>
          <cell r="I3765" t="str">
            <v>32 GL 1X WK W/RECY COMM 2</v>
          </cell>
        </row>
        <row r="3766">
          <cell r="H3766" t="str">
            <v>RL032.0G1W006WRECC</v>
          </cell>
          <cell r="I3766" t="str">
            <v>32 GL 1X WK W/RECY COMM 6</v>
          </cell>
        </row>
        <row r="3767">
          <cell r="H3767" t="str">
            <v>SL035.0G1W001WRECC</v>
          </cell>
          <cell r="I3767" t="str">
            <v>35 GL 1X WK W/RECY COMM 1</v>
          </cell>
        </row>
        <row r="3768">
          <cell r="H3768" t="str">
            <v>SL065.0G1W001WRECC</v>
          </cell>
          <cell r="I3768" t="str">
            <v>65 GL 1X WK W/RECY COMM 1</v>
          </cell>
        </row>
        <row r="3769">
          <cell r="H3769" t="str">
            <v>SL065.0GEO001WRECC</v>
          </cell>
          <cell r="I3769" t="str">
            <v>65 GL EOW W/RECY COMM 1</v>
          </cell>
        </row>
        <row r="3770">
          <cell r="H3770" t="str">
            <v>SL095.0G1W001WRECC</v>
          </cell>
          <cell r="I3770" t="str">
            <v>95 GL 1X WK W/RECY COMM 1</v>
          </cell>
        </row>
        <row r="3771">
          <cell r="H3771" t="str">
            <v>SL095.0GEO001WRECC</v>
          </cell>
          <cell r="I3771" t="str">
            <v>95 GL EOW W/RECY COMM 1</v>
          </cell>
        </row>
        <row r="3772">
          <cell r="H3772" t="str">
            <v>WI1-COMM</v>
          </cell>
          <cell r="I3772" t="str">
            <v>WALK IN 6-25' - COMM</v>
          </cell>
        </row>
        <row r="3773">
          <cell r="H3773" t="str">
            <v>CLEAN2-COMM</v>
          </cell>
          <cell r="I3773" t="str">
            <v>CLEANING FEE 2 YD - COMM</v>
          </cell>
        </row>
        <row r="3774">
          <cell r="H3774" t="str">
            <v>DEL-COMM</v>
          </cell>
          <cell r="I3774" t="str">
            <v>DELIVERY FEE - COMM</v>
          </cell>
        </row>
        <row r="3775">
          <cell r="H3775" t="str">
            <v>EXTRA-COMM</v>
          </cell>
          <cell r="I3775" t="str">
            <v>EXTRA CAN, BAG, BOX - COM</v>
          </cell>
        </row>
        <row r="3776">
          <cell r="H3776" t="str">
            <v>FL001.5YXX001TEMPC</v>
          </cell>
          <cell r="I3776" t="str">
            <v xml:space="preserve">1.5 YD TEMP </v>
          </cell>
        </row>
        <row r="3777">
          <cell r="H3777" t="str">
            <v>FL002.0YXX001TEMPC</v>
          </cell>
          <cell r="I3777" t="str">
            <v xml:space="preserve">2 YD TEMP </v>
          </cell>
        </row>
        <row r="3778">
          <cell r="H3778" t="str">
            <v>REINSTATE-COMM</v>
          </cell>
          <cell r="I3778" t="str">
            <v>REINSTATE FEE - COMM</v>
          </cell>
        </row>
        <row r="3779">
          <cell r="H3779" t="str">
            <v>RENT1.5TEMP-COMM</v>
          </cell>
          <cell r="I3779" t="str">
            <v>RENT 1.5 YD TEMP - COMM</v>
          </cell>
        </row>
        <row r="3780">
          <cell r="H3780" t="str">
            <v>RENT2TEMP-COMM</v>
          </cell>
          <cell r="I3780" t="str">
            <v>RENT 2 YD TEMP - COMM</v>
          </cell>
        </row>
        <row r="3781">
          <cell r="H3781" t="str">
            <v>FL002.0Y1W001BCMGL</v>
          </cell>
          <cell r="I3781" t="str">
            <v>2 YD 1X WK BUS CMGL 1</v>
          </cell>
        </row>
        <row r="3782">
          <cell r="H3782" t="str">
            <v>FL002.0Y1W001BOCC</v>
          </cell>
          <cell r="I3782" t="str">
            <v>2 YD 1X WK BUS OCC 1</v>
          </cell>
        </row>
        <row r="3783">
          <cell r="H3783" t="str">
            <v>FL002.0Y1W001SCMGL</v>
          </cell>
          <cell r="I3783" t="str">
            <v>2 YD 1X WK SCHL CMGL 1</v>
          </cell>
        </row>
        <row r="3784">
          <cell r="H3784" t="str">
            <v>FL002.0Y2W001BCMGL</v>
          </cell>
          <cell r="I3784" t="str">
            <v>2 YD 2X WK BUS CMGL 1</v>
          </cell>
        </row>
        <row r="3785">
          <cell r="H3785" t="str">
            <v>FL002.0Y2W001SCMGL</v>
          </cell>
          <cell r="I3785" t="str">
            <v>2 YD 2X WK SCHL CMGL 1</v>
          </cell>
        </row>
        <row r="3786">
          <cell r="H3786" t="str">
            <v>FL006.0Y2W001SCMGL</v>
          </cell>
          <cell r="I3786" t="str">
            <v>6 YD 2X WK SCHL CMGL 1</v>
          </cell>
        </row>
        <row r="3787">
          <cell r="H3787" t="str">
            <v>MFWBINS</v>
          </cell>
          <cell r="I3787" t="str">
            <v>MULTI-FAMILY REC UNIT W/B</v>
          </cell>
        </row>
        <row r="3788">
          <cell r="H3788" t="str">
            <v>SL096.0G1W001BCMGLOUT</v>
          </cell>
          <cell r="I3788" t="str">
            <v>96 GL WKLY BUS CMGL OUT</v>
          </cell>
        </row>
        <row r="3789">
          <cell r="H3789" t="str">
            <v>SL096.0G1W001SCMGLOUT</v>
          </cell>
          <cell r="I3789" t="str">
            <v>96 GL WKLY SCHL CMGL OUT</v>
          </cell>
        </row>
        <row r="3790">
          <cell r="H3790" t="str">
            <v>SL096.0GEO001BCMGLOUT</v>
          </cell>
          <cell r="I3790" t="str">
            <v>96 GL EOW BUS CMGL OUT</v>
          </cell>
        </row>
        <row r="3791">
          <cell r="H3791" t="str">
            <v>SL096.0GEO001SCMGLOUT</v>
          </cell>
          <cell r="I3791" t="str">
            <v>96 GL EOW SCHL CMGL OUT</v>
          </cell>
        </row>
        <row r="3792">
          <cell r="H3792" t="str">
            <v>CC-KOL</v>
          </cell>
          <cell r="I3792" t="str">
            <v>ONLINE PAYMENT-CC</v>
          </cell>
        </row>
        <row r="3793">
          <cell r="H3793" t="str">
            <v>CCREF-KOL</v>
          </cell>
          <cell r="I3793" t="str">
            <v>CREDIT CARD REFUND</v>
          </cell>
        </row>
        <row r="3794">
          <cell r="H3794" t="str">
            <v>PAY</v>
          </cell>
          <cell r="I3794" t="str">
            <v>PAYMENT THANK YOU</v>
          </cell>
        </row>
        <row r="3795">
          <cell r="H3795" t="str">
            <v>PAY-CFREE</v>
          </cell>
          <cell r="I3795" t="str">
            <v>CHECKFREE PAYMENT</v>
          </cell>
        </row>
        <row r="3796">
          <cell r="H3796" t="str">
            <v>PAY-KOL</v>
          </cell>
          <cell r="I3796" t="str">
            <v>PAYMENT-THANK YOU - OL</v>
          </cell>
        </row>
        <row r="3797">
          <cell r="H3797" t="str">
            <v>PAY-ORCC</v>
          </cell>
          <cell r="I3797" t="str">
            <v>ORCC PAYMENT</v>
          </cell>
        </row>
        <row r="3798">
          <cell r="H3798" t="str">
            <v>PAY-RPPS</v>
          </cell>
          <cell r="I3798" t="str">
            <v>RPPS MASTERCARD PAYMENT</v>
          </cell>
        </row>
        <row r="3799">
          <cell r="H3799" t="str">
            <v>PAYMET</v>
          </cell>
          <cell r="I3799" t="str">
            <v>METAVANTE ONLINE PAYMENT</v>
          </cell>
        </row>
        <row r="3800">
          <cell r="H3800" t="str">
            <v>PAYUSBL</v>
          </cell>
          <cell r="I3800" t="str">
            <v>PAYMENT THANK YOU</v>
          </cell>
        </row>
        <row r="3801">
          <cell r="H3801" t="str">
            <v>DRIVEIN1-RES</v>
          </cell>
          <cell r="I3801" t="str">
            <v>DRIVE IN 1 - RES</v>
          </cell>
        </row>
        <row r="3802">
          <cell r="H3802" t="str">
            <v>DRIVEIN2-RES</v>
          </cell>
          <cell r="I3802" t="str">
            <v>DRIVE IN 2 - RES</v>
          </cell>
        </row>
        <row r="3803">
          <cell r="H3803" t="str">
            <v>EMPLOYEER</v>
          </cell>
          <cell r="I3803" t="str">
            <v>EMPLOYEE SERVICE RES</v>
          </cell>
        </row>
        <row r="3804">
          <cell r="H3804" t="str">
            <v>GW3RES</v>
          </cell>
          <cell r="I3804" t="str">
            <v>GREENWASTE SVC 3 - RES</v>
          </cell>
        </row>
        <row r="3805">
          <cell r="H3805" t="str">
            <v>GWRES</v>
          </cell>
          <cell r="I3805" t="str">
            <v>GREENWASTE SERVICE - RES</v>
          </cell>
        </row>
        <row r="3806">
          <cell r="H3806" t="str">
            <v>RECBINONLYR</v>
          </cell>
          <cell r="I3806" t="str">
            <v>RECYCLE SERVICE ONLY</v>
          </cell>
        </row>
        <row r="3807">
          <cell r="H3807" t="str">
            <v>RL010.0G1W001WREC</v>
          </cell>
          <cell r="I3807" t="str">
            <v>10 GL 1X WK RECYCLE 1</v>
          </cell>
        </row>
        <row r="3808">
          <cell r="H3808" t="str">
            <v>RL020.0G1W001</v>
          </cell>
          <cell r="I3808" t="str">
            <v>20 GL 1X WK 1</v>
          </cell>
        </row>
        <row r="3809">
          <cell r="H3809" t="str">
            <v>RL032.0G1W001WREC</v>
          </cell>
          <cell r="I3809" t="str">
            <v>32 GL 1X WK W/RECY 1</v>
          </cell>
        </row>
        <row r="3810">
          <cell r="H3810" t="str">
            <v>RL032.0G1W002WREC</v>
          </cell>
          <cell r="I3810" t="str">
            <v>32 GL 1X WK W/RECY 2</v>
          </cell>
        </row>
        <row r="3811">
          <cell r="H3811" t="str">
            <v>RL032.0G1W003WREC</v>
          </cell>
          <cell r="I3811" t="str">
            <v>32 GL 1X WK W/RECY 3</v>
          </cell>
        </row>
        <row r="3812">
          <cell r="H3812" t="str">
            <v>SL032.0G1W001FOOD</v>
          </cell>
          <cell r="I3812" t="str">
            <v>32 GL 1X WK FOOD 1</v>
          </cell>
        </row>
        <row r="3813">
          <cell r="H3813" t="str">
            <v>SL035.0G1W001WREC</v>
          </cell>
          <cell r="I3813" t="str">
            <v>35 GL 1X WK W/ RECY 1</v>
          </cell>
        </row>
        <row r="3814">
          <cell r="H3814" t="str">
            <v>SL065.0G1M001WREC</v>
          </cell>
          <cell r="I3814" t="str">
            <v>65 GL 1X MO W/RECY 1</v>
          </cell>
        </row>
        <row r="3815">
          <cell r="H3815" t="str">
            <v>SL065.0G1W001WREC</v>
          </cell>
          <cell r="I3815" t="str">
            <v>65 GL 1X WK W/RECY 1</v>
          </cell>
        </row>
        <row r="3816">
          <cell r="H3816" t="str">
            <v>SL065.0GEO001WREC</v>
          </cell>
          <cell r="I3816" t="str">
            <v>65 GL EOW W/RECY 1</v>
          </cell>
        </row>
        <row r="3817">
          <cell r="H3817" t="str">
            <v>SL095.0G1W001WREC</v>
          </cell>
          <cell r="I3817" t="str">
            <v>95 GL 1X WK W/RECY 1</v>
          </cell>
        </row>
        <row r="3818">
          <cell r="H3818" t="str">
            <v>SL095.0GEO001WREC</v>
          </cell>
          <cell r="I3818" t="str">
            <v>95 GL EOW W/RECY 1</v>
          </cell>
        </row>
        <row r="3819">
          <cell r="H3819" t="str">
            <v>WI1-RES</v>
          </cell>
          <cell r="I3819" t="str">
            <v>WALK IN 6-25' - RES</v>
          </cell>
        </row>
        <row r="3820">
          <cell r="H3820" t="str">
            <v>BULKY-RES</v>
          </cell>
          <cell r="I3820" t="str">
            <v>BULKY ITEM PICK UP - RES</v>
          </cell>
        </row>
        <row r="3821">
          <cell r="H3821" t="str">
            <v>EXTRA-RES</v>
          </cell>
          <cell r="I3821" t="str">
            <v>EXTRA CAN, BAG, BOX - RES</v>
          </cell>
        </row>
        <row r="3822">
          <cell r="H3822" t="str">
            <v>EXTRAGWC-RES</v>
          </cell>
          <cell r="I3822" t="str">
            <v>EXTRA GREENWASTE FEE - RE</v>
          </cell>
        </row>
        <row r="3823">
          <cell r="H3823" t="str">
            <v>OW-RES</v>
          </cell>
          <cell r="I3823" t="str">
            <v>OVERFILL / OVERWEIGHT CAN</v>
          </cell>
        </row>
        <row r="3824">
          <cell r="H3824" t="str">
            <v>REINSTATE-RES</v>
          </cell>
          <cell r="I3824" t="str">
            <v>REINSTATE FEE - RES</v>
          </cell>
        </row>
        <row r="3825">
          <cell r="H3825" t="str">
            <v>RL032.0G1W001WREC</v>
          </cell>
          <cell r="I3825" t="str">
            <v>32 GL 1X WK W/RECY 1</v>
          </cell>
        </row>
        <row r="3826">
          <cell r="H3826" t="str">
            <v>RTRNCART65-RES</v>
          </cell>
          <cell r="I3826" t="str">
            <v>RETURN TRIP 65 GL - RES</v>
          </cell>
        </row>
        <row r="3827">
          <cell r="H3827" t="str">
            <v>RTRNCART95-RES</v>
          </cell>
          <cell r="I3827" t="str">
            <v>RETURN TRIP 95 GL - RES</v>
          </cell>
        </row>
        <row r="3828">
          <cell r="H3828" t="str">
            <v>SL035.0GEO001WREC</v>
          </cell>
          <cell r="I3828" t="str">
            <v>35 GL EOW W/RECY 1</v>
          </cell>
        </row>
        <row r="3829">
          <cell r="H3829" t="str">
            <v>SL065.0G1W001WREC</v>
          </cell>
          <cell r="I3829" t="str">
            <v>65 GL 1X WK W/RECY 1</v>
          </cell>
        </row>
        <row r="3830">
          <cell r="H3830" t="str">
            <v>SL065.0GEO001WREC</v>
          </cell>
          <cell r="I3830" t="str">
            <v>65 GL EOW W/RECY 1</v>
          </cell>
        </row>
        <row r="3831">
          <cell r="H3831" t="str">
            <v>DISPGLASS-RES</v>
          </cell>
          <cell r="I3831" t="str">
            <v>DISPOSAL GLASS - RES</v>
          </cell>
        </row>
        <row r="3832">
          <cell r="H3832" t="str">
            <v>LIDRO</v>
          </cell>
          <cell r="I3832" t="str">
            <v>LID CHARGE - RO</v>
          </cell>
        </row>
        <row r="3833">
          <cell r="H3833" t="str">
            <v>RENT20MO-RO</v>
          </cell>
          <cell r="I3833" t="str">
            <v>RENTAL FEE 20 YD MONTHLY</v>
          </cell>
        </row>
        <row r="3834">
          <cell r="H3834" t="str">
            <v>DEL20-RO</v>
          </cell>
          <cell r="I3834" t="str">
            <v>DELIVERY FEE 20 YD - RO</v>
          </cell>
        </row>
        <row r="3835">
          <cell r="H3835" t="str">
            <v>DEL20TEMP-RO</v>
          </cell>
          <cell r="I3835" t="str">
            <v>DELIVERY FEE 20 YD TEMP -</v>
          </cell>
        </row>
        <row r="3836">
          <cell r="H3836" t="str">
            <v>DISCO-CP</v>
          </cell>
          <cell r="I3836" t="str">
            <v xml:space="preserve">COMPACTOR DISCONNECT FEE </v>
          </cell>
        </row>
        <row r="3837">
          <cell r="H3837" t="str">
            <v>DISP-RO</v>
          </cell>
          <cell r="I3837" t="str">
            <v>DISPOSAL CHARGE - RO</v>
          </cell>
        </row>
        <row r="3838">
          <cell r="H3838" t="str">
            <v>DISPOCC-RO</v>
          </cell>
          <cell r="I3838" t="str">
            <v xml:space="preserve">DISPOSAL FEE CARDBOARD - </v>
          </cell>
        </row>
        <row r="3839">
          <cell r="H3839" t="str">
            <v>FINAL20TEMP-RO</v>
          </cell>
          <cell r="I3839" t="str">
            <v>FINAL PULL 20 YD TEMP - R</v>
          </cell>
        </row>
        <row r="3840">
          <cell r="H3840" t="str">
            <v>HAUL20-CP</v>
          </cell>
          <cell r="I3840" t="str">
            <v>COMPACTOR HAUL 20 YD - RO</v>
          </cell>
        </row>
        <row r="3841">
          <cell r="H3841" t="str">
            <v>HAUL20TEMP-RO</v>
          </cell>
          <cell r="I3841" t="str">
            <v>HAUL 20 YD TEMP - RO</v>
          </cell>
        </row>
        <row r="3842">
          <cell r="H3842" t="str">
            <v>HAUL25-CP</v>
          </cell>
          <cell r="I3842" t="str">
            <v>COMPACTOR HAUL 25 YD - RO</v>
          </cell>
        </row>
        <row r="3843">
          <cell r="H3843" t="str">
            <v>HAUL30-RO</v>
          </cell>
          <cell r="I3843" t="str">
            <v>HAUL 30 YD - RO</v>
          </cell>
        </row>
        <row r="3844">
          <cell r="H3844" t="str">
            <v>MILE-RO</v>
          </cell>
          <cell r="I3844" t="str">
            <v>MILEAGE FEE - RO</v>
          </cell>
        </row>
        <row r="3845">
          <cell r="H3845" t="str">
            <v>RENT20TEMP-RO</v>
          </cell>
          <cell r="I3845" t="str">
            <v>RENTAL FEE 20 YD TEMP - R</v>
          </cell>
        </row>
        <row r="3846">
          <cell r="H3846" t="str">
            <v>DISPGLASS-RO</v>
          </cell>
          <cell r="I3846" t="str">
            <v>DISPOSAL FEE GLASS - RO</v>
          </cell>
        </row>
        <row r="3847">
          <cell r="H3847" t="str">
            <v>HAUL30-RO</v>
          </cell>
          <cell r="I3847" t="str">
            <v>HAUL 30 YD - RO</v>
          </cell>
        </row>
        <row r="3848">
          <cell r="H3848" t="str">
            <v>COMMODITY SURCHARGE</v>
          </cell>
          <cell r="I3848" t="str">
            <v>COMMODITY SURCHARGE</v>
          </cell>
        </row>
        <row r="3849">
          <cell r="H3849" t="str">
            <v>STEILACOOM CITY  TAX</v>
          </cell>
          <cell r="I3849" t="str">
            <v>6% CITY UTILITY TAX</v>
          </cell>
        </row>
        <row r="3850">
          <cell r="H3850" t="str">
            <v>STEILACOOM REFUSE TAX</v>
          </cell>
          <cell r="I3850" t="str">
            <v>3.6% WA STATE REFUSE TAX</v>
          </cell>
        </row>
        <row r="3851">
          <cell r="H3851" t="str">
            <v>STEILACOOM ST SALES TAX</v>
          </cell>
          <cell r="I3851" t="str">
            <v>9.9% WA STATE SALES TAX</v>
          </cell>
        </row>
        <row r="3852">
          <cell r="H3852" t="str">
            <v>STEILACOOM CITY  TAX</v>
          </cell>
          <cell r="I3852" t="str">
            <v>6% CITY UTILITY TAX</v>
          </cell>
        </row>
        <row r="3853">
          <cell r="H3853" t="str">
            <v>STEILACOOM REFUSE TAX</v>
          </cell>
          <cell r="I3853" t="str">
            <v>3.6% WA STATE REFUSE TAX</v>
          </cell>
        </row>
        <row r="3854">
          <cell r="H3854" t="str">
            <v>STEILACOOM CITY  TAX</v>
          </cell>
          <cell r="I3854" t="str">
            <v>6% CITY UTILITY TAX</v>
          </cell>
        </row>
        <row r="3855">
          <cell r="H3855" t="str">
            <v>STEILACOOM REFUSE TAX</v>
          </cell>
          <cell r="I3855" t="str">
            <v>3.6% WA STATE REFUSE TAX</v>
          </cell>
        </row>
        <row r="3856">
          <cell r="H3856" t="str">
            <v>STEILACOOM CITY  TAX</v>
          </cell>
          <cell r="I3856" t="str">
            <v>6% CITY UTILITY TAX</v>
          </cell>
        </row>
        <row r="3857">
          <cell r="H3857" t="str">
            <v>STEILACOOM REFUSE TAX</v>
          </cell>
          <cell r="I3857" t="str">
            <v>3.6% WA STATE REFUSE TAX</v>
          </cell>
        </row>
        <row r="3858">
          <cell r="H3858" t="str">
            <v>STEILACOOM ST SALES TAX</v>
          </cell>
          <cell r="I3858" t="str">
            <v>9.9% WA STATE SALES TAX</v>
          </cell>
        </row>
        <row r="3859">
          <cell r="H3859" t="str">
            <v>STEILACOOM CITY  TAX</v>
          </cell>
          <cell r="I3859" t="str">
            <v>6% CITY UTILITY TAX</v>
          </cell>
        </row>
        <row r="3860">
          <cell r="H3860" t="str">
            <v>STEILACOOM REFUSE TAX</v>
          </cell>
          <cell r="I3860" t="str">
            <v>3.6% WA STATE REFUSE TAX</v>
          </cell>
        </row>
        <row r="3861">
          <cell r="H3861" t="str">
            <v>BDR</v>
          </cell>
          <cell r="I3861" t="str">
            <v>BAD DEBT RECOVERY</v>
          </cell>
        </row>
        <row r="3862">
          <cell r="H3862" t="str">
            <v>FINCHG</v>
          </cell>
          <cell r="I3862" t="str">
            <v>LATE FEE</v>
          </cell>
        </row>
        <row r="3863">
          <cell r="H3863" t="str">
            <v>FINCHG</v>
          </cell>
          <cell r="I3863" t="str">
            <v>LATE FEE</v>
          </cell>
        </row>
        <row r="3864">
          <cell r="H3864" t="str">
            <v>COLLFEE</v>
          </cell>
          <cell r="I3864" t="str">
            <v>COLLECTION AGENCY FEE</v>
          </cell>
        </row>
        <row r="3865">
          <cell r="H3865" t="str">
            <v>ACCESS-COMM</v>
          </cell>
          <cell r="I3865" t="str">
            <v>ACCESS FEE - COMM</v>
          </cell>
        </row>
        <row r="3866">
          <cell r="H3866" t="str">
            <v>FL001.0Y1W001</v>
          </cell>
          <cell r="I3866" t="str">
            <v>1 YD 1X WK 1</v>
          </cell>
        </row>
        <row r="3867">
          <cell r="H3867" t="str">
            <v>FL001.5Y1W001</v>
          </cell>
          <cell r="I3867" t="str">
            <v>1.5 YD 1X WK 1</v>
          </cell>
        </row>
        <row r="3868">
          <cell r="H3868" t="str">
            <v>FL002.0Y1W001</v>
          </cell>
          <cell r="I3868" t="str">
            <v>2 YD 1X WK 1</v>
          </cell>
        </row>
        <row r="3869">
          <cell r="H3869" t="str">
            <v>FL002.0Y2W001</v>
          </cell>
          <cell r="I3869" t="str">
            <v>2 YD 2X WK 1</v>
          </cell>
        </row>
        <row r="3870">
          <cell r="H3870" t="str">
            <v>FL002.0Y4W001</v>
          </cell>
          <cell r="I3870" t="str">
            <v>2 YD 4X WK 1</v>
          </cell>
        </row>
        <row r="3871">
          <cell r="H3871" t="str">
            <v>FL003.0Y2W001</v>
          </cell>
          <cell r="I3871" t="str">
            <v>3 YD 2X WK 1</v>
          </cell>
        </row>
        <row r="3872">
          <cell r="H3872" t="str">
            <v>FL004.0Y1W001</v>
          </cell>
          <cell r="I3872" t="str">
            <v>4 YD 1X WK 1</v>
          </cell>
        </row>
        <row r="3873">
          <cell r="H3873" t="str">
            <v>FL006.0Y1W001</v>
          </cell>
          <cell r="I3873" t="str">
            <v>6 YD 1X WK 1</v>
          </cell>
        </row>
        <row r="3874">
          <cell r="H3874" t="str">
            <v>FL006.0Y2W001</v>
          </cell>
          <cell r="I3874" t="str">
            <v>6 YD 2X WK 1</v>
          </cell>
        </row>
        <row r="3875">
          <cell r="H3875" t="str">
            <v>SL065.0G1W001NORECC</v>
          </cell>
          <cell r="I3875" t="str">
            <v xml:space="preserve">65 GL 1X WK NO RECY COMM </v>
          </cell>
        </row>
        <row r="3876">
          <cell r="H3876" t="str">
            <v>SL065.0G1W001WRECC</v>
          </cell>
          <cell r="I3876" t="str">
            <v>65 GL 1X WK W/RECY COMM 1</v>
          </cell>
        </row>
        <row r="3877">
          <cell r="H3877" t="str">
            <v>SL065.0GEO001WRECC</v>
          </cell>
          <cell r="I3877" t="str">
            <v>65 GL EOW W/RECY COMM 1</v>
          </cell>
        </row>
        <row r="3878">
          <cell r="H3878" t="str">
            <v>SL095.0G1W001WRECC</v>
          </cell>
          <cell r="I3878" t="str">
            <v>95 GL 1X WK W/RECY COMM 1</v>
          </cell>
        </row>
        <row r="3879">
          <cell r="H3879" t="str">
            <v>EXTRA-COMM</v>
          </cell>
          <cell r="I3879" t="str">
            <v>EXTRA CAN, BAG, BOX - COM</v>
          </cell>
        </row>
        <row r="3880">
          <cell r="H3880" t="str">
            <v>EXTRAYDG-COM</v>
          </cell>
          <cell r="I3880" t="str">
            <v>EXTRA YARDAGE - COMM</v>
          </cell>
        </row>
        <row r="3881">
          <cell r="H3881" t="str">
            <v>FL002.0Y1W001BCMGL</v>
          </cell>
          <cell r="I3881" t="str">
            <v>2 YD 1X WK BUS CMGL 1</v>
          </cell>
        </row>
        <row r="3882">
          <cell r="H3882" t="str">
            <v>FL002.0Y1W001BOCC</v>
          </cell>
          <cell r="I3882" t="str">
            <v>2 YD 1X WK BUS OCC 1</v>
          </cell>
        </row>
        <row r="3883">
          <cell r="H3883" t="str">
            <v>FL005.0Y1W001BOCC</v>
          </cell>
          <cell r="I3883" t="str">
            <v>5 YD 1X WK BUS OCC 1</v>
          </cell>
        </row>
        <row r="3884">
          <cell r="H3884" t="str">
            <v>FL005.0Y3W001BOCC</v>
          </cell>
          <cell r="I3884" t="str">
            <v>5 YD 3X WK BUS OCC 1</v>
          </cell>
        </row>
        <row r="3885">
          <cell r="H3885" t="str">
            <v>MFWBINS</v>
          </cell>
          <cell r="I3885" t="str">
            <v>MULTI-FAMILY REC UNIT W/B</v>
          </cell>
        </row>
        <row r="3886">
          <cell r="H3886" t="str">
            <v>SL096.0GEO001BCMGLOUT</v>
          </cell>
          <cell r="I3886" t="str">
            <v>96 GL EOW BUS CMGL OUT</v>
          </cell>
        </row>
        <row r="3887">
          <cell r="H3887" t="str">
            <v>CC-KOL</v>
          </cell>
          <cell r="I3887" t="str">
            <v>ONLINE PAYMENT-CC</v>
          </cell>
        </row>
        <row r="3888">
          <cell r="H3888" t="str">
            <v>PAY</v>
          </cell>
          <cell r="I3888" t="str">
            <v>PAYMENT THANK YOU</v>
          </cell>
        </row>
        <row r="3889">
          <cell r="H3889" t="str">
            <v>PAY-CFREE</v>
          </cell>
          <cell r="I3889" t="str">
            <v>CHECKFREE PAYMENT</v>
          </cell>
        </row>
        <row r="3890">
          <cell r="H3890" t="str">
            <v>PAY-KOL</v>
          </cell>
          <cell r="I3890" t="str">
            <v>PAYMENT-THANK YOU - OL</v>
          </cell>
        </row>
        <row r="3891">
          <cell r="H3891" t="str">
            <v>PAY-ORCC</v>
          </cell>
          <cell r="I3891" t="str">
            <v>ORCC PAYMENT</v>
          </cell>
        </row>
        <row r="3892">
          <cell r="H3892" t="str">
            <v>PAY-RPPS</v>
          </cell>
          <cell r="I3892" t="str">
            <v>RPPS MASTERCARD PAYMENT</v>
          </cell>
        </row>
        <row r="3893">
          <cell r="H3893" t="str">
            <v>PAYMET</v>
          </cell>
          <cell r="I3893" t="str">
            <v>METAVANTE ONLINE PAYMENT</v>
          </cell>
        </row>
        <row r="3894">
          <cell r="H3894" t="str">
            <v>PAYUSBL</v>
          </cell>
          <cell r="I3894" t="str">
            <v>PAYMENT THANK YOU</v>
          </cell>
        </row>
        <row r="3895">
          <cell r="H3895" t="str">
            <v>CC-KOL</v>
          </cell>
          <cell r="I3895" t="str">
            <v>ONLINE PAYMENT-CC</v>
          </cell>
        </row>
        <row r="3896">
          <cell r="H3896" t="str">
            <v>PAY</v>
          </cell>
          <cell r="I3896" t="str">
            <v>PAYMENT THANK YOU</v>
          </cell>
        </row>
        <row r="3897">
          <cell r="H3897" t="str">
            <v>PAY-CFREE</v>
          </cell>
          <cell r="I3897" t="str">
            <v>CHECKFREE PAYMENT</v>
          </cell>
        </row>
        <row r="3898">
          <cell r="H3898" t="str">
            <v>PAY-KOL</v>
          </cell>
          <cell r="I3898" t="str">
            <v>PAYMENT-THANK YOU - OL</v>
          </cell>
        </row>
        <row r="3899">
          <cell r="H3899" t="str">
            <v>PAYUSBL</v>
          </cell>
          <cell r="I3899" t="str">
            <v>PAYMENT THANK YOU</v>
          </cell>
        </row>
        <row r="3900">
          <cell r="H3900" t="str">
            <v>CC-KOL</v>
          </cell>
          <cell r="I3900" t="str">
            <v>ONLINE PAYMENT-CC</v>
          </cell>
        </row>
        <row r="3901">
          <cell r="H3901" t="str">
            <v>PAY</v>
          </cell>
          <cell r="I3901" t="str">
            <v>PAYMENT THANK YOU</v>
          </cell>
        </row>
        <row r="3902">
          <cell r="H3902" t="str">
            <v>PAY-CFREE</v>
          </cell>
          <cell r="I3902" t="str">
            <v>CHECKFREE PAYMENT</v>
          </cell>
        </row>
        <row r="3903">
          <cell r="H3903" t="str">
            <v>PAY-KOL</v>
          </cell>
          <cell r="I3903" t="str">
            <v>PAYMENT-THANK YOU - OL</v>
          </cell>
        </row>
        <row r="3904">
          <cell r="H3904" t="str">
            <v>PAY-OAK</v>
          </cell>
          <cell r="I3904" t="str">
            <v>OAKLEAF PAYMENT</v>
          </cell>
        </row>
        <row r="3905">
          <cell r="H3905" t="str">
            <v>PAY-RPPS</v>
          </cell>
          <cell r="I3905" t="str">
            <v>RPPS MASTERCARD PAYMENT</v>
          </cell>
        </row>
        <row r="3906">
          <cell r="H3906" t="str">
            <v>PAYMET</v>
          </cell>
          <cell r="I3906" t="str">
            <v>METAVANTE ONLINE PAYMENT</v>
          </cell>
        </row>
        <row r="3907">
          <cell r="H3907" t="str">
            <v>PAYUSBL</v>
          </cell>
          <cell r="I3907" t="str">
            <v>PAYMENT THANK YOU</v>
          </cell>
        </row>
        <row r="3908">
          <cell r="H3908" t="str">
            <v>GWRES</v>
          </cell>
          <cell r="I3908" t="str">
            <v>GREENWASTE SERVICE - RES</v>
          </cell>
        </row>
        <row r="3909">
          <cell r="H3909" t="str">
            <v>SL065.0G1W001WREC</v>
          </cell>
          <cell r="I3909" t="str">
            <v>65 GL 1X WK W/RECY 1</v>
          </cell>
        </row>
        <row r="3910">
          <cell r="H3910" t="str">
            <v>SL065.0GEO001WREC</v>
          </cell>
          <cell r="I3910" t="str">
            <v>65 GL EOW W/RECY 1</v>
          </cell>
        </row>
        <row r="3911">
          <cell r="H3911" t="str">
            <v>EXTRA-RES</v>
          </cell>
          <cell r="I3911" t="str">
            <v>EXTRA CAN, BAG, BOX - RES</v>
          </cell>
        </row>
        <row r="3912">
          <cell r="H3912" t="str">
            <v>OW-RES</v>
          </cell>
          <cell r="I3912" t="str">
            <v>OVERFILL / OVERWEIGHT CAN</v>
          </cell>
        </row>
        <row r="3913">
          <cell r="H3913" t="str">
            <v>REINSTATE-RES</v>
          </cell>
          <cell r="I3913" t="str">
            <v>REINSTATE FEE - RES</v>
          </cell>
        </row>
        <row r="3914">
          <cell r="H3914" t="str">
            <v>GWRES</v>
          </cell>
          <cell r="I3914" t="str">
            <v>GREENWASTE SERVICE - RES</v>
          </cell>
        </row>
        <row r="3915">
          <cell r="H3915" t="str">
            <v>RECBINONLYR</v>
          </cell>
          <cell r="I3915" t="str">
            <v>RECYCLE SERVICE ONLY</v>
          </cell>
        </row>
        <row r="3916">
          <cell r="H3916" t="str">
            <v>RECPROGADJ-RES</v>
          </cell>
          <cell r="I3916" t="str">
            <v>RECYCLING PROGRAM ADJUSTM</v>
          </cell>
        </row>
        <row r="3917">
          <cell r="H3917" t="str">
            <v>RECVALRES</v>
          </cell>
          <cell r="I3917" t="str">
            <v>RECYCLABLES VALUE - RES</v>
          </cell>
        </row>
        <row r="3918">
          <cell r="H3918" t="str">
            <v>SL035.0GEO001WREC</v>
          </cell>
          <cell r="I3918" t="str">
            <v>35 GL EOW W/RECY 1</v>
          </cell>
        </row>
        <row r="3919">
          <cell r="H3919" t="str">
            <v>SL065.0G1W001WREC</v>
          </cell>
          <cell r="I3919" t="str">
            <v>65 GL 1X WK W/RECY 1</v>
          </cell>
        </row>
        <row r="3920">
          <cell r="H3920" t="str">
            <v>SL065.0GEO001NOREC</v>
          </cell>
          <cell r="I3920" t="str">
            <v>65 GL EOW NO RECY 1</v>
          </cell>
        </row>
        <row r="3921">
          <cell r="H3921" t="str">
            <v>SL065.0GEO001WREC</v>
          </cell>
          <cell r="I3921" t="str">
            <v>65 GL EOW W/RECY 1</v>
          </cell>
        </row>
        <row r="3922">
          <cell r="H3922" t="str">
            <v>SL095.0G1W001WREC</v>
          </cell>
          <cell r="I3922" t="str">
            <v>95 GL 1X WK W/RECY 1</v>
          </cell>
        </row>
        <row r="3923">
          <cell r="H3923" t="str">
            <v>EXTRA-RES</v>
          </cell>
          <cell r="I3923" t="str">
            <v>EXTRA CAN, BAG, BOX - RES</v>
          </cell>
        </row>
        <row r="3924">
          <cell r="H3924" t="str">
            <v>OW-RES</v>
          </cell>
          <cell r="I3924" t="str">
            <v>OVERFILL / OVERWEIGHT CAN</v>
          </cell>
        </row>
        <row r="3925">
          <cell r="H3925" t="str">
            <v>RENT20MO-RO</v>
          </cell>
          <cell r="I3925" t="str">
            <v>RENTAL FEE 20 YD MONTHLY</v>
          </cell>
        </row>
        <row r="3926">
          <cell r="H3926" t="str">
            <v>DISCO-CP</v>
          </cell>
          <cell r="I3926" t="str">
            <v xml:space="preserve">COMPACTOR DISCONNECT FEE </v>
          </cell>
        </row>
        <row r="3927">
          <cell r="H3927" t="str">
            <v>DISP-RO</v>
          </cell>
          <cell r="I3927" t="str">
            <v>DISPOSAL CHARGE - RO</v>
          </cell>
        </row>
        <row r="3928">
          <cell r="H3928" t="str">
            <v>HAUL30-CP</v>
          </cell>
          <cell r="I3928" t="str">
            <v>COMPACTOR HAUL 30 YD</v>
          </cell>
        </row>
        <row r="3929">
          <cell r="H3929" t="str">
            <v>COMMODITY SURCHARGE</v>
          </cell>
          <cell r="I3929" t="str">
            <v>COMMODITY SURCHARGE</v>
          </cell>
        </row>
        <row r="3930">
          <cell r="H3930" t="str">
            <v>UP CITY UTILITY TAX</v>
          </cell>
          <cell r="I3930" t="str">
            <v>6% CITY UTILITY TAX</v>
          </cell>
        </row>
        <row r="3931">
          <cell r="H3931" t="str">
            <v>UP CITY ONLY</v>
          </cell>
          <cell r="I3931" t="str">
            <v>6% CITY UTILITY TAX</v>
          </cell>
        </row>
        <row r="3932">
          <cell r="H3932" t="str">
            <v>UP CITY UTILITY TAX</v>
          </cell>
          <cell r="I3932" t="str">
            <v>6% CITY UTILITY TAX</v>
          </cell>
        </row>
        <row r="3933">
          <cell r="H3933" t="str">
            <v>UP REFUSE TAX</v>
          </cell>
          <cell r="I3933" t="str">
            <v>3.6% WA STATE REFUSE TAX</v>
          </cell>
        </row>
        <row r="3934">
          <cell r="H3934" t="str">
            <v>UP CITY UTILITY TAX</v>
          </cell>
          <cell r="I3934" t="str">
            <v>6% CITY UTILITY TAX</v>
          </cell>
        </row>
        <row r="3935">
          <cell r="H3935" t="str">
            <v>UP REFUSE TAX</v>
          </cell>
          <cell r="I3935" t="str">
            <v>3.6% WA STATE REFUSE TAX</v>
          </cell>
        </row>
        <row r="3936">
          <cell r="H3936" t="str">
            <v>UP CITY UTILITY TAX</v>
          </cell>
          <cell r="I3936" t="str">
            <v>6% CITY UTILITY TAX</v>
          </cell>
        </row>
        <row r="3937">
          <cell r="H3937" t="str">
            <v>UP REFUSE TAX</v>
          </cell>
          <cell r="I3937" t="str">
            <v>3.6% WA STATE REFUSE TAX</v>
          </cell>
        </row>
        <row r="3938">
          <cell r="H3938" t="str">
            <v>UP CITY UTILITY TAX</v>
          </cell>
          <cell r="I3938" t="str">
            <v>6% CITY UTILITY TAX</v>
          </cell>
        </row>
        <row r="3939">
          <cell r="H3939" t="str">
            <v>UP REFUSE TAX</v>
          </cell>
          <cell r="I3939" t="str">
            <v>3.6% WA STATE REFUSE TAX</v>
          </cell>
        </row>
        <row r="3940">
          <cell r="H3940" t="str">
            <v>UP STATE SALES TAX</v>
          </cell>
          <cell r="I3940" t="str">
            <v>9.9% WA STATE SALES TAX</v>
          </cell>
        </row>
        <row r="3941">
          <cell r="H3941" t="str">
            <v>DISPFEDMSW-COMM</v>
          </cell>
          <cell r="I3941" t="str">
            <v>DISPOSAL FEDERAL MSW - CO</v>
          </cell>
        </row>
        <row r="3942">
          <cell r="H3942" t="str">
            <v>FL001.5Y1W001</v>
          </cell>
          <cell r="I3942" t="str">
            <v>1.5 YD 1X WK 1</v>
          </cell>
        </row>
        <row r="3943">
          <cell r="H3943" t="str">
            <v>CONTRACTEDC</v>
          </cell>
          <cell r="I3943" t="str">
            <v>CONTRACTED SERVICE - COMM</v>
          </cell>
        </row>
        <row r="3944">
          <cell r="H3944" t="str">
            <v>DISPMIX-COMM</v>
          </cell>
          <cell r="I3944" t="str">
            <v>DISPOSAL MIX CMGL OCC - COMM</v>
          </cell>
        </row>
        <row r="3945">
          <cell r="H3945" t="str">
            <v>DISPTONER-COMM</v>
          </cell>
          <cell r="I3945" t="str">
            <v>DISPOSAL TONER - COMM</v>
          </cell>
        </row>
        <row r="3946">
          <cell r="H3946" t="str">
            <v>PAYEFT</v>
          </cell>
          <cell r="I3946" t="str">
            <v>EFT PAYMENT</v>
          </cell>
        </row>
        <row r="3947">
          <cell r="H3947" t="str">
            <v>PAYICT</v>
          </cell>
          <cell r="I3947" t="str">
            <v>I/C PAYMENT THANK YOU</v>
          </cell>
        </row>
        <row r="3948">
          <cell r="H3948" t="str">
            <v>DISPCMGL-RES</v>
          </cell>
          <cell r="I3948" t="str">
            <v>DISPOSAL COMINGLE - RES</v>
          </cell>
        </row>
        <row r="3949">
          <cell r="H3949" t="str">
            <v>DISP-RO</v>
          </cell>
          <cell r="I3949" t="str">
            <v>DISPOSAL CHARGE - RO</v>
          </cell>
        </row>
        <row r="3950">
          <cell r="H3950" t="str">
            <v>DISPASB-RO</v>
          </cell>
          <cell r="I3950" t="str">
            <v>DISPOSAL FEE ASBESTOS - R</v>
          </cell>
        </row>
        <row r="3951">
          <cell r="H3951" t="str">
            <v>DISPBATT-RO</v>
          </cell>
          <cell r="I3951" t="str">
            <v>DISPOSAL BATTERIES - RO</v>
          </cell>
        </row>
        <row r="3952">
          <cell r="H3952" t="str">
            <v>DISPCMGL-RO</v>
          </cell>
          <cell r="I3952" t="str">
            <v xml:space="preserve">DISPOSAL FEE COMMINGLE - </v>
          </cell>
        </row>
        <row r="3953">
          <cell r="H3953" t="str">
            <v>DISPFEDMSW-RO</v>
          </cell>
          <cell r="I3953" t="str">
            <v xml:space="preserve">DISPOSAL FEE FEDERAL MSW </v>
          </cell>
        </row>
        <row r="3954">
          <cell r="H3954" t="str">
            <v>DISPFOOD-RO</v>
          </cell>
          <cell r="I3954" t="str">
            <v>DISPOSAL FEE FOOD WASTE -</v>
          </cell>
        </row>
        <row r="3955">
          <cell r="H3955" t="str">
            <v>DISPGLASS-RO</v>
          </cell>
          <cell r="I3955" t="str">
            <v>DISPOSAL FEE GLASS - RO</v>
          </cell>
        </row>
        <row r="3956">
          <cell r="H3956" t="str">
            <v>DISPGW-RO</v>
          </cell>
          <cell r="I3956" t="str">
            <v>DISPOSAL FEE GREENWASTE -</v>
          </cell>
        </row>
        <row r="3957">
          <cell r="H3957" t="str">
            <v>DISPMETAL-RO</v>
          </cell>
          <cell r="I3957" t="str">
            <v>DISPOSAL FEE METAL - RO</v>
          </cell>
        </row>
        <row r="3958">
          <cell r="H3958" t="str">
            <v>DISPOCC-RO</v>
          </cell>
          <cell r="I3958" t="str">
            <v xml:space="preserve">DISPOSAL FEE CARDBOARD - </v>
          </cell>
        </row>
        <row r="3959">
          <cell r="H3959" t="str">
            <v>DISPWD-RO</v>
          </cell>
          <cell r="I3959" t="str">
            <v>DISPOSAL FEE WOOD - RO</v>
          </cell>
        </row>
        <row r="3960">
          <cell r="H3960" t="str">
            <v>HAUL50-RO</v>
          </cell>
          <cell r="I3960" t="str">
            <v>HAUL 50 YD - RO</v>
          </cell>
        </row>
        <row r="3961">
          <cell r="H3961" t="str">
            <v>FT LEWIS REFUSE TAX</v>
          </cell>
          <cell r="I3961" t="str">
            <v>3.6% WA STATE REFUSE TAX</v>
          </cell>
        </row>
        <row r="3962">
          <cell r="H3962" t="str">
            <v>FINCHG</v>
          </cell>
          <cell r="I3962" t="str">
            <v>LATE FEE</v>
          </cell>
        </row>
        <row r="3963">
          <cell r="H3963" t="str">
            <v>BD</v>
          </cell>
          <cell r="I3963" t="str">
            <v>BAD DEBT WRITE OFF</v>
          </cell>
        </row>
        <row r="3964">
          <cell r="H3964" t="str">
            <v>BDR</v>
          </cell>
          <cell r="I3964" t="str">
            <v>BAD DEBT RECOVERY</v>
          </cell>
        </row>
        <row r="3965">
          <cell r="H3965" t="str">
            <v>FINCHG</v>
          </cell>
          <cell r="I3965" t="str">
            <v>LATE FEE</v>
          </cell>
        </row>
        <row r="3966">
          <cell r="H3966" t="str">
            <v>MM</v>
          </cell>
          <cell r="I3966" t="str">
            <v>ADJUST BALANCE (MM)</v>
          </cell>
        </row>
        <row r="3967">
          <cell r="H3967" t="str">
            <v>MM</v>
          </cell>
          <cell r="I3967" t="str">
            <v>ADJUST BALANCE (MM)</v>
          </cell>
        </row>
        <row r="3968">
          <cell r="H3968" t="str">
            <v>REFUND</v>
          </cell>
          <cell r="I3968" t="str">
            <v>REFUND</v>
          </cell>
        </row>
        <row r="3969">
          <cell r="H3969" t="str">
            <v>BD</v>
          </cell>
          <cell r="I3969" t="str">
            <v>BAD DEBT WRITE OFF</v>
          </cell>
        </row>
        <row r="3970">
          <cell r="H3970" t="str">
            <v>BDR</v>
          </cell>
          <cell r="I3970" t="str">
            <v>BAD DEBT RECOVERY</v>
          </cell>
        </row>
        <row r="3971">
          <cell r="H3971" t="str">
            <v>MM</v>
          </cell>
          <cell r="I3971" t="str">
            <v>ADJUST BALANCE (MM)</v>
          </cell>
        </row>
        <row r="3972">
          <cell r="H3972" t="str">
            <v>MM</v>
          </cell>
          <cell r="I3972" t="str">
            <v>ADJUST BALANCE (MM)</v>
          </cell>
        </row>
        <row r="3973">
          <cell r="H3973" t="str">
            <v>REFUND</v>
          </cell>
          <cell r="I3973" t="str">
            <v>REFUND</v>
          </cell>
        </row>
        <row r="3974">
          <cell r="H3974" t="str">
            <v>RETCK-LB</v>
          </cell>
          <cell r="I3974" t="str">
            <v>RETURNED CHECK - LOCKBOX</v>
          </cell>
        </row>
        <row r="3975">
          <cell r="H3975" t="str">
            <v>RETCKC</v>
          </cell>
          <cell r="I3975" t="str">
            <v>RETURN CHECK CHARGE</v>
          </cell>
        </row>
        <row r="3976">
          <cell r="H3976" t="str">
            <v>FINCHG</v>
          </cell>
          <cell r="I3976" t="str">
            <v>LATE FEE</v>
          </cell>
        </row>
        <row r="3977">
          <cell r="H3977" t="str">
            <v>MM</v>
          </cell>
          <cell r="I3977" t="str">
            <v>ADJUST BALANCE (MM)</v>
          </cell>
        </row>
        <row r="3978">
          <cell r="H3978" t="str">
            <v>MM</v>
          </cell>
          <cell r="I3978" t="str">
            <v>ADJUST BALANCE (MM)</v>
          </cell>
        </row>
        <row r="3979">
          <cell r="H3979" t="str">
            <v>ACCESS-COMM</v>
          </cell>
          <cell r="I3979" t="str">
            <v>ACCESS FEE - COMM</v>
          </cell>
        </row>
        <row r="3980">
          <cell r="H3980" t="str">
            <v>DONATIONC</v>
          </cell>
          <cell r="I3980" t="str">
            <v>DONATED SERVICE COMM</v>
          </cell>
        </row>
        <row r="3981">
          <cell r="H3981" t="str">
            <v>DRIVEIN1-COMM</v>
          </cell>
          <cell r="I3981" t="str">
            <v>DRIVE IN 125-250' - COMM</v>
          </cell>
        </row>
        <row r="3982">
          <cell r="H3982" t="str">
            <v>FL001.0Y1W001</v>
          </cell>
          <cell r="I3982" t="str">
            <v>1 YD 1X WK 1</v>
          </cell>
        </row>
        <row r="3983">
          <cell r="H3983" t="str">
            <v>FL001.5Y1W001</v>
          </cell>
          <cell r="I3983" t="str">
            <v>1.5 YD 1X WK 1</v>
          </cell>
        </row>
        <row r="3984">
          <cell r="H3984" t="str">
            <v>FL001.5Y2W001</v>
          </cell>
          <cell r="I3984" t="str">
            <v>1.5 YD 2X WK 1</v>
          </cell>
        </row>
        <row r="3985">
          <cell r="H3985" t="str">
            <v>FL002.0Y1W001</v>
          </cell>
          <cell r="I3985" t="str">
            <v>2 YD 1X WK 1</v>
          </cell>
        </row>
        <row r="3986">
          <cell r="H3986" t="str">
            <v>FL002.0Y2W001</v>
          </cell>
          <cell r="I3986" t="str">
            <v>2 YD 2X WK 1</v>
          </cell>
        </row>
        <row r="3987">
          <cell r="H3987" t="str">
            <v>FL002.0Y3W001</v>
          </cell>
          <cell r="I3987" t="str">
            <v>2 YD 3X WK 1</v>
          </cell>
        </row>
        <row r="3988">
          <cell r="H3988" t="str">
            <v>FL003.0Y1W001</v>
          </cell>
          <cell r="I3988" t="str">
            <v>3 YD 1X WK 1</v>
          </cell>
        </row>
        <row r="3989">
          <cell r="H3989" t="str">
            <v>FL003.0Y2W001</v>
          </cell>
          <cell r="I3989" t="str">
            <v>3 YD 2X WK 1</v>
          </cell>
        </row>
        <row r="3990">
          <cell r="H3990" t="str">
            <v>FL003.0Y3W001</v>
          </cell>
          <cell r="I3990" t="str">
            <v>3 YD 3X WK 1</v>
          </cell>
        </row>
        <row r="3991">
          <cell r="H3991" t="str">
            <v>FL004.0Y1W001</v>
          </cell>
          <cell r="I3991" t="str">
            <v>4 YD 1X WK 1</v>
          </cell>
        </row>
        <row r="3992">
          <cell r="H3992" t="str">
            <v>FL004.0Y2W001</v>
          </cell>
          <cell r="I3992" t="str">
            <v>4 YD 2X WK 1</v>
          </cell>
        </row>
        <row r="3993">
          <cell r="H3993" t="str">
            <v>FL004.0Y3W001</v>
          </cell>
          <cell r="I3993" t="str">
            <v>4 YD 3X WK 1</v>
          </cell>
        </row>
        <row r="3994">
          <cell r="H3994" t="str">
            <v>FL006.0Y1W001</v>
          </cell>
          <cell r="I3994" t="str">
            <v>6 YD 1X WK 1</v>
          </cell>
        </row>
        <row r="3995">
          <cell r="H3995" t="str">
            <v>FL006.0Y2W001</v>
          </cell>
          <cell r="I3995" t="str">
            <v>6 YD 2X WK 1</v>
          </cell>
        </row>
        <row r="3996">
          <cell r="H3996" t="str">
            <v>FL006.0Y4W001</v>
          </cell>
          <cell r="I3996" t="str">
            <v>6 YD 4X WK 1</v>
          </cell>
        </row>
        <row r="3997">
          <cell r="H3997" t="str">
            <v>ROLL-COMM</v>
          </cell>
          <cell r="I3997" t="str">
            <v>ROLL OUT CHARGE - COMM</v>
          </cell>
        </row>
        <row r="3998">
          <cell r="H3998" t="str">
            <v>SL065.0G1W001NORECC</v>
          </cell>
          <cell r="I3998" t="str">
            <v xml:space="preserve">65 GL 1X WK NO RECY COMM </v>
          </cell>
        </row>
        <row r="3999">
          <cell r="H3999" t="str">
            <v>SL065.0G1W001WRECC</v>
          </cell>
          <cell r="I3999" t="str">
            <v>65 GL 1X WK W/RECY COMM 1</v>
          </cell>
        </row>
        <row r="4000">
          <cell r="H4000" t="str">
            <v>SL065.0GEO001WRECC</v>
          </cell>
          <cell r="I4000" t="str">
            <v>65 GL EOW W/RECY COMM 1</v>
          </cell>
        </row>
        <row r="4001">
          <cell r="H4001" t="str">
            <v>SL095.0G1W001WRECC</v>
          </cell>
          <cell r="I4001" t="str">
            <v>95 GL 1X WK W/RECY COMM 1</v>
          </cell>
        </row>
        <row r="4002">
          <cell r="H4002" t="str">
            <v>CLEAN-COMM</v>
          </cell>
          <cell r="I4002" t="str">
            <v xml:space="preserve">CONTAINER CLEANING FEE - </v>
          </cell>
        </row>
        <row r="4003">
          <cell r="H4003" t="str">
            <v>DEL1TEMP-COMM</v>
          </cell>
          <cell r="I4003" t="str">
            <v xml:space="preserve">DELIVERY FEE 1 YD TEMP - </v>
          </cell>
        </row>
        <row r="4004">
          <cell r="H4004" t="str">
            <v>EXTRA-COMM</v>
          </cell>
          <cell r="I4004" t="str">
            <v>EXTRA CAN, BAG, BOX - COM</v>
          </cell>
        </row>
        <row r="4005">
          <cell r="H4005" t="str">
            <v>FL002.0YXX001TEMPC</v>
          </cell>
          <cell r="I4005" t="str">
            <v xml:space="preserve">2 YD TEMP </v>
          </cell>
        </row>
        <row r="4006">
          <cell r="H4006" t="str">
            <v>RENT2TEMP-COMM</v>
          </cell>
          <cell r="I4006" t="str">
            <v>RENT 2 YD TEMP - COMM</v>
          </cell>
        </row>
        <row r="4007">
          <cell r="H4007" t="str">
            <v>ACCESSCREC-COMM</v>
          </cell>
          <cell r="I4007" t="str">
            <v>ACCESS FEE COMM RECY - CO</v>
          </cell>
        </row>
        <row r="4008">
          <cell r="H4008" t="str">
            <v>FL002.0Y1W001BCMGL</v>
          </cell>
          <cell r="I4008" t="str">
            <v>2 YD 1X WK BUS CMGL 1</v>
          </cell>
        </row>
        <row r="4009">
          <cell r="H4009" t="str">
            <v>FL002.0Y1W001BOCC</v>
          </cell>
          <cell r="I4009" t="str">
            <v>2 YD 1X WK BUS OCC 1</v>
          </cell>
        </row>
        <row r="4010">
          <cell r="H4010" t="str">
            <v>FL004.0Y2W001CMGL</v>
          </cell>
          <cell r="I4010" t="str">
            <v>4 YD 2X WK BUS CMGL 1</v>
          </cell>
        </row>
        <row r="4011">
          <cell r="H4011" t="str">
            <v>FL005.0Y1W001BOCC</v>
          </cell>
          <cell r="I4011" t="str">
            <v>5 YD 1X WK BUS OCC 1</v>
          </cell>
        </row>
        <row r="4012">
          <cell r="H4012" t="str">
            <v>FL005.0Y2W001BOCC</v>
          </cell>
          <cell r="I4012" t="str">
            <v>5 YD 2X WK BUS OCC 1</v>
          </cell>
        </row>
        <row r="4013">
          <cell r="H4013" t="str">
            <v>FL005.0Y3W001BOCC</v>
          </cell>
          <cell r="I4013" t="str">
            <v>5 YD 3X WK BUS OCC 1</v>
          </cell>
        </row>
        <row r="4014">
          <cell r="H4014" t="str">
            <v>FL006.0Y1W001BCMGL</v>
          </cell>
          <cell r="I4014" t="str">
            <v>6 YD 1X WK BUS COMINGLE 1</v>
          </cell>
        </row>
        <row r="4015">
          <cell r="H4015" t="str">
            <v>FL006.0Y2W001BCMGL</v>
          </cell>
          <cell r="I4015" t="str">
            <v>6 YD 2X WK BUS COMINGLE 1</v>
          </cell>
        </row>
        <row r="4016">
          <cell r="H4016" t="str">
            <v>FL006.0Y4W001OCC</v>
          </cell>
          <cell r="I4016" t="str">
            <v>6 YD 4X WK OCC 1</v>
          </cell>
        </row>
        <row r="4017">
          <cell r="H4017" t="str">
            <v>MFWBINS</v>
          </cell>
          <cell r="I4017" t="str">
            <v>MULTI-FAMILY REC UNIT W/B</v>
          </cell>
        </row>
        <row r="4018">
          <cell r="H4018" t="str">
            <v>SL096.0G1W001BCMGLOUT</v>
          </cell>
          <cell r="I4018" t="str">
            <v>96 GL WKLY BUS CMGL OUT</v>
          </cell>
        </row>
        <row r="4019">
          <cell r="H4019" t="str">
            <v>SL096.0GEO001BCMGLOUT</v>
          </cell>
          <cell r="I4019" t="str">
            <v>96 GL EOW BUS CMGL OUT</v>
          </cell>
        </row>
        <row r="4020">
          <cell r="H4020" t="str">
            <v>CC-KOL</v>
          </cell>
          <cell r="I4020" t="str">
            <v>ONLINE PAYMENT-CC</v>
          </cell>
        </row>
        <row r="4021">
          <cell r="H4021" t="str">
            <v>CCREF-KOL</v>
          </cell>
          <cell r="I4021" t="str">
            <v>CREDIT CARD REFUND</v>
          </cell>
        </row>
        <row r="4022">
          <cell r="H4022" t="str">
            <v>PAY</v>
          </cell>
          <cell r="I4022" t="str">
            <v>PAYMENT THANK YOU</v>
          </cell>
        </row>
        <row r="4023">
          <cell r="H4023" t="str">
            <v>PAY-CFREE</v>
          </cell>
          <cell r="I4023" t="str">
            <v>CHECKFREE PAYMENT</v>
          </cell>
        </row>
        <row r="4024">
          <cell r="H4024" t="str">
            <v>PAY-KOL</v>
          </cell>
          <cell r="I4024" t="str">
            <v>PAYMENT-THANK YOU - OL</v>
          </cell>
        </row>
        <row r="4025">
          <cell r="H4025" t="str">
            <v>PAY-ORCC</v>
          </cell>
          <cell r="I4025" t="str">
            <v>ORCC PAYMENT</v>
          </cell>
        </row>
        <row r="4026">
          <cell r="H4026" t="str">
            <v>PAY-RPPS</v>
          </cell>
          <cell r="I4026" t="str">
            <v>RPPS MASTERCARD PAYMENT</v>
          </cell>
        </row>
        <row r="4027">
          <cell r="H4027" t="str">
            <v>PAYMET</v>
          </cell>
          <cell r="I4027" t="str">
            <v>METAVANTE ONLINE PAYMENT</v>
          </cell>
        </row>
        <row r="4028">
          <cell r="H4028" t="str">
            <v>PAYUSBL</v>
          </cell>
          <cell r="I4028" t="str">
            <v>PAYMENT THANK YOU</v>
          </cell>
        </row>
        <row r="4029">
          <cell r="H4029" t="str">
            <v>RET-KOL</v>
          </cell>
          <cell r="I4029" t="str">
            <v>ONLINE PAYMENT RETURN</v>
          </cell>
        </row>
        <row r="4030">
          <cell r="H4030" t="str">
            <v>CC-KOL</v>
          </cell>
          <cell r="I4030" t="str">
            <v>ONLINE PAYMENT-CC</v>
          </cell>
        </row>
        <row r="4031">
          <cell r="H4031" t="str">
            <v>CCREF-KOL</v>
          </cell>
          <cell r="I4031" t="str">
            <v>CREDIT CARD REFUND</v>
          </cell>
        </row>
        <row r="4032">
          <cell r="H4032" t="str">
            <v>PAY</v>
          </cell>
          <cell r="I4032" t="str">
            <v>PAYMENT THANK YOU</v>
          </cell>
        </row>
        <row r="4033">
          <cell r="H4033" t="str">
            <v>PAY-CFREE</v>
          </cell>
          <cell r="I4033" t="str">
            <v>CHECKFREE PAYMENT</v>
          </cell>
        </row>
        <row r="4034">
          <cell r="H4034" t="str">
            <v>PAY-KOL</v>
          </cell>
          <cell r="I4034" t="str">
            <v>PAYMENT-THANK YOU - OL</v>
          </cell>
        </row>
        <row r="4035">
          <cell r="H4035" t="str">
            <v>PAY-ORCC</v>
          </cell>
          <cell r="I4035" t="str">
            <v>ORCC PAYMENT</v>
          </cell>
        </row>
        <row r="4036">
          <cell r="H4036" t="str">
            <v>PAY-RPPS</v>
          </cell>
          <cell r="I4036" t="str">
            <v>RPPS MASTERCARD PAYMENT</v>
          </cell>
        </row>
        <row r="4037">
          <cell r="H4037" t="str">
            <v>PAYMET</v>
          </cell>
          <cell r="I4037" t="str">
            <v>METAVANTE ONLINE PAYMENT</v>
          </cell>
        </row>
        <row r="4038">
          <cell r="H4038" t="str">
            <v>PAYUSBL</v>
          </cell>
          <cell r="I4038" t="str">
            <v>PAYMENT THANK YOU</v>
          </cell>
        </row>
        <row r="4039">
          <cell r="H4039" t="str">
            <v>RET-KOL</v>
          </cell>
          <cell r="I4039" t="str">
            <v>ONLINE PAYMENT RETURN</v>
          </cell>
        </row>
        <row r="4040">
          <cell r="H4040" t="str">
            <v>CC-KOL</v>
          </cell>
          <cell r="I4040" t="str">
            <v>ONLINE PAYMENT-CC</v>
          </cell>
        </row>
        <row r="4041">
          <cell r="H4041" t="str">
            <v>PAY</v>
          </cell>
          <cell r="I4041" t="str">
            <v>PAYMENT THANK YOU</v>
          </cell>
        </row>
        <row r="4042">
          <cell r="H4042" t="str">
            <v>PAY-CFREE</v>
          </cell>
          <cell r="I4042" t="str">
            <v>CHECKFREE PAYMENT</v>
          </cell>
        </row>
        <row r="4043">
          <cell r="H4043" t="str">
            <v>PAY-KOL</v>
          </cell>
          <cell r="I4043" t="str">
            <v>PAYMENT-THANK YOU - OL</v>
          </cell>
        </row>
        <row r="4044">
          <cell r="H4044" t="str">
            <v>PAY-NATL</v>
          </cell>
          <cell r="I4044" t="str">
            <v>PAYMENT THANK YOU</v>
          </cell>
        </row>
        <row r="4045">
          <cell r="H4045" t="str">
            <v>PAY-OAK</v>
          </cell>
          <cell r="I4045" t="str">
            <v>OAKLEAF PAYMENT</v>
          </cell>
        </row>
        <row r="4046">
          <cell r="H4046" t="str">
            <v>PAY-ORCC</v>
          </cell>
          <cell r="I4046" t="str">
            <v>ORCC PAYMENT</v>
          </cell>
        </row>
        <row r="4047">
          <cell r="H4047" t="str">
            <v>PAY-RPPS</v>
          </cell>
          <cell r="I4047" t="str">
            <v>RPPS MASTERCARD PAYMENT</v>
          </cell>
        </row>
        <row r="4048">
          <cell r="H4048" t="str">
            <v>PAYMET</v>
          </cell>
          <cell r="I4048" t="str">
            <v>METAVANTE ONLINE PAYMENT</v>
          </cell>
        </row>
        <row r="4049">
          <cell r="H4049" t="str">
            <v>PAYUSBL</v>
          </cell>
          <cell r="I4049" t="str">
            <v>PAYMENT THANK YOU</v>
          </cell>
        </row>
        <row r="4050">
          <cell r="H4050" t="str">
            <v>GWRES</v>
          </cell>
          <cell r="I4050" t="str">
            <v>GREENWASTE SERVICE - RES</v>
          </cell>
        </row>
        <row r="4051">
          <cell r="H4051" t="str">
            <v>RECBINONLYR</v>
          </cell>
          <cell r="I4051" t="str">
            <v>RECYCLE SERVICE ONLY</v>
          </cell>
        </row>
        <row r="4052">
          <cell r="H4052" t="str">
            <v>RECPROGADJ-RES</v>
          </cell>
          <cell r="I4052" t="str">
            <v>RECYCLING PROGRAM ADJUSTM</v>
          </cell>
        </row>
        <row r="4053">
          <cell r="H4053" t="str">
            <v>RECVALRES</v>
          </cell>
          <cell r="I4053" t="str">
            <v>RECYCLABLES VALUE - RES</v>
          </cell>
        </row>
        <row r="4054">
          <cell r="H4054" t="str">
            <v>S45G1W1</v>
          </cell>
          <cell r="I4054" t="str">
            <v>45 GL 1X WK 1</v>
          </cell>
        </row>
        <row r="4055">
          <cell r="H4055" t="str">
            <v>S45G1W2</v>
          </cell>
          <cell r="I4055" t="str">
            <v>45 GL 1X WK 2</v>
          </cell>
        </row>
        <row r="4056">
          <cell r="H4056" t="str">
            <v>S45G1W3</v>
          </cell>
          <cell r="I4056" t="str">
            <v>45 GL 1X WK 3</v>
          </cell>
        </row>
        <row r="4057">
          <cell r="H4057" t="str">
            <v>S45GEO1</v>
          </cell>
          <cell r="I4057" t="str">
            <v>45 GL EOW 1</v>
          </cell>
        </row>
        <row r="4058">
          <cell r="H4058" t="str">
            <v>SL065.0G1W001WREC</v>
          </cell>
          <cell r="I4058" t="str">
            <v>65 GL 1X WK W/RECY 1</v>
          </cell>
        </row>
        <row r="4059">
          <cell r="H4059" t="str">
            <v>SL095.0G1W001WREC</v>
          </cell>
          <cell r="I4059" t="str">
            <v>95 GL 1X WK W/RECY 1</v>
          </cell>
        </row>
        <row r="4060">
          <cell r="H4060" t="str">
            <v>WI1-RES</v>
          </cell>
          <cell r="I4060" t="str">
            <v>WALK IN 6-25' - RES</v>
          </cell>
        </row>
        <row r="4061">
          <cell r="H4061" t="str">
            <v>BULKY-RES</v>
          </cell>
          <cell r="I4061" t="str">
            <v>BULKY ITEM PICK UP - RES</v>
          </cell>
        </row>
        <row r="4062">
          <cell r="H4062" t="str">
            <v>EP96GWC-RES</v>
          </cell>
          <cell r="I4062" t="str">
            <v>EXTRA PICK UP 96 GW - RES</v>
          </cell>
        </row>
        <row r="4063">
          <cell r="H4063" t="str">
            <v>EXTRA-RES</v>
          </cell>
          <cell r="I4063" t="str">
            <v>EXTRA CAN, BAG, BOX - RES</v>
          </cell>
        </row>
        <row r="4064">
          <cell r="H4064" t="str">
            <v>OW-RES</v>
          </cell>
          <cell r="I4064" t="str">
            <v>OVERFILL / OVERWEIGHT CAN</v>
          </cell>
        </row>
        <row r="4065">
          <cell r="H4065" t="str">
            <v>REINSTATE-RES</v>
          </cell>
          <cell r="I4065" t="str">
            <v>REINSTATE FEE - RES</v>
          </cell>
        </row>
        <row r="4066">
          <cell r="H4066" t="str">
            <v>RTRNCART65-RES</v>
          </cell>
          <cell r="I4066" t="str">
            <v>RETURN TRIP 65 GL - RES</v>
          </cell>
        </row>
        <row r="4067">
          <cell r="H4067" t="str">
            <v>GWRES</v>
          </cell>
          <cell r="I4067" t="str">
            <v>GREENWASTE SERVICE - RES</v>
          </cell>
        </row>
        <row r="4068">
          <cell r="H4068" t="str">
            <v>S45G1W1</v>
          </cell>
          <cell r="I4068" t="str">
            <v>45 GL 1X WK 1</v>
          </cell>
        </row>
        <row r="4069">
          <cell r="H4069" t="str">
            <v>S45G1W2</v>
          </cell>
          <cell r="I4069" t="str">
            <v>45 GL 1X WK 2</v>
          </cell>
        </row>
        <row r="4070">
          <cell r="H4070" t="str">
            <v>S45GEO1</v>
          </cell>
          <cell r="I4070" t="str">
            <v>45 GL EOW 1</v>
          </cell>
        </row>
        <row r="4071">
          <cell r="H4071" t="str">
            <v>SL065.0G1W001WREC</v>
          </cell>
          <cell r="I4071" t="str">
            <v>65 GL 1X WK W/RECY 1</v>
          </cell>
        </row>
        <row r="4072">
          <cell r="H4072" t="str">
            <v>SL095.0G1W001WREC</v>
          </cell>
          <cell r="I4072" t="str">
            <v>95 GL 1X WK W/RECY 1</v>
          </cell>
        </row>
        <row r="4073">
          <cell r="H4073" t="str">
            <v>BULKY-RES</v>
          </cell>
          <cell r="I4073" t="str">
            <v>BULKY ITEM PICK UP - RES</v>
          </cell>
        </row>
        <row r="4074">
          <cell r="H4074" t="str">
            <v>EP96GWC-RES</v>
          </cell>
          <cell r="I4074" t="str">
            <v>EXTRA PICK UP 96 GW - RES</v>
          </cell>
        </row>
        <row r="4075">
          <cell r="H4075" t="str">
            <v>EXTRA-RES</v>
          </cell>
          <cell r="I4075" t="str">
            <v>EXTRA CAN, BAG, BOX - RES</v>
          </cell>
        </row>
        <row r="4076">
          <cell r="H4076" t="str">
            <v>GWRES</v>
          </cell>
          <cell r="I4076" t="str">
            <v>GREENWASTE SERVICE - RES</v>
          </cell>
        </row>
        <row r="4077">
          <cell r="H4077" t="str">
            <v>OC-RES</v>
          </cell>
          <cell r="I4077" t="str">
            <v>ON CALL SERVICE - RES</v>
          </cell>
        </row>
        <row r="4078">
          <cell r="H4078" t="str">
            <v>OW-RES</v>
          </cell>
          <cell r="I4078" t="str">
            <v>OVERFILL / OVERWEIGHT CAN</v>
          </cell>
        </row>
        <row r="4079">
          <cell r="H4079" t="str">
            <v>REINSTATE-RES</v>
          </cell>
          <cell r="I4079" t="str">
            <v>REINSTATE FEE - RES</v>
          </cell>
        </row>
        <row r="4080">
          <cell r="H4080" t="str">
            <v>RTRNCART45-RES</v>
          </cell>
          <cell r="I4080" t="str">
            <v>RETURN TRIP 45 GL - RES</v>
          </cell>
        </row>
        <row r="4081">
          <cell r="H4081" t="str">
            <v>S45G1W1</v>
          </cell>
          <cell r="I4081" t="str">
            <v>45 GL 1X WK 1</v>
          </cell>
        </row>
        <row r="4082">
          <cell r="H4082" t="str">
            <v>OW-RES</v>
          </cell>
          <cell r="I4082" t="str">
            <v>OVERFILL / OVERWEIGHT CAN</v>
          </cell>
        </row>
        <row r="4083">
          <cell r="H4083" t="str">
            <v>LIDRO</v>
          </cell>
          <cell r="I4083" t="str">
            <v>LID CHARGE - RO</v>
          </cell>
        </row>
        <row r="4084">
          <cell r="H4084" t="str">
            <v>RENT20MO-RO</v>
          </cell>
          <cell r="I4084" t="str">
            <v>RENTAL FEE 20 YD MONTHLY</v>
          </cell>
        </row>
        <row r="4085">
          <cell r="H4085" t="str">
            <v>RENT30MO-RO</v>
          </cell>
          <cell r="I4085" t="str">
            <v>RENTAL FEE 30 YD MONTHLY</v>
          </cell>
        </row>
        <row r="4086">
          <cell r="H4086" t="str">
            <v>RENT40MO-RO</v>
          </cell>
          <cell r="I4086" t="str">
            <v>RENTAL FEE 40 YD MONTHLY</v>
          </cell>
        </row>
        <row r="4087">
          <cell r="H4087" t="str">
            <v>CLEAN25-RO</v>
          </cell>
          <cell r="I4087" t="str">
            <v>CLEANING FEE 25 YD - RO</v>
          </cell>
        </row>
        <row r="4088">
          <cell r="H4088" t="str">
            <v>DEL20TEMP-RO</v>
          </cell>
          <cell r="I4088" t="str">
            <v>DELIVERY FEE 20 YD TEMP -</v>
          </cell>
        </row>
        <row r="4089">
          <cell r="H4089" t="str">
            <v>DEL30TEMP-RO</v>
          </cell>
          <cell r="I4089" t="str">
            <v>DELIVERY FEE 30 YD TEMP -</v>
          </cell>
        </row>
        <row r="4090">
          <cell r="H4090" t="str">
            <v>DEL40-RO</v>
          </cell>
          <cell r="I4090" t="str">
            <v>DELIVERY FEE 40 YD - RO</v>
          </cell>
        </row>
        <row r="4091">
          <cell r="H4091" t="str">
            <v>DISCO-CP</v>
          </cell>
          <cell r="I4091" t="str">
            <v xml:space="preserve">COMPACTOR DISCONNECT FEE </v>
          </cell>
        </row>
        <row r="4092">
          <cell r="H4092" t="str">
            <v>DISP-RO</v>
          </cell>
          <cell r="I4092" t="str">
            <v>DISPOSAL CHARGE - RO</v>
          </cell>
        </row>
        <row r="4093">
          <cell r="H4093" t="str">
            <v>DISPTRANS-RO</v>
          </cell>
          <cell r="I4093" t="str">
            <v>DISPOSAL FEE TRANSFER HAU</v>
          </cell>
        </row>
        <row r="4094">
          <cell r="H4094" t="str">
            <v>FINAL20TEMP-RO</v>
          </cell>
          <cell r="I4094" t="str">
            <v>FINAL PULL 20 YD TEMP - R</v>
          </cell>
        </row>
        <row r="4095">
          <cell r="H4095" t="str">
            <v>HAUL20-RO</v>
          </cell>
          <cell r="I4095" t="str">
            <v>HAUL 20 YD - RO</v>
          </cell>
        </row>
        <row r="4096">
          <cell r="H4096" t="str">
            <v>HAUL25-CP</v>
          </cell>
          <cell r="I4096" t="str">
            <v>COMPACTOR HAUL 25 YD - RO</v>
          </cell>
        </row>
        <row r="4097">
          <cell r="H4097" t="str">
            <v>HAUL30-RO</v>
          </cell>
          <cell r="I4097" t="str">
            <v>HAUL 30 YD - RO</v>
          </cell>
        </row>
        <row r="4098">
          <cell r="H4098" t="str">
            <v>HAUL40-CP</v>
          </cell>
          <cell r="I4098" t="str">
            <v>COMPACTOR HAUL 40 YD</v>
          </cell>
        </row>
        <row r="4099">
          <cell r="H4099" t="str">
            <v>HAUL40-RO</v>
          </cell>
          <cell r="I4099" t="str">
            <v>HAUL 40 YD - RO</v>
          </cell>
        </row>
        <row r="4100">
          <cell r="H4100" t="str">
            <v>MILE-RO</v>
          </cell>
          <cell r="I4100" t="str">
            <v>MILEAGE FEE - RO</v>
          </cell>
        </row>
        <row r="4101">
          <cell r="H4101" t="str">
            <v>RENT20TEMP-RO</v>
          </cell>
          <cell r="I4101" t="str">
            <v>RENTAL FEE 20 YD TEMP - R</v>
          </cell>
        </row>
        <row r="4102">
          <cell r="H4102" t="str">
            <v>RENT30TEMP-RO</v>
          </cell>
          <cell r="I4102" t="str">
            <v>RENTAL FEE 30 YD TEMP - R</v>
          </cell>
        </row>
        <row r="4103">
          <cell r="H4103" t="str">
            <v>DISPCMGL-RO</v>
          </cell>
          <cell r="I4103" t="str">
            <v xml:space="preserve">DISPOSAL FEE COMMINGLE - </v>
          </cell>
        </row>
        <row r="4104">
          <cell r="H4104" t="str">
            <v>DISPGLASS-RO</v>
          </cell>
          <cell r="I4104" t="str">
            <v>DISPOSAL FEE GLASS - RO</v>
          </cell>
        </row>
        <row r="4105">
          <cell r="H4105" t="str">
            <v>DISPOCC-RO</v>
          </cell>
          <cell r="I4105" t="str">
            <v xml:space="preserve">DISPOSAL FEE CARDBOARD - </v>
          </cell>
        </row>
        <row r="4106">
          <cell r="H4106" t="str">
            <v>HAUL30-RO</v>
          </cell>
          <cell r="I4106" t="str">
            <v>HAUL 30 YD - RO</v>
          </cell>
        </row>
        <row r="4107">
          <cell r="H4107" t="str">
            <v>COMMODITY SURCHARGE</v>
          </cell>
          <cell r="I4107" t="str">
            <v>COMMODITY SURCHARGE</v>
          </cell>
        </row>
        <row r="4108">
          <cell r="H4108" t="str">
            <v>COMMODITY SURCHARGE</v>
          </cell>
          <cell r="I4108" t="str">
            <v>COMMODITY SURCHARGE</v>
          </cell>
        </row>
        <row r="4109">
          <cell r="H4109" t="str">
            <v>DUPONT CITY UTILITY TAX</v>
          </cell>
          <cell r="I4109" t="str">
            <v>8% CITY UTILITY TAX</v>
          </cell>
        </row>
        <row r="4110">
          <cell r="H4110" t="str">
            <v>DUPONT REFUSE TAX</v>
          </cell>
          <cell r="I4110" t="str">
            <v>3.6% WA STATE REFUSE TAX</v>
          </cell>
        </row>
        <row r="4111">
          <cell r="H4111" t="str">
            <v>DUPONT CITY ONLY</v>
          </cell>
          <cell r="I4111" t="str">
            <v>8% CITY UTILITY TAX</v>
          </cell>
        </row>
        <row r="4112">
          <cell r="H4112" t="str">
            <v>DUPONT CITY UTILITY TAX</v>
          </cell>
          <cell r="I4112" t="str">
            <v>8% CITY UTILITY TAX</v>
          </cell>
        </row>
        <row r="4113">
          <cell r="H4113" t="str">
            <v>DUPONT REFUSE TAX</v>
          </cell>
          <cell r="I4113" t="str">
            <v>3.6% WA STATE REFUSE TAX</v>
          </cell>
        </row>
        <row r="4114">
          <cell r="H4114" t="str">
            <v>DUPONT STATE SALES TAX</v>
          </cell>
          <cell r="I4114" t="str">
            <v>9.3% WA STATE SALES TAX</v>
          </cell>
        </row>
        <row r="4115">
          <cell r="H4115" t="str">
            <v>DUPONT CITY UTILITY TAX</v>
          </cell>
          <cell r="I4115" t="str">
            <v>8% CITY UTILITY TAX</v>
          </cell>
        </row>
        <row r="4116">
          <cell r="H4116" t="str">
            <v>DUPONT REFUSE TAX</v>
          </cell>
          <cell r="I4116" t="str">
            <v>3.6% WA STATE REFUSE TAX</v>
          </cell>
        </row>
        <row r="4117">
          <cell r="H4117" t="str">
            <v>DUPONT STATE SALES TAX</v>
          </cell>
          <cell r="I4117" t="str">
            <v>9.3% WA STATE SALES TAX</v>
          </cell>
        </row>
        <row r="4118">
          <cell r="H4118" t="str">
            <v>DUPONT CITY UTILITY TAX</v>
          </cell>
          <cell r="I4118" t="str">
            <v>8% CITY UTILITY TAX</v>
          </cell>
        </row>
        <row r="4119">
          <cell r="H4119" t="str">
            <v>DUPONT REFUSE TAX</v>
          </cell>
          <cell r="I4119" t="str">
            <v>3.6% WA STATE REFUSE TAX</v>
          </cell>
        </row>
        <row r="4120">
          <cell r="H4120" t="str">
            <v>DUPONT CITY UTILITY TAX</v>
          </cell>
          <cell r="I4120" t="str">
            <v>8% CITY UTILITY TAX</v>
          </cell>
        </row>
        <row r="4121">
          <cell r="H4121" t="str">
            <v>DUPONT REFUSE TAX</v>
          </cell>
          <cell r="I4121" t="str">
            <v>3.6% WA STATE REFUSE TAX</v>
          </cell>
        </row>
        <row r="4122">
          <cell r="H4122" t="str">
            <v>DUPONT CITY ONLY</v>
          </cell>
          <cell r="I4122" t="str">
            <v>8% CITY UTILITY TAX</v>
          </cell>
        </row>
        <row r="4123">
          <cell r="H4123" t="str">
            <v>DUPONT CITY UTILITY TAX</v>
          </cell>
          <cell r="I4123" t="str">
            <v>8% CITY UTILITY TAX</v>
          </cell>
        </row>
        <row r="4124">
          <cell r="H4124" t="str">
            <v>DUPONT REFUSE TAX</v>
          </cell>
          <cell r="I4124" t="str">
            <v>3.6% WA STATE REFUSE TAX</v>
          </cell>
        </row>
        <row r="4125">
          <cell r="H4125" t="str">
            <v>DUPONT STATE SALES TAX</v>
          </cell>
          <cell r="I4125" t="str">
            <v>9.3% WA STATE SALES TAX</v>
          </cell>
        </row>
        <row r="4126">
          <cell r="H4126" t="str">
            <v>DUPONT CITY UTILITY TAX</v>
          </cell>
          <cell r="I4126" t="str">
            <v>8% CITY UTILITY TAX</v>
          </cell>
        </row>
        <row r="4127">
          <cell r="H4127" t="str">
            <v>DUPONT REFUSE TAX</v>
          </cell>
          <cell r="I4127" t="str">
            <v>3.6% WA STATE REFUSE TAX</v>
          </cell>
        </row>
        <row r="4128">
          <cell r="H4128" t="str">
            <v>FINCHG</v>
          </cell>
          <cell r="I4128" t="str">
            <v>LATE FEE</v>
          </cell>
        </row>
        <row r="4129">
          <cell r="H4129" t="str">
            <v>ACCESS-COMM</v>
          </cell>
          <cell r="I4129" t="str">
            <v>ACCESS FEE - COMM</v>
          </cell>
        </row>
        <row r="4130">
          <cell r="H4130" t="str">
            <v>DONATIONC</v>
          </cell>
          <cell r="I4130" t="str">
            <v>DONATED SERVICE COMM</v>
          </cell>
        </row>
        <row r="4131">
          <cell r="H4131" t="str">
            <v>FL001.0Y1W001</v>
          </cell>
          <cell r="I4131" t="str">
            <v>1 YD 1X WK 1</v>
          </cell>
        </row>
        <row r="4132">
          <cell r="H4132" t="str">
            <v>FL001.0Y2W001</v>
          </cell>
          <cell r="I4132" t="str">
            <v>1 YD 2X WK 1</v>
          </cell>
        </row>
        <row r="4133">
          <cell r="H4133" t="str">
            <v>FL001.5Y1W001</v>
          </cell>
          <cell r="I4133" t="str">
            <v>1.5 YD 1X WK 1</v>
          </cell>
        </row>
        <row r="4134">
          <cell r="H4134" t="str">
            <v>FL001.5Y2W001</v>
          </cell>
          <cell r="I4134" t="str">
            <v>1.5 YD 2X WK 1</v>
          </cell>
        </row>
        <row r="4135">
          <cell r="H4135" t="str">
            <v>FL002.0Y1W001</v>
          </cell>
          <cell r="I4135" t="str">
            <v>2 YD 1X WK 1</v>
          </cell>
        </row>
        <row r="4136">
          <cell r="H4136" t="str">
            <v>FL002.0Y2W001</v>
          </cell>
          <cell r="I4136" t="str">
            <v>2 YD 2X WK 1</v>
          </cell>
        </row>
        <row r="4137">
          <cell r="H4137" t="str">
            <v>GWCOMM</v>
          </cell>
          <cell r="I4137" t="str">
            <v>GREENWASTE SERVICE - COMM</v>
          </cell>
        </row>
        <row r="4138">
          <cell r="H4138" t="str">
            <v>RL001.0Y1W001</v>
          </cell>
          <cell r="I4138" t="str">
            <v>1 YD 1X WK 1</v>
          </cell>
        </row>
        <row r="4139">
          <cell r="H4139" t="str">
            <v>RL001.5Y1W001</v>
          </cell>
          <cell r="I4139" t="str">
            <v>1.5 YD 1X WK 1</v>
          </cell>
        </row>
        <row r="4140">
          <cell r="H4140" t="str">
            <v>SL035.0G1M001WRECC</v>
          </cell>
          <cell r="I4140" t="str">
            <v>35 GL 1X MO W/RECY COMM 1</v>
          </cell>
        </row>
        <row r="4141">
          <cell r="H4141" t="str">
            <v>SL065.0G1M001WRECC</v>
          </cell>
          <cell r="I4141" t="str">
            <v>65 GL 1X MO W/RECY COMM 1</v>
          </cell>
        </row>
        <row r="4142">
          <cell r="H4142" t="str">
            <v>SL065.0G1W001WRECC</v>
          </cell>
          <cell r="I4142" t="str">
            <v>65 GL 1X WK W/RECY COMM 1</v>
          </cell>
        </row>
        <row r="4143">
          <cell r="H4143" t="str">
            <v>SL065.0GEO001WRECC</v>
          </cell>
          <cell r="I4143" t="str">
            <v>65 GL EOW W/RECY COMM 1</v>
          </cell>
        </row>
        <row r="4144">
          <cell r="H4144" t="str">
            <v>SL095.0G1W001NORECC</v>
          </cell>
          <cell r="I4144" t="str">
            <v xml:space="preserve">95 GL 1X WK NO RECY COMM </v>
          </cell>
        </row>
        <row r="4145">
          <cell r="H4145" t="str">
            <v>SL095.0G1W001WRECC</v>
          </cell>
          <cell r="I4145" t="str">
            <v>95 GL 1X WK W/RECY COMM 1</v>
          </cell>
        </row>
        <row r="4146">
          <cell r="H4146" t="str">
            <v>SL095.0GEO001WRECC</v>
          </cell>
          <cell r="I4146" t="str">
            <v>95 GL EOW W/RECY COMM 1</v>
          </cell>
        </row>
        <row r="4147">
          <cell r="H4147" t="str">
            <v>EXTRA-COMM</v>
          </cell>
          <cell r="I4147" t="str">
            <v>EXTRA CAN, BAG, BOX - COM</v>
          </cell>
        </row>
        <row r="4148">
          <cell r="H4148" t="str">
            <v>ACCESSCREC-COMM</v>
          </cell>
          <cell r="I4148" t="str">
            <v>ACCESS FEE COMM RECY - CO</v>
          </cell>
        </row>
        <row r="4149">
          <cell r="H4149" t="str">
            <v>FL002.0Y1W001BOCC</v>
          </cell>
          <cell r="I4149" t="str">
            <v>2 YD 1X WK BUS OCC 1</v>
          </cell>
        </row>
        <row r="4150">
          <cell r="H4150" t="str">
            <v>FL002.0Y2W001SCMGL</v>
          </cell>
          <cell r="I4150" t="str">
            <v>2 YD 2X WK SCHL CMGL 1</v>
          </cell>
        </row>
        <row r="4151">
          <cell r="H4151" t="str">
            <v>FL005.0Y1W001BOCC</v>
          </cell>
          <cell r="I4151" t="str">
            <v>5 YD 1X WK BUS OCC 1</v>
          </cell>
        </row>
        <row r="4152">
          <cell r="H4152" t="str">
            <v>FL006.0Y1W001SCMGL</v>
          </cell>
          <cell r="I4152" t="str">
            <v>6 YD 1X WK SCHL CMGL 1</v>
          </cell>
        </row>
        <row r="4153">
          <cell r="H4153" t="str">
            <v>SL096.0GEO001BCMGLIN</v>
          </cell>
          <cell r="I4153" t="str">
            <v>96 GL EOW BUS CMGL IN</v>
          </cell>
        </row>
        <row r="4154">
          <cell r="H4154" t="str">
            <v>SL096.0GEO001BCMGLOUT</v>
          </cell>
          <cell r="I4154" t="str">
            <v>96 GL EOW BUS CMGL OUT</v>
          </cell>
        </row>
        <row r="4155">
          <cell r="H4155" t="str">
            <v>SL096.0GEO001SCMGLOUT</v>
          </cell>
          <cell r="I4155" t="str">
            <v>96 GL EOW SCHL CMGL OUT</v>
          </cell>
        </row>
        <row r="4156">
          <cell r="H4156" t="str">
            <v>PAYUSBL</v>
          </cell>
          <cell r="I4156" t="str">
            <v>PAYMENT THANK YOU</v>
          </cell>
        </row>
        <row r="4157">
          <cell r="H4157" t="str">
            <v>GWRES</v>
          </cell>
          <cell r="I4157" t="str">
            <v>GREENWASTE SERVICE - RES</v>
          </cell>
        </row>
        <row r="4158">
          <cell r="H4158" t="str">
            <v>RECBINONLYR</v>
          </cell>
          <cell r="I4158" t="str">
            <v>RECYCLE SERVICE ONLY</v>
          </cell>
        </row>
        <row r="4159">
          <cell r="H4159" t="str">
            <v>SL035.0G1M001WREC</v>
          </cell>
          <cell r="I4159" t="str">
            <v>35 GL 1X MO W/RECY 1</v>
          </cell>
        </row>
        <row r="4160">
          <cell r="H4160" t="str">
            <v>SL065.0G1M001NOREC</v>
          </cell>
          <cell r="I4160" t="str">
            <v>65 GL 1X MO NO RECY 1</v>
          </cell>
        </row>
        <row r="4161">
          <cell r="H4161" t="str">
            <v>SL065.0G1M001WREC</v>
          </cell>
          <cell r="I4161" t="str">
            <v>65 GL 1X MO W/RECY 1</v>
          </cell>
        </row>
        <row r="4162">
          <cell r="H4162" t="str">
            <v>SL065.0G1W001WREC</v>
          </cell>
          <cell r="I4162" t="str">
            <v>65 GL 1X WK W/RECY 1</v>
          </cell>
        </row>
        <row r="4163">
          <cell r="H4163" t="str">
            <v>SL065.0GEO001</v>
          </cell>
          <cell r="I4163" t="str">
            <v>65 GL EOW 1</v>
          </cell>
        </row>
        <row r="4164">
          <cell r="H4164" t="str">
            <v>SL065.0GEO001WREC</v>
          </cell>
          <cell r="I4164" t="str">
            <v>65 GL EOW W/RECY 1</v>
          </cell>
        </row>
        <row r="4165">
          <cell r="H4165" t="str">
            <v>SL095.0G1W001WREC</v>
          </cell>
          <cell r="I4165" t="str">
            <v>95 GL 1X WK W/RECY 1</v>
          </cell>
        </row>
        <row r="4166">
          <cell r="H4166" t="str">
            <v>SL095.0GEO001</v>
          </cell>
          <cell r="I4166" t="str">
            <v>95 GL EOW 1</v>
          </cell>
        </row>
        <row r="4167">
          <cell r="H4167" t="str">
            <v>SL095.0GEO001WREC</v>
          </cell>
          <cell r="I4167" t="str">
            <v>95 GL EOW W/RECY 1</v>
          </cell>
        </row>
        <row r="4168">
          <cell r="H4168" t="str">
            <v>EXTRA-RES</v>
          </cell>
          <cell r="I4168" t="str">
            <v>EXTRA CAN, BAG, BOX - RES</v>
          </cell>
        </row>
        <row r="4169">
          <cell r="H4169" t="str">
            <v>OC-RES</v>
          </cell>
          <cell r="I4169" t="str">
            <v>ON CALL SERVICE - RES</v>
          </cell>
        </row>
        <row r="4170">
          <cell r="H4170" t="str">
            <v>DONATIONRO</v>
          </cell>
          <cell r="I4170" t="str">
            <v>DONATED SERVICE ROLL OFF</v>
          </cell>
        </row>
        <row r="4171">
          <cell r="H4171" t="str">
            <v>RENT30MO-RO</v>
          </cell>
          <cell r="I4171" t="str">
            <v>RENTAL FEE 30 YD MONTHLY</v>
          </cell>
        </row>
        <row r="4172">
          <cell r="H4172" t="str">
            <v>DISCO-CP</v>
          </cell>
          <cell r="I4172" t="str">
            <v xml:space="preserve">COMPACTOR DISCONNECT FEE </v>
          </cell>
        </row>
        <row r="4173">
          <cell r="H4173" t="str">
            <v>DISP-RO</v>
          </cell>
          <cell r="I4173" t="str">
            <v>DISPOSAL CHARGE - RO</v>
          </cell>
        </row>
        <row r="4174">
          <cell r="H4174" t="str">
            <v>DISPOCC-RO</v>
          </cell>
          <cell r="I4174" t="str">
            <v xml:space="preserve">DISPOSAL FEE CARDBOARD - </v>
          </cell>
        </row>
        <row r="4175">
          <cell r="H4175" t="str">
            <v>HAUL30-CP</v>
          </cell>
          <cell r="I4175" t="str">
            <v>COMPACTOR HAUL 30 YD</v>
          </cell>
        </row>
        <row r="4176">
          <cell r="H4176" t="str">
            <v>HAUL30-RO</v>
          </cell>
          <cell r="I4176" t="str">
            <v>HAUL 30 YD - RO</v>
          </cell>
        </row>
        <row r="4177">
          <cell r="H4177" t="str">
            <v>MILE-RO</v>
          </cell>
          <cell r="I4177" t="str">
            <v>MILEAGE FEE - RO</v>
          </cell>
        </row>
        <row r="4178">
          <cell r="H4178" t="str">
            <v>COMMODITY SURCHARGE</v>
          </cell>
          <cell r="I4178" t="str">
            <v>COMMODITY SURCHARGE</v>
          </cell>
        </row>
        <row r="4179">
          <cell r="H4179" t="str">
            <v>PIERCE COUNTY REFUSE TAX</v>
          </cell>
          <cell r="I4179" t="str">
            <v>3.6% PIERCE COUNTY REFUSE</v>
          </cell>
        </row>
        <row r="4180">
          <cell r="H4180" t="str">
            <v>PIERCE COUNTY SALES TAX</v>
          </cell>
          <cell r="I4180" t="str">
            <v>7.9% WA STATE SALES TAX</v>
          </cell>
        </row>
        <row r="4181">
          <cell r="H4181" t="str">
            <v>FINCHG</v>
          </cell>
          <cell r="I4181" t="str">
            <v>LATE FEE</v>
          </cell>
        </row>
        <row r="4182">
          <cell r="H4182" t="str">
            <v>FL004.0Y2W001MF</v>
          </cell>
          <cell r="I4182" t="str">
            <v>4 YD 2X WK MULTI-FAMILY 1</v>
          </cell>
        </row>
        <row r="4183">
          <cell r="H4183" t="str">
            <v>FL006.0Y1W001MF</v>
          </cell>
          <cell r="I4183" t="str">
            <v>6 YD 1X WK MULTI-FAMILY 1</v>
          </cell>
        </row>
        <row r="4184">
          <cell r="H4184" t="str">
            <v>FL006.0Y2W001MF</v>
          </cell>
          <cell r="I4184" t="str">
            <v>6 YD 2X WK MULTI-FAMILY 1</v>
          </cell>
        </row>
        <row r="4185">
          <cell r="H4185" t="str">
            <v>SL065.0G1W001NORECC</v>
          </cell>
          <cell r="I4185" t="str">
            <v xml:space="preserve">65 GL 1X WK NO RECY COMM </v>
          </cell>
        </row>
        <row r="4186">
          <cell r="H4186" t="str">
            <v>SL065.0G1W001WREC</v>
          </cell>
          <cell r="I4186" t="str">
            <v>65 GL 1X WK W/RECY 1</v>
          </cell>
        </row>
        <row r="4187">
          <cell r="H4187" t="str">
            <v>SL095.0G1W001WREC</v>
          </cell>
          <cell r="I4187" t="str">
            <v>95 GL 1X WK W/RECY 1</v>
          </cell>
        </row>
        <row r="4188">
          <cell r="H4188" t="str">
            <v>SL096.0G1M001BCMGLOUT</v>
          </cell>
          <cell r="I4188" t="str">
            <v>96 GL MTHLY BUS CMGL OUT</v>
          </cell>
        </row>
        <row r="4189">
          <cell r="H4189" t="str">
            <v>MFWBINS</v>
          </cell>
          <cell r="I4189" t="str">
            <v>MULTI-FAMILY REC UNIT W/B</v>
          </cell>
        </row>
        <row r="4190">
          <cell r="H4190" t="str">
            <v>CC-KOL</v>
          </cell>
          <cell r="I4190" t="str">
            <v>ONLINE PAYMENT-CC</v>
          </cell>
        </row>
        <row r="4191">
          <cell r="H4191" t="str">
            <v>PAY</v>
          </cell>
          <cell r="I4191" t="str">
            <v>PAYMENT THANK YOU</v>
          </cell>
        </row>
        <row r="4192">
          <cell r="H4192" t="str">
            <v>PAY-KOL</v>
          </cell>
          <cell r="I4192" t="str">
            <v>PAYMENT-THANK YOU - OL</v>
          </cell>
        </row>
        <row r="4193">
          <cell r="H4193" t="str">
            <v>RECBINONLYR</v>
          </cell>
          <cell r="I4193" t="str">
            <v>RECYCLE SERVICE ONLY</v>
          </cell>
        </row>
        <row r="4194">
          <cell r="H4194" t="str">
            <v>RECVALRES</v>
          </cell>
          <cell r="I4194" t="str">
            <v>RECYCLABLES VALUE - RES</v>
          </cell>
        </row>
        <row r="4195">
          <cell r="H4195" t="str">
            <v>SL065.0G1W001WREC</v>
          </cell>
          <cell r="I4195" t="str">
            <v>65 GL 1X WK W/RECY 1</v>
          </cell>
        </row>
        <row r="4196">
          <cell r="H4196" t="str">
            <v>SL095.0G1W001WREC</v>
          </cell>
          <cell r="I4196" t="str">
            <v>95 GL 1X WK W/RECY 1</v>
          </cell>
        </row>
        <row r="4197">
          <cell r="H4197" t="str">
            <v>DISPFEDMSW-RES</v>
          </cell>
          <cell r="I4197" t="str">
            <v>DISPOSAL FEDERAL MSW - RE</v>
          </cell>
        </row>
        <row r="4198">
          <cell r="H4198" t="str">
            <v>GWRES</v>
          </cell>
          <cell r="I4198" t="str">
            <v>GREENWASTE SERVICE - RES</v>
          </cell>
        </row>
        <row r="4199">
          <cell r="H4199" t="str">
            <v>PDBAG-RES</v>
          </cell>
          <cell r="I4199" t="str">
            <v>PREPAID BAG - RES</v>
          </cell>
        </row>
        <row r="4200">
          <cell r="H4200" t="str">
            <v>RECPROGADJ-RES</v>
          </cell>
          <cell r="I4200" t="str">
            <v>RECYCLING PROGRAM ADJUSTM</v>
          </cell>
        </row>
        <row r="4201">
          <cell r="H4201" t="str">
            <v>RECVALRES</v>
          </cell>
          <cell r="I4201" t="str">
            <v>RECYCLABLES VALUE - RES</v>
          </cell>
        </row>
        <row r="4202">
          <cell r="H4202" t="str">
            <v>TIME-RES</v>
          </cell>
          <cell r="I4202" t="str">
            <v>TIME FEE 1 - RES</v>
          </cell>
        </row>
        <row r="4203">
          <cell r="H4203" t="str">
            <v>RENT20MO-RO</v>
          </cell>
          <cell r="I4203" t="str">
            <v>RENTAL FEE 20 YD MONTHLY</v>
          </cell>
        </row>
        <row r="4204">
          <cell r="H4204" t="str">
            <v>RENT30MO-RO</v>
          </cell>
          <cell r="I4204" t="str">
            <v>RENTAL FEE 30 YD MONTHLY</v>
          </cell>
        </row>
        <row r="4205">
          <cell r="H4205" t="str">
            <v>RENT40MO-RO</v>
          </cell>
          <cell r="I4205" t="str">
            <v>RENTAL FEE 40 YD MONTHLY</v>
          </cell>
        </row>
        <row r="4206">
          <cell r="H4206" t="str">
            <v>DISPFEDMSW-RO</v>
          </cell>
          <cell r="I4206" t="str">
            <v xml:space="preserve">DISPOSAL FEE FEDERAL MSW </v>
          </cell>
        </row>
        <row r="4207">
          <cell r="H4207" t="str">
            <v>HAUL30-RO</v>
          </cell>
          <cell r="I4207" t="str">
            <v>HAUL 30 YD - RO</v>
          </cell>
        </row>
        <row r="4208">
          <cell r="H4208" t="str">
            <v>HAUL40-RO</v>
          </cell>
          <cell r="I4208" t="str">
            <v>HAUL 40 YD - RO</v>
          </cell>
        </row>
        <row r="4209">
          <cell r="H4209" t="str">
            <v>MILE-RO</v>
          </cell>
          <cell r="I4209" t="str">
            <v>MILEAGE FEE - RO</v>
          </cell>
        </row>
        <row r="4210">
          <cell r="H4210" t="str">
            <v>RTRNTRIP-RO</v>
          </cell>
          <cell r="I4210" t="str">
            <v>RETURN TRIP FEE - RO</v>
          </cell>
        </row>
        <row r="4211">
          <cell r="H4211" t="str">
            <v>FT LEWIS REFUSE TAX</v>
          </cell>
          <cell r="I4211" t="str">
            <v>3.6% WA STATE REFUSE TAX</v>
          </cell>
        </row>
        <row r="4212">
          <cell r="H4212" t="str">
            <v>FT LEWIS STATE SALES TAX</v>
          </cell>
          <cell r="I4212" t="str">
            <v>9.3% WA STATE SALES TAX</v>
          </cell>
        </row>
        <row r="4213">
          <cell r="H4213" t="str">
            <v>FT LEWIS REFUSE TAX</v>
          </cell>
          <cell r="I4213" t="str">
            <v>3.6% WA STATE REFUSE TAX</v>
          </cell>
        </row>
        <row r="4214">
          <cell r="H4214" t="str">
            <v>FINCHG</v>
          </cell>
          <cell r="I4214" t="str">
            <v>LATE FEE</v>
          </cell>
        </row>
        <row r="4215">
          <cell r="H4215" t="str">
            <v>FINCHG</v>
          </cell>
          <cell r="I4215" t="str">
            <v>LATE FEE</v>
          </cell>
        </row>
        <row r="4216">
          <cell r="H4216" t="str">
            <v>MM</v>
          </cell>
          <cell r="I4216" t="str">
            <v>ADJUST BALANCE (MM)</v>
          </cell>
        </row>
        <row r="4217">
          <cell r="H4217" t="str">
            <v>REFUND</v>
          </cell>
          <cell r="I4217" t="str">
            <v>REFUND</v>
          </cell>
        </row>
        <row r="4218">
          <cell r="H4218" t="str">
            <v>RETCK-LB</v>
          </cell>
          <cell r="I4218" t="str">
            <v>RETURNED CHECK - LOCKBOX</v>
          </cell>
        </row>
        <row r="4219">
          <cell r="H4219" t="str">
            <v>ACCESS-COMM</v>
          </cell>
          <cell r="I4219" t="str">
            <v>ACCESS FEE - COMM</v>
          </cell>
        </row>
        <row r="4220">
          <cell r="H4220" t="str">
            <v>FL001.0Y1W001</v>
          </cell>
          <cell r="I4220" t="str">
            <v>1 YD 1X WK 1</v>
          </cell>
        </row>
        <row r="4221">
          <cell r="H4221" t="str">
            <v>FL001.5Y1W001</v>
          </cell>
          <cell r="I4221" t="str">
            <v>1.5 YD 1X WK 1</v>
          </cell>
        </row>
        <row r="4222">
          <cell r="H4222" t="str">
            <v>FL001.5Y2W001</v>
          </cell>
          <cell r="I4222" t="str">
            <v>1.5 YD 2X WK 1</v>
          </cell>
        </row>
        <row r="4223">
          <cell r="H4223" t="str">
            <v>FL001.5Y3W001</v>
          </cell>
          <cell r="I4223" t="str">
            <v>1.5 YD 3X WK 1</v>
          </cell>
        </row>
        <row r="4224">
          <cell r="H4224" t="str">
            <v>FL001.5Y4W001</v>
          </cell>
          <cell r="I4224" t="str">
            <v>1.5 YD 4X WK 1</v>
          </cell>
        </row>
        <row r="4225">
          <cell r="H4225" t="str">
            <v>FL001.5Y5W001</v>
          </cell>
          <cell r="I4225" t="str">
            <v>1.5 YD 5X WK 1</v>
          </cell>
        </row>
        <row r="4226">
          <cell r="H4226" t="str">
            <v>FL002.0Y1W001</v>
          </cell>
          <cell r="I4226" t="str">
            <v>2 YD 1X WK 1</v>
          </cell>
        </row>
        <row r="4227">
          <cell r="H4227" t="str">
            <v>FL002.0Y3W001</v>
          </cell>
          <cell r="I4227" t="str">
            <v>2 YD 3X WK 1</v>
          </cell>
        </row>
        <row r="4228">
          <cell r="H4228" t="str">
            <v>FL002.0Y5W001</v>
          </cell>
          <cell r="I4228" t="str">
            <v>2 YD 5X WK 1</v>
          </cell>
        </row>
        <row r="4229">
          <cell r="H4229" t="str">
            <v>FL003.0Y1W001</v>
          </cell>
          <cell r="I4229" t="str">
            <v>3 YD 1X WK 1</v>
          </cell>
        </row>
        <row r="4230">
          <cell r="H4230" t="str">
            <v>FL003.0Y2W001</v>
          </cell>
          <cell r="I4230" t="str">
            <v>3 YD 2X WK 1</v>
          </cell>
        </row>
        <row r="4231">
          <cell r="H4231" t="str">
            <v>FL004.0Y1W001</v>
          </cell>
          <cell r="I4231" t="str">
            <v>4 YD 1X WK 1</v>
          </cell>
        </row>
        <row r="4232">
          <cell r="H4232" t="str">
            <v>FL006.0Y1W001</v>
          </cell>
          <cell r="I4232" t="str">
            <v>6 YD 1X WK 1</v>
          </cell>
        </row>
        <row r="4233">
          <cell r="H4233" t="str">
            <v>FL006.0Y2W001</v>
          </cell>
          <cell r="I4233" t="str">
            <v>6 YD 2X WK 1</v>
          </cell>
        </row>
        <row r="4234">
          <cell r="H4234" t="str">
            <v>FL006.0Y3W001</v>
          </cell>
          <cell r="I4234" t="str">
            <v>6 YD 3X WK 1</v>
          </cell>
        </row>
        <row r="4235">
          <cell r="H4235" t="str">
            <v>SL065.0G1W001NORECC</v>
          </cell>
          <cell r="I4235" t="str">
            <v xml:space="preserve">65 GL 1X WK NO RECY COMM </v>
          </cell>
        </row>
        <row r="4236">
          <cell r="H4236" t="str">
            <v>SL065.0G1W001WRECC</v>
          </cell>
          <cell r="I4236" t="str">
            <v>65 GL 1X WK W/RECY COMM 1</v>
          </cell>
        </row>
        <row r="4237">
          <cell r="H4237" t="str">
            <v>SL095.0G1W001NORECC</v>
          </cell>
          <cell r="I4237" t="str">
            <v xml:space="preserve">95 GL 1X WK NO RECY COMM </v>
          </cell>
        </row>
        <row r="4238">
          <cell r="H4238" t="str">
            <v>EXTRA-COMM</v>
          </cell>
          <cell r="I4238" t="str">
            <v>EXTRA CAN, BAG, BOX - COM</v>
          </cell>
        </row>
        <row r="4239">
          <cell r="H4239" t="str">
            <v>EXTRAYDG-COM</v>
          </cell>
          <cell r="I4239" t="str">
            <v>EXTRA YARDAGE - COMM</v>
          </cell>
        </row>
        <row r="4240">
          <cell r="H4240" t="str">
            <v>REINSTATE-COMM</v>
          </cell>
          <cell r="I4240" t="str">
            <v>REINSTATE FEE - COMM</v>
          </cell>
        </row>
        <row r="4241">
          <cell r="H4241" t="str">
            <v>FL002.0Y1W001BCMGL</v>
          </cell>
          <cell r="I4241" t="str">
            <v>2 YD 1X WK BUS CMGL 1</v>
          </cell>
        </row>
        <row r="4242">
          <cell r="H4242" t="str">
            <v>FL002.0Y1W001BOCC</v>
          </cell>
          <cell r="I4242" t="str">
            <v>2 YD 1X WK BUS OCC 1</v>
          </cell>
        </row>
        <row r="4243">
          <cell r="H4243" t="str">
            <v>FL002.0Y2W001BCMGL</v>
          </cell>
          <cell r="I4243" t="str">
            <v>2 YD 2X WK BUS CMGL 1</v>
          </cell>
        </row>
        <row r="4244">
          <cell r="H4244" t="str">
            <v>FL004.0Y2W001CMGL</v>
          </cell>
          <cell r="I4244" t="str">
            <v>4 YD 2X WK BUS CMGL 1</v>
          </cell>
        </row>
        <row r="4245">
          <cell r="H4245" t="str">
            <v>FL005.0Y1W001BOCC</v>
          </cell>
          <cell r="I4245" t="str">
            <v>5 YD 1X WK BUS OCC 1</v>
          </cell>
        </row>
        <row r="4246">
          <cell r="H4246" t="str">
            <v>FL005.0Y2W001BOCC</v>
          </cell>
          <cell r="I4246" t="str">
            <v>5 YD 2X WK BUS OCC 1</v>
          </cell>
        </row>
        <row r="4247">
          <cell r="H4247" t="str">
            <v>FL006.0Y1W001BCMGL</v>
          </cell>
          <cell r="I4247" t="str">
            <v>6 YD 1X WK BUS COMINGLE 1</v>
          </cell>
        </row>
        <row r="4248">
          <cell r="H4248" t="str">
            <v>SL096.0GEO001BCMGLOUT</v>
          </cell>
          <cell r="I4248" t="str">
            <v>96 GL EOW BUS CMGL OUT</v>
          </cell>
        </row>
        <row r="4249">
          <cell r="H4249" t="str">
            <v>SP2BCMGL-COMM</v>
          </cell>
          <cell r="I4249" t="str">
            <v>SPECIAL P/U 2 YD BUS CMGL</v>
          </cell>
        </row>
        <row r="4250">
          <cell r="H4250" t="str">
            <v>CC-KOL</v>
          </cell>
          <cell r="I4250" t="str">
            <v>ONLINE PAYMENT-CC</v>
          </cell>
        </row>
        <row r="4251">
          <cell r="H4251" t="str">
            <v>PAY</v>
          </cell>
          <cell r="I4251" t="str">
            <v>PAYMENT THANK YOU</v>
          </cell>
        </row>
        <row r="4252">
          <cell r="H4252" t="str">
            <v>PAY-KOL</v>
          </cell>
          <cell r="I4252" t="str">
            <v>PAYMENT-THANK YOU - OL</v>
          </cell>
        </row>
        <row r="4253">
          <cell r="H4253" t="str">
            <v>PAY-NATL</v>
          </cell>
          <cell r="I4253" t="str">
            <v>PAYMENT THANK YOU</v>
          </cell>
        </row>
        <row r="4254">
          <cell r="H4254" t="str">
            <v>PAYEFT</v>
          </cell>
          <cell r="I4254" t="str">
            <v>EFT PAYMENT</v>
          </cell>
        </row>
        <row r="4255">
          <cell r="H4255" t="str">
            <v>PAYUSBL</v>
          </cell>
          <cell r="I4255" t="str">
            <v>PAYMENT THANK YOU</v>
          </cell>
        </row>
        <row r="4256">
          <cell r="H4256" t="str">
            <v>LIDRO</v>
          </cell>
          <cell r="I4256" t="str">
            <v>LID CHARGE - RO</v>
          </cell>
        </row>
        <row r="4257">
          <cell r="H4257" t="str">
            <v>RENT20MO-RO</v>
          </cell>
          <cell r="I4257" t="str">
            <v>RENTAL FEE 20 YD MONTHLY</v>
          </cell>
        </row>
        <row r="4258">
          <cell r="H4258" t="str">
            <v>RENT20TEMP-RO</v>
          </cell>
          <cell r="I4258" t="str">
            <v>RENTAL FEE 20 YD TEMP - R</v>
          </cell>
        </row>
        <row r="4259">
          <cell r="H4259" t="str">
            <v>RENT30MO-RO</v>
          </cell>
          <cell r="I4259" t="str">
            <v>RENTAL FEE 30 YD MONTHLY</v>
          </cell>
        </row>
        <row r="4260">
          <cell r="H4260" t="str">
            <v>RENT40MO-RO</v>
          </cell>
          <cell r="I4260" t="str">
            <v>RENTAL FEE 40 YD MONTHLY</v>
          </cell>
        </row>
        <row r="4261">
          <cell r="H4261" t="str">
            <v>CLEAN20-RO</v>
          </cell>
          <cell r="I4261" t="str">
            <v>CLEANING FEE 20 YD - RO</v>
          </cell>
        </row>
        <row r="4262">
          <cell r="H4262" t="str">
            <v>DEL20TEMP-RO</v>
          </cell>
          <cell r="I4262" t="str">
            <v>DELIVERY FEE 20 YD TEMP -</v>
          </cell>
        </row>
        <row r="4263">
          <cell r="H4263" t="str">
            <v>DISCO-CP</v>
          </cell>
          <cell r="I4263" t="str">
            <v xml:space="preserve">COMPACTOR DISCONNECT FEE </v>
          </cell>
        </row>
        <row r="4264">
          <cell r="H4264" t="str">
            <v>DISPFEDMSW-RO</v>
          </cell>
          <cell r="I4264" t="str">
            <v xml:space="preserve">DISPOSAL FEE FEDERAL MSW </v>
          </cell>
        </row>
        <row r="4265">
          <cell r="H4265" t="str">
            <v>DISPWD-RO</v>
          </cell>
          <cell r="I4265" t="str">
            <v>DISPOSAL FEE WOOD - RO</v>
          </cell>
        </row>
        <row r="4266">
          <cell r="H4266" t="str">
            <v>HAUL20-CP</v>
          </cell>
          <cell r="I4266" t="str">
            <v>COMPACTOR HAUL 20 YD - RO</v>
          </cell>
        </row>
        <row r="4267">
          <cell r="H4267" t="str">
            <v>HAUL20-RO</v>
          </cell>
          <cell r="I4267" t="str">
            <v>HAUL 20 YD - RO</v>
          </cell>
        </row>
        <row r="4268">
          <cell r="H4268" t="str">
            <v>HAUL20TEMP-RO</v>
          </cell>
          <cell r="I4268" t="str">
            <v>HAUL 20 YD TEMP - RO</v>
          </cell>
        </row>
        <row r="4269">
          <cell r="H4269" t="str">
            <v>HAUL30-RO</v>
          </cell>
          <cell r="I4269" t="str">
            <v>HAUL 30 YD - RO</v>
          </cell>
        </row>
        <row r="4270">
          <cell r="H4270" t="str">
            <v>HAUL40-RO</v>
          </cell>
          <cell r="I4270" t="str">
            <v>HAUL 40 YD - RO</v>
          </cell>
        </row>
        <row r="4271">
          <cell r="H4271" t="str">
            <v>MILE-RO</v>
          </cell>
          <cell r="I4271" t="str">
            <v>MILEAGE FEE - RO</v>
          </cell>
        </row>
        <row r="4272">
          <cell r="H4272" t="str">
            <v>RENT20TEMP-RO</v>
          </cell>
          <cell r="I4272" t="str">
            <v>RENTAL FEE 20 YD TEMP - R</v>
          </cell>
        </row>
        <row r="4273">
          <cell r="H4273" t="str">
            <v>RENT30TEMP-RO</v>
          </cell>
          <cell r="I4273" t="str">
            <v>RENTAL FEE 30 YD TEMP - R</v>
          </cell>
        </row>
        <row r="4274">
          <cell r="H4274" t="str">
            <v>RTRNTRIP-RO</v>
          </cell>
          <cell r="I4274" t="str">
            <v>RETURN TRIP FEE - RO</v>
          </cell>
        </row>
        <row r="4275">
          <cell r="H4275" t="str">
            <v>COMMODITY SURCHARGE</v>
          </cell>
          <cell r="I4275" t="str">
            <v>COMMODITY SURCHARGE</v>
          </cell>
        </row>
        <row r="4276">
          <cell r="H4276" t="str">
            <v>COMMODITY SURCHARGE</v>
          </cell>
          <cell r="I4276" t="str">
            <v>COMMODITY SURCHARGE</v>
          </cell>
        </row>
        <row r="4277">
          <cell r="H4277" t="str">
            <v>FT LEWIS REFUSE TAX</v>
          </cell>
          <cell r="I4277" t="str">
            <v>3.6% WA STATE REFUSE TAX</v>
          </cell>
        </row>
        <row r="4278">
          <cell r="H4278" t="str">
            <v>FT LEWIS REFUSE TAX</v>
          </cell>
          <cell r="I4278" t="str">
            <v>3.6% WA STATE REFUSE TAX</v>
          </cell>
        </row>
        <row r="4279">
          <cell r="H4279" t="str">
            <v>FT LEWIS REFUSE TAX</v>
          </cell>
          <cell r="I4279" t="str">
            <v>3.6% WA STATE REFUSE TAX</v>
          </cell>
        </row>
        <row r="4280">
          <cell r="H4280" t="str">
            <v xml:space="preserve">PIERCE COUNTY REFUSE  </v>
          </cell>
          <cell r="I4280" t="str">
            <v>3.6% PIERCE COUNTY REFUSE</v>
          </cell>
        </row>
        <row r="4281">
          <cell r="H4281" t="str">
            <v>FT LEWIS REFUSE TAX</v>
          </cell>
          <cell r="I4281" t="str">
            <v>3.6% WA STATE REFUSE TAX</v>
          </cell>
        </row>
        <row r="4282">
          <cell r="H4282" t="str">
            <v>FT LEWIS STATE SALES TAX</v>
          </cell>
          <cell r="I4282" t="str">
            <v>9.3% WA STATE SALES TAX</v>
          </cell>
        </row>
        <row r="4283">
          <cell r="H4283" t="str">
            <v>PIERCE REFUSE TAX</v>
          </cell>
          <cell r="I4283" t="str">
            <v>3.6% WA STATE REFUSE TAX</v>
          </cell>
        </row>
        <row r="4284">
          <cell r="H4284" t="str">
            <v>PIERCE STATE SALES TAX</v>
          </cell>
          <cell r="I4284" t="str">
            <v>9.9% WA STATE SALES TAX</v>
          </cell>
        </row>
        <row r="4285">
          <cell r="H4285" t="str">
            <v>FINCHG</v>
          </cell>
          <cell r="I4285" t="str">
            <v>LATE FEE</v>
          </cell>
        </row>
        <row r="4286">
          <cell r="H4286" t="str">
            <v>BD</v>
          </cell>
          <cell r="I4286" t="str">
            <v>BAD DEBT WRITE OFF</v>
          </cell>
        </row>
        <row r="4287">
          <cell r="H4287" t="str">
            <v>BDR</v>
          </cell>
          <cell r="I4287" t="str">
            <v>BAD DEBT RECOVERY</v>
          </cell>
        </row>
        <row r="4288">
          <cell r="H4288" t="str">
            <v>COLLFEE</v>
          </cell>
          <cell r="I4288" t="str">
            <v>COLLECTION AGENCY FEE</v>
          </cell>
        </row>
        <row r="4289">
          <cell r="H4289" t="str">
            <v>FINCHG</v>
          </cell>
          <cell r="I4289" t="str">
            <v>LATE FEE</v>
          </cell>
        </row>
        <row r="4290">
          <cell r="H4290" t="str">
            <v>MM</v>
          </cell>
          <cell r="I4290" t="str">
            <v>ADJUST BALANCE (MM)</v>
          </cell>
        </row>
        <row r="4291">
          <cell r="H4291" t="str">
            <v>MM</v>
          </cell>
          <cell r="I4291" t="str">
            <v>ADJUST BALANCE (MM)</v>
          </cell>
        </row>
        <row r="4292">
          <cell r="H4292" t="str">
            <v>REFUND</v>
          </cell>
          <cell r="I4292" t="str">
            <v>REFUND</v>
          </cell>
        </row>
        <row r="4293">
          <cell r="H4293" t="str">
            <v>UNCLAIMED</v>
          </cell>
          <cell r="I4293" t="str">
            <v>UNCLAIMED PROPERTY</v>
          </cell>
        </row>
        <row r="4294">
          <cell r="H4294" t="str">
            <v>BD</v>
          </cell>
          <cell r="I4294" t="str">
            <v>BAD DEBT WRITE OFF</v>
          </cell>
        </row>
        <row r="4295">
          <cell r="H4295" t="str">
            <v>BDR</v>
          </cell>
          <cell r="I4295" t="str">
            <v>BAD DEBT RECOVERY</v>
          </cell>
        </row>
        <row r="4296">
          <cell r="H4296" t="str">
            <v>COLLFEE</v>
          </cell>
          <cell r="I4296" t="str">
            <v>COLLECTION AGENCY FEE</v>
          </cell>
        </row>
        <row r="4297">
          <cell r="H4297" t="str">
            <v>FINCHG</v>
          </cell>
          <cell r="I4297" t="str">
            <v>LATE FEE</v>
          </cell>
        </row>
        <row r="4298">
          <cell r="H4298" t="str">
            <v>MM</v>
          </cell>
          <cell r="I4298" t="str">
            <v>ADJUST BALANCE (MM)</v>
          </cell>
        </row>
        <row r="4299">
          <cell r="H4299" t="str">
            <v>MM</v>
          </cell>
          <cell r="I4299" t="str">
            <v>ADJUST BALANCE (MM)</v>
          </cell>
        </row>
        <row r="4300">
          <cell r="H4300" t="str">
            <v>REFUND</v>
          </cell>
          <cell r="I4300" t="str">
            <v>REFUND</v>
          </cell>
        </row>
        <row r="4301">
          <cell r="H4301" t="str">
            <v>RETCK-LB</v>
          </cell>
          <cell r="I4301" t="str">
            <v>RETURNED CHECK - LOCKBOX</v>
          </cell>
        </row>
        <row r="4302">
          <cell r="H4302" t="str">
            <v>FINCHG</v>
          </cell>
          <cell r="I4302" t="str">
            <v>LATE FEE</v>
          </cell>
        </row>
        <row r="4303">
          <cell r="H4303" t="str">
            <v>BD</v>
          </cell>
          <cell r="I4303" t="str">
            <v>BAD DEBT WRITE OFF</v>
          </cell>
        </row>
        <row r="4304">
          <cell r="H4304" t="str">
            <v>BDR</v>
          </cell>
          <cell r="I4304" t="str">
            <v>BAD DEBT RECOVERY</v>
          </cell>
        </row>
        <row r="4305">
          <cell r="H4305" t="str">
            <v>COLLFEE</v>
          </cell>
          <cell r="I4305" t="str">
            <v>COLLECTION AGENCY FEE</v>
          </cell>
        </row>
        <row r="4306">
          <cell r="H4306" t="str">
            <v>FINCHG</v>
          </cell>
          <cell r="I4306" t="str">
            <v>LATE FEE</v>
          </cell>
        </row>
        <row r="4307">
          <cell r="H4307" t="str">
            <v>MM</v>
          </cell>
          <cell r="I4307" t="str">
            <v>ADJUST BALANCE (MM)</v>
          </cell>
        </row>
        <row r="4308">
          <cell r="H4308" t="str">
            <v>MM</v>
          </cell>
          <cell r="I4308" t="str">
            <v>ADJUST BALANCE (MM)</v>
          </cell>
        </row>
        <row r="4309">
          <cell r="H4309" t="str">
            <v>RETCK-LB</v>
          </cell>
          <cell r="I4309" t="str">
            <v>RETURNED CHECK - LOCKBOX</v>
          </cell>
        </row>
        <row r="4310">
          <cell r="H4310" t="str">
            <v>RETCKC</v>
          </cell>
          <cell r="I4310" t="str">
            <v>RETURN CHECK CHARGE</v>
          </cell>
        </row>
        <row r="4311">
          <cell r="H4311" t="str">
            <v>UNCLAIMED</v>
          </cell>
          <cell r="I4311" t="str">
            <v>UNCLAIMED PROPERTY</v>
          </cell>
        </row>
        <row r="4312">
          <cell r="H4312" t="str">
            <v>BDR</v>
          </cell>
          <cell r="I4312" t="str">
            <v>BAD DEBT RECOVERY</v>
          </cell>
        </row>
        <row r="4313">
          <cell r="H4313" t="str">
            <v>FINCHG</v>
          </cell>
          <cell r="I4313" t="str">
            <v>LATE FEE</v>
          </cell>
        </row>
        <row r="4314">
          <cell r="H4314" t="str">
            <v>MM</v>
          </cell>
          <cell r="I4314" t="str">
            <v>ADJUST BALANCE (MM)</v>
          </cell>
        </row>
        <row r="4315">
          <cell r="H4315" t="str">
            <v>EP96GW-COMM</v>
          </cell>
          <cell r="I4315" t="str">
            <v>EXTRA PICK UP 96 GW -COMM</v>
          </cell>
        </row>
        <row r="4316">
          <cell r="H4316" t="str">
            <v>EP96GW-COMM</v>
          </cell>
          <cell r="I4316" t="str">
            <v>EXTRA PICK UP 96 GW -COMM</v>
          </cell>
        </row>
        <row r="4317">
          <cell r="H4317" t="str">
            <v>ACCESS-COMM</v>
          </cell>
          <cell r="I4317" t="str">
            <v>ACCESS FEE - COMM</v>
          </cell>
        </row>
        <row r="4318">
          <cell r="H4318" t="str">
            <v>ACCESS-MF</v>
          </cell>
          <cell r="I4318" t="str">
            <v>ACCESS FEE - MF</v>
          </cell>
        </row>
        <row r="4319">
          <cell r="H4319" t="str">
            <v>DONATIONC</v>
          </cell>
          <cell r="I4319" t="str">
            <v>DONATED SERVICE COMM</v>
          </cell>
        </row>
        <row r="4320">
          <cell r="H4320" t="str">
            <v>DRIVEIN1-COMM</v>
          </cell>
          <cell r="I4320" t="str">
            <v>DRIVE IN 125-250' - COMM</v>
          </cell>
        </row>
        <row r="4321">
          <cell r="H4321" t="str">
            <v>DRIVEIN3-COMM</v>
          </cell>
          <cell r="I4321" t="str">
            <v>DRIVE IN 779-1306' - COMM</v>
          </cell>
        </row>
        <row r="4322">
          <cell r="H4322" t="str">
            <v>FL001.0Y1W001</v>
          </cell>
          <cell r="I4322" t="str">
            <v>1 YD 1X WK 1</v>
          </cell>
        </row>
        <row r="4323">
          <cell r="H4323" t="str">
            <v>FL001.0Y2W001</v>
          </cell>
          <cell r="I4323" t="str">
            <v>1 YD 2X WK 1</v>
          </cell>
        </row>
        <row r="4324">
          <cell r="H4324" t="str">
            <v>FL001.0Y3W001</v>
          </cell>
          <cell r="I4324" t="str">
            <v>1 YD 3X WK 1</v>
          </cell>
        </row>
        <row r="4325">
          <cell r="H4325" t="str">
            <v>FL001.5Y1W001</v>
          </cell>
          <cell r="I4325" t="str">
            <v>1.5 YD 1X WK 1</v>
          </cell>
        </row>
        <row r="4326">
          <cell r="H4326" t="str">
            <v>FL001.5Y2W001</v>
          </cell>
          <cell r="I4326" t="str">
            <v>1.5 YD 2X WK 1</v>
          </cell>
        </row>
        <row r="4327">
          <cell r="H4327" t="str">
            <v>FL001.5Y3W001</v>
          </cell>
          <cell r="I4327" t="str">
            <v>1.5 YD 3X WK 1</v>
          </cell>
        </row>
        <row r="4328">
          <cell r="H4328" t="str">
            <v>FL002.0Y1W001</v>
          </cell>
          <cell r="I4328" t="str">
            <v>2 YD 1X WK 1</v>
          </cell>
        </row>
        <row r="4329">
          <cell r="H4329" t="str">
            <v>FL002.0Y2W001</v>
          </cell>
          <cell r="I4329" t="str">
            <v>2 YD 2X WK 1</v>
          </cell>
        </row>
        <row r="4330">
          <cell r="H4330" t="str">
            <v>FL002.0Y3W001</v>
          </cell>
          <cell r="I4330" t="str">
            <v>2 YD 3X WK 1</v>
          </cell>
        </row>
        <row r="4331">
          <cell r="H4331" t="str">
            <v>FL002.0Y4W001</v>
          </cell>
          <cell r="I4331" t="str">
            <v>2 YD 4X WK 1</v>
          </cell>
        </row>
        <row r="4332">
          <cell r="H4332" t="str">
            <v>FL002.0Y5W001</v>
          </cell>
          <cell r="I4332" t="str">
            <v>2 YD 5X WK 1</v>
          </cell>
        </row>
        <row r="4333">
          <cell r="H4333" t="str">
            <v>FL003.0Y1W001</v>
          </cell>
          <cell r="I4333" t="str">
            <v>3 YD 1X WK 1</v>
          </cell>
        </row>
        <row r="4334">
          <cell r="H4334" t="str">
            <v>FL003.0Y2W001</v>
          </cell>
          <cell r="I4334" t="str">
            <v>3 YD 2X WK 1</v>
          </cell>
        </row>
        <row r="4335">
          <cell r="H4335" t="str">
            <v>FL003.0Y3W001</v>
          </cell>
          <cell r="I4335" t="str">
            <v>3 YD 3X WK 1</v>
          </cell>
        </row>
        <row r="4336">
          <cell r="H4336" t="str">
            <v>FL003.0Y5W001</v>
          </cell>
          <cell r="I4336" t="str">
            <v>3 YD 5X WK 1</v>
          </cell>
        </row>
        <row r="4337">
          <cell r="H4337" t="str">
            <v>FL004.0Y1W001</v>
          </cell>
          <cell r="I4337" t="str">
            <v>4 YD 1X WK 1</v>
          </cell>
        </row>
        <row r="4338">
          <cell r="H4338" t="str">
            <v>FL004.0Y2W001</v>
          </cell>
          <cell r="I4338" t="str">
            <v>4 YD 2X WK 1</v>
          </cell>
        </row>
        <row r="4339">
          <cell r="H4339" t="str">
            <v>FL004.0Y2W001CMP</v>
          </cell>
          <cell r="I4339" t="str">
            <v>4 YD 2X WK COMP 1</v>
          </cell>
        </row>
        <row r="4340">
          <cell r="H4340" t="str">
            <v>FL004.0Y3W001</v>
          </cell>
          <cell r="I4340" t="str">
            <v>4 YD 3X WK 1</v>
          </cell>
        </row>
        <row r="4341">
          <cell r="H4341" t="str">
            <v>FL004.0Y4W001</v>
          </cell>
          <cell r="I4341" t="str">
            <v>4 YD 4X WK 1</v>
          </cell>
        </row>
        <row r="4342">
          <cell r="H4342" t="str">
            <v>FL004.0Y5W001</v>
          </cell>
          <cell r="I4342" t="str">
            <v>4 YD 5X WK 1</v>
          </cell>
        </row>
        <row r="4343">
          <cell r="H4343" t="str">
            <v>FL006.0Y1W001</v>
          </cell>
          <cell r="I4343" t="str">
            <v>6 YD 1X WK 1</v>
          </cell>
        </row>
        <row r="4344">
          <cell r="H4344" t="str">
            <v>FL006.0Y2W001</v>
          </cell>
          <cell r="I4344" t="str">
            <v>6 YD 2X WK 1</v>
          </cell>
        </row>
        <row r="4345">
          <cell r="H4345" t="str">
            <v>FL006.0Y2W001CMP</v>
          </cell>
          <cell r="I4345" t="str">
            <v>6 YD 2X WK COMP 1</v>
          </cell>
        </row>
        <row r="4346">
          <cell r="H4346" t="str">
            <v>FL006.0Y3W001</v>
          </cell>
          <cell r="I4346" t="str">
            <v>6 YD 3X WK 1</v>
          </cell>
        </row>
        <row r="4347">
          <cell r="H4347" t="str">
            <v>FL006.0Y4W001</v>
          </cell>
          <cell r="I4347" t="str">
            <v>6 YD 4X WK 1</v>
          </cell>
        </row>
        <row r="4348">
          <cell r="H4348" t="str">
            <v>FL006.0Y5W001</v>
          </cell>
          <cell r="I4348" t="str">
            <v>6 YD 5X WK 1</v>
          </cell>
        </row>
        <row r="4349">
          <cell r="H4349" t="str">
            <v>GWCOMM</v>
          </cell>
          <cell r="I4349" t="str">
            <v>GREENWASTE SERVICE - COMM</v>
          </cell>
        </row>
        <row r="4350">
          <cell r="H4350" t="str">
            <v>RENT2TEMP-COMM</v>
          </cell>
          <cell r="I4350" t="str">
            <v>RENT 2 YD TEMP - COMM</v>
          </cell>
        </row>
        <row r="4351">
          <cell r="H4351" t="str">
            <v>RL032.0G1W001WRECC</v>
          </cell>
          <cell r="I4351" t="str">
            <v>32 GL 1X WK W/RECY COMM 1</v>
          </cell>
        </row>
        <row r="4352">
          <cell r="H4352" t="str">
            <v>ROLL-COMM</v>
          </cell>
          <cell r="I4352" t="str">
            <v>ROLL OUT CHARGE - COMM</v>
          </cell>
        </row>
        <row r="4353">
          <cell r="H4353" t="str">
            <v>SL065.0G1M001NORECC</v>
          </cell>
          <cell r="I4353" t="str">
            <v xml:space="preserve">65 GL 1X MO NO RECY COMM </v>
          </cell>
        </row>
        <row r="4354">
          <cell r="H4354" t="str">
            <v>SL065.0G1W001NORECC</v>
          </cell>
          <cell r="I4354" t="str">
            <v xml:space="preserve">65 GL 1X WK NO RECY COMM </v>
          </cell>
        </row>
        <row r="4355">
          <cell r="H4355" t="str">
            <v>SL065.0G1W001WRECC</v>
          </cell>
          <cell r="I4355" t="str">
            <v>65 GL 1X WK W/RECY COMM 1</v>
          </cell>
        </row>
        <row r="4356">
          <cell r="H4356" t="str">
            <v>SL065.0GEO001NORECC</v>
          </cell>
          <cell r="I4356" t="str">
            <v>65 GL EOW NO RECY COMM 1</v>
          </cell>
        </row>
        <row r="4357">
          <cell r="H4357" t="str">
            <v>SL065.0GEO001WRECC</v>
          </cell>
          <cell r="I4357" t="str">
            <v>65 GL EOW W/RECY COMM 1</v>
          </cell>
        </row>
        <row r="4358">
          <cell r="H4358" t="str">
            <v>SL095.0G1W001NORECC</v>
          </cell>
          <cell r="I4358" t="str">
            <v xml:space="preserve">95 GL 1X WK NO RECY COMM </v>
          </cell>
        </row>
        <row r="4359">
          <cell r="H4359" t="str">
            <v>SL095.0G1W001WRECC</v>
          </cell>
          <cell r="I4359" t="str">
            <v>95 GL 1X WK W/RECY COMM 1</v>
          </cell>
        </row>
        <row r="4360">
          <cell r="H4360" t="str">
            <v>SL095.0GEO001NORECC</v>
          </cell>
          <cell r="I4360" t="str">
            <v>95 GL EOW NO RECY COMM 1</v>
          </cell>
        </row>
        <row r="4361">
          <cell r="H4361" t="str">
            <v>SL095.0GEO001WRECC</v>
          </cell>
          <cell r="I4361" t="str">
            <v>95 GL EOW W/RECY COMM 1</v>
          </cell>
        </row>
        <row r="4362">
          <cell r="H4362" t="str">
            <v>WI1-COMM</v>
          </cell>
          <cell r="I4362" t="str">
            <v>WALK IN 6-25' - COMM</v>
          </cell>
        </row>
        <row r="4363">
          <cell r="H4363" t="str">
            <v>WI2-COMM</v>
          </cell>
          <cell r="I4363" t="str">
            <v>WALK IN 26-50' - COMM</v>
          </cell>
        </row>
        <row r="4364">
          <cell r="H4364" t="str">
            <v>BULKY-COMM</v>
          </cell>
          <cell r="I4364" t="str">
            <v>BULKY ITEM PICK UP - COMM</v>
          </cell>
        </row>
        <row r="4365">
          <cell r="H4365" t="str">
            <v>CANCOUNT-COMM</v>
          </cell>
          <cell r="I4365" t="str">
            <v>CAN COUNT - COMM</v>
          </cell>
        </row>
        <row r="4366">
          <cell r="H4366" t="str">
            <v>CLEAN2-COMM</v>
          </cell>
          <cell r="I4366" t="str">
            <v>CLEANING FEE 2 YD - COMM</v>
          </cell>
        </row>
        <row r="4367">
          <cell r="H4367" t="str">
            <v>CLEAN6-COMM</v>
          </cell>
          <cell r="I4367" t="str">
            <v>CLEANING FEE 6 YD - COMM</v>
          </cell>
        </row>
        <row r="4368">
          <cell r="H4368" t="str">
            <v>DEL1TEMP-COMM</v>
          </cell>
          <cell r="I4368" t="str">
            <v xml:space="preserve">DELIVERY FEE 1 YD TEMP - </v>
          </cell>
        </row>
        <row r="4369">
          <cell r="H4369" t="str">
            <v>DEL2TEMP-COMM</v>
          </cell>
          <cell r="I4369" t="str">
            <v xml:space="preserve">DELIVERY FEE 2 YD TEMP - </v>
          </cell>
        </row>
        <row r="4370">
          <cell r="H4370" t="str">
            <v>DEL6TEMP-COMM</v>
          </cell>
          <cell r="I4370" t="str">
            <v xml:space="preserve">DELIVERY FEE 6 YD TEMP - </v>
          </cell>
        </row>
        <row r="4371">
          <cell r="H4371" t="str">
            <v>EXTRAGRAD1-COMM</v>
          </cell>
          <cell r="I4371" t="str">
            <v>EXTRAS GRADUATED 1-2 - COMM</v>
          </cell>
        </row>
        <row r="4372">
          <cell r="H4372" t="str">
            <v>EXTRAGRAD2-COMM</v>
          </cell>
          <cell r="I4372" t="str">
            <v>EXTRAS GRADUATED 3+ - COMM</v>
          </cell>
        </row>
        <row r="4373">
          <cell r="H4373" t="str">
            <v>EXTRAYDG-COM</v>
          </cell>
          <cell r="I4373" t="str">
            <v>EXTRA YARDAGE - COMM</v>
          </cell>
        </row>
        <row r="4374">
          <cell r="H4374" t="str">
            <v>FL001.5YXX001TEMPC</v>
          </cell>
          <cell r="I4374" t="str">
            <v xml:space="preserve">1.5 YD TEMP </v>
          </cell>
        </row>
        <row r="4375">
          <cell r="H4375" t="str">
            <v>FL002.0YXX001TEMPC</v>
          </cell>
          <cell r="I4375" t="str">
            <v xml:space="preserve">2 YD TEMP </v>
          </cell>
        </row>
        <row r="4376">
          <cell r="H4376" t="str">
            <v>FL006.0YXX001TEMPC</v>
          </cell>
          <cell r="I4376" t="str">
            <v>6 YD TEMP 1</v>
          </cell>
        </row>
        <row r="4377">
          <cell r="H4377" t="str">
            <v>GWCOMM</v>
          </cell>
          <cell r="I4377" t="str">
            <v>GREENWASTE SERVICE - COMM</v>
          </cell>
        </row>
        <row r="4378">
          <cell r="H4378" t="str">
            <v>REDEL-COMM</v>
          </cell>
          <cell r="I4378" t="str">
            <v>REDELIVER FEE LVL 1 - COM</v>
          </cell>
        </row>
        <row r="4379">
          <cell r="H4379" t="str">
            <v>REINSTATE-COMM</v>
          </cell>
          <cell r="I4379" t="str">
            <v>REINSTATE FEE - COMM</v>
          </cell>
        </row>
        <row r="4380">
          <cell r="H4380" t="str">
            <v>RENT1.5TEMP-COMM</v>
          </cell>
          <cell r="I4380" t="str">
            <v>RENT 1.5 YD TEMP - COMM</v>
          </cell>
        </row>
        <row r="4381">
          <cell r="H4381" t="str">
            <v>RENT1TEMP-COMM</v>
          </cell>
          <cell r="I4381" t="str">
            <v>RENT 1 YD TEMP - COMM</v>
          </cell>
        </row>
        <row r="4382">
          <cell r="H4382" t="str">
            <v>RENT2TEMP-COMM</v>
          </cell>
          <cell r="I4382" t="str">
            <v>RENT 2 YD TEMP - COMM</v>
          </cell>
        </row>
        <row r="4383">
          <cell r="H4383" t="str">
            <v>RENT6TEMP-COMM</v>
          </cell>
          <cell r="I4383" t="str">
            <v>RENT 6 YD TEMP - COMM</v>
          </cell>
        </row>
        <row r="4384">
          <cell r="H4384" t="str">
            <v>RTRNTRIP-COMM</v>
          </cell>
          <cell r="I4384" t="str">
            <v>RETURN TRIP FEE - COMM</v>
          </cell>
        </row>
        <row r="4385">
          <cell r="H4385" t="str">
            <v>SP-COMM</v>
          </cell>
          <cell r="I4385" t="str">
            <v>SPECIAL HAUL - COMM</v>
          </cell>
        </row>
        <row r="4386">
          <cell r="H4386" t="str">
            <v>SP1-COMM</v>
          </cell>
          <cell r="I4386" t="str">
            <v>SPECIAL PICK UP 1 YD - CO</v>
          </cell>
        </row>
        <row r="4387">
          <cell r="H4387" t="str">
            <v>SP1.5-COMM</v>
          </cell>
          <cell r="I4387" t="str">
            <v xml:space="preserve">SPECIAL PICK UP 1.5 YD - </v>
          </cell>
        </row>
        <row r="4388">
          <cell r="H4388" t="str">
            <v>SP2-COMM</v>
          </cell>
          <cell r="I4388" t="str">
            <v>SPECIAL PICK UP 2 YD - CO</v>
          </cell>
        </row>
        <row r="4389">
          <cell r="H4389" t="str">
            <v>SP3-COMM</v>
          </cell>
          <cell r="I4389" t="str">
            <v>SPECIAL PICK UP 3 YD - CO</v>
          </cell>
        </row>
        <row r="4390">
          <cell r="H4390" t="str">
            <v>SP4-COMM</v>
          </cell>
          <cell r="I4390" t="str">
            <v>SPECIAL PICK UP 4 YD - CO</v>
          </cell>
        </row>
        <row r="4391">
          <cell r="H4391" t="str">
            <v>SP6-COMM</v>
          </cell>
          <cell r="I4391" t="str">
            <v>SPECIAL PICK UP 6 YD - CO</v>
          </cell>
        </row>
        <row r="4392">
          <cell r="H4392" t="str">
            <v>SPADD-COMM</v>
          </cell>
          <cell r="I4392" t="str">
            <v>SPECIAL ADDL UNIT - COMM</v>
          </cell>
        </row>
        <row r="4393">
          <cell r="H4393" t="str">
            <v>CLEAN2-COMM</v>
          </cell>
          <cell r="I4393" t="str">
            <v>CLEANING FEE 2 YD - COMM</v>
          </cell>
        </row>
        <row r="4394">
          <cell r="H4394" t="str">
            <v>DEL2TEMP-COMM</v>
          </cell>
          <cell r="I4394" t="str">
            <v xml:space="preserve">DELIVERY FEE 2 YD TEMP - </v>
          </cell>
        </row>
        <row r="4395">
          <cell r="H4395" t="str">
            <v>FL002.0YXX001TEMPC</v>
          </cell>
          <cell r="I4395" t="str">
            <v xml:space="preserve">2 YD TEMP </v>
          </cell>
        </row>
        <row r="4396">
          <cell r="H4396" t="str">
            <v>RENT2TEMP-COMM</v>
          </cell>
          <cell r="I4396" t="str">
            <v>RENT 2 YD TEMP - COMM</v>
          </cell>
        </row>
        <row r="4397">
          <cell r="H4397" t="str">
            <v>ACCESSCREC-COMM</v>
          </cell>
          <cell r="I4397" t="str">
            <v>ACCESS FEE COMM RECY - CO</v>
          </cell>
        </row>
        <row r="4398">
          <cell r="H4398" t="str">
            <v>FL002.0Y1W001BCMGL</v>
          </cell>
          <cell r="I4398" t="str">
            <v>2 YD 1X WK BUS CMGL 1</v>
          </cell>
        </row>
        <row r="4399">
          <cell r="H4399" t="str">
            <v>FL002.0Y1W001BOCC</v>
          </cell>
          <cell r="I4399" t="str">
            <v>2 YD 1X WK BUS OCC 1</v>
          </cell>
        </row>
        <row r="4400">
          <cell r="H4400" t="str">
            <v>FL002.0Y1W001SCMGL</v>
          </cell>
          <cell r="I4400" t="str">
            <v>2 YD 1X WK SCHL CMGL 1</v>
          </cell>
        </row>
        <row r="4401">
          <cell r="H4401" t="str">
            <v>FL002.0Y1W001SOCC</v>
          </cell>
          <cell r="I4401" t="str">
            <v>2 YD 1X WK SCHOOL OCC</v>
          </cell>
        </row>
        <row r="4402">
          <cell r="H4402" t="str">
            <v>FL002.0Y2W001BCMGL</v>
          </cell>
          <cell r="I4402" t="str">
            <v>2 YD 2X WK BUS CMGL 1</v>
          </cell>
        </row>
        <row r="4403">
          <cell r="H4403" t="str">
            <v>FL002.0Y2W001BOCC</v>
          </cell>
          <cell r="I4403" t="str">
            <v>2 YD 2X WK BUS OCC 1</v>
          </cell>
        </row>
        <row r="4404">
          <cell r="H4404" t="str">
            <v>FL002.0Y2W001SOCC</v>
          </cell>
          <cell r="I4404" t="str">
            <v>2 YD 2X WK SCHOOL OCC</v>
          </cell>
        </row>
        <row r="4405">
          <cell r="H4405" t="str">
            <v>FL002.0Y3W001BOCC</v>
          </cell>
          <cell r="I4405" t="str">
            <v>2 YD 3X WK BUS OCC 1</v>
          </cell>
        </row>
        <row r="4406">
          <cell r="H4406" t="str">
            <v>FL004.0Y1W001CMGL</v>
          </cell>
          <cell r="I4406" t="str">
            <v>4 YD 1X WK BUS CMGL 1</v>
          </cell>
        </row>
        <row r="4407">
          <cell r="H4407" t="str">
            <v>FL004.0Y2W001CMGL</v>
          </cell>
          <cell r="I4407" t="str">
            <v>4 YD 2X WK BUS CMGL 1</v>
          </cell>
        </row>
        <row r="4408">
          <cell r="H4408" t="str">
            <v>FL004.0Y3W001BCMGL</v>
          </cell>
          <cell r="I4408" t="str">
            <v>4 YD 3X WK BUS CMGL 1</v>
          </cell>
        </row>
        <row r="4409">
          <cell r="H4409" t="str">
            <v>FL005.0Y1W001BOCC</v>
          </cell>
          <cell r="I4409" t="str">
            <v>5 YD 1X WK BUS OCC 1</v>
          </cell>
        </row>
        <row r="4410">
          <cell r="H4410" t="str">
            <v>FL005.0Y1W001SOCC</v>
          </cell>
          <cell r="I4410" t="str">
            <v>5 YD 1X WK SCHOOL OCC</v>
          </cell>
        </row>
        <row r="4411">
          <cell r="H4411" t="str">
            <v>FL005.0Y2W001BOCC</v>
          </cell>
          <cell r="I4411" t="str">
            <v>5 YD 2X WK BUS OCC 1</v>
          </cell>
        </row>
        <row r="4412">
          <cell r="H4412" t="str">
            <v>FL005.0Y2W001SOCC</v>
          </cell>
          <cell r="I4412" t="str">
            <v>5 YD 2X WK SCHOOL OCC</v>
          </cell>
        </row>
        <row r="4413">
          <cell r="H4413" t="str">
            <v>FL005.0Y3W001BOCC</v>
          </cell>
          <cell r="I4413" t="str">
            <v>5 YD 3X WK BUS OCC 1</v>
          </cell>
        </row>
        <row r="4414">
          <cell r="H4414" t="str">
            <v>FL005.0Y4W001BOCC</v>
          </cell>
          <cell r="I4414" t="str">
            <v>5 YD 4X WK BUS OCC 1</v>
          </cell>
        </row>
        <row r="4415">
          <cell r="H4415" t="str">
            <v>FL005.0Y5W001BOCC</v>
          </cell>
          <cell r="I4415" t="str">
            <v>5 YD 5X WK BUS OCC 1</v>
          </cell>
        </row>
        <row r="4416">
          <cell r="H4416" t="str">
            <v>FL006.0Y1W001BCMGL</v>
          </cell>
          <cell r="I4416" t="str">
            <v>6 YD 1X WK BUS COMINGLE 1</v>
          </cell>
        </row>
        <row r="4417">
          <cell r="H4417" t="str">
            <v>FL006.0Y2W001BCMGL</v>
          </cell>
          <cell r="I4417" t="str">
            <v>6 YD 2X WK BUS COMINGLE 1</v>
          </cell>
        </row>
        <row r="4418">
          <cell r="H4418" t="str">
            <v>FL006.0Y3W001BCMGL</v>
          </cell>
          <cell r="I4418" t="str">
            <v>6 YD 3X WK BUS CMGL 1</v>
          </cell>
        </row>
        <row r="4419">
          <cell r="H4419" t="str">
            <v>FL006.0Y4W001BCMGL</v>
          </cell>
          <cell r="I4419" t="str">
            <v>6 YD 4X WK BUS CMGL 1</v>
          </cell>
        </row>
        <row r="4420">
          <cell r="H4420" t="str">
            <v>MFNBINS</v>
          </cell>
          <cell r="I4420" t="str">
            <v>MULTI-FAMILY REC UNIT N/B</v>
          </cell>
        </row>
        <row r="4421">
          <cell r="H4421" t="str">
            <v>MFWBINS</v>
          </cell>
          <cell r="I4421" t="str">
            <v>MULTI-FAMILY REC UNIT W/B</v>
          </cell>
        </row>
        <row r="4422">
          <cell r="H4422" t="str">
            <v>RENTRECCNT-COMM</v>
          </cell>
          <cell r="I4422" t="str">
            <v>RENTAL FEE RECYCLE CONTAI</v>
          </cell>
        </row>
        <row r="4423">
          <cell r="H4423" t="str">
            <v>ROLL-REC</v>
          </cell>
          <cell r="I4423" t="str">
            <v>ROLL OUT CHARGE - RECYCLI</v>
          </cell>
        </row>
        <row r="4424">
          <cell r="H4424" t="str">
            <v>SL064.0G1W001BCMGLOUT</v>
          </cell>
          <cell r="I4424" t="str">
            <v>64 GL WKLY BUS CMGL OUT</v>
          </cell>
        </row>
        <row r="4425">
          <cell r="H4425" t="str">
            <v>SL064.0GEO001BCMGLOUT</v>
          </cell>
          <cell r="I4425" t="str">
            <v>64 GL EOW BUS CMGL OUT</v>
          </cell>
        </row>
        <row r="4426">
          <cell r="H4426" t="str">
            <v>SL096.0G1M001BCMGLOUT</v>
          </cell>
          <cell r="I4426" t="str">
            <v>96 GL MTHLY BUS CMGL OUT</v>
          </cell>
        </row>
        <row r="4427">
          <cell r="H4427" t="str">
            <v>SL096.0G1W001BCMGLIN</v>
          </cell>
          <cell r="I4427" t="str">
            <v>96 GL WKLY BUS CMGL IN</v>
          </cell>
        </row>
        <row r="4428">
          <cell r="H4428" t="str">
            <v>SL096.0G1W001BCMGLOUT</v>
          </cell>
          <cell r="I4428" t="str">
            <v>96 GL WKLY BUS CMGL OUT</v>
          </cell>
        </row>
        <row r="4429">
          <cell r="H4429" t="str">
            <v>SL096.0G1W001SCMGLOUT</v>
          </cell>
          <cell r="I4429" t="str">
            <v>96 GL WKLY SCHL CMGL OUT</v>
          </cell>
        </row>
        <row r="4430">
          <cell r="H4430" t="str">
            <v>SL096.0GEO001BCMGLIN</v>
          </cell>
          <cell r="I4430" t="str">
            <v>96 GL EOW BUS CMGL IN</v>
          </cell>
        </row>
        <row r="4431">
          <cell r="H4431" t="str">
            <v>SL096.0GEO001BCMGLOUT</v>
          </cell>
          <cell r="I4431" t="str">
            <v>96 GL EOW BUS CMGL OUT</v>
          </cell>
        </row>
        <row r="4432">
          <cell r="H4432" t="str">
            <v>SL096.0GEO001SCMGLOUT</v>
          </cell>
          <cell r="I4432" t="str">
            <v>96 GL EOW SCHL CMGL OUT</v>
          </cell>
        </row>
        <row r="4433">
          <cell r="H4433" t="str">
            <v>MFWBINS</v>
          </cell>
          <cell r="I4433" t="str">
            <v>MULTI-FAMILY REC UNIT W/B</v>
          </cell>
        </row>
        <row r="4434">
          <cell r="H4434" t="str">
            <v>SPGRAD1REC-COMM</v>
          </cell>
          <cell r="I4434" t="str">
            <v>SPECIAL UNIT GRAD1 REC - COMM</v>
          </cell>
        </row>
        <row r="4435">
          <cell r="H4435" t="str">
            <v>CC-KOL</v>
          </cell>
          <cell r="I4435" t="str">
            <v>ONLINE PAYMENT-CC</v>
          </cell>
        </row>
        <row r="4436">
          <cell r="H4436" t="str">
            <v>CCREF-KOL</v>
          </cell>
          <cell r="I4436" t="str">
            <v>CREDIT CARD REFUND</v>
          </cell>
        </row>
        <row r="4437">
          <cell r="H4437" t="str">
            <v>PAY</v>
          </cell>
          <cell r="I4437" t="str">
            <v>PAYMENT THANK YOU</v>
          </cell>
        </row>
        <row r="4438">
          <cell r="H4438" t="str">
            <v>PAY-CFREE</v>
          </cell>
          <cell r="I4438" t="str">
            <v>CHECKFREE PAYMENT</v>
          </cell>
        </row>
        <row r="4439">
          <cell r="H4439" t="str">
            <v>PAY-KOL</v>
          </cell>
          <cell r="I4439" t="str">
            <v>PAYMENT-THANK YOU - OL</v>
          </cell>
        </row>
        <row r="4440">
          <cell r="H4440" t="str">
            <v>PAY-ORCC</v>
          </cell>
          <cell r="I4440" t="str">
            <v>ORCC PAYMENT</v>
          </cell>
        </row>
        <row r="4441">
          <cell r="H4441" t="str">
            <v>PAY-RPPS</v>
          </cell>
          <cell r="I4441" t="str">
            <v>RPPS MASTERCARD PAYMENT</v>
          </cell>
        </row>
        <row r="4442">
          <cell r="H4442" t="str">
            <v>PAYICT</v>
          </cell>
          <cell r="I4442" t="str">
            <v>I/C PAYMENT THANK YOU</v>
          </cell>
        </row>
        <row r="4443">
          <cell r="H4443" t="str">
            <v>PAYMET</v>
          </cell>
          <cell r="I4443" t="str">
            <v>METAVANTE ONLINE PAYMENT</v>
          </cell>
        </row>
        <row r="4444">
          <cell r="H4444" t="str">
            <v>PAYUSBL</v>
          </cell>
          <cell r="I4444" t="str">
            <v>PAYMENT THANK YOU</v>
          </cell>
        </row>
        <row r="4445">
          <cell r="H4445" t="str">
            <v>RET-KOL</v>
          </cell>
          <cell r="I4445" t="str">
            <v>ONLINE PAYMENT RETURN</v>
          </cell>
        </row>
        <row r="4446">
          <cell r="H4446" t="str">
            <v>CC-KOL</v>
          </cell>
          <cell r="I4446" t="str">
            <v>ONLINE PAYMENT-CC</v>
          </cell>
        </row>
        <row r="4447">
          <cell r="H4447" t="str">
            <v>CCREF-KOL</v>
          </cell>
          <cell r="I4447" t="str">
            <v>CREDIT CARD REFUND</v>
          </cell>
        </row>
        <row r="4448">
          <cell r="H4448" t="str">
            <v>PAY</v>
          </cell>
          <cell r="I4448" t="str">
            <v>PAYMENT THANK YOU</v>
          </cell>
        </row>
        <row r="4449">
          <cell r="H4449" t="str">
            <v>PAY-CFREE</v>
          </cell>
          <cell r="I4449" t="str">
            <v>CHECKFREE PAYMENT</v>
          </cell>
        </row>
        <row r="4450">
          <cell r="H4450" t="str">
            <v>PAY-KOL</v>
          </cell>
          <cell r="I4450" t="str">
            <v>PAYMENT-THANK YOU - OL</v>
          </cell>
        </row>
        <row r="4451">
          <cell r="H4451" t="str">
            <v>PAY-ORCC</v>
          </cell>
          <cell r="I4451" t="str">
            <v>ORCC PAYMENT</v>
          </cell>
        </row>
        <row r="4452">
          <cell r="H4452" t="str">
            <v>PAY-RPPS</v>
          </cell>
          <cell r="I4452" t="str">
            <v>RPPS MASTERCARD PAYMENT</v>
          </cell>
        </row>
        <row r="4453">
          <cell r="H4453" t="str">
            <v>PAYAD</v>
          </cell>
          <cell r="I4453" t="str">
            <v>ADJUST PAYMENT AD</v>
          </cell>
        </row>
        <row r="4454">
          <cell r="H4454" t="str">
            <v>PAYICT</v>
          </cell>
          <cell r="I4454" t="str">
            <v>I/C PAYMENT THANK YOU</v>
          </cell>
        </row>
        <row r="4455">
          <cell r="H4455" t="str">
            <v>PAYMET</v>
          </cell>
          <cell r="I4455" t="str">
            <v>METAVANTE ONLINE PAYMENT</v>
          </cell>
        </row>
        <row r="4456">
          <cell r="H4456" t="str">
            <v>PAYUSBL</v>
          </cell>
          <cell r="I4456" t="str">
            <v>PAYMENT THANK YOU</v>
          </cell>
        </row>
        <row r="4457">
          <cell r="H4457" t="str">
            <v>RET-KOL</v>
          </cell>
          <cell r="I4457" t="str">
            <v>ONLINE PAYMENT RETURN</v>
          </cell>
        </row>
        <row r="4458">
          <cell r="H4458" t="str">
            <v>CC-KOL</v>
          </cell>
          <cell r="I4458" t="str">
            <v>ONLINE PAYMENT-CC</v>
          </cell>
        </row>
        <row r="4459">
          <cell r="H4459" t="str">
            <v>CCREF-KOL</v>
          </cell>
          <cell r="I4459" t="str">
            <v>CREDIT CARD REFUND</v>
          </cell>
        </row>
        <row r="4460">
          <cell r="H4460" t="str">
            <v>PAY</v>
          </cell>
          <cell r="I4460" t="str">
            <v>PAYMENT THANK YOU</v>
          </cell>
        </row>
        <row r="4461">
          <cell r="H4461" t="str">
            <v>PAY-CFREE</v>
          </cell>
          <cell r="I4461" t="str">
            <v>CHECKFREE PAYMENT</v>
          </cell>
        </row>
        <row r="4462">
          <cell r="H4462" t="str">
            <v>PAY-KOL</v>
          </cell>
          <cell r="I4462" t="str">
            <v>PAYMENT-THANK YOU - OL</v>
          </cell>
        </row>
        <row r="4463">
          <cell r="H4463" t="str">
            <v>PAY-NATL</v>
          </cell>
          <cell r="I4463" t="str">
            <v>PAYMENT THANK YOU</v>
          </cell>
        </row>
        <row r="4464">
          <cell r="H4464" t="str">
            <v>PAY-OAK</v>
          </cell>
          <cell r="I4464" t="str">
            <v>OAKLEAF PAYMENT</v>
          </cell>
        </row>
        <row r="4465">
          <cell r="H4465" t="str">
            <v>PAY-ORCC</v>
          </cell>
          <cell r="I4465" t="str">
            <v>ORCC PAYMENT</v>
          </cell>
        </row>
        <row r="4466">
          <cell r="H4466" t="str">
            <v>PAY-RPPS</v>
          </cell>
          <cell r="I4466" t="str">
            <v>RPPS MASTERCARD PAYMENT</v>
          </cell>
        </row>
        <row r="4467">
          <cell r="H4467" t="str">
            <v>PAYAD</v>
          </cell>
          <cell r="I4467" t="str">
            <v>ADJUST PAYMENT AD</v>
          </cell>
        </row>
        <row r="4468">
          <cell r="H4468" t="str">
            <v>PAYEFT</v>
          </cell>
          <cell r="I4468" t="str">
            <v>EFT PAYMENT</v>
          </cell>
        </row>
        <row r="4469">
          <cell r="H4469" t="str">
            <v>PAYICLRI</v>
          </cell>
          <cell r="I4469" t="str">
            <v>PAYMENT THANK YOU</v>
          </cell>
        </row>
        <row r="4470">
          <cell r="H4470" t="str">
            <v>PAYICT</v>
          </cell>
          <cell r="I4470" t="str">
            <v>I/C PAYMENT THANK YOU</v>
          </cell>
        </row>
        <row r="4471">
          <cell r="H4471" t="str">
            <v>PAYMET</v>
          </cell>
          <cell r="I4471" t="str">
            <v>METAVANTE ONLINE PAYMENT</v>
          </cell>
        </row>
        <row r="4472">
          <cell r="H4472" t="str">
            <v>PAYUSBL</v>
          </cell>
          <cell r="I4472" t="str">
            <v>PAYMENT THANK YOU</v>
          </cell>
        </row>
        <row r="4473">
          <cell r="H4473" t="str">
            <v>CC-KOL</v>
          </cell>
          <cell r="I4473" t="str">
            <v>ONLINE PAYMENT-CC</v>
          </cell>
        </row>
        <row r="4474">
          <cell r="H4474" t="str">
            <v>PAYUSBL</v>
          </cell>
          <cell r="I4474" t="str">
            <v>PAYMENT THANK YOU</v>
          </cell>
        </row>
        <row r="4475">
          <cell r="H4475" t="str">
            <v>ACCESS-RES</v>
          </cell>
          <cell r="I4475" t="str">
            <v>ACCESS FEE - RES</v>
          </cell>
        </row>
        <row r="4476">
          <cell r="H4476" t="str">
            <v>DRIVEIN-RES</v>
          </cell>
          <cell r="I4476" t="str">
            <v>DRIVE IN SERVICE - RES</v>
          </cell>
        </row>
        <row r="4477">
          <cell r="H4477" t="str">
            <v>DRIVEIN1-RES</v>
          </cell>
          <cell r="I4477" t="str">
            <v>DRIVE IN 1 - RES</v>
          </cell>
        </row>
        <row r="4478">
          <cell r="H4478" t="str">
            <v>DRIVEIN2-RES</v>
          </cell>
          <cell r="I4478" t="str">
            <v>DRIVE IN 2 - RES</v>
          </cell>
        </row>
        <row r="4479">
          <cell r="H4479" t="str">
            <v>DRIVEIN3-RES</v>
          </cell>
          <cell r="I4479" t="str">
            <v>DRIVE IN 3 - RES</v>
          </cell>
        </row>
        <row r="4480">
          <cell r="H4480" t="str">
            <v>DRIVEIN7-RES</v>
          </cell>
          <cell r="I4480" t="str">
            <v>DRIVE IN 7 - RES</v>
          </cell>
        </row>
        <row r="4481">
          <cell r="H4481" t="str">
            <v>EMPLOYEER</v>
          </cell>
          <cell r="I4481" t="str">
            <v>EMPLOYEE SERVICE RES</v>
          </cell>
        </row>
        <row r="4482">
          <cell r="H4482" t="str">
            <v>GW3RES</v>
          </cell>
          <cell r="I4482" t="str">
            <v>GREENWASTE SVC 3 - RES</v>
          </cell>
        </row>
        <row r="4483">
          <cell r="H4483" t="str">
            <v>GWRES</v>
          </cell>
          <cell r="I4483" t="str">
            <v>GREENWASTE SERVICE - RES</v>
          </cell>
        </row>
        <row r="4484">
          <cell r="H4484" t="str">
            <v>GWSPCL-RES</v>
          </cell>
          <cell r="I4484" t="str">
            <v>GREENWASTE SEN/DIS - RES</v>
          </cell>
        </row>
        <row r="4485">
          <cell r="H4485" t="str">
            <v>RECBINONLYR</v>
          </cell>
          <cell r="I4485" t="str">
            <v>RECYCLE SERVICE ONLY</v>
          </cell>
        </row>
        <row r="4486">
          <cell r="H4486" t="str">
            <v>RECPROGADJ-RES</v>
          </cell>
          <cell r="I4486" t="str">
            <v>RECYCLING PROGRAM ADJUSTM</v>
          </cell>
        </row>
        <row r="4487">
          <cell r="H4487" t="str">
            <v>RECVALRES</v>
          </cell>
          <cell r="I4487" t="str">
            <v>RECYCLABLES VALUE - RES</v>
          </cell>
        </row>
        <row r="4488">
          <cell r="H4488" t="str">
            <v>RL032.0G1M001WREC</v>
          </cell>
          <cell r="I4488" t="str">
            <v>32 GL 1X MO W/RECY 1</v>
          </cell>
        </row>
        <row r="4489">
          <cell r="H4489" t="str">
            <v>RL032.0G1W001WREC</v>
          </cell>
          <cell r="I4489" t="str">
            <v>32 GL 1X WK W/RECY 1</v>
          </cell>
        </row>
        <row r="4490">
          <cell r="H4490" t="str">
            <v>SL032.0G1W001WREC</v>
          </cell>
          <cell r="I4490" t="str">
            <v>32 GL 1X WK W/RECY 1</v>
          </cell>
        </row>
        <row r="4491">
          <cell r="H4491" t="str">
            <v>SL035.0G1M001NOREC</v>
          </cell>
          <cell r="I4491" t="str">
            <v>35 GL 1X MO NO RECY 1</v>
          </cell>
        </row>
        <row r="4492">
          <cell r="H4492" t="str">
            <v>SL035.0G1M001WREC</v>
          </cell>
          <cell r="I4492" t="str">
            <v>35 GL 1X MO W/RECY 1</v>
          </cell>
        </row>
        <row r="4493">
          <cell r="H4493" t="str">
            <v>SL035.0G1W001NOREC</v>
          </cell>
          <cell r="I4493" t="str">
            <v>35 GL 1X WK NO RECY 1</v>
          </cell>
        </row>
        <row r="4494">
          <cell r="H4494" t="str">
            <v>SL035.0G1W001WREC</v>
          </cell>
          <cell r="I4494" t="str">
            <v>35 GL 1X WK W/ RECY 1</v>
          </cell>
        </row>
        <row r="4495">
          <cell r="H4495" t="str">
            <v>SL035.0GEO001WREC</v>
          </cell>
          <cell r="I4495" t="str">
            <v>35 GL EOW W/RECY 1</v>
          </cell>
        </row>
        <row r="4496">
          <cell r="H4496" t="str">
            <v>SL065.0G1M001NOREC</v>
          </cell>
          <cell r="I4496" t="str">
            <v>65 GL 1X MO NO RECY 1</v>
          </cell>
        </row>
        <row r="4497">
          <cell r="H4497" t="str">
            <v>SL065.0G1M001WREC</v>
          </cell>
          <cell r="I4497" t="str">
            <v>65 GL 1X MO W/RECY 1</v>
          </cell>
        </row>
        <row r="4498">
          <cell r="H4498" t="str">
            <v>SL065.0G1M001WRECSPCL</v>
          </cell>
          <cell r="I4498" t="str">
            <v>65 GL 1X MO W/RECY S/D 1</v>
          </cell>
        </row>
        <row r="4499">
          <cell r="H4499" t="str">
            <v>SL065.0G1W001NOREC</v>
          </cell>
          <cell r="I4499" t="str">
            <v>65 GL 1X WK NO RECY 1</v>
          </cell>
        </row>
        <row r="4500">
          <cell r="H4500" t="str">
            <v>SL065.0G1W001SPCLNOREC</v>
          </cell>
          <cell r="I4500" t="str">
            <v>65 GL 1X WK S/D NO REC 1</v>
          </cell>
        </row>
        <row r="4501">
          <cell r="H4501" t="str">
            <v>SL065.0G1W001SPCLWREC</v>
          </cell>
          <cell r="I4501" t="str">
            <v>65 GL 1X WK S/D W/REC 1</v>
          </cell>
        </row>
        <row r="4502">
          <cell r="H4502" t="str">
            <v>SL065.0G1W001WREC</v>
          </cell>
          <cell r="I4502" t="str">
            <v>65 GL 1X WK W/RECY 1</v>
          </cell>
        </row>
        <row r="4503">
          <cell r="H4503" t="str">
            <v>SL065.0GEO001NOREC</v>
          </cell>
          <cell r="I4503" t="str">
            <v>65 GL EOW NO RECY 1</v>
          </cell>
        </row>
        <row r="4504">
          <cell r="H4504" t="str">
            <v>SL065.0GEO001SPCLNOREC</v>
          </cell>
          <cell r="I4504" t="str">
            <v>65 GL EOW S/D NO RECY 1</v>
          </cell>
        </row>
        <row r="4505">
          <cell r="H4505" t="str">
            <v>SL065.0GEO001SPCLWREC</v>
          </cell>
          <cell r="I4505" t="str">
            <v>65 GL EOW S/D W/RECY 1</v>
          </cell>
        </row>
        <row r="4506">
          <cell r="H4506" t="str">
            <v>SL065.0GEO001WREC</v>
          </cell>
          <cell r="I4506" t="str">
            <v>65 GL EOW W/RECY 1</v>
          </cell>
        </row>
        <row r="4507">
          <cell r="H4507" t="str">
            <v>SL095.0G1M0001WRECSPCL</v>
          </cell>
          <cell r="I4507" t="str">
            <v>95 GL 1X MO S/D W/RECY 1</v>
          </cell>
        </row>
        <row r="4508">
          <cell r="H4508" t="str">
            <v>SL095.0G1M001WREC</v>
          </cell>
          <cell r="I4508" t="str">
            <v>95 GL 1X MO W/RECY 1</v>
          </cell>
        </row>
        <row r="4509">
          <cell r="H4509" t="str">
            <v>SL095.0G1W001NOREC</v>
          </cell>
          <cell r="I4509" t="str">
            <v>95 GL 1X WK NO RECY 1</v>
          </cell>
        </row>
        <row r="4510">
          <cell r="H4510" t="str">
            <v>SL095.0G1W001WREC</v>
          </cell>
          <cell r="I4510" t="str">
            <v>95 GL 1X WK W/RECY 1</v>
          </cell>
        </row>
        <row r="4511">
          <cell r="H4511" t="str">
            <v>SL095.0GEO001NOREC</v>
          </cell>
          <cell r="I4511" t="str">
            <v>95 GL EOW NO RECY 1</v>
          </cell>
        </row>
        <row r="4512">
          <cell r="H4512" t="str">
            <v>SL095.0GEO001WREC</v>
          </cell>
          <cell r="I4512" t="str">
            <v>95 GL EOW W/RECY 1</v>
          </cell>
        </row>
        <row r="4513">
          <cell r="H4513" t="str">
            <v>WI1-RES</v>
          </cell>
          <cell r="I4513" t="str">
            <v>WALK IN 6-25' - RES</v>
          </cell>
        </row>
        <row r="4514">
          <cell r="H4514" t="str">
            <v>WI2-RES</v>
          </cell>
          <cell r="I4514" t="str">
            <v>WALK IN 26-50' - RES</v>
          </cell>
        </row>
        <row r="4515">
          <cell r="H4515" t="str">
            <v>WI3-RES</v>
          </cell>
          <cell r="I4515" t="str">
            <v>WALK IN 51-75' - RES</v>
          </cell>
        </row>
        <row r="4516">
          <cell r="H4516" t="str">
            <v>WI4-RES</v>
          </cell>
          <cell r="I4516" t="str">
            <v>WALK IN 76-100' - RES</v>
          </cell>
        </row>
        <row r="4517">
          <cell r="H4517" t="str">
            <v>WI5-RES</v>
          </cell>
          <cell r="I4517" t="str">
            <v>WALK IN 101-125' - RES</v>
          </cell>
        </row>
        <row r="4518">
          <cell r="H4518" t="str">
            <v>WI8-RES</v>
          </cell>
          <cell r="I4518" t="str">
            <v>WALK IN 176-200' - RES</v>
          </cell>
        </row>
        <row r="4519">
          <cell r="H4519" t="str">
            <v>ADJ-RES</v>
          </cell>
          <cell r="I4519" t="str">
            <v>ADJUSTMENT SERVICE - RES</v>
          </cell>
        </row>
        <row r="4520">
          <cell r="H4520" t="str">
            <v>BULKY-RES</v>
          </cell>
          <cell r="I4520" t="str">
            <v>BULKY ITEM PICK UP - RES</v>
          </cell>
        </row>
        <row r="4521">
          <cell r="H4521" t="str">
            <v>EP96GWC-RES</v>
          </cell>
          <cell r="I4521" t="str">
            <v>EXTRA PICK UP 96 GW - RES</v>
          </cell>
        </row>
        <row r="4522">
          <cell r="H4522" t="str">
            <v>EXTRA-RES</v>
          </cell>
          <cell r="I4522" t="str">
            <v>EXTRA CAN, BAG, BOX - RES</v>
          </cell>
        </row>
        <row r="4523">
          <cell r="H4523" t="str">
            <v>EXTRAGRAD1-RES</v>
          </cell>
          <cell r="I4523" t="str">
            <v>EXTRAS GRADUATED 1-2 - RES</v>
          </cell>
        </row>
        <row r="4524">
          <cell r="H4524" t="str">
            <v>EXTRAGRAD2-RES</v>
          </cell>
          <cell r="I4524" t="str">
            <v>EXTRAS GRADUATED 3+ - RES</v>
          </cell>
        </row>
        <row r="4525">
          <cell r="H4525" t="str">
            <v>EXTRAGWC-RES</v>
          </cell>
          <cell r="I4525" t="str">
            <v>EXTRA GREENWASTE FEE - RE</v>
          </cell>
        </row>
        <row r="4526">
          <cell r="H4526" t="str">
            <v>OC-RES</v>
          </cell>
          <cell r="I4526" t="str">
            <v>ON CALL SERVICE - RES</v>
          </cell>
        </row>
        <row r="4527">
          <cell r="H4527" t="str">
            <v>OW-RES</v>
          </cell>
          <cell r="I4527" t="str">
            <v>OVERFILL / OVERWEIGHT CAN</v>
          </cell>
        </row>
        <row r="4528">
          <cell r="H4528" t="str">
            <v>REINSTATE-RES</v>
          </cell>
          <cell r="I4528" t="str">
            <v>REINSTATE FEE - RES</v>
          </cell>
        </row>
        <row r="4529">
          <cell r="H4529" t="str">
            <v>RTRNCART65-RES</v>
          </cell>
          <cell r="I4529" t="str">
            <v>RETURN TRIP 65 GL - RES</v>
          </cell>
        </row>
        <row r="4530">
          <cell r="H4530" t="str">
            <v>RTRNCART95-RES</v>
          </cell>
          <cell r="I4530" t="str">
            <v>RETURN TRIP 95 GL - RES</v>
          </cell>
        </row>
        <row r="4531">
          <cell r="H4531" t="str">
            <v>RTRNCART96REC-RES</v>
          </cell>
          <cell r="I4531" t="str">
            <v>RETURN TRIP 96 GL REC - RES</v>
          </cell>
        </row>
        <row r="4532">
          <cell r="H4532" t="str">
            <v>SL065.0G1W001WREC</v>
          </cell>
          <cell r="I4532" t="str">
            <v>65 GL 1X WK W/RECY 1</v>
          </cell>
        </row>
        <row r="4533">
          <cell r="H4533" t="str">
            <v>SL095.0GEO001WREC</v>
          </cell>
          <cell r="I4533" t="str">
            <v>95 GL EOW W/RECY 1</v>
          </cell>
        </row>
        <row r="4534">
          <cell r="H4534" t="str">
            <v>SPGRAD1-RES</v>
          </cell>
          <cell r="I4534" t="str">
            <v>SPECIAL GRADUATED 1-2 - R</v>
          </cell>
        </row>
        <row r="4535">
          <cell r="H4535" t="str">
            <v>SPGRAD2-RES</v>
          </cell>
          <cell r="I4535" t="str">
            <v>SPECIAL GRADUATED 3+ - RE</v>
          </cell>
        </row>
        <row r="4536">
          <cell r="H4536" t="str">
            <v>GWRES</v>
          </cell>
          <cell r="I4536" t="str">
            <v>GREENWASTE SERVICE - RES</v>
          </cell>
        </row>
        <row r="4537">
          <cell r="H4537" t="str">
            <v>RECBINONLYR</v>
          </cell>
          <cell r="I4537" t="str">
            <v>RECYCLE SERVICE ONLY</v>
          </cell>
        </row>
        <row r="4538">
          <cell r="H4538" t="str">
            <v>SL035.0G1W001WREC</v>
          </cell>
          <cell r="I4538" t="str">
            <v>35 GL 1X WK W/ RECY 1</v>
          </cell>
        </row>
        <row r="4539">
          <cell r="H4539" t="str">
            <v>SL065.0G1M001NOREC</v>
          </cell>
          <cell r="I4539" t="str">
            <v>65 GL 1X MO NO RECY 1</v>
          </cell>
        </row>
        <row r="4540">
          <cell r="H4540" t="str">
            <v>SL065.0G1M001WREC</v>
          </cell>
          <cell r="I4540" t="str">
            <v>65 GL 1X MO W/RECY 1</v>
          </cell>
        </row>
        <row r="4541">
          <cell r="H4541" t="str">
            <v>SL065.0G1W001NOREC</v>
          </cell>
          <cell r="I4541" t="str">
            <v>65 GL 1X WK NO RECY 1</v>
          </cell>
        </row>
        <row r="4542">
          <cell r="H4542" t="str">
            <v>SL065.0G1W001WREC</v>
          </cell>
          <cell r="I4542" t="str">
            <v>65 GL 1X WK W/RECY 1</v>
          </cell>
        </row>
        <row r="4543">
          <cell r="H4543" t="str">
            <v>SL065.0GEO001NOREC</v>
          </cell>
          <cell r="I4543" t="str">
            <v>65 GL EOW NO RECY 1</v>
          </cell>
        </row>
        <row r="4544">
          <cell r="H4544" t="str">
            <v>SL065.0GEO001SPCLWREC</v>
          </cell>
          <cell r="I4544" t="str">
            <v>65 GL EOW S/D W/RECY 1</v>
          </cell>
        </row>
        <row r="4545">
          <cell r="H4545" t="str">
            <v>SL065.0GEO001WREC</v>
          </cell>
          <cell r="I4545" t="str">
            <v>65 GL EOW W/RECY 1</v>
          </cell>
        </row>
        <row r="4546">
          <cell r="H4546" t="str">
            <v>SL095.0G1W001WREC</v>
          </cell>
          <cell r="I4546" t="str">
            <v>95 GL 1X WK W/RECY 1</v>
          </cell>
        </row>
        <row r="4547">
          <cell r="H4547" t="str">
            <v>SL095.0GEO001WREC</v>
          </cell>
          <cell r="I4547" t="str">
            <v>95 GL EOW W/RECY 1</v>
          </cell>
        </row>
        <row r="4548">
          <cell r="H4548" t="str">
            <v>ADJ-RES</v>
          </cell>
          <cell r="I4548" t="str">
            <v>ADJUSTMENT SERVICE - RES</v>
          </cell>
        </row>
        <row r="4549">
          <cell r="H4549" t="str">
            <v>BULKY-RES</v>
          </cell>
          <cell r="I4549" t="str">
            <v>BULKY ITEM PICK UP - RES</v>
          </cell>
        </row>
        <row r="4550">
          <cell r="H4550" t="str">
            <v>EP96GWC-RES</v>
          </cell>
          <cell r="I4550" t="str">
            <v>EXTRA PICK UP 96 GW - RES</v>
          </cell>
        </row>
        <row r="4551">
          <cell r="H4551" t="str">
            <v>EXTRA-RES</v>
          </cell>
          <cell r="I4551" t="str">
            <v>EXTRA CAN, BAG, BOX - RES</v>
          </cell>
        </row>
        <row r="4552">
          <cell r="H4552" t="str">
            <v>EXTRA65-RES</v>
          </cell>
          <cell r="I4552" t="str">
            <v>EXTRA 65 GL RES</v>
          </cell>
        </row>
        <row r="4553">
          <cell r="H4553" t="str">
            <v>EXTRAGRAD1-RES</v>
          </cell>
          <cell r="I4553" t="str">
            <v>EXTRAS GRADUATED 1-2 - RES</v>
          </cell>
        </row>
        <row r="4554">
          <cell r="H4554" t="str">
            <v>EXTRAGRAD2-RES</v>
          </cell>
          <cell r="I4554" t="str">
            <v>EXTRAS GRADUATED 3+ - RES</v>
          </cell>
        </row>
        <row r="4555">
          <cell r="H4555" t="str">
            <v>EXTRAGWC-RES</v>
          </cell>
          <cell r="I4555" t="str">
            <v>EXTRA GREENWASTE FEE - RE</v>
          </cell>
        </row>
        <row r="4556">
          <cell r="H4556" t="str">
            <v>GWRES</v>
          </cell>
          <cell r="I4556" t="str">
            <v>GREENWASTE SERVICE - RES</v>
          </cell>
        </row>
        <row r="4557">
          <cell r="H4557" t="str">
            <v>OC-RES</v>
          </cell>
          <cell r="I4557" t="str">
            <v>ON CALL SERVICE - RES</v>
          </cell>
        </row>
        <row r="4558">
          <cell r="H4558" t="str">
            <v>OW-RES</v>
          </cell>
          <cell r="I4558" t="str">
            <v>OVERFILL / OVERWEIGHT CAN</v>
          </cell>
        </row>
        <row r="4559">
          <cell r="H4559" t="str">
            <v>REINSTATE-RES</v>
          </cell>
          <cell r="I4559" t="str">
            <v>REINSTATE FEE - RES</v>
          </cell>
        </row>
        <row r="4560">
          <cell r="H4560" t="str">
            <v>RTRNCART65-RES</v>
          </cell>
          <cell r="I4560" t="str">
            <v>RETURN TRIP 65 GL - RES</v>
          </cell>
        </row>
        <row r="4561">
          <cell r="H4561" t="str">
            <v>RTRNCART95-RES</v>
          </cell>
          <cell r="I4561" t="str">
            <v>RETURN TRIP 95 GL - RES</v>
          </cell>
        </row>
        <row r="4562">
          <cell r="H4562" t="str">
            <v>SL035.0G1W001WREC</v>
          </cell>
          <cell r="I4562" t="str">
            <v>35 GL 1X WK W/ RECY 1</v>
          </cell>
        </row>
        <row r="4563">
          <cell r="H4563" t="str">
            <v>SL065.0G1M001WREC</v>
          </cell>
          <cell r="I4563" t="str">
            <v>65 GL 1X MO W/RECY 1</v>
          </cell>
        </row>
        <row r="4564">
          <cell r="H4564" t="str">
            <v>SL065.0G1W001WREC</v>
          </cell>
          <cell r="I4564" t="str">
            <v>65 GL 1X WK W/RECY 1</v>
          </cell>
        </row>
        <row r="4565">
          <cell r="H4565" t="str">
            <v>SL065.0GEO001WREC</v>
          </cell>
          <cell r="I4565" t="str">
            <v>65 GL EOW W/RECY 1</v>
          </cell>
        </row>
        <row r="4566">
          <cell r="H4566" t="str">
            <v>SL095.0G1W001WREC</v>
          </cell>
          <cell r="I4566" t="str">
            <v>95 GL 1X WK W/RECY 1</v>
          </cell>
        </row>
        <row r="4567">
          <cell r="H4567" t="str">
            <v>SPGRAD1-RES</v>
          </cell>
          <cell r="I4567" t="str">
            <v>SPECIAL GRADUATED 1-2 - R</v>
          </cell>
        </row>
        <row r="4568">
          <cell r="H4568" t="str">
            <v>SL095.0G1W001WREC</v>
          </cell>
          <cell r="I4568" t="str">
            <v>95 GL 1X WK W/RECY 1</v>
          </cell>
        </row>
        <row r="4569">
          <cell r="H4569" t="str">
            <v>BULKY-RES</v>
          </cell>
          <cell r="I4569" t="str">
            <v>BULKY ITEM PICK UP - RES</v>
          </cell>
        </row>
        <row r="4570">
          <cell r="H4570" t="str">
            <v>OW-RES</v>
          </cell>
          <cell r="I4570" t="str">
            <v>OVERFILL / OVERWEIGHT CAN</v>
          </cell>
        </row>
        <row r="4571">
          <cell r="H4571" t="str">
            <v>DISCO-CP</v>
          </cell>
          <cell r="I4571" t="str">
            <v xml:space="preserve">COMPACTOR DISCONNECT FEE </v>
          </cell>
        </row>
        <row r="4572">
          <cell r="H4572" t="str">
            <v>HAUL30-RO</v>
          </cell>
          <cell r="I4572" t="str">
            <v>HAUL 30 YD - RO</v>
          </cell>
        </row>
        <row r="4573">
          <cell r="H4573" t="str">
            <v>LIDRO</v>
          </cell>
          <cell r="I4573" t="str">
            <v>LID CHARGE - RO</v>
          </cell>
        </row>
        <row r="4574">
          <cell r="H4574" t="str">
            <v>RENT15MO-RO</v>
          </cell>
          <cell r="I4574" t="str">
            <v>RENTAL FEE 15 YD MONTHLY</v>
          </cell>
        </row>
        <row r="4575">
          <cell r="H4575" t="str">
            <v>RENT20MO-RO</v>
          </cell>
          <cell r="I4575" t="str">
            <v>RENTAL FEE 20 YD MONTHLY</v>
          </cell>
        </row>
        <row r="4576">
          <cell r="H4576" t="str">
            <v>RENT20TEMP-RO</v>
          </cell>
          <cell r="I4576" t="str">
            <v>RENTAL FEE 20 YD TEMP - R</v>
          </cell>
        </row>
        <row r="4577">
          <cell r="H4577" t="str">
            <v>RENT30MO-RO</v>
          </cell>
          <cell r="I4577" t="str">
            <v>RENTAL FEE 30 YD MONTHLY</v>
          </cell>
        </row>
        <row r="4578">
          <cell r="H4578" t="str">
            <v>RENT40MO-RO</v>
          </cell>
          <cell r="I4578" t="str">
            <v>RENTAL FEE 40 YD MONTHLY</v>
          </cell>
        </row>
        <row r="4579">
          <cell r="H4579" t="str">
            <v>RENT40TEMP-RO</v>
          </cell>
          <cell r="I4579" t="str">
            <v>RENTAL FEE 40 YD TEMP - R</v>
          </cell>
        </row>
        <row r="4580">
          <cell r="H4580" t="str">
            <v>DEL20-RO</v>
          </cell>
          <cell r="I4580" t="str">
            <v>DELIVERY FEE 20 YD - RO</v>
          </cell>
        </row>
        <row r="4581">
          <cell r="H4581" t="str">
            <v>DEL20TEMP-RO</v>
          </cell>
          <cell r="I4581" t="str">
            <v>DELIVERY FEE 20 YD TEMP -</v>
          </cell>
        </row>
        <row r="4582">
          <cell r="H4582" t="str">
            <v>DEL30TEMP-RO</v>
          </cell>
          <cell r="I4582" t="str">
            <v>DELIVERY FEE 30 YD TEMP -</v>
          </cell>
        </row>
        <row r="4583">
          <cell r="H4583" t="str">
            <v>DEL40-RO</v>
          </cell>
          <cell r="I4583" t="str">
            <v>DELIVERY FEE 40 YD - RO</v>
          </cell>
        </row>
        <row r="4584">
          <cell r="H4584" t="str">
            <v>DEL40TEMP-RO</v>
          </cell>
          <cell r="I4584" t="str">
            <v>DELIVERY FEE 40 YD TEMP -</v>
          </cell>
        </row>
        <row r="4585">
          <cell r="H4585" t="str">
            <v>DISCO-CP</v>
          </cell>
          <cell r="I4585" t="str">
            <v xml:space="preserve">COMPACTOR DISCONNECT FEE </v>
          </cell>
        </row>
        <row r="4586">
          <cell r="H4586" t="str">
            <v>DISP-RO</v>
          </cell>
          <cell r="I4586" t="str">
            <v>DISPOSAL CHARGE - RO</v>
          </cell>
        </row>
        <row r="4587">
          <cell r="H4587" t="str">
            <v>DISPTRANS-RO</v>
          </cell>
          <cell r="I4587" t="str">
            <v>DISPOSAL FEE TRANSFER HAU</v>
          </cell>
        </row>
        <row r="4588">
          <cell r="H4588" t="str">
            <v>FINAL20TEMP-RO</v>
          </cell>
          <cell r="I4588" t="str">
            <v>FINAL PULL 20 YD TEMP - R</v>
          </cell>
        </row>
        <row r="4589">
          <cell r="H4589" t="str">
            <v>FINAL30-RO</v>
          </cell>
          <cell r="I4589" t="str">
            <v>FINAL PULL 30 YD - RO</v>
          </cell>
        </row>
        <row r="4590">
          <cell r="H4590" t="str">
            <v>FINAL30TEMP-RO</v>
          </cell>
          <cell r="I4590" t="str">
            <v>FINAL PULL 30 YD TEMP - R</v>
          </cell>
        </row>
        <row r="4591">
          <cell r="H4591" t="str">
            <v>FINAL40TEMP-RO</v>
          </cell>
          <cell r="I4591" t="str">
            <v>FINAL PULL 40 YD TEMP - R</v>
          </cell>
        </row>
        <row r="4592">
          <cell r="H4592" t="str">
            <v>HAUL10-CP</v>
          </cell>
          <cell r="I4592" t="str">
            <v>COMPACTOR HAUL 10 YD - RO</v>
          </cell>
        </row>
        <row r="4593">
          <cell r="H4593" t="str">
            <v>HAUL15-CP</v>
          </cell>
          <cell r="I4593" t="str">
            <v>COMPACTOR HAUL 15 YD</v>
          </cell>
        </row>
        <row r="4594">
          <cell r="H4594" t="str">
            <v>HAUL20-CP</v>
          </cell>
          <cell r="I4594" t="str">
            <v>COMPACTOR HAUL 20 YD - RO</v>
          </cell>
        </row>
        <row r="4595">
          <cell r="H4595" t="str">
            <v>HAUL20-RO</v>
          </cell>
          <cell r="I4595" t="str">
            <v>HAUL 20 YD - RO</v>
          </cell>
        </row>
        <row r="4596">
          <cell r="H4596" t="str">
            <v>HAUL20TEMP-RO</v>
          </cell>
          <cell r="I4596" t="str">
            <v>HAUL 20 YD TEMP - RO</v>
          </cell>
        </row>
        <row r="4597">
          <cell r="H4597" t="str">
            <v>HAUL25-CP</v>
          </cell>
          <cell r="I4597" t="str">
            <v>COMPACTOR HAUL 25 YD - RO</v>
          </cell>
        </row>
        <row r="4598">
          <cell r="H4598" t="str">
            <v>HAUL26-CP</v>
          </cell>
          <cell r="I4598" t="str">
            <v>COMPACTOR HAUL 26 YD - RO</v>
          </cell>
        </row>
        <row r="4599">
          <cell r="H4599" t="str">
            <v>HAUL30-CP</v>
          </cell>
          <cell r="I4599" t="str">
            <v>COMPACTOR HAUL 30 YD</v>
          </cell>
        </row>
        <row r="4600">
          <cell r="H4600" t="str">
            <v>HAUL30-RO</v>
          </cell>
          <cell r="I4600" t="str">
            <v>HAUL 30 YD - RO</v>
          </cell>
        </row>
        <row r="4601">
          <cell r="H4601" t="str">
            <v>HAUL30TEMP-RO</v>
          </cell>
          <cell r="I4601" t="str">
            <v>HAUL 30 YD TEMP - RO</v>
          </cell>
        </row>
        <row r="4602">
          <cell r="H4602" t="str">
            <v>HAUL35-CP</v>
          </cell>
          <cell r="I4602" t="str">
            <v>COMPACTOR HAUL 35 YD - RO</v>
          </cell>
        </row>
        <row r="4603">
          <cell r="H4603" t="str">
            <v>HAUL40-CP</v>
          </cell>
          <cell r="I4603" t="str">
            <v>COMPACTOR HAUL 40 YD</v>
          </cell>
        </row>
        <row r="4604">
          <cell r="H4604" t="str">
            <v>HAUL40-RO</v>
          </cell>
          <cell r="I4604" t="str">
            <v>HAUL 40 YD - RO</v>
          </cell>
        </row>
        <row r="4605">
          <cell r="H4605" t="str">
            <v>HAUL40TEMP-RO</v>
          </cell>
          <cell r="I4605" t="str">
            <v>HAUL 40 YD TEMP - RO</v>
          </cell>
        </row>
        <row r="4606">
          <cell r="H4606" t="str">
            <v>MILE-RO</v>
          </cell>
          <cell r="I4606" t="str">
            <v>MILEAGE FEE - RO</v>
          </cell>
        </row>
        <row r="4607">
          <cell r="H4607" t="str">
            <v>RENT20TEMP-RO</v>
          </cell>
          <cell r="I4607" t="str">
            <v>RENTAL FEE 20 YD TEMP - R</v>
          </cell>
        </row>
        <row r="4608">
          <cell r="H4608" t="str">
            <v>RENT30MO-RO</v>
          </cell>
          <cell r="I4608" t="str">
            <v>RENTAL FEE 30 YD MONTHLY</v>
          </cell>
        </row>
        <row r="4609">
          <cell r="H4609" t="str">
            <v>RENT30TEMP-RO</v>
          </cell>
          <cell r="I4609" t="str">
            <v>RENTAL FEE 30 YD TEMP - R</v>
          </cell>
        </row>
        <row r="4610">
          <cell r="H4610" t="str">
            <v>RENT40TEMP-RO</v>
          </cell>
          <cell r="I4610" t="str">
            <v>RENTAL FEE 40 YD TEMP - R</v>
          </cell>
        </row>
        <row r="4611">
          <cell r="H4611" t="str">
            <v>RTRNTRIP-RO</v>
          </cell>
          <cell r="I4611" t="str">
            <v>RETURN TRIP FEE - RO</v>
          </cell>
        </row>
        <row r="4612">
          <cell r="H4612" t="str">
            <v>TIME-RO</v>
          </cell>
          <cell r="I4612" t="str">
            <v>TIME FEE - RO</v>
          </cell>
        </row>
        <row r="4613">
          <cell r="H4613" t="str">
            <v>DISPGLASS-RO</v>
          </cell>
          <cell r="I4613" t="str">
            <v>DISPOSAL FEE GLASS - RO</v>
          </cell>
        </row>
        <row r="4614">
          <cell r="H4614" t="str">
            <v>HAUL30-RO</v>
          </cell>
          <cell r="I4614" t="str">
            <v>HAUL 30 YD - RO</v>
          </cell>
        </row>
        <row r="4615">
          <cell r="H4615" t="str">
            <v>COMMODITY SURCHARGE</v>
          </cell>
          <cell r="I4615" t="str">
            <v>COMMODITY SURCHARGE</v>
          </cell>
        </row>
        <row r="4616">
          <cell r="H4616" t="str">
            <v>COMMODITY SURCHARGE</v>
          </cell>
          <cell r="I4616" t="str">
            <v>COMMODITY SURCHARGE</v>
          </cell>
        </row>
        <row r="4617">
          <cell r="H4617" t="str">
            <v>LAKEWOOD CITY ONLY</v>
          </cell>
          <cell r="I4617" t="str">
            <v>6% CITY UTILITY TAX</v>
          </cell>
        </row>
        <row r="4618">
          <cell r="H4618" t="str">
            <v>LAKEWOOD CITY UTILITY TAX</v>
          </cell>
          <cell r="I4618" t="str">
            <v>6% CITY UTILITY TAX</v>
          </cell>
        </row>
        <row r="4619">
          <cell r="H4619" t="str">
            <v>LAKEWOOD REFUSE TAX</v>
          </cell>
          <cell r="I4619" t="str">
            <v>3.6% WA STATE REFUSE TAX</v>
          </cell>
        </row>
        <row r="4620">
          <cell r="H4620" t="str">
            <v>LAKEWOOD STATE SALES TAX</v>
          </cell>
          <cell r="I4620" t="str">
            <v>9.9% WA STATE SALES TAX</v>
          </cell>
        </row>
        <row r="4621">
          <cell r="H4621" t="str">
            <v>LAKEWOOD CITY ONLY</v>
          </cell>
          <cell r="I4621" t="str">
            <v>6% CITY UTILITY TAX</v>
          </cell>
        </row>
        <row r="4622">
          <cell r="H4622" t="str">
            <v>LAKEWOOD CITY UTILITY TAX</v>
          </cell>
          <cell r="I4622" t="str">
            <v>6% CITY UTILITY TAX</v>
          </cell>
        </row>
        <row r="4623">
          <cell r="H4623" t="str">
            <v>LAKEWOOD REFUSE TAX</v>
          </cell>
          <cell r="I4623" t="str">
            <v>3.6% WA STATE REFUSE TAX</v>
          </cell>
        </row>
        <row r="4624">
          <cell r="H4624" t="str">
            <v>LAKEWOOD STATE SALES TAX</v>
          </cell>
          <cell r="I4624" t="str">
            <v>9.9% WA STATE SALES TAX</v>
          </cell>
        </row>
        <row r="4625">
          <cell r="H4625" t="str">
            <v>LAKEWOOD CITY UTILITY TAX</v>
          </cell>
          <cell r="I4625" t="str">
            <v>6% CITY UTILITY TAX</v>
          </cell>
        </row>
        <row r="4626">
          <cell r="H4626" t="str">
            <v>LAKEWOOD REFUSE TAX</v>
          </cell>
          <cell r="I4626" t="str">
            <v>3.6% WA STATE REFUSE TAX</v>
          </cell>
        </row>
        <row r="4627">
          <cell r="H4627" t="str">
            <v>LAKEWOOD STATE SALES TAX</v>
          </cell>
          <cell r="I4627" t="str">
            <v>9.9% WA STATE SALES TAX</v>
          </cell>
        </row>
        <row r="4628">
          <cell r="H4628" t="str">
            <v>LAKEWOOD CITY UTILITY TAX</v>
          </cell>
          <cell r="I4628" t="str">
            <v>6% CITY UTILITY TAX</v>
          </cell>
        </row>
        <row r="4629">
          <cell r="H4629" t="str">
            <v>LAKEWOOD REFUSE TAX</v>
          </cell>
          <cell r="I4629" t="str">
            <v>3.6% WA STATE REFUSE TAX</v>
          </cell>
        </row>
        <row r="4630">
          <cell r="H4630" t="str">
            <v>LAKEWOOD STATE SALES TAX</v>
          </cell>
          <cell r="I4630" t="str">
            <v>9.9% WA STATE SALES TAX</v>
          </cell>
        </row>
        <row r="4631">
          <cell r="H4631" t="str">
            <v>LAKEWOOD CITY ONLY</v>
          </cell>
          <cell r="I4631" t="str">
            <v>6% CITY UTILITY TAX</v>
          </cell>
        </row>
        <row r="4632">
          <cell r="H4632" t="str">
            <v>LAKEWOOD CITY UTILITY TAX</v>
          </cell>
          <cell r="I4632" t="str">
            <v>6% CITY UTILITY TAX</v>
          </cell>
        </row>
        <row r="4633">
          <cell r="H4633" t="str">
            <v>LAKEWOOD REFUSE TAX</v>
          </cell>
          <cell r="I4633" t="str">
            <v>3.6% WA STATE REFUSE TAX</v>
          </cell>
        </row>
        <row r="4634">
          <cell r="H4634" t="str">
            <v>LAKEWOOD CITY ONLY</v>
          </cell>
          <cell r="I4634" t="str">
            <v>6% CITY UTILITY TAX</v>
          </cell>
        </row>
        <row r="4635">
          <cell r="H4635" t="str">
            <v>LAKEWOOD CITY UTILITY TAX</v>
          </cell>
          <cell r="I4635" t="str">
            <v>6% CITY UTILITY TAX</v>
          </cell>
        </row>
        <row r="4636">
          <cell r="H4636" t="str">
            <v>LAKEWOOD REFUSE TAX</v>
          </cell>
          <cell r="I4636" t="str">
            <v>3.6% WA STATE REFUSE TAX</v>
          </cell>
        </row>
        <row r="4637">
          <cell r="H4637" t="str">
            <v>LAKEWOOD CITY ONLY</v>
          </cell>
          <cell r="I4637" t="str">
            <v>6% CITY UTILITY TAX</v>
          </cell>
        </row>
        <row r="4638">
          <cell r="H4638" t="str">
            <v>LAKEWOOD CITY UTILITY TAX</v>
          </cell>
          <cell r="I4638" t="str">
            <v>6% CITY UTILITY TAX</v>
          </cell>
        </row>
        <row r="4639">
          <cell r="H4639" t="str">
            <v>LAKEWOOD REFUSE TAX</v>
          </cell>
          <cell r="I4639" t="str">
            <v>3.6% WA STATE REFUSE TAX</v>
          </cell>
        </row>
        <row r="4640">
          <cell r="H4640" t="str">
            <v>LAKEWOOD STATE SALES TAX</v>
          </cell>
          <cell r="I4640" t="str">
            <v>9.9% WA STATE SALES TAX</v>
          </cell>
        </row>
        <row r="4641">
          <cell r="H4641" t="str">
            <v>LAKEWOOD CITY UTILITY TAX</v>
          </cell>
          <cell r="I4641" t="str">
            <v>6% CITY UTILITY TAX</v>
          </cell>
        </row>
        <row r="4642">
          <cell r="H4642" t="str">
            <v>LAKEWOOD REFUSE TAX</v>
          </cell>
          <cell r="I4642" t="str">
            <v>3.6% WA STATE REFUSE TAX</v>
          </cell>
        </row>
        <row r="4643">
          <cell r="H4643" t="str">
            <v>LAKEWOOD CITY UTILITY TAX</v>
          </cell>
          <cell r="I4643" t="str">
            <v>6% CITY UTILITY TAX</v>
          </cell>
        </row>
        <row r="4644">
          <cell r="H4644" t="str">
            <v>LAKEWOOD REFUSE TAX</v>
          </cell>
          <cell r="I4644" t="str">
            <v>3.6% WA STATE REFUSE TAX</v>
          </cell>
        </row>
        <row r="4645">
          <cell r="H4645" t="str">
            <v>LAKEWOOD STATE SALES TAX</v>
          </cell>
          <cell r="I4645" t="str">
            <v>9.9% WA STATE SALES TAX</v>
          </cell>
        </row>
        <row r="4646">
          <cell r="H4646" t="str">
            <v>FINCHG</v>
          </cell>
          <cell r="I4646" t="str">
            <v>LATE FEE</v>
          </cell>
        </row>
        <row r="4647">
          <cell r="H4647" t="str">
            <v>BD</v>
          </cell>
          <cell r="I4647" t="str">
            <v>BAD DEBT WRITE OFF</v>
          </cell>
        </row>
        <row r="4648">
          <cell r="H4648" t="str">
            <v>BDR</v>
          </cell>
          <cell r="I4648" t="str">
            <v>BAD DEBT RECOVERY</v>
          </cell>
        </row>
        <row r="4649">
          <cell r="H4649" t="str">
            <v>COLLFEE</v>
          </cell>
          <cell r="I4649" t="str">
            <v>COLLECTION AGENCY FEE</v>
          </cell>
        </row>
        <row r="4650">
          <cell r="H4650" t="str">
            <v>FINCHG</v>
          </cell>
          <cell r="I4650" t="str">
            <v>LATE FEE</v>
          </cell>
        </row>
        <row r="4651">
          <cell r="H4651" t="str">
            <v>MM</v>
          </cell>
          <cell r="I4651" t="str">
            <v>ADJUST BALANCE (MM)</v>
          </cell>
        </row>
        <row r="4652">
          <cell r="H4652" t="str">
            <v>MM</v>
          </cell>
          <cell r="I4652" t="str">
            <v>ADJUST BALANCE (MM)</v>
          </cell>
        </row>
        <row r="4653">
          <cell r="H4653" t="str">
            <v>REFUND</v>
          </cell>
          <cell r="I4653" t="str">
            <v>REFUND</v>
          </cell>
        </row>
        <row r="4654">
          <cell r="H4654" t="str">
            <v>RETCK</v>
          </cell>
          <cell r="I4654" t="str">
            <v>RETURNED CHECK</v>
          </cell>
        </row>
        <row r="4655">
          <cell r="H4655" t="str">
            <v>RETCK-LB</v>
          </cell>
          <cell r="I4655" t="str">
            <v>RETURNED CHECK - LOCKBOX</v>
          </cell>
        </row>
        <row r="4656">
          <cell r="H4656" t="str">
            <v>RETCKC</v>
          </cell>
          <cell r="I4656" t="str">
            <v>RETURN CHECK CHARGE</v>
          </cell>
        </row>
        <row r="4657">
          <cell r="H4657" t="str">
            <v>UNCLAIMED</v>
          </cell>
          <cell r="I4657" t="str">
            <v>UNCLAIMED PROPERTY</v>
          </cell>
        </row>
        <row r="4658">
          <cell r="H4658" t="str">
            <v>BD</v>
          </cell>
          <cell r="I4658" t="str">
            <v>BAD DEBT WRITE OFF</v>
          </cell>
        </row>
        <row r="4659">
          <cell r="H4659" t="str">
            <v>BDR</v>
          </cell>
          <cell r="I4659" t="str">
            <v>BAD DEBT RECOVERY</v>
          </cell>
        </row>
        <row r="4660">
          <cell r="H4660" t="str">
            <v>COLLFEE</v>
          </cell>
          <cell r="I4660" t="str">
            <v>COLLECTION AGENCY FEE</v>
          </cell>
        </row>
        <row r="4661">
          <cell r="H4661" t="str">
            <v>FINCHG</v>
          </cell>
          <cell r="I4661" t="str">
            <v>LATE FEE</v>
          </cell>
        </row>
        <row r="4662">
          <cell r="H4662" t="str">
            <v>MM</v>
          </cell>
          <cell r="I4662" t="str">
            <v>ADJUST BALANCE (MM)</v>
          </cell>
        </row>
        <row r="4663">
          <cell r="H4663" t="str">
            <v>MM</v>
          </cell>
          <cell r="I4663" t="str">
            <v>ADJUST BALANCE (MM)</v>
          </cell>
        </row>
        <row r="4664">
          <cell r="H4664" t="str">
            <v>REFUND</v>
          </cell>
          <cell r="I4664" t="str">
            <v>REFUND</v>
          </cell>
        </row>
        <row r="4665">
          <cell r="H4665" t="str">
            <v>RETCK</v>
          </cell>
          <cell r="I4665" t="str">
            <v>RETURNED CHECK</v>
          </cell>
        </row>
        <row r="4666">
          <cell r="H4666" t="str">
            <v>RETCK-CFREE</v>
          </cell>
          <cell r="I4666" t="str">
            <v>CHECKFREE RETURN CHECK</v>
          </cell>
        </row>
        <row r="4667">
          <cell r="H4667" t="str">
            <v>RETCK-LB</v>
          </cell>
          <cell r="I4667" t="str">
            <v>RETURNED CHECK - LOCKBOX</v>
          </cell>
        </row>
        <row r="4668">
          <cell r="H4668" t="str">
            <v>RETCKC</v>
          </cell>
          <cell r="I4668" t="str">
            <v>RETURN CHECK CHARGE</v>
          </cell>
        </row>
        <row r="4669">
          <cell r="H4669" t="str">
            <v>UNCLAIMED</v>
          </cell>
          <cell r="I4669" t="str">
            <v>UNCLAIMED PROPERTY</v>
          </cell>
        </row>
        <row r="4670">
          <cell r="H4670" t="str">
            <v>FINCHG</v>
          </cell>
          <cell r="I4670" t="str">
            <v>LATE FEE</v>
          </cell>
        </row>
        <row r="4671">
          <cell r="H4671" t="str">
            <v>BD</v>
          </cell>
          <cell r="I4671" t="str">
            <v>BAD DEBT WRITE OFF</v>
          </cell>
        </row>
        <row r="4672">
          <cell r="H4672" t="str">
            <v>BDR</v>
          </cell>
          <cell r="I4672" t="str">
            <v>BAD DEBT RECOVERY</v>
          </cell>
        </row>
        <row r="4673">
          <cell r="H4673" t="str">
            <v>COLLFEE</v>
          </cell>
          <cell r="I4673" t="str">
            <v>COLLECTION AGENCY FEE</v>
          </cell>
        </row>
        <row r="4674">
          <cell r="H4674" t="str">
            <v>FINCHG</v>
          </cell>
          <cell r="I4674" t="str">
            <v>LATE FEE</v>
          </cell>
        </row>
        <row r="4675">
          <cell r="H4675" t="str">
            <v>MM</v>
          </cell>
          <cell r="I4675" t="str">
            <v>ADJUST BALANCE (MM)</v>
          </cell>
        </row>
        <row r="4676">
          <cell r="H4676" t="str">
            <v>MM</v>
          </cell>
          <cell r="I4676" t="str">
            <v>ADJUST BALANCE (MM)</v>
          </cell>
        </row>
        <row r="4677">
          <cell r="H4677" t="str">
            <v>REFUND</v>
          </cell>
          <cell r="I4677" t="str">
            <v>REFUND</v>
          </cell>
        </row>
        <row r="4678">
          <cell r="H4678" t="str">
            <v>RETCK-LB</v>
          </cell>
          <cell r="I4678" t="str">
            <v>RETURNED CHECK - LOCKBOX</v>
          </cell>
        </row>
        <row r="4679">
          <cell r="H4679" t="str">
            <v>RETCKC</v>
          </cell>
          <cell r="I4679" t="str">
            <v>RETURN CHECK CHARGE</v>
          </cell>
        </row>
        <row r="4680">
          <cell r="H4680" t="str">
            <v>FINCHG</v>
          </cell>
          <cell r="I4680" t="str">
            <v>LATE FEE</v>
          </cell>
        </row>
        <row r="4681">
          <cell r="H4681" t="str">
            <v>ADJ-COMM</v>
          </cell>
          <cell r="I4681" t="str">
            <v>ADJUSTMENT SERVICE - COMM</v>
          </cell>
        </row>
        <row r="4682">
          <cell r="H4682" t="str">
            <v>REINSTATE-COMM</v>
          </cell>
          <cell r="I4682" t="str">
            <v>REINSTATE FEE - COMM</v>
          </cell>
        </row>
        <row r="4683">
          <cell r="H4683" t="str">
            <v>RTRNCART65-COMM</v>
          </cell>
          <cell r="I4683" t="str">
            <v>RETURN TRIP 65 GL - COMM</v>
          </cell>
        </row>
        <row r="4684">
          <cell r="H4684" t="str">
            <v>ACCESS-COMM</v>
          </cell>
          <cell r="I4684" t="str">
            <v>ACCESS FEE - COMM</v>
          </cell>
        </row>
        <row r="4685">
          <cell r="H4685" t="str">
            <v>CANCOUNT95-COMM</v>
          </cell>
          <cell r="I4685" t="str">
            <v>CAN COUNT 95 GL - COMM</v>
          </cell>
        </row>
        <row r="4686">
          <cell r="H4686" t="str">
            <v>DIST4CAN-COMM</v>
          </cell>
          <cell r="I4686" t="str">
            <v>DISTRIBUTED 4 CANS - COMM</v>
          </cell>
        </row>
        <row r="4687">
          <cell r="H4687" t="str">
            <v>DONATIONC</v>
          </cell>
          <cell r="I4687" t="str">
            <v>DONATED SERVICE COMM</v>
          </cell>
        </row>
        <row r="4688">
          <cell r="H4688" t="str">
            <v>DRIVEIN-COMM</v>
          </cell>
          <cell r="I4688" t="str">
            <v>DRIVE IN SERVICE - COMM</v>
          </cell>
        </row>
        <row r="4689">
          <cell r="H4689" t="str">
            <v>DRIVEIN1-COMM</v>
          </cell>
          <cell r="I4689" t="str">
            <v>DRIVE IN 125-250' - COMM</v>
          </cell>
        </row>
        <row r="4690">
          <cell r="H4690" t="str">
            <v>FL001.0Y1W001</v>
          </cell>
          <cell r="I4690" t="str">
            <v>1 YD 1X WK 1</v>
          </cell>
        </row>
        <row r="4691">
          <cell r="H4691" t="str">
            <v>FL001.0Y2W001</v>
          </cell>
          <cell r="I4691" t="str">
            <v>1 YD 2X WK 1</v>
          </cell>
        </row>
        <row r="4692">
          <cell r="H4692" t="str">
            <v>FL001.0Y3W001</v>
          </cell>
          <cell r="I4692" t="str">
            <v>1 YD 3X WK 1</v>
          </cell>
        </row>
        <row r="4693">
          <cell r="H4693" t="str">
            <v>FL001.5Y1W001</v>
          </cell>
          <cell r="I4693" t="str">
            <v>1.5 YD 1X WK 1</v>
          </cell>
        </row>
        <row r="4694">
          <cell r="H4694" t="str">
            <v>FL001.5Y2W001</v>
          </cell>
          <cell r="I4694" t="str">
            <v>1.5 YD 2X WK 1</v>
          </cell>
        </row>
        <row r="4695">
          <cell r="H4695" t="str">
            <v>FL001.5Y3W001</v>
          </cell>
          <cell r="I4695" t="str">
            <v>1.5 YD 3X WK 1</v>
          </cell>
        </row>
        <row r="4696">
          <cell r="H4696" t="str">
            <v>FL002.0Y1W001</v>
          </cell>
          <cell r="I4696" t="str">
            <v>2 YD 1X WK 1</v>
          </cell>
        </row>
        <row r="4697">
          <cell r="H4697" t="str">
            <v>FL002.0Y1W001CMP</v>
          </cell>
          <cell r="I4697" t="str">
            <v>2 YD 1X WK COMP 1</v>
          </cell>
        </row>
        <row r="4698">
          <cell r="H4698" t="str">
            <v>FL002.0Y2W001</v>
          </cell>
          <cell r="I4698" t="str">
            <v>2 YD 2X WK 1</v>
          </cell>
        </row>
        <row r="4699">
          <cell r="H4699" t="str">
            <v>FL002.0Y3W001</v>
          </cell>
          <cell r="I4699" t="str">
            <v>2 YD 3X WK 1</v>
          </cell>
        </row>
        <row r="4700">
          <cell r="H4700" t="str">
            <v>FL003.0Y1W001</v>
          </cell>
          <cell r="I4700" t="str">
            <v>3 YD 1X WK 1</v>
          </cell>
        </row>
        <row r="4701">
          <cell r="H4701" t="str">
            <v>FL003.0Y2W001</v>
          </cell>
          <cell r="I4701" t="str">
            <v>3 YD 2X WK 1</v>
          </cell>
        </row>
        <row r="4702">
          <cell r="H4702" t="str">
            <v>FL003.0Y2W001CMP</v>
          </cell>
          <cell r="I4702" t="str">
            <v>3 YD 2X WK COMP 1</v>
          </cell>
        </row>
        <row r="4703">
          <cell r="H4703" t="str">
            <v>FL003.0Y3W001</v>
          </cell>
          <cell r="I4703" t="str">
            <v>3 YD 3X WK 1</v>
          </cell>
        </row>
        <row r="4704">
          <cell r="H4704" t="str">
            <v>FL003.0Y4W001</v>
          </cell>
          <cell r="I4704" t="str">
            <v>3 YD 4X WK 1</v>
          </cell>
        </row>
        <row r="4705">
          <cell r="H4705" t="str">
            <v>FL004.0Y1W001</v>
          </cell>
          <cell r="I4705" t="str">
            <v>4 YD 1X WK 1</v>
          </cell>
        </row>
        <row r="4706">
          <cell r="H4706" t="str">
            <v>FL004.0Y1W001CMP</v>
          </cell>
          <cell r="I4706" t="str">
            <v>4 YD 1X WK COMP 1</v>
          </cell>
        </row>
        <row r="4707">
          <cell r="H4707" t="str">
            <v>FL004.0Y2W001</v>
          </cell>
          <cell r="I4707" t="str">
            <v>4 YD 2X WK 1</v>
          </cell>
        </row>
        <row r="4708">
          <cell r="H4708" t="str">
            <v>FL004.0Y2W001CMP</v>
          </cell>
          <cell r="I4708" t="str">
            <v>4 YD 2X WK COMP 1</v>
          </cell>
        </row>
        <row r="4709">
          <cell r="H4709" t="str">
            <v>FL004.0Y3W001</v>
          </cell>
          <cell r="I4709" t="str">
            <v>4 YD 3X WK 1</v>
          </cell>
        </row>
        <row r="4710">
          <cell r="H4710" t="str">
            <v>FL006.0Y1W001</v>
          </cell>
          <cell r="I4710" t="str">
            <v>6 YD 1X WK 1</v>
          </cell>
        </row>
        <row r="4711">
          <cell r="H4711" t="str">
            <v>FL006.0Y2W001</v>
          </cell>
          <cell r="I4711" t="str">
            <v>6 YD 2X WK 1</v>
          </cell>
        </row>
        <row r="4712">
          <cell r="H4712" t="str">
            <v>FL006.0Y2W001CMP</v>
          </cell>
          <cell r="I4712" t="str">
            <v>6 YD 2X WK COMP 1</v>
          </cell>
        </row>
        <row r="4713">
          <cell r="H4713" t="str">
            <v>FL006.0Y3W001</v>
          </cell>
          <cell r="I4713" t="str">
            <v>6 YD 3X WK 1</v>
          </cell>
        </row>
        <row r="4714">
          <cell r="H4714" t="str">
            <v>FL006.0Y4W001</v>
          </cell>
          <cell r="I4714" t="str">
            <v>6 YD 4X WK 1</v>
          </cell>
        </row>
        <row r="4715">
          <cell r="H4715" t="str">
            <v>GWCOMM</v>
          </cell>
          <cell r="I4715" t="str">
            <v>GREENWASTE SERVICE - COMM</v>
          </cell>
        </row>
        <row r="4716">
          <cell r="H4716" t="str">
            <v>RENT1.5TEMP-COMM</v>
          </cell>
          <cell r="I4716" t="str">
            <v>RENT 1.5 YD TEMP - COMM</v>
          </cell>
        </row>
        <row r="4717">
          <cell r="H4717" t="str">
            <v>RENT2TEMP-COMM</v>
          </cell>
          <cell r="I4717" t="str">
            <v>RENT 2 YD TEMP - COMM</v>
          </cell>
        </row>
        <row r="4718">
          <cell r="H4718" t="str">
            <v>RL032.0G1W001NORECC</v>
          </cell>
          <cell r="I4718" t="str">
            <v xml:space="preserve">32 GL 1X WK NO RECY COMM </v>
          </cell>
        </row>
        <row r="4719">
          <cell r="H4719" t="str">
            <v>RL032.0G1W001WRECC</v>
          </cell>
          <cell r="I4719" t="str">
            <v>32 GL 1X WK W/RECY COMM 1</v>
          </cell>
        </row>
        <row r="4720">
          <cell r="H4720" t="str">
            <v>RL032.0G1W002NORECC</v>
          </cell>
          <cell r="I4720" t="str">
            <v xml:space="preserve">32 GL 1X WK NO RECY COMM </v>
          </cell>
        </row>
        <row r="4721">
          <cell r="H4721" t="str">
            <v>RL032.0G1W002WRECC</v>
          </cell>
          <cell r="I4721" t="str">
            <v>32 GL 1X WK W/RECY COMM 2</v>
          </cell>
        </row>
        <row r="4722">
          <cell r="H4722" t="str">
            <v>RL032.0G1W003WRECC</v>
          </cell>
          <cell r="I4722" t="str">
            <v>32 GL 1X WK W/RECY COMM 3</v>
          </cell>
        </row>
        <row r="4723">
          <cell r="H4723" t="str">
            <v>RL032.0G1W004WRECC</v>
          </cell>
          <cell r="I4723" t="str">
            <v>32 GL 1X WK W/RECY COMM 4</v>
          </cell>
        </row>
        <row r="4724">
          <cell r="H4724" t="str">
            <v>ROLL-COMM</v>
          </cell>
          <cell r="I4724" t="str">
            <v>ROLL OUT CHARGE - COMM</v>
          </cell>
        </row>
        <row r="4725">
          <cell r="H4725" t="str">
            <v>SL065.0G1W001NORECC</v>
          </cell>
          <cell r="I4725" t="str">
            <v xml:space="preserve">65 GL 1X WK NO RECY COMM </v>
          </cell>
        </row>
        <row r="4726">
          <cell r="H4726" t="str">
            <v>SL065.0G1W001WRECC</v>
          </cell>
          <cell r="I4726" t="str">
            <v>65 GL 1X WK W/RECY COMM 1</v>
          </cell>
        </row>
        <row r="4727">
          <cell r="H4727" t="str">
            <v>SL065.0GEO001NORECC</v>
          </cell>
          <cell r="I4727" t="str">
            <v>65 GL EOW NO RECY COMM 1</v>
          </cell>
        </row>
        <row r="4728">
          <cell r="H4728" t="str">
            <v>SL065.0GEO001WRECC</v>
          </cell>
          <cell r="I4728" t="str">
            <v>65 GL EOW W/RECY COMM 1</v>
          </cell>
        </row>
        <row r="4729">
          <cell r="H4729" t="str">
            <v>SL095.0G1W001NORECC</v>
          </cell>
          <cell r="I4729" t="str">
            <v xml:space="preserve">95 GL 1X WK NO RECY COMM </v>
          </cell>
        </row>
        <row r="4730">
          <cell r="H4730" t="str">
            <v>SL095.0G1W001WRECC</v>
          </cell>
          <cell r="I4730" t="str">
            <v>95 GL 1X WK W/RECY COMM 1</v>
          </cell>
        </row>
        <row r="4731">
          <cell r="H4731" t="str">
            <v>SL095.0GEO001NORECC</v>
          </cell>
          <cell r="I4731" t="str">
            <v>95 GL EOW NO RECY COMM 1</v>
          </cell>
        </row>
        <row r="4732">
          <cell r="H4732" t="str">
            <v>SL095.0GEO001WRECC</v>
          </cell>
          <cell r="I4732" t="str">
            <v>95 GL EOW W/RECY COMM 1</v>
          </cell>
        </row>
        <row r="4733">
          <cell r="H4733" t="str">
            <v>WI1-COMM</v>
          </cell>
          <cell r="I4733" t="str">
            <v>WALK IN 6-25' - COMM</v>
          </cell>
        </row>
        <row r="4734">
          <cell r="H4734" t="str">
            <v>WI2-COMM</v>
          </cell>
          <cell r="I4734" t="str">
            <v>WALK IN 26-50' - COMM</v>
          </cell>
        </row>
        <row r="4735">
          <cell r="H4735" t="str">
            <v>WI4-COMM</v>
          </cell>
          <cell r="I4735" t="str">
            <v>WALK IN 76-100' - COMM</v>
          </cell>
        </row>
        <row r="4736">
          <cell r="H4736" t="str">
            <v>ADJ-COMM</v>
          </cell>
          <cell r="I4736" t="str">
            <v>ADJUSTMENT SERVICE - COMM</v>
          </cell>
        </row>
        <row r="4737">
          <cell r="H4737" t="str">
            <v>BULKY-COMM</v>
          </cell>
          <cell r="I4737" t="str">
            <v>BULKY ITEM PICK UP - COMM</v>
          </cell>
        </row>
        <row r="4738">
          <cell r="H4738" t="str">
            <v>CANCOUNT-COMM</v>
          </cell>
          <cell r="I4738" t="str">
            <v>CAN COUNT - COMM</v>
          </cell>
        </row>
        <row r="4739">
          <cell r="H4739" t="str">
            <v>CANCOUNT65-COMM</v>
          </cell>
          <cell r="I4739" t="str">
            <v>CAN COUNT 65 GL - COMM</v>
          </cell>
        </row>
        <row r="4740">
          <cell r="H4740" t="str">
            <v>CANCOUNT95-COMM</v>
          </cell>
          <cell r="I4740" t="str">
            <v>CAN COUNT 95 GL - COMM</v>
          </cell>
        </row>
        <row r="4741">
          <cell r="H4741" t="str">
            <v>CANCOUNTFD65-COMM</v>
          </cell>
          <cell r="I4741" t="str">
            <v>CAN COUNT FOOD 65 GL - CO</v>
          </cell>
        </row>
        <row r="4742">
          <cell r="H4742" t="str">
            <v>CLEAN1-COMM</v>
          </cell>
          <cell r="I4742" t="str">
            <v>CLEANING FEE 1 YD - COMM</v>
          </cell>
        </row>
        <row r="4743">
          <cell r="H4743" t="str">
            <v>CLEAN1.5-COMM</v>
          </cell>
          <cell r="I4743" t="str">
            <v>CLEANING FEE 1.5 YD - COM</v>
          </cell>
        </row>
        <row r="4744">
          <cell r="H4744" t="str">
            <v>CLEAN2-COMM</v>
          </cell>
          <cell r="I4744" t="str">
            <v>CLEANING FEE 2 YD - COMM</v>
          </cell>
        </row>
        <row r="4745">
          <cell r="H4745" t="str">
            <v>DEL1.5TEMP-COMM</v>
          </cell>
          <cell r="I4745" t="str">
            <v xml:space="preserve">DELIVERY FEE 1.5 YD TEMP </v>
          </cell>
        </row>
        <row r="4746">
          <cell r="H4746" t="str">
            <v>DEL1TEMP-COMM</v>
          </cell>
          <cell r="I4746" t="str">
            <v xml:space="preserve">DELIVERY FEE 1 YD TEMP - </v>
          </cell>
        </row>
        <row r="4747">
          <cell r="H4747" t="str">
            <v>DEL2TEMP-COMM</v>
          </cell>
          <cell r="I4747" t="str">
            <v xml:space="preserve">DELIVERY FEE 2 YD TEMP - </v>
          </cell>
        </row>
        <row r="4748">
          <cell r="H4748" t="str">
            <v>DEL6TEMP-COMM</v>
          </cell>
          <cell r="I4748" t="str">
            <v xml:space="preserve">DELIVERY FEE 6 YD TEMP - </v>
          </cell>
        </row>
        <row r="4749">
          <cell r="H4749" t="str">
            <v>DISP-COMM</v>
          </cell>
          <cell r="I4749" t="str">
            <v>DISPOSAL FEE - COMM</v>
          </cell>
        </row>
        <row r="4750">
          <cell r="H4750" t="str">
            <v>DISPFEDMSW-COMM</v>
          </cell>
          <cell r="I4750" t="str">
            <v>DISPOSAL FEDERAL MSW - CO</v>
          </cell>
        </row>
        <row r="4751">
          <cell r="H4751" t="str">
            <v>DISPMIX-COMM</v>
          </cell>
          <cell r="I4751" t="str">
            <v>DISPOSAL MIX CMGL OCC - COMM</v>
          </cell>
        </row>
        <row r="4752">
          <cell r="H4752" t="str">
            <v>DONATIONC</v>
          </cell>
          <cell r="I4752" t="str">
            <v>DONATED SERVICE COMM</v>
          </cell>
        </row>
        <row r="4753">
          <cell r="H4753" t="str">
            <v>EXTRA-COMM</v>
          </cell>
          <cell r="I4753" t="str">
            <v>EXTRA CAN, BAG, BOX - COM</v>
          </cell>
        </row>
        <row r="4754">
          <cell r="H4754" t="str">
            <v>EXTRAYDG-COM</v>
          </cell>
          <cell r="I4754" t="str">
            <v>EXTRA YARDAGE - COMM</v>
          </cell>
        </row>
        <row r="4755">
          <cell r="H4755" t="str">
            <v>FL001.0Y1W001</v>
          </cell>
          <cell r="I4755" t="str">
            <v>1 YD 1X WK 1</v>
          </cell>
        </row>
        <row r="4756">
          <cell r="H4756" t="str">
            <v>FL001.0YXX001TEMPC</v>
          </cell>
          <cell r="I4756" t="str">
            <v xml:space="preserve">1 YD TEMP </v>
          </cell>
        </row>
        <row r="4757">
          <cell r="H4757" t="str">
            <v>FL001.5YXX001TEMPC</v>
          </cell>
          <cell r="I4757" t="str">
            <v xml:space="preserve">1.5 YD TEMP </v>
          </cell>
        </row>
        <row r="4758">
          <cell r="H4758" t="str">
            <v>FL002.0Y1W001</v>
          </cell>
          <cell r="I4758" t="str">
            <v>2 YD 1X WK 1</v>
          </cell>
        </row>
        <row r="4759">
          <cell r="H4759" t="str">
            <v>FL002.0YXX001TEMPC</v>
          </cell>
          <cell r="I4759" t="str">
            <v xml:space="preserve">2 YD TEMP </v>
          </cell>
        </row>
        <row r="4760">
          <cell r="H4760" t="str">
            <v>REDEL-COMM</v>
          </cell>
          <cell r="I4760" t="str">
            <v>REDELIVER FEE LVL 1 - COM</v>
          </cell>
        </row>
        <row r="4761">
          <cell r="H4761" t="str">
            <v>REINSTATE-COMM</v>
          </cell>
          <cell r="I4761" t="str">
            <v>REINSTATE FEE - COMM</v>
          </cell>
        </row>
        <row r="4762">
          <cell r="H4762" t="str">
            <v>RENT1.5TEMP-COMM</v>
          </cell>
          <cell r="I4762" t="str">
            <v>RENT 1.5 YD TEMP - COMM</v>
          </cell>
        </row>
        <row r="4763">
          <cell r="H4763" t="str">
            <v>RENT1TEMP-COMM</v>
          </cell>
          <cell r="I4763" t="str">
            <v>RENT 1 YD TEMP - COMM</v>
          </cell>
        </row>
        <row r="4764">
          <cell r="H4764" t="str">
            <v>RENT2TEMP-COMM</v>
          </cell>
          <cell r="I4764" t="str">
            <v>RENT 2 YD TEMP - COMM</v>
          </cell>
        </row>
        <row r="4765">
          <cell r="H4765" t="str">
            <v>RTRNTRIP-COMM</v>
          </cell>
          <cell r="I4765" t="str">
            <v>RETURN TRIP FEE - COMM</v>
          </cell>
        </row>
        <row r="4766">
          <cell r="H4766" t="str">
            <v>SP1-COMM</v>
          </cell>
          <cell r="I4766" t="str">
            <v>SPECIAL PICK UP 1 YD - CO</v>
          </cell>
        </row>
        <row r="4767">
          <cell r="H4767" t="str">
            <v>SP1.5-COMM</v>
          </cell>
          <cell r="I4767" t="str">
            <v xml:space="preserve">SPECIAL PICK UP 1.5 YD - </v>
          </cell>
        </row>
        <row r="4768">
          <cell r="H4768" t="str">
            <v>SP2-COMM</v>
          </cell>
          <cell r="I4768" t="str">
            <v>SPECIAL PICK UP 2 YD - CO</v>
          </cell>
        </row>
        <row r="4769">
          <cell r="H4769" t="str">
            <v>SP4-COMM</v>
          </cell>
          <cell r="I4769" t="str">
            <v>SPECIAL PICK UP 4 YD - CO</v>
          </cell>
        </row>
        <row r="4770">
          <cell r="H4770" t="str">
            <v>SP6-COMM</v>
          </cell>
          <cell r="I4770" t="str">
            <v>SPECIAL PICK UP 6 YD - CO</v>
          </cell>
        </row>
        <row r="4771">
          <cell r="H4771" t="str">
            <v>SPGRAD1-COMM</v>
          </cell>
          <cell r="I4771" t="str">
            <v>SPECIAL PICKUP GRADUATED 1 - COMM</v>
          </cell>
        </row>
        <row r="4772">
          <cell r="H4772" t="str">
            <v>SPGRAD1S-COMM</v>
          </cell>
          <cell r="I4772" t="str">
            <v>SPECIAL UNIT GRAD1 SCHL - COMM</v>
          </cell>
        </row>
        <row r="4773">
          <cell r="H4773" t="str">
            <v>SPGRAD2S-COMM</v>
          </cell>
          <cell r="I4773" t="str">
            <v>SPECIAL UNIT GRAD2 SCHL - COMM</v>
          </cell>
        </row>
        <row r="4774">
          <cell r="H4774" t="str">
            <v>TIME-COMM</v>
          </cell>
          <cell r="I4774" t="str">
            <v>TIME FEE 1 - COMM</v>
          </cell>
        </row>
        <row r="4775">
          <cell r="H4775" t="str">
            <v>DEL2TEMP-COMM</v>
          </cell>
          <cell r="I4775" t="str">
            <v xml:space="preserve">DELIVERY FEE 2 YD TEMP - </v>
          </cell>
        </row>
        <row r="4776">
          <cell r="H4776" t="str">
            <v>DISP-COMM</v>
          </cell>
          <cell r="I4776" t="str">
            <v>DISPOSAL FEE - COMM</v>
          </cell>
        </row>
        <row r="4777">
          <cell r="H4777" t="str">
            <v>DISPFEDMSW-COMM</v>
          </cell>
          <cell r="I4777" t="str">
            <v>DISPOSAL FEDERAL MSW - CO</v>
          </cell>
        </row>
        <row r="4778">
          <cell r="H4778" t="str">
            <v>RENT2TEMP-COMM</v>
          </cell>
          <cell r="I4778" t="str">
            <v>RENT 2 YD TEMP - COMM</v>
          </cell>
        </row>
        <row r="4779">
          <cell r="H4779" t="str">
            <v>RTRNCART96REC-COMM</v>
          </cell>
          <cell r="I4779" t="str">
            <v>RETURN TRIP 96 GL REC - C</v>
          </cell>
        </row>
        <row r="4780">
          <cell r="H4780" t="str">
            <v>ACCESSCREC-COMM</v>
          </cell>
          <cell r="I4780" t="str">
            <v>ACCESS FEE COMM RECY - CO</v>
          </cell>
        </row>
        <row r="4781">
          <cell r="H4781" t="str">
            <v>COMDESKREC</v>
          </cell>
          <cell r="I4781" t="str">
            <v>COMM DESKSIDE RECYCLING</v>
          </cell>
        </row>
        <row r="4782">
          <cell r="H4782" t="str">
            <v>FL002.0Y1M001BCMGL</v>
          </cell>
          <cell r="I4782" t="str">
            <v>2 YD 1X MO BUS CMGL 1</v>
          </cell>
        </row>
        <row r="4783">
          <cell r="H4783" t="str">
            <v>FL002.0Y1W001BCMGL</v>
          </cell>
          <cell r="I4783" t="str">
            <v>2 YD 1X WK BUS CMGL 1</v>
          </cell>
        </row>
        <row r="4784">
          <cell r="H4784" t="str">
            <v>FL002.0Y1W001BOCC</v>
          </cell>
          <cell r="I4784" t="str">
            <v>2 YD 1X WK BUS OCC 1</v>
          </cell>
        </row>
        <row r="4785">
          <cell r="H4785" t="str">
            <v>FL002.0Y1W001OCC</v>
          </cell>
          <cell r="I4785" t="str">
            <v>2 YD 1X WK OCC 1</v>
          </cell>
        </row>
        <row r="4786">
          <cell r="H4786" t="str">
            <v>FL002.0Y1W001SCMGL</v>
          </cell>
          <cell r="I4786" t="str">
            <v>2 YD 1X WK SCHL CMGL 1</v>
          </cell>
        </row>
        <row r="4787">
          <cell r="H4787" t="str">
            <v>FL002.0Y1W001SOCC</v>
          </cell>
          <cell r="I4787" t="str">
            <v>2 YD 1X WK SCHOOL OCC</v>
          </cell>
        </row>
        <row r="4788">
          <cell r="H4788" t="str">
            <v>FL002.0Y2W001BCMGL</v>
          </cell>
          <cell r="I4788" t="str">
            <v>2 YD 2X WK BUS CMGL 1</v>
          </cell>
        </row>
        <row r="4789">
          <cell r="H4789" t="str">
            <v>FL002.0Y2W001BOCC</v>
          </cell>
          <cell r="I4789" t="str">
            <v>2 YD 2X WK BUS OCC 1</v>
          </cell>
        </row>
        <row r="4790">
          <cell r="H4790" t="str">
            <v>FL002.0Y2W001SCMGL</v>
          </cell>
          <cell r="I4790" t="str">
            <v>2 YD 2X WK SCHL CMGL 1</v>
          </cell>
        </row>
        <row r="4791">
          <cell r="H4791" t="str">
            <v>FL002.0Y2W001SOCC</v>
          </cell>
          <cell r="I4791" t="str">
            <v>2 YD 2X WK SCHOOL OCC</v>
          </cell>
        </row>
        <row r="4792">
          <cell r="H4792" t="str">
            <v>FL002.0Y3W001BOCC</v>
          </cell>
          <cell r="I4792" t="str">
            <v>2 YD 3X WK BUS OCC 1</v>
          </cell>
        </row>
        <row r="4793">
          <cell r="H4793" t="str">
            <v>FL002.0Y4W001BOCC</v>
          </cell>
          <cell r="I4793" t="str">
            <v>2 YD 4X WK BUS OCC 1</v>
          </cell>
        </row>
        <row r="4794">
          <cell r="H4794" t="str">
            <v>FL004.0Y1W001CMGL</v>
          </cell>
          <cell r="I4794" t="str">
            <v>4 YD 1X WK BUS CMGL 1</v>
          </cell>
        </row>
        <row r="4795">
          <cell r="H4795" t="str">
            <v>FL004.0Y1W001SCMGL</v>
          </cell>
          <cell r="I4795" t="str">
            <v>4 YD 1X WK SCH CMGL 1</v>
          </cell>
        </row>
        <row r="4796">
          <cell r="H4796" t="str">
            <v>FL004.0Y2W001CMGL</v>
          </cell>
          <cell r="I4796" t="str">
            <v>4 YD 2X WK BUS CMGL 1</v>
          </cell>
        </row>
        <row r="4797">
          <cell r="H4797" t="str">
            <v>FL004.0Y3W001BCMGL</v>
          </cell>
          <cell r="I4797" t="str">
            <v>4 YD 3X WK BUS CMGL 1</v>
          </cell>
        </row>
        <row r="4798">
          <cell r="H4798" t="str">
            <v>FL004.0Y4W001BCMGL</v>
          </cell>
          <cell r="I4798" t="str">
            <v>4 YD 4X WK BUS CMGL 1</v>
          </cell>
        </row>
        <row r="4799">
          <cell r="H4799" t="str">
            <v>FL004.0Y5W001BCMGL</v>
          </cell>
          <cell r="I4799" t="str">
            <v>4 YD 5X WK BUS CMGL 1</v>
          </cell>
        </row>
        <row r="4800">
          <cell r="H4800" t="str">
            <v>FL005.0Y1W001BOCC</v>
          </cell>
          <cell r="I4800" t="str">
            <v>5 YD 1X WK BUS OCC 1</v>
          </cell>
        </row>
        <row r="4801">
          <cell r="H4801" t="str">
            <v>FL005.0Y1W001SOCC</v>
          </cell>
          <cell r="I4801" t="str">
            <v>5 YD 1X WK SCHOOL OCC</v>
          </cell>
        </row>
        <row r="4802">
          <cell r="H4802" t="str">
            <v>FL005.0Y2W001BOCC</v>
          </cell>
          <cell r="I4802" t="str">
            <v>5 YD 2X WK BUS OCC 1</v>
          </cell>
        </row>
        <row r="4803">
          <cell r="H4803" t="str">
            <v>FL005.0Y2W001OCC</v>
          </cell>
          <cell r="I4803" t="str">
            <v>5 YD 2X WK OCC 1</v>
          </cell>
        </row>
        <row r="4804">
          <cell r="H4804" t="str">
            <v>FL005.0Y3W001BOCC</v>
          </cell>
          <cell r="I4804" t="str">
            <v>5 YD 3X WK BUS OCC 1</v>
          </cell>
        </row>
        <row r="4805">
          <cell r="H4805" t="str">
            <v>FL005.0Y4W001BOCC</v>
          </cell>
          <cell r="I4805" t="str">
            <v>5 YD 4X WK BUS OCC 1</v>
          </cell>
        </row>
        <row r="4806">
          <cell r="H4806" t="str">
            <v>FL006.0Y1W001BCMGL</v>
          </cell>
          <cell r="I4806" t="str">
            <v>6 YD 1X WK BUS COMINGLE 1</v>
          </cell>
        </row>
        <row r="4807">
          <cell r="H4807" t="str">
            <v>FL006.0Y1W001SCMGL</v>
          </cell>
          <cell r="I4807" t="str">
            <v>6 YD 1X WK SCHL CMGL 1</v>
          </cell>
        </row>
        <row r="4808">
          <cell r="H4808" t="str">
            <v>FL006.0Y2W001BCMGL</v>
          </cell>
          <cell r="I4808" t="str">
            <v>6 YD 2X WK BUS COMINGLE 1</v>
          </cell>
        </row>
        <row r="4809">
          <cell r="H4809" t="str">
            <v>FL006.0Y3W001BCMGL</v>
          </cell>
          <cell r="I4809" t="str">
            <v>6 YD 3X WK BUS CMGL 1</v>
          </cell>
        </row>
        <row r="4810">
          <cell r="H4810" t="str">
            <v>MFNBINS</v>
          </cell>
          <cell r="I4810" t="str">
            <v>MULTI-FAMILY REC UNIT N/B</v>
          </cell>
        </row>
        <row r="4811">
          <cell r="H4811" t="str">
            <v>MFWBINS</v>
          </cell>
          <cell r="I4811" t="str">
            <v>MULTI-FAMILY REC UNIT W/B</v>
          </cell>
        </row>
        <row r="4812">
          <cell r="H4812" t="str">
            <v>SL064.0G1M001BCMGLIN</v>
          </cell>
          <cell r="I4812" t="str">
            <v>64 GL MTHLY BUS CMGL IN</v>
          </cell>
        </row>
        <row r="4813">
          <cell r="H4813" t="str">
            <v>SL064.0G1W001BCMGLOUT</v>
          </cell>
          <cell r="I4813" t="str">
            <v>64 GL WKLY BUS CMGL OUT</v>
          </cell>
        </row>
        <row r="4814">
          <cell r="H4814" t="str">
            <v>SL064.0GEO001BCMGLOUT</v>
          </cell>
          <cell r="I4814" t="str">
            <v>64 GL EOW BUS CMGL OUT</v>
          </cell>
        </row>
        <row r="4815">
          <cell r="H4815" t="str">
            <v>SL096.0G1M001BCMGLIN</v>
          </cell>
          <cell r="I4815" t="str">
            <v>96 GL MTHLY BUS CMGL IN</v>
          </cell>
        </row>
        <row r="4816">
          <cell r="H4816" t="str">
            <v>SL096.0G1M001BCMGLOUT</v>
          </cell>
          <cell r="I4816" t="str">
            <v>96 GL MTHLY BUS CMGL OUT</v>
          </cell>
        </row>
        <row r="4817">
          <cell r="H4817" t="str">
            <v>SL096.0G1W001BCMGLIN</v>
          </cell>
          <cell r="I4817" t="str">
            <v>96 GL WKLY BUS CMGL IN</v>
          </cell>
        </row>
        <row r="4818">
          <cell r="H4818" t="str">
            <v>SL096.0G1W001BCMGLOUT</v>
          </cell>
          <cell r="I4818" t="str">
            <v>96 GL WKLY BUS CMGL OUT</v>
          </cell>
        </row>
        <row r="4819">
          <cell r="H4819" t="str">
            <v>SL096.0G1W001RECC</v>
          </cell>
          <cell r="I4819" t="str">
            <v xml:space="preserve">96 GL 1X WK RECYCLE COMM </v>
          </cell>
        </row>
        <row r="4820">
          <cell r="H4820" t="str">
            <v>SL096.0G1W001SCMGLIN</v>
          </cell>
          <cell r="I4820" t="str">
            <v>96 GL WKLY SCHL CMGL IN</v>
          </cell>
        </row>
        <row r="4821">
          <cell r="H4821" t="str">
            <v>SL096.0G1W001SCMGLOUT</v>
          </cell>
          <cell r="I4821" t="str">
            <v>96 GL WKLY SCHL CMGL OUT</v>
          </cell>
        </row>
        <row r="4822">
          <cell r="H4822" t="str">
            <v>SL096.0GEO001BCMGLIN</v>
          </cell>
          <cell r="I4822" t="str">
            <v>96 GL EOW BUS CMGL IN</v>
          </cell>
        </row>
        <row r="4823">
          <cell r="H4823" t="str">
            <v>SL096.0GEO001BCMGLOUT</v>
          </cell>
          <cell r="I4823" t="str">
            <v>96 GL EOW BUS CMGL OUT</v>
          </cell>
        </row>
        <row r="4824">
          <cell r="H4824" t="str">
            <v>SL096.0GEO001SCMGLOUT</v>
          </cell>
          <cell r="I4824" t="str">
            <v>96 GL EOW SCHL CMGL OUT</v>
          </cell>
        </row>
        <row r="4825">
          <cell r="H4825" t="str">
            <v>RTRNCART96REC-COMM</v>
          </cell>
          <cell r="I4825" t="str">
            <v>RETURN TRIP 96 GL REC - C</v>
          </cell>
        </row>
        <row r="4826">
          <cell r="H4826" t="str">
            <v>SL096.0GEO001BCMGLOUT</v>
          </cell>
          <cell r="I4826" t="str">
            <v>96 GL EOW BUS CMGL OUT</v>
          </cell>
        </row>
        <row r="4827">
          <cell r="H4827" t="str">
            <v>SP5OCC-COMM</v>
          </cell>
          <cell r="I4827" t="str">
            <v>SPECIAL PICKUP 5 YD OCC -</v>
          </cell>
        </row>
        <row r="4828">
          <cell r="H4828" t="str">
            <v>SPGRAD1REC-COMM</v>
          </cell>
          <cell r="I4828" t="str">
            <v>SPECIAL UNIT GRAD1 REC - COMM</v>
          </cell>
        </row>
        <row r="4829">
          <cell r="H4829" t="str">
            <v>SPGRAD2REC-COMM</v>
          </cell>
          <cell r="I4829" t="str">
            <v>SPECIAL UNIT GRAD2 REC - COMM</v>
          </cell>
        </row>
        <row r="4830">
          <cell r="H4830" t="str">
            <v>CC-KOL</v>
          </cell>
          <cell r="I4830" t="str">
            <v>ONLINE PAYMENT-CC</v>
          </cell>
        </row>
        <row r="4831">
          <cell r="H4831" t="str">
            <v>CCREF-KOL</v>
          </cell>
          <cell r="I4831" t="str">
            <v>CREDIT CARD REFUND</v>
          </cell>
        </row>
        <row r="4832">
          <cell r="H4832" t="str">
            <v>PAY</v>
          </cell>
          <cell r="I4832" t="str">
            <v>PAYMENT THANK YOU</v>
          </cell>
        </row>
        <row r="4833">
          <cell r="H4833" t="str">
            <v>PAY-CFREE</v>
          </cell>
          <cell r="I4833" t="str">
            <v>CHECKFREE PAYMENT</v>
          </cell>
        </row>
        <row r="4834">
          <cell r="H4834" t="str">
            <v>PAY-KOL</v>
          </cell>
          <cell r="I4834" t="str">
            <v>PAYMENT-THANK YOU - OL</v>
          </cell>
        </row>
        <row r="4835">
          <cell r="H4835" t="str">
            <v>PAY-ORCC</v>
          </cell>
          <cell r="I4835" t="str">
            <v>ORCC PAYMENT</v>
          </cell>
        </row>
        <row r="4836">
          <cell r="H4836" t="str">
            <v>PAY-RPPS</v>
          </cell>
          <cell r="I4836" t="str">
            <v>RPPS MASTERCARD PAYMENT</v>
          </cell>
        </row>
        <row r="4837">
          <cell r="H4837" t="str">
            <v>PAYICT</v>
          </cell>
          <cell r="I4837" t="str">
            <v>I/C PAYMENT THANK YOU</v>
          </cell>
        </row>
        <row r="4838">
          <cell r="H4838" t="str">
            <v>PAYMET</v>
          </cell>
          <cell r="I4838" t="str">
            <v>METAVANTE ONLINE PAYMENT</v>
          </cell>
        </row>
        <row r="4839">
          <cell r="H4839" t="str">
            <v>PAYUSBL</v>
          </cell>
          <cell r="I4839" t="str">
            <v>PAYMENT THANK YOU</v>
          </cell>
        </row>
        <row r="4840">
          <cell r="H4840" t="str">
            <v>RET-KOL</v>
          </cell>
          <cell r="I4840" t="str">
            <v>ONLINE PAYMENT RETURN</v>
          </cell>
        </row>
        <row r="4841">
          <cell r="H4841" t="str">
            <v>CC-KOL</v>
          </cell>
          <cell r="I4841" t="str">
            <v>ONLINE PAYMENT-CC</v>
          </cell>
        </row>
        <row r="4842">
          <cell r="H4842" t="str">
            <v>CCREF-KOL</v>
          </cell>
          <cell r="I4842" t="str">
            <v>CREDIT CARD REFUND</v>
          </cell>
        </row>
        <row r="4843">
          <cell r="H4843" t="str">
            <v>PAY</v>
          </cell>
          <cell r="I4843" t="str">
            <v>PAYMENT THANK YOU</v>
          </cell>
        </row>
        <row r="4844">
          <cell r="H4844" t="str">
            <v>PAY-CFREE</v>
          </cell>
          <cell r="I4844" t="str">
            <v>CHECKFREE PAYMENT</v>
          </cell>
        </row>
        <row r="4845">
          <cell r="H4845" t="str">
            <v>PAY-KOL</v>
          </cell>
          <cell r="I4845" t="str">
            <v>PAYMENT-THANK YOU - OL</v>
          </cell>
        </row>
        <row r="4846">
          <cell r="H4846" t="str">
            <v>PAY-OAK</v>
          </cell>
          <cell r="I4846" t="str">
            <v>OAKLEAF PAYMENT</v>
          </cell>
        </row>
        <row r="4847">
          <cell r="H4847" t="str">
            <v>PAY-ORCC</v>
          </cell>
          <cell r="I4847" t="str">
            <v>ORCC PAYMENT</v>
          </cell>
        </row>
        <row r="4848">
          <cell r="H4848" t="str">
            <v>PAY-RPPS</v>
          </cell>
          <cell r="I4848" t="str">
            <v>RPPS MASTERCARD PAYMENT</v>
          </cell>
        </row>
        <row r="4849">
          <cell r="H4849" t="str">
            <v>PAYMET</v>
          </cell>
          <cell r="I4849" t="str">
            <v>METAVANTE ONLINE PAYMENT</v>
          </cell>
        </row>
        <row r="4850">
          <cell r="H4850" t="str">
            <v>PAYUSBL</v>
          </cell>
          <cell r="I4850" t="str">
            <v>PAYMENT THANK YOU</v>
          </cell>
        </row>
        <row r="4851">
          <cell r="H4851" t="str">
            <v>RET-KOL</v>
          </cell>
          <cell r="I4851" t="str">
            <v>ONLINE PAYMENT RETURN</v>
          </cell>
        </row>
        <row r="4852">
          <cell r="H4852" t="str">
            <v>CC-KOL</v>
          </cell>
          <cell r="I4852" t="str">
            <v>ONLINE PAYMENT-CC</v>
          </cell>
        </row>
        <row r="4853">
          <cell r="H4853" t="str">
            <v>CCREF-KOL</v>
          </cell>
          <cell r="I4853" t="str">
            <v>CREDIT CARD REFUND</v>
          </cell>
        </row>
        <row r="4854">
          <cell r="H4854" t="str">
            <v>PAY</v>
          </cell>
          <cell r="I4854" t="str">
            <v>PAYMENT THANK YOU</v>
          </cell>
        </row>
        <row r="4855">
          <cell r="H4855" t="str">
            <v>PAY-CFREE</v>
          </cell>
          <cell r="I4855" t="str">
            <v>CHECKFREE PAYMENT</v>
          </cell>
        </row>
        <row r="4856">
          <cell r="H4856" t="str">
            <v>PAY-KOL</v>
          </cell>
          <cell r="I4856" t="str">
            <v>PAYMENT-THANK YOU - OL</v>
          </cell>
        </row>
        <row r="4857">
          <cell r="H4857" t="str">
            <v>PAY-NATL</v>
          </cell>
          <cell r="I4857" t="str">
            <v>PAYMENT THANK YOU</v>
          </cell>
        </row>
        <row r="4858">
          <cell r="H4858" t="str">
            <v>PAY-OAK</v>
          </cell>
          <cell r="I4858" t="str">
            <v>OAKLEAF PAYMENT</v>
          </cell>
        </row>
        <row r="4859">
          <cell r="H4859" t="str">
            <v>PAY-ORCC</v>
          </cell>
          <cell r="I4859" t="str">
            <v>ORCC PAYMENT</v>
          </cell>
        </row>
        <row r="4860">
          <cell r="H4860" t="str">
            <v>PAY-RPPS</v>
          </cell>
          <cell r="I4860" t="str">
            <v>RPPS MASTERCARD PAYMENT</v>
          </cell>
        </row>
        <row r="4861">
          <cell r="H4861" t="str">
            <v>PAYEFT</v>
          </cell>
          <cell r="I4861" t="str">
            <v>EFT PAYMENT</v>
          </cell>
        </row>
        <row r="4862">
          <cell r="H4862" t="str">
            <v>PAYICLRI</v>
          </cell>
          <cell r="I4862" t="str">
            <v>PAYMENT THANK YOU</v>
          </cell>
        </row>
        <row r="4863">
          <cell r="H4863" t="str">
            <v>PAYICT</v>
          </cell>
          <cell r="I4863" t="str">
            <v>I/C PAYMENT THANK YOU</v>
          </cell>
        </row>
        <row r="4864">
          <cell r="H4864" t="str">
            <v>PAYMET</v>
          </cell>
          <cell r="I4864" t="str">
            <v>METAVANTE ONLINE PAYMENT</v>
          </cell>
        </row>
        <row r="4865">
          <cell r="H4865" t="str">
            <v>PAYUSBL</v>
          </cell>
          <cell r="I4865" t="str">
            <v>PAYMENT THANK YOU</v>
          </cell>
        </row>
        <row r="4866">
          <cell r="H4866" t="str">
            <v>RET-KOL</v>
          </cell>
          <cell r="I4866" t="str">
            <v>ONLINE PAYMENT RETURN</v>
          </cell>
        </row>
        <row r="4867">
          <cell r="H4867" t="str">
            <v>CC-KOL</v>
          </cell>
          <cell r="I4867" t="str">
            <v>ONLINE PAYMENT-CC</v>
          </cell>
        </row>
        <row r="4868">
          <cell r="H4868" t="str">
            <v>ACCESS-RES</v>
          </cell>
          <cell r="I4868" t="str">
            <v>ACCESS FEE - RES</v>
          </cell>
        </row>
        <row r="4869">
          <cell r="H4869" t="str">
            <v>DRIVEIN-RES</v>
          </cell>
          <cell r="I4869" t="str">
            <v>DRIVE IN SERVICE - RES</v>
          </cell>
        </row>
        <row r="4870">
          <cell r="H4870" t="str">
            <v>DRIVEIN1-RES</v>
          </cell>
          <cell r="I4870" t="str">
            <v>DRIVE IN 1 - RES</v>
          </cell>
        </row>
        <row r="4871">
          <cell r="H4871" t="str">
            <v>DRIVEIN2-RES</v>
          </cell>
          <cell r="I4871" t="str">
            <v>DRIVE IN 2 - RES</v>
          </cell>
        </row>
        <row r="4872">
          <cell r="H4872" t="str">
            <v>DRIVEIN4-RES</v>
          </cell>
          <cell r="I4872" t="str">
            <v>DRIVE IN 4 - RES</v>
          </cell>
        </row>
        <row r="4873">
          <cell r="H4873" t="str">
            <v>DRIVEINMUL-RES</v>
          </cell>
          <cell r="I4873" t="str">
            <v>DRIVE IN SVC MULTIPLE</v>
          </cell>
        </row>
        <row r="4874">
          <cell r="H4874" t="str">
            <v>EMPLOYEER</v>
          </cell>
          <cell r="I4874" t="str">
            <v>EMPLOYEE SERVICE RES</v>
          </cell>
        </row>
        <row r="4875">
          <cell r="H4875" t="str">
            <v>GWRES</v>
          </cell>
          <cell r="I4875" t="str">
            <v>GREENWASTE SERVICE - RES</v>
          </cell>
        </row>
        <row r="4876">
          <cell r="H4876" t="str">
            <v>RECBINONLYR</v>
          </cell>
          <cell r="I4876" t="str">
            <v>RECYCLE SERVICE ONLY</v>
          </cell>
        </row>
        <row r="4877">
          <cell r="H4877" t="str">
            <v>RECPROGADJ-RES</v>
          </cell>
          <cell r="I4877" t="str">
            <v>RECYCLING PROGRAM ADJUSTM</v>
          </cell>
        </row>
        <row r="4878">
          <cell r="H4878" t="str">
            <v>RECVALRES</v>
          </cell>
          <cell r="I4878" t="str">
            <v>RECYCLABLES VALUE - RES</v>
          </cell>
        </row>
        <row r="4879">
          <cell r="H4879" t="str">
            <v>RL020.0G1W001</v>
          </cell>
          <cell r="I4879" t="str">
            <v>20 GL 1X WK 1</v>
          </cell>
        </row>
        <row r="4880">
          <cell r="H4880" t="str">
            <v>RL032.0G1M001NOREC</v>
          </cell>
          <cell r="I4880" t="str">
            <v>32 GL 1X MO NO RECY 1</v>
          </cell>
        </row>
        <row r="4881">
          <cell r="H4881" t="str">
            <v>RL032.0G1M001WREC</v>
          </cell>
          <cell r="I4881" t="str">
            <v>32 GL 1X MO W/RECY 1</v>
          </cell>
        </row>
        <row r="4882">
          <cell r="H4882" t="str">
            <v>RL032.0G1W001NOREC</v>
          </cell>
          <cell r="I4882" t="str">
            <v>32 GL 1X WK NO RECY 1</v>
          </cell>
        </row>
        <row r="4883">
          <cell r="H4883" t="str">
            <v>RL032.0G1W001WREC</v>
          </cell>
          <cell r="I4883" t="str">
            <v>32 GL 1X WK W/RECY 1</v>
          </cell>
        </row>
        <row r="4884">
          <cell r="H4884" t="str">
            <v>RL032.0G1W002NOREC</v>
          </cell>
          <cell r="I4884" t="str">
            <v>32 GL 1X WK NO RECY 2</v>
          </cell>
        </row>
        <row r="4885">
          <cell r="H4885" t="str">
            <v>RL032.0G1W002WREC</v>
          </cell>
          <cell r="I4885" t="str">
            <v>32 GL 1X WK W/RECY 2</v>
          </cell>
        </row>
        <row r="4886">
          <cell r="H4886" t="str">
            <v>RL032.0G1W003WREC</v>
          </cell>
          <cell r="I4886" t="str">
            <v>32 GL 1X WK W/RECY 3</v>
          </cell>
        </row>
        <row r="4887">
          <cell r="H4887" t="str">
            <v>SL035.0G1M001WREC</v>
          </cell>
          <cell r="I4887" t="str">
            <v>35 GL 1X MO W/RECY 1</v>
          </cell>
        </row>
        <row r="4888">
          <cell r="H4888" t="str">
            <v>SL035.0G1W001NOREC</v>
          </cell>
          <cell r="I4888" t="str">
            <v>35 GL 1X WK NO RECY 1</v>
          </cell>
        </row>
        <row r="4889">
          <cell r="H4889" t="str">
            <v>SL035.0G1W001WREC</v>
          </cell>
          <cell r="I4889" t="str">
            <v>35 GL 1X WK W/ RECY 1</v>
          </cell>
        </row>
        <row r="4890">
          <cell r="H4890" t="str">
            <v>SL035.0G1W002WREC</v>
          </cell>
          <cell r="I4890" t="str">
            <v>35 GL 1X WK W/RECY 2</v>
          </cell>
        </row>
        <row r="4891">
          <cell r="H4891" t="str">
            <v>SL035.0GEO001NOREC</v>
          </cell>
          <cell r="I4891" t="str">
            <v>35 GL EOW NO RECY 1</v>
          </cell>
        </row>
        <row r="4892">
          <cell r="H4892" t="str">
            <v>SL035.0GEO001WREC</v>
          </cell>
          <cell r="I4892" t="str">
            <v>35 GL EOW W/RECY 1</v>
          </cell>
        </row>
        <row r="4893">
          <cell r="H4893" t="str">
            <v>SL065.0G1M001</v>
          </cell>
          <cell r="I4893" t="str">
            <v>65 GL 1X MO 1</v>
          </cell>
        </row>
        <row r="4894">
          <cell r="H4894" t="str">
            <v>SL065.0G1M001NOREC</v>
          </cell>
          <cell r="I4894" t="str">
            <v>65 GL 1X MO NO RECY 1</v>
          </cell>
        </row>
        <row r="4895">
          <cell r="H4895" t="str">
            <v>SL065.0G1M001WREC</v>
          </cell>
          <cell r="I4895" t="str">
            <v>65 GL 1X MO W/RECY 1</v>
          </cell>
        </row>
        <row r="4896">
          <cell r="H4896" t="str">
            <v>SL065.0G1W001NOREC</v>
          </cell>
          <cell r="I4896" t="str">
            <v>65 GL 1X WK NO RECY 1</v>
          </cell>
        </row>
        <row r="4897">
          <cell r="H4897" t="str">
            <v>SL065.0G1W001WREC</v>
          </cell>
          <cell r="I4897" t="str">
            <v>65 GL 1X WK W/RECY 1</v>
          </cell>
        </row>
        <row r="4898">
          <cell r="H4898" t="str">
            <v>SL065.0GEO001NOREC</v>
          </cell>
          <cell r="I4898" t="str">
            <v>65 GL EOW NO RECY 1</v>
          </cell>
        </row>
        <row r="4899">
          <cell r="H4899" t="str">
            <v>SL065.0GEO001WREC</v>
          </cell>
          <cell r="I4899" t="str">
            <v>65 GL EOW W/RECY 1</v>
          </cell>
        </row>
        <row r="4900">
          <cell r="H4900" t="str">
            <v>SL095.0G1M001NOREC</v>
          </cell>
          <cell r="I4900" t="str">
            <v>95 GL 1X MO NO RECY 1</v>
          </cell>
        </row>
        <row r="4901">
          <cell r="H4901" t="str">
            <v>SL095.0G1M001WREC</v>
          </cell>
          <cell r="I4901" t="str">
            <v>95 GL 1X MO W/RECY 1</v>
          </cell>
        </row>
        <row r="4902">
          <cell r="H4902" t="str">
            <v>SL095.0G1W001NOREC</v>
          </cell>
          <cell r="I4902" t="str">
            <v>95 GL 1X WK NO RECY 1</v>
          </cell>
        </row>
        <row r="4903">
          <cell r="H4903" t="str">
            <v>SL095.0G1W001WREC</v>
          </cell>
          <cell r="I4903" t="str">
            <v>95 GL 1X WK W/RECY 1</v>
          </cell>
        </row>
        <row r="4904">
          <cell r="H4904" t="str">
            <v>SL095.0GEO001NOREC</v>
          </cell>
          <cell r="I4904" t="str">
            <v>95 GL EOW NO RECY 1</v>
          </cell>
        </row>
        <row r="4905">
          <cell r="H4905" t="str">
            <v>SL095.0GEO001WREC</v>
          </cell>
          <cell r="I4905" t="str">
            <v>95 GL EOW W/RECY 1</v>
          </cell>
        </row>
        <row r="4906">
          <cell r="H4906" t="str">
            <v>WI1-RES</v>
          </cell>
          <cell r="I4906" t="str">
            <v>WALK IN 6-25' - RES</v>
          </cell>
        </row>
        <row r="4907">
          <cell r="H4907" t="str">
            <v>WI2-RES</v>
          </cell>
          <cell r="I4907" t="str">
            <v>WALK IN 26-50' - RES</v>
          </cell>
        </row>
        <row r="4908">
          <cell r="H4908" t="str">
            <v>ADJ-RES</v>
          </cell>
          <cell r="I4908" t="str">
            <v>ADJUSTMENT SERVICE - RES</v>
          </cell>
        </row>
        <row r="4909">
          <cell r="H4909" t="str">
            <v>BULKY-RES</v>
          </cell>
          <cell r="I4909" t="str">
            <v>BULKY ITEM PICK UP - RES</v>
          </cell>
        </row>
        <row r="4910">
          <cell r="H4910" t="str">
            <v>EP96GWC-RES</v>
          </cell>
          <cell r="I4910" t="str">
            <v>EXTRA PICK UP 96 GW - RES</v>
          </cell>
        </row>
        <row r="4911">
          <cell r="H4911" t="str">
            <v>EXTRA-RES</v>
          </cell>
          <cell r="I4911" t="str">
            <v>EXTRA CAN, BAG, BOX - RES</v>
          </cell>
        </row>
        <row r="4912">
          <cell r="H4912" t="str">
            <v>EXTRA95-RES</v>
          </cell>
          <cell r="I4912" t="str">
            <v>EXTRA 95 GL RES</v>
          </cell>
        </row>
        <row r="4913">
          <cell r="H4913" t="str">
            <v>EXTRAGWC-RES</v>
          </cell>
          <cell r="I4913" t="str">
            <v>EXTRA GREENWASTE FEE - RE</v>
          </cell>
        </row>
        <row r="4914">
          <cell r="H4914" t="str">
            <v>GWRES</v>
          </cell>
          <cell r="I4914" t="str">
            <v>GREENWASTE SERVICE - RES</v>
          </cell>
        </row>
        <row r="4915">
          <cell r="H4915" t="str">
            <v>OC-RES</v>
          </cell>
          <cell r="I4915" t="str">
            <v>ON CALL SERVICE - RES</v>
          </cell>
        </row>
        <row r="4916">
          <cell r="H4916" t="str">
            <v>OW-RES</v>
          </cell>
          <cell r="I4916" t="str">
            <v>OVERFILL / OVERWEIGHT CAN</v>
          </cell>
        </row>
        <row r="4917">
          <cell r="H4917" t="str">
            <v>RECBINONLYR</v>
          </cell>
          <cell r="I4917" t="str">
            <v>RECYCLE SERVICE ONLY</v>
          </cell>
        </row>
        <row r="4918">
          <cell r="H4918" t="str">
            <v>RECPROGADJ-RES</v>
          </cell>
          <cell r="I4918" t="str">
            <v>RECYCLING PROGRAM ADJUSTM</v>
          </cell>
        </row>
        <row r="4919">
          <cell r="H4919" t="str">
            <v>RECVALRES</v>
          </cell>
          <cell r="I4919" t="str">
            <v>RECYCLABLES VALUE - RES</v>
          </cell>
        </row>
        <row r="4920">
          <cell r="H4920" t="str">
            <v>REINSTATE-RES</v>
          </cell>
          <cell r="I4920" t="str">
            <v>REINSTATE FEE - RES</v>
          </cell>
        </row>
        <row r="4921">
          <cell r="H4921" t="str">
            <v>RTRNCART65-RES</v>
          </cell>
          <cell r="I4921" t="str">
            <v>RETURN TRIP 65 GL - RES</v>
          </cell>
        </row>
        <row r="4922">
          <cell r="H4922" t="str">
            <v>RTRNCART95-RES</v>
          </cell>
          <cell r="I4922" t="str">
            <v>RETURN TRIP 95 GL - RES</v>
          </cell>
        </row>
        <row r="4923">
          <cell r="H4923" t="str">
            <v>RTRNCART96REC-RES</v>
          </cell>
          <cell r="I4923" t="str">
            <v>RETURN TRIP 96 GL REC - RES</v>
          </cell>
        </row>
        <row r="4924">
          <cell r="H4924" t="str">
            <v>SL065.0G1M001WREC</v>
          </cell>
          <cell r="I4924" t="str">
            <v>65 GL 1X MO W/RECY 1</v>
          </cell>
        </row>
        <row r="4925">
          <cell r="H4925" t="str">
            <v>SL065.0G1W001WREC</v>
          </cell>
          <cell r="I4925" t="str">
            <v>65 GL 1X WK W/RECY 1</v>
          </cell>
        </row>
        <row r="4926">
          <cell r="H4926" t="str">
            <v>SL065.0GEO001WREC</v>
          </cell>
          <cell r="I4926" t="str">
            <v>65 GL EOW W/RECY 1</v>
          </cell>
        </row>
        <row r="4927">
          <cell r="H4927" t="str">
            <v>TIME-RES</v>
          </cell>
          <cell r="I4927" t="str">
            <v>TIME FEE 1 - RES</v>
          </cell>
        </row>
        <row r="4928">
          <cell r="H4928" t="str">
            <v>DRIVEIN-RES</v>
          </cell>
          <cell r="I4928" t="str">
            <v>DRIVE IN SERVICE - RES</v>
          </cell>
        </row>
        <row r="4929">
          <cell r="H4929" t="str">
            <v>GWRES</v>
          </cell>
          <cell r="I4929" t="str">
            <v>GREENWASTE SERVICE - RES</v>
          </cell>
        </row>
        <row r="4930">
          <cell r="H4930" t="str">
            <v>RECBINONLYR</v>
          </cell>
          <cell r="I4930" t="str">
            <v>RECYCLE SERVICE ONLY</v>
          </cell>
        </row>
        <row r="4931">
          <cell r="H4931" t="str">
            <v>RECPROGADJ-RES</v>
          </cell>
          <cell r="I4931" t="str">
            <v>RECYCLING PROGRAM ADJUSTM</v>
          </cell>
        </row>
        <row r="4932">
          <cell r="H4932" t="str">
            <v>RECVALRES</v>
          </cell>
          <cell r="I4932" t="str">
            <v>RECYCLABLES VALUE - RES</v>
          </cell>
        </row>
        <row r="4933">
          <cell r="H4933" t="str">
            <v>RL032.0G1M001WREC</v>
          </cell>
          <cell r="I4933" t="str">
            <v>32 GL 1X MO W/RECY 1</v>
          </cell>
        </row>
        <row r="4934">
          <cell r="H4934" t="str">
            <v>RL032.0G1W001WREC</v>
          </cell>
          <cell r="I4934" t="str">
            <v>32 GL 1X WK W/RECY 1</v>
          </cell>
        </row>
        <row r="4935">
          <cell r="H4935" t="str">
            <v>RL032.0G1W002WREC</v>
          </cell>
          <cell r="I4935" t="str">
            <v>32 GL 1X WK W/RECY 2</v>
          </cell>
        </row>
        <row r="4936">
          <cell r="H4936" t="str">
            <v>SL035.0G1W001WREC</v>
          </cell>
          <cell r="I4936" t="str">
            <v>35 GL 1X WK W/ RECY 1</v>
          </cell>
        </row>
        <row r="4937">
          <cell r="H4937" t="str">
            <v>SL035.0GEO001WREC</v>
          </cell>
          <cell r="I4937" t="str">
            <v>35 GL EOW W/RECY 1</v>
          </cell>
        </row>
        <row r="4938">
          <cell r="H4938" t="str">
            <v>SL065.0G1M001WREC</v>
          </cell>
          <cell r="I4938" t="str">
            <v>65 GL 1X MO W/RECY 1</v>
          </cell>
        </row>
        <row r="4939">
          <cell r="H4939" t="str">
            <v>SL065.0G1W001NOREC</v>
          </cell>
          <cell r="I4939" t="str">
            <v>65 GL 1X WK NO RECY 1</v>
          </cell>
        </row>
        <row r="4940">
          <cell r="H4940" t="str">
            <v>SL065.0G1W001WREC</v>
          </cell>
          <cell r="I4940" t="str">
            <v>65 GL 1X WK W/RECY 1</v>
          </cell>
        </row>
        <row r="4941">
          <cell r="H4941" t="str">
            <v>SL065.0GEO001NOREC</v>
          </cell>
          <cell r="I4941" t="str">
            <v>65 GL EOW NO RECY 1</v>
          </cell>
        </row>
        <row r="4942">
          <cell r="H4942" t="str">
            <v>SL065.0GEO001WREC</v>
          </cell>
          <cell r="I4942" t="str">
            <v>65 GL EOW W/RECY 1</v>
          </cell>
        </row>
        <row r="4943">
          <cell r="H4943" t="str">
            <v>SL095.0G1M001WREC</v>
          </cell>
          <cell r="I4943" t="str">
            <v>95 GL 1X MO W/RECY 1</v>
          </cell>
        </row>
        <row r="4944">
          <cell r="H4944" t="str">
            <v>SL095.0G1W001NOREC</v>
          </cell>
          <cell r="I4944" t="str">
            <v>95 GL 1X WK NO RECY 1</v>
          </cell>
        </row>
        <row r="4945">
          <cell r="H4945" t="str">
            <v>SL095.0G1W001WREC</v>
          </cell>
          <cell r="I4945" t="str">
            <v>95 GL 1X WK W/RECY 1</v>
          </cell>
        </row>
        <row r="4946">
          <cell r="H4946" t="str">
            <v>SL095.0GEO001WREC</v>
          </cell>
          <cell r="I4946" t="str">
            <v>95 GL EOW W/RECY 1</v>
          </cell>
        </row>
        <row r="4947">
          <cell r="H4947" t="str">
            <v>WI1-RES</v>
          </cell>
          <cell r="I4947" t="str">
            <v>WALK IN 6-25' - RES</v>
          </cell>
        </row>
        <row r="4948">
          <cell r="H4948" t="str">
            <v>ADJ-RES</v>
          </cell>
          <cell r="I4948" t="str">
            <v>ADJUSTMENT SERVICE - RES</v>
          </cell>
        </row>
        <row r="4949">
          <cell r="H4949" t="str">
            <v>BULKY-RES</v>
          </cell>
          <cell r="I4949" t="str">
            <v>BULKY ITEM PICK UP - RES</v>
          </cell>
        </row>
        <row r="4950">
          <cell r="H4950" t="str">
            <v>EP96GWC-RES</v>
          </cell>
          <cell r="I4950" t="str">
            <v>EXTRA PICK UP 96 GW - RES</v>
          </cell>
        </row>
        <row r="4951">
          <cell r="H4951" t="str">
            <v>EXTRA-RES</v>
          </cell>
          <cell r="I4951" t="str">
            <v>EXTRA CAN, BAG, BOX - RES</v>
          </cell>
        </row>
        <row r="4952">
          <cell r="H4952" t="str">
            <v>EXTRA95-RES</v>
          </cell>
          <cell r="I4952" t="str">
            <v>EXTRA 95 GL RES</v>
          </cell>
        </row>
        <row r="4953">
          <cell r="H4953" t="str">
            <v>EXTRAGWC-RES</v>
          </cell>
          <cell r="I4953" t="str">
            <v>EXTRA GREENWASTE FEE - RE</v>
          </cell>
        </row>
        <row r="4954">
          <cell r="H4954" t="str">
            <v>GWRES</v>
          </cell>
          <cell r="I4954" t="str">
            <v>GREENWASTE SERVICE - RES</v>
          </cell>
        </row>
        <row r="4955">
          <cell r="H4955" t="str">
            <v>OC-RES</v>
          </cell>
          <cell r="I4955" t="str">
            <v>ON CALL SERVICE - RES</v>
          </cell>
        </row>
        <row r="4956">
          <cell r="H4956" t="str">
            <v>OW-RES</v>
          </cell>
          <cell r="I4956" t="str">
            <v>OVERFILL / OVERWEIGHT CAN</v>
          </cell>
        </row>
        <row r="4957">
          <cell r="H4957" t="str">
            <v>RECBINONLYR</v>
          </cell>
          <cell r="I4957" t="str">
            <v>RECYCLE SERVICE ONLY</v>
          </cell>
        </row>
        <row r="4958">
          <cell r="H4958" t="str">
            <v>RECPROGADJ-RES</v>
          </cell>
          <cell r="I4958" t="str">
            <v>RECYCLING PROGRAM ADJUSTM</v>
          </cell>
        </row>
        <row r="4959">
          <cell r="H4959" t="str">
            <v>RECVALRES</v>
          </cell>
          <cell r="I4959" t="str">
            <v>RECYCLABLES VALUE - RES</v>
          </cell>
        </row>
        <row r="4960">
          <cell r="H4960" t="str">
            <v>REINSTATE-RES</v>
          </cell>
          <cell r="I4960" t="str">
            <v>REINSTATE FEE - RES</v>
          </cell>
        </row>
        <row r="4961">
          <cell r="H4961" t="str">
            <v>RTRNCART32-RES</v>
          </cell>
          <cell r="I4961" t="str">
            <v>RETURN TRIP 32 GL - RES</v>
          </cell>
        </row>
        <row r="4962">
          <cell r="H4962" t="str">
            <v>RTRNCART65-RES</v>
          </cell>
          <cell r="I4962" t="str">
            <v>RETURN TRIP 65 GL - RES</v>
          </cell>
        </row>
        <row r="4963">
          <cell r="H4963" t="str">
            <v>RTRNCART95-RES</v>
          </cell>
          <cell r="I4963" t="str">
            <v>RETURN TRIP 95 GL - RES</v>
          </cell>
        </row>
        <row r="4964">
          <cell r="H4964" t="str">
            <v>RTRNCART96REC-RES</v>
          </cell>
          <cell r="I4964" t="str">
            <v>RETURN TRIP 96 GL REC - RES</v>
          </cell>
        </row>
        <row r="4965">
          <cell r="H4965" t="str">
            <v>SL035.0G1M001WREC</v>
          </cell>
          <cell r="I4965" t="str">
            <v>35 GL 1X MO W/RECY 1</v>
          </cell>
        </row>
        <row r="4966">
          <cell r="H4966" t="str">
            <v>SL035.0G1W001WREC</v>
          </cell>
          <cell r="I4966" t="str">
            <v>35 GL 1X WK W/ RECY 1</v>
          </cell>
        </row>
        <row r="4967">
          <cell r="H4967" t="str">
            <v>SL065.0G1M001WREC</v>
          </cell>
          <cell r="I4967" t="str">
            <v>65 GL 1X MO W/RECY 1</v>
          </cell>
        </row>
        <row r="4968">
          <cell r="H4968" t="str">
            <v>SL065.0G1W001WREC</v>
          </cell>
          <cell r="I4968" t="str">
            <v>65 GL 1X WK W/RECY 1</v>
          </cell>
        </row>
        <row r="4969">
          <cell r="H4969" t="str">
            <v>SL065.0GEO001WREC</v>
          </cell>
          <cell r="I4969" t="str">
            <v>65 GL EOW W/RECY 1</v>
          </cell>
        </row>
        <row r="4970">
          <cell r="H4970" t="str">
            <v>SL095.0G1W001WREC</v>
          </cell>
          <cell r="I4970" t="str">
            <v>95 GL 1X WK W/RECY 1</v>
          </cell>
        </row>
        <row r="4971">
          <cell r="H4971" t="str">
            <v>SL095.0GEO001WREC</v>
          </cell>
          <cell r="I4971" t="str">
            <v>95 GL EOW W/RECY 1</v>
          </cell>
        </row>
        <row r="4972">
          <cell r="H4972" t="str">
            <v>TIME-RES</v>
          </cell>
          <cell r="I4972" t="str">
            <v>TIME FEE 1 - RES</v>
          </cell>
        </row>
        <row r="4973">
          <cell r="H4973" t="str">
            <v>EMPLOYEER</v>
          </cell>
          <cell r="I4973" t="str">
            <v>EMPLOYEE SERVICE RES</v>
          </cell>
        </row>
        <row r="4974">
          <cell r="H4974" t="str">
            <v>GWRES</v>
          </cell>
          <cell r="I4974" t="str">
            <v>GREENWASTE SERVICE - RES</v>
          </cell>
        </row>
        <row r="4975">
          <cell r="H4975" t="str">
            <v>SL035.0G1W001WREC</v>
          </cell>
          <cell r="I4975" t="str">
            <v>35 GL 1X WK W/ RECY 1</v>
          </cell>
        </row>
        <row r="4976">
          <cell r="H4976" t="str">
            <v>SL065.0G1W001NOREC</v>
          </cell>
          <cell r="I4976" t="str">
            <v>65 GL 1X WK NO RECY 1</v>
          </cell>
        </row>
        <row r="4977">
          <cell r="H4977" t="str">
            <v>SL065.0G1W001WREC</v>
          </cell>
          <cell r="I4977" t="str">
            <v>65 GL 1X WK W/RECY 1</v>
          </cell>
        </row>
        <row r="4978">
          <cell r="H4978" t="str">
            <v>SL095.0G1W001WREC</v>
          </cell>
          <cell r="I4978" t="str">
            <v>95 GL 1X WK W/RECY 1</v>
          </cell>
        </row>
        <row r="4979">
          <cell r="H4979" t="str">
            <v>BULKY-RES</v>
          </cell>
          <cell r="I4979" t="str">
            <v>BULKY ITEM PICK UP - RES</v>
          </cell>
        </row>
        <row r="4980">
          <cell r="H4980" t="str">
            <v>DISP-RES</v>
          </cell>
          <cell r="I4980" t="str">
            <v>DISPOSAL FEE -RES</v>
          </cell>
        </row>
        <row r="4981">
          <cell r="H4981" t="str">
            <v>DISPCMGL-RES</v>
          </cell>
          <cell r="I4981" t="str">
            <v>DISPOSAL COMINGLE - RES</v>
          </cell>
        </row>
        <row r="4982">
          <cell r="H4982" t="str">
            <v>DISPFEDMSW-RES</v>
          </cell>
          <cell r="I4982" t="str">
            <v>DISPOSAL FEDERAL MSW - RE</v>
          </cell>
        </row>
        <row r="4983">
          <cell r="H4983" t="str">
            <v>DISPGW-RES</v>
          </cell>
          <cell r="I4983" t="str">
            <v>DISPOSAL FEE GREENWASTE -</v>
          </cell>
        </row>
        <row r="4984">
          <cell r="H4984" t="str">
            <v>EXTRA-RES</v>
          </cell>
          <cell r="I4984" t="str">
            <v>EXTRA CAN, BAG, BOX - RES</v>
          </cell>
        </row>
        <row r="4985">
          <cell r="H4985" t="str">
            <v>EXTRA95-RES</v>
          </cell>
          <cell r="I4985" t="str">
            <v>EXTRA 95 GL RES</v>
          </cell>
        </row>
        <row r="4986">
          <cell r="H4986" t="str">
            <v>OC-RES</v>
          </cell>
          <cell r="I4986" t="str">
            <v>ON CALL SERVICE - RES</v>
          </cell>
        </row>
        <row r="4987">
          <cell r="H4987" t="str">
            <v>OW-RES</v>
          </cell>
          <cell r="I4987" t="str">
            <v>OVERFILL / OVERWEIGHT CAN</v>
          </cell>
        </row>
        <row r="4988">
          <cell r="H4988" t="str">
            <v>REINSTATE-RES</v>
          </cell>
          <cell r="I4988" t="str">
            <v>REINSTATE FEE - RES</v>
          </cell>
        </row>
        <row r="4989">
          <cell r="H4989" t="str">
            <v>S45G1W1</v>
          </cell>
          <cell r="I4989" t="str">
            <v>45 GL 1X WK 1</v>
          </cell>
        </row>
        <row r="4990">
          <cell r="H4990" t="str">
            <v>SL035.0G1W001WREC</v>
          </cell>
          <cell r="I4990" t="str">
            <v>35 GL 1X WK W/ RECY 1</v>
          </cell>
        </row>
        <row r="4991">
          <cell r="H4991" t="str">
            <v>SL065.0GEO001WREC</v>
          </cell>
          <cell r="I4991" t="str">
            <v>65 GL EOW W/RECY 1</v>
          </cell>
        </row>
        <row r="4992">
          <cell r="H4992" t="str">
            <v>SL095.0G1W001WREC</v>
          </cell>
          <cell r="I4992" t="str">
            <v>95 GL 1X WK W/RECY 1</v>
          </cell>
        </row>
        <row r="4993">
          <cell r="H4993" t="str">
            <v>DISP-RES</v>
          </cell>
          <cell r="I4993" t="str">
            <v>DISPOSAL FEE -RES</v>
          </cell>
        </row>
        <row r="4994">
          <cell r="H4994" t="str">
            <v>DISPCMGL-RES</v>
          </cell>
          <cell r="I4994" t="str">
            <v>DISPOSAL COMINGLE - RES</v>
          </cell>
        </row>
        <row r="4995">
          <cell r="H4995" t="str">
            <v>DISPGW-RES</v>
          </cell>
          <cell r="I4995" t="str">
            <v>DISPOSAL FEE GREENWASTE -</v>
          </cell>
        </row>
        <row r="4996">
          <cell r="H4996" t="str">
            <v>HAUL20-RO</v>
          </cell>
          <cell r="I4996" t="str">
            <v>HAUL 20 YD - RO</v>
          </cell>
        </row>
        <row r="4997">
          <cell r="H4997" t="str">
            <v>LIDRO</v>
          </cell>
          <cell r="I4997" t="str">
            <v>LID CHARGE - RO</v>
          </cell>
        </row>
        <row r="4998">
          <cell r="H4998" t="str">
            <v>RENT10MO-RO</v>
          </cell>
          <cell r="I4998" t="str">
            <v>RENTAL FEE 10 YD MONTHLY</v>
          </cell>
        </row>
        <row r="4999">
          <cell r="H4999" t="str">
            <v>RENT20MO-RO</v>
          </cell>
          <cell r="I4999" t="str">
            <v>RENTAL FEE 20 YD MONTHLY</v>
          </cell>
        </row>
        <row r="5000">
          <cell r="H5000" t="str">
            <v>RENT20TEMP-RO</v>
          </cell>
          <cell r="I5000" t="str">
            <v>RENTAL FEE 20 YD TEMP - R</v>
          </cell>
        </row>
        <row r="5001">
          <cell r="H5001" t="str">
            <v>RENT30MO-RO</v>
          </cell>
          <cell r="I5001" t="str">
            <v>RENTAL FEE 30 YD MONTHLY</v>
          </cell>
        </row>
        <row r="5002">
          <cell r="H5002" t="str">
            <v>RENT30TEMP-RO</v>
          </cell>
          <cell r="I5002" t="str">
            <v>RENTAL FEE 30 YD TEMP - R</v>
          </cell>
        </row>
        <row r="5003">
          <cell r="H5003" t="str">
            <v>RENT40MO-RO</v>
          </cell>
          <cell r="I5003" t="str">
            <v>RENTAL FEE 40 YD MONTHLY</v>
          </cell>
        </row>
        <row r="5004">
          <cell r="H5004" t="str">
            <v>DEL20-RO</v>
          </cell>
          <cell r="I5004" t="str">
            <v>DELIVERY FEE 20 YD - RO</v>
          </cell>
        </row>
        <row r="5005">
          <cell r="H5005" t="str">
            <v>DEL20TEMP-RO</v>
          </cell>
          <cell r="I5005" t="str">
            <v>DELIVERY FEE 20 YD TEMP -</v>
          </cell>
        </row>
        <row r="5006">
          <cell r="H5006" t="str">
            <v>DEL25-RO</v>
          </cell>
          <cell r="I5006" t="str">
            <v>DELIVERY FEE 25 YD - RO</v>
          </cell>
        </row>
        <row r="5007">
          <cell r="H5007" t="str">
            <v>DEL30TEMP-RO</v>
          </cell>
          <cell r="I5007" t="str">
            <v>DELIVERY FEE 30 YD TEMP -</v>
          </cell>
        </row>
        <row r="5008">
          <cell r="H5008" t="str">
            <v>DEL40TEMP-RO</v>
          </cell>
          <cell r="I5008" t="str">
            <v>DELIVERY FEE 40 YD TEMP -</v>
          </cell>
        </row>
        <row r="5009">
          <cell r="H5009" t="str">
            <v>DISCO-CP</v>
          </cell>
          <cell r="I5009" t="str">
            <v xml:space="preserve">COMPACTOR DISCONNECT FEE </v>
          </cell>
        </row>
        <row r="5010">
          <cell r="H5010" t="str">
            <v>DISP-RO</v>
          </cell>
          <cell r="I5010" t="str">
            <v>DISPOSAL CHARGE - RO</v>
          </cell>
        </row>
        <row r="5011">
          <cell r="H5011" t="str">
            <v>DISPCMGL-RO</v>
          </cell>
          <cell r="I5011" t="str">
            <v xml:space="preserve">DISPOSAL FEE COMMINGLE - </v>
          </cell>
        </row>
        <row r="5012">
          <cell r="H5012" t="str">
            <v>DISPGLASS-RO</v>
          </cell>
          <cell r="I5012" t="str">
            <v>DISPOSAL FEE GLASS - RO</v>
          </cell>
        </row>
        <row r="5013">
          <cell r="H5013" t="str">
            <v>DISPOCC-RO</v>
          </cell>
          <cell r="I5013" t="str">
            <v xml:space="preserve">DISPOSAL FEE CARDBOARD - </v>
          </cell>
        </row>
        <row r="5014">
          <cell r="H5014" t="str">
            <v>DISPTOTERS-RO</v>
          </cell>
          <cell r="I5014" t="str">
            <v>DISPOSAL FEE TOTERS</v>
          </cell>
        </row>
        <row r="5015">
          <cell r="H5015" t="str">
            <v>DISPTRANS-RO</v>
          </cell>
          <cell r="I5015" t="str">
            <v>DISPOSAL FEE TRANSFER HAU</v>
          </cell>
        </row>
        <row r="5016">
          <cell r="H5016" t="str">
            <v>FERRY-RO</v>
          </cell>
          <cell r="I5016" t="str">
            <v>FERRY FEE - RO</v>
          </cell>
        </row>
        <row r="5017">
          <cell r="H5017" t="str">
            <v>FINAL20-RO</v>
          </cell>
          <cell r="I5017" t="str">
            <v>FINAL PULL 20 YD - RO</v>
          </cell>
        </row>
        <row r="5018">
          <cell r="H5018" t="str">
            <v>FINAL20TEMP-RO</v>
          </cell>
          <cell r="I5018" t="str">
            <v>FINAL PULL 20 YD TEMP - R</v>
          </cell>
        </row>
        <row r="5019">
          <cell r="H5019" t="str">
            <v>FINAL30-RO</v>
          </cell>
          <cell r="I5019" t="str">
            <v>FINAL PULL 30 YD - RO</v>
          </cell>
        </row>
        <row r="5020">
          <cell r="H5020" t="str">
            <v>FINAL30TEMP-RO</v>
          </cell>
          <cell r="I5020" t="str">
            <v>FINAL PULL 30 YD TEMP - R</v>
          </cell>
        </row>
        <row r="5021">
          <cell r="H5021" t="str">
            <v>FINAL40-RO</v>
          </cell>
          <cell r="I5021" t="str">
            <v>FINAL PULL 40 YD - RO</v>
          </cell>
        </row>
        <row r="5022">
          <cell r="H5022" t="str">
            <v>FINAL40TEMP-RO</v>
          </cell>
          <cell r="I5022" t="str">
            <v>FINAL PULL 40 YD TEMP - R</v>
          </cell>
        </row>
        <row r="5023">
          <cell r="H5023" t="str">
            <v>HAUL10-CP</v>
          </cell>
          <cell r="I5023" t="str">
            <v>COMPACTOR HAUL 10 YD - RO</v>
          </cell>
        </row>
        <row r="5024">
          <cell r="H5024" t="str">
            <v>HAUL20-CP</v>
          </cell>
          <cell r="I5024" t="str">
            <v>COMPACTOR HAUL 20 YD - RO</v>
          </cell>
        </row>
        <row r="5025">
          <cell r="H5025" t="str">
            <v>HAUL20-RO</v>
          </cell>
          <cell r="I5025" t="str">
            <v>HAUL 20 YD - RO</v>
          </cell>
        </row>
        <row r="5026">
          <cell r="H5026" t="str">
            <v>HAUL20CUST-RO</v>
          </cell>
          <cell r="I5026" t="str">
            <v>HAUL 20 YD CUST - RO</v>
          </cell>
        </row>
        <row r="5027">
          <cell r="H5027" t="str">
            <v>HAUL20TEMP-RO</v>
          </cell>
          <cell r="I5027" t="str">
            <v>HAUL 20 YD TEMP - RO</v>
          </cell>
        </row>
        <row r="5028">
          <cell r="H5028" t="str">
            <v>HAUL25-CP</v>
          </cell>
          <cell r="I5028" t="str">
            <v>COMPACTOR HAUL 25 YD - RO</v>
          </cell>
        </row>
        <row r="5029">
          <cell r="H5029" t="str">
            <v>HAUL30-CP</v>
          </cell>
          <cell r="I5029" t="str">
            <v>COMPACTOR HAUL 30 YD</v>
          </cell>
        </row>
        <row r="5030">
          <cell r="H5030" t="str">
            <v>HAUL30-RO</v>
          </cell>
          <cell r="I5030" t="str">
            <v>HAUL 30 YD - RO</v>
          </cell>
        </row>
        <row r="5031">
          <cell r="H5031" t="str">
            <v>HAUL30TEMP-RO</v>
          </cell>
          <cell r="I5031" t="str">
            <v>HAUL 30 YD TEMP - RO</v>
          </cell>
        </row>
        <row r="5032">
          <cell r="H5032" t="str">
            <v>HAUL40-CP</v>
          </cell>
          <cell r="I5032" t="str">
            <v>COMPACTOR HAUL 40 YD</v>
          </cell>
        </row>
        <row r="5033">
          <cell r="H5033" t="str">
            <v>HAUL40-RO</v>
          </cell>
          <cell r="I5033" t="str">
            <v>HAUL 40 YD - RO</v>
          </cell>
        </row>
        <row r="5034">
          <cell r="H5034" t="str">
            <v>HAUL40TEMP-RO</v>
          </cell>
          <cell r="I5034" t="str">
            <v>HAUL 40 YD TEMP - RO</v>
          </cell>
        </row>
        <row r="5035">
          <cell r="H5035" t="str">
            <v>MILE-RO</v>
          </cell>
          <cell r="I5035" t="str">
            <v>MILEAGE FEE - RO</v>
          </cell>
        </row>
        <row r="5036">
          <cell r="H5036" t="str">
            <v>RENT20TEMP-RO</v>
          </cell>
          <cell r="I5036" t="str">
            <v>RENTAL FEE 20 YD TEMP - R</v>
          </cell>
        </row>
        <row r="5037">
          <cell r="H5037" t="str">
            <v>RENT30TEMP-RO</v>
          </cell>
          <cell r="I5037" t="str">
            <v>RENTAL FEE 30 YD TEMP - R</v>
          </cell>
        </row>
        <row r="5038">
          <cell r="H5038" t="str">
            <v>RENT40TEMP-RO</v>
          </cell>
          <cell r="I5038" t="str">
            <v>RENTAL FEE 40 YD TEMP - R</v>
          </cell>
        </row>
        <row r="5039">
          <cell r="H5039" t="str">
            <v>RTRNTRIP-RO</v>
          </cell>
          <cell r="I5039" t="str">
            <v>RETURN TRIP FEE - RO</v>
          </cell>
        </row>
        <row r="5040">
          <cell r="H5040" t="str">
            <v>TIME-RO</v>
          </cell>
          <cell r="I5040" t="str">
            <v>TIME FEE - RO</v>
          </cell>
        </row>
        <row r="5041">
          <cell r="H5041" t="str">
            <v>DEL20TEMP-RO</v>
          </cell>
          <cell r="I5041" t="str">
            <v>DELIVERY FEE 20 YD TEMP -</v>
          </cell>
        </row>
        <row r="5042">
          <cell r="H5042" t="str">
            <v>DEL40TEMP-RO</v>
          </cell>
          <cell r="I5042" t="str">
            <v>DELIVERY FEE 40 YD TEMP -</v>
          </cell>
        </row>
        <row r="5043">
          <cell r="H5043" t="str">
            <v>DISP-RO</v>
          </cell>
          <cell r="I5043" t="str">
            <v>DISPOSAL CHARGE - RO</v>
          </cell>
        </row>
        <row r="5044">
          <cell r="H5044" t="str">
            <v>DISPGLASS-RO</v>
          </cell>
          <cell r="I5044" t="str">
            <v>DISPOSAL FEE GLASS - RO</v>
          </cell>
        </row>
        <row r="5045">
          <cell r="H5045" t="str">
            <v>FINAL30TEMP-RO</v>
          </cell>
          <cell r="I5045" t="str">
            <v>FINAL PULL 30 YD TEMP - R</v>
          </cell>
        </row>
        <row r="5046">
          <cell r="H5046" t="str">
            <v>HAUL30-RO</v>
          </cell>
          <cell r="I5046" t="str">
            <v>HAUL 30 YD - RO</v>
          </cell>
        </row>
        <row r="5047">
          <cell r="H5047" t="str">
            <v>RENT20TEMP-RO</v>
          </cell>
          <cell r="I5047" t="str">
            <v>RENTAL FEE 20 YD TEMP - R</v>
          </cell>
        </row>
        <row r="5048">
          <cell r="H5048" t="str">
            <v>RENT30TEMP-RO</v>
          </cell>
          <cell r="I5048" t="str">
            <v>RENTAL FEE 30 YD TEMP - R</v>
          </cell>
        </row>
        <row r="5049">
          <cell r="H5049" t="str">
            <v>COMMODITY SURCHARGE</v>
          </cell>
          <cell r="I5049" t="str">
            <v>COMMODITY SURCHARGE</v>
          </cell>
        </row>
        <row r="5050">
          <cell r="H5050" t="str">
            <v>COMMODITY SURCHARGE</v>
          </cell>
          <cell r="I5050" t="str">
            <v>COMMODITY SURCHARGE</v>
          </cell>
        </row>
        <row r="5051">
          <cell r="H5051" t="str">
            <v>COMMODITY SURCHARGE</v>
          </cell>
          <cell r="I5051" t="str">
            <v>COMMODITY SURCHARGE</v>
          </cell>
        </row>
        <row r="5052">
          <cell r="H5052" t="str">
            <v xml:space="preserve">PIERCE COUNTY REFUSE </v>
          </cell>
          <cell r="I5052" t="str">
            <v>3.6% PIERCE COUNTY REFUSE</v>
          </cell>
        </row>
        <row r="5053">
          <cell r="H5053" t="str">
            <v xml:space="preserve">PIERCE COUNTY REFUSE  </v>
          </cell>
          <cell r="I5053" t="str">
            <v>3.6% PIERCE COUNTY REFUSE</v>
          </cell>
        </row>
        <row r="5054">
          <cell r="H5054" t="str">
            <v>PIERCE REFUSE TAX</v>
          </cell>
          <cell r="I5054" t="str">
            <v>3.6% WA STATE REFUSE TAX</v>
          </cell>
        </row>
        <row r="5055">
          <cell r="H5055" t="str">
            <v>PIERCE COUNTY REFUSE</v>
          </cell>
          <cell r="I5055" t="str">
            <v>3.6% PIERCE COUNTY REFUSE</v>
          </cell>
        </row>
        <row r="5056">
          <cell r="H5056" t="str">
            <v xml:space="preserve">PIERCE COUNTY REFUSE </v>
          </cell>
          <cell r="I5056" t="str">
            <v>3.6% PIERCE COUNTY REFUSE</v>
          </cell>
        </row>
        <row r="5057">
          <cell r="H5057" t="str">
            <v xml:space="preserve">PIERCE COUNTY REFUSE  </v>
          </cell>
          <cell r="I5057" t="str">
            <v>3.6% PIERCE COUNTY REFUSE</v>
          </cell>
        </row>
        <row r="5058">
          <cell r="H5058" t="str">
            <v>PIERCE COUNTY SALES 7.9%</v>
          </cell>
          <cell r="I5058" t="str">
            <v>7.9% WA STATE SALES TAX</v>
          </cell>
        </row>
        <row r="5059">
          <cell r="H5059" t="str">
            <v>PIERCE COUNTY SALES 9.3%</v>
          </cell>
          <cell r="I5059" t="str">
            <v>9.3% WA STATE SALES TAX</v>
          </cell>
        </row>
        <row r="5060">
          <cell r="H5060" t="str">
            <v>PIERCE REFUSE TAX</v>
          </cell>
          <cell r="I5060" t="str">
            <v>3.6% WA STATE REFUSE TAX</v>
          </cell>
        </row>
        <row r="5061">
          <cell r="H5061" t="str">
            <v>PIERCE STATE SALES TAX</v>
          </cell>
          <cell r="I5061" t="str">
            <v>9.9% WA STATE SALES TAX</v>
          </cell>
        </row>
        <row r="5062">
          <cell r="H5062" t="str">
            <v>PIERCE COUNTY SALES 9.3%</v>
          </cell>
          <cell r="I5062" t="str">
            <v>9.3% WA STATE SALES TAX</v>
          </cell>
        </row>
        <row r="5063">
          <cell r="H5063" t="str">
            <v xml:space="preserve">PIERCE COUNTY REFUSE </v>
          </cell>
          <cell r="I5063" t="str">
            <v>3.6% PIERCE COUNTY REFUSE</v>
          </cell>
        </row>
        <row r="5064">
          <cell r="H5064" t="str">
            <v xml:space="preserve">PIERCE COUNTY REFUSE  </v>
          </cell>
          <cell r="I5064" t="str">
            <v>3.6% PIERCE COUNTY REFUSE</v>
          </cell>
        </row>
        <row r="5065">
          <cell r="H5065" t="str">
            <v>PIERCE COUNTY REFUSE</v>
          </cell>
          <cell r="I5065" t="str">
            <v>3.6% PIERCE COUNTY REFUSE</v>
          </cell>
        </row>
        <row r="5066">
          <cell r="H5066" t="str">
            <v>PIERCE REFUSE TAX</v>
          </cell>
          <cell r="I5066" t="str">
            <v>3.6% WA STATE REFUSE TAX</v>
          </cell>
        </row>
        <row r="5067">
          <cell r="H5067" t="str">
            <v>PIERCE STATE SALES TAX</v>
          </cell>
          <cell r="I5067" t="str">
            <v>9.9% WA STATE SALES TAX</v>
          </cell>
        </row>
        <row r="5068">
          <cell r="H5068" t="str">
            <v>PIERCE COUNTY REFUSE</v>
          </cell>
          <cell r="I5068" t="str">
            <v>3.6% PIERCE COUNTY REFUSE</v>
          </cell>
        </row>
        <row r="5069">
          <cell r="H5069" t="str">
            <v xml:space="preserve">PIERCE COUNTY REFUSE  </v>
          </cell>
          <cell r="I5069" t="str">
            <v>3.6% PIERCE COUNTY REFUSE</v>
          </cell>
        </row>
        <row r="5070">
          <cell r="H5070" t="str">
            <v xml:space="preserve">PIERCE COUNTY REFUSE </v>
          </cell>
          <cell r="I5070" t="str">
            <v>3.6% PIERCE COUNTY REFUSE</v>
          </cell>
        </row>
        <row r="5071">
          <cell r="H5071" t="str">
            <v>PIERCE REFUSE TAX</v>
          </cell>
          <cell r="I5071" t="str">
            <v>3.6% WA STATE REFUSE TAX</v>
          </cell>
        </row>
        <row r="5072">
          <cell r="H5072" t="str">
            <v xml:space="preserve">PIERCE COUNTY REFUSE </v>
          </cell>
          <cell r="I5072" t="str">
            <v>3.6% PIERCE COUNTY REFUSE</v>
          </cell>
        </row>
        <row r="5073">
          <cell r="H5073" t="str">
            <v>PIERCE COUNTY REFUSE</v>
          </cell>
          <cell r="I5073" t="str">
            <v>3.6% PIERCE COUNTY REFUSE</v>
          </cell>
        </row>
        <row r="5074">
          <cell r="H5074" t="str">
            <v xml:space="preserve">PIERCE COUNTY REFUSE  </v>
          </cell>
          <cell r="I5074" t="str">
            <v>3.6% PIERCE COUNTY REFUSE</v>
          </cell>
        </row>
        <row r="5075">
          <cell r="H5075" t="str">
            <v>PIERCE REFUSE TAX</v>
          </cell>
          <cell r="I5075" t="str">
            <v>3.6% WA STATE REFUSE TAX</v>
          </cell>
        </row>
        <row r="5076">
          <cell r="H5076" t="str">
            <v xml:space="preserve">PIERCE COUNTY REFUSE </v>
          </cell>
          <cell r="I5076" t="str">
            <v>3.6% PIERCE COUNTY REFUSE</v>
          </cell>
        </row>
        <row r="5077">
          <cell r="H5077" t="str">
            <v xml:space="preserve">PIERCE COUNTY REFUSE  </v>
          </cell>
          <cell r="I5077" t="str">
            <v>3.6% PIERCE COUNTY REFUSE</v>
          </cell>
        </row>
        <row r="5078">
          <cell r="H5078" t="str">
            <v>PIERCE COUNTY SALES 7.9%</v>
          </cell>
          <cell r="I5078" t="str">
            <v>7.9% WA STATE SALES TAX</v>
          </cell>
        </row>
        <row r="5079">
          <cell r="H5079" t="str">
            <v>PIERCE COUNTY SALES 9.3%</v>
          </cell>
          <cell r="I5079" t="str">
            <v>9.3% WA STATE SALES TAX</v>
          </cell>
        </row>
        <row r="5080">
          <cell r="H5080" t="str">
            <v>PIERCE REFUSE TAX</v>
          </cell>
          <cell r="I5080" t="str">
            <v>3.6% WA STATE REFUSE TAX</v>
          </cell>
        </row>
        <row r="5081">
          <cell r="H5081" t="str">
            <v>PIERCE STATE SALES TAX</v>
          </cell>
          <cell r="I5081" t="str">
            <v>9.9% WA STATE SALES TAX</v>
          </cell>
        </row>
        <row r="5082">
          <cell r="H5082" t="str">
            <v>PIERCE REFUSE TAX</v>
          </cell>
          <cell r="I5082" t="str">
            <v>3.6% WA STATE REFUSE TAX</v>
          </cell>
        </row>
        <row r="5083">
          <cell r="H5083" t="str">
            <v>PIERCE STATE SALES TAX</v>
          </cell>
          <cell r="I5083" t="str">
            <v>9.9% WA STATE SALES TAX</v>
          </cell>
        </row>
        <row r="5084">
          <cell r="H5084" t="str">
            <v>FINCHG</v>
          </cell>
          <cell r="I5084" t="str">
            <v>LATE FEE</v>
          </cell>
        </row>
        <row r="5085">
          <cell r="H5085" t="str">
            <v>BD</v>
          </cell>
          <cell r="I5085" t="str">
            <v>BAD DEBT WRITE OFF</v>
          </cell>
        </row>
        <row r="5086">
          <cell r="H5086" t="str">
            <v>BDR</v>
          </cell>
          <cell r="I5086" t="str">
            <v>BAD DEBT RECOVERY</v>
          </cell>
        </row>
        <row r="5087">
          <cell r="H5087" t="str">
            <v>FINCHG</v>
          </cell>
          <cell r="I5087" t="str">
            <v>LATE FEE</v>
          </cell>
        </row>
        <row r="5088">
          <cell r="H5088" t="str">
            <v>MM</v>
          </cell>
          <cell r="I5088" t="str">
            <v>ADJUST BALANCE (MM)</v>
          </cell>
        </row>
        <row r="5089">
          <cell r="H5089" t="str">
            <v>MM</v>
          </cell>
          <cell r="I5089" t="str">
            <v>ADJUST BALANCE (MM)</v>
          </cell>
        </row>
        <row r="5090">
          <cell r="H5090" t="str">
            <v>RETCK-LB</v>
          </cell>
          <cell r="I5090" t="str">
            <v>RETURNED CHECK - LOCKBOX</v>
          </cell>
        </row>
        <row r="5091">
          <cell r="H5091" t="str">
            <v>ACCESS-COMM</v>
          </cell>
          <cell r="I5091" t="str">
            <v>ACCESS FEE - COMM</v>
          </cell>
        </row>
        <row r="5092">
          <cell r="H5092" t="str">
            <v>DONATIONC</v>
          </cell>
          <cell r="I5092" t="str">
            <v>DONATED SERVICE COMM</v>
          </cell>
        </row>
        <row r="5093">
          <cell r="H5093" t="str">
            <v>DRIVEIN1-COMM</v>
          </cell>
          <cell r="I5093" t="str">
            <v>DRIVE IN 125-250' - COMM</v>
          </cell>
        </row>
        <row r="5094">
          <cell r="H5094" t="str">
            <v>FL001.0Y1W001</v>
          </cell>
          <cell r="I5094" t="str">
            <v>1 YD 1X WK 1</v>
          </cell>
        </row>
        <row r="5095">
          <cell r="H5095" t="str">
            <v>FL001.0Y1W001MF</v>
          </cell>
          <cell r="I5095" t="str">
            <v>1 YD 1X WK MULTI-FAMILY 1</v>
          </cell>
        </row>
        <row r="5096">
          <cell r="H5096" t="str">
            <v>FL001.5Y1W001</v>
          </cell>
          <cell r="I5096" t="str">
            <v>1.5 YD 1X WK 1</v>
          </cell>
        </row>
        <row r="5097">
          <cell r="H5097" t="str">
            <v>FL001.5Y1W001MF</v>
          </cell>
          <cell r="I5097" t="str">
            <v>1.5 YD 1X WK MULTI-FAMILY 1</v>
          </cell>
        </row>
        <row r="5098">
          <cell r="H5098" t="str">
            <v>FL001.5Y2W001</v>
          </cell>
          <cell r="I5098" t="str">
            <v>1.5 YD 2X WK 1</v>
          </cell>
        </row>
        <row r="5099">
          <cell r="H5099" t="str">
            <v>FL001.5Y2W001MF</v>
          </cell>
          <cell r="I5099" t="str">
            <v>1.5 YD 2X WK MULTI-FAMILY 1</v>
          </cell>
        </row>
        <row r="5100">
          <cell r="H5100" t="str">
            <v>FL002.0Y1W001</v>
          </cell>
          <cell r="I5100" t="str">
            <v>2 YD 1X WK 1</v>
          </cell>
        </row>
        <row r="5101">
          <cell r="H5101" t="str">
            <v>FL002.0Y1W001MF</v>
          </cell>
          <cell r="I5101" t="str">
            <v>2 YD 1X WK MULTI-FAMILY 1</v>
          </cell>
        </row>
        <row r="5102">
          <cell r="H5102" t="str">
            <v>FL002.0Y2W001</v>
          </cell>
          <cell r="I5102" t="str">
            <v>2 YD 2X WK 1</v>
          </cell>
        </row>
        <row r="5103">
          <cell r="H5103" t="str">
            <v>FL002.0Y2W001MF</v>
          </cell>
          <cell r="I5103" t="str">
            <v>2 YD 2X WK MULTI-FAMILY 1</v>
          </cell>
        </row>
        <row r="5104">
          <cell r="H5104" t="str">
            <v>FL003.0Y1W001MF</v>
          </cell>
          <cell r="I5104" t="str">
            <v>3 YD 1X WK MULTI-FAMILY 1</v>
          </cell>
        </row>
        <row r="5105">
          <cell r="H5105" t="str">
            <v>FL004.0Y1W001</v>
          </cell>
          <cell r="I5105" t="str">
            <v>4 YD 1X WK 1</v>
          </cell>
        </row>
        <row r="5106">
          <cell r="H5106" t="str">
            <v>FL004.0Y1W001MF</v>
          </cell>
          <cell r="I5106" t="str">
            <v>4 YD 1X WK MULTI-FAMILY 1</v>
          </cell>
        </row>
        <row r="5107">
          <cell r="H5107" t="str">
            <v>FL004.0Y2W001MF</v>
          </cell>
          <cell r="I5107" t="str">
            <v>4 YD 2X WK MULTI-FAMILY 1</v>
          </cell>
        </row>
        <row r="5108">
          <cell r="H5108" t="str">
            <v>FL006.0Y1W001</v>
          </cell>
          <cell r="I5108" t="str">
            <v>6 YD 1X WK 1</v>
          </cell>
        </row>
        <row r="5109">
          <cell r="H5109" t="str">
            <v>FL006.0Y1W001MF</v>
          </cell>
          <cell r="I5109" t="str">
            <v>6 YD 1X WK MULTI-FAMILY 1</v>
          </cell>
        </row>
        <row r="5110">
          <cell r="H5110" t="str">
            <v>FL006.0Y2W001</v>
          </cell>
          <cell r="I5110" t="str">
            <v>6 YD 2X WK 1</v>
          </cell>
        </row>
        <row r="5111">
          <cell r="H5111" t="str">
            <v>GWCOMM</v>
          </cell>
          <cell r="I5111" t="str">
            <v>GREENWASTE SERVICE - COMM</v>
          </cell>
        </row>
        <row r="5112">
          <cell r="H5112" t="str">
            <v>RL032.0G1W002WRECC</v>
          </cell>
          <cell r="I5112" t="str">
            <v>32 GL 1X WK W/RECY COMM 2</v>
          </cell>
        </row>
        <row r="5113">
          <cell r="H5113" t="str">
            <v>RL032.0G1W006WRECC</v>
          </cell>
          <cell r="I5113" t="str">
            <v>32 GL 1X WK W/RECY COMM 6</v>
          </cell>
        </row>
        <row r="5114">
          <cell r="H5114" t="str">
            <v>SL035.0G1W001WRECC</v>
          </cell>
          <cell r="I5114" t="str">
            <v>35 GL 1X WK W/RECY COMM 1</v>
          </cell>
        </row>
        <row r="5115">
          <cell r="H5115" t="str">
            <v>SL065.0G1W001WRECC</v>
          </cell>
          <cell r="I5115" t="str">
            <v>65 GL 1X WK W/RECY COMM 1</v>
          </cell>
        </row>
        <row r="5116">
          <cell r="H5116" t="str">
            <v>SL065.0GEO001WRECC</v>
          </cell>
          <cell r="I5116" t="str">
            <v>65 GL EOW W/RECY COMM 1</v>
          </cell>
        </row>
        <row r="5117">
          <cell r="H5117" t="str">
            <v>SL095.0G1W001WRECC</v>
          </cell>
          <cell r="I5117" t="str">
            <v>95 GL 1X WK W/RECY COMM 1</v>
          </cell>
        </row>
        <row r="5118">
          <cell r="H5118" t="str">
            <v>SL095.0GEO001WRECC</v>
          </cell>
          <cell r="I5118" t="str">
            <v>95 GL EOW W/RECY COMM 1</v>
          </cell>
        </row>
        <row r="5119">
          <cell r="H5119" t="str">
            <v>WI1-COMM</v>
          </cell>
          <cell r="I5119" t="str">
            <v>WALK IN 6-25' - COMM</v>
          </cell>
        </row>
        <row r="5120">
          <cell r="H5120" t="str">
            <v>CLEAN1.5-COMM</v>
          </cell>
          <cell r="I5120" t="str">
            <v>CLEANING FEE 1.5 YD - COM</v>
          </cell>
        </row>
        <row r="5121">
          <cell r="H5121" t="str">
            <v>CLEAN2-COMM</v>
          </cell>
          <cell r="I5121" t="str">
            <v>CLEANING FEE 2 YD - COMM</v>
          </cell>
        </row>
        <row r="5122">
          <cell r="H5122" t="str">
            <v>DEL-COMM</v>
          </cell>
          <cell r="I5122" t="str">
            <v>DELIVERY FEE - COMM</v>
          </cell>
        </row>
        <row r="5123">
          <cell r="H5123" t="str">
            <v>EXTRA-COMM</v>
          </cell>
          <cell r="I5123" t="str">
            <v>EXTRA CAN, BAG, BOX - COM</v>
          </cell>
        </row>
        <row r="5124">
          <cell r="H5124" t="str">
            <v>EXTRAYDG-COM</v>
          </cell>
          <cell r="I5124" t="str">
            <v>EXTRA YARDAGE - COMM</v>
          </cell>
        </row>
        <row r="5125">
          <cell r="H5125" t="str">
            <v>FL001.5YXX001TEMPC</v>
          </cell>
          <cell r="I5125" t="str">
            <v xml:space="preserve">1.5 YD TEMP </v>
          </cell>
        </row>
        <row r="5126">
          <cell r="H5126" t="str">
            <v>FL002.0YXX001TEMPC</v>
          </cell>
          <cell r="I5126" t="str">
            <v xml:space="preserve">2 YD TEMP </v>
          </cell>
        </row>
        <row r="5127">
          <cell r="H5127" t="str">
            <v>RENT1.5TEMP-COMM</v>
          </cell>
          <cell r="I5127" t="str">
            <v>RENT 1.5 YD TEMP - COMM</v>
          </cell>
        </row>
        <row r="5128">
          <cell r="H5128" t="str">
            <v>RENT2TEMP-COMM</v>
          </cell>
          <cell r="I5128" t="str">
            <v>RENT 2 YD TEMP - COMM</v>
          </cell>
        </row>
        <row r="5129">
          <cell r="H5129" t="str">
            <v>RTRNCART65-COMM</v>
          </cell>
          <cell r="I5129" t="str">
            <v>RETURN TRIP 65 GL - COMM</v>
          </cell>
        </row>
        <row r="5130">
          <cell r="H5130" t="str">
            <v>SPCL95-COMM</v>
          </cell>
          <cell r="I5130" t="str">
            <v>SPECIAL 95 GL - COMM</v>
          </cell>
        </row>
        <row r="5131">
          <cell r="H5131" t="str">
            <v>FL002.0Y1W001BCMGL</v>
          </cell>
          <cell r="I5131" t="str">
            <v>2 YD 1X WK BUS CMGL 1</v>
          </cell>
        </row>
        <row r="5132">
          <cell r="H5132" t="str">
            <v>FL002.0Y1W001BOCC</v>
          </cell>
          <cell r="I5132" t="str">
            <v>2 YD 1X WK BUS OCC 1</v>
          </cell>
        </row>
        <row r="5133">
          <cell r="H5133" t="str">
            <v>FL002.0Y1W001SCMGL</v>
          </cell>
          <cell r="I5133" t="str">
            <v>2 YD 1X WK SCHL CMGL 1</v>
          </cell>
        </row>
        <row r="5134">
          <cell r="H5134" t="str">
            <v>FL002.0Y2W001BCMGL</v>
          </cell>
          <cell r="I5134" t="str">
            <v>2 YD 2X WK BUS CMGL 1</v>
          </cell>
        </row>
        <row r="5135">
          <cell r="H5135" t="str">
            <v>FL002.0Y2W001SCMGL</v>
          </cell>
          <cell r="I5135" t="str">
            <v>2 YD 2X WK SCHL CMGL 1</v>
          </cell>
        </row>
        <row r="5136">
          <cell r="H5136" t="str">
            <v>FL006.0Y2W001SCMGL</v>
          </cell>
          <cell r="I5136" t="str">
            <v>6 YD 2X WK SCHL CMGL 1</v>
          </cell>
        </row>
        <row r="5137">
          <cell r="H5137" t="str">
            <v>MFWBINS</v>
          </cell>
          <cell r="I5137" t="str">
            <v>MULTI-FAMILY REC UNIT W/B</v>
          </cell>
        </row>
        <row r="5138">
          <cell r="H5138" t="str">
            <v>SL096.0G1W001BCMGLOUT</v>
          </cell>
          <cell r="I5138" t="str">
            <v>96 GL WKLY BUS CMGL OUT</v>
          </cell>
        </row>
        <row r="5139">
          <cell r="H5139" t="str">
            <v>SL096.0G1W001SCMGLOUT</v>
          </cell>
          <cell r="I5139" t="str">
            <v>96 GL WKLY SCHL CMGL OUT</v>
          </cell>
        </row>
        <row r="5140">
          <cell r="H5140" t="str">
            <v>SL096.0GEO001BCMGLOUT</v>
          </cell>
          <cell r="I5140" t="str">
            <v>96 GL EOW BUS CMGL OUT</v>
          </cell>
        </row>
        <row r="5141">
          <cell r="H5141" t="str">
            <v>SL096.0GEO001SCMGLOUT</v>
          </cell>
          <cell r="I5141" t="str">
            <v>96 GL EOW SCHL CMGL OUT</v>
          </cell>
        </row>
        <row r="5142">
          <cell r="H5142" t="str">
            <v>CC-KOL</v>
          </cell>
          <cell r="I5142" t="str">
            <v>ONLINE PAYMENT-CC</v>
          </cell>
        </row>
        <row r="5143">
          <cell r="H5143" t="str">
            <v>CCREF-KOL</v>
          </cell>
          <cell r="I5143" t="str">
            <v>CREDIT CARD REFUND</v>
          </cell>
        </row>
        <row r="5144">
          <cell r="H5144" t="str">
            <v>PAY</v>
          </cell>
          <cell r="I5144" t="str">
            <v>PAYMENT THANK YOU</v>
          </cell>
        </row>
        <row r="5145">
          <cell r="H5145" t="str">
            <v>PAY-CFREE</v>
          </cell>
          <cell r="I5145" t="str">
            <v>CHECKFREE PAYMENT</v>
          </cell>
        </row>
        <row r="5146">
          <cell r="H5146" t="str">
            <v>PAY-KOL</v>
          </cell>
          <cell r="I5146" t="str">
            <v>PAYMENT-THANK YOU - OL</v>
          </cell>
        </row>
        <row r="5147">
          <cell r="H5147" t="str">
            <v>PAY-ORCC</v>
          </cell>
          <cell r="I5147" t="str">
            <v>ORCC PAYMENT</v>
          </cell>
        </row>
        <row r="5148">
          <cell r="H5148" t="str">
            <v>PAY-RPPS</v>
          </cell>
          <cell r="I5148" t="str">
            <v>RPPS MASTERCARD PAYMENT</v>
          </cell>
        </row>
        <row r="5149">
          <cell r="H5149" t="str">
            <v>PAYMET</v>
          </cell>
          <cell r="I5149" t="str">
            <v>METAVANTE ONLINE PAYMENT</v>
          </cell>
        </row>
        <row r="5150">
          <cell r="H5150" t="str">
            <v>PAYUSBL</v>
          </cell>
          <cell r="I5150" t="str">
            <v>PAYMENT THANK YOU</v>
          </cell>
        </row>
        <row r="5151">
          <cell r="H5151" t="str">
            <v>RET-KOL</v>
          </cell>
          <cell r="I5151" t="str">
            <v>ONLINE PAYMENT RETURN</v>
          </cell>
        </row>
        <row r="5152">
          <cell r="H5152" t="str">
            <v>DRIVEIN1-RES</v>
          </cell>
          <cell r="I5152" t="str">
            <v>DRIVE IN 1 - RES</v>
          </cell>
        </row>
        <row r="5153">
          <cell r="H5153" t="str">
            <v>DRIVEIN2-RES</v>
          </cell>
          <cell r="I5153" t="str">
            <v>DRIVE IN 2 - RES</v>
          </cell>
        </row>
        <row r="5154">
          <cell r="H5154" t="str">
            <v>EMPLOYEER</v>
          </cell>
          <cell r="I5154" t="str">
            <v>EMPLOYEE SERVICE RES</v>
          </cell>
        </row>
        <row r="5155">
          <cell r="H5155" t="str">
            <v>GW3RES</v>
          </cell>
          <cell r="I5155" t="str">
            <v>GREENWASTE SVC 3 - RES</v>
          </cell>
        </row>
        <row r="5156">
          <cell r="H5156" t="str">
            <v>GWRES</v>
          </cell>
          <cell r="I5156" t="str">
            <v>GREENWASTE SERVICE - RES</v>
          </cell>
        </row>
        <row r="5157">
          <cell r="H5157" t="str">
            <v>RECBINONLYR</v>
          </cell>
          <cell r="I5157" t="str">
            <v>RECYCLE SERVICE ONLY</v>
          </cell>
        </row>
        <row r="5158">
          <cell r="H5158" t="str">
            <v>RL010.0G1W001WREC</v>
          </cell>
          <cell r="I5158" t="str">
            <v>10 GL 1X WK RECYCLE 1</v>
          </cell>
        </row>
        <row r="5159">
          <cell r="H5159" t="str">
            <v>RL020.0G1W001</v>
          </cell>
          <cell r="I5159" t="str">
            <v>20 GL 1X WK 1</v>
          </cell>
        </row>
        <row r="5160">
          <cell r="H5160" t="str">
            <v>RL032.0G1W001WREC</v>
          </cell>
          <cell r="I5160" t="str">
            <v>32 GL 1X WK W/RECY 1</v>
          </cell>
        </row>
        <row r="5161">
          <cell r="H5161" t="str">
            <v>RL032.0G1W002WREC</v>
          </cell>
          <cell r="I5161" t="str">
            <v>32 GL 1X WK W/RECY 2</v>
          </cell>
        </row>
        <row r="5162">
          <cell r="H5162" t="str">
            <v>RL032.0G1W003WREC</v>
          </cell>
          <cell r="I5162" t="str">
            <v>32 GL 1X WK W/RECY 3</v>
          </cell>
        </row>
        <row r="5163">
          <cell r="H5163" t="str">
            <v>SL032.0G1W001FOOD</v>
          </cell>
          <cell r="I5163" t="str">
            <v>32 GL 1X WK FOOD 1</v>
          </cell>
        </row>
        <row r="5164">
          <cell r="H5164" t="str">
            <v>SL035.0G1W001WREC</v>
          </cell>
          <cell r="I5164" t="str">
            <v>35 GL 1X WK W/ RECY 1</v>
          </cell>
        </row>
        <row r="5165">
          <cell r="H5165" t="str">
            <v>SL035.0GEO001WREC</v>
          </cell>
          <cell r="I5165" t="str">
            <v>35 GL EOW W/RECY 1</v>
          </cell>
        </row>
        <row r="5166">
          <cell r="H5166" t="str">
            <v>SL065.0G1M001WREC</v>
          </cell>
          <cell r="I5166" t="str">
            <v>65 GL 1X MO W/RECY 1</v>
          </cell>
        </row>
        <row r="5167">
          <cell r="H5167" t="str">
            <v>SL065.0G1W001WREC</v>
          </cell>
          <cell r="I5167" t="str">
            <v>65 GL 1X WK W/RECY 1</v>
          </cell>
        </row>
        <row r="5168">
          <cell r="H5168" t="str">
            <v>SL065.0GEO001WREC</v>
          </cell>
          <cell r="I5168" t="str">
            <v>65 GL EOW W/RECY 1</v>
          </cell>
        </row>
        <row r="5169">
          <cell r="H5169" t="str">
            <v>SL095.0G1W001WREC</v>
          </cell>
          <cell r="I5169" t="str">
            <v>95 GL 1X WK W/RECY 1</v>
          </cell>
        </row>
        <row r="5170">
          <cell r="H5170" t="str">
            <v>SL095.0GEO001WREC</v>
          </cell>
          <cell r="I5170" t="str">
            <v>95 GL EOW W/RECY 1</v>
          </cell>
        </row>
        <row r="5171">
          <cell r="H5171" t="str">
            <v>WI1-RES</v>
          </cell>
          <cell r="I5171" t="str">
            <v>WALK IN 6-25' - RES</v>
          </cell>
        </row>
        <row r="5172">
          <cell r="H5172" t="str">
            <v>ADJ-RES</v>
          </cell>
          <cell r="I5172" t="str">
            <v>ADJUSTMENT SERVICE - RES</v>
          </cell>
        </row>
        <row r="5173">
          <cell r="H5173" t="str">
            <v>BULKY-RES</v>
          </cell>
          <cell r="I5173" t="str">
            <v>BULKY ITEM PICK UP - RES</v>
          </cell>
        </row>
        <row r="5174">
          <cell r="H5174" t="str">
            <v>EXTRA-RES</v>
          </cell>
          <cell r="I5174" t="str">
            <v>EXTRA CAN, BAG, BOX - RES</v>
          </cell>
        </row>
        <row r="5175">
          <cell r="H5175" t="str">
            <v>EXTRA95-RES</v>
          </cell>
          <cell r="I5175" t="str">
            <v>EXTRA 95 GL RES</v>
          </cell>
        </row>
        <row r="5176">
          <cell r="H5176" t="str">
            <v>EXTRAGWC-RES</v>
          </cell>
          <cell r="I5176" t="str">
            <v>EXTRA GREENWASTE FEE - RE</v>
          </cell>
        </row>
        <row r="5177">
          <cell r="H5177" t="str">
            <v>GWRES</v>
          </cell>
          <cell r="I5177" t="str">
            <v>GREENWASTE SERVICE - RES</v>
          </cell>
        </row>
        <row r="5178">
          <cell r="H5178" t="str">
            <v>OW-RES</v>
          </cell>
          <cell r="I5178" t="str">
            <v>OVERFILL / OVERWEIGHT CAN</v>
          </cell>
        </row>
        <row r="5179">
          <cell r="H5179" t="str">
            <v>REINSTATE-RES</v>
          </cell>
          <cell r="I5179" t="str">
            <v>REINSTATE FEE - RES</v>
          </cell>
        </row>
        <row r="5180">
          <cell r="H5180" t="str">
            <v>RL032.0G1W001WREC</v>
          </cell>
          <cell r="I5180" t="str">
            <v>32 GL 1X WK W/RECY 1</v>
          </cell>
        </row>
        <row r="5181">
          <cell r="H5181" t="str">
            <v>SL035.0G1W001WREC</v>
          </cell>
          <cell r="I5181" t="str">
            <v>35 GL 1X WK W/ RECY 1</v>
          </cell>
        </row>
        <row r="5182">
          <cell r="H5182" t="str">
            <v>SL065.0G1W001WREC</v>
          </cell>
          <cell r="I5182" t="str">
            <v>65 GL 1X WK W/RECY 1</v>
          </cell>
        </row>
        <row r="5183">
          <cell r="H5183" t="str">
            <v>SP65-RES</v>
          </cell>
          <cell r="I5183" t="str">
            <v>SPECIAL PICK UP 65 GL - R</v>
          </cell>
        </row>
        <row r="5184">
          <cell r="H5184" t="str">
            <v>SPCLREC-RES</v>
          </cell>
          <cell r="I5184" t="str">
            <v>SPECIAL RECYCLE - RES</v>
          </cell>
        </row>
        <row r="5185">
          <cell r="H5185" t="str">
            <v>TIME-RES</v>
          </cell>
          <cell r="I5185" t="str">
            <v>TIME FEE 1 - RES</v>
          </cell>
        </row>
        <row r="5186">
          <cell r="H5186" t="str">
            <v>DONATIONRO</v>
          </cell>
          <cell r="I5186" t="str">
            <v>DONATED SERVICE ROLL OFF</v>
          </cell>
        </row>
        <row r="5187">
          <cell r="H5187" t="str">
            <v>LIDRO</v>
          </cell>
          <cell r="I5187" t="str">
            <v>LID CHARGE - RO</v>
          </cell>
        </row>
        <row r="5188">
          <cell r="H5188" t="str">
            <v>RENT20MO-RO</v>
          </cell>
          <cell r="I5188" t="str">
            <v>RENTAL FEE 20 YD MONTHLY</v>
          </cell>
        </row>
        <row r="5189">
          <cell r="H5189" t="str">
            <v>DEL20TEMP-RO</v>
          </cell>
          <cell r="I5189" t="str">
            <v>DELIVERY FEE 20 YD TEMP -</v>
          </cell>
        </row>
        <row r="5190">
          <cell r="H5190" t="str">
            <v>DISCO-CP</v>
          </cell>
          <cell r="I5190" t="str">
            <v xml:space="preserve">COMPACTOR DISCONNECT FEE </v>
          </cell>
        </row>
        <row r="5191">
          <cell r="H5191" t="str">
            <v>DISP-RO</v>
          </cell>
          <cell r="I5191" t="str">
            <v>DISPOSAL CHARGE - RO</v>
          </cell>
        </row>
        <row r="5192">
          <cell r="H5192" t="str">
            <v>DISPCMGL-RO</v>
          </cell>
          <cell r="I5192" t="str">
            <v xml:space="preserve">DISPOSAL FEE COMMINGLE - </v>
          </cell>
        </row>
        <row r="5193">
          <cell r="H5193" t="str">
            <v>DISPOCC-RO</v>
          </cell>
          <cell r="I5193" t="str">
            <v xml:space="preserve">DISPOSAL FEE CARDBOARD - </v>
          </cell>
        </row>
        <row r="5194">
          <cell r="H5194" t="str">
            <v>DISPTRANS-RO</v>
          </cell>
          <cell r="I5194" t="str">
            <v>DISPOSAL FEE TRANSFER HAU</v>
          </cell>
        </row>
        <row r="5195">
          <cell r="H5195" t="str">
            <v>FINAL20TEMP-RO</v>
          </cell>
          <cell r="I5195" t="str">
            <v>FINAL PULL 20 YD TEMP - R</v>
          </cell>
        </row>
        <row r="5196">
          <cell r="H5196" t="str">
            <v>HAUL20-CP</v>
          </cell>
          <cell r="I5196" t="str">
            <v>COMPACTOR HAUL 20 YD - RO</v>
          </cell>
        </row>
        <row r="5197">
          <cell r="H5197" t="str">
            <v>HAUL20-RO</v>
          </cell>
          <cell r="I5197" t="str">
            <v>HAUL 20 YD - RO</v>
          </cell>
        </row>
        <row r="5198">
          <cell r="H5198" t="str">
            <v>HAUL20TEMP-RO</v>
          </cell>
          <cell r="I5198" t="str">
            <v>HAUL 20 YD TEMP - RO</v>
          </cell>
        </row>
        <row r="5199">
          <cell r="H5199" t="str">
            <v>HAUL25-CP</v>
          </cell>
          <cell r="I5199" t="str">
            <v>COMPACTOR HAUL 25 YD - RO</v>
          </cell>
        </row>
        <row r="5200">
          <cell r="H5200" t="str">
            <v>HAUL30-RO</v>
          </cell>
          <cell r="I5200" t="str">
            <v>HAUL 30 YD - RO</v>
          </cell>
        </row>
        <row r="5201">
          <cell r="H5201" t="str">
            <v>MILE-RO</v>
          </cell>
          <cell r="I5201" t="str">
            <v>MILEAGE FEE - RO</v>
          </cell>
        </row>
        <row r="5202">
          <cell r="H5202" t="str">
            <v>RENT20TEMP-RO</v>
          </cell>
          <cell r="I5202" t="str">
            <v>RENTAL FEE 20 YD TEMP - R</v>
          </cell>
        </row>
        <row r="5203">
          <cell r="H5203" t="str">
            <v>DISPGLASS-RO</v>
          </cell>
          <cell r="I5203" t="str">
            <v>DISPOSAL FEE GLASS - RO</v>
          </cell>
        </row>
        <row r="5204">
          <cell r="H5204" t="str">
            <v>HAUL30-RO</v>
          </cell>
          <cell r="I5204" t="str">
            <v>HAUL 30 YD - RO</v>
          </cell>
        </row>
        <row r="5205">
          <cell r="H5205" t="str">
            <v>COMMODITY SURCHARGE</v>
          </cell>
          <cell r="I5205" t="str">
            <v>COMMODITY SURCHARGE</v>
          </cell>
        </row>
        <row r="5206">
          <cell r="H5206" t="str">
            <v>STEILACOOM CITY  TAX</v>
          </cell>
          <cell r="I5206" t="str">
            <v>6% CITY UTILITY TAX</v>
          </cell>
        </row>
        <row r="5207">
          <cell r="H5207" t="str">
            <v>STEILACOOM REFUSE TAX</v>
          </cell>
          <cell r="I5207" t="str">
            <v>3.6% WA STATE REFUSE TAX</v>
          </cell>
        </row>
        <row r="5208">
          <cell r="H5208" t="str">
            <v>STEILACOOM ST SALES TAX</v>
          </cell>
          <cell r="I5208" t="str">
            <v>9.9% WA STATE SALES TAX</v>
          </cell>
        </row>
        <row r="5209">
          <cell r="H5209" t="str">
            <v>STEILACOOM CITY  TAX</v>
          </cell>
          <cell r="I5209" t="str">
            <v>6% CITY UTILITY TAX</v>
          </cell>
        </row>
        <row r="5210">
          <cell r="H5210" t="str">
            <v>STEILACOOM REFUSE TAX</v>
          </cell>
          <cell r="I5210" t="str">
            <v>3.6% WA STATE REFUSE TAX</v>
          </cell>
        </row>
        <row r="5211">
          <cell r="H5211" t="str">
            <v>STEILACOOM CITY  TAX</v>
          </cell>
          <cell r="I5211" t="str">
            <v>6% CITY UTILITY TAX</v>
          </cell>
        </row>
        <row r="5212">
          <cell r="H5212" t="str">
            <v>STEILACOOM REFUSE TAX</v>
          </cell>
          <cell r="I5212" t="str">
            <v>3.6% WA STATE REFUSE TAX</v>
          </cell>
        </row>
        <row r="5213">
          <cell r="H5213" t="str">
            <v>STEILACOOM CITY  TAX</v>
          </cell>
          <cell r="I5213" t="str">
            <v>6% CITY UTILITY TAX</v>
          </cell>
        </row>
        <row r="5214">
          <cell r="H5214" t="str">
            <v>STEILACOOM REFUSE TAX</v>
          </cell>
          <cell r="I5214" t="str">
            <v>3.6% WA STATE REFUSE TAX</v>
          </cell>
        </row>
        <row r="5215">
          <cell r="H5215" t="str">
            <v>STEILACOOM ST SALES TAX</v>
          </cell>
          <cell r="I5215" t="str">
            <v>9.9% WA STATE SALES TAX</v>
          </cell>
        </row>
        <row r="5216">
          <cell r="H5216" t="str">
            <v>STEILACOOM CITY  TAX</v>
          </cell>
          <cell r="I5216" t="str">
            <v>6% CITY UTILITY TAX</v>
          </cell>
        </row>
        <row r="5217">
          <cell r="H5217" t="str">
            <v>STEILACOOM REFUSE TAX</v>
          </cell>
          <cell r="I5217" t="str">
            <v>3.6% WA STATE REFUSE TAX</v>
          </cell>
        </row>
        <row r="5218">
          <cell r="H5218" t="str">
            <v>FINCHG</v>
          </cell>
          <cell r="I5218" t="str">
            <v>LATE FEE</v>
          </cell>
        </row>
        <row r="5219">
          <cell r="H5219" t="str">
            <v>BDR</v>
          </cell>
          <cell r="I5219" t="str">
            <v>BAD DEBT RECOVERY</v>
          </cell>
        </row>
        <row r="5220">
          <cell r="H5220" t="str">
            <v>FINCHG</v>
          </cell>
          <cell r="I5220" t="str">
            <v>LATE FEE</v>
          </cell>
        </row>
        <row r="5221">
          <cell r="H5221" t="str">
            <v>ACCESS-COMM</v>
          </cell>
          <cell r="I5221" t="str">
            <v>ACCESS FEE - COMM</v>
          </cell>
        </row>
        <row r="5222">
          <cell r="H5222" t="str">
            <v>FL001.0Y1W001</v>
          </cell>
          <cell r="I5222" t="str">
            <v>1 YD 1X WK 1</v>
          </cell>
        </row>
        <row r="5223">
          <cell r="H5223" t="str">
            <v>FL001.5Y1W001</v>
          </cell>
          <cell r="I5223" t="str">
            <v>1.5 YD 1X WK 1</v>
          </cell>
        </row>
        <row r="5224">
          <cell r="H5224" t="str">
            <v>FL002.0Y1W001</v>
          </cell>
          <cell r="I5224" t="str">
            <v>2 YD 1X WK 1</v>
          </cell>
        </row>
        <row r="5225">
          <cell r="H5225" t="str">
            <v>FL002.0Y2W001</v>
          </cell>
          <cell r="I5225" t="str">
            <v>2 YD 2X WK 1</v>
          </cell>
        </row>
        <row r="5226">
          <cell r="H5226" t="str">
            <v>FL002.0Y4W001</v>
          </cell>
          <cell r="I5226" t="str">
            <v>2 YD 4X WK 1</v>
          </cell>
        </row>
        <row r="5227">
          <cell r="H5227" t="str">
            <v>FL003.0Y2W001</v>
          </cell>
          <cell r="I5227" t="str">
            <v>3 YD 2X WK 1</v>
          </cell>
        </row>
        <row r="5228">
          <cell r="H5228" t="str">
            <v>FL004.0Y1W001</v>
          </cell>
          <cell r="I5228" t="str">
            <v>4 YD 1X WK 1</v>
          </cell>
        </row>
        <row r="5229">
          <cell r="H5229" t="str">
            <v>FL006.0Y1W001</v>
          </cell>
          <cell r="I5229" t="str">
            <v>6 YD 1X WK 1</v>
          </cell>
        </row>
        <row r="5230">
          <cell r="H5230" t="str">
            <v>FL006.0Y2W001</v>
          </cell>
          <cell r="I5230" t="str">
            <v>6 YD 2X WK 1</v>
          </cell>
        </row>
        <row r="5231">
          <cell r="H5231" t="str">
            <v>SL065.0G1W001NORECC</v>
          </cell>
          <cell r="I5231" t="str">
            <v xml:space="preserve">65 GL 1X WK NO RECY COMM </v>
          </cell>
        </row>
        <row r="5232">
          <cell r="H5232" t="str">
            <v>SL065.0G1W001WRECC</v>
          </cell>
          <cell r="I5232" t="str">
            <v>65 GL 1X WK W/RECY COMM 1</v>
          </cell>
        </row>
        <row r="5233">
          <cell r="H5233" t="str">
            <v>SL065.0GEO001WRECC</v>
          </cell>
          <cell r="I5233" t="str">
            <v>65 GL EOW W/RECY COMM 1</v>
          </cell>
        </row>
        <row r="5234">
          <cell r="H5234" t="str">
            <v>SL095.0G1W001WRECC</v>
          </cell>
          <cell r="I5234" t="str">
            <v>95 GL 1X WK W/RECY COMM 1</v>
          </cell>
        </row>
        <row r="5235">
          <cell r="H5235" t="str">
            <v>EXTRA-COMM</v>
          </cell>
          <cell r="I5235" t="str">
            <v>EXTRA CAN, BAG, BOX - COM</v>
          </cell>
        </row>
        <row r="5236">
          <cell r="H5236" t="str">
            <v>EXTRAYDG-COM</v>
          </cell>
          <cell r="I5236" t="str">
            <v>EXTRA YARDAGE - COMM</v>
          </cell>
        </row>
        <row r="5237">
          <cell r="H5237" t="str">
            <v>FL002.0Y1W001BCMGL</v>
          </cell>
          <cell r="I5237" t="str">
            <v>2 YD 1X WK BUS CMGL 1</v>
          </cell>
        </row>
        <row r="5238">
          <cell r="H5238" t="str">
            <v>FL002.0Y1W001BOCC</v>
          </cell>
          <cell r="I5238" t="str">
            <v>2 YD 1X WK BUS OCC 1</v>
          </cell>
        </row>
        <row r="5239">
          <cell r="H5239" t="str">
            <v>FL005.0Y1W001BOCC</v>
          </cell>
          <cell r="I5239" t="str">
            <v>5 YD 1X WK BUS OCC 1</v>
          </cell>
        </row>
        <row r="5240">
          <cell r="H5240" t="str">
            <v>FL005.0Y3W001BOCC</v>
          </cell>
          <cell r="I5240" t="str">
            <v>5 YD 3X WK BUS OCC 1</v>
          </cell>
        </row>
        <row r="5241">
          <cell r="H5241" t="str">
            <v>MFWBINS</v>
          </cell>
          <cell r="I5241" t="str">
            <v>MULTI-FAMILY REC UNIT W/B</v>
          </cell>
        </row>
        <row r="5242">
          <cell r="H5242" t="str">
            <v>SL096.0GEO001BCMGLOUT</v>
          </cell>
          <cell r="I5242" t="str">
            <v>96 GL EOW BUS CMGL OUT</v>
          </cell>
        </row>
        <row r="5243">
          <cell r="H5243" t="str">
            <v>CC-KOL</v>
          </cell>
          <cell r="I5243" t="str">
            <v>ONLINE PAYMENT-CC</v>
          </cell>
        </row>
        <row r="5244">
          <cell r="H5244" t="str">
            <v>PAY</v>
          </cell>
          <cell r="I5244" t="str">
            <v>PAYMENT THANK YOU</v>
          </cell>
        </row>
        <row r="5245">
          <cell r="H5245" t="str">
            <v>PAY-CFREE</v>
          </cell>
          <cell r="I5245" t="str">
            <v>CHECKFREE PAYMENT</v>
          </cell>
        </row>
        <row r="5246">
          <cell r="H5246" t="str">
            <v>PAY-KOL</v>
          </cell>
          <cell r="I5246" t="str">
            <v>PAYMENT-THANK YOU - OL</v>
          </cell>
        </row>
        <row r="5247">
          <cell r="H5247" t="str">
            <v>PAY-ORCC</v>
          </cell>
          <cell r="I5247" t="str">
            <v>ORCC PAYMENT</v>
          </cell>
        </row>
        <row r="5248">
          <cell r="H5248" t="str">
            <v>PAY-RPPS</v>
          </cell>
          <cell r="I5248" t="str">
            <v>RPPS MASTERCARD PAYMENT</v>
          </cell>
        </row>
        <row r="5249">
          <cell r="H5249" t="str">
            <v>PAYMET</v>
          </cell>
          <cell r="I5249" t="str">
            <v>METAVANTE ONLINE PAYMENT</v>
          </cell>
        </row>
        <row r="5250">
          <cell r="H5250" t="str">
            <v>PAYUSBL</v>
          </cell>
          <cell r="I5250" t="str">
            <v>PAYMENT THANK YOU</v>
          </cell>
        </row>
        <row r="5251">
          <cell r="H5251" t="str">
            <v>CC-KOL</v>
          </cell>
          <cell r="I5251" t="str">
            <v>ONLINE PAYMENT-CC</v>
          </cell>
        </row>
        <row r="5252">
          <cell r="H5252" t="str">
            <v>PAY</v>
          </cell>
          <cell r="I5252" t="str">
            <v>PAYMENT THANK YOU</v>
          </cell>
        </row>
        <row r="5253">
          <cell r="H5253" t="str">
            <v>PAY-CFREE</v>
          </cell>
          <cell r="I5253" t="str">
            <v>CHECKFREE PAYMENT</v>
          </cell>
        </row>
        <row r="5254">
          <cell r="H5254" t="str">
            <v>PAY-KOL</v>
          </cell>
          <cell r="I5254" t="str">
            <v>PAYMENT-THANK YOU - OL</v>
          </cell>
        </row>
        <row r="5255">
          <cell r="H5255" t="str">
            <v>PAYMET</v>
          </cell>
          <cell r="I5255" t="str">
            <v>METAVANTE ONLINE PAYMENT</v>
          </cell>
        </row>
        <row r="5256">
          <cell r="H5256" t="str">
            <v>PAYUSBL</v>
          </cell>
          <cell r="I5256" t="str">
            <v>PAYMENT THANK YOU</v>
          </cell>
        </row>
        <row r="5257">
          <cell r="H5257" t="str">
            <v>CC-KOL</v>
          </cell>
          <cell r="I5257" t="str">
            <v>ONLINE PAYMENT-CC</v>
          </cell>
        </row>
        <row r="5258">
          <cell r="H5258" t="str">
            <v>PAY</v>
          </cell>
          <cell r="I5258" t="str">
            <v>PAYMENT THANK YOU</v>
          </cell>
        </row>
        <row r="5259">
          <cell r="H5259" t="str">
            <v>PAY-CFREE</v>
          </cell>
          <cell r="I5259" t="str">
            <v>CHECKFREE PAYMENT</v>
          </cell>
        </row>
        <row r="5260">
          <cell r="H5260" t="str">
            <v>PAY-KOL</v>
          </cell>
          <cell r="I5260" t="str">
            <v>PAYMENT-THANK YOU - OL</v>
          </cell>
        </row>
        <row r="5261">
          <cell r="H5261" t="str">
            <v>PAY-OAK</v>
          </cell>
          <cell r="I5261" t="str">
            <v>OAKLEAF PAYMENT</v>
          </cell>
        </row>
        <row r="5262">
          <cell r="H5262" t="str">
            <v>PAY-RPPS</v>
          </cell>
          <cell r="I5262" t="str">
            <v>RPPS MASTERCARD PAYMENT</v>
          </cell>
        </row>
        <row r="5263">
          <cell r="H5263" t="str">
            <v>PAYMET</v>
          </cell>
          <cell r="I5263" t="str">
            <v>METAVANTE ONLINE PAYMENT</v>
          </cell>
        </row>
        <row r="5264">
          <cell r="H5264" t="str">
            <v>PAYUSBL</v>
          </cell>
          <cell r="I5264" t="str">
            <v>PAYMENT THANK YOU</v>
          </cell>
        </row>
        <row r="5265">
          <cell r="H5265" t="str">
            <v>GWRES</v>
          </cell>
          <cell r="I5265" t="str">
            <v>GREENWASTE SERVICE - RES</v>
          </cell>
        </row>
        <row r="5266">
          <cell r="H5266" t="str">
            <v>RECBINONLYR</v>
          </cell>
          <cell r="I5266" t="str">
            <v>RECYCLE SERVICE ONLY</v>
          </cell>
        </row>
        <row r="5267">
          <cell r="H5267" t="str">
            <v>SL035.0GEO001WREC</v>
          </cell>
          <cell r="I5267" t="str">
            <v>35 GL EOW W/RECY 1</v>
          </cell>
        </row>
        <row r="5268">
          <cell r="H5268" t="str">
            <v>SL065.0G1W001WREC</v>
          </cell>
          <cell r="I5268" t="str">
            <v>65 GL 1X WK W/RECY 1</v>
          </cell>
        </row>
        <row r="5269">
          <cell r="H5269" t="str">
            <v>SL065.0GEO001NOREC</v>
          </cell>
          <cell r="I5269" t="str">
            <v>65 GL EOW NO RECY 1</v>
          </cell>
        </row>
        <row r="5270">
          <cell r="H5270" t="str">
            <v>SL065.0GEO001WREC</v>
          </cell>
          <cell r="I5270" t="str">
            <v>65 GL EOW W/RECY 1</v>
          </cell>
        </row>
        <row r="5271">
          <cell r="H5271" t="str">
            <v>SL095.0G1W001WREC</v>
          </cell>
          <cell r="I5271" t="str">
            <v>95 GL 1X WK W/RECY 1</v>
          </cell>
        </row>
        <row r="5272">
          <cell r="H5272" t="str">
            <v>OW-RES</v>
          </cell>
          <cell r="I5272" t="str">
            <v>OVERFILL / OVERWEIGHT CAN</v>
          </cell>
        </row>
        <row r="5273">
          <cell r="H5273" t="str">
            <v>REINSTATE-RES</v>
          </cell>
          <cell r="I5273" t="str">
            <v>REINSTATE FEE - RES</v>
          </cell>
        </row>
        <row r="5274">
          <cell r="H5274" t="str">
            <v>GWRES</v>
          </cell>
          <cell r="I5274" t="str">
            <v>GREENWASTE SERVICE - RES</v>
          </cell>
        </row>
        <row r="5275">
          <cell r="H5275" t="str">
            <v>RECBINONLYR</v>
          </cell>
          <cell r="I5275" t="str">
            <v>RECYCLE SERVICE ONLY</v>
          </cell>
        </row>
        <row r="5276">
          <cell r="H5276" t="str">
            <v>SL035.0GEO001WREC</v>
          </cell>
          <cell r="I5276" t="str">
            <v>35 GL EOW W/RECY 1</v>
          </cell>
        </row>
        <row r="5277">
          <cell r="H5277" t="str">
            <v>SL065.0G1W001WREC</v>
          </cell>
          <cell r="I5277" t="str">
            <v>65 GL 1X WK W/RECY 1</v>
          </cell>
        </row>
        <row r="5278">
          <cell r="H5278" t="str">
            <v>SL065.0GEO001WREC</v>
          </cell>
          <cell r="I5278" t="str">
            <v>65 GL EOW W/RECY 1</v>
          </cell>
        </row>
        <row r="5279">
          <cell r="H5279" t="str">
            <v>EXTRA-RES</v>
          </cell>
          <cell r="I5279" t="str">
            <v>EXTRA CAN, BAG, BOX - RES</v>
          </cell>
        </row>
        <row r="5280">
          <cell r="H5280" t="str">
            <v>OW-RES</v>
          </cell>
          <cell r="I5280" t="str">
            <v>OVERFILL / OVERWEIGHT CAN</v>
          </cell>
        </row>
        <row r="5281">
          <cell r="H5281" t="str">
            <v>REINSTATE-RES</v>
          </cell>
          <cell r="I5281" t="str">
            <v>REINSTATE FEE - RES</v>
          </cell>
        </row>
        <row r="5282">
          <cell r="H5282" t="str">
            <v>RENT20MO-RO</v>
          </cell>
          <cell r="I5282" t="str">
            <v>RENTAL FEE 20 YD MONTHLY</v>
          </cell>
        </row>
        <row r="5283">
          <cell r="H5283" t="str">
            <v>DEL20TEMP-RO</v>
          </cell>
          <cell r="I5283" t="str">
            <v>DELIVERY FEE 20 YD TEMP -</v>
          </cell>
        </row>
        <row r="5284">
          <cell r="H5284" t="str">
            <v>DISCO-CP</v>
          </cell>
          <cell r="I5284" t="str">
            <v xml:space="preserve">COMPACTOR DISCONNECT FEE </v>
          </cell>
        </row>
        <row r="5285">
          <cell r="H5285" t="str">
            <v>DISP-RO</v>
          </cell>
          <cell r="I5285" t="str">
            <v>DISPOSAL CHARGE - RO</v>
          </cell>
        </row>
        <row r="5286">
          <cell r="H5286" t="str">
            <v>FINAL20TEMP-RO</v>
          </cell>
          <cell r="I5286" t="str">
            <v>FINAL PULL 20 YD TEMP - R</v>
          </cell>
        </row>
        <row r="5287">
          <cell r="H5287" t="str">
            <v>HAUL20TEMP-RO</v>
          </cell>
          <cell r="I5287" t="str">
            <v>HAUL 20 YD TEMP - RO</v>
          </cell>
        </row>
        <row r="5288">
          <cell r="H5288" t="str">
            <v>HAUL25-CP</v>
          </cell>
          <cell r="I5288" t="str">
            <v>COMPACTOR HAUL 25 YD - RO</v>
          </cell>
        </row>
        <row r="5289">
          <cell r="H5289" t="str">
            <v>HAUL30-CP</v>
          </cell>
          <cell r="I5289" t="str">
            <v>COMPACTOR HAUL 30 YD</v>
          </cell>
        </row>
        <row r="5290">
          <cell r="H5290" t="str">
            <v>MILE-RO</v>
          </cell>
          <cell r="I5290" t="str">
            <v>MILEAGE FEE - RO</v>
          </cell>
        </row>
        <row r="5291">
          <cell r="H5291" t="str">
            <v>RENT20TEMP-RO</v>
          </cell>
          <cell r="I5291" t="str">
            <v>RENTAL FEE 20 YD TEMP - R</v>
          </cell>
        </row>
        <row r="5292">
          <cell r="H5292" t="str">
            <v>COMMODITY SURCHARGE</v>
          </cell>
          <cell r="I5292" t="str">
            <v>COMMODITY SURCHARGE</v>
          </cell>
        </row>
        <row r="5293">
          <cell r="H5293" t="str">
            <v>UP CITY UTILITY TAX</v>
          </cell>
          <cell r="I5293" t="str">
            <v>6% CITY UTILITY TAX</v>
          </cell>
        </row>
        <row r="5294">
          <cell r="H5294" t="str">
            <v>UP CITY ONLY</v>
          </cell>
          <cell r="I5294" t="str">
            <v>6% CITY UTILITY TAX</v>
          </cell>
        </row>
        <row r="5295">
          <cell r="H5295" t="str">
            <v>UP CITY UTILITY TAX</v>
          </cell>
          <cell r="I5295" t="str">
            <v>6% CITY UTILITY TAX</v>
          </cell>
        </row>
        <row r="5296">
          <cell r="H5296" t="str">
            <v>UP REFUSE TAX</v>
          </cell>
          <cell r="I5296" t="str">
            <v>3.6% WA STATE REFUSE TAX</v>
          </cell>
        </row>
        <row r="5297">
          <cell r="H5297" t="str">
            <v>UP CITY UTILITY TAX</v>
          </cell>
          <cell r="I5297" t="str">
            <v>6% CITY UTILITY TAX</v>
          </cell>
        </row>
        <row r="5298">
          <cell r="H5298" t="str">
            <v>UP REFUSE TAX</v>
          </cell>
          <cell r="I5298" t="str">
            <v>3.6% WA STATE REFUSE TAX</v>
          </cell>
        </row>
        <row r="5299">
          <cell r="H5299" t="str">
            <v>UP CITY UTILITY TAX</v>
          </cell>
          <cell r="I5299" t="str">
            <v>6% CITY UTILITY TAX</v>
          </cell>
        </row>
        <row r="5300">
          <cell r="H5300" t="str">
            <v>UP REFUSE TAX</v>
          </cell>
          <cell r="I5300" t="str">
            <v>3.6% WA STATE REFUSE TAX</v>
          </cell>
        </row>
        <row r="5301">
          <cell r="H5301" t="str">
            <v>UP CITY UTILITY TAX</v>
          </cell>
          <cell r="I5301" t="str">
            <v>6% CITY UTILITY TAX</v>
          </cell>
        </row>
        <row r="5302">
          <cell r="H5302" t="str">
            <v>UP REFUSE TAX</v>
          </cell>
          <cell r="I5302" t="str">
            <v>3.6% WA STATE REFUSE TAX</v>
          </cell>
        </row>
        <row r="5303">
          <cell r="H5303" t="str">
            <v>UP CITY UTILITY TAX</v>
          </cell>
          <cell r="I5303" t="str">
            <v>6% CITY UTILITY TAX</v>
          </cell>
        </row>
        <row r="5304">
          <cell r="H5304" t="str">
            <v>UP REFUSE TAX</v>
          </cell>
          <cell r="I5304" t="str">
            <v>3.6% WA STATE REFUSE TAX</v>
          </cell>
        </row>
        <row r="5305">
          <cell r="H5305" t="str">
            <v>UP STATE SALES TAX</v>
          </cell>
          <cell r="I5305" t="str">
            <v>9.9% WA STATE SALES TAX</v>
          </cell>
        </row>
        <row r="5306">
          <cell r="H5306" t="str">
            <v>DISPFEDMSW-COMM</v>
          </cell>
          <cell r="I5306" t="str">
            <v>DISPOSAL FEDERAL MSW - CO</v>
          </cell>
        </row>
        <row r="5307">
          <cell r="H5307" t="str">
            <v>FL001.5Y1W001</v>
          </cell>
          <cell r="I5307" t="str">
            <v>1.5 YD 1X WK 1</v>
          </cell>
        </row>
        <row r="5308">
          <cell r="H5308" t="str">
            <v>CONTRACTEDC</v>
          </cell>
          <cell r="I5308" t="str">
            <v>CONTRACTED SERVICE - COMM</v>
          </cell>
        </row>
        <row r="5309">
          <cell r="H5309" t="str">
            <v>DISPTONER-COMM</v>
          </cell>
          <cell r="I5309" t="str">
            <v>DISPOSAL TONER - COMM</v>
          </cell>
        </row>
        <row r="5310">
          <cell r="H5310" t="str">
            <v>PAYEFT</v>
          </cell>
          <cell r="I5310" t="str">
            <v>EFT PAYMENT</v>
          </cell>
        </row>
        <row r="5311">
          <cell r="H5311" t="str">
            <v>DISPBATT-RO</v>
          </cell>
          <cell r="I5311" t="str">
            <v>DISPOSAL BATTERIES - RO</v>
          </cell>
        </row>
        <row r="5312">
          <cell r="H5312" t="str">
            <v>DISPBOOKS-RO</v>
          </cell>
          <cell r="I5312" t="str">
            <v>DISPOSAL BOOKS - RO</v>
          </cell>
        </row>
        <row r="5313">
          <cell r="H5313" t="str">
            <v>DISPCMGL-RO</v>
          </cell>
          <cell r="I5313" t="str">
            <v xml:space="preserve">DISPOSAL FEE COMMINGLE - </v>
          </cell>
        </row>
        <row r="5314">
          <cell r="H5314" t="str">
            <v>DISPEWASTE-RO</v>
          </cell>
          <cell r="I5314" t="str">
            <v>DISPOSAL FEE EWASTE - RO</v>
          </cell>
        </row>
        <row r="5315">
          <cell r="H5315" t="str">
            <v>DISPFEDMSW-RO</v>
          </cell>
          <cell r="I5315" t="str">
            <v xml:space="preserve">DISPOSAL FEE FEDERAL MSW </v>
          </cell>
        </row>
        <row r="5316">
          <cell r="H5316" t="str">
            <v>DISPFOOD-RO</v>
          </cell>
          <cell r="I5316" t="str">
            <v>DISPOSAL FEE FOOD WASTE -</v>
          </cell>
        </row>
        <row r="5317">
          <cell r="H5317" t="str">
            <v>DISPGLASS-RO</v>
          </cell>
          <cell r="I5317" t="str">
            <v>DISPOSAL FEE GLASS - RO</v>
          </cell>
        </row>
        <row r="5318">
          <cell r="H5318" t="str">
            <v>DISPGW-RO</v>
          </cell>
          <cell r="I5318" t="str">
            <v>DISPOSAL FEE GREENWASTE -</v>
          </cell>
        </row>
        <row r="5319">
          <cell r="H5319" t="str">
            <v>DISPMETAL-RO</v>
          </cell>
          <cell r="I5319" t="str">
            <v>DISPOSAL FEE METAL - RO</v>
          </cell>
        </row>
        <row r="5320">
          <cell r="H5320" t="str">
            <v>DISPOCC-RO</v>
          </cell>
          <cell r="I5320" t="str">
            <v xml:space="preserve">DISPOSAL FEE CARDBOARD - </v>
          </cell>
        </row>
        <row r="5321">
          <cell r="H5321" t="str">
            <v>DISPTEX-RO</v>
          </cell>
          <cell r="I5321" t="str">
            <v>DISPOSAL TEXTILE - RO</v>
          </cell>
        </row>
        <row r="5322">
          <cell r="H5322" t="str">
            <v>DISPWD-RO</v>
          </cell>
          <cell r="I5322" t="str">
            <v>DISPOSAL FEE WOOD - RO</v>
          </cell>
        </row>
        <row r="5323">
          <cell r="H5323" t="str">
            <v>HAUL50-RO</v>
          </cell>
          <cell r="I5323" t="str">
            <v>HAUL 50 YD - RO</v>
          </cell>
        </row>
        <row r="5324">
          <cell r="H5324" t="str">
            <v>FT LEWIS REFUSE TAX</v>
          </cell>
          <cell r="I5324" t="str">
            <v>3.6% WA STATE REFUSE TAX</v>
          </cell>
        </row>
        <row r="5325">
          <cell r="H5325" t="str">
            <v>LEWIS CO UNINCORP</v>
          </cell>
          <cell r="I5325" t="str">
            <v>WA STATE REFUSE TAX</v>
          </cell>
        </row>
        <row r="5326">
          <cell r="H5326" t="str">
            <v>BD</v>
          </cell>
          <cell r="I5326" t="str">
            <v>BAD DEBT WRITE OFF</v>
          </cell>
        </row>
        <row r="5327">
          <cell r="H5327" t="str">
            <v>BDR</v>
          </cell>
          <cell r="I5327" t="str">
            <v>BAD DEBT RECOVERY</v>
          </cell>
        </row>
        <row r="5328">
          <cell r="H5328" t="str">
            <v>MM</v>
          </cell>
          <cell r="I5328" t="str">
            <v>ADJUST BALANCE (MM)</v>
          </cell>
        </row>
        <row r="5329">
          <cell r="H5329" t="str">
            <v>MM</v>
          </cell>
          <cell r="I5329" t="str">
            <v>ADJUST BALANCE (MM)</v>
          </cell>
        </row>
        <row r="5330">
          <cell r="H5330" t="str">
            <v>REFUND</v>
          </cell>
          <cell r="I5330" t="str">
            <v>REFUND</v>
          </cell>
        </row>
        <row r="5331">
          <cell r="H5331" t="str">
            <v>FINCHG</v>
          </cell>
          <cell r="I5331" t="str">
            <v>LATE FEE</v>
          </cell>
        </row>
        <row r="5332">
          <cell r="H5332" t="str">
            <v>BDR</v>
          </cell>
          <cell r="I5332" t="str">
            <v>BAD DEBT RECOVERY</v>
          </cell>
        </row>
        <row r="5333">
          <cell r="H5333" t="str">
            <v>COLLFEE</v>
          </cell>
          <cell r="I5333" t="str">
            <v>COLLECTION AGENCY FEE</v>
          </cell>
        </row>
        <row r="5334">
          <cell r="H5334" t="str">
            <v>MM</v>
          </cell>
          <cell r="I5334" t="str">
            <v>ADJUST BALANCE (MM)</v>
          </cell>
        </row>
        <row r="5335">
          <cell r="H5335" t="str">
            <v>MM</v>
          </cell>
          <cell r="I5335" t="str">
            <v>ADJUST BALANCE (MM)</v>
          </cell>
        </row>
        <row r="5336">
          <cell r="H5336" t="str">
            <v>REFUND</v>
          </cell>
          <cell r="I5336" t="str">
            <v>REFUND</v>
          </cell>
        </row>
        <row r="5337">
          <cell r="H5337" t="str">
            <v>RETCK-LB</v>
          </cell>
          <cell r="I5337" t="str">
            <v>RETURNED CHECK - LOCKBOX</v>
          </cell>
        </row>
        <row r="5338">
          <cell r="H5338" t="str">
            <v>RETCKC</v>
          </cell>
          <cell r="I5338" t="str">
            <v>RETURN CHECK CHARGE</v>
          </cell>
        </row>
        <row r="5339">
          <cell r="H5339" t="str">
            <v>FINCHG</v>
          </cell>
          <cell r="I5339" t="str">
            <v>LATE FEE</v>
          </cell>
        </row>
        <row r="5340">
          <cell r="H5340" t="str">
            <v>BDR</v>
          </cell>
          <cell r="I5340" t="str">
            <v>BAD DEBT RECOVERY</v>
          </cell>
        </row>
        <row r="5341">
          <cell r="H5341" t="str">
            <v>COLLFEE</v>
          </cell>
          <cell r="I5341" t="str">
            <v>COLLECTION AGENCY FEE</v>
          </cell>
        </row>
        <row r="5342">
          <cell r="H5342" t="str">
            <v>FINCHG</v>
          </cell>
          <cell r="I5342" t="str">
            <v>LATE FEE</v>
          </cell>
        </row>
        <row r="5343">
          <cell r="H5343" t="str">
            <v>MM</v>
          </cell>
          <cell r="I5343" t="str">
            <v>ADJUST BALANCE (MM)</v>
          </cell>
        </row>
        <row r="5344">
          <cell r="H5344" t="str">
            <v>MM</v>
          </cell>
          <cell r="I5344" t="str">
            <v>ADJUST BALANCE (MM)</v>
          </cell>
        </row>
        <row r="5345">
          <cell r="H5345" t="str">
            <v>REFUND</v>
          </cell>
          <cell r="I5345" t="str">
            <v>REFUND</v>
          </cell>
        </row>
        <row r="5346">
          <cell r="H5346" t="str">
            <v>ACCESS-COMM</v>
          </cell>
          <cell r="I5346" t="str">
            <v>ACCESS FEE - COMM</v>
          </cell>
        </row>
        <row r="5347">
          <cell r="H5347" t="str">
            <v>DONATIONC</v>
          </cell>
          <cell r="I5347" t="str">
            <v>DONATED SERVICE COMM</v>
          </cell>
        </row>
        <row r="5348">
          <cell r="H5348" t="str">
            <v>DRIVEIN1-COMM</v>
          </cell>
          <cell r="I5348" t="str">
            <v>DRIVE IN 125-250' - COMM</v>
          </cell>
        </row>
        <row r="5349">
          <cell r="H5349" t="str">
            <v>FL001.0Y1W001</v>
          </cell>
          <cell r="I5349" t="str">
            <v>1 YD 1X WK 1</v>
          </cell>
        </row>
        <row r="5350">
          <cell r="H5350" t="str">
            <v>FL001.5Y1W001</v>
          </cell>
          <cell r="I5350" t="str">
            <v>1.5 YD 1X WK 1</v>
          </cell>
        </row>
        <row r="5351">
          <cell r="H5351" t="str">
            <v>FL001.5Y2W001</v>
          </cell>
          <cell r="I5351" t="str">
            <v>1.5 YD 2X WK 1</v>
          </cell>
        </row>
        <row r="5352">
          <cell r="H5352" t="str">
            <v>FL002.0Y1W001</v>
          </cell>
          <cell r="I5352" t="str">
            <v>2 YD 1X WK 1</v>
          </cell>
        </row>
        <row r="5353">
          <cell r="H5353" t="str">
            <v>FL002.0Y2W001</v>
          </cell>
          <cell r="I5353" t="str">
            <v>2 YD 2X WK 1</v>
          </cell>
        </row>
        <row r="5354">
          <cell r="H5354" t="str">
            <v>FL002.0Y3W001</v>
          </cell>
          <cell r="I5354" t="str">
            <v>2 YD 3X WK 1</v>
          </cell>
        </row>
        <row r="5355">
          <cell r="H5355" t="str">
            <v>FL003.0Y1W001</v>
          </cell>
          <cell r="I5355" t="str">
            <v>3 YD 1X WK 1</v>
          </cell>
        </row>
        <row r="5356">
          <cell r="H5356" t="str">
            <v>FL003.0Y2W001</v>
          </cell>
          <cell r="I5356" t="str">
            <v>3 YD 2X WK 1</v>
          </cell>
        </row>
        <row r="5357">
          <cell r="H5357" t="str">
            <v>FL003.0Y3W001</v>
          </cell>
          <cell r="I5357" t="str">
            <v>3 YD 3X WK 1</v>
          </cell>
        </row>
        <row r="5358">
          <cell r="H5358" t="str">
            <v>FL004.0Y1W001</v>
          </cell>
          <cell r="I5358" t="str">
            <v>4 YD 1X WK 1</v>
          </cell>
        </row>
        <row r="5359">
          <cell r="H5359" t="str">
            <v>FL004.0Y2W001</v>
          </cell>
          <cell r="I5359" t="str">
            <v>4 YD 2X WK 1</v>
          </cell>
        </row>
        <row r="5360">
          <cell r="H5360" t="str">
            <v>FL004.0Y3W001</v>
          </cell>
          <cell r="I5360" t="str">
            <v>4 YD 3X WK 1</v>
          </cell>
        </row>
        <row r="5361">
          <cell r="H5361" t="str">
            <v>FL006.0Y1W001</v>
          </cell>
          <cell r="I5361" t="str">
            <v>6 YD 1X WK 1</v>
          </cell>
        </row>
        <row r="5362">
          <cell r="H5362" t="str">
            <v>FL006.0Y2W001</v>
          </cell>
          <cell r="I5362" t="str">
            <v>6 YD 2X WK 1</v>
          </cell>
        </row>
        <row r="5363">
          <cell r="H5363" t="str">
            <v>FL006.0Y4W001</v>
          </cell>
          <cell r="I5363" t="str">
            <v>6 YD 4X WK 1</v>
          </cell>
        </row>
        <row r="5364">
          <cell r="H5364" t="str">
            <v>ROLL-COMM</v>
          </cell>
          <cell r="I5364" t="str">
            <v>ROLL OUT CHARGE - COMM</v>
          </cell>
        </row>
        <row r="5365">
          <cell r="H5365" t="str">
            <v>SL065.0G1W001NORECC</v>
          </cell>
          <cell r="I5365" t="str">
            <v xml:space="preserve">65 GL 1X WK NO RECY COMM </v>
          </cell>
        </row>
        <row r="5366">
          <cell r="H5366" t="str">
            <v>SL065.0G1W001WRECC</v>
          </cell>
          <cell r="I5366" t="str">
            <v>65 GL 1X WK W/RECY COMM 1</v>
          </cell>
        </row>
        <row r="5367">
          <cell r="H5367" t="str">
            <v>SL065.0GEO001WRECC</v>
          </cell>
          <cell r="I5367" t="str">
            <v>65 GL EOW W/RECY COMM 1</v>
          </cell>
        </row>
        <row r="5368">
          <cell r="H5368" t="str">
            <v>SL095.0G1W001WRECC</v>
          </cell>
          <cell r="I5368" t="str">
            <v>95 GL 1X WK W/RECY COMM 1</v>
          </cell>
        </row>
        <row r="5369">
          <cell r="H5369" t="str">
            <v>CLEAN1-COMM</v>
          </cell>
          <cell r="I5369" t="str">
            <v>CLEANING FEE 1 YD - COMM</v>
          </cell>
        </row>
        <row r="5370">
          <cell r="H5370" t="str">
            <v>CLEAN2-COMM</v>
          </cell>
          <cell r="I5370" t="str">
            <v>CLEANING FEE 2 YD - COMM</v>
          </cell>
        </row>
        <row r="5371">
          <cell r="H5371" t="str">
            <v>DEL2TEMP-COMM</v>
          </cell>
          <cell r="I5371" t="str">
            <v xml:space="preserve">DELIVERY FEE 2 YD TEMP - </v>
          </cell>
        </row>
        <row r="5372">
          <cell r="H5372" t="str">
            <v>DISP-COMM</v>
          </cell>
          <cell r="I5372" t="str">
            <v>DISPOSAL FEE - COMM</v>
          </cell>
        </row>
        <row r="5373">
          <cell r="H5373" t="str">
            <v>EXTRA-COMM</v>
          </cell>
          <cell r="I5373" t="str">
            <v>EXTRA CAN, BAG, BOX - COM</v>
          </cell>
        </row>
        <row r="5374">
          <cell r="H5374" t="str">
            <v>FL001.0YXX001TEMPC</v>
          </cell>
          <cell r="I5374" t="str">
            <v xml:space="preserve">1 YD TEMP </v>
          </cell>
        </row>
        <row r="5375">
          <cell r="H5375" t="str">
            <v>FL002.0YXX001TEMPC</v>
          </cell>
          <cell r="I5375" t="str">
            <v xml:space="preserve">2 YD TEMP </v>
          </cell>
        </row>
        <row r="5376">
          <cell r="H5376" t="str">
            <v>RENT1TEMP-COMM</v>
          </cell>
          <cell r="I5376" t="str">
            <v>RENT 1 YD TEMP - COMM</v>
          </cell>
        </row>
        <row r="5377">
          <cell r="H5377" t="str">
            <v>RENT2TEMP-COMM</v>
          </cell>
          <cell r="I5377" t="str">
            <v>RENT 2 YD TEMP - COMM</v>
          </cell>
        </row>
        <row r="5378">
          <cell r="H5378" t="str">
            <v>RTRNTRIP-COMM</v>
          </cell>
          <cell r="I5378" t="str">
            <v>RETURN TRIP FEE - COMM</v>
          </cell>
        </row>
        <row r="5379">
          <cell r="H5379" t="str">
            <v>ACCESSCREC-COMM</v>
          </cell>
          <cell r="I5379" t="str">
            <v>ACCESS FEE COMM RECY - CO</v>
          </cell>
        </row>
        <row r="5380">
          <cell r="H5380" t="str">
            <v>FL002.0Y1W001BCMGL</v>
          </cell>
          <cell r="I5380" t="str">
            <v>2 YD 1X WK BUS CMGL 1</v>
          </cell>
        </row>
        <row r="5381">
          <cell r="H5381" t="str">
            <v>FL002.0Y1W001BOCC</v>
          </cell>
          <cell r="I5381" t="str">
            <v>2 YD 1X WK BUS OCC 1</v>
          </cell>
        </row>
        <row r="5382">
          <cell r="H5382" t="str">
            <v>FL004.0Y2W001CMGL</v>
          </cell>
          <cell r="I5382" t="str">
            <v>4 YD 2X WK BUS CMGL 1</v>
          </cell>
        </row>
        <row r="5383">
          <cell r="H5383" t="str">
            <v>FL005.0Y1W001BOCC</v>
          </cell>
          <cell r="I5383" t="str">
            <v>5 YD 1X WK BUS OCC 1</v>
          </cell>
        </row>
        <row r="5384">
          <cell r="H5384" t="str">
            <v>FL005.0Y2W001BOCC</v>
          </cell>
          <cell r="I5384" t="str">
            <v>5 YD 2X WK BUS OCC 1</v>
          </cell>
        </row>
        <row r="5385">
          <cell r="H5385" t="str">
            <v>FL005.0Y3W001BOCC</v>
          </cell>
          <cell r="I5385" t="str">
            <v>5 YD 3X WK BUS OCC 1</v>
          </cell>
        </row>
        <row r="5386">
          <cell r="H5386" t="str">
            <v>FL006.0Y1W001BCMGL</v>
          </cell>
          <cell r="I5386" t="str">
            <v>6 YD 1X WK BUS COMINGLE 1</v>
          </cell>
        </row>
        <row r="5387">
          <cell r="H5387" t="str">
            <v>FL006.0Y2W001BCMGL</v>
          </cell>
          <cell r="I5387" t="str">
            <v>6 YD 2X WK BUS COMINGLE 1</v>
          </cell>
        </row>
        <row r="5388">
          <cell r="H5388" t="str">
            <v>FL006.0Y4W001OCC</v>
          </cell>
          <cell r="I5388" t="str">
            <v>6 YD 4X WK OCC 1</v>
          </cell>
        </row>
        <row r="5389">
          <cell r="H5389" t="str">
            <v>MFWBINS</v>
          </cell>
          <cell r="I5389" t="str">
            <v>MULTI-FAMILY REC UNIT W/B</v>
          </cell>
        </row>
        <row r="5390">
          <cell r="H5390" t="str">
            <v>SL096.0G1W001BCMGLOUT</v>
          </cell>
          <cell r="I5390" t="str">
            <v>96 GL WKLY BUS CMGL OUT</v>
          </cell>
        </row>
        <row r="5391">
          <cell r="H5391" t="str">
            <v>SL096.0GEO001BCMGLOUT</v>
          </cell>
          <cell r="I5391" t="str">
            <v>96 GL EOW BUS CMGL OUT</v>
          </cell>
        </row>
        <row r="5392">
          <cell r="H5392" t="str">
            <v>SPGRAD1REC-COMM</v>
          </cell>
          <cell r="I5392" t="str">
            <v>SPECIAL UNIT GRAD1 REC - COMM</v>
          </cell>
        </row>
        <row r="5393">
          <cell r="H5393" t="str">
            <v>SPGRAD2REC-COMM</v>
          </cell>
          <cell r="I5393" t="str">
            <v>SPECIAL UNIT GRAD2 REC - COMM</v>
          </cell>
        </row>
        <row r="5394">
          <cell r="H5394" t="str">
            <v>CC-KOL</v>
          </cell>
          <cell r="I5394" t="str">
            <v>ONLINE PAYMENT-CC</v>
          </cell>
        </row>
        <row r="5395">
          <cell r="H5395" t="str">
            <v>CCREF-KOL</v>
          </cell>
          <cell r="I5395" t="str">
            <v>CREDIT CARD REFUND</v>
          </cell>
        </row>
        <row r="5396">
          <cell r="H5396" t="str">
            <v>PAY</v>
          </cell>
          <cell r="I5396" t="str">
            <v>PAYMENT THANK YOU</v>
          </cell>
        </row>
        <row r="5397">
          <cell r="H5397" t="str">
            <v>PAY-CFREE</v>
          </cell>
          <cell r="I5397" t="str">
            <v>CHECKFREE PAYMENT</v>
          </cell>
        </row>
        <row r="5398">
          <cell r="H5398" t="str">
            <v>PAY-KOL</v>
          </cell>
          <cell r="I5398" t="str">
            <v>PAYMENT-THANK YOU - OL</v>
          </cell>
        </row>
        <row r="5399">
          <cell r="H5399" t="str">
            <v>PAY-ORCC</v>
          </cell>
          <cell r="I5399" t="str">
            <v>ORCC PAYMENT</v>
          </cell>
        </row>
        <row r="5400">
          <cell r="H5400" t="str">
            <v>PAY-RPPS</v>
          </cell>
          <cell r="I5400" t="str">
            <v>RPPS MASTERCARD PAYMENT</v>
          </cell>
        </row>
        <row r="5401">
          <cell r="H5401" t="str">
            <v>PAYMET</v>
          </cell>
          <cell r="I5401" t="str">
            <v>METAVANTE ONLINE PAYMENT</v>
          </cell>
        </row>
        <row r="5402">
          <cell r="H5402" t="str">
            <v>PAYUSBL</v>
          </cell>
          <cell r="I5402" t="str">
            <v>PAYMENT THANK YOU</v>
          </cell>
        </row>
        <row r="5403">
          <cell r="H5403" t="str">
            <v>RET-KOL</v>
          </cell>
          <cell r="I5403" t="str">
            <v>ONLINE PAYMENT RETURN</v>
          </cell>
        </row>
        <row r="5404">
          <cell r="H5404" t="str">
            <v>CC-KOL</v>
          </cell>
          <cell r="I5404" t="str">
            <v>ONLINE PAYMENT-CC</v>
          </cell>
        </row>
        <row r="5405">
          <cell r="H5405" t="str">
            <v>CCREF-KOL</v>
          </cell>
          <cell r="I5405" t="str">
            <v>CREDIT CARD REFUND</v>
          </cell>
        </row>
        <row r="5406">
          <cell r="H5406" t="str">
            <v>PAY</v>
          </cell>
          <cell r="I5406" t="str">
            <v>PAYMENT THANK YOU</v>
          </cell>
        </row>
        <row r="5407">
          <cell r="H5407" t="str">
            <v>PAY-CFREE</v>
          </cell>
          <cell r="I5407" t="str">
            <v>CHECKFREE PAYMENT</v>
          </cell>
        </row>
        <row r="5408">
          <cell r="H5408" t="str">
            <v>PAY-KOL</v>
          </cell>
          <cell r="I5408" t="str">
            <v>PAYMENT-THANK YOU - OL</v>
          </cell>
        </row>
        <row r="5409">
          <cell r="H5409" t="str">
            <v>PAY-ORCC</v>
          </cell>
          <cell r="I5409" t="str">
            <v>ORCC PAYMENT</v>
          </cell>
        </row>
        <row r="5410">
          <cell r="H5410" t="str">
            <v>PAY-RPPS</v>
          </cell>
          <cell r="I5410" t="str">
            <v>RPPS MASTERCARD PAYMENT</v>
          </cell>
        </row>
        <row r="5411">
          <cell r="H5411" t="str">
            <v>PAYMET</v>
          </cell>
          <cell r="I5411" t="str">
            <v>METAVANTE ONLINE PAYMENT</v>
          </cell>
        </row>
        <row r="5412">
          <cell r="H5412" t="str">
            <v>PAYUSBL</v>
          </cell>
          <cell r="I5412" t="str">
            <v>PAYMENT THANK YOU</v>
          </cell>
        </row>
        <row r="5413">
          <cell r="H5413" t="str">
            <v>CC-KOL</v>
          </cell>
          <cell r="I5413" t="str">
            <v>ONLINE PAYMENT-CC</v>
          </cell>
        </row>
        <row r="5414">
          <cell r="H5414" t="str">
            <v>PAY</v>
          </cell>
          <cell r="I5414" t="str">
            <v>PAYMENT THANK YOU</v>
          </cell>
        </row>
        <row r="5415">
          <cell r="H5415" t="str">
            <v>PAY-CFREE</v>
          </cell>
          <cell r="I5415" t="str">
            <v>CHECKFREE PAYMENT</v>
          </cell>
        </row>
        <row r="5416">
          <cell r="H5416" t="str">
            <v>PAY-KOL</v>
          </cell>
          <cell r="I5416" t="str">
            <v>PAYMENT-THANK YOU - OL</v>
          </cell>
        </row>
        <row r="5417">
          <cell r="H5417" t="str">
            <v>PAY-NATL</v>
          </cell>
          <cell r="I5417" t="str">
            <v>PAYMENT THANK YOU</v>
          </cell>
        </row>
        <row r="5418">
          <cell r="H5418" t="str">
            <v>PAY-OAK</v>
          </cell>
          <cell r="I5418" t="str">
            <v>OAKLEAF PAYMENT</v>
          </cell>
        </row>
        <row r="5419">
          <cell r="H5419" t="str">
            <v>PAY-ORCC</v>
          </cell>
          <cell r="I5419" t="str">
            <v>ORCC PAYMENT</v>
          </cell>
        </row>
        <row r="5420">
          <cell r="H5420" t="str">
            <v>PAY-RPPS</v>
          </cell>
          <cell r="I5420" t="str">
            <v>RPPS MASTERCARD PAYMENT</v>
          </cell>
        </row>
        <row r="5421">
          <cell r="H5421" t="str">
            <v>PAYMET</v>
          </cell>
          <cell r="I5421" t="str">
            <v>METAVANTE ONLINE PAYMENT</v>
          </cell>
        </row>
        <row r="5422">
          <cell r="H5422" t="str">
            <v>PAYUSBL</v>
          </cell>
          <cell r="I5422" t="str">
            <v>PAYMENT THANK YOU</v>
          </cell>
        </row>
        <row r="5423">
          <cell r="H5423" t="str">
            <v>GWRES</v>
          </cell>
          <cell r="I5423" t="str">
            <v>GREENWASTE SERVICE - RES</v>
          </cell>
        </row>
        <row r="5424">
          <cell r="H5424" t="str">
            <v>GWSPCL-RES</v>
          </cell>
          <cell r="I5424" t="str">
            <v>GREENWASTE SEN/DIS - RES</v>
          </cell>
        </row>
        <row r="5425">
          <cell r="H5425" t="str">
            <v>RECBINONLYR</v>
          </cell>
          <cell r="I5425" t="str">
            <v>RECYCLE SERVICE ONLY</v>
          </cell>
        </row>
        <row r="5426">
          <cell r="H5426" t="str">
            <v>S45G1W1</v>
          </cell>
          <cell r="I5426" t="str">
            <v>45 GL 1X WK 1</v>
          </cell>
        </row>
        <row r="5427">
          <cell r="H5427" t="str">
            <v>S45G1W2</v>
          </cell>
          <cell r="I5427" t="str">
            <v>45 GL 1X WK 2</v>
          </cell>
        </row>
        <row r="5428">
          <cell r="H5428" t="str">
            <v>S45GEO1</v>
          </cell>
          <cell r="I5428" t="str">
            <v>45 GL EOW 1</v>
          </cell>
        </row>
        <row r="5429">
          <cell r="H5429" t="str">
            <v>SL065.0G1W001WREC</v>
          </cell>
          <cell r="I5429" t="str">
            <v>65 GL 1X WK W/RECY 1</v>
          </cell>
        </row>
        <row r="5430">
          <cell r="H5430" t="str">
            <v>SL095.0G1W001WREC</v>
          </cell>
          <cell r="I5430" t="str">
            <v>95 GL 1X WK W/RECY 1</v>
          </cell>
        </row>
        <row r="5431">
          <cell r="H5431" t="str">
            <v>BULKY-RES</v>
          </cell>
          <cell r="I5431" t="str">
            <v>BULKY ITEM PICK UP - RES</v>
          </cell>
        </row>
        <row r="5432">
          <cell r="H5432" t="str">
            <v>EP96GWC-RES</v>
          </cell>
          <cell r="I5432" t="str">
            <v>EXTRA PICK UP 96 GW - RES</v>
          </cell>
        </row>
        <row r="5433">
          <cell r="H5433" t="str">
            <v>EXTRA-RES</v>
          </cell>
          <cell r="I5433" t="str">
            <v>EXTRA CAN, BAG, BOX - RES</v>
          </cell>
        </row>
        <row r="5434">
          <cell r="H5434" t="str">
            <v>GWRES</v>
          </cell>
          <cell r="I5434" t="str">
            <v>GREENWASTE SERVICE - RES</v>
          </cell>
        </row>
        <row r="5435">
          <cell r="H5435" t="str">
            <v>OW-RES</v>
          </cell>
          <cell r="I5435" t="str">
            <v>OVERFILL / OVERWEIGHT CAN</v>
          </cell>
        </row>
        <row r="5436">
          <cell r="H5436" t="str">
            <v>REINSTATE-RES</v>
          </cell>
          <cell r="I5436" t="str">
            <v>REINSTATE FEE - RES</v>
          </cell>
        </row>
        <row r="5437">
          <cell r="H5437" t="str">
            <v>S45G1W1</v>
          </cell>
          <cell r="I5437" t="str">
            <v>45 GL 1X WK 1</v>
          </cell>
        </row>
        <row r="5438">
          <cell r="H5438" t="str">
            <v>GWRES</v>
          </cell>
          <cell r="I5438" t="str">
            <v>GREENWASTE SERVICE - RES</v>
          </cell>
        </row>
        <row r="5439">
          <cell r="H5439" t="str">
            <v>RECBINONLYR</v>
          </cell>
          <cell r="I5439" t="str">
            <v>RECYCLE SERVICE ONLY</v>
          </cell>
        </row>
        <row r="5440">
          <cell r="H5440" t="str">
            <v>S45G1W1</v>
          </cell>
          <cell r="I5440" t="str">
            <v>45 GL 1X WK 1</v>
          </cell>
        </row>
        <row r="5441">
          <cell r="H5441" t="str">
            <v>S45G1W2</v>
          </cell>
          <cell r="I5441" t="str">
            <v>45 GL 1X WK 2</v>
          </cell>
        </row>
        <row r="5442">
          <cell r="H5442" t="str">
            <v>S45G1W3</v>
          </cell>
          <cell r="I5442" t="str">
            <v>45 GL 1X WK 3</v>
          </cell>
        </row>
        <row r="5443">
          <cell r="H5443" t="str">
            <v>S45GEO1</v>
          </cell>
          <cell r="I5443" t="str">
            <v>45 GL EOW 1</v>
          </cell>
        </row>
        <row r="5444">
          <cell r="H5444" t="str">
            <v>SL020.0G1W001</v>
          </cell>
          <cell r="I5444" t="str">
            <v>20 GL 1X WK 1</v>
          </cell>
        </row>
        <row r="5445">
          <cell r="H5445" t="str">
            <v>SL065.0G1W001WREC</v>
          </cell>
          <cell r="I5445" t="str">
            <v>65 GL 1X WK W/RECY 1</v>
          </cell>
        </row>
        <row r="5446">
          <cell r="H5446" t="str">
            <v>SL095.0G1W001WREC</v>
          </cell>
          <cell r="I5446" t="str">
            <v>95 GL 1X WK W/RECY 1</v>
          </cell>
        </row>
        <row r="5447">
          <cell r="H5447" t="str">
            <v>BULKY-RES</v>
          </cell>
          <cell r="I5447" t="str">
            <v>BULKY ITEM PICK UP - RES</v>
          </cell>
        </row>
        <row r="5448">
          <cell r="H5448" t="str">
            <v>EXTRA-RES</v>
          </cell>
          <cell r="I5448" t="str">
            <v>EXTRA CAN, BAG, BOX - RES</v>
          </cell>
        </row>
        <row r="5449">
          <cell r="H5449" t="str">
            <v>EXTRAGWC-RES</v>
          </cell>
          <cell r="I5449" t="str">
            <v>EXTRA GREENWASTE FEE - RE</v>
          </cell>
        </row>
        <row r="5450">
          <cell r="H5450" t="str">
            <v>OC-RES</v>
          </cell>
          <cell r="I5450" t="str">
            <v>ON CALL SERVICE - RES</v>
          </cell>
        </row>
        <row r="5451">
          <cell r="H5451" t="str">
            <v>OW-RES</v>
          </cell>
          <cell r="I5451" t="str">
            <v>OVERFILL / OVERWEIGHT CAN</v>
          </cell>
        </row>
        <row r="5452">
          <cell r="H5452" t="str">
            <v>REINSTATE-RES</v>
          </cell>
          <cell r="I5452" t="str">
            <v>REINSTATE FEE - RES</v>
          </cell>
        </row>
        <row r="5453">
          <cell r="H5453" t="str">
            <v>OW-RES</v>
          </cell>
          <cell r="I5453" t="str">
            <v>OVERFILL / OVERWEIGHT CAN</v>
          </cell>
        </row>
        <row r="5454">
          <cell r="H5454" t="str">
            <v>LIDRO</v>
          </cell>
          <cell r="I5454" t="str">
            <v>LID CHARGE - RO</v>
          </cell>
        </row>
        <row r="5455">
          <cell r="H5455" t="str">
            <v>RENT20MO-RO</v>
          </cell>
          <cell r="I5455" t="str">
            <v>RENTAL FEE 20 YD MONTHLY</v>
          </cell>
        </row>
        <row r="5456">
          <cell r="H5456" t="str">
            <v>RENT30MO-RO</v>
          </cell>
          <cell r="I5456" t="str">
            <v>RENTAL FEE 30 YD MONTHLY</v>
          </cell>
        </row>
        <row r="5457">
          <cell r="H5457" t="str">
            <v>RENT40MO-RO</v>
          </cell>
          <cell r="I5457" t="str">
            <v>RENTAL FEE 40 YD MONTHLY</v>
          </cell>
        </row>
        <row r="5458">
          <cell r="H5458" t="str">
            <v>CLEAN25-RO</v>
          </cell>
          <cell r="I5458" t="str">
            <v>CLEANING FEE 25 YD - RO</v>
          </cell>
        </row>
        <row r="5459">
          <cell r="H5459" t="str">
            <v>DEL30TEMP-RO</v>
          </cell>
          <cell r="I5459" t="str">
            <v>DELIVERY FEE 30 YD TEMP -</v>
          </cell>
        </row>
        <row r="5460">
          <cell r="H5460" t="str">
            <v>DEL40TEMP-RO</v>
          </cell>
          <cell r="I5460" t="str">
            <v>DELIVERY FEE 40 YD TEMP -</v>
          </cell>
        </row>
        <row r="5461">
          <cell r="H5461" t="str">
            <v>DISCO-CP</v>
          </cell>
          <cell r="I5461" t="str">
            <v xml:space="preserve">COMPACTOR DISCONNECT FEE </v>
          </cell>
        </row>
        <row r="5462">
          <cell r="H5462" t="str">
            <v>DISP-RO</v>
          </cell>
          <cell r="I5462" t="str">
            <v>DISPOSAL CHARGE - RO</v>
          </cell>
        </row>
        <row r="5463">
          <cell r="H5463" t="str">
            <v>DISPGW-RO</v>
          </cell>
          <cell r="I5463" t="str">
            <v>DISPOSAL FEE GREENWASTE -</v>
          </cell>
        </row>
        <row r="5464">
          <cell r="H5464" t="str">
            <v>DISPMETAL-RO</v>
          </cell>
          <cell r="I5464" t="str">
            <v>DISPOSAL FEE METAL - RO</v>
          </cell>
        </row>
        <row r="5465">
          <cell r="H5465" t="str">
            <v>DISPTRANS-RO</v>
          </cell>
          <cell r="I5465" t="str">
            <v>DISPOSAL FEE TRANSFER HAU</v>
          </cell>
        </row>
        <row r="5466">
          <cell r="H5466" t="str">
            <v>FINAL30TEMP-RO</v>
          </cell>
          <cell r="I5466" t="str">
            <v>FINAL PULL 30 YD TEMP - R</v>
          </cell>
        </row>
        <row r="5467">
          <cell r="H5467" t="str">
            <v>FINAL40TEMP-RO</v>
          </cell>
          <cell r="I5467" t="str">
            <v>FINAL PULL 40 YD TEMP - R</v>
          </cell>
        </row>
        <row r="5468">
          <cell r="H5468" t="str">
            <v>HAUL20-CP</v>
          </cell>
          <cell r="I5468" t="str">
            <v>COMPACTOR HAUL 20 YD - RO</v>
          </cell>
        </row>
        <row r="5469">
          <cell r="H5469" t="str">
            <v>HAUL20-RO</v>
          </cell>
          <cell r="I5469" t="str">
            <v>HAUL 20 YD - RO</v>
          </cell>
        </row>
        <row r="5470">
          <cell r="H5470" t="str">
            <v>HAUL25-CP</v>
          </cell>
          <cell r="I5470" t="str">
            <v>COMPACTOR HAUL 25 YD - RO</v>
          </cell>
        </row>
        <row r="5471">
          <cell r="H5471" t="str">
            <v>HAUL30-RO</v>
          </cell>
          <cell r="I5471" t="str">
            <v>HAUL 30 YD - RO</v>
          </cell>
        </row>
        <row r="5472">
          <cell r="H5472" t="str">
            <v>HAUL40-CP</v>
          </cell>
          <cell r="I5472" t="str">
            <v>COMPACTOR HAUL 40 YD</v>
          </cell>
        </row>
        <row r="5473">
          <cell r="H5473" t="str">
            <v>HAUL40-RO</v>
          </cell>
          <cell r="I5473" t="str">
            <v>HAUL 40 YD - RO</v>
          </cell>
        </row>
        <row r="5474">
          <cell r="H5474" t="str">
            <v>MILE-RO</v>
          </cell>
          <cell r="I5474" t="str">
            <v>MILEAGE FEE - RO</v>
          </cell>
        </row>
        <row r="5475">
          <cell r="H5475" t="str">
            <v>RENT30TEMP-RO</v>
          </cell>
          <cell r="I5475" t="str">
            <v>RENTAL FEE 30 YD TEMP - R</v>
          </cell>
        </row>
        <row r="5476">
          <cell r="H5476" t="str">
            <v>RENT40TEMP-RO</v>
          </cell>
          <cell r="I5476" t="str">
            <v>RENTAL FEE 40 YD TEMP - R</v>
          </cell>
        </row>
        <row r="5477">
          <cell r="H5477" t="str">
            <v>DISPCMGL-RO</v>
          </cell>
          <cell r="I5477" t="str">
            <v xml:space="preserve">DISPOSAL FEE COMMINGLE - </v>
          </cell>
        </row>
        <row r="5478">
          <cell r="H5478" t="str">
            <v>DISPGLASS-RO</v>
          </cell>
          <cell r="I5478" t="str">
            <v>DISPOSAL FEE GLASS - RO</v>
          </cell>
        </row>
        <row r="5479">
          <cell r="H5479" t="str">
            <v>DISPOCC-RO</v>
          </cell>
          <cell r="I5479" t="str">
            <v xml:space="preserve">DISPOSAL FEE CARDBOARD - </v>
          </cell>
        </row>
        <row r="5480">
          <cell r="H5480" t="str">
            <v>HAUL30-RO</v>
          </cell>
          <cell r="I5480" t="str">
            <v>HAUL 30 YD - RO</v>
          </cell>
        </row>
        <row r="5481">
          <cell r="H5481" t="str">
            <v>COMMODITY SURCHARGE</v>
          </cell>
          <cell r="I5481" t="str">
            <v>COMMODITY SURCHARGE</v>
          </cell>
        </row>
        <row r="5482">
          <cell r="H5482" t="str">
            <v>COMMODITY SURCHARGE</v>
          </cell>
          <cell r="I5482" t="str">
            <v>COMMODITY SURCHARGE</v>
          </cell>
        </row>
        <row r="5483">
          <cell r="H5483" t="str">
            <v>DUPONT CITY UTILITY TAX</v>
          </cell>
          <cell r="I5483" t="str">
            <v>8% CITY UTILITY TAX</v>
          </cell>
        </row>
        <row r="5484">
          <cell r="H5484" t="str">
            <v>DUPONT REFUSE TAX</v>
          </cell>
          <cell r="I5484" t="str">
            <v>3.6% WA STATE REFUSE TAX</v>
          </cell>
        </row>
        <row r="5485">
          <cell r="H5485" t="str">
            <v>DUPONT CITY ONLY</v>
          </cell>
          <cell r="I5485" t="str">
            <v>8% CITY UTILITY TAX</v>
          </cell>
        </row>
        <row r="5486">
          <cell r="H5486" t="str">
            <v>DUPONT CITY UTILITY TAX</v>
          </cell>
          <cell r="I5486" t="str">
            <v>8% CITY UTILITY TAX</v>
          </cell>
        </row>
        <row r="5487">
          <cell r="H5487" t="str">
            <v>DUPONT REFUSE TAX</v>
          </cell>
          <cell r="I5487" t="str">
            <v>3.6% WA STATE REFUSE TAX</v>
          </cell>
        </row>
        <row r="5488">
          <cell r="H5488" t="str">
            <v>DUPONT STATE SALES TAX</v>
          </cell>
          <cell r="I5488" t="str">
            <v>9.3% WA STATE SALES TAX</v>
          </cell>
        </row>
        <row r="5489">
          <cell r="H5489" t="str">
            <v>DUPONT CITY UTILITY TAX</v>
          </cell>
          <cell r="I5489" t="str">
            <v>8% CITY UTILITY TAX</v>
          </cell>
        </row>
        <row r="5490">
          <cell r="H5490" t="str">
            <v>DUPONT REFUSE TAX</v>
          </cell>
          <cell r="I5490" t="str">
            <v>3.6% WA STATE REFUSE TAX</v>
          </cell>
        </row>
        <row r="5491">
          <cell r="H5491" t="str">
            <v>DUPONT STATE SALES TAX</v>
          </cell>
          <cell r="I5491" t="str">
            <v>9.3% WA STATE SALES TAX</v>
          </cell>
        </row>
        <row r="5492">
          <cell r="H5492" t="str">
            <v>DUPONT CITY UTILITY TAX</v>
          </cell>
          <cell r="I5492" t="str">
            <v>8% CITY UTILITY TAX</v>
          </cell>
        </row>
        <row r="5493">
          <cell r="H5493" t="str">
            <v>DUPONT REFUSE TAX</v>
          </cell>
          <cell r="I5493" t="str">
            <v>3.6% WA STATE REFUSE TAX</v>
          </cell>
        </row>
        <row r="5494">
          <cell r="H5494" t="str">
            <v>DUPONT CITY UTILITY TAX</v>
          </cell>
          <cell r="I5494" t="str">
            <v>8% CITY UTILITY TAX</v>
          </cell>
        </row>
        <row r="5495">
          <cell r="H5495" t="str">
            <v>DUPONT REFUSE TAX</v>
          </cell>
          <cell r="I5495" t="str">
            <v>3.6% WA STATE REFUSE TAX</v>
          </cell>
        </row>
        <row r="5496">
          <cell r="H5496" t="str">
            <v>DUPONT CITY ONLY</v>
          </cell>
          <cell r="I5496" t="str">
            <v>8% CITY UTILITY TAX</v>
          </cell>
        </row>
        <row r="5497">
          <cell r="H5497" t="str">
            <v>DUPONT CITY UTILITY TAX</v>
          </cell>
          <cell r="I5497" t="str">
            <v>8% CITY UTILITY TAX</v>
          </cell>
        </row>
        <row r="5498">
          <cell r="H5498" t="str">
            <v>DUPONT REFUSE TAX</v>
          </cell>
          <cell r="I5498" t="str">
            <v>3.6% WA STATE REFUSE TAX</v>
          </cell>
        </row>
        <row r="5499">
          <cell r="H5499" t="str">
            <v>DUPONT STATE SALES TAX</v>
          </cell>
          <cell r="I5499" t="str">
            <v>9.3% WA STATE SALES TAX</v>
          </cell>
        </row>
        <row r="5500">
          <cell r="H5500" t="str">
            <v>DUPONT CITY UTILITY TAX</v>
          </cell>
          <cell r="I5500" t="str">
            <v>8% CITY UTILITY TAX</v>
          </cell>
        </row>
        <row r="5501">
          <cell r="H5501" t="str">
            <v>DUPONT REFUSE TAX</v>
          </cell>
          <cell r="I5501" t="str">
            <v>3.6% WA STATE REFUSE TAX</v>
          </cell>
        </row>
        <row r="5502">
          <cell r="H5502" t="str">
            <v>MM</v>
          </cell>
          <cell r="I5502" t="str">
            <v>ADJUST BALANCE (MM)</v>
          </cell>
        </row>
        <row r="5503">
          <cell r="H5503" t="str">
            <v>MM</v>
          </cell>
          <cell r="I5503" t="str">
            <v>ADJUST BALANCE (MM)</v>
          </cell>
        </row>
        <row r="5504">
          <cell r="H5504" t="str">
            <v>ACCESS-COMM</v>
          </cell>
          <cell r="I5504" t="str">
            <v>ACCESS FEE - COMM</v>
          </cell>
        </row>
        <row r="5505">
          <cell r="H5505" t="str">
            <v>DONATIONC</v>
          </cell>
          <cell r="I5505" t="str">
            <v>DONATED SERVICE COMM</v>
          </cell>
        </row>
        <row r="5506">
          <cell r="H5506" t="str">
            <v>FL001.0Y1W001</v>
          </cell>
          <cell r="I5506" t="str">
            <v>1 YD 1X WK 1</v>
          </cell>
        </row>
        <row r="5507">
          <cell r="H5507" t="str">
            <v>FL001.0Y2W001</v>
          </cell>
          <cell r="I5507" t="str">
            <v>1 YD 2X WK 1</v>
          </cell>
        </row>
        <row r="5508">
          <cell r="H5508" t="str">
            <v>FL001.5Y1W001</v>
          </cell>
          <cell r="I5508" t="str">
            <v>1.5 YD 1X WK 1</v>
          </cell>
        </row>
        <row r="5509">
          <cell r="H5509" t="str">
            <v>FL001.5Y2W001</v>
          </cell>
          <cell r="I5509" t="str">
            <v>1.5 YD 2X WK 1</v>
          </cell>
        </row>
        <row r="5510">
          <cell r="H5510" t="str">
            <v>FL002.0Y1W001</v>
          </cell>
          <cell r="I5510" t="str">
            <v>2 YD 1X WK 1</v>
          </cell>
        </row>
        <row r="5511">
          <cell r="H5511" t="str">
            <v>FL002.0Y2W001</v>
          </cell>
          <cell r="I5511" t="str">
            <v>2 YD 2X WK 1</v>
          </cell>
        </row>
        <row r="5512">
          <cell r="H5512" t="str">
            <v>GWCOMM</v>
          </cell>
          <cell r="I5512" t="str">
            <v>GREENWASTE SERVICE - COMM</v>
          </cell>
        </row>
        <row r="5513">
          <cell r="H5513" t="str">
            <v>RL001.0Y1W001</v>
          </cell>
          <cell r="I5513" t="str">
            <v>1 YD 1X WK 1</v>
          </cell>
        </row>
        <row r="5514">
          <cell r="H5514" t="str">
            <v>RL001.5Y1W001</v>
          </cell>
          <cell r="I5514" t="str">
            <v>1.5 YD 1X WK 1</v>
          </cell>
        </row>
        <row r="5515">
          <cell r="H5515" t="str">
            <v>RL002.0Y1W001</v>
          </cell>
          <cell r="I5515" t="str">
            <v>2 YD 1X WK 1</v>
          </cell>
        </row>
        <row r="5516">
          <cell r="H5516" t="str">
            <v>SL035.0G1M001WRECC</v>
          </cell>
          <cell r="I5516" t="str">
            <v>35 GL 1X MO W/RECY COMM 1</v>
          </cell>
        </row>
        <row r="5517">
          <cell r="H5517" t="str">
            <v>SL065.0G1M001WRECC</v>
          </cell>
          <cell r="I5517" t="str">
            <v>65 GL 1X MO W/RECY COMM 1</v>
          </cell>
        </row>
        <row r="5518">
          <cell r="H5518" t="str">
            <v>SL065.0G1W001WRECC</v>
          </cell>
          <cell r="I5518" t="str">
            <v>65 GL 1X WK W/RECY COMM 1</v>
          </cell>
        </row>
        <row r="5519">
          <cell r="H5519" t="str">
            <v>SL065.0GEO001WRECC</v>
          </cell>
          <cell r="I5519" t="str">
            <v>65 GL EOW W/RECY COMM 1</v>
          </cell>
        </row>
        <row r="5520">
          <cell r="H5520" t="str">
            <v>SL095.0G1W001NORECC</v>
          </cell>
          <cell r="I5520" t="str">
            <v xml:space="preserve">95 GL 1X WK NO RECY COMM </v>
          </cell>
        </row>
        <row r="5521">
          <cell r="H5521" t="str">
            <v>SL095.0G1W001WRECC</v>
          </cell>
          <cell r="I5521" t="str">
            <v>95 GL 1X WK W/RECY COMM 1</v>
          </cell>
        </row>
        <row r="5522">
          <cell r="H5522" t="str">
            <v>SL095.0GEO001WRECC</v>
          </cell>
          <cell r="I5522" t="str">
            <v>95 GL EOW W/RECY COMM 1</v>
          </cell>
        </row>
        <row r="5523">
          <cell r="H5523" t="str">
            <v>EXTRA-COMM</v>
          </cell>
          <cell r="I5523" t="str">
            <v>EXTRA CAN, BAG, BOX - COM</v>
          </cell>
        </row>
        <row r="5524">
          <cell r="H5524" t="str">
            <v>FL002.0YXX001TEMPC</v>
          </cell>
          <cell r="I5524" t="str">
            <v xml:space="preserve">2 YD TEMP </v>
          </cell>
        </row>
        <row r="5525">
          <cell r="H5525" t="str">
            <v>RENT2TEMP-COMM</v>
          </cell>
          <cell r="I5525" t="str">
            <v>RENT 2 YD TEMP - COMM</v>
          </cell>
        </row>
        <row r="5526">
          <cell r="H5526" t="str">
            <v>ACCESSCREC-COMM</v>
          </cell>
          <cell r="I5526" t="str">
            <v>ACCESS FEE COMM RECY - CO</v>
          </cell>
        </row>
        <row r="5527">
          <cell r="H5527" t="str">
            <v>FL002.0Y1W001BCMGL</v>
          </cell>
          <cell r="I5527" t="str">
            <v>2 YD 1X WK BUS CMGL 1</v>
          </cell>
        </row>
        <row r="5528">
          <cell r="H5528" t="str">
            <v>FL002.0Y1W001BOCC</v>
          </cell>
          <cell r="I5528" t="str">
            <v>2 YD 1X WK BUS OCC 1</v>
          </cell>
        </row>
        <row r="5529">
          <cell r="H5529" t="str">
            <v>FL002.0Y2W001SCMGL</v>
          </cell>
          <cell r="I5529" t="str">
            <v>2 YD 2X WK SCHL CMGL 1</v>
          </cell>
        </row>
        <row r="5530">
          <cell r="H5530" t="str">
            <v>FL005.0Y1W001BOCC</v>
          </cell>
          <cell r="I5530" t="str">
            <v>5 YD 1X WK BUS OCC 1</v>
          </cell>
        </row>
        <row r="5531">
          <cell r="H5531" t="str">
            <v>FL006.0Y1W001SCMGL</v>
          </cell>
          <cell r="I5531" t="str">
            <v>6 YD 1X WK SCHL CMGL 1</v>
          </cell>
        </row>
        <row r="5532">
          <cell r="H5532" t="str">
            <v>SL096.0GEO001BCMGLIN</v>
          </cell>
          <cell r="I5532" t="str">
            <v>96 GL EOW BUS CMGL IN</v>
          </cell>
        </row>
        <row r="5533">
          <cell r="H5533" t="str">
            <v>SL096.0GEO001BCMGLOUT</v>
          </cell>
          <cell r="I5533" t="str">
            <v>96 GL EOW BUS CMGL OUT</v>
          </cell>
        </row>
        <row r="5534">
          <cell r="H5534" t="str">
            <v>SL096.0GEO001SCMGLOUT</v>
          </cell>
          <cell r="I5534" t="str">
            <v>96 GL EOW SCHL CMGL OUT</v>
          </cell>
        </row>
        <row r="5535">
          <cell r="H5535" t="str">
            <v>PAYUSBL</v>
          </cell>
          <cell r="I5535" t="str">
            <v>PAYMENT THANK YOU</v>
          </cell>
        </row>
        <row r="5536">
          <cell r="H5536" t="str">
            <v>GWRES</v>
          </cell>
          <cell r="I5536" t="str">
            <v>GREENWASTE SERVICE - RES</v>
          </cell>
        </row>
        <row r="5537">
          <cell r="H5537" t="str">
            <v>RECBINONLYR</v>
          </cell>
          <cell r="I5537" t="str">
            <v>RECYCLE SERVICE ONLY</v>
          </cell>
        </row>
        <row r="5538">
          <cell r="H5538" t="str">
            <v>SL035.0G1M001WREC</v>
          </cell>
          <cell r="I5538" t="str">
            <v>35 GL 1X MO W/RECY 1</v>
          </cell>
        </row>
        <row r="5539">
          <cell r="H5539" t="str">
            <v>SL065.0G1M001NOREC</v>
          </cell>
          <cell r="I5539" t="str">
            <v>65 GL 1X MO NO RECY 1</v>
          </cell>
        </row>
        <row r="5540">
          <cell r="H5540" t="str">
            <v>SL065.0G1M001WREC</v>
          </cell>
          <cell r="I5540" t="str">
            <v>65 GL 1X MO W/RECY 1</v>
          </cell>
        </row>
        <row r="5541">
          <cell r="H5541" t="str">
            <v>SL065.0G1W001WREC</v>
          </cell>
          <cell r="I5541" t="str">
            <v>65 GL 1X WK W/RECY 1</v>
          </cell>
        </row>
        <row r="5542">
          <cell r="H5542" t="str">
            <v>SL065.0GEO001</v>
          </cell>
          <cell r="I5542" t="str">
            <v>65 GL EOW 1</v>
          </cell>
        </row>
        <row r="5543">
          <cell r="H5543" t="str">
            <v>SL065.0GEO001WREC</v>
          </cell>
          <cell r="I5543" t="str">
            <v>65 GL EOW W/RECY 1</v>
          </cell>
        </row>
        <row r="5544">
          <cell r="H5544" t="str">
            <v>SL095.0G1W001WREC</v>
          </cell>
          <cell r="I5544" t="str">
            <v>95 GL 1X WK W/RECY 1</v>
          </cell>
        </row>
        <row r="5545">
          <cell r="H5545" t="str">
            <v>SL095.0GEO001</v>
          </cell>
          <cell r="I5545" t="str">
            <v>95 GL EOW 1</v>
          </cell>
        </row>
        <row r="5546">
          <cell r="H5546" t="str">
            <v>SL095.0GEO001WREC</v>
          </cell>
          <cell r="I5546" t="str">
            <v>95 GL EOW W/RECY 1</v>
          </cell>
        </row>
        <row r="5547">
          <cell r="H5547" t="str">
            <v>EXTRA-RES</v>
          </cell>
          <cell r="I5547" t="str">
            <v>EXTRA CAN, BAG, BOX - RES</v>
          </cell>
        </row>
        <row r="5548">
          <cell r="H5548" t="str">
            <v>EXTRAGWC-RES</v>
          </cell>
          <cell r="I5548" t="str">
            <v>EXTRA GREENWASTE FEE - RE</v>
          </cell>
        </row>
        <row r="5549">
          <cell r="H5549" t="str">
            <v>OC-RES</v>
          </cell>
          <cell r="I5549" t="str">
            <v>ON CALL SERVICE - RES</v>
          </cell>
        </row>
        <row r="5550">
          <cell r="H5550" t="str">
            <v>OW-RES</v>
          </cell>
          <cell r="I5550" t="str">
            <v>OVERFILL / OVERWEIGHT CAN</v>
          </cell>
        </row>
        <row r="5551">
          <cell r="H5551" t="str">
            <v>SL065.0GEO001WREC</v>
          </cell>
          <cell r="I5551" t="str">
            <v>65 GL EOW W/RECY 1</v>
          </cell>
        </row>
        <row r="5552">
          <cell r="H5552" t="str">
            <v>SL095.0G1W001WREC</v>
          </cell>
          <cell r="I5552" t="str">
            <v>95 GL 1X WK W/RECY 1</v>
          </cell>
        </row>
        <row r="5553">
          <cell r="H5553" t="str">
            <v>DONATIONRO</v>
          </cell>
          <cell r="I5553" t="str">
            <v>DONATED SERVICE ROLL OFF</v>
          </cell>
        </row>
        <row r="5554">
          <cell r="H5554" t="str">
            <v>LIDRO</v>
          </cell>
          <cell r="I5554" t="str">
            <v>LID CHARGE - RO</v>
          </cell>
        </row>
        <row r="5555">
          <cell r="H5555" t="str">
            <v>RENT20MO-RO</v>
          </cell>
          <cell r="I5555" t="str">
            <v>RENTAL FEE 20 YD MONTHLY</v>
          </cell>
        </row>
        <row r="5556">
          <cell r="H5556" t="str">
            <v>RENT20TEMP-RO</v>
          </cell>
          <cell r="I5556" t="str">
            <v>RENTAL FEE 20 YD TEMP - R</v>
          </cell>
        </row>
        <row r="5557">
          <cell r="H5557" t="str">
            <v>RENT30MO-RO</v>
          </cell>
          <cell r="I5557" t="str">
            <v>RENTAL FEE 30 YD MONTHLY</v>
          </cell>
        </row>
        <row r="5558">
          <cell r="H5558" t="str">
            <v>DISCO-CP</v>
          </cell>
          <cell r="I5558" t="str">
            <v xml:space="preserve">COMPACTOR DISCONNECT FEE </v>
          </cell>
        </row>
        <row r="5559">
          <cell r="H5559" t="str">
            <v>DISP-RO</v>
          </cell>
          <cell r="I5559" t="str">
            <v>DISPOSAL CHARGE - RO</v>
          </cell>
        </row>
        <row r="5560">
          <cell r="H5560" t="str">
            <v>DISPOCC-RO</v>
          </cell>
          <cell r="I5560" t="str">
            <v xml:space="preserve">DISPOSAL FEE CARDBOARD - </v>
          </cell>
        </row>
        <row r="5561">
          <cell r="H5561" t="str">
            <v>HAUL30-CP</v>
          </cell>
          <cell r="I5561" t="str">
            <v>COMPACTOR HAUL 30 YD</v>
          </cell>
        </row>
        <row r="5562">
          <cell r="H5562" t="str">
            <v>HAUL30-RO</v>
          </cell>
          <cell r="I5562" t="str">
            <v>HAUL 30 YD - RO</v>
          </cell>
        </row>
        <row r="5563">
          <cell r="H5563" t="str">
            <v>MILE-RO</v>
          </cell>
          <cell r="I5563" t="str">
            <v>MILEAGE FEE - RO</v>
          </cell>
        </row>
        <row r="5564">
          <cell r="H5564" t="str">
            <v>RENT20TEMP-RO</v>
          </cell>
          <cell r="I5564" t="str">
            <v>RENTAL FEE 20 YD TEMP - R</v>
          </cell>
        </row>
        <row r="5565">
          <cell r="H5565" t="str">
            <v>COMMODITY SURCHARGE</v>
          </cell>
          <cell r="I5565" t="str">
            <v>COMMODITY SURCHARGE</v>
          </cell>
        </row>
        <row r="5566">
          <cell r="H5566" t="str">
            <v xml:space="preserve">PIERCE COUNTY REFUSE </v>
          </cell>
          <cell r="I5566" t="str">
            <v>3.6% PIERCE COUNTY REFUSE</v>
          </cell>
        </row>
        <row r="5567">
          <cell r="H5567" t="str">
            <v>PIERCE COUNTY REFUSE TAX</v>
          </cell>
          <cell r="I5567" t="str">
            <v>3.6% PIERCE COUNTY REFUSE</v>
          </cell>
        </row>
        <row r="5568">
          <cell r="H5568" t="str">
            <v>PIERCE COUNTY SALES TAX</v>
          </cell>
          <cell r="I5568" t="str">
            <v>7.9% WA STATE SALES TAX</v>
          </cell>
        </row>
        <row r="5569">
          <cell r="H5569" t="str">
            <v>PIERCE COUNTY REFUSE TAX</v>
          </cell>
          <cell r="I5569" t="str">
            <v>3.6% PIERCE COUNTY REFUSE</v>
          </cell>
        </row>
        <row r="5570">
          <cell r="H5570" t="str">
            <v>PIERCE COUNTY SALES TAX</v>
          </cell>
          <cell r="I5570" t="str">
            <v>7.9% WA STATE SALES TAX</v>
          </cell>
        </row>
        <row r="5571">
          <cell r="H5571" t="str">
            <v>PIERCE COUNTY REFUSE TAX</v>
          </cell>
          <cell r="I5571" t="str">
            <v>3.6% PIERCE COUNTY REFUSE</v>
          </cell>
        </row>
        <row r="5572">
          <cell r="H5572" t="str">
            <v>PIERCE COUNTY SALES TAX</v>
          </cell>
          <cell r="I5572" t="str">
            <v>7.9% WA STATE SALES TAX</v>
          </cell>
        </row>
        <row r="5573">
          <cell r="H5573" t="str">
            <v>FINCHG</v>
          </cell>
          <cell r="I5573" t="str">
            <v>LATE FEE</v>
          </cell>
        </row>
        <row r="5574">
          <cell r="H5574" t="str">
            <v>MM</v>
          </cell>
          <cell r="I5574" t="str">
            <v>ADJUST BALANCE (MM)</v>
          </cell>
        </row>
        <row r="5575">
          <cell r="H5575" t="str">
            <v>FL004.0Y2W001MF</v>
          </cell>
          <cell r="I5575" t="str">
            <v>4 YD 2X WK MULTI-FAMILY 1</v>
          </cell>
        </row>
        <row r="5576">
          <cell r="H5576" t="str">
            <v>FL006.0Y1W001MF</v>
          </cell>
          <cell r="I5576" t="str">
            <v>6 YD 1X WK MULTI-FAMILY 1</v>
          </cell>
        </row>
        <row r="5577">
          <cell r="H5577" t="str">
            <v>FL006.0Y2W001MF</v>
          </cell>
          <cell r="I5577" t="str">
            <v>6 YD 2X WK MULTI-FAMILY 1</v>
          </cell>
        </row>
        <row r="5578">
          <cell r="H5578" t="str">
            <v>SL095.0G1W001WRECC</v>
          </cell>
          <cell r="I5578" t="str">
            <v>95 GL 1X WK W/RECY COMM 1</v>
          </cell>
        </row>
        <row r="5579">
          <cell r="H5579" t="str">
            <v>MFWBINS</v>
          </cell>
          <cell r="I5579" t="str">
            <v>MULTI-FAMILY REC UNIT W/B</v>
          </cell>
        </row>
        <row r="5580">
          <cell r="H5580" t="str">
            <v>SL096.0G1M001BCMGLOUT</v>
          </cell>
          <cell r="I5580" t="str">
            <v>96 GL MTHLY BUS CMGL OUT</v>
          </cell>
        </row>
        <row r="5581">
          <cell r="H5581" t="str">
            <v>CC-KOL</v>
          </cell>
          <cell r="I5581" t="str">
            <v>ONLINE PAYMENT-CC</v>
          </cell>
        </row>
        <row r="5582">
          <cell r="H5582" t="str">
            <v>PAY</v>
          </cell>
          <cell r="I5582" t="str">
            <v>PAYMENT THANK YOU</v>
          </cell>
        </row>
        <row r="5583">
          <cell r="H5583" t="str">
            <v>PAY-KOL</v>
          </cell>
          <cell r="I5583" t="str">
            <v>PAYMENT-THANK YOU - OL</v>
          </cell>
        </row>
        <row r="5584">
          <cell r="H5584" t="str">
            <v>GWRES</v>
          </cell>
          <cell r="I5584" t="str">
            <v>GREENWASTE SERVICE - RES</v>
          </cell>
        </row>
        <row r="5585">
          <cell r="H5585" t="str">
            <v>RECBINONLYR</v>
          </cell>
          <cell r="I5585" t="str">
            <v>RECYCLE SERVICE ONLY</v>
          </cell>
        </row>
        <row r="5586">
          <cell r="H5586" t="str">
            <v>RECPROGADJ-RES</v>
          </cell>
          <cell r="I5586" t="str">
            <v>RECYCLING PROGRAM ADJUSTM</v>
          </cell>
        </row>
        <row r="5587">
          <cell r="H5587" t="str">
            <v>RECVALRES</v>
          </cell>
          <cell r="I5587" t="str">
            <v>RECYCLABLES VALUE - RES</v>
          </cell>
        </row>
        <row r="5588">
          <cell r="H5588" t="str">
            <v>SL065.0G1W001WREC</v>
          </cell>
          <cell r="I5588" t="str">
            <v>65 GL 1X WK W/RECY 1</v>
          </cell>
        </row>
        <row r="5589">
          <cell r="H5589" t="str">
            <v>SL095.0G1W001WREC</v>
          </cell>
          <cell r="I5589" t="str">
            <v>95 GL 1X WK W/RECY 1</v>
          </cell>
        </row>
        <row r="5590">
          <cell r="H5590" t="str">
            <v>BULKY-RES</v>
          </cell>
          <cell r="I5590" t="str">
            <v>BULKY ITEM PICK UP - RES</v>
          </cell>
        </row>
        <row r="5591">
          <cell r="H5591" t="str">
            <v>DISPFEDMSW-RES</v>
          </cell>
          <cell r="I5591" t="str">
            <v>DISPOSAL FEDERAL MSW - RE</v>
          </cell>
        </row>
        <row r="5592">
          <cell r="H5592" t="str">
            <v>SL065.0G1W001WREC</v>
          </cell>
          <cell r="I5592" t="str">
            <v>65 GL 1X WK W/RECY 1</v>
          </cell>
        </row>
        <row r="5593">
          <cell r="H5593" t="str">
            <v>SL095.0G1W001WREC</v>
          </cell>
          <cell r="I5593" t="str">
            <v>95 GL 1X WK W/RECY 1</v>
          </cell>
        </row>
        <row r="5594">
          <cell r="H5594" t="str">
            <v>TIME-RES</v>
          </cell>
          <cell r="I5594" t="str">
            <v>TIME FEE 1 - RES</v>
          </cell>
        </row>
        <row r="5595">
          <cell r="H5595" t="str">
            <v>RENT20MO-RO</v>
          </cell>
          <cell r="I5595" t="str">
            <v>RENTAL FEE 20 YD MONTHLY</v>
          </cell>
        </row>
        <row r="5596">
          <cell r="H5596" t="str">
            <v>RENT30MO-RO</v>
          </cell>
          <cell r="I5596" t="str">
            <v>RENTAL FEE 30 YD MONTHLY</v>
          </cell>
        </row>
        <row r="5597">
          <cell r="H5597" t="str">
            <v>RENT40MO-RO</v>
          </cell>
          <cell r="I5597" t="str">
            <v>RENTAL FEE 40 YD MONTHLY</v>
          </cell>
        </row>
        <row r="5598">
          <cell r="H5598" t="str">
            <v>DISPFEDMSW-RO</v>
          </cell>
          <cell r="I5598" t="str">
            <v xml:space="preserve">DISPOSAL FEE FEDERAL MSW </v>
          </cell>
        </row>
        <row r="5599">
          <cell r="H5599" t="str">
            <v>EXWGHT-RO</v>
          </cell>
          <cell r="I5599" t="str">
            <v>EXCESS WEIGHT - RO</v>
          </cell>
        </row>
        <row r="5600">
          <cell r="H5600" t="str">
            <v>HAUL20-RO</v>
          </cell>
          <cell r="I5600" t="str">
            <v>HAUL 20 YD - RO</v>
          </cell>
        </row>
        <row r="5601">
          <cell r="H5601" t="str">
            <v>HAUL30-RO</v>
          </cell>
          <cell r="I5601" t="str">
            <v>HAUL 30 YD - RO</v>
          </cell>
        </row>
        <row r="5602">
          <cell r="H5602" t="str">
            <v>HAUL40-RO</v>
          </cell>
          <cell r="I5602" t="str">
            <v>HAUL 40 YD - RO</v>
          </cell>
        </row>
        <row r="5603">
          <cell r="H5603" t="str">
            <v>MILE-RO</v>
          </cell>
          <cell r="I5603" t="str">
            <v>MILEAGE FEE - RO</v>
          </cell>
        </row>
        <row r="5604">
          <cell r="H5604" t="str">
            <v>FT LEWIS REFUSE TAX</v>
          </cell>
          <cell r="I5604" t="str">
            <v>3.6% WA STATE REFUSE TAX</v>
          </cell>
        </row>
        <row r="5605">
          <cell r="H5605" t="str">
            <v>FT LEWIS REFUSE TAX</v>
          </cell>
          <cell r="I5605" t="str">
            <v>3.6% WA STATE REFUSE TAX</v>
          </cell>
        </row>
        <row r="5606">
          <cell r="H5606" t="str">
            <v>FT LEWIS STATE SALES TAX</v>
          </cell>
          <cell r="I5606" t="str">
            <v>9.3% WA STATE SALES TAX</v>
          </cell>
        </row>
        <row r="5607">
          <cell r="H5607" t="str">
            <v>FT LEWIS REFUSE TAX</v>
          </cell>
          <cell r="I5607" t="str">
            <v>3.6% WA STATE REFUSE TAX</v>
          </cell>
        </row>
        <row r="5608">
          <cell r="H5608" t="str">
            <v>FINCHG</v>
          </cell>
          <cell r="I5608" t="str">
            <v>LATE FEE</v>
          </cell>
        </row>
        <row r="5609">
          <cell r="H5609" t="str">
            <v>BD</v>
          </cell>
          <cell r="I5609" t="str">
            <v>BAD DEBT WRITE OFF</v>
          </cell>
        </row>
        <row r="5610">
          <cell r="H5610" t="str">
            <v>FINCHG</v>
          </cell>
          <cell r="I5610" t="str">
            <v>LATE FEE</v>
          </cell>
        </row>
        <row r="5611">
          <cell r="H5611" t="str">
            <v>MM</v>
          </cell>
          <cell r="I5611" t="str">
            <v>ADJUST BALANCE (MM)</v>
          </cell>
        </row>
        <row r="5612">
          <cell r="H5612" t="str">
            <v>ACCESS-COMM</v>
          </cell>
          <cell r="I5612" t="str">
            <v>ACCESS FEE - COMM</v>
          </cell>
        </row>
        <row r="5613">
          <cell r="H5613" t="str">
            <v>FL001.0Y1W001</v>
          </cell>
          <cell r="I5613" t="str">
            <v>1 YD 1X WK 1</v>
          </cell>
        </row>
        <row r="5614">
          <cell r="H5614" t="str">
            <v>FL001.5Y1W001</v>
          </cell>
          <cell r="I5614" t="str">
            <v>1.5 YD 1X WK 1</v>
          </cell>
        </row>
        <row r="5615">
          <cell r="H5615" t="str">
            <v>FL001.5Y2W001</v>
          </cell>
          <cell r="I5615" t="str">
            <v>1.5 YD 2X WK 1</v>
          </cell>
        </row>
        <row r="5616">
          <cell r="H5616" t="str">
            <v>FL001.5Y3W001</v>
          </cell>
          <cell r="I5616" t="str">
            <v>1.5 YD 3X WK 1</v>
          </cell>
        </row>
        <row r="5617">
          <cell r="H5617" t="str">
            <v>FL001.5Y4W001</v>
          </cell>
          <cell r="I5617" t="str">
            <v>1.5 YD 4X WK 1</v>
          </cell>
        </row>
        <row r="5618">
          <cell r="H5618" t="str">
            <v>FL001.5Y5W001</v>
          </cell>
          <cell r="I5618" t="str">
            <v>1.5 YD 5X WK 1</v>
          </cell>
        </row>
        <row r="5619">
          <cell r="H5619" t="str">
            <v>FL002.0Y1W001</v>
          </cell>
          <cell r="I5619" t="str">
            <v>2 YD 1X WK 1</v>
          </cell>
        </row>
        <row r="5620">
          <cell r="H5620" t="str">
            <v>FL002.0Y3W001</v>
          </cell>
          <cell r="I5620" t="str">
            <v>2 YD 3X WK 1</v>
          </cell>
        </row>
        <row r="5621">
          <cell r="H5621" t="str">
            <v>FL002.0Y5W001</v>
          </cell>
          <cell r="I5621" t="str">
            <v>2 YD 5X WK 1</v>
          </cell>
        </row>
        <row r="5622">
          <cell r="H5622" t="str">
            <v>FL003.0Y1W001</v>
          </cell>
          <cell r="I5622" t="str">
            <v>3 YD 1X WK 1</v>
          </cell>
        </row>
        <row r="5623">
          <cell r="H5623" t="str">
            <v>FL003.0Y2W001</v>
          </cell>
          <cell r="I5623" t="str">
            <v>3 YD 2X WK 1</v>
          </cell>
        </row>
        <row r="5624">
          <cell r="H5624" t="str">
            <v>FL004.0Y1W001</v>
          </cell>
          <cell r="I5624" t="str">
            <v>4 YD 1X WK 1</v>
          </cell>
        </row>
        <row r="5625">
          <cell r="H5625" t="str">
            <v>FL006.0Y1W001</v>
          </cell>
          <cell r="I5625" t="str">
            <v>6 YD 1X WK 1</v>
          </cell>
        </row>
        <row r="5626">
          <cell r="H5626" t="str">
            <v>FL006.0Y2W001</v>
          </cell>
          <cell r="I5626" t="str">
            <v>6 YD 2X WK 1</v>
          </cell>
        </row>
        <row r="5627">
          <cell r="H5627" t="str">
            <v>FL006.0Y3W001</v>
          </cell>
          <cell r="I5627" t="str">
            <v>6 YD 3X WK 1</v>
          </cell>
        </row>
        <row r="5628">
          <cell r="H5628" t="str">
            <v>SL065.0G1W001NORECC</v>
          </cell>
          <cell r="I5628" t="str">
            <v xml:space="preserve">65 GL 1X WK NO RECY COMM </v>
          </cell>
        </row>
        <row r="5629">
          <cell r="H5629" t="str">
            <v>SL065.0G1W001WRECC</v>
          </cell>
          <cell r="I5629" t="str">
            <v>65 GL 1X WK W/RECY COMM 1</v>
          </cell>
        </row>
        <row r="5630">
          <cell r="H5630" t="str">
            <v>SL095.0G1W001NORECC</v>
          </cell>
          <cell r="I5630" t="str">
            <v xml:space="preserve">95 GL 1X WK NO RECY COMM </v>
          </cell>
        </row>
        <row r="5631">
          <cell r="H5631" t="str">
            <v>EXTRA-COMM</v>
          </cell>
          <cell r="I5631" t="str">
            <v>EXTRA CAN, BAG, BOX - COM</v>
          </cell>
        </row>
        <row r="5632">
          <cell r="H5632" t="str">
            <v>EXTRAYDG-COM</v>
          </cell>
          <cell r="I5632" t="str">
            <v>EXTRA YARDAGE - COMM</v>
          </cell>
        </row>
        <row r="5633">
          <cell r="H5633" t="str">
            <v>FL002.0Y1W001BCMGL</v>
          </cell>
          <cell r="I5633" t="str">
            <v>2 YD 1X WK BUS CMGL 1</v>
          </cell>
        </row>
        <row r="5634">
          <cell r="H5634" t="str">
            <v>FL002.0Y1W001BOCC</v>
          </cell>
          <cell r="I5634" t="str">
            <v>2 YD 1X WK BUS OCC 1</v>
          </cell>
        </row>
        <row r="5635">
          <cell r="H5635" t="str">
            <v>FL002.0Y2W001BCMGL</v>
          </cell>
          <cell r="I5635" t="str">
            <v>2 YD 2X WK BUS CMGL 1</v>
          </cell>
        </row>
        <row r="5636">
          <cell r="H5636" t="str">
            <v>FL004.0Y1W001CMGL</v>
          </cell>
          <cell r="I5636" t="str">
            <v>4 YD 1X WK BUS CMGL 1</v>
          </cell>
        </row>
        <row r="5637">
          <cell r="H5637" t="str">
            <v>FL004.0Y2W001CMGL</v>
          </cell>
          <cell r="I5637" t="str">
            <v>4 YD 2X WK BUS CMGL 1</v>
          </cell>
        </row>
        <row r="5638">
          <cell r="H5638" t="str">
            <v>FL005.0Y1W001BOCC</v>
          </cell>
          <cell r="I5638" t="str">
            <v>5 YD 1X WK BUS OCC 1</v>
          </cell>
        </row>
        <row r="5639">
          <cell r="H5639" t="str">
            <v>FL005.0Y2W001BOCC</v>
          </cell>
          <cell r="I5639" t="str">
            <v>5 YD 2X WK BUS OCC 1</v>
          </cell>
        </row>
        <row r="5640">
          <cell r="H5640" t="str">
            <v>FL006.0Y1W001BCMGL</v>
          </cell>
          <cell r="I5640" t="str">
            <v>6 YD 1X WK BUS COMINGLE 1</v>
          </cell>
        </row>
        <row r="5641">
          <cell r="H5641" t="str">
            <v>SL096.0GEO001BCMGLOUT</v>
          </cell>
          <cell r="I5641" t="str">
            <v>96 GL EOW BUS CMGL OUT</v>
          </cell>
        </row>
        <row r="5642">
          <cell r="H5642" t="str">
            <v>CC-KOL</v>
          </cell>
          <cell r="I5642" t="str">
            <v>ONLINE PAYMENT-CC</v>
          </cell>
        </row>
        <row r="5643">
          <cell r="H5643" t="str">
            <v>CCREF-KOL</v>
          </cell>
          <cell r="I5643" t="str">
            <v>CREDIT CARD REFUND</v>
          </cell>
        </row>
        <row r="5644">
          <cell r="H5644" t="str">
            <v>PAY</v>
          </cell>
          <cell r="I5644" t="str">
            <v>PAYMENT THANK YOU</v>
          </cell>
        </row>
        <row r="5645">
          <cell r="H5645" t="str">
            <v>PAY-KOL</v>
          </cell>
          <cell r="I5645" t="str">
            <v>PAYMENT-THANK YOU - OL</v>
          </cell>
        </row>
        <row r="5646">
          <cell r="H5646" t="str">
            <v>PAY-NATL</v>
          </cell>
          <cell r="I5646" t="str">
            <v>PAYMENT THANK YOU</v>
          </cell>
        </row>
        <row r="5647">
          <cell r="H5647" t="str">
            <v>PAYEFT</v>
          </cell>
          <cell r="I5647" t="str">
            <v>EFT PAYMENT</v>
          </cell>
        </row>
        <row r="5648">
          <cell r="H5648" t="str">
            <v>PAYUSBL</v>
          </cell>
          <cell r="I5648" t="str">
            <v>PAYMENT THANK YOU</v>
          </cell>
        </row>
        <row r="5649">
          <cell r="H5649" t="str">
            <v>LIDRO</v>
          </cell>
          <cell r="I5649" t="str">
            <v>LID CHARGE - RO</v>
          </cell>
        </row>
        <row r="5650">
          <cell r="H5650" t="str">
            <v>RENT20MO-RO</v>
          </cell>
          <cell r="I5650" t="str">
            <v>RENTAL FEE 20 YD MONTHLY</v>
          </cell>
        </row>
        <row r="5651">
          <cell r="H5651" t="str">
            <v>RENT30MO-RO</v>
          </cell>
          <cell r="I5651" t="str">
            <v>RENTAL FEE 30 YD MONTHLY</v>
          </cell>
        </row>
        <row r="5652">
          <cell r="H5652" t="str">
            <v>RENT40MO-RO</v>
          </cell>
          <cell r="I5652" t="str">
            <v>RENTAL FEE 40 YD MONTHLY</v>
          </cell>
        </row>
        <row r="5653">
          <cell r="H5653" t="str">
            <v>RENT40TEMP-RO</v>
          </cell>
          <cell r="I5653" t="str">
            <v>RENTAL FEE 40 YD TEMP - R</v>
          </cell>
        </row>
        <row r="5654">
          <cell r="H5654" t="str">
            <v>CLEAN20-RO</v>
          </cell>
          <cell r="I5654" t="str">
            <v>CLEANING FEE 20 YD - RO</v>
          </cell>
        </row>
        <row r="5655">
          <cell r="H5655" t="str">
            <v>DEL30TEMP-RO</v>
          </cell>
          <cell r="I5655" t="str">
            <v>DELIVERY FEE 30 YD TEMP -</v>
          </cell>
        </row>
        <row r="5656">
          <cell r="H5656" t="str">
            <v>DEL40TEMP-RO</v>
          </cell>
          <cell r="I5656" t="str">
            <v>DELIVERY FEE 40 YD TEMP -</v>
          </cell>
        </row>
        <row r="5657">
          <cell r="H5657" t="str">
            <v>DISCO-CP</v>
          </cell>
          <cell r="I5657" t="str">
            <v xml:space="preserve">COMPACTOR DISCONNECT FEE </v>
          </cell>
        </row>
        <row r="5658">
          <cell r="H5658" t="str">
            <v>DISPFEDMSW-RO</v>
          </cell>
          <cell r="I5658" t="str">
            <v xml:space="preserve">DISPOSAL FEE FEDERAL MSW </v>
          </cell>
        </row>
        <row r="5659">
          <cell r="H5659" t="str">
            <v>DISPWD-RO</v>
          </cell>
          <cell r="I5659" t="str">
            <v>DISPOSAL FEE WOOD - RO</v>
          </cell>
        </row>
        <row r="5660">
          <cell r="H5660" t="str">
            <v>FINAL20-RO</v>
          </cell>
          <cell r="I5660" t="str">
            <v>FINAL PULL 20 YD - RO</v>
          </cell>
        </row>
        <row r="5661">
          <cell r="H5661" t="str">
            <v>FINAL20TEMP-RO</v>
          </cell>
          <cell r="I5661" t="str">
            <v>FINAL PULL 20 YD TEMP - R</v>
          </cell>
        </row>
        <row r="5662">
          <cell r="H5662" t="str">
            <v>FINAL30TEMP-RO</v>
          </cell>
          <cell r="I5662" t="str">
            <v>FINAL PULL 30 YD TEMP - R</v>
          </cell>
        </row>
        <row r="5663">
          <cell r="H5663" t="str">
            <v>HAUL20-CP</v>
          </cell>
          <cell r="I5663" t="str">
            <v>COMPACTOR HAUL 20 YD - RO</v>
          </cell>
        </row>
        <row r="5664">
          <cell r="H5664" t="str">
            <v>HAUL20-RO</v>
          </cell>
          <cell r="I5664" t="str">
            <v>HAUL 20 YD - RO</v>
          </cell>
        </row>
        <row r="5665">
          <cell r="H5665" t="str">
            <v>HAUL30TEMP-RO</v>
          </cell>
          <cell r="I5665" t="str">
            <v>HAUL 30 YD TEMP - RO</v>
          </cell>
        </row>
        <row r="5666">
          <cell r="H5666" t="str">
            <v>HAUL40-RO</v>
          </cell>
          <cell r="I5666" t="str">
            <v>HAUL 40 YD - RO</v>
          </cell>
        </row>
        <row r="5667">
          <cell r="H5667" t="str">
            <v>HAUL40TEMP-RO</v>
          </cell>
          <cell r="I5667" t="str">
            <v>HAUL 40 YD TEMP - RO</v>
          </cell>
        </row>
        <row r="5668">
          <cell r="H5668" t="str">
            <v>MILE-RO</v>
          </cell>
          <cell r="I5668" t="str">
            <v>MILEAGE FEE - RO</v>
          </cell>
        </row>
        <row r="5669">
          <cell r="H5669" t="str">
            <v>RENT20TEMP-RO</v>
          </cell>
          <cell r="I5669" t="str">
            <v>RENTAL FEE 20 YD TEMP - R</v>
          </cell>
        </row>
        <row r="5670">
          <cell r="H5670" t="str">
            <v>RENT30TEMP-RO</v>
          </cell>
          <cell r="I5670" t="str">
            <v>RENTAL FEE 30 YD TEMP - R</v>
          </cell>
        </row>
        <row r="5671">
          <cell r="H5671" t="str">
            <v>RENT40TEMP-RO</v>
          </cell>
          <cell r="I5671" t="str">
            <v>RENTAL FEE 40 YD TEMP - R</v>
          </cell>
        </row>
        <row r="5672">
          <cell r="H5672" t="str">
            <v>RTRNTRIP-RO</v>
          </cell>
          <cell r="I5672" t="str">
            <v>RETURN TRIP FEE - RO</v>
          </cell>
        </row>
        <row r="5673">
          <cell r="H5673" t="str">
            <v>COMMODITY SURCHARGE</v>
          </cell>
          <cell r="I5673" t="str">
            <v>COMMODITY SURCHARGE</v>
          </cell>
        </row>
        <row r="5674">
          <cell r="H5674" t="str">
            <v>COMMODITY SURCHARGE</v>
          </cell>
          <cell r="I5674" t="str">
            <v>COMMODITY SURCHARGE</v>
          </cell>
        </row>
        <row r="5675">
          <cell r="H5675" t="str">
            <v>FT LEWIS REFUSE TAX</v>
          </cell>
          <cell r="I5675" t="str">
            <v>3.6% WA STATE REFUSE TAX</v>
          </cell>
        </row>
        <row r="5676">
          <cell r="H5676" t="str">
            <v xml:space="preserve">PIERCE COUNTY REFUSE  </v>
          </cell>
          <cell r="I5676" t="str">
            <v>3.6% PIERCE COUNTY REFUSE</v>
          </cell>
        </row>
        <row r="5677">
          <cell r="H5677" t="str">
            <v>FT LEWIS REFUSE TAX</v>
          </cell>
          <cell r="I5677" t="str">
            <v>3.6% WA STATE REFUSE TAX</v>
          </cell>
        </row>
        <row r="5678">
          <cell r="H5678" t="str">
            <v>FT LEWIS STATE SALES TAX</v>
          </cell>
          <cell r="I5678" t="str">
            <v>9.3% WA STATE SALES TAX</v>
          </cell>
        </row>
        <row r="5679">
          <cell r="H5679" t="str">
            <v>FT LEWIS REFUSE TAX</v>
          </cell>
          <cell r="I5679" t="str">
            <v>3.6% WA STATE REFUSE TAX</v>
          </cell>
        </row>
        <row r="5680">
          <cell r="H5680" t="str">
            <v>FT LEWIS STATE SALES TAX</v>
          </cell>
          <cell r="I5680" t="str">
            <v>9.3% WA STATE SALES TAX</v>
          </cell>
        </row>
        <row r="5681">
          <cell r="H5681" t="str">
            <v>PIERCE REFUSE TAX</v>
          </cell>
          <cell r="I5681" t="str">
            <v>3.6% WA STATE REFUSE TAX</v>
          </cell>
        </row>
        <row r="5682">
          <cell r="H5682" t="str">
            <v>PIERCE STATE SALES TAX</v>
          </cell>
          <cell r="I5682" t="str">
            <v>9.9% WA STATE SALES TAX</v>
          </cell>
        </row>
        <row r="5683">
          <cell r="H5683" t="str">
            <v>BD</v>
          </cell>
          <cell r="I5683" t="str">
            <v>BAD DEBT WRITE OFF</v>
          </cell>
        </row>
        <row r="5684">
          <cell r="H5684" t="str">
            <v>BDR</v>
          </cell>
          <cell r="I5684" t="str">
            <v>BAD DEBT RECOVERY</v>
          </cell>
        </row>
        <row r="5685">
          <cell r="H5685" t="str">
            <v>COLLFEE</v>
          </cell>
          <cell r="I5685" t="str">
            <v>COLLECTION AGENCY FEE</v>
          </cell>
        </row>
        <row r="5686">
          <cell r="H5686" t="str">
            <v>FINCHG</v>
          </cell>
          <cell r="I5686" t="str">
            <v>LATE FEE</v>
          </cell>
        </row>
        <row r="5687">
          <cell r="H5687" t="str">
            <v>MM</v>
          </cell>
          <cell r="I5687" t="str">
            <v>ADJUST BALANCE (MM)</v>
          </cell>
        </row>
        <row r="5688">
          <cell r="H5688" t="str">
            <v>MM</v>
          </cell>
          <cell r="I5688" t="str">
            <v>ADJUST BALANCE (MM)</v>
          </cell>
        </row>
        <row r="5689">
          <cell r="H5689" t="str">
            <v>REFUND</v>
          </cell>
          <cell r="I5689" t="str">
            <v>REFUND</v>
          </cell>
        </row>
        <row r="5690">
          <cell r="H5690" t="str">
            <v>RETCK</v>
          </cell>
          <cell r="I5690" t="str">
            <v>RETURNED CHECK</v>
          </cell>
        </row>
        <row r="5691">
          <cell r="H5691" t="str">
            <v>RETCKC</v>
          </cell>
          <cell r="I5691" t="str">
            <v>RETURN CHECK CHARGE</v>
          </cell>
        </row>
        <row r="5692">
          <cell r="H5692" t="str">
            <v>FINCHG</v>
          </cell>
          <cell r="I5692" t="str">
            <v>LATE FEE</v>
          </cell>
        </row>
        <row r="5693">
          <cell r="H5693" t="str">
            <v>BD</v>
          </cell>
          <cell r="I5693" t="str">
            <v>BAD DEBT WRITE OFF</v>
          </cell>
        </row>
        <row r="5694">
          <cell r="H5694" t="str">
            <v>BDR</v>
          </cell>
          <cell r="I5694" t="str">
            <v>BAD DEBT RECOVERY</v>
          </cell>
        </row>
        <row r="5695">
          <cell r="H5695" t="str">
            <v>COLLFEE</v>
          </cell>
          <cell r="I5695" t="str">
            <v>COLLECTION AGENCY FEE</v>
          </cell>
        </row>
        <row r="5696">
          <cell r="H5696" t="str">
            <v>MM</v>
          </cell>
          <cell r="I5696" t="str">
            <v>ADJUST BALANCE (MM)</v>
          </cell>
        </row>
        <row r="5697">
          <cell r="H5697" t="str">
            <v>MM</v>
          </cell>
          <cell r="I5697" t="str">
            <v>ADJUST BALANCE (MM)</v>
          </cell>
        </row>
        <row r="5698">
          <cell r="H5698" t="str">
            <v>REFUND</v>
          </cell>
          <cell r="I5698" t="str">
            <v>REFUND</v>
          </cell>
        </row>
        <row r="5699">
          <cell r="H5699" t="str">
            <v>RETCK-CFREE</v>
          </cell>
          <cell r="I5699" t="str">
            <v>CHECKFREE RETURN CHECK</v>
          </cell>
        </row>
        <row r="5700">
          <cell r="H5700" t="str">
            <v>FINCHG</v>
          </cell>
          <cell r="I5700" t="str">
            <v>LATE FEE</v>
          </cell>
        </row>
        <row r="5701">
          <cell r="H5701" t="str">
            <v>BD</v>
          </cell>
          <cell r="I5701" t="str">
            <v>BAD DEBT WRITE OFF</v>
          </cell>
        </row>
        <row r="5702">
          <cell r="H5702" t="str">
            <v>BDR</v>
          </cell>
          <cell r="I5702" t="str">
            <v>BAD DEBT RECOVERY</v>
          </cell>
        </row>
        <row r="5703">
          <cell r="H5703" t="str">
            <v>COLLFEE</v>
          </cell>
          <cell r="I5703" t="str">
            <v>COLLECTION AGENCY FEE</v>
          </cell>
        </row>
        <row r="5704">
          <cell r="H5704" t="str">
            <v>FINCHG</v>
          </cell>
          <cell r="I5704" t="str">
            <v>LATE FEE</v>
          </cell>
        </row>
        <row r="5705">
          <cell r="H5705" t="str">
            <v>MM</v>
          </cell>
          <cell r="I5705" t="str">
            <v>ADJUST BALANCE (MM)</v>
          </cell>
        </row>
        <row r="5706">
          <cell r="H5706" t="str">
            <v>MM</v>
          </cell>
          <cell r="I5706" t="str">
            <v>ADJUST BALANCE (MM)</v>
          </cell>
        </row>
        <row r="5707">
          <cell r="H5707" t="str">
            <v>REFUND</v>
          </cell>
          <cell r="I5707" t="str">
            <v>REFUND</v>
          </cell>
        </row>
        <row r="5708">
          <cell r="H5708" t="str">
            <v>MM</v>
          </cell>
          <cell r="I5708" t="str">
            <v>ADJUST BALANCE (MM)</v>
          </cell>
        </row>
        <row r="5709">
          <cell r="H5709" t="str">
            <v>MM</v>
          </cell>
          <cell r="I5709" t="str">
            <v>ADJUST BALANCE (MM)</v>
          </cell>
        </row>
        <row r="5710">
          <cell r="H5710" t="str">
            <v>ACCESS-COMM</v>
          </cell>
          <cell r="I5710" t="str">
            <v>ACCESS FEE - COMM</v>
          </cell>
        </row>
        <row r="5711">
          <cell r="H5711" t="str">
            <v>ACCESS-MF</v>
          </cell>
          <cell r="I5711" t="str">
            <v>ACCESS FEE - MF</v>
          </cell>
        </row>
        <row r="5712">
          <cell r="H5712" t="str">
            <v>DONATIONC</v>
          </cell>
          <cell r="I5712" t="str">
            <v>DONATED SERVICE COMM</v>
          </cell>
        </row>
        <row r="5713">
          <cell r="H5713" t="str">
            <v>DRIVEIN1-COMM</v>
          </cell>
          <cell r="I5713" t="str">
            <v>DRIVE IN 125-250' - COMM</v>
          </cell>
        </row>
        <row r="5714">
          <cell r="H5714" t="str">
            <v>DRIVEIN3-COMM</v>
          </cell>
          <cell r="I5714" t="str">
            <v>DRIVE IN 779-1306' - COMM</v>
          </cell>
        </row>
        <row r="5715">
          <cell r="H5715" t="str">
            <v>FL001.0Y1W001</v>
          </cell>
          <cell r="I5715" t="str">
            <v>1 YD 1X WK 1</v>
          </cell>
        </row>
        <row r="5716">
          <cell r="H5716" t="str">
            <v>FL001.0Y2W001</v>
          </cell>
          <cell r="I5716" t="str">
            <v>1 YD 2X WK 1</v>
          </cell>
        </row>
        <row r="5717">
          <cell r="H5717" t="str">
            <v>FL001.0Y3W001</v>
          </cell>
          <cell r="I5717" t="str">
            <v>1 YD 3X WK 1</v>
          </cell>
        </row>
        <row r="5718">
          <cell r="H5718" t="str">
            <v>FL001.5Y1W001</v>
          </cell>
          <cell r="I5718" t="str">
            <v>1.5 YD 1X WK 1</v>
          </cell>
        </row>
        <row r="5719">
          <cell r="H5719" t="str">
            <v>FL001.5Y2W001</v>
          </cell>
          <cell r="I5719" t="str">
            <v>1.5 YD 2X WK 1</v>
          </cell>
        </row>
        <row r="5720">
          <cell r="H5720" t="str">
            <v>FL001.5Y3W001</v>
          </cell>
          <cell r="I5720" t="str">
            <v>1.5 YD 3X WK 1</v>
          </cell>
        </row>
        <row r="5721">
          <cell r="H5721" t="str">
            <v>FL002.0Y1W001</v>
          </cell>
          <cell r="I5721" t="str">
            <v>2 YD 1X WK 1</v>
          </cell>
        </row>
        <row r="5722">
          <cell r="H5722" t="str">
            <v>FL002.0Y2W001</v>
          </cell>
          <cell r="I5722" t="str">
            <v>2 YD 2X WK 1</v>
          </cell>
        </row>
        <row r="5723">
          <cell r="H5723" t="str">
            <v>FL002.0Y3W001</v>
          </cell>
          <cell r="I5723" t="str">
            <v>2 YD 3X WK 1</v>
          </cell>
        </row>
        <row r="5724">
          <cell r="H5724" t="str">
            <v>FL002.0Y4W001</v>
          </cell>
          <cell r="I5724" t="str">
            <v>2 YD 4X WK 1</v>
          </cell>
        </row>
        <row r="5725">
          <cell r="H5725" t="str">
            <v>FL002.0Y5W001</v>
          </cell>
          <cell r="I5725" t="str">
            <v>2 YD 5X WK 1</v>
          </cell>
        </row>
        <row r="5726">
          <cell r="H5726" t="str">
            <v>FL003.0Y1W001</v>
          </cell>
          <cell r="I5726" t="str">
            <v>3 YD 1X WK 1</v>
          </cell>
        </row>
        <row r="5727">
          <cell r="H5727" t="str">
            <v>FL003.0Y2W001</v>
          </cell>
          <cell r="I5727" t="str">
            <v>3 YD 2X WK 1</v>
          </cell>
        </row>
        <row r="5728">
          <cell r="H5728" t="str">
            <v>FL003.0Y3W001</v>
          </cell>
          <cell r="I5728" t="str">
            <v>3 YD 3X WK 1</v>
          </cell>
        </row>
        <row r="5729">
          <cell r="H5729" t="str">
            <v>FL003.0Y5W001</v>
          </cell>
          <cell r="I5729" t="str">
            <v>3 YD 5X WK 1</v>
          </cell>
        </row>
        <row r="5730">
          <cell r="H5730" t="str">
            <v>FL004.0Y1W001</v>
          </cell>
          <cell r="I5730" t="str">
            <v>4 YD 1X WK 1</v>
          </cell>
        </row>
        <row r="5731">
          <cell r="H5731" t="str">
            <v>FL004.0Y2W001</v>
          </cell>
          <cell r="I5731" t="str">
            <v>4 YD 2X WK 1</v>
          </cell>
        </row>
        <row r="5732">
          <cell r="H5732" t="str">
            <v>FL004.0Y2W001CMP</v>
          </cell>
          <cell r="I5732" t="str">
            <v>4 YD 2X WK COMP 1</v>
          </cell>
        </row>
        <row r="5733">
          <cell r="H5733" t="str">
            <v>FL004.0Y3W001</v>
          </cell>
          <cell r="I5733" t="str">
            <v>4 YD 3X WK 1</v>
          </cell>
        </row>
        <row r="5734">
          <cell r="H5734" t="str">
            <v>FL004.0Y4W001</v>
          </cell>
          <cell r="I5734" t="str">
            <v>4 YD 4X WK 1</v>
          </cell>
        </row>
        <row r="5735">
          <cell r="H5735" t="str">
            <v>FL004.0Y5W001</v>
          </cell>
          <cell r="I5735" t="str">
            <v>4 YD 5X WK 1</v>
          </cell>
        </row>
        <row r="5736">
          <cell r="H5736" t="str">
            <v>FL006.0Y1W001</v>
          </cell>
          <cell r="I5736" t="str">
            <v>6 YD 1X WK 1</v>
          </cell>
        </row>
        <row r="5737">
          <cell r="H5737" t="str">
            <v>FL006.0Y2W001</v>
          </cell>
          <cell r="I5737" t="str">
            <v>6 YD 2X WK 1</v>
          </cell>
        </row>
        <row r="5738">
          <cell r="H5738" t="str">
            <v>FL006.0Y2W001CMP</v>
          </cell>
          <cell r="I5738" t="str">
            <v>6 YD 2X WK COMP 1</v>
          </cell>
        </row>
        <row r="5739">
          <cell r="H5739" t="str">
            <v>FL006.0Y3W001</v>
          </cell>
          <cell r="I5739" t="str">
            <v>6 YD 3X WK 1</v>
          </cell>
        </row>
        <row r="5740">
          <cell r="H5740" t="str">
            <v>FL006.0Y4W001</v>
          </cell>
          <cell r="I5740" t="str">
            <v>6 YD 4X WK 1</v>
          </cell>
        </row>
        <row r="5741">
          <cell r="H5741" t="str">
            <v>FL006.0Y5W001</v>
          </cell>
          <cell r="I5741" t="str">
            <v>6 YD 5X WK 1</v>
          </cell>
        </row>
        <row r="5742">
          <cell r="H5742" t="str">
            <v>GWCOMM</v>
          </cell>
          <cell r="I5742" t="str">
            <v>GREENWASTE SERVICE - COMM</v>
          </cell>
        </row>
        <row r="5743">
          <cell r="H5743" t="str">
            <v>RL032.0G1W001WRECC</v>
          </cell>
          <cell r="I5743" t="str">
            <v>32 GL 1X WK W/RECY COMM 1</v>
          </cell>
        </row>
        <row r="5744">
          <cell r="H5744" t="str">
            <v>ROLL-COMM</v>
          </cell>
          <cell r="I5744" t="str">
            <v>ROLL OUT CHARGE - COMM</v>
          </cell>
        </row>
        <row r="5745">
          <cell r="H5745" t="str">
            <v>SL065.0G1M001NORECC</v>
          </cell>
          <cell r="I5745" t="str">
            <v xml:space="preserve">65 GL 1X MO NO RECY COMM </v>
          </cell>
        </row>
        <row r="5746">
          <cell r="H5746" t="str">
            <v>SL065.0G1W001NORECC</v>
          </cell>
          <cell r="I5746" t="str">
            <v xml:space="preserve">65 GL 1X WK NO RECY COMM </v>
          </cell>
        </row>
        <row r="5747">
          <cell r="H5747" t="str">
            <v>SL065.0G1W001WRECC</v>
          </cell>
          <cell r="I5747" t="str">
            <v>65 GL 1X WK W/RECY COMM 1</v>
          </cell>
        </row>
        <row r="5748">
          <cell r="H5748" t="str">
            <v>SL065.0GEO001NORECC</v>
          </cell>
          <cell r="I5748" t="str">
            <v>65 GL EOW NO RECY COMM 1</v>
          </cell>
        </row>
        <row r="5749">
          <cell r="H5749" t="str">
            <v>SL065.0GEO001WRECC</v>
          </cell>
          <cell r="I5749" t="str">
            <v>65 GL EOW W/RECY COMM 1</v>
          </cell>
        </row>
        <row r="5750">
          <cell r="H5750" t="str">
            <v>SL095.0G1W001NORECC</v>
          </cell>
          <cell r="I5750" t="str">
            <v xml:space="preserve">95 GL 1X WK NO RECY COMM </v>
          </cell>
        </row>
        <row r="5751">
          <cell r="H5751" t="str">
            <v>SL095.0G1W001WRECC</v>
          </cell>
          <cell r="I5751" t="str">
            <v>95 GL 1X WK W/RECY COMM 1</v>
          </cell>
        </row>
        <row r="5752">
          <cell r="H5752" t="str">
            <v>SL095.0GEO001NORECC</v>
          </cell>
          <cell r="I5752" t="str">
            <v>95 GL EOW NO RECY COMM 1</v>
          </cell>
        </row>
        <row r="5753">
          <cell r="H5753" t="str">
            <v>SL095.0GEO001WRECC</v>
          </cell>
          <cell r="I5753" t="str">
            <v>95 GL EOW W/RECY COMM 1</v>
          </cell>
        </row>
        <row r="5754">
          <cell r="H5754" t="str">
            <v>WI1-COMM</v>
          </cell>
          <cell r="I5754" t="str">
            <v>WALK IN 6-25' - COMM</v>
          </cell>
        </row>
        <row r="5755">
          <cell r="H5755" t="str">
            <v>WI2-COMM</v>
          </cell>
          <cell r="I5755" t="str">
            <v>WALK IN 26-50' - COMM</v>
          </cell>
        </row>
        <row r="5756">
          <cell r="H5756" t="str">
            <v>ACCESS-COMM</v>
          </cell>
          <cell r="I5756" t="str">
            <v>ACCESS FEE - COMM</v>
          </cell>
        </row>
        <row r="5757">
          <cell r="H5757" t="str">
            <v>BULKY-COMM</v>
          </cell>
          <cell r="I5757" t="str">
            <v>BULKY ITEM PICK UP - COMM</v>
          </cell>
        </row>
        <row r="5758">
          <cell r="H5758" t="str">
            <v>CANCOUNT-COMM</v>
          </cell>
          <cell r="I5758" t="str">
            <v>CAN COUNT - COMM</v>
          </cell>
        </row>
        <row r="5759">
          <cell r="H5759" t="str">
            <v>CLEAN-COMM</v>
          </cell>
          <cell r="I5759" t="str">
            <v xml:space="preserve">CONTAINER CLEANING FEE - </v>
          </cell>
        </row>
        <row r="5760">
          <cell r="H5760" t="str">
            <v>CLEAN1.5-COMM</v>
          </cell>
          <cell r="I5760" t="str">
            <v>CLEANING FEE 1.5 YD - COM</v>
          </cell>
        </row>
        <row r="5761">
          <cell r="H5761" t="str">
            <v>CLEAN2-COMM</v>
          </cell>
          <cell r="I5761" t="str">
            <v>CLEANING FEE 2 YD - COMM</v>
          </cell>
        </row>
        <row r="5762">
          <cell r="H5762" t="str">
            <v>DEL1.5TEMP-COMM</v>
          </cell>
          <cell r="I5762" t="str">
            <v xml:space="preserve">DELIVERY FEE 1.5 YD TEMP </v>
          </cell>
        </row>
        <row r="5763">
          <cell r="H5763" t="str">
            <v>DEL2TEMP-COMM</v>
          </cell>
          <cell r="I5763" t="str">
            <v xml:space="preserve">DELIVERY FEE 2 YD TEMP - </v>
          </cell>
        </row>
        <row r="5764">
          <cell r="H5764" t="str">
            <v>EXTRA-COMM</v>
          </cell>
          <cell r="I5764" t="str">
            <v>EXTRA CAN, BAG, BOX - COM</v>
          </cell>
        </row>
        <row r="5765">
          <cell r="H5765" t="str">
            <v>EXTRAGRAD1-COMM</v>
          </cell>
          <cell r="I5765" t="str">
            <v>EXTRAS GRADUATED 1-2 - COMM</v>
          </cell>
        </row>
        <row r="5766">
          <cell r="H5766" t="str">
            <v>EXTRAGRAD2-COMM</v>
          </cell>
          <cell r="I5766" t="str">
            <v>EXTRAS GRADUATED 3+ - COMM</v>
          </cell>
        </row>
        <row r="5767">
          <cell r="H5767" t="str">
            <v>EXTRAYDG-COM</v>
          </cell>
          <cell r="I5767" t="str">
            <v>EXTRA YARDAGE - COMM</v>
          </cell>
        </row>
        <row r="5768">
          <cell r="H5768" t="str">
            <v>FL001.0YXX001TEMPC</v>
          </cell>
          <cell r="I5768" t="str">
            <v xml:space="preserve">1 YD TEMP </v>
          </cell>
        </row>
        <row r="5769">
          <cell r="H5769" t="str">
            <v>FL001.5YXX001TEMPC</v>
          </cell>
          <cell r="I5769" t="str">
            <v xml:space="preserve">1.5 YD TEMP </v>
          </cell>
        </row>
        <row r="5770">
          <cell r="H5770" t="str">
            <v>FL002.0Y1W001</v>
          </cell>
          <cell r="I5770" t="str">
            <v>2 YD 1X WK 1</v>
          </cell>
        </row>
        <row r="5771">
          <cell r="H5771" t="str">
            <v>FL002.0YXX001TEMPC</v>
          </cell>
          <cell r="I5771" t="str">
            <v xml:space="preserve">2 YD TEMP </v>
          </cell>
        </row>
        <row r="5772">
          <cell r="H5772" t="str">
            <v>FL004.0Y2W001</v>
          </cell>
          <cell r="I5772" t="str">
            <v>4 YD 2X WK 1</v>
          </cell>
        </row>
        <row r="5773">
          <cell r="H5773" t="str">
            <v>REINSTATE-COMM</v>
          </cell>
          <cell r="I5773" t="str">
            <v>REINSTATE FEE - COMM</v>
          </cell>
        </row>
        <row r="5774">
          <cell r="H5774" t="str">
            <v>RENT1.5TEMP-COMM</v>
          </cell>
          <cell r="I5774" t="str">
            <v>RENT 1.5 YD TEMP - COMM</v>
          </cell>
        </row>
        <row r="5775">
          <cell r="H5775" t="str">
            <v>RENT1TEMP-COMM</v>
          </cell>
          <cell r="I5775" t="str">
            <v>RENT 1 YD TEMP - COMM</v>
          </cell>
        </row>
        <row r="5776">
          <cell r="H5776" t="str">
            <v>RENT2TEMP-COMM</v>
          </cell>
          <cell r="I5776" t="str">
            <v>RENT 2 YD TEMP - COMM</v>
          </cell>
        </row>
        <row r="5777">
          <cell r="H5777" t="str">
            <v>SP-COMM</v>
          </cell>
          <cell r="I5777" t="str">
            <v>SPECIAL HAUL - COMM</v>
          </cell>
        </row>
        <row r="5778">
          <cell r="H5778" t="str">
            <v>SP1-COMM</v>
          </cell>
          <cell r="I5778" t="str">
            <v>SPECIAL PICK UP 1 YD - CO</v>
          </cell>
        </row>
        <row r="5779">
          <cell r="H5779" t="str">
            <v>SP1.5-COMM</v>
          </cell>
          <cell r="I5779" t="str">
            <v xml:space="preserve">SPECIAL PICK UP 1.5 YD - </v>
          </cell>
        </row>
        <row r="5780">
          <cell r="H5780" t="str">
            <v>SP2-COMM</v>
          </cell>
          <cell r="I5780" t="str">
            <v>SPECIAL PICK UP 2 YD - CO</v>
          </cell>
        </row>
        <row r="5781">
          <cell r="H5781" t="str">
            <v>SP3-COMM</v>
          </cell>
          <cell r="I5781" t="str">
            <v>SPECIAL PICK UP 3 YD - CO</v>
          </cell>
        </row>
        <row r="5782">
          <cell r="H5782" t="str">
            <v>SP4-COMM</v>
          </cell>
          <cell r="I5782" t="str">
            <v>SPECIAL PICK UP 4 YD - CO</v>
          </cell>
        </row>
        <row r="5783">
          <cell r="H5783" t="str">
            <v>SP6-COMM</v>
          </cell>
          <cell r="I5783" t="str">
            <v>SPECIAL PICK UP 6 YD - CO</v>
          </cell>
        </row>
        <row r="5784">
          <cell r="H5784" t="str">
            <v>SPADD-COMM</v>
          </cell>
          <cell r="I5784" t="str">
            <v>SPECIAL ADDL UNIT - COMM</v>
          </cell>
        </row>
        <row r="5785">
          <cell r="H5785" t="str">
            <v>SPGRAD1S-COMM</v>
          </cell>
          <cell r="I5785" t="str">
            <v>SPECIAL UNIT GRAD1 SCHL - COMM</v>
          </cell>
        </row>
        <row r="5786">
          <cell r="H5786" t="str">
            <v>CLEAN2-COMM</v>
          </cell>
          <cell r="I5786" t="str">
            <v>CLEANING FEE 2 YD - COMM</v>
          </cell>
        </row>
        <row r="5787">
          <cell r="H5787" t="str">
            <v>DEL2TEMP-COMM</v>
          </cell>
          <cell r="I5787" t="str">
            <v xml:space="preserve">DELIVERY FEE 2 YD TEMP - </v>
          </cell>
        </row>
        <row r="5788">
          <cell r="H5788" t="str">
            <v>FL002.0YXX001TEMPC</v>
          </cell>
          <cell r="I5788" t="str">
            <v xml:space="preserve">2 YD TEMP </v>
          </cell>
        </row>
        <row r="5789">
          <cell r="H5789" t="str">
            <v>RENT2TEMP-COMM</v>
          </cell>
          <cell r="I5789" t="str">
            <v>RENT 2 YD TEMP - COMM</v>
          </cell>
        </row>
        <row r="5790">
          <cell r="H5790" t="str">
            <v>ACCESSCREC-COMM</v>
          </cell>
          <cell r="I5790" t="str">
            <v>ACCESS FEE COMM RECY - CO</v>
          </cell>
        </row>
        <row r="5791">
          <cell r="H5791" t="str">
            <v>FL002.0Y1W001BCMGL</v>
          </cell>
          <cell r="I5791" t="str">
            <v>2 YD 1X WK BUS CMGL 1</v>
          </cell>
        </row>
        <row r="5792">
          <cell r="H5792" t="str">
            <v>FL002.0Y1W001BOCC</v>
          </cell>
          <cell r="I5792" t="str">
            <v>2 YD 1X WK BUS OCC 1</v>
          </cell>
        </row>
        <row r="5793">
          <cell r="H5793" t="str">
            <v>FL002.0Y1W001SCMGL</v>
          </cell>
          <cell r="I5793" t="str">
            <v>2 YD 1X WK SCHL CMGL 1</v>
          </cell>
        </row>
        <row r="5794">
          <cell r="H5794" t="str">
            <v>FL002.0Y1W001SOCC</v>
          </cell>
          <cell r="I5794" t="str">
            <v>2 YD 1X WK SCHOOL OCC</v>
          </cell>
        </row>
        <row r="5795">
          <cell r="H5795" t="str">
            <v>FL002.0Y2W001BCMGL</v>
          </cell>
          <cell r="I5795" t="str">
            <v>2 YD 2X WK BUS CMGL 1</v>
          </cell>
        </row>
        <row r="5796">
          <cell r="H5796" t="str">
            <v>FL002.0Y2W001BOCC</v>
          </cell>
          <cell r="I5796" t="str">
            <v>2 YD 2X WK BUS OCC 1</v>
          </cell>
        </row>
        <row r="5797">
          <cell r="H5797" t="str">
            <v>FL002.0Y2W001SOCC</v>
          </cell>
          <cell r="I5797" t="str">
            <v>2 YD 2X WK SCHOOL OCC</v>
          </cell>
        </row>
        <row r="5798">
          <cell r="H5798" t="str">
            <v>FL002.0Y3W001BOCC</v>
          </cell>
          <cell r="I5798" t="str">
            <v>2 YD 3X WK BUS OCC 1</v>
          </cell>
        </row>
        <row r="5799">
          <cell r="H5799" t="str">
            <v>FL004.0Y1W001CMGL</v>
          </cell>
          <cell r="I5799" t="str">
            <v>4 YD 1X WK BUS CMGL 1</v>
          </cell>
        </row>
        <row r="5800">
          <cell r="H5800" t="str">
            <v>FL004.0Y2W001CMGL</v>
          </cell>
          <cell r="I5800" t="str">
            <v>4 YD 2X WK BUS CMGL 1</v>
          </cell>
        </row>
        <row r="5801">
          <cell r="H5801" t="str">
            <v>FL004.0Y3W001BCMGL</v>
          </cell>
          <cell r="I5801" t="str">
            <v>4 YD 3X WK BUS CMGL 1</v>
          </cell>
        </row>
        <row r="5802">
          <cell r="H5802" t="str">
            <v>FL005.0Y1W001BOCC</v>
          </cell>
          <cell r="I5802" t="str">
            <v>5 YD 1X WK BUS OCC 1</v>
          </cell>
        </row>
        <row r="5803">
          <cell r="H5803" t="str">
            <v>FL005.0Y1W001SOCC</v>
          </cell>
          <cell r="I5803" t="str">
            <v>5 YD 1X WK SCHOOL OCC</v>
          </cell>
        </row>
        <row r="5804">
          <cell r="H5804" t="str">
            <v>FL005.0Y2W001BOCC</v>
          </cell>
          <cell r="I5804" t="str">
            <v>5 YD 2X WK BUS OCC 1</v>
          </cell>
        </row>
        <row r="5805">
          <cell r="H5805" t="str">
            <v>FL005.0Y2W001SOCC</v>
          </cell>
          <cell r="I5805" t="str">
            <v>5 YD 2X WK SCHOOL OCC</v>
          </cell>
        </row>
        <row r="5806">
          <cell r="H5806" t="str">
            <v>FL005.0Y3W001BOCC</v>
          </cell>
          <cell r="I5806" t="str">
            <v>5 YD 3X WK BUS OCC 1</v>
          </cell>
        </row>
        <row r="5807">
          <cell r="H5807" t="str">
            <v>FL005.0Y4W001BOCC</v>
          </cell>
          <cell r="I5807" t="str">
            <v>5 YD 4X WK BUS OCC 1</v>
          </cell>
        </row>
        <row r="5808">
          <cell r="H5808" t="str">
            <v>FL005.0Y5W001BOCC</v>
          </cell>
          <cell r="I5808" t="str">
            <v>5 YD 5X WK BUS OCC 1</v>
          </cell>
        </row>
        <row r="5809">
          <cell r="H5809" t="str">
            <v>FL006.0Y1W001BCMGL</v>
          </cell>
          <cell r="I5809" t="str">
            <v>6 YD 1X WK BUS COMINGLE 1</v>
          </cell>
        </row>
        <row r="5810">
          <cell r="H5810" t="str">
            <v>FL006.0Y2W001BCMGL</v>
          </cell>
          <cell r="I5810" t="str">
            <v>6 YD 2X WK BUS COMINGLE 1</v>
          </cell>
        </row>
        <row r="5811">
          <cell r="H5811" t="str">
            <v>FL006.0Y3W001BCMGL</v>
          </cell>
          <cell r="I5811" t="str">
            <v>6 YD 3X WK BUS CMGL 1</v>
          </cell>
        </row>
        <row r="5812">
          <cell r="H5812" t="str">
            <v>FL006.0Y4W001BCMGL</v>
          </cell>
          <cell r="I5812" t="str">
            <v>6 YD 4X WK BUS CMGL 1</v>
          </cell>
        </row>
        <row r="5813">
          <cell r="H5813" t="str">
            <v>MFNBINS</v>
          </cell>
          <cell r="I5813" t="str">
            <v>MULTI-FAMILY REC UNIT N/B</v>
          </cell>
        </row>
        <row r="5814">
          <cell r="H5814" t="str">
            <v>MFWBINS</v>
          </cell>
          <cell r="I5814" t="str">
            <v>MULTI-FAMILY REC UNIT W/B</v>
          </cell>
        </row>
        <row r="5815">
          <cell r="H5815" t="str">
            <v>RENTRECCNT-COMM</v>
          </cell>
          <cell r="I5815" t="str">
            <v>RENTAL FEE RECYCLE CONTAI</v>
          </cell>
        </row>
        <row r="5816">
          <cell r="H5816" t="str">
            <v>ROLL-REC</v>
          </cell>
          <cell r="I5816" t="str">
            <v>ROLL OUT CHARGE - RECYCLI</v>
          </cell>
        </row>
        <row r="5817">
          <cell r="H5817" t="str">
            <v>SL064.0G1W001BCMGLOUT</v>
          </cell>
          <cell r="I5817" t="str">
            <v>64 GL WKLY BUS CMGL OUT</v>
          </cell>
        </row>
        <row r="5818">
          <cell r="H5818" t="str">
            <v>SL064.0GEO001BCMGLOUT</v>
          </cell>
          <cell r="I5818" t="str">
            <v>64 GL EOW BUS CMGL OUT</v>
          </cell>
        </row>
        <row r="5819">
          <cell r="H5819" t="str">
            <v>SL096.0G1M001BCMGLOUT</v>
          </cell>
          <cell r="I5819" t="str">
            <v>96 GL MTHLY BUS CMGL OUT</v>
          </cell>
        </row>
        <row r="5820">
          <cell r="H5820" t="str">
            <v>SL096.0G1W001BCMGLIN</v>
          </cell>
          <cell r="I5820" t="str">
            <v>96 GL WKLY BUS CMGL IN</v>
          </cell>
        </row>
        <row r="5821">
          <cell r="H5821" t="str">
            <v>SL096.0G1W001BCMGLOUT</v>
          </cell>
          <cell r="I5821" t="str">
            <v>96 GL WKLY BUS CMGL OUT</v>
          </cell>
        </row>
        <row r="5822">
          <cell r="H5822" t="str">
            <v>SL096.0G1W001SCMGLOUT</v>
          </cell>
          <cell r="I5822" t="str">
            <v>96 GL WKLY SCHL CMGL OUT</v>
          </cell>
        </row>
        <row r="5823">
          <cell r="H5823" t="str">
            <v>SL096.0GEO001BCMGLIN</v>
          </cell>
          <cell r="I5823" t="str">
            <v>96 GL EOW BUS CMGL IN</v>
          </cell>
        </row>
        <row r="5824">
          <cell r="H5824" t="str">
            <v>SL096.0GEO001BCMGLOUT</v>
          </cell>
          <cell r="I5824" t="str">
            <v>96 GL EOW BUS CMGL OUT</v>
          </cell>
        </row>
        <row r="5825">
          <cell r="H5825" t="str">
            <v>SL096.0GEO001SCMGLOUT</v>
          </cell>
          <cell r="I5825" t="str">
            <v>96 GL EOW SCHL CMGL OUT</v>
          </cell>
        </row>
        <row r="5826">
          <cell r="H5826" t="str">
            <v>FL002.0Y1W001BOCC</v>
          </cell>
          <cell r="I5826" t="str">
            <v>2 YD 1X WK BUS OCC 1</v>
          </cell>
        </row>
        <row r="5827">
          <cell r="H5827" t="str">
            <v>SL096.0GEO001BCMGLOUT</v>
          </cell>
          <cell r="I5827" t="str">
            <v>96 GL EOW BUS CMGL OUT</v>
          </cell>
        </row>
        <row r="5828">
          <cell r="H5828" t="str">
            <v>SP2BCMGL-COMM</v>
          </cell>
          <cell r="I5828" t="str">
            <v>SPECIAL P/U 2 YD BUS CMGL</v>
          </cell>
        </row>
        <row r="5829">
          <cell r="H5829" t="str">
            <v>SP6BCMGL-COMM</v>
          </cell>
          <cell r="I5829" t="str">
            <v>SPECIAL P/U 6 YD BUS CMGL</v>
          </cell>
        </row>
        <row r="5830">
          <cell r="H5830" t="str">
            <v>SPGRAD1REC-COMM</v>
          </cell>
          <cell r="I5830" t="str">
            <v>SPECIAL UNIT GRAD1 REC - COMM</v>
          </cell>
        </row>
        <row r="5831">
          <cell r="H5831" t="str">
            <v>SPGRAD2REC-COMM</v>
          </cell>
          <cell r="I5831" t="str">
            <v>SPECIAL UNIT GRAD2 REC - COMM</v>
          </cell>
        </row>
        <row r="5832">
          <cell r="H5832" t="str">
            <v>CC-KOL</v>
          </cell>
          <cell r="I5832" t="str">
            <v>ONLINE PAYMENT-CC</v>
          </cell>
        </row>
        <row r="5833">
          <cell r="H5833" t="str">
            <v>CCREF-KOL</v>
          </cell>
          <cell r="I5833" t="str">
            <v>CREDIT CARD REFUND</v>
          </cell>
        </row>
        <row r="5834">
          <cell r="H5834" t="str">
            <v>PAY</v>
          </cell>
          <cell r="I5834" t="str">
            <v>PAYMENT THANK YOU</v>
          </cell>
        </row>
        <row r="5835">
          <cell r="H5835" t="str">
            <v>PAY-CFREE</v>
          </cell>
          <cell r="I5835" t="str">
            <v>CHECKFREE PAYMENT</v>
          </cell>
        </row>
        <row r="5836">
          <cell r="H5836" t="str">
            <v>PAY-KOL</v>
          </cell>
          <cell r="I5836" t="str">
            <v>PAYMENT-THANK YOU - OL</v>
          </cell>
        </row>
        <row r="5837">
          <cell r="H5837" t="str">
            <v>PAY-ORCC</v>
          </cell>
          <cell r="I5837" t="str">
            <v>ORCC PAYMENT</v>
          </cell>
        </row>
        <row r="5838">
          <cell r="H5838" t="str">
            <v>PAY-RPPS</v>
          </cell>
          <cell r="I5838" t="str">
            <v>RPPS MASTERCARD PAYMENT</v>
          </cell>
        </row>
        <row r="5839">
          <cell r="H5839" t="str">
            <v>PAYICT</v>
          </cell>
          <cell r="I5839" t="str">
            <v>I/C PAYMENT THANK YOU</v>
          </cell>
        </row>
        <row r="5840">
          <cell r="H5840" t="str">
            <v>PAYMET</v>
          </cell>
          <cell r="I5840" t="str">
            <v>METAVANTE ONLINE PAYMENT</v>
          </cell>
        </row>
        <row r="5841">
          <cell r="H5841" t="str">
            <v>PAYUSBL</v>
          </cell>
          <cell r="I5841" t="str">
            <v>PAYMENT THANK YOU</v>
          </cell>
        </row>
        <row r="5842">
          <cell r="H5842" t="str">
            <v>RET-KOL</v>
          </cell>
          <cell r="I5842" t="str">
            <v>ONLINE PAYMENT RETURN</v>
          </cell>
        </row>
        <row r="5843">
          <cell r="H5843" t="str">
            <v>CC-KOL</v>
          </cell>
          <cell r="I5843" t="str">
            <v>ONLINE PAYMENT-CC</v>
          </cell>
        </row>
        <row r="5844">
          <cell r="H5844" t="str">
            <v>CCREF-KOL</v>
          </cell>
          <cell r="I5844" t="str">
            <v>CREDIT CARD REFUND</v>
          </cell>
        </row>
        <row r="5845">
          <cell r="H5845" t="str">
            <v>PAY</v>
          </cell>
          <cell r="I5845" t="str">
            <v>PAYMENT THANK YOU</v>
          </cell>
        </row>
        <row r="5846">
          <cell r="H5846" t="str">
            <v>PAY-CFREE</v>
          </cell>
          <cell r="I5846" t="str">
            <v>CHECKFREE PAYMENT</v>
          </cell>
        </row>
        <row r="5847">
          <cell r="H5847" t="str">
            <v>PAY-KOL</v>
          </cell>
          <cell r="I5847" t="str">
            <v>PAYMENT-THANK YOU - OL</v>
          </cell>
        </row>
        <row r="5848">
          <cell r="H5848" t="str">
            <v>PAY-ORCC</v>
          </cell>
          <cell r="I5848" t="str">
            <v>ORCC PAYMENT</v>
          </cell>
        </row>
        <row r="5849">
          <cell r="H5849" t="str">
            <v>PAY-RPPS</v>
          </cell>
          <cell r="I5849" t="str">
            <v>RPPS MASTERCARD PAYMENT</v>
          </cell>
        </row>
        <row r="5850">
          <cell r="H5850" t="str">
            <v>PAYMET</v>
          </cell>
          <cell r="I5850" t="str">
            <v>METAVANTE ONLINE PAYMENT</v>
          </cell>
        </row>
        <row r="5851">
          <cell r="H5851" t="str">
            <v>PAYUSBL</v>
          </cell>
          <cell r="I5851" t="str">
            <v>PAYMENT THANK YOU</v>
          </cell>
        </row>
        <row r="5852">
          <cell r="H5852" t="str">
            <v>RET-KOL</v>
          </cell>
          <cell r="I5852" t="str">
            <v>ONLINE PAYMENT RETURN</v>
          </cell>
        </row>
        <row r="5853">
          <cell r="H5853" t="str">
            <v>CC-KOL</v>
          </cell>
          <cell r="I5853" t="str">
            <v>ONLINE PAYMENT-CC</v>
          </cell>
        </row>
        <row r="5854">
          <cell r="H5854" t="str">
            <v>CCREF-KOL</v>
          </cell>
          <cell r="I5854" t="str">
            <v>CREDIT CARD REFUND</v>
          </cell>
        </row>
        <row r="5855">
          <cell r="H5855" t="str">
            <v>PAY</v>
          </cell>
          <cell r="I5855" t="str">
            <v>PAYMENT THANK YOU</v>
          </cell>
        </row>
        <row r="5856">
          <cell r="H5856" t="str">
            <v>PAY-CFREE</v>
          </cell>
          <cell r="I5856" t="str">
            <v>CHECKFREE PAYMENT</v>
          </cell>
        </row>
        <row r="5857">
          <cell r="H5857" t="str">
            <v>PAY-KOL</v>
          </cell>
          <cell r="I5857" t="str">
            <v>PAYMENT-THANK YOU - OL</v>
          </cell>
        </row>
        <row r="5858">
          <cell r="H5858" t="str">
            <v>PAY-NATL</v>
          </cell>
          <cell r="I5858" t="str">
            <v>PAYMENT THANK YOU</v>
          </cell>
        </row>
        <row r="5859">
          <cell r="H5859" t="str">
            <v>PAY-OAK</v>
          </cell>
          <cell r="I5859" t="str">
            <v>OAKLEAF PAYMENT</v>
          </cell>
        </row>
        <row r="5860">
          <cell r="H5860" t="str">
            <v>PAY-ORCC</v>
          </cell>
          <cell r="I5860" t="str">
            <v>ORCC PAYMENT</v>
          </cell>
        </row>
        <row r="5861">
          <cell r="H5861" t="str">
            <v>PAY-RPPS</v>
          </cell>
          <cell r="I5861" t="str">
            <v>RPPS MASTERCARD PAYMENT</v>
          </cell>
        </row>
        <row r="5862">
          <cell r="H5862" t="str">
            <v>PAYEFT</v>
          </cell>
          <cell r="I5862" t="str">
            <v>EFT PAYMENT</v>
          </cell>
        </row>
        <row r="5863">
          <cell r="H5863" t="str">
            <v>PAYICLRI</v>
          </cell>
          <cell r="I5863" t="str">
            <v>PAYMENT THANK YOU</v>
          </cell>
        </row>
        <row r="5864">
          <cell r="H5864" t="str">
            <v>PAYICT</v>
          </cell>
          <cell r="I5864" t="str">
            <v>I/C PAYMENT THANK YOU</v>
          </cell>
        </row>
        <row r="5865">
          <cell r="H5865" t="str">
            <v>PAYMET</v>
          </cell>
          <cell r="I5865" t="str">
            <v>METAVANTE ONLINE PAYMENT</v>
          </cell>
        </row>
        <row r="5866">
          <cell r="H5866" t="str">
            <v>PAYUSBL</v>
          </cell>
          <cell r="I5866" t="str">
            <v>PAYMENT THANK YOU</v>
          </cell>
        </row>
        <row r="5867">
          <cell r="H5867" t="str">
            <v>CC-KOL</v>
          </cell>
          <cell r="I5867" t="str">
            <v>ONLINE PAYMENT-CC</v>
          </cell>
        </row>
        <row r="5868">
          <cell r="H5868" t="str">
            <v>CCREF-KOL</v>
          </cell>
          <cell r="I5868" t="str">
            <v>CREDIT CARD REFUND</v>
          </cell>
        </row>
        <row r="5869">
          <cell r="H5869" t="str">
            <v>ACCESS-RES</v>
          </cell>
          <cell r="I5869" t="str">
            <v>ACCESS FEE - RES</v>
          </cell>
        </row>
        <row r="5870">
          <cell r="H5870" t="str">
            <v>DRIVEIN-RES</v>
          </cell>
          <cell r="I5870" t="str">
            <v>DRIVE IN SERVICE - RES</v>
          </cell>
        </row>
        <row r="5871">
          <cell r="H5871" t="str">
            <v>GWRES</v>
          </cell>
          <cell r="I5871" t="str">
            <v>GREENWASTE SERVICE - RES</v>
          </cell>
        </row>
        <row r="5872">
          <cell r="H5872" t="str">
            <v>GWSPCL-RES</v>
          </cell>
          <cell r="I5872" t="str">
            <v>GREENWASTE SEN/DIS - RES</v>
          </cell>
        </row>
        <row r="5873">
          <cell r="H5873" t="str">
            <v>GWSPCLR-OC</v>
          </cell>
          <cell r="I5873" t="str">
            <v>GREENWASTE S/D ON CALL - RES</v>
          </cell>
        </row>
        <row r="5874">
          <cell r="H5874" t="str">
            <v>RECPROGADJ-RES</v>
          </cell>
          <cell r="I5874" t="str">
            <v>RECYCLING PROGRAM ADJUSTM</v>
          </cell>
        </row>
        <row r="5875">
          <cell r="H5875" t="str">
            <v>RECVALRES</v>
          </cell>
          <cell r="I5875" t="str">
            <v>RECYCLABLES VALUE - RES</v>
          </cell>
        </row>
        <row r="5876">
          <cell r="H5876" t="str">
            <v>SL035.0G1M001NOREC</v>
          </cell>
          <cell r="I5876" t="str">
            <v>35 GL 1X MO NO RECY 1</v>
          </cell>
        </row>
        <row r="5877">
          <cell r="H5877" t="str">
            <v>SL035.0G1M001WREC</v>
          </cell>
          <cell r="I5877" t="str">
            <v>35 GL 1X MO W/RECY 1</v>
          </cell>
        </row>
        <row r="5878">
          <cell r="H5878" t="str">
            <v>SL035.0G1W001WREC</v>
          </cell>
          <cell r="I5878" t="str">
            <v>35 GL 1X WK W/ RECY 1</v>
          </cell>
        </row>
        <row r="5879">
          <cell r="H5879" t="str">
            <v>SL065.0G1M001WREC</v>
          </cell>
          <cell r="I5879" t="str">
            <v>65 GL 1X MO W/RECY 1</v>
          </cell>
        </row>
        <row r="5880">
          <cell r="H5880" t="str">
            <v>SL065.0G1W001NOREC</v>
          </cell>
          <cell r="I5880" t="str">
            <v>65 GL 1X WK NO RECY 1</v>
          </cell>
        </row>
        <row r="5881">
          <cell r="H5881" t="str">
            <v>SL065.0G1W001WREC</v>
          </cell>
          <cell r="I5881" t="str">
            <v>65 GL 1X WK W/RECY 1</v>
          </cell>
        </row>
        <row r="5882">
          <cell r="H5882" t="str">
            <v>SL065.0GEO001WREC</v>
          </cell>
          <cell r="I5882" t="str">
            <v>65 GL EOW W/RECY 1</v>
          </cell>
        </row>
        <row r="5883">
          <cell r="H5883" t="str">
            <v>SL095.0G1M001WREC</v>
          </cell>
          <cell r="I5883" t="str">
            <v>95 GL 1X MO W/RECY 1</v>
          </cell>
        </row>
        <row r="5884">
          <cell r="H5884" t="str">
            <v>SL095.0G1W001NOREC</v>
          </cell>
          <cell r="I5884" t="str">
            <v>95 GL 1X WK NO RECY 1</v>
          </cell>
        </row>
        <row r="5885">
          <cell r="H5885" t="str">
            <v>SL095.0G1W001WREC</v>
          </cell>
          <cell r="I5885" t="str">
            <v>95 GL 1X WK W/RECY 1</v>
          </cell>
        </row>
        <row r="5886">
          <cell r="H5886" t="str">
            <v>SL095.0GEO001WREC</v>
          </cell>
          <cell r="I5886" t="str">
            <v>95 GL EOW W/RECY 1</v>
          </cell>
        </row>
        <row r="5887">
          <cell r="H5887" t="str">
            <v>WI4-RES</v>
          </cell>
          <cell r="I5887" t="str">
            <v>WALK IN 76-100' - RES</v>
          </cell>
        </row>
        <row r="5888">
          <cell r="H5888" t="str">
            <v>ADJ-RES</v>
          </cell>
          <cell r="I5888" t="str">
            <v>ADJUSTMENT SERVICE - RES</v>
          </cell>
        </row>
        <row r="5889">
          <cell r="H5889" t="str">
            <v>BULKY-RES</v>
          </cell>
          <cell r="I5889" t="str">
            <v>BULKY ITEM PICK UP - RES</v>
          </cell>
        </row>
        <row r="5890">
          <cell r="H5890" t="str">
            <v>EP96GWC-RES</v>
          </cell>
          <cell r="I5890" t="str">
            <v>EXTRA PICK UP 96 GW - RES</v>
          </cell>
        </row>
        <row r="5891">
          <cell r="H5891" t="str">
            <v>EXTRA-RES</v>
          </cell>
          <cell r="I5891" t="str">
            <v>EXTRA CAN, BAG, BOX - RES</v>
          </cell>
        </row>
        <row r="5892">
          <cell r="H5892" t="str">
            <v>EXTRAGRAD1-RES</v>
          </cell>
          <cell r="I5892" t="str">
            <v>EXTRAS GRADUATED 1-2 - RES</v>
          </cell>
        </row>
        <row r="5893">
          <cell r="H5893" t="str">
            <v>EXTRAGRAD2-RES</v>
          </cell>
          <cell r="I5893" t="str">
            <v>EXTRAS GRADUATED 3+ - RES</v>
          </cell>
        </row>
        <row r="5894">
          <cell r="H5894" t="str">
            <v>EXTRAGWC-RES</v>
          </cell>
          <cell r="I5894" t="str">
            <v>EXTRA GREENWASTE FEE - RE</v>
          </cell>
        </row>
        <row r="5895">
          <cell r="H5895" t="str">
            <v>GWRES</v>
          </cell>
          <cell r="I5895" t="str">
            <v>GREENWASTE SERVICE - RES</v>
          </cell>
        </row>
        <row r="5896">
          <cell r="H5896" t="str">
            <v>OC-RES</v>
          </cell>
          <cell r="I5896" t="str">
            <v>ON CALL SERVICE - RES</v>
          </cell>
        </row>
        <row r="5897">
          <cell r="H5897" t="str">
            <v>OW-RES</v>
          </cell>
          <cell r="I5897" t="str">
            <v>OVERFILL / OVERWEIGHT CAN</v>
          </cell>
        </row>
        <row r="5898">
          <cell r="H5898" t="str">
            <v>REINSTATE-RES</v>
          </cell>
          <cell r="I5898" t="str">
            <v>REINSTATE FEE - RES</v>
          </cell>
        </row>
        <row r="5899">
          <cell r="H5899" t="str">
            <v>RTRNCART65-RES</v>
          </cell>
          <cell r="I5899" t="str">
            <v>RETURN TRIP 65 GL - RES</v>
          </cell>
        </row>
        <row r="5900">
          <cell r="H5900" t="str">
            <v>RTRNCART95-RES</v>
          </cell>
          <cell r="I5900" t="str">
            <v>RETURN TRIP 95 GL - RES</v>
          </cell>
        </row>
        <row r="5901">
          <cell r="H5901" t="str">
            <v>RTRNCART96REC-RES</v>
          </cell>
          <cell r="I5901" t="str">
            <v>RETURN TRIP 96 GL REC - RES</v>
          </cell>
        </row>
        <row r="5902">
          <cell r="H5902" t="str">
            <v>SL065.0G1W001WREC</v>
          </cell>
          <cell r="I5902" t="str">
            <v>65 GL 1X WK W/RECY 1</v>
          </cell>
        </row>
        <row r="5903">
          <cell r="H5903" t="str">
            <v>SL065.0GEO001WREC</v>
          </cell>
          <cell r="I5903" t="str">
            <v>65 GL EOW W/RECY 1</v>
          </cell>
        </row>
        <row r="5904">
          <cell r="H5904" t="str">
            <v>SL095.0G1W001WREC</v>
          </cell>
          <cell r="I5904" t="str">
            <v>95 GL 1X WK W/RECY 1</v>
          </cell>
        </row>
        <row r="5905">
          <cell r="H5905" t="str">
            <v>SL095.0GEO001WREC</v>
          </cell>
          <cell r="I5905" t="str">
            <v>95 GL EOW W/RECY 1</v>
          </cell>
        </row>
        <row r="5906">
          <cell r="H5906" t="str">
            <v>SPGRAD1-RES</v>
          </cell>
          <cell r="I5906" t="str">
            <v>SPECIAL GRADUATED 1-2 - R</v>
          </cell>
        </row>
        <row r="5907">
          <cell r="H5907" t="str">
            <v>SPGRAD2-RES</v>
          </cell>
          <cell r="I5907" t="str">
            <v>SPECIAL GRADUATED 3+ - RE</v>
          </cell>
        </row>
        <row r="5908">
          <cell r="H5908" t="str">
            <v>ACCESS-RES</v>
          </cell>
          <cell r="I5908" t="str">
            <v>ACCESS FEE - RES</v>
          </cell>
        </row>
        <row r="5909">
          <cell r="H5909" t="str">
            <v>DRIVEIN-RES</v>
          </cell>
          <cell r="I5909" t="str">
            <v>DRIVE IN SERVICE - RES</v>
          </cell>
        </row>
        <row r="5910">
          <cell r="H5910" t="str">
            <v>DRIVEIN1-RES</v>
          </cell>
          <cell r="I5910" t="str">
            <v>DRIVE IN 1 - RES</v>
          </cell>
        </row>
        <row r="5911">
          <cell r="H5911" t="str">
            <v>DRIVEIN2-RES</v>
          </cell>
          <cell r="I5911" t="str">
            <v>DRIVE IN 2 - RES</v>
          </cell>
        </row>
        <row r="5912">
          <cell r="H5912" t="str">
            <v>DRIVEIN4-RES</v>
          </cell>
          <cell r="I5912" t="str">
            <v>DRIVE IN 4 - RES</v>
          </cell>
        </row>
        <row r="5913">
          <cell r="H5913" t="str">
            <v>EMPLOYEER</v>
          </cell>
          <cell r="I5913" t="str">
            <v>EMPLOYEE SERVICE RES</v>
          </cell>
        </row>
        <row r="5914">
          <cell r="H5914" t="str">
            <v>GWRES</v>
          </cell>
          <cell r="I5914" t="str">
            <v>GREENWASTE SERVICE - RES</v>
          </cell>
        </row>
        <row r="5915">
          <cell r="H5915" t="str">
            <v>GWSPCL-RES</v>
          </cell>
          <cell r="I5915" t="str">
            <v>GREENWASTE SEN/DIS - RES</v>
          </cell>
        </row>
        <row r="5916">
          <cell r="H5916" t="str">
            <v>RECBINONLYR</v>
          </cell>
          <cell r="I5916" t="str">
            <v>RECYCLE SERVICE ONLY</v>
          </cell>
        </row>
        <row r="5917">
          <cell r="H5917" t="str">
            <v>RECPROGADJ-RES</v>
          </cell>
          <cell r="I5917" t="str">
            <v>RECYCLING PROGRAM ADJUSTM</v>
          </cell>
        </row>
        <row r="5918">
          <cell r="H5918" t="str">
            <v>RECVALRES</v>
          </cell>
          <cell r="I5918" t="str">
            <v>RECYCLABLES VALUE - RES</v>
          </cell>
        </row>
        <row r="5919">
          <cell r="H5919" t="str">
            <v>RL020.0G1W001</v>
          </cell>
          <cell r="I5919" t="str">
            <v>20 GL 1X WK 1</v>
          </cell>
        </row>
        <row r="5920">
          <cell r="H5920" t="str">
            <v>RL032.0G1M001WRECSPCL</v>
          </cell>
          <cell r="I5920" t="str">
            <v>32 GL 1X MO S/D W/RECY</v>
          </cell>
        </row>
        <row r="5921">
          <cell r="H5921" t="str">
            <v>SL032.0G1W001WREC</v>
          </cell>
          <cell r="I5921" t="str">
            <v>32 GL 1X WK W/RECY 1</v>
          </cell>
        </row>
        <row r="5922">
          <cell r="H5922" t="str">
            <v>SL035.0G1M001WREC</v>
          </cell>
          <cell r="I5922" t="str">
            <v>35 GL 1X MO W/RECY 1</v>
          </cell>
        </row>
        <row r="5923">
          <cell r="H5923" t="str">
            <v>SL035.0G1W001NOREC</v>
          </cell>
          <cell r="I5923" t="str">
            <v>35 GL 1X WK NO RECY 1</v>
          </cell>
        </row>
        <row r="5924">
          <cell r="H5924" t="str">
            <v>SL035.0G1W001WREC</v>
          </cell>
          <cell r="I5924" t="str">
            <v>35 GL 1X WK W/ RECY 1</v>
          </cell>
        </row>
        <row r="5925">
          <cell r="H5925" t="str">
            <v>SL065.0G1M001NOREC</v>
          </cell>
          <cell r="I5925" t="str">
            <v>65 GL 1X MO NO RECY 1</v>
          </cell>
        </row>
        <row r="5926">
          <cell r="H5926" t="str">
            <v>SL065.0G1M001SPCLNOREC</v>
          </cell>
          <cell r="I5926" t="str">
            <v>65 GL 1X MO S/D NO REC 1</v>
          </cell>
        </row>
        <row r="5927">
          <cell r="H5927" t="str">
            <v>SL065.0G1M001WREC</v>
          </cell>
          <cell r="I5927" t="str">
            <v>65 GL 1X MO W/RECY 1</v>
          </cell>
        </row>
        <row r="5928">
          <cell r="H5928" t="str">
            <v>SL065.0G1M001WRECSPCL</v>
          </cell>
          <cell r="I5928" t="str">
            <v>65 GL 1X MO W/RECY S/D 1</v>
          </cell>
        </row>
        <row r="5929">
          <cell r="H5929" t="str">
            <v>SL065.0G1W001NOREC</v>
          </cell>
          <cell r="I5929" t="str">
            <v>65 GL 1X WK NO RECY 1</v>
          </cell>
        </row>
        <row r="5930">
          <cell r="H5930" t="str">
            <v>SL065.0G1W001SPCLWREC</v>
          </cell>
          <cell r="I5930" t="str">
            <v>65 GL 1X WK S/D W/REC 1</v>
          </cell>
        </row>
        <row r="5931">
          <cell r="H5931" t="str">
            <v>SL065.0G1W001WREC</v>
          </cell>
          <cell r="I5931" t="str">
            <v>65 GL 1X WK W/RECY 1</v>
          </cell>
        </row>
        <row r="5932">
          <cell r="H5932" t="str">
            <v>SL065.0GEO001NOREC</v>
          </cell>
          <cell r="I5932" t="str">
            <v>65 GL EOW NO RECY 1</v>
          </cell>
        </row>
        <row r="5933">
          <cell r="H5933" t="str">
            <v>SL065.0GEO001SPCLWREC</v>
          </cell>
          <cell r="I5933" t="str">
            <v>65 GL EOW S/D W/RECY 1</v>
          </cell>
        </row>
        <row r="5934">
          <cell r="H5934" t="str">
            <v>SL065.0GEO001WREC</v>
          </cell>
          <cell r="I5934" t="str">
            <v>65 GL EOW W/RECY 1</v>
          </cell>
        </row>
        <row r="5935">
          <cell r="H5935" t="str">
            <v>SL095.0G1M001WREC</v>
          </cell>
          <cell r="I5935" t="str">
            <v>95 GL 1X MO W/RECY 1</v>
          </cell>
        </row>
        <row r="5936">
          <cell r="H5936" t="str">
            <v>SL095.0G1W001NOREC</v>
          </cell>
          <cell r="I5936" t="str">
            <v>95 GL 1X WK NO RECY 1</v>
          </cell>
        </row>
        <row r="5937">
          <cell r="H5937" t="str">
            <v>SL095.0G1W001WREC</v>
          </cell>
          <cell r="I5937" t="str">
            <v>95 GL 1X WK W/RECY 1</v>
          </cell>
        </row>
        <row r="5938">
          <cell r="H5938" t="str">
            <v>SL095.0GEO001NOREC</v>
          </cell>
          <cell r="I5938" t="str">
            <v>95 GL EOW NO RECY 1</v>
          </cell>
        </row>
        <row r="5939">
          <cell r="H5939" t="str">
            <v>SL095.0GEO001SPCLWREC</v>
          </cell>
          <cell r="I5939" t="str">
            <v>95 GL EOW S/D W/RECY 1</v>
          </cell>
        </row>
        <row r="5940">
          <cell r="H5940" t="str">
            <v>SL095.0GEO001WREC</v>
          </cell>
          <cell r="I5940" t="str">
            <v>95 GL EOW W/RECY 1</v>
          </cell>
        </row>
        <row r="5941">
          <cell r="H5941" t="str">
            <v>WI1-RES</v>
          </cell>
          <cell r="I5941" t="str">
            <v>WALK IN 6-25' - RES</v>
          </cell>
        </row>
        <row r="5942">
          <cell r="H5942" t="str">
            <v>WI2-RES</v>
          </cell>
          <cell r="I5942" t="str">
            <v>WALK IN 26-50' - RES</v>
          </cell>
        </row>
        <row r="5943">
          <cell r="H5943" t="str">
            <v>ADJ-RES</v>
          </cell>
          <cell r="I5943" t="str">
            <v>ADJUSTMENT SERVICE - RES</v>
          </cell>
        </row>
        <row r="5944">
          <cell r="H5944" t="str">
            <v>BULKY-RES</v>
          </cell>
          <cell r="I5944" t="str">
            <v>BULKY ITEM PICK UP - RES</v>
          </cell>
        </row>
        <row r="5945">
          <cell r="H5945" t="str">
            <v>EP96GWC-RES</v>
          </cell>
          <cell r="I5945" t="str">
            <v>EXTRA PICK UP 96 GW - RES</v>
          </cell>
        </row>
        <row r="5946">
          <cell r="H5946" t="str">
            <v>EXTRA-RES</v>
          </cell>
          <cell r="I5946" t="str">
            <v>EXTRA CAN, BAG, BOX - RES</v>
          </cell>
        </row>
        <row r="5947">
          <cell r="H5947" t="str">
            <v>EXTRAGRAD1-RES</v>
          </cell>
          <cell r="I5947" t="str">
            <v>EXTRAS GRADUATED 1-2 - RES</v>
          </cell>
        </row>
        <row r="5948">
          <cell r="H5948" t="str">
            <v>EXTRAGRAD2-RES</v>
          </cell>
          <cell r="I5948" t="str">
            <v>EXTRAS GRADUATED 3+ - RES</v>
          </cell>
        </row>
        <row r="5949">
          <cell r="H5949" t="str">
            <v>EXTRAGWC-RES</v>
          </cell>
          <cell r="I5949" t="str">
            <v>EXTRA GREENWASTE FEE - RE</v>
          </cell>
        </row>
        <row r="5950">
          <cell r="H5950" t="str">
            <v>OW-RES</v>
          </cell>
          <cell r="I5950" t="str">
            <v>OVERFILL / OVERWEIGHT CAN</v>
          </cell>
        </row>
        <row r="5951">
          <cell r="H5951" t="str">
            <v>REINSTATE-RES</v>
          </cell>
          <cell r="I5951" t="str">
            <v>REINSTATE FEE - RES</v>
          </cell>
        </row>
        <row r="5952">
          <cell r="H5952" t="str">
            <v>RTRNCART32-RES</v>
          </cell>
          <cell r="I5952" t="str">
            <v>RETURN TRIP 32 GL - RES</v>
          </cell>
        </row>
        <row r="5953">
          <cell r="H5953" t="str">
            <v>RTRNCART65-RES</v>
          </cell>
          <cell r="I5953" t="str">
            <v>RETURN TRIP 65 GL - RES</v>
          </cell>
        </row>
        <row r="5954">
          <cell r="H5954" t="str">
            <v>RTRNCART96REC-RES</v>
          </cell>
          <cell r="I5954" t="str">
            <v>RETURN TRIP 96 GL REC - RES</v>
          </cell>
        </row>
        <row r="5955">
          <cell r="H5955" t="str">
            <v>SL065.0G1W001WREC</v>
          </cell>
          <cell r="I5955" t="str">
            <v>65 GL 1X WK W/RECY 1</v>
          </cell>
        </row>
        <row r="5956">
          <cell r="H5956" t="str">
            <v>SL065.0GEO001WREC</v>
          </cell>
          <cell r="I5956" t="str">
            <v>65 GL EOW W/RECY 1</v>
          </cell>
        </row>
        <row r="5957">
          <cell r="H5957" t="str">
            <v>SL095.0GEO001WREC</v>
          </cell>
          <cell r="I5957" t="str">
            <v>95 GL EOW W/RECY 1</v>
          </cell>
        </row>
        <row r="5958">
          <cell r="H5958" t="str">
            <v>SPGRAD1-RES</v>
          </cell>
          <cell r="I5958" t="str">
            <v>SPECIAL GRADUATED 1-2 - R</v>
          </cell>
        </row>
        <row r="5959">
          <cell r="H5959" t="str">
            <v>SPGRAD2-RES</v>
          </cell>
          <cell r="I5959" t="str">
            <v>SPECIAL GRADUATED 3+ - RE</v>
          </cell>
        </row>
        <row r="5960">
          <cell r="H5960" t="str">
            <v>SL095.0G1W001WREC</v>
          </cell>
          <cell r="I5960" t="str">
            <v>95 GL 1X WK W/RECY 1</v>
          </cell>
        </row>
        <row r="5961">
          <cell r="H5961" t="str">
            <v>EXTRAGRAD1-RES</v>
          </cell>
          <cell r="I5961" t="str">
            <v>EXTRAS GRADUATED 1-2 - RES</v>
          </cell>
        </row>
        <row r="5962">
          <cell r="H5962" t="str">
            <v>EXTRAGRAD2-RES</v>
          </cell>
          <cell r="I5962" t="str">
            <v>EXTRAS GRADUATED 3+ - RES</v>
          </cell>
        </row>
        <row r="5963">
          <cell r="H5963" t="str">
            <v>OW-RES</v>
          </cell>
          <cell r="I5963" t="str">
            <v>OVERFILL / OVERWEIGHT CAN</v>
          </cell>
        </row>
        <row r="5964">
          <cell r="H5964" t="str">
            <v>SPGRAD1-RES</v>
          </cell>
          <cell r="I5964" t="str">
            <v>SPECIAL GRADUATED 1-2 - R</v>
          </cell>
        </row>
        <row r="5965">
          <cell r="H5965" t="str">
            <v>EXTRAGRAD1-RES</v>
          </cell>
          <cell r="I5965" t="str">
            <v>EXTRAS GRADUATED 1-2 - RES</v>
          </cell>
        </row>
        <row r="5966">
          <cell r="H5966" t="str">
            <v>EXTRAGRAD2-RES</v>
          </cell>
          <cell r="I5966" t="str">
            <v>EXTRAS GRADUATED 3+ - RES</v>
          </cell>
        </row>
        <row r="5967">
          <cell r="H5967" t="str">
            <v>DISCO-CP</v>
          </cell>
          <cell r="I5967" t="str">
            <v xml:space="preserve">COMPACTOR DISCONNECT FEE </v>
          </cell>
        </row>
        <row r="5968">
          <cell r="H5968" t="str">
            <v>HAUL30-RO</v>
          </cell>
          <cell r="I5968" t="str">
            <v>HAUL 30 YD - RO</v>
          </cell>
        </row>
        <row r="5969">
          <cell r="H5969" t="str">
            <v>LIDRO</v>
          </cell>
          <cell r="I5969" t="str">
            <v>LID CHARGE - RO</v>
          </cell>
        </row>
        <row r="5970">
          <cell r="H5970" t="str">
            <v>RENT15MO-RO</v>
          </cell>
          <cell r="I5970" t="str">
            <v>RENTAL FEE 15 YD MONTHLY</v>
          </cell>
        </row>
        <row r="5971">
          <cell r="H5971" t="str">
            <v>RENT20MO-RO</v>
          </cell>
          <cell r="I5971" t="str">
            <v>RENTAL FEE 20 YD MONTHLY</v>
          </cell>
        </row>
        <row r="5972">
          <cell r="H5972" t="str">
            <v>RENT20TEMP-RO</v>
          </cell>
          <cell r="I5972" t="str">
            <v>RENTAL FEE 20 YD TEMP - R</v>
          </cell>
        </row>
        <row r="5973">
          <cell r="H5973" t="str">
            <v>RENT30MO-RO</v>
          </cell>
          <cell r="I5973" t="str">
            <v>RENTAL FEE 30 YD MONTHLY</v>
          </cell>
        </row>
        <row r="5974">
          <cell r="H5974" t="str">
            <v>RENT40MO-RO</v>
          </cell>
          <cell r="I5974" t="str">
            <v>RENTAL FEE 40 YD MONTHLY</v>
          </cell>
        </row>
        <row r="5975">
          <cell r="H5975" t="str">
            <v>RENT40TEMP-RO</v>
          </cell>
          <cell r="I5975" t="str">
            <v>RENTAL FEE 40 YD TEMP - R</v>
          </cell>
        </row>
        <row r="5976">
          <cell r="H5976" t="str">
            <v>CLEAN25-RO</v>
          </cell>
          <cell r="I5976" t="str">
            <v>CLEANING FEE 25 YD - RO</v>
          </cell>
        </row>
        <row r="5977">
          <cell r="H5977" t="str">
            <v>COMMODITY</v>
          </cell>
          <cell r="I5977" t="str">
            <v>COMMODITY</v>
          </cell>
        </row>
        <row r="5978">
          <cell r="H5978" t="str">
            <v>DEL20-RO</v>
          </cell>
          <cell r="I5978" t="str">
            <v>DELIVERY FEE 20 YD - RO</v>
          </cell>
        </row>
        <row r="5979">
          <cell r="H5979" t="str">
            <v>DEL20TEMP-RO</v>
          </cell>
          <cell r="I5979" t="str">
            <v>DELIVERY FEE 20 YD TEMP -</v>
          </cell>
        </row>
        <row r="5980">
          <cell r="H5980" t="str">
            <v>DEL30-RO</v>
          </cell>
          <cell r="I5980" t="str">
            <v>DELIVERY FEE 30 YD - RO</v>
          </cell>
        </row>
        <row r="5981">
          <cell r="H5981" t="str">
            <v>DEL30TEMP-RO</v>
          </cell>
          <cell r="I5981" t="str">
            <v>DELIVERY FEE 30 YD TEMP -</v>
          </cell>
        </row>
        <row r="5982">
          <cell r="H5982" t="str">
            <v>DEL40TEMP-RO</v>
          </cell>
          <cell r="I5982" t="str">
            <v>DELIVERY FEE 40 YD TEMP -</v>
          </cell>
        </row>
        <row r="5983">
          <cell r="H5983" t="str">
            <v>DISCO-CP</v>
          </cell>
          <cell r="I5983" t="str">
            <v xml:space="preserve">COMPACTOR DISCONNECT FEE </v>
          </cell>
        </row>
        <row r="5984">
          <cell r="H5984" t="str">
            <v>DISP-RO</v>
          </cell>
          <cell r="I5984" t="str">
            <v>DISPOSAL CHARGE - RO</v>
          </cell>
        </row>
        <row r="5985">
          <cell r="H5985" t="str">
            <v>DISPTRANS-RO</v>
          </cell>
          <cell r="I5985" t="str">
            <v>DISPOSAL FEE TRANSFER HAU</v>
          </cell>
        </row>
        <row r="5986">
          <cell r="H5986" t="str">
            <v>EXWGHT-RO</v>
          </cell>
          <cell r="I5986" t="str">
            <v>EXCESS WEIGHT - RO</v>
          </cell>
        </row>
        <row r="5987">
          <cell r="H5987" t="str">
            <v>FINAL20-RO</v>
          </cell>
          <cell r="I5987" t="str">
            <v>FINAL PULL 20 YD - RO</v>
          </cell>
        </row>
        <row r="5988">
          <cell r="H5988" t="str">
            <v>FINAL20TEMP-RO</v>
          </cell>
          <cell r="I5988" t="str">
            <v>FINAL PULL 20 YD TEMP - R</v>
          </cell>
        </row>
        <row r="5989">
          <cell r="H5989" t="str">
            <v>FINAL30-RO</v>
          </cell>
          <cell r="I5989" t="str">
            <v>FINAL PULL 30 YD - RO</v>
          </cell>
        </row>
        <row r="5990">
          <cell r="H5990" t="str">
            <v>FINAL30TEMP-RO</v>
          </cell>
          <cell r="I5990" t="str">
            <v>FINAL PULL 30 YD TEMP - R</v>
          </cell>
        </row>
        <row r="5991">
          <cell r="H5991" t="str">
            <v>FINAL40-RO</v>
          </cell>
          <cell r="I5991" t="str">
            <v>FINAL PULL 40 YD - RO</v>
          </cell>
        </row>
        <row r="5992">
          <cell r="H5992" t="str">
            <v>FINAL40TEMP-RO</v>
          </cell>
          <cell r="I5992" t="str">
            <v>FINAL PULL 40 YD TEMP - R</v>
          </cell>
        </row>
        <row r="5993">
          <cell r="H5993" t="str">
            <v>HAUL10-CP</v>
          </cell>
          <cell r="I5993" t="str">
            <v>COMPACTOR HAUL 10 YD - RO</v>
          </cell>
        </row>
        <row r="5994">
          <cell r="H5994" t="str">
            <v>HAUL15-CP</v>
          </cell>
          <cell r="I5994" t="str">
            <v>COMPACTOR HAUL 15 YD</v>
          </cell>
        </row>
        <row r="5995">
          <cell r="H5995" t="str">
            <v>HAUL15-RO</v>
          </cell>
          <cell r="I5995" t="str">
            <v>HAUL 15 YD - RO</v>
          </cell>
        </row>
        <row r="5996">
          <cell r="H5996" t="str">
            <v>HAUL20-CP</v>
          </cell>
          <cell r="I5996" t="str">
            <v>COMPACTOR HAUL 20 YD - RO</v>
          </cell>
        </row>
        <row r="5997">
          <cell r="H5997" t="str">
            <v>HAUL20-RO</v>
          </cell>
          <cell r="I5997" t="str">
            <v>HAUL 20 YD - RO</v>
          </cell>
        </row>
        <row r="5998">
          <cell r="H5998" t="str">
            <v>HAUL20TEMP-RO</v>
          </cell>
          <cell r="I5998" t="str">
            <v>HAUL 20 YD TEMP - RO</v>
          </cell>
        </row>
        <row r="5999">
          <cell r="H5999" t="str">
            <v>HAUL25-CP</v>
          </cell>
          <cell r="I5999" t="str">
            <v>COMPACTOR HAUL 25 YD - RO</v>
          </cell>
        </row>
        <row r="6000">
          <cell r="H6000" t="str">
            <v>HAUL26-CP</v>
          </cell>
          <cell r="I6000" t="str">
            <v>COMPACTOR HAUL 26 YD - RO</v>
          </cell>
        </row>
        <row r="6001">
          <cell r="H6001" t="str">
            <v>HAUL30-CP</v>
          </cell>
          <cell r="I6001" t="str">
            <v>COMPACTOR HAUL 30 YD</v>
          </cell>
        </row>
        <row r="6002">
          <cell r="H6002" t="str">
            <v>HAUL30-RO</v>
          </cell>
          <cell r="I6002" t="str">
            <v>HAUL 30 YD - RO</v>
          </cell>
        </row>
        <row r="6003">
          <cell r="H6003" t="str">
            <v>HAUL30TEMP-RO</v>
          </cell>
          <cell r="I6003" t="str">
            <v>HAUL 30 YD TEMP - RO</v>
          </cell>
        </row>
        <row r="6004">
          <cell r="H6004" t="str">
            <v>HAUL35-CP</v>
          </cell>
          <cell r="I6004" t="str">
            <v>COMPACTOR HAUL 35 YD - RO</v>
          </cell>
        </row>
        <row r="6005">
          <cell r="H6005" t="str">
            <v>HAUL37-CP</v>
          </cell>
          <cell r="I6005" t="str">
            <v>COMPACTOR HAUL 37 YD - RO</v>
          </cell>
        </row>
        <row r="6006">
          <cell r="H6006" t="str">
            <v>HAUL40-CP</v>
          </cell>
          <cell r="I6006" t="str">
            <v>COMPACTOR HAUL 40 YD</v>
          </cell>
        </row>
        <row r="6007">
          <cell r="H6007" t="str">
            <v>HAUL40-RO</v>
          </cell>
          <cell r="I6007" t="str">
            <v>HAUL 40 YD - RO</v>
          </cell>
        </row>
        <row r="6008">
          <cell r="H6008" t="str">
            <v>HAUL40TEMP-RO</v>
          </cell>
          <cell r="I6008" t="str">
            <v>HAUL 40 YD TEMP - RO</v>
          </cell>
        </row>
        <row r="6009">
          <cell r="H6009" t="str">
            <v>MILE-RO</v>
          </cell>
          <cell r="I6009" t="str">
            <v>MILEAGE FEE - RO</v>
          </cell>
        </row>
        <row r="6010">
          <cell r="H6010" t="str">
            <v>RELO-RO</v>
          </cell>
          <cell r="I6010" t="str">
            <v>RELOCATION FEE - RO</v>
          </cell>
        </row>
        <row r="6011">
          <cell r="H6011" t="str">
            <v>RENT20TEMP-RO</v>
          </cell>
          <cell r="I6011" t="str">
            <v>RENTAL FEE 20 YD TEMP - R</v>
          </cell>
        </row>
        <row r="6012">
          <cell r="H6012" t="str">
            <v>RENT30TEMP-RO</v>
          </cell>
          <cell r="I6012" t="str">
            <v>RENTAL FEE 30 YD TEMP - R</v>
          </cell>
        </row>
        <row r="6013">
          <cell r="H6013" t="str">
            <v>RENT40TEMP-RO</v>
          </cell>
          <cell r="I6013" t="str">
            <v>RENTAL FEE 40 YD TEMP - R</v>
          </cell>
        </row>
        <row r="6014">
          <cell r="H6014" t="str">
            <v>RTRNTRIP-RO</v>
          </cell>
          <cell r="I6014" t="str">
            <v>RETURN TRIP FEE - RO</v>
          </cell>
        </row>
        <row r="6015">
          <cell r="H6015" t="str">
            <v>TIME-RO</v>
          </cell>
          <cell r="I6015" t="str">
            <v>TIME FEE - RO</v>
          </cell>
        </row>
        <row r="6016">
          <cell r="H6016" t="str">
            <v>DEL20TEMP-RO</v>
          </cell>
          <cell r="I6016" t="str">
            <v>DELIVERY FEE 20 YD TEMP -</v>
          </cell>
        </row>
        <row r="6017">
          <cell r="H6017" t="str">
            <v>DISP-RO</v>
          </cell>
          <cell r="I6017" t="str">
            <v>DISPOSAL CHARGE - RO</v>
          </cell>
        </row>
        <row r="6018">
          <cell r="H6018" t="str">
            <v>DISPGLASS-RO</v>
          </cell>
          <cell r="I6018" t="str">
            <v>DISPOSAL FEE GLASS - RO</v>
          </cell>
        </row>
        <row r="6019">
          <cell r="H6019" t="str">
            <v>FINAL20TEMP-RO</v>
          </cell>
          <cell r="I6019" t="str">
            <v>FINAL PULL 20 YD TEMP - R</v>
          </cell>
        </row>
        <row r="6020">
          <cell r="H6020" t="str">
            <v>HAUL30-RO</v>
          </cell>
          <cell r="I6020" t="str">
            <v>HAUL 30 YD - RO</v>
          </cell>
        </row>
        <row r="6021">
          <cell r="H6021" t="str">
            <v>RENT20TEMP-RO</v>
          </cell>
          <cell r="I6021" t="str">
            <v>RENTAL FEE 20 YD TEMP - R</v>
          </cell>
        </row>
        <row r="6022">
          <cell r="H6022" t="str">
            <v>COMMODITY SURCHARGE</v>
          </cell>
          <cell r="I6022" t="str">
            <v>COMMODITY SURCHARGE</v>
          </cell>
        </row>
        <row r="6023">
          <cell r="H6023" t="str">
            <v>COMMODITY SURCHARGE</v>
          </cell>
          <cell r="I6023" t="str">
            <v>COMMODITY SURCHARGE</v>
          </cell>
        </row>
        <row r="6024">
          <cell r="H6024" t="str">
            <v>LAKEWOOD CITY ONLY</v>
          </cell>
          <cell r="I6024" t="str">
            <v>6% CITY UTILITY TAX</v>
          </cell>
        </row>
        <row r="6025">
          <cell r="H6025" t="str">
            <v>LAKEWOOD CITY UTILITY TAX</v>
          </cell>
          <cell r="I6025" t="str">
            <v>6% CITY UTILITY TAX</v>
          </cell>
        </row>
        <row r="6026">
          <cell r="H6026" t="str">
            <v>LAKEWOOD REFUSE TAX</v>
          </cell>
          <cell r="I6026" t="str">
            <v>3.6% WA STATE REFUSE TAX</v>
          </cell>
        </row>
        <row r="6027">
          <cell r="H6027" t="str">
            <v>LAKEWOOD STATE SALES TAX</v>
          </cell>
          <cell r="I6027" t="str">
            <v>9.9% WA STATE SALES TAX</v>
          </cell>
        </row>
        <row r="6028">
          <cell r="H6028" t="str">
            <v>LAKEWOOD CITY ONLY</v>
          </cell>
          <cell r="I6028" t="str">
            <v>6% CITY UTILITY TAX</v>
          </cell>
        </row>
        <row r="6029">
          <cell r="H6029" t="str">
            <v>LAKEWOOD CITY UTILITY TAX</v>
          </cell>
          <cell r="I6029" t="str">
            <v>6% CITY UTILITY TAX</v>
          </cell>
        </row>
        <row r="6030">
          <cell r="H6030" t="str">
            <v>LAKEWOOD REFUSE TAX</v>
          </cell>
          <cell r="I6030" t="str">
            <v>3.6% WA STATE REFUSE TAX</v>
          </cell>
        </row>
        <row r="6031">
          <cell r="H6031" t="str">
            <v>LAKEWOOD STATE SALES TAX</v>
          </cell>
          <cell r="I6031" t="str">
            <v>9.9% WA STATE SALES TAX</v>
          </cell>
        </row>
        <row r="6032">
          <cell r="H6032" t="str">
            <v>LAKEWOOD CITY UTILITY TAX</v>
          </cell>
          <cell r="I6032" t="str">
            <v>6% CITY UTILITY TAX</v>
          </cell>
        </row>
        <row r="6033">
          <cell r="H6033" t="str">
            <v>LAKEWOOD REFUSE TAX</v>
          </cell>
          <cell r="I6033" t="str">
            <v>3.6% WA STATE REFUSE TAX</v>
          </cell>
        </row>
        <row r="6034">
          <cell r="H6034" t="str">
            <v>LAKEWOOD STATE SALES TAX</v>
          </cell>
          <cell r="I6034" t="str">
            <v>9.9% WA STATE SALES TAX</v>
          </cell>
        </row>
        <row r="6035">
          <cell r="H6035" t="str">
            <v>LAKEWOOD CITY UTILITY TAX</v>
          </cell>
          <cell r="I6035" t="str">
            <v>6% CITY UTILITY TAX</v>
          </cell>
        </row>
        <row r="6036">
          <cell r="H6036" t="str">
            <v>LAKEWOOD REFUSE TAX</v>
          </cell>
          <cell r="I6036" t="str">
            <v>3.6% WA STATE REFUSE TAX</v>
          </cell>
        </row>
        <row r="6037">
          <cell r="H6037" t="str">
            <v>LAKEWOOD STATE SALES TAX</v>
          </cell>
          <cell r="I6037" t="str">
            <v>9.9% WA STATE SALES TAX</v>
          </cell>
        </row>
        <row r="6038">
          <cell r="H6038" t="str">
            <v>LAKEWOOD CITY ONLY</v>
          </cell>
          <cell r="I6038" t="str">
            <v>6% CITY UTILITY TAX</v>
          </cell>
        </row>
        <row r="6039">
          <cell r="H6039" t="str">
            <v>LAKEWOOD CITY UTILITY TAX</v>
          </cell>
          <cell r="I6039" t="str">
            <v>6% CITY UTILITY TAX</v>
          </cell>
        </row>
        <row r="6040">
          <cell r="H6040" t="str">
            <v>LAKEWOOD REFUSE TAX</v>
          </cell>
          <cell r="I6040" t="str">
            <v>3.6% WA STATE REFUSE TAX</v>
          </cell>
        </row>
        <row r="6041">
          <cell r="H6041" t="str">
            <v>LAKEWOOD CITY ONLY</v>
          </cell>
          <cell r="I6041" t="str">
            <v>6% CITY UTILITY TAX</v>
          </cell>
        </row>
        <row r="6042">
          <cell r="H6042" t="str">
            <v>LAKEWOOD CITY UTILITY TAX</v>
          </cell>
          <cell r="I6042" t="str">
            <v>6% CITY UTILITY TAX</v>
          </cell>
        </row>
        <row r="6043">
          <cell r="H6043" t="str">
            <v>LAKEWOOD REFUSE TAX</v>
          </cell>
          <cell r="I6043" t="str">
            <v>3.6% WA STATE REFUSE TAX</v>
          </cell>
        </row>
        <row r="6044">
          <cell r="H6044" t="str">
            <v>PIERCE REFUSE TAX</v>
          </cell>
          <cell r="I6044" t="str">
            <v>3.6% WA STATE REFUSE TAX</v>
          </cell>
        </row>
        <row r="6045">
          <cell r="H6045" t="str">
            <v>LAKEWOOD CITY ONLY</v>
          </cell>
          <cell r="I6045" t="str">
            <v>6% CITY UTILITY TAX</v>
          </cell>
        </row>
        <row r="6046">
          <cell r="H6046" t="str">
            <v>LAKEWOOD CITY UTILITY TAX</v>
          </cell>
          <cell r="I6046" t="str">
            <v>6% CITY UTILITY TAX</v>
          </cell>
        </row>
        <row r="6047">
          <cell r="H6047" t="str">
            <v>LAKEWOOD REFUSE TAX</v>
          </cell>
          <cell r="I6047" t="str">
            <v>3.6% WA STATE REFUSE TAX</v>
          </cell>
        </row>
        <row r="6048">
          <cell r="H6048" t="str">
            <v>LAKEWOOD STATE SALES TAX</v>
          </cell>
          <cell r="I6048" t="str">
            <v>9.9% WA STATE SALES TAX</v>
          </cell>
        </row>
        <row r="6049">
          <cell r="H6049" t="str">
            <v>LAKEWOOD CITY UTILITY TAX</v>
          </cell>
          <cell r="I6049" t="str">
            <v>6% CITY UTILITY TAX</v>
          </cell>
        </row>
        <row r="6050">
          <cell r="H6050" t="str">
            <v>LAKEWOOD REFUSE TAX</v>
          </cell>
          <cell r="I6050" t="str">
            <v>3.6% WA STATE REFUSE TAX</v>
          </cell>
        </row>
        <row r="6051">
          <cell r="H6051" t="str">
            <v>LAKEWOOD STATE SALES TAX</v>
          </cell>
          <cell r="I6051" t="str">
            <v>9.9% WA STATE SALES TAX</v>
          </cell>
        </row>
        <row r="6052">
          <cell r="H6052" t="str">
            <v>LAKEWOOD CITY UTILITY TAX</v>
          </cell>
          <cell r="I6052" t="str">
            <v>6% CITY UTILITY TAX</v>
          </cell>
        </row>
        <row r="6053">
          <cell r="H6053" t="str">
            <v>LAKEWOOD REFUSE TAX</v>
          </cell>
          <cell r="I6053" t="str">
            <v>3.6% WA STATE REFUSE TAX</v>
          </cell>
        </row>
        <row r="6054">
          <cell r="H6054" t="str">
            <v>LAKEWOOD STATE SALES TAX</v>
          </cell>
          <cell r="I6054" t="str">
            <v>9.9% WA STATE SALES TAX</v>
          </cell>
        </row>
        <row r="6055">
          <cell r="H6055" t="str">
            <v>BD</v>
          </cell>
          <cell r="I6055" t="str">
            <v>BAD DEBT WRITE OFF</v>
          </cell>
        </row>
        <row r="6056">
          <cell r="H6056" t="str">
            <v>BDR</v>
          </cell>
          <cell r="I6056" t="str">
            <v>BAD DEBT RECOVERY</v>
          </cell>
        </row>
        <row r="6057">
          <cell r="H6057" t="str">
            <v>COLLFEE</v>
          </cell>
          <cell r="I6057" t="str">
            <v>COLLECTION AGENCY FEE</v>
          </cell>
        </row>
        <row r="6058">
          <cell r="H6058" t="str">
            <v>FINCHG</v>
          </cell>
          <cell r="I6058" t="str">
            <v>LATE FEE</v>
          </cell>
        </row>
        <row r="6059">
          <cell r="H6059" t="str">
            <v>MM</v>
          </cell>
          <cell r="I6059" t="str">
            <v>ADJUST BALANCE (MM)</v>
          </cell>
        </row>
        <row r="6060">
          <cell r="H6060" t="str">
            <v>MM</v>
          </cell>
          <cell r="I6060" t="str">
            <v>ADJUST BALANCE (MM)</v>
          </cell>
        </row>
        <row r="6061">
          <cell r="H6061" t="str">
            <v>REFUND</v>
          </cell>
          <cell r="I6061" t="str">
            <v>REFUND</v>
          </cell>
        </row>
        <row r="6062">
          <cell r="H6062" t="str">
            <v>RETCK</v>
          </cell>
          <cell r="I6062" t="str">
            <v>RETURNED CHECK</v>
          </cell>
        </row>
        <row r="6063">
          <cell r="H6063" t="str">
            <v>RETCK-LB</v>
          </cell>
          <cell r="I6063" t="str">
            <v>RETURNED CHECK - LOCKBOX</v>
          </cell>
        </row>
        <row r="6064">
          <cell r="H6064" t="str">
            <v>RETCKC</v>
          </cell>
          <cell r="I6064" t="str">
            <v>RETURN CHECK CHARGE</v>
          </cell>
        </row>
        <row r="6065">
          <cell r="H6065" t="str">
            <v>FINCHG</v>
          </cell>
          <cell r="I6065" t="str">
            <v>LATE FEE</v>
          </cell>
        </row>
        <row r="6066">
          <cell r="H6066" t="str">
            <v>BD</v>
          </cell>
          <cell r="I6066" t="str">
            <v>BAD DEBT WRITE OFF</v>
          </cell>
        </row>
        <row r="6067">
          <cell r="H6067" t="str">
            <v>BDR</v>
          </cell>
          <cell r="I6067" t="str">
            <v>BAD DEBT RECOVERY</v>
          </cell>
        </row>
        <row r="6068">
          <cell r="H6068" t="str">
            <v>COLLFEE</v>
          </cell>
          <cell r="I6068" t="str">
            <v>COLLECTION AGENCY FEE</v>
          </cell>
        </row>
        <row r="6069">
          <cell r="H6069" t="str">
            <v>FINCHG</v>
          </cell>
          <cell r="I6069" t="str">
            <v>LATE FEE</v>
          </cell>
        </row>
        <row r="6070">
          <cell r="H6070" t="str">
            <v>MM</v>
          </cell>
          <cell r="I6070" t="str">
            <v>ADJUST BALANCE (MM)</v>
          </cell>
        </row>
        <row r="6071">
          <cell r="H6071" t="str">
            <v>MM</v>
          </cell>
          <cell r="I6071" t="str">
            <v>ADJUST BALANCE (MM)</v>
          </cell>
        </row>
        <row r="6072">
          <cell r="H6072" t="str">
            <v>REFUND</v>
          </cell>
          <cell r="I6072" t="str">
            <v>REFUND</v>
          </cell>
        </row>
        <row r="6073">
          <cell r="H6073" t="str">
            <v>RETCK</v>
          </cell>
          <cell r="I6073" t="str">
            <v>RETURNED CHECK</v>
          </cell>
        </row>
        <row r="6074">
          <cell r="H6074" t="str">
            <v>RETCKC</v>
          </cell>
          <cell r="I6074" t="str">
            <v>RETURN CHECK CHARGE</v>
          </cell>
        </row>
        <row r="6075">
          <cell r="H6075" t="str">
            <v>FINCHG</v>
          </cell>
          <cell r="I6075" t="str">
            <v>LATE FEE</v>
          </cell>
        </row>
        <row r="6076">
          <cell r="H6076" t="str">
            <v>BD</v>
          </cell>
          <cell r="I6076" t="str">
            <v>BAD DEBT WRITE OFF</v>
          </cell>
        </row>
        <row r="6077">
          <cell r="H6077" t="str">
            <v>BDR</v>
          </cell>
          <cell r="I6077" t="str">
            <v>BAD DEBT RECOVERY</v>
          </cell>
        </row>
        <row r="6078">
          <cell r="H6078" t="str">
            <v>COLLFEE</v>
          </cell>
          <cell r="I6078" t="str">
            <v>COLLECTION AGENCY FEE</v>
          </cell>
        </row>
        <row r="6079">
          <cell r="H6079" t="str">
            <v>FINCHG</v>
          </cell>
          <cell r="I6079" t="str">
            <v>LATE FEE</v>
          </cell>
        </row>
        <row r="6080">
          <cell r="H6080" t="str">
            <v>MM</v>
          </cell>
          <cell r="I6080" t="str">
            <v>ADJUST BALANCE (MM)</v>
          </cell>
        </row>
        <row r="6081">
          <cell r="H6081" t="str">
            <v>MM</v>
          </cell>
          <cell r="I6081" t="str">
            <v>ADJUST BALANCE (MM)</v>
          </cell>
        </row>
        <row r="6082">
          <cell r="H6082" t="str">
            <v>REFUND</v>
          </cell>
          <cell r="I6082" t="str">
            <v>REFUND</v>
          </cell>
        </row>
        <row r="6083">
          <cell r="H6083" t="str">
            <v>RETCK-CFREE</v>
          </cell>
          <cell r="I6083" t="str">
            <v>CHECKFREE RETURN CHECK</v>
          </cell>
        </row>
        <row r="6084">
          <cell r="H6084" t="str">
            <v>RETCK-LB</v>
          </cell>
          <cell r="I6084" t="str">
            <v>RETURNED CHECK - LOCKBOX</v>
          </cell>
        </row>
        <row r="6085">
          <cell r="H6085" t="str">
            <v>FINCHG</v>
          </cell>
          <cell r="I6085" t="str">
            <v>LATE FEE</v>
          </cell>
        </row>
        <row r="6086">
          <cell r="H6086" t="str">
            <v>FINCHG</v>
          </cell>
          <cell r="I6086" t="str">
            <v>LATE FEE</v>
          </cell>
        </row>
        <row r="6087">
          <cell r="H6087" t="str">
            <v>MM</v>
          </cell>
          <cell r="I6087" t="str">
            <v>ADJUST BALANCE (MM)</v>
          </cell>
        </row>
        <row r="6088">
          <cell r="H6088" t="str">
            <v>REFUND</v>
          </cell>
          <cell r="I6088" t="str">
            <v>REFUND</v>
          </cell>
        </row>
        <row r="6089">
          <cell r="H6089" t="str">
            <v>CANCOUNT-COMM</v>
          </cell>
          <cell r="I6089" t="str">
            <v>CAN COUNT - COMM</v>
          </cell>
        </row>
        <row r="6090">
          <cell r="H6090" t="str">
            <v>ACCESS-COMM</v>
          </cell>
          <cell r="I6090" t="str">
            <v>ACCESS FEE - COMM</v>
          </cell>
        </row>
        <row r="6091">
          <cell r="H6091" t="str">
            <v>CANCOUNT95-COMM</v>
          </cell>
          <cell r="I6091" t="str">
            <v>CAN COUNT 95 GL - COMM</v>
          </cell>
        </row>
        <row r="6092">
          <cell r="H6092" t="str">
            <v>DIST4CAN-COMM</v>
          </cell>
          <cell r="I6092" t="str">
            <v>DISTRIBUTED 4 CANS - COMM</v>
          </cell>
        </row>
        <row r="6093">
          <cell r="H6093" t="str">
            <v>DONATIONC</v>
          </cell>
          <cell r="I6093" t="str">
            <v>DONATED SERVICE COMM</v>
          </cell>
        </row>
        <row r="6094">
          <cell r="H6094" t="str">
            <v>DRIVEIN-COMM</v>
          </cell>
          <cell r="I6094" t="str">
            <v>DRIVE IN SERVICE - COMM</v>
          </cell>
        </row>
        <row r="6095">
          <cell r="H6095" t="str">
            <v>DRIVEIN1-COMM</v>
          </cell>
          <cell r="I6095" t="str">
            <v>DRIVE IN 125-250' - COMM</v>
          </cell>
        </row>
        <row r="6096">
          <cell r="H6096" t="str">
            <v>FL001.0Y1W001</v>
          </cell>
          <cell r="I6096" t="str">
            <v>1 YD 1X WK 1</v>
          </cell>
        </row>
        <row r="6097">
          <cell r="H6097" t="str">
            <v>FL001.0Y2W001</v>
          </cell>
          <cell r="I6097" t="str">
            <v>1 YD 2X WK 1</v>
          </cell>
        </row>
        <row r="6098">
          <cell r="H6098" t="str">
            <v>FL001.0Y3W001</v>
          </cell>
          <cell r="I6098" t="str">
            <v>1 YD 3X WK 1</v>
          </cell>
        </row>
        <row r="6099">
          <cell r="H6099" t="str">
            <v>FL001.5Y1W001</v>
          </cell>
          <cell r="I6099" t="str">
            <v>1.5 YD 1X WK 1</v>
          </cell>
        </row>
        <row r="6100">
          <cell r="H6100" t="str">
            <v>FL001.5Y2W001</v>
          </cell>
          <cell r="I6100" t="str">
            <v>1.5 YD 2X WK 1</v>
          </cell>
        </row>
        <row r="6101">
          <cell r="H6101" t="str">
            <v>FL001.5Y3W001</v>
          </cell>
          <cell r="I6101" t="str">
            <v>1.5 YD 3X WK 1</v>
          </cell>
        </row>
        <row r="6102">
          <cell r="H6102" t="str">
            <v>FL002.0Y1W001</v>
          </cell>
          <cell r="I6102" t="str">
            <v>2 YD 1X WK 1</v>
          </cell>
        </row>
        <row r="6103">
          <cell r="H6103" t="str">
            <v>FL002.0Y1W001CMP</v>
          </cell>
          <cell r="I6103" t="str">
            <v>2 YD 1X WK COMP 1</v>
          </cell>
        </row>
        <row r="6104">
          <cell r="H6104" t="str">
            <v>FL002.0Y2W001</v>
          </cell>
          <cell r="I6104" t="str">
            <v>2 YD 2X WK 1</v>
          </cell>
        </row>
        <row r="6105">
          <cell r="H6105" t="str">
            <v>FL002.0Y3W001</v>
          </cell>
          <cell r="I6105" t="str">
            <v>2 YD 3X WK 1</v>
          </cell>
        </row>
        <row r="6106">
          <cell r="H6106" t="str">
            <v>FL003.0Y1W001</v>
          </cell>
          <cell r="I6106" t="str">
            <v>3 YD 1X WK 1</v>
          </cell>
        </row>
        <row r="6107">
          <cell r="H6107" t="str">
            <v>FL003.0Y2W001</v>
          </cell>
          <cell r="I6107" t="str">
            <v>3 YD 2X WK 1</v>
          </cell>
        </row>
        <row r="6108">
          <cell r="H6108" t="str">
            <v>FL003.0Y2W001CMP</v>
          </cell>
          <cell r="I6108" t="str">
            <v>3 YD 2X WK COMP 1</v>
          </cell>
        </row>
        <row r="6109">
          <cell r="H6109" t="str">
            <v>FL003.0Y3W001</v>
          </cell>
          <cell r="I6109" t="str">
            <v>3 YD 3X WK 1</v>
          </cell>
        </row>
        <row r="6110">
          <cell r="H6110" t="str">
            <v>FL003.0Y4W001</v>
          </cell>
          <cell r="I6110" t="str">
            <v>3 YD 4X WK 1</v>
          </cell>
        </row>
        <row r="6111">
          <cell r="H6111" t="str">
            <v>FL004.0Y1W001</v>
          </cell>
          <cell r="I6111" t="str">
            <v>4 YD 1X WK 1</v>
          </cell>
        </row>
        <row r="6112">
          <cell r="H6112" t="str">
            <v>FL004.0Y1W001CMP</v>
          </cell>
          <cell r="I6112" t="str">
            <v>4 YD 1X WK COMP 1</v>
          </cell>
        </row>
        <row r="6113">
          <cell r="H6113" t="str">
            <v>FL004.0Y2W001</v>
          </cell>
          <cell r="I6113" t="str">
            <v>4 YD 2X WK 1</v>
          </cell>
        </row>
        <row r="6114">
          <cell r="H6114" t="str">
            <v>FL004.0Y2W001CMP</v>
          </cell>
          <cell r="I6114" t="str">
            <v>4 YD 2X WK COMP 1</v>
          </cell>
        </row>
        <row r="6115">
          <cell r="H6115" t="str">
            <v>FL004.0Y3W001</v>
          </cell>
          <cell r="I6115" t="str">
            <v>4 YD 3X WK 1</v>
          </cell>
        </row>
        <row r="6116">
          <cell r="H6116" t="str">
            <v>FL006.0Y1W001</v>
          </cell>
          <cell r="I6116" t="str">
            <v>6 YD 1X WK 1</v>
          </cell>
        </row>
        <row r="6117">
          <cell r="H6117" t="str">
            <v>FL006.0Y2W001</v>
          </cell>
          <cell r="I6117" t="str">
            <v>6 YD 2X WK 1</v>
          </cell>
        </row>
        <row r="6118">
          <cell r="H6118" t="str">
            <v>FL006.0Y2W001CMP</v>
          </cell>
          <cell r="I6118" t="str">
            <v>6 YD 2X WK COMP 1</v>
          </cell>
        </row>
        <row r="6119">
          <cell r="H6119" t="str">
            <v>FL006.0Y3W001</v>
          </cell>
          <cell r="I6119" t="str">
            <v>6 YD 3X WK 1</v>
          </cell>
        </row>
        <row r="6120">
          <cell r="H6120" t="str">
            <v>FL006.0Y4W001</v>
          </cell>
          <cell r="I6120" t="str">
            <v>6 YD 4X WK 1</v>
          </cell>
        </row>
        <row r="6121">
          <cell r="H6121" t="str">
            <v>GWCOMM</v>
          </cell>
          <cell r="I6121" t="str">
            <v>GREENWASTE SERVICE - COMM</v>
          </cell>
        </row>
        <row r="6122">
          <cell r="H6122" t="str">
            <v>RL032.0G1W001NORECC</v>
          </cell>
          <cell r="I6122" t="str">
            <v xml:space="preserve">32 GL 1X WK NO RECY COMM </v>
          </cell>
        </row>
        <row r="6123">
          <cell r="H6123" t="str">
            <v>RL032.0G1W001WRECC</v>
          </cell>
          <cell r="I6123" t="str">
            <v>32 GL 1X WK W/RECY COMM 1</v>
          </cell>
        </row>
        <row r="6124">
          <cell r="H6124" t="str">
            <v>RL032.0G1W002NORECC</v>
          </cell>
          <cell r="I6124" t="str">
            <v xml:space="preserve">32 GL 1X WK NO RECY COMM </v>
          </cell>
        </row>
        <row r="6125">
          <cell r="H6125" t="str">
            <v>RL032.0G1W002WRECC</v>
          </cell>
          <cell r="I6125" t="str">
            <v>32 GL 1X WK W/RECY COMM 2</v>
          </cell>
        </row>
        <row r="6126">
          <cell r="H6126" t="str">
            <v>RL032.0G1W003WRECC</v>
          </cell>
          <cell r="I6126" t="str">
            <v>32 GL 1X WK W/RECY COMM 3</v>
          </cell>
        </row>
        <row r="6127">
          <cell r="H6127" t="str">
            <v>RL032.0G1W004WRECC</v>
          </cell>
          <cell r="I6127" t="str">
            <v>32 GL 1X WK W/RECY COMM 4</v>
          </cell>
        </row>
        <row r="6128">
          <cell r="H6128" t="str">
            <v>ROLL-COMM</v>
          </cell>
          <cell r="I6128" t="str">
            <v>ROLL OUT CHARGE - COMM</v>
          </cell>
        </row>
        <row r="6129">
          <cell r="H6129" t="str">
            <v>SL065.0G1W001NORECC</v>
          </cell>
          <cell r="I6129" t="str">
            <v xml:space="preserve">65 GL 1X WK NO RECY COMM </v>
          </cell>
        </row>
        <row r="6130">
          <cell r="H6130" t="str">
            <v>SL065.0G1W001WRECC</v>
          </cell>
          <cell r="I6130" t="str">
            <v>65 GL 1X WK W/RECY COMM 1</v>
          </cell>
        </row>
        <row r="6131">
          <cell r="H6131" t="str">
            <v>SL065.0GEO001NORECC</v>
          </cell>
          <cell r="I6131" t="str">
            <v>65 GL EOW NO RECY COMM 1</v>
          </cell>
        </row>
        <row r="6132">
          <cell r="H6132" t="str">
            <v>SL065.0GEO001WRECC</v>
          </cell>
          <cell r="I6132" t="str">
            <v>65 GL EOW W/RECY COMM 1</v>
          </cell>
        </row>
        <row r="6133">
          <cell r="H6133" t="str">
            <v>SL095.0G1W001NORECC</v>
          </cell>
          <cell r="I6133" t="str">
            <v xml:space="preserve">95 GL 1X WK NO RECY COMM </v>
          </cell>
        </row>
        <row r="6134">
          <cell r="H6134" t="str">
            <v>SL095.0G1W001WRECC</v>
          </cell>
          <cell r="I6134" t="str">
            <v>95 GL 1X WK W/RECY COMM 1</v>
          </cell>
        </row>
        <row r="6135">
          <cell r="H6135" t="str">
            <v>SL095.0GEO001NORECC</v>
          </cell>
          <cell r="I6135" t="str">
            <v>95 GL EOW NO RECY COMM 1</v>
          </cell>
        </row>
        <row r="6136">
          <cell r="H6136" t="str">
            <v>SL095.0GEO001WRECC</v>
          </cell>
          <cell r="I6136" t="str">
            <v>95 GL EOW W/RECY COMM 1</v>
          </cell>
        </row>
        <row r="6137">
          <cell r="H6137" t="str">
            <v>WI1-COMM</v>
          </cell>
          <cell r="I6137" t="str">
            <v>WALK IN 6-25' - COMM</v>
          </cell>
        </row>
        <row r="6138">
          <cell r="H6138" t="str">
            <v>WI2-COMM</v>
          </cell>
          <cell r="I6138" t="str">
            <v>WALK IN 26-50' - COMM</v>
          </cell>
        </row>
        <row r="6139">
          <cell r="H6139" t="str">
            <v>WI4-COMM</v>
          </cell>
          <cell r="I6139" t="str">
            <v>WALK IN 76-100' - COMM</v>
          </cell>
        </row>
        <row r="6140">
          <cell r="H6140" t="str">
            <v>ACCESS-COMM</v>
          </cell>
          <cell r="I6140" t="str">
            <v>ACCESS FEE - COMM</v>
          </cell>
        </row>
        <row r="6141">
          <cell r="H6141" t="str">
            <v>ADJ-COMM</v>
          </cell>
          <cell r="I6141" t="str">
            <v>ADJUSTMENT SERVICE - COMM</v>
          </cell>
        </row>
        <row r="6142">
          <cell r="H6142" t="str">
            <v>BULKY-COMM</v>
          </cell>
          <cell r="I6142" t="str">
            <v>BULKY ITEM PICK UP - COMM</v>
          </cell>
        </row>
        <row r="6143">
          <cell r="H6143" t="str">
            <v>CANCOUNT-COMM</v>
          </cell>
          <cell r="I6143" t="str">
            <v>CAN COUNT - COMM</v>
          </cell>
        </row>
        <row r="6144">
          <cell r="H6144" t="str">
            <v>CANCOUNT65-COMM</v>
          </cell>
          <cell r="I6144" t="str">
            <v>CAN COUNT 65 GL - COMM</v>
          </cell>
        </row>
        <row r="6145">
          <cell r="H6145" t="str">
            <v>CANCOUNT95-COMM</v>
          </cell>
          <cell r="I6145" t="str">
            <v>CAN COUNT 95 GL - COMM</v>
          </cell>
        </row>
        <row r="6146">
          <cell r="H6146" t="str">
            <v>CANCOUNTFD65-COMM</v>
          </cell>
          <cell r="I6146" t="str">
            <v>CAN COUNT FOOD 65 GL - CO</v>
          </cell>
        </row>
        <row r="6147">
          <cell r="H6147" t="str">
            <v>CLEAN-COMM</v>
          </cell>
          <cell r="I6147" t="str">
            <v xml:space="preserve">CONTAINER CLEANING FEE - </v>
          </cell>
        </row>
        <row r="6148">
          <cell r="H6148" t="str">
            <v>CLEAN1-COMM</v>
          </cell>
          <cell r="I6148" t="str">
            <v>CLEANING FEE 1 YD - COMM</v>
          </cell>
        </row>
        <row r="6149">
          <cell r="H6149" t="str">
            <v>CLEAN1.5-COMM</v>
          </cell>
          <cell r="I6149" t="str">
            <v>CLEANING FEE 1.5 YD - COM</v>
          </cell>
        </row>
        <row r="6150">
          <cell r="H6150" t="str">
            <v>CLEAN2-COMM</v>
          </cell>
          <cell r="I6150" t="str">
            <v>CLEANING FEE 2 YD - COMM</v>
          </cell>
        </row>
        <row r="6151">
          <cell r="H6151" t="str">
            <v>DEL1.5TEMP-COMM</v>
          </cell>
          <cell r="I6151" t="str">
            <v xml:space="preserve">DELIVERY FEE 1.5 YD TEMP </v>
          </cell>
        </row>
        <row r="6152">
          <cell r="H6152" t="str">
            <v>DEL1TEMP-COMM</v>
          </cell>
          <cell r="I6152" t="str">
            <v xml:space="preserve">DELIVERY FEE 1 YD TEMP - </v>
          </cell>
        </row>
        <row r="6153">
          <cell r="H6153" t="str">
            <v>DEL2TEMP-COMM</v>
          </cell>
          <cell r="I6153" t="str">
            <v xml:space="preserve">DELIVERY FEE 2 YD TEMP - </v>
          </cell>
        </row>
        <row r="6154">
          <cell r="H6154" t="str">
            <v>DEL4TEMP-COMM</v>
          </cell>
          <cell r="I6154" t="str">
            <v xml:space="preserve">DELIVERY FEE 4 YD TEMP - </v>
          </cell>
        </row>
        <row r="6155">
          <cell r="H6155" t="str">
            <v>DEL6TEMP-COMM</v>
          </cell>
          <cell r="I6155" t="str">
            <v xml:space="preserve">DELIVERY FEE 6 YD TEMP - </v>
          </cell>
        </row>
        <row r="6156">
          <cell r="H6156" t="str">
            <v>DISP-COMM</v>
          </cell>
          <cell r="I6156" t="str">
            <v>DISPOSAL FEE - COMM</v>
          </cell>
        </row>
        <row r="6157">
          <cell r="H6157" t="str">
            <v>DISPFEDMSW-COMM</v>
          </cell>
          <cell r="I6157" t="str">
            <v>DISPOSAL FEDERAL MSW - CO</v>
          </cell>
        </row>
        <row r="6158">
          <cell r="H6158" t="str">
            <v>DISPMIX-COMM</v>
          </cell>
          <cell r="I6158" t="str">
            <v>DISPOSAL MIX CMGL OCC - COMM</v>
          </cell>
        </row>
        <row r="6159">
          <cell r="H6159" t="str">
            <v>EXTRA-COMM</v>
          </cell>
          <cell r="I6159" t="str">
            <v>EXTRA CAN, BAG, BOX - COM</v>
          </cell>
        </row>
        <row r="6160">
          <cell r="H6160" t="str">
            <v>EXTRAYDG-COM</v>
          </cell>
          <cell r="I6160" t="str">
            <v>EXTRA YARDAGE - COMM</v>
          </cell>
        </row>
        <row r="6161">
          <cell r="H6161" t="str">
            <v>FL001.0Y1W001</v>
          </cell>
          <cell r="I6161" t="str">
            <v>1 YD 1X WK 1</v>
          </cell>
        </row>
        <row r="6162">
          <cell r="H6162" t="str">
            <v>FL001.0YXX001TEMPC</v>
          </cell>
          <cell r="I6162" t="str">
            <v xml:space="preserve">1 YD TEMP </v>
          </cell>
        </row>
        <row r="6163">
          <cell r="H6163" t="str">
            <v>FL001.5YXX001TEMPC</v>
          </cell>
          <cell r="I6163" t="str">
            <v xml:space="preserve">1.5 YD TEMP </v>
          </cell>
        </row>
        <row r="6164">
          <cell r="H6164" t="str">
            <v>FL002.0Y1W001</v>
          </cell>
          <cell r="I6164" t="str">
            <v>2 YD 1X WK 1</v>
          </cell>
        </row>
        <row r="6165">
          <cell r="H6165" t="str">
            <v>FL002.0YXX001TEMPC</v>
          </cell>
          <cell r="I6165" t="str">
            <v xml:space="preserve">2 YD TEMP </v>
          </cell>
        </row>
        <row r="6166">
          <cell r="H6166" t="str">
            <v>FL003.0Y1W001</v>
          </cell>
          <cell r="I6166" t="str">
            <v>3 YD 1X WK 1</v>
          </cell>
        </row>
        <row r="6167">
          <cell r="H6167" t="str">
            <v>REDEL-COMM</v>
          </cell>
          <cell r="I6167" t="str">
            <v>REDELIVER FEE LVL 1 - COM</v>
          </cell>
        </row>
        <row r="6168">
          <cell r="H6168" t="str">
            <v>REINSTATE-COMM</v>
          </cell>
          <cell r="I6168" t="str">
            <v>REINSTATE FEE - COMM</v>
          </cell>
        </row>
        <row r="6169">
          <cell r="H6169" t="str">
            <v>RENT1.5TEMP-COMM</v>
          </cell>
          <cell r="I6169" t="str">
            <v>RENT 1.5 YD TEMP - COMM</v>
          </cell>
        </row>
        <row r="6170">
          <cell r="H6170" t="str">
            <v>RENT1TEMP-COMM</v>
          </cell>
          <cell r="I6170" t="str">
            <v>RENT 1 YD TEMP - COMM</v>
          </cell>
        </row>
        <row r="6171">
          <cell r="H6171" t="str">
            <v>RENT2TEMP-COMM</v>
          </cell>
          <cell r="I6171" t="str">
            <v>RENT 2 YD TEMP - COMM</v>
          </cell>
        </row>
        <row r="6172">
          <cell r="H6172" t="str">
            <v>RENT4TEMP-COMM</v>
          </cell>
          <cell r="I6172" t="str">
            <v>RENT 4 YD TEMP - COMM</v>
          </cell>
        </row>
        <row r="6173">
          <cell r="H6173" t="str">
            <v>RTRNTRIP-COMM</v>
          </cell>
          <cell r="I6173" t="str">
            <v>RETURN TRIP FEE - COMM</v>
          </cell>
        </row>
        <row r="6174">
          <cell r="H6174" t="str">
            <v>SP1-COMM</v>
          </cell>
          <cell r="I6174" t="str">
            <v>SPECIAL PICK UP 1 YD - CO</v>
          </cell>
        </row>
        <row r="6175">
          <cell r="H6175" t="str">
            <v>SP2-COMM</v>
          </cell>
          <cell r="I6175" t="str">
            <v>SPECIAL PICK UP 2 YD - CO</v>
          </cell>
        </row>
        <row r="6176">
          <cell r="H6176" t="str">
            <v>SP3-COMM</v>
          </cell>
          <cell r="I6176" t="str">
            <v>SPECIAL PICK UP 3 YD - CO</v>
          </cell>
        </row>
        <row r="6177">
          <cell r="H6177" t="str">
            <v>SP4-COMM</v>
          </cell>
          <cell r="I6177" t="str">
            <v>SPECIAL PICK UP 4 YD - CO</v>
          </cell>
        </row>
        <row r="6178">
          <cell r="H6178" t="str">
            <v>SP6-COMM</v>
          </cell>
          <cell r="I6178" t="str">
            <v>SPECIAL PICK UP 6 YD - CO</v>
          </cell>
        </row>
        <row r="6179">
          <cell r="H6179" t="str">
            <v>TIME-COMM</v>
          </cell>
          <cell r="I6179" t="str">
            <v>TIME FEE 1 - COMM</v>
          </cell>
        </row>
        <row r="6180">
          <cell r="H6180" t="str">
            <v>DEL1.5TEMP-COMM</v>
          </cell>
          <cell r="I6180" t="str">
            <v xml:space="preserve">DELIVERY FEE 1.5 YD TEMP </v>
          </cell>
        </row>
        <row r="6181">
          <cell r="H6181" t="str">
            <v>DEL2TEMP-COMM</v>
          </cell>
          <cell r="I6181" t="str">
            <v xml:space="preserve">DELIVERY FEE 2 YD TEMP - </v>
          </cell>
        </row>
        <row r="6182">
          <cell r="H6182" t="str">
            <v>DISP-COMM</v>
          </cell>
          <cell r="I6182" t="str">
            <v>DISPOSAL FEE - COMM</v>
          </cell>
        </row>
        <row r="6183">
          <cell r="H6183" t="str">
            <v>DISPFEDMSW-COMM</v>
          </cell>
          <cell r="I6183" t="str">
            <v>DISPOSAL FEDERAL MSW - CO</v>
          </cell>
        </row>
        <row r="6184">
          <cell r="H6184" t="str">
            <v>DISPMIX-COMM</v>
          </cell>
          <cell r="I6184" t="str">
            <v>DISPOSAL MIX CMGL OCC - COMM</v>
          </cell>
        </row>
        <row r="6185">
          <cell r="H6185" t="str">
            <v>FL001.5YXX001TEMPC</v>
          </cell>
          <cell r="I6185" t="str">
            <v xml:space="preserve">1.5 YD TEMP </v>
          </cell>
        </row>
        <row r="6186">
          <cell r="H6186" t="str">
            <v>FL002.0YXX001TEMPC</v>
          </cell>
          <cell r="I6186" t="str">
            <v xml:space="preserve">2 YD TEMP </v>
          </cell>
        </row>
        <row r="6187">
          <cell r="H6187" t="str">
            <v>RENT2TEMP-COMM</v>
          </cell>
          <cell r="I6187" t="str">
            <v>RENT 2 YD TEMP - COMM</v>
          </cell>
        </row>
        <row r="6188">
          <cell r="H6188" t="str">
            <v>ACCESSCREC-COMM</v>
          </cell>
          <cell r="I6188" t="str">
            <v>ACCESS FEE COMM RECY - CO</v>
          </cell>
        </row>
        <row r="6189">
          <cell r="H6189" t="str">
            <v>COMDESKREC</v>
          </cell>
          <cell r="I6189" t="str">
            <v>COMM DESKSIDE RECYCLING</v>
          </cell>
        </row>
        <row r="6190">
          <cell r="H6190" t="str">
            <v>FL002.0Y1M001BCMGL</v>
          </cell>
          <cell r="I6190" t="str">
            <v>2 YD 1X MO BUS CMGL 1</v>
          </cell>
        </row>
        <row r="6191">
          <cell r="H6191" t="str">
            <v>FL002.0Y1W001BCMGL</v>
          </cell>
          <cell r="I6191" t="str">
            <v>2 YD 1X WK BUS CMGL 1</v>
          </cell>
        </row>
        <row r="6192">
          <cell r="H6192" t="str">
            <v>FL002.0Y1W001BOCC</v>
          </cell>
          <cell r="I6192" t="str">
            <v>2 YD 1X WK BUS OCC 1</v>
          </cell>
        </row>
        <row r="6193">
          <cell r="H6193" t="str">
            <v>FL002.0Y1W001OCC</v>
          </cell>
          <cell r="I6193" t="str">
            <v>2 YD 1X WK OCC 1</v>
          </cell>
        </row>
        <row r="6194">
          <cell r="H6194" t="str">
            <v>FL002.0Y1W001SCMGL</v>
          </cell>
          <cell r="I6194" t="str">
            <v>2 YD 1X WK SCHL CMGL 1</v>
          </cell>
        </row>
        <row r="6195">
          <cell r="H6195" t="str">
            <v>FL002.0Y1W001SOCC</v>
          </cell>
          <cell r="I6195" t="str">
            <v>2 YD 1X WK SCHOOL OCC</v>
          </cell>
        </row>
        <row r="6196">
          <cell r="H6196" t="str">
            <v>FL002.0Y2W001BCMGL</v>
          </cell>
          <cell r="I6196" t="str">
            <v>2 YD 2X WK BUS CMGL 1</v>
          </cell>
        </row>
        <row r="6197">
          <cell r="H6197" t="str">
            <v>FL002.0Y2W001BOCC</v>
          </cell>
          <cell r="I6197" t="str">
            <v>2 YD 2X WK BUS OCC 1</v>
          </cell>
        </row>
        <row r="6198">
          <cell r="H6198" t="str">
            <v>FL002.0Y2W001SCMGL</v>
          </cell>
          <cell r="I6198" t="str">
            <v>2 YD 2X WK SCHL CMGL 1</v>
          </cell>
        </row>
        <row r="6199">
          <cell r="H6199" t="str">
            <v>FL002.0Y2W001SOCC</v>
          </cell>
          <cell r="I6199" t="str">
            <v>2 YD 2X WK SCHOOL OCC</v>
          </cell>
        </row>
        <row r="6200">
          <cell r="H6200" t="str">
            <v>FL002.0Y3W001BCMGL</v>
          </cell>
          <cell r="I6200" t="str">
            <v>2 YD 3X WK BUS CMGL 1</v>
          </cell>
        </row>
        <row r="6201">
          <cell r="H6201" t="str">
            <v>FL002.0Y4W001BOCC</v>
          </cell>
          <cell r="I6201" t="str">
            <v>2 YD 4X WK BUS OCC 1</v>
          </cell>
        </row>
        <row r="6202">
          <cell r="H6202" t="str">
            <v>FL004.0Y1W001CMGL</v>
          </cell>
          <cell r="I6202" t="str">
            <v>4 YD 1X WK BUS CMGL 1</v>
          </cell>
        </row>
        <row r="6203">
          <cell r="H6203" t="str">
            <v>FL004.0Y1W001SCMGL</v>
          </cell>
          <cell r="I6203" t="str">
            <v>4 YD 1X WK SCH CMGL 1</v>
          </cell>
        </row>
        <row r="6204">
          <cell r="H6204" t="str">
            <v>FL004.0Y2W001CMGL</v>
          </cell>
          <cell r="I6204" t="str">
            <v>4 YD 2X WK BUS CMGL 1</v>
          </cell>
        </row>
        <row r="6205">
          <cell r="H6205" t="str">
            <v>FL004.0Y3W001BCMGL</v>
          </cell>
          <cell r="I6205" t="str">
            <v>4 YD 3X WK BUS CMGL 1</v>
          </cell>
        </row>
        <row r="6206">
          <cell r="H6206" t="str">
            <v>FL004.0Y4W001BCMGL</v>
          </cell>
          <cell r="I6206" t="str">
            <v>4 YD 4X WK BUS CMGL 1</v>
          </cell>
        </row>
        <row r="6207">
          <cell r="H6207" t="str">
            <v>FL004.0Y5W001BCMGL</v>
          </cell>
          <cell r="I6207" t="str">
            <v>4 YD 5X WK BUS CMGL 1</v>
          </cell>
        </row>
        <row r="6208">
          <cell r="H6208" t="str">
            <v>FL005.0Y1W001BOCC</v>
          </cell>
          <cell r="I6208" t="str">
            <v>5 YD 1X WK BUS OCC 1</v>
          </cell>
        </row>
        <row r="6209">
          <cell r="H6209" t="str">
            <v>FL005.0Y1W001SOCC</v>
          </cell>
          <cell r="I6209" t="str">
            <v>5 YD 1X WK SCHOOL OCC</v>
          </cell>
        </row>
        <row r="6210">
          <cell r="H6210" t="str">
            <v>FL005.0Y2W001BOCC</v>
          </cell>
          <cell r="I6210" t="str">
            <v>5 YD 2X WK BUS OCC 1</v>
          </cell>
        </row>
        <row r="6211">
          <cell r="H6211" t="str">
            <v>FL005.0Y2W001OCC</v>
          </cell>
          <cell r="I6211" t="str">
            <v>5 YD 2X WK OCC 1</v>
          </cell>
        </row>
        <row r="6212">
          <cell r="H6212" t="str">
            <v>FL005.0Y3W001BOCC</v>
          </cell>
          <cell r="I6212" t="str">
            <v>5 YD 3X WK BUS OCC 1</v>
          </cell>
        </row>
        <row r="6213">
          <cell r="H6213" t="str">
            <v>FL005.0Y4W001BOCC</v>
          </cell>
          <cell r="I6213" t="str">
            <v>5 YD 4X WK BUS OCC 1</v>
          </cell>
        </row>
        <row r="6214">
          <cell r="H6214" t="str">
            <v>FL006.0Y1W001BCMGL</v>
          </cell>
          <cell r="I6214" t="str">
            <v>6 YD 1X WK BUS COMINGLE 1</v>
          </cell>
        </row>
        <row r="6215">
          <cell r="H6215" t="str">
            <v>FL006.0Y1W001SCMGL</v>
          </cell>
          <cell r="I6215" t="str">
            <v>6 YD 1X WK SCHL CMGL 1</v>
          </cell>
        </row>
        <row r="6216">
          <cell r="H6216" t="str">
            <v>FL006.0Y2W001BCMGL</v>
          </cell>
          <cell r="I6216" t="str">
            <v>6 YD 2X WK BUS COMINGLE 1</v>
          </cell>
        </row>
        <row r="6217">
          <cell r="H6217" t="str">
            <v>FL006.0Y3W001BCMGL</v>
          </cell>
          <cell r="I6217" t="str">
            <v>6 YD 3X WK BUS CMGL 1</v>
          </cell>
        </row>
        <row r="6218">
          <cell r="H6218" t="str">
            <v>MFNBINS</v>
          </cell>
          <cell r="I6218" t="str">
            <v>MULTI-FAMILY REC UNIT N/B</v>
          </cell>
        </row>
        <row r="6219">
          <cell r="H6219" t="str">
            <v>MFWBINS</v>
          </cell>
          <cell r="I6219" t="str">
            <v>MULTI-FAMILY REC UNIT W/B</v>
          </cell>
        </row>
        <row r="6220">
          <cell r="H6220" t="str">
            <v>ROLL-REC</v>
          </cell>
          <cell r="I6220" t="str">
            <v>ROLL OUT CHARGE - RECYCLI</v>
          </cell>
        </row>
        <row r="6221">
          <cell r="H6221" t="str">
            <v>SL064.0G1M001BCMGLIN</v>
          </cell>
          <cell r="I6221" t="str">
            <v>64 GL MTHLY BUS CMGL IN</v>
          </cell>
        </row>
        <row r="6222">
          <cell r="H6222" t="str">
            <v>SL064.0G1W001BCMGLOUT</v>
          </cell>
          <cell r="I6222" t="str">
            <v>64 GL WKLY BUS CMGL OUT</v>
          </cell>
        </row>
        <row r="6223">
          <cell r="H6223" t="str">
            <v>SL064.0GEO001BCMGLOUT</v>
          </cell>
          <cell r="I6223" t="str">
            <v>64 GL EOW BUS CMGL OUT</v>
          </cell>
        </row>
        <row r="6224">
          <cell r="H6224" t="str">
            <v>SL096.0G1M001BCMGLIN</v>
          </cell>
          <cell r="I6224" t="str">
            <v>96 GL MTHLY BUS CMGL IN</v>
          </cell>
        </row>
        <row r="6225">
          <cell r="H6225" t="str">
            <v>SL096.0G1M001BCMGLOUT</v>
          </cell>
          <cell r="I6225" t="str">
            <v>96 GL MTHLY BUS CMGL OUT</v>
          </cell>
        </row>
        <row r="6226">
          <cell r="H6226" t="str">
            <v>SL096.0G1W001BCMGLIN</v>
          </cell>
          <cell r="I6226" t="str">
            <v>96 GL WKLY BUS CMGL IN</v>
          </cell>
        </row>
        <row r="6227">
          <cell r="H6227" t="str">
            <v>SL096.0G1W001BCMGLOUT</v>
          </cell>
          <cell r="I6227" t="str">
            <v>96 GL WKLY BUS CMGL OUT</v>
          </cell>
        </row>
        <row r="6228">
          <cell r="H6228" t="str">
            <v>SL096.0G1W001RECC</v>
          </cell>
          <cell r="I6228" t="str">
            <v xml:space="preserve">96 GL 1X WK RECYCLE COMM </v>
          </cell>
        </row>
        <row r="6229">
          <cell r="H6229" t="str">
            <v>SL096.0G1W001SCMGLIN</v>
          </cell>
          <cell r="I6229" t="str">
            <v>96 GL WKLY SCHL CMGL IN</v>
          </cell>
        </row>
        <row r="6230">
          <cell r="H6230" t="str">
            <v>SL096.0G1W001SCMGLOUT</v>
          </cell>
          <cell r="I6230" t="str">
            <v>96 GL WKLY SCHL CMGL OUT</v>
          </cell>
        </row>
        <row r="6231">
          <cell r="H6231" t="str">
            <v>SL096.0GEO001BCMGLIN</v>
          </cell>
          <cell r="I6231" t="str">
            <v>96 GL EOW BUS CMGL IN</v>
          </cell>
        </row>
        <row r="6232">
          <cell r="H6232" t="str">
            <v>SL096.0GEO001BCMGLOUT</v>
          </cell>
          <cell r="I6232" t="str">
            <v>96 GL EOW BUS CMGL OUT</v>
          </cell>
        </row>
        <row r="6233">
          <cell r="H6233" t="str">
            <v>SL096.0GEO001SCMGLOUT</v>
          </cell>
          <cell r="I6233" t="str">
            <v>96 GL EOW SCHL CMGL OUT</v>
          </cell>
        </row>
        <row r="6234">
          <cell r="H6234" t="str">
            <v>FL004.0Y3W001BCMGL</v>
          </cell>
          <cell r="I6234" t="str">
            <v>4 YD 3X WK BUS CMGL 1</v>
          </cell>
        </row>
        <row r="6235">
          <cell r="H6235" t="str">
            <v>FL006.0Y3W001BCMGL</v>
          </cell>
          <cell r="I6235" t="str">
            <v>6 YD 3X WK BUS CMGL 1</v>
          </cell>
        </row>
        <row r="6236">
          <cell r="H6236" t="str">
            <v>MFWBINS</v>
          </cell>
          <cell r="I6236" t="str">
            <v>MULTI-FAMILY REC UNIT W/B</v>
          </cell>
        </row>
        <row r="6237">
          <cell r="H6237" t="str">
            <v>SL096.0GEO001BCMGLOUT</v>
          </cell>
          <cell r="I6237" t="str">
            <v>96 GL EOW BUS CMGL OUT</v>
          </cell>
        </row>
        <row r="6238">
          <cell r="H6238" t="str">
            <v>SP6BCMGL-COMM</v>
          </cell>
          <cell r="I6238" t="str">
            <v>SPECIAL P/U 6 YD BUS CMGL</v>
          </cell>
        </row>
        <row r="6239">
          <cell r="H6239" t="str">
            <v>CC-KOL</v>
          </cell>
          <cell r="I6239" t="str">
            <v>ONLINE PAYMENT-CC</v>
          </cell>
        </row>
        <row r="6240">
          <cell r="H6240" t="str">
            <v>CCREF-KOL</v>
          </cell>
          <cell r="I6240" t="str">
            <v>CREDIT CARD REFUND</v>
          </cell>
        </row>
        <row r="6241">
          <cell r="H6241" t="str">
            <v>PAY</v>
          </cell>
          <cell r="I6241" t="str">
            <v>PAYMENT THANK YOU</v>
          </cell>
        </row>
        <row r="6242">
          <cell r="H6242" t="str">
            <v>PAY-CFREE</v>
          </cell>
          <cell r="I6242" t="str">
            <v>CHECKFREE PAYMENT</v>
          </cell>
        </row>
        <row r="6243">
          <cell r="H6243" t="str">
            <v>PAY-KOL</v>
          </cell>
          <cell r="I6243" t="str">
            <v>PAYMENT-THANK YOU - OL</v>
          </cell>
        </row>
        <row r="6244">
          <cell r="H6244" t="str">
            <v>PAY-ORCC</v>
          </cell>
          <cell r="I6244" t="str">
            <v>ORCC PAYMENT</v>
          </cell>
        </row>
        <row r="6245">
          <cell r="H6245" t="str">
            <v>PAY-RPPS</v>
          </cell>
          <cell r="I6245" t="str">
            <v>RPPS MASTERCARD PAYMENT</v>
          </cell>
        </row>
        <row r="6246">
          <cell r="H6246" t="str">
            <v>PAYICT</v>
          </cell>
          <cell r="I6246" t="str">
            <v>I/C PAYMENT THANK YOU</v>
          </cell>
        </row>
        <row r="6247">
          <cell r="H6247" t="str">
            <v>PAYMET</v>
          </cell>
          <cell r="I6247" t="str">
            <v>METAVANTE ONLINE PAYMENT</v>
          </cell>
        </row>
        <row r="6248">
          <cell r="H6248" t="str">
            <v>PAYUSBL</v>
          </cell>
          <cell r="I6248" t="str">
            <v>PAYMENT THANK YOU</v>
          </cell>
        </row>
        <row r="6249">
          <cell r="H6249" t="str">
            <v>RET-KOL</v>
          </cell>
          <cell r="I6249" t="str">
            <v>ONLINE PAYMENT RETURN</v>
          </cell>
        </row>
        <row r="6250">
          <cell r="H6250" t="str">
            <v>CC-KOL</v>
          </cell>
          <cell r="I6250" t="str">
            <v>ONLINE PAYMENT-CC</v>
          </cell>
        </row>
        <row r="6251">
          <cell r="H6251" t="str">
            <v>CCREF-KOL</v>
          </cell>
          <cell r="I6251" t="str">
            <v>CREDIT CARD REFUND</v>
          </cell>
        </row>
        <row r="6252">
          <cell r="H6252" t="str">
            <v>PAY</v>
          </cell>
          <cell r="I6252" t="str">
            <v>PAYMENT THANK YOU</v>
          </cell>
        </row>
        <row r="6253">
          <cell r="H6253" t="str">
            <v>PAY-CFREE</v>
          </cell>
          <cell r="I6253" t="str">
            <v>CHECKFREE PAYMENT</v>
          </cell>
        </row>
        <row r="6254">
          <cell r="H6254" t="str">
            <v>PAY-KOL</v>
          </cell>
          <cell r="I6254" t="str">
            <v>PAYMENT-THANK YOU - OL</v>
          </cell>
        </row>
        <row r="6255">
          <cell r="H6255" t="str">
            <v>PAY-ORCC</v>
          </cell>
          <cell r="I6255" t="str">
            <v>ORCC PAYMENT</v>
          </cell>
        </row>
        <row r="6256">
          <cell r="H6256" t="str">
            <v>PAY-RPPS</v>
          </cell>
          <cell r="I6256" t="str">
            <v>RPPS MASTERCARD PAYMENT</v>
          </cell>
        </row>
        <row r="6257">
          <cell r="H6257" t="str">
            <v>PAYAD</v>
          </cell>
          <cell r="I6257" t="str">
            <v>ADJUST PAYMENT AD</v>
          </cell>
        </row>
        <row r="6258">
          <cell r="H6258" t="str">
            <v>PAYICT</v>
          </cell>
          <cell r="I6258" t="str">
            <v>I/C PAYMENT THANK YOU</v>
          </cell>
        </row>
        <row r="6259">
          <cell r="H6259" t="str">
            <v>PAYMET</v>
          </cell>
          <cell r="I6259" t="str">
            <v>METAVANTE ONLINE PAYMENT</v>
          </cell>
        </row>
        <row r="6260">
          <cell r="H6260" t="str">
            <v>PAYUSBL</v>
          </cell>
          <cell r="I6260" t="str">
            <v>PAYMENT THANK YOU</v>
          </cell>
        </row>
        <row r="6261">
          <cell r="H6261" t="str">
            <v>RET-KOL</v>
          </cell>
          <cell r="I6261" t="str">
            <v>ONLINE PAYMENT RETURN</v>
          </cell>
        </row>
        <row r="6262">
          <cell r="H6262" t="str">
            <v>CC-KOL</v>
          </cell>
          <cell r="I6262" t="str">
            <v>ONLINE PAYMENT-CC</v>
          </cell>
        </row>
        <row r="6263">
          <cell r="H6263" t="str">
            <v>CCREF-KOL</v>
          </cell>
          <cell r="I6263" t="str">
            <v>CREDIT CARD REFUND</v>
          </cell>
        </row>
        <row r="6264">
          <cell r="H6264" t="str">
            <v>PAY</v>
          </cell>
          <cell r="I6264" t="str">
            <v>PAYMENT THANK YOU</v>
          </cell>
        </row>
        <row r="6265">
          <cell r="H6265" t="str">
            <v>PAY-CFREE</v>
          </cell>
          <cell r="I6265" t="str">
            <v>CHECKFREE PAYMENT</v>
          </cell>
        </row>
        <row r="6266">
          <cell r="H6266" t="str">
            <v>PAY-KOL</v>
          </cell>
          <cell r="I6266" t="str">
            <v>PAYMENT-THANK YOU - OL</v>
          </cell>
        </row>
        <row r="6267">
          <cell r="H6267" t="str">
            <v>PAY-NATL</v>
          </cell>
          <cell r="I6267" t="str">
            <v>PAYMENT THANK YOU</v>
          </cell>
        </row>
        <row r="6268">
          <cell r="H6268" t="str">
            <v>PAY-OAK</v>
          </cell>
          <cell r="I6268" t="str">
            <v>OAKLEAF PAYMENT</v>
          </cell>
        </row>
        <row r="6269">
          <cell r="H6269" t="str">
            <v>PAY-ORCC</v>
          </cell>
          <cell r="I6269" t="str">
            <v>ORCC PAYMENT</v>
          </cell>
        </row>
        <row r="6270">
          <cell r="H6270" t="str">
            <v>PAY-RPPS</v>
          </cell>
          <cell r="I6270" t="str">
            <v>RPPS MASTERCARD PAYMENT</v>
          </cell>
        </row>
        <row r="6271">
          <cell r="H6271" t="str">
            <v>PAYEFT</v>
          </cell>
          <cell r="I6271" t="str">
            <v>EFT PAYMENT</v>
          </cell>
        </row>
        <row r="6272">
          <cell r="H6272" t="str">
            <v>PAYICLRI</v>
          </cell>
          <cell r="I6272" t="str">
            <v>PAYMENT THANK YOU</v>
          </cell>
        </row>
        <row r="6273">
          <cell r="H6273" t="str">
            <v>PAYICT</v>
          </cell>
          <cell r="I6273" t="str">
            <v>I/C PAYMENT THANK YOU</v>
          </cell>
        </row>
        <row r="6274">
          <cell r="H6274" t="str">
            <v>PAYMET</v>
          </cell>
          <cell r="I6274" t="str">
            <v>METAVANTE ONLINE PAYMENT</v>
          </cell>
        </row>
        <row r="6275">
          <cell r="H6275" t="str">
            <v>PAYUSBL</v>
          </cell>
          <cell r="I6275" t="str">
            <v>PAYMENT THANK YOU</v>
          </cell>
        </row>
        <row r="6276">
          <cell r="H6276" t="str">
            <v>RET-KOL</v>
          </cell>
          <cell r="I6276" t="str">
            <v>ONLINE PAYMENT RETURN</v>
          </cell>
        </row>
        <row r="6277">
          <cell r="H6277" t="str">
            <v>CC-KOL</v>
          </cell>
          <cell r="I6277" t="str">
            <v>ONLINE PAYMENT-CC</v>
          </cell>
        </row>
        <row r="6278">
          <cell r="H6278" t="str">
            <v>PAY</v>
          </cell>
          <cell r="I6278" t="str">
            <v>PAYMENT THANK YOU</v>
          </cell>
        </row>
        <row r="6279">
          <cell r="H6279" t="str">
            <v>PAYUSBL</v>
          </cell>
          <cell r="I6279" t="str">
            <v>PAYMENT THANK YOU</v>
          </cell>
        </row>
        <row r="6280">
          <cell r="H6280" t="str">
            <v>ACCESS-RES</v>
          </cell>
          <cell r="I6280" t="str">
            <v>ACCESS FEE - RES</v>
          </cell>
        </row>
        <row r="6281">
          <cell r="H6281" t="str">
            <v>DRIVEIN-RES</v>
          </cell>
          <cell r="I6281" t="str">
            <v>DRIVE IN SERVICE - RES</v>
          </cell>
        </row>
        <row r="6282">
          <cell r="H6282" t="str">
            <v>DRIVEIN2-RES</v>
          </cell>
          <cell r="I6282" t="str">
            <v>DRIVE IN 2 - RES</v>
          </cell>
        </row>
        <row r="6283">
          <cell r="H6283" t="str">
            <v>GWRES</v>
          </cell>
          <cell r="I6283" t="str">
            <v>GREENWASTE SERVICE - RES</v>
          </cell>
        </row>
        <row r="6284">
          <cell r="H6284" t="str">
            <v>GWSPCL-RES</v>
          </cell>
          <cell r="I6284" t="str">
            <v>GREENWASTE SEN/DIS - RES</v>
          </cell>
        </row>
        <row r="6285">
          <cell r="H6285" t="str">
            <v>RECBINONLYR</v>
          </cell>
          <cell r="I6285" t="str">
            <v>RECYCLE SERVICE ONLY</v>
          </cell>
        </row>
        <row r="6286">
          <cell r="H6286" t="str">
            <v>RECPROGADJ-RES</v>
          </cell>
          <cell r="I6286" t="str">
            <v>RECYCLING PROGRAM ADJUSTM</v>
          </cell>
        </row>
        <row r="6287">
          <cell r="H6287" t="str">
            <v>RECVALRES</v>
          </cell>
          <cell r="I6287" t="str">
            <v>RECYCLABLES VALUE - RES</v>
          </cell>
        </row>
        <row r="6288">
          <cell r="H6288" t="str">
            <v>RL032.0G1W001NOREC</v>
          </cell>
          <cell r="I6288" t="str">
            <v>32 GL 1X WK NO RECY 1</v>
          </cell>
        </row>
        <row r="6289">
          <cell r="H6289" t="str">
            <v>RL032.0G1W001WREC</v>
          </cell>
          <cell r="I6289" t="str">
            <v>32 GL 1X WK W/RECY 1</v>
          </cell>
        </row>
        <row r="6290">
          <cell r="H6290" t="str">
            <v>RL032.0G1W002WREC</v>
          </cell>
          <cell r="I6290" t="str">
            <v>32 GL 1X WK W/RECY 2</v>
          </cell>
        </row>
        <row r="6291">
          <cell r="H6291" t="str">
            <v>SL035.0G1W001WREC</v>
          </cell>
          <cell r="I6291" t="str">
            <v>35 GL 1X WK W/ RECY 1</v>
          </cell>
        </row>
        <row r="6292">
          <cell r="H6292" t="str">
            <v>SL035.0GEO001WREC</v>
          </cell>
          <cell r="I6292" t="str">
            <v>35 GL EOW W/RECY 1</v>
          </cell>
        </row>
        <row r="6293">
          <cell r="H6293" t="str">
            <v>SL065.0G1M001NOREC</v>
          </cell>
          <cell r="I6293" t="str">
            <v>65 GL 1X MO NO RECY 1</v>
          </cell>
        </row>
        <row r="6294">
          <cell r="H6294" t="str">
            <v>SL065.0G1M001WREC</v>
          </cell>
          <cell r="I6294" t="str">
            <v>65 GL 1X MO W/RECY 1</v>
          </cell>
        </row>
        <row r="6295">
          <cell r="H6295" t="str">
            <v>SL065.0G1W001NOREC</v>
          </cell>
          <cell r="I6295" t="str">
            <v>65 GL 1X WK NO RECY 1</v>
          </cell>
        </row>
        <row r="6296">
          <cell r="H6296" t="str">
            <v>SL065.0G1W001WREC</v>
          </cell>
          <cell r="I6296" t="str">
            <v>65 GL 1X WK W/RECY 1</v>
          </cell>
        </row>
        <row r="6297">
          <cell r="H6297" t="str">
            <v>SL065.0GEO001NOREC</v>
          </cell>
          <cell r="I6297" t="str">
            <v>65 GL EOW NO RECY 1</v>
          </cell>
        </row>
        <row r="6298">
          <cell r="H6298" t="str">
            <v>SL065.0GEO001WREC</v>
          </cell>
          <cell r="I6298" t="str">
            <v>65 GL EOW W/RECY 1</v>
          </cell>
        </row>
        <row r="6299">
          <cell r="H6299" t="str">
            <v>SL095.0G1M001WREC</v>
          </cell>
          <cell r="I6299" t="str">
            <v>95 GL 1X MO W/RECY 1</v>
          </cell>
        </row>
        <row r="6300">
          <cell r="H6300" t="str">
            <v>SL095.0G1W001WREC</v>
          </cell>
          <cell r="I6300" t="str">
            <v>95 GL 1X WK W/RECY 1</v>
          </cell>
        </row>
        <row r="6301">
          <cell r="H6301" t="str">
            <v>SL095.0GEO001WREC</v>
          </cell>
          <cell r="I6301" t="str">
            <v>95 GL EOW W/RECY 1</v>
          </cell>
        </row>
        <row r="6302">
          <cell r="H6302" t="str">
            <v>ADJ-RES</v>
          </cell>
          <cell r="I6302" t="str">
            <v>ADJUSTMENT SERVICE - RES</v>
          </cell>
        </row>
        <row r="6303">
          <cell r="H6303" t="str">
            <v>BULKY-RES</v>
          </cell>
          <cell r="I6303" t="str">
            <v>BULKY ITEM PICK UP - RES</v>
          </cell>
        </row>
        <row r="6304">
          <cell r="H6304" t="str">
            <v>DRIVEIN-RES</v>
          </cell>
          <cell r="I6304" t="str">
            <v>DRIVE IN SERVICE - RES</v>
          </cell>
        </row>
        <row r="6305">
          <cell r="H6305" t="str">
            <v>EP96GWC-RES</v>
          </cell>
          <cell r="I6305" t="str">
            <v>EXTRA PICK UP 96 GW - RES</v>
          </cell>
        </row>
        <row r="6306">
          <cell r="H6306" t="str">
            <v>EXTRA-RES</v>
          </cell>
          <cell r="I6306" t="str">
            <v>EXTRA CAN, BAG, BOX - RES</v>
          </cell>
        </row>
        <row r="6307">
          <cell r="H6307" t="str">
            <v>EXTRA95-RES</v>
          </cell>
          <cell r="I6307" t="str">
            <v>EXTRA 95 GL RES</v>
          </cell>
        </row>
        <row r="6308">
          <cell r="H6308" t="str">
            <v>EXTRAGWC-RES</v>
          </cell>
          <cell r="I6308" t="str">
            <v>EXTRA GREENWASTE FEE - RE</v>
          </cell>
        </row>
        <row r="6309">
          <cell r="H6309" t="str">
            <v>GWRES</v>
          </cell>
          <cell r="I6309" t="str">
            <v>GREENWASTE SERVICE - RES</v>
          </cell>
        </row>
        <row r="6310">
          <cell r="H6310" t="str">
            <v>OC-RES</v>
          </cell>
          <cell r="I6310" t="str">
            <v>ON CALL SERVICE - RES</v>
          </cell>
        </row>
        <row r="6311">
          <cell r="H6311" t="str">
            <v>OS-RES</v>
          </cell>
          <cell r="I6311" t="str">
            <v>OVERSIZE CAN - RES</v>
          </cell>
        </row>
        <row r="6312">
          <cell r="H6312" t="str">
            <v>OW-RES</v>
          </cell>
          <cell r="I6312" t="str">
            <v>OVERFILL / OVERWEIGHT CAN</v>
          </cell>
        </row>
        <row r="6313">
          <cell r="H6313" t="str">
            <v>RECPROGADJ-RES</v>
          </cell>
          <cell r="I6313" t="str">
            <v>RECYCLING PROGRAM ADJUSTM</v>
          </cell>
        </row>
        <row r="6314">
          <cell r="H6314" t="str">
            <v>RECVALRES</v>
          </cell>
          <cell r="I6314" t="str">
            <v>RECYCLABLES VALUE - RES</v>
          </cell>
        </row>
        <row r="6315">
          <cell r="H6315" t="str">
            <v>REDEL-RES</v>
          </cell>
          <cell r="I6315" t="str">
            <v>REDELIVER FEE - RES</v>
          </cell>
        </row>
        <row r="6316">
          <cell r="H6316" t="str">
            <v>REINSTATE-RES</v>
          </cell>
          <cell r="I6316" t="str">
            <v>REINSTATE FEE - RES</v>
          </cell>
        </row>
        <row r="6317">
          <cell r="H6317" t="str">
            <v>RL032.0G1W001WREC</v>
          </cell>
          <cell r="I6317" t="str">
            <v>32 GL 1X WK W/RECY 1</v>
          </cell>
        </row>
        <row r="6318">
          <cell r="H6318" t="str">
            <v>RL032.0G1W002WREC</v>
          </cell>
          <cell r="I6318" t="str">
            <v>32 GL 1X WK W/RECY 2</v>
          </cell>
        </row>
        <row r="6319">
          <cell r="H6319" t="str">
            <v>RTRNCART65-RES</v>
          </cell>
          <cell r="I6319" t="str">
            <v>RETURN TRIP 65 GL - RES</v>
          </cell>
        </row>
        <row r="6320">
          <cell r="H6320" t="str">
            <v>RTRNCART95-RES</v>
          </cell>
          <cell r="I6320" t="str">
            <v>RETURN TRIP 95 GL - RES</v>
          </cell>
        </row>
        <row r="6321">
          <cell r="H6321" t="str">
            <v>RTRNCART96REC-RES</v>
          </cell>
          <cell r="I6321" t="str">
            <v>RETURN TRIP 96 GL REC - RES</v>
          </cell>
        </row>
        <row r="6322">
          <cell r="H6322" t="str">
            <v>SL035.0G1W001WREC</v>
          </cell>
          <cell r="I6322" t="str">
            <v>35 GL 1X WK W/ RECY 1</v>
          </cell>
        </row>
        <row r="6323">
          <cell r="H6323" t="str">
            <v>SL065.0G1M001WREC</v>
          </cell>
          <cell r="I6323" t="str">
            <v>65 GL 1X MO W/RECY 1</v>
          </cell>
        </row>
        <row r="6324">
          <cell r="H6324" t="str">
            <v>SL065.0G1W001WREC</v>
          </cell>
          <cell r="I6324" t="str">
            <v>65 GL 1X WK W/RECY 1</v>
          </cell>
        </row>
        <row r="6325">
          <cell r="H6325" t="str">
            <v>SL065.0GEO001WREC</v>
          </cell>
          <cell r="I6325" t="str">
            <v>65 GL EOW W/RECY 1</v>
          </cell>
        </row>
        <row r="6326">
          <cell r="H6326" t="str">
            <v>SL095.0G1W001WREC</v>
          </cell>
          <cell r="I6326" t="str">
            <v>95 GL 1X WK W/RECY 1</v>
          </cell>
        </row>
        <row r="6327">
          <cell r="H6327" t="str">
            <v>SL095.0GEO001WREC</v>
          </cell>
          <cell r="I6327" t="str">
            <v>95 GL EOW W/RECY 1</v>
          </cell>
        </row>
        <row r="6328">
          <cell r="H6328" t="str">
            <v>TIME-RES</v>
          </cell>
          <cell r="I6328" t="str">
            <v>TIME FEE 1 - RES</v>
          </cell>
        </row>
        <row r="6329">
          <cell r="H6329" t="str">
            <v>ACCESS-RES</v>
          </cell>
          <cell r="I6329" t="str">
            <v>ACCESS FEE - RES</v>
          </cell>
        </row>
        <row r="6330">
          <cell r="H6330" t="str">
            <v>DRIVEIN-RES</v>
          </cell>
          <cell r="I6330" t="str">
            <v>DRIVE IN SERVICE - RES</v>
          </cell>
        </row>
        <row r="6331">
          <cell r="H6331" t="str">
            <v>DRIVEINMUL-RES</v>
          </cell>
          <cell r="I6331" t="str">
            <v>DRIVE IN SVC MULTIPLE</v>
          </cell>
        </row>
        <row r="6332">
          <cell r="H6332" t="str">
            <v>EMPLOYEER</v>
          </cell>
          <cell r="I6332" t="str">
            <v>EMPLOYEE SERVICE RES</v>
          </cell>
        </row>
        <row r="6333">
          <cell r="H6333" t="str">
            <v>GWRES</v>
          </cell>
          <cell r="I6333" t="str">
            <v>GREENWASTE SERVICE - RES</v>
          </cell>
        </row>
        <row r="6334">
          <cell r="H6334" t="str">
            <v>RECBINONLYR</v>
          </cell>
          <cell r="I6334" t="str">
            <v>RECYCLE SERVICE ONLY</v>
          </cell>
        </row>
        <row r="6335">
          <cell r="H6335" t="str">
            <v>RECPROGADJ-RES</v>
          </cell>
          <cell r="I6335" t="str">
            <v>RECYCLING PROGRAM ADJUSTM</v>
          </cell>
        </row>
        <row r="6336">
          <cell r="H6336" t="str">
            <v>RECVALRES</v>
          </cell>
          <cell r="I6336" t="str">
            <v>RECYCLABLES VALUE - RES</v>
          </cell>
        </row>
        <row r="6337">
          <cell r="H6337" t="str">
            <v>RL020.0G1W001</v>
          </cell>
          <cell r="I6337" t="str">
            <v>20 GL 1X WK 1</v>
          </cell>
        </row>
        <row r="6338">
          <cell r="H6338" t="str">
            <v>RL032.0G1M001NOREC</v>
          </cell>
          <cell r="I6338" t="str">
            <v>32 GL 1X MO NO RECY 1</v>
          </cell>
        </row>
        <row r="6339">
          <cell r="H6339" t="str">
            <v>RL032.0G1M001WREC</v>
          </cell>
          <cell r="I6339" t="str">
            <v>32 GL 1X MO W/RECY 1</v>
          </cell>
        </row>
        <row r="6340">
          <cell r="H6340" t="str">
            <v>RL032.0G1W001NOREC</v>
          </cell>
          <cell r="I6340" t="str">
            <v>32 GL 1X WK NO RECY 1</v>
          </cell>
        </row>
        <row r="6341">
          <cell r="H6341" t="str">
            <v>RL032.0G1W001WREC</v>
          </cell>
          <cell r="I6341" t="str">
            <v>32 GL 1X WK W/RECY 1</v>
          </cell>
        </row>
        <row r="6342">
          <cell r="H6342" t="str">
            <v>RL032.0G1W002NOREC</v>
          </cell>
          <cell r="I6342" t="str">
            <v>32 GL 1X WK NO RECY 2</v>
          </cell>
        </row>
        <row r="6343">
          <cell r="H6343" t="str">
            <v>RL032.0G1W002WREC</v>
          </cell>
          <cell r="I6343" t="str">
            <v>32 GL 1X WK W/RECY 2</v>
          </cell>
        </row>
        <row r="6344">
          <cell r="H6344" t="str">
            <v>RL032.0G1W003WREC</v>
          </cell>
          <cell r="I6344" t="str">
            <v>32 GL 1X WK W/RECY 3</v>
          </cell>
        </row>
        <row r="6345">
          <cell r="H6345" t="str">
            <v>RL032.0G1W004NOREC</v>
          </cell>
          <cell r="I6345" t="str">
            <v>32 GL 1X WK NO RECY 4</v>
          </cell>
        </row>
        <row r="6346">
          <cell r="H6346" t="str">
            <v>RL032.0G1W004WREC</v>
          </cell>
          <cell r="I6346" t="str">
            <v>32 GL 1X WK W/RECY 4</v>
          </cell>
        </row>
        <row r="6347">
          <cell r="H6347" t="str">
            <v>SL035.0G1M001WREC</v>
          </cell>
          <cell r="I6347" t="str">
            <v>35 GL 1X MO W/RECY 1</v>
          </cell>
        </row>
        <row r="6348">
          <cell r="H6348" t="str">
            <v>SL035.0G1W001NOREC</v>
          </cell>
          <cell r="I6348" t="str">
            <v>35 GL 1X WK NO RECY 1</v>
          </cell>
        </row>
        <row r="6349">
          <cell r="H6349" t="str">
            <v>SL035.0G1W001WREC</v>
          </cell>
          <cell r="I6349" t="str">
            <v>35 GL 1X WK W/ RECY 1</v>
          </cell>
        </row>
        <row r="6350">
          <cell r="H6350" t="str">
            <v>SL035.0G1W002WREC</v>
          </cell>
          <cell r="I6350" t="str">
            <v>35 GL 1X WK W/RECY 2</v>
          </cell>
        </row>
        <row r="6351">
          <cell r="H6351" t="str">
            <v>SL035.0GEO001NOREC</v>
          </cell>
          <cell r="I6351" t="str">
            <v>35 GL EOW NO RECY 1</v>
          </cell>
        </row>
        <row r="6352">
          <cell r="H6352" t="str">
            <v>SL035.0GEO001WREC</v>
          </cell>
          <cell r="I6352" t="str">
            <v>35 GL EOW W/RECY 1</v>
          </cell>
        </row>
        <row r="6353">
          <cell r="H6353" t="str">
            <v>SL065.0G1M001NOREC</v>
          </cell>
          <cell r="I6353" t="str">
            <v>65 GL 1X MO NO RECY 1</v>
          </cell>
        </row>
        <row r="6354">
          <cell r="H6354" t="str">
            <v>SL065.0G1M001WREC</v>
          </cell>
          <cell r="I6354" t="str">
            <v>65 GL 1X MO W/RECY 1</v>
          </cell>
        </row>
        <row r="6355">
          <cell r="H6355" t="str">
            <v>SL065.0G1W001NOREC</v>
          </cell>
          <cell r="I6355" t="str">
            <v>65 GL 1X WK NO RECY 1</v>
          </cell>
        </row>
        <row r="6356">
          <cell r="H6356" t="str">
            <v>SL065.0G1W001WREC</v>
          </cell>
          <cell r="I6356" t="str">
            <v>65 GL 1X WK W/RECY 1</v>
          </cell>
        </row>
        <row r="6357">
          <cell r="H6357" t="str">
            <v>SL065.0GEO001NOREC</v>
          </cell>
          <cell r="I6357" t="str">
            <v>65 GL EOW NO RECY 1</v>
          </cell>
        </row>
        <row r="6358">
          <cell r="H6358" t="str">
            <v>SL065.0GEO001WREC</v>
          </cell>
          <cell r="I6358" t="str">
            <v>65 GL EOW W/RECY 1</v>
          </cell>
        </row>
        <row r="6359">
          <cell r="H6359" t="str">
            <v>SL095.0G1M001NOREC</v>
          </cell>
          <cell r="I6359" t="str">
            <v>95 GL 1X MO NO RECY 1</v>
          </cell>
        </row>
        <row r="6360">
          <cell r="H6360" t="str">
            <v>SL095.0G1M001WREC</v>
          </cell>
          <cell r="I6360" t="str">
            <v>95 GL 1X MO W/RECY 1</v>
          </cell>
        </row>
        <row r="6361">
          <cell r="H6361" t="str">
            <v>SL095.0G1W001NOREC</v>
          </cell>
          <cell r="I6361" t="str">
            <v>95 GL 1X WK NO RECY 1</v>
          </cell>
        </row>
        <row r="6362">
          <cell r="H6362" t="str">
            <v>SL095.0G1W001WREC</v>
          </cell>
          <cell r="I6362" t="str">
            <v>95 GL 1X WK W/RECY 1</v>
          </cell>
        </row>
        <row r="6363">
          <cell r="H6363" t="str">
            <v>SL095.0GEO001NOREC</v>
          </cell>
          <cell r="I6363" t="str">
            <v>95 GL EOW NO RECY 1</v>
          </cell>
        </row>
        <row r="6364">
          <cell r="H6364" t="str">
            <v>SL095.0GEO001WREC</v>
          </cell>
          <cell r="I6364" t="str">
            <v>95 GL EOW W/RECY 1</v>
          </cell>
        </row>
        <row r="6365">
          <cell r="H6365" t="str">
            <v>WI-RES</v>
          </cell>
          <cell r="I6365" t="str">
            <v>WALK IN 6-25' - RES</v>
          </cell>
        </row>
        <row r="6366">
          <cell r="H6366" t="str">
            <v>WI1-RES</v>
          </cell>
          <cell r="I6366" t="str">
            <v>WALK IN 6-25' - RES</v>
          </cell>
        </row>
        <row r="6367">
          <cell r="H6367" t="str">
            <v>WI2-RES</v>
          </cell>
          <cell r="I6367" t="str">
            <v>WALK IN 26-50' - RES</v>
          </cell>
        </row>
        <row r="6368">
          <cell r="H6368" t="str">
            <v>BULKY-RES</v>
          </cell>
          <cell r="I6368" t="str">
            <v>BULKY ITEM PICK UP - RES</v>
          </cell>
        </row>
        <row r="6369">
          <cell r="H6369" t="str">
            <v>EP96GWC-RES</v>
          </cell>
          <cell r="I6369" t="str">
            <v>EXTRA PICK UP 96 GW - RES</v>
          </cell>
        </row>
        <row r="6370">
          <cell r="H6370" t="str">
            <v>EXTRA-RES</v>
          </cell>
          <cell r="I6370" t="str">
            <v>EXTRA CAN, BAG, BOX - RES</v>
          </cell>
        </row>
        <row r="6371">
          <cell r="H6371" t="str">
            <v>EXTRA65-RES</v>
          </cell>
          <cell r="I6371" t="str">
            <v>EXTRA 65 GL RES</v>
          </cell>
        </row>
        <row r="6372">
          <cell r="H6372" t="str">
            <v>EXTRA95-RES</v>
          </cell>
          <cell r="I6372" t="str">
            <v>EXTRA 95 GL RES</v>
          </cell>
        </row>
        <row r="6373">
          <cell r="H6373" t="str">
            <v>EXTRAGRAD1-RES</v>
          </cell>
          <cell r="I6373" t="str">
            <v>EXTRAS GRADUATED 1-2 - RES</v>
          </cell>
        </row>
        <row r="6374">
          <cell r="H6374" t="str">
            <v>EXTRAGWC-RES</v>
          </cell>
          <cell r="I6374" t="str">
            <v>EXTRA GREENWASTE FEE - RE</v>
          </cell>
        </row>
        <row r="6375">
          <cell r="H6375" t="str">
            <v>GWRES</v>
          </cell>
          <cell r="I6375" t="str">
            <v>GREENWASTE SERVICE - RES</v>
          </cell>
        </row>
        <row r="6376">
          <cell r="H6376" t="str">
            <v>OC-RES</v>
          </cell>
          <cell r="I6376" t="str">
            <v>ON CALL SERVICE - RES</v>
          </cell>
        </row>
        <row r="6377">
          <cell r="H6377" t="str">
            <v>OW-RES</v>
          </cell>
          <cell r="I6377" t="str">
            <v>OVERFILL / OVERWEIGHT CAN</v>
          </cell>
        </row>
        <row r="6378">
          <cell r="H6378" t="str">
            <v>RECBINONLYR</v>
          </cell>
          <cell r="I6378" t="str">
            <v>RECYCLE SERVICE ONLY</v>
          </cell>
        </row>
        <row r="6379">
          <cell r="H6379" t="str">
            <v>RECPROGADJ-RES</v>
          </cell>
          <cell r="I6379" t="str">
            <v>RECYCLING PROGRAM ADJUSTM</v>
          </cell>
        </row>
        <row r="6380">
          <cell r="H6380" t="str">
            <v>RECVALRES</v>
          </cell>
          <cell r="I6380" t="str">
            <v>RECYCLABLES VALUE - RES</v>
          </cell>
        </row>
        <row r="6381">
          <cell r="H6381" t="str">
            <v>REDEL-RES</v>
          </cell>
          <cell r="I6381" t="str">
            <v>REDELIVER FEE - RES</v>
          </cell>
        </row>
        <row r="6382">
          <cell r="H6382" t="str">
            <v>REINSTATE-RES</v>
          </cell>
          <cell r="I6382" t="str">
            <v>REINSTATE FEE - RES</v>
          </cell>
        </row>
        <row r="6383">
          <cell r="H6383" t="str">
            <v>RTRNCART32-RES</v>
          </cell>
          <cell r="I6383" t="str">
            <v>RETURN TRIP 32 GL - RES</v>
          </cell>
        </row>
        <row r="6384">
          <cell r="H6384" t="str">
            <v>RTRNCART65-RES</v>
          </cell>
          <cell r="I6384" t="str">
            <v>RETURN TRIP 65 GL - RES</v>
          </cell>
        </row>
        <row r="6385">
          <cell r="H6385" t="str">
            <v>RTRNCART95-RES</v>
          </cell>
          <cell r="I6385" t="str">
            <v>RETURN TRIP 95 GL - RES</v>
          </cell>
        </row>
        <row r="6386">
          <cell r="H6386" t="str">
            <v>RTRNCART96REC-RES</v>
          </cell>
          <cell r="I6386" t="str">
            <v>RETURN TRIP 96 GL REC - RES</v>
          </cell>
        </row>
        <row r="6387">
          <cell r="H6387" t="str">
            <v>SL035.0GEO001WREC</v>
          </cell>
          <cell r="I6387" t="str">
            <v>35 GL EOW W/RECY 1</v>
          </cell>
        </row>
        <row r="6388">
          <cell r="H6388" t="str">
            <v>SL065.0G1W001WREC</v>
          </cell>
          <cell r="I6388" t="str">
            <v>65 GL 1X WK W/RECY 1</v>
          </cell>
        </row>
        <row r="6389">
          <cell r="H6389" t="str">
            <v>SL065.0GEO001WREC</v>
          </cell>
          <cell r="I6389" t="str">
            <v>65 GL EOW W/RECY 1</v>
          </cell>
        </row>
        <row r="6390">
          <cell r="H6390" t="str">
            <v>SL095.0G1W001WREC</v>
          </cell>
          <cell r="I6390" t="str">
            <v>95 GL 1X WK W/RECY 1</v>
          </cell>
        </row>
        <row r="6391">
          <cell r="H6391" t="str">
            <v>SL095.0GEO001WREC</v>
          </cell>
          <cell r="I6391" t="str">
            <v>95 GL EOW W/RECY 1</v>
          </cell>
        </row>
        <row r="6392">
          <cell r="H6392" t="str">
            <v>SPGRAD1-RES</v>
          </cell>
          <cell r="I6392" t="str">
            <v>SPECIAL GRADUATED 1-2 - R</v>
          </cell>
        </row>
        <row r="6393">
          <cell r="H6393" t="str">
            <v>TIME-RES</v>
          </cell>
          <cell r="I6393" t="str">
            <v>TIME FEE 1 - RES</v>
          </cell>
        </row>
        <row r="6394">
          <cell r="H6394" t="str">
            <v>EMPLOYEER</v>
          </cell>
          <cell r="I6394" t="str">
            <v>EMPLOYEE SERVICE RES</v>
          </cell>
        </row>
        <row r="6395">
          <cell r="H6395" t="str">
            <v>GWRES</v>
          </cell>
          <cell r="I6395" t="str">
            <v>GREENWASTE SERVICE - RES</v>
          </cell>
        </row>
        <row r="6396">
          <cell r="H6396" t="str">
            <v>SL035.0G1W001WREC</v>
          </cell>
          <cell r="I6396" t="str">
            <v>35 GL 1X WK W/ RECY 1</v>
          </cell>
        </row>
        <row r="6397">
          <cell r="H6397" t="str">
            <v>SL065.0G1W001WREC</v>
          </cell>
          <cell r="I6397" t="str">
            <v>65 GL 1X WK W/RECY 1</v>
          </cell>
        </row>
        <row r="6398">
          <cell r="H6398" t="str">
            <v>SL095.0G1W001WREC</v>
          </cell>
          <cell r="I6398" t="str">
            <v>95 GL 1X WK W/RECY 1</v>
          </cell>
        </row>
        <row r="6399">
          <cell r="H6399" t="str">
            <v>ADJ-RES</v>
          </cell>
          <cell r="I6399" t="str">
            <v>ADJUSTMENT SERVICE - RES</v>
          </cell>
        </row>
        <row r="6400">
          <cell r="H6400" t="str">
            <v>BULKY-RES</v>
          </cell>
          <cell r="I6400" t="str">
            <v>BULKY ITEM PICK UP - RES</v>
          </cell>
        </row>
        <row r="6401">
          <cell r="H6401" t="str">
            <v>DISP-RES</v>
          </cell>
          <cell r="I6401" t="str">
            <v>DISPOSAL FEE -RES</v>
          </cell>
        </row>
        <row r="6402">
          <cell r="H6402" t="str">
            <v>DISPCMGL-RES</v>
          </cell>
          <cell r="I6402" t="str">
            <v>DISPOSAL COMINGLE - RES</v>
          </cell>
        </row>
        <row r="6403">
          <cell r="H6403" t="str">
            <v>DISPFEDMSW-RES</v>
          </cell>
          <cell r="I6403" t="str">
            <v>DISPOSAL FEDERAL MSW - RE</v>
          </cell>
        </row>
        <row r="6404">
          <cell r="H6404" t="str">
            <v>DISPGW-RES</v>
          </cell>
          <cell r="I6404" t="str">
            <v>DISPOSAL FEE GREENWASTE -</v>
          </cell>
        </row>
        <row r="6405">
          <cell r="H6405" t="str">
            <v>EXTRA-RES</v>
          </cell>
          <cell r="I6405" t="str">
            <v>EXTRA CAN, BAG, BOX - RES</v>
          </cell>
        </row>
        <row r="6406">
          <cell r="H6406" t="str">
            <v>EXTRAGWC-RES</v>
          </cell>
          <cell r="I6406" t="str">
            <v>EXTRA GREENWASTE FEE - RE</v>
          </cell>
        </row>
        <row r="6407">
          <cell r="H6407" t="str">
            <v>OW-RES</v>
          </cell>
          <cell r="I6407" t="str">
            <v>OVERFILL / OVERWEIGHT CAN</v>
          </cell>
        </row>
        <row r="6408">
          <cell r="H6408" t="str">
            <v>RECPROGADJ-RES</v>
          </cell>
          <cell r="I6408" t="str">
            <v>RECYCLING PROGRAM ADJUSTM</v>
          </cell>
        </row>
        <row r="6409">
          <cell r="H6409" t="str">
            <v>REINSTATE-RES</v>
          </cell>
          <cell r="I6409" t="str">
            <v>REINSTATE FEE - RES</v>
          </cell>
        </row>
        <row r="6410">
          <cell r="H6410" t="str">
            <v>SL095.0G1W001WREC</v>
          </cell>
          <cell r="I6410" t="str">
            <v>95 GL 1X WK W/RECY 1</v>
          </cell>
        </row>
        <row r="6411">
          <cell r="H6411" t="str">
            <v>DISP-RES</v>
          </cell>
          <cell r="I6411" t="str">
            <v>DISPOSAL FEE -RES</v>
          </cell>
        </row>
        <row r="6412">
          <cell r="H6412" t="str">
            <v>DISPCMGL-RES</v>
          </cell>
          <cell r="I6412" t="str">
            <v>DISPOSAL COMINGLE - RES</v>
          </cell>
        </row>
        <row r="6413">
          <cell r="H6413" t="str">
            <v>DISPGW-RES</v>
          </cell>
          <cell r="I6413" t="str">
            <v>DISPOSAL FEE GREENWASTE -</v>
          </cell>
        </row>
        <row r="6414">
          <cell r="H6414" t="str">
            <v>HAUL20-RO</v>
          </cell>
          <cell r="I6414" t="str">
            <v>HAUL 20 YD - RO</v>
          </cell>
        </row>
        <row r="6415">
          <cell r="H6415" t="str">
            <v>LIDRO</v>
          </cell>
          <cell r="I6415" t="str">
            <v>LID CHARGE - RO</v>
          </cell>
        </row>
        <row r="6416">
          <cell r="H6416" t="str">
            <v>RENT10MO-RO</v>
          </cell>
          <cell r="I6416" t="str">
            <v>RENTAL FEE 10 YD MONTHLY</v>
          </cell>
        </row>
        <row r="6417">
          <cell r="H6417" t="str">
            <v>RENT20MO-RO</v>
          </cell>
          <cell r="I6417" t="str">
            <v>RENTAL FEE 20 YD MONTHLY</v>
          </cell>
        </row>
        <row r="6418">
          <cell r="H6418" t="str">
            <v>RENT20TEMP-RO</v>
          </cell>
          <cell r="I6418" t="str">
            <v>RENTAL FEE 20 YD TEMP - R</v>
          </cell>
        </row>
        <row r="6419">
          <cell r="H6419" t="str">
            <v>RENT30MO-RO</v>
          </cell>
          <cell r="I6419" t="str">
            <v>RENTAL FEE 30 YD MONTHLY</v>
          </cell>
        </row>
        <row r="6420">
          <cell r="H6420" t="str">
            <v>RENT40MO-RO</v>
          </cell>
          <cell r="I6420" t="str">
            <v>RENTAL FEE 40 YD MONTHLY</v>
          </cell>
        </row>
        <row r="6421">
          <cell r="H6421" t="str">
            <v>CLEAN20-RO</v>
          </cell>
          <cell r="I6421" t="str">
            <v>CLEANING FEE 20 YD - RO</v>
          </cell>
        </row>
        <row r="6422">
          <cell r="H6422" t="str">
            <v>CLEAN30-RO</v>
          </cell>
          <cell r="I6422" t="str">
            <v>CLEANING FEE 30 YD - RO</v>
          </cell>
        </row>
        <row r="6423">
          <cell r="H6423" t="str">
            <v>DEL20-RO</v>
          </cell>
          <cell r="I6423" t="str">
            <v>DELIVERY FEE 20 YD - RO</v>
          </cell>
        </row>
        <row r="6424">
          <cell r="H6424" t="str">
            <v>DEL20TEMP-RO</v>
          </cell>
          <cell r="I6424" t="str">
            <v>DELIVERY FEE 20 YD TEMP -</v>
          </cell>
        </row>
        <row r="6425">
          <cell r="H6425" t="str">
            <v>DEL30TEMP-RO</v>
          </cell>
          <cell r="I6425" t="str">
            <v>DELIVERY FEE 30 YD TEMP -</v>
          </cell>
        </row>
        <row r="6426">
          <cell r="H6426" t="str">
            <v>DEL40TEMP-RO</v>
          </cell>
          <cell r="I6426" t="str">
            <v>DELIVERY FEE 40 YD TEMP -</v>
          </cell>
        </row>
        <row r="6427">
          <cell r="H6427" t="str">
            <v>DISCO-CP</v>
          </cell>
          <cell r="I6427" t="str">
            <v xml:space="preserve">COMPACTOR DISCONNECT FEE </v>
          </cell>
        </row>
        <row r="6428">
          <cell r="H6428" t="str">
            <v>DISP-RO</v>
          </cell>
          <cell r="I6428" t="str">
            <v>DISPOSAL CHARGE - RO</v>
          </cell>
        </row>
        <row r="6429">
          <cell r="H6429" t="str">
            <v>DISPCMGL-RO</v>
          </cell>
          <cell r="I6429" t="str">
            <v xml:space="preserve">DISPOSAL FEE COMMINGLE - </v>
          </cell>
        </row>
        <row r="6430">
          <cell r="H6430" t="str">
            <v>DISPTOTERS-RO</v>
          </cell>
          <cell r="I6430" t="str">
            <v>DISPOSAL FEE TOTERS</v>
          </cell>
        </row>
        <row r="6431">
          <cell r="H6431" t="str">
            <v>DISPTRANS-RO</v>
          </cell>
          <cell r="I6431" t="str">
            <v>DISPOSAL FEE TRANSFER HAU</v>
          </cell>
        </row>
        <row r="6432">
          <cell r="H6432" t="str">
            <v>EXWGHT-RO</v>
          </cell>
          <cell r="I6432" t="str">
            <v>EXCESS WEIGHT - RO</v>
          </cell>
        </row>
        <row r="6433">
          <cell r="H6433" t="str">
            <v>FERRY-RO</v>
          </cell>
          <cell r="I6433" t="str">
            <v>FERRY FEE - RO</v>
          </cell>
        </row>
        <row r="6434">
          <cell r="H6434" t="str">
            <v>FINAL20-RO</v>
          </cell>
          <cell r="I6434" t="str">
            <v>FINAL PULL 20 YD - RO</v>
          </cell>
        </row>
        <row r="6435">
          <cell r="H6435" t="str">
            <v>FINAL20TEMP-RO</v>
          </cell>
          <cell r="I6435" t="str">
            <v>FINAL PULL 20 YD TEMP - R</v>
          </cell>
        </row>
        <row r="6436">
          <cell r="H6436" t="str">
            <v>FINAL30TEMP-RO</v>
          </cell>
          <cell r="I6436" t="str">
            <v>FINAL PULL 30 YD TEMP - R</v>
          </cell>
        </row>
        <row r="6437">
          <cell r="H6437" t="str">
            <v>FINAL40-RO</v>
          </cell>
          <cell r="I6437" t="str">
            <v>FINAL PULL 40 YD - RO</v>
          </cell>
        </row>
        <row r="6438">
          <cell r="H6438" t="str">
            <v>FINAL40TEMP-RO</v>
          </cell>
          <cell r="I6438" t="str">
            <v>FINAL PULL 40 YD TEMP - R</v>
          </cell>
        </row>
        <row r="6439">
          <cell r="H6439" t="str">
            <v>HAUL10-CP</v>
          </cell>
          <cell r="I6439" t="str">
            <v>COMPACTOR HAUL 10 YD - RO</v>
          </cell>
        </row>
        <row r="6440">
          <cell r="H6440" t="str">
            <v>HAUL10-RO</v>
          </cell>
          <cell r="I6440" t="str">
            <v>HAUL 10 YD - RO</v>
          </cell>
        </row>
        <row r="6441">
          <cell r="H6441" t="str">
            <v>HAUL20-CP</v>
          </cell>
          <cell r="I6441" t="str">
            <v>COMPACTOR HAUL 20 YD - RO</v>
          </cell>
        </row>
        <row r="6442">
          <cell r="H6442" t="str">
            <v>HAUL20-RO</v>
          </cell>
          <cell r="I6442" t="str">
            <v>HAUL 20 YD - RO</v>
          </cell>
        </row>
        <row r="6443">
          <cell r="H6443" t="str">
            <v>HAUL20CUST-RO</v>
          </cell>
          <cell r="I6443" t="str">
            <v>HAUL 20 YD CUST - RO</v>
          </cell>
        </row>
        <row r="6444">
          <cell r="H6444" t="str">
            <v>HAUL20TEMP-RO</v>
          </cell>
          <cell r="I6444" t="str">
            <v>HAUL 20 YD TEMP - RO</v>
          </cell>
        </row>
        <row r="6445">
          <cell r="H6445" t="str">
            <v>HAUL25-CP</v>
          </cell>
          <cell r="I6445" t="str">
            <v>COMPACTOR HAUL 25 YD - RO</v>
          </cell>
        </row>
        <row r="6446">
          <cell r="H6446" t="str">
            <v>HAUL30-CP</v>
          </cell>
          <cell r="I6446" t="str">
            <v>COMPACTOR HAUL 30 YD</v>
          </cell>
        </row>
        <row r="6447">
          <cell r="H6447" t="str">
            <v>HAUL30-RO</v>
          </cell>
          <cell r="I6447" t="str">
            <v>HAUL 30 YD - RO</v>
          </cell>
        </row>
        <row r="6448">
          <cell r="H6448" t="str">
            <v>HAUL30TEMP-RO</v>
          </cell>
          <cell r="I6448" t="str">
            <v>HAUL 30 YD TEMP - RO</v>
          </cell>
        </row>
        <row r="6449">
          <cell r="H6449" t="str">
            <v>HAUL40-CP</v>
          </cell>
          <cell r="I6449" t="str">
            <v>COMPACTOR HAUL 40 YD</v>
          </cell>
        </row>
        <row r="6450">
          <cell r="H6450" t="str">
            <v>HAUL40-RO</v>
          </cell>
          <cell r="I6450" t="str">
            <v>HAUL 40 YD - RO</v>
          </cell>
        </row>
        <row r="6451">
          <cell r="H6451" t="str">
            <v>HAUL40TEMP-RO</v>
          </cell>
          <cell r="I6451" t="str">
            <v>HAUL 40 YD TEMP - RO</v>
          </cell>
        </row>
        <row r="6452">
          <cell r="H6452" t="str">
            <v>MILE-RO</v>
          </cell>
          <cell r="I6452" t="str">
            <v>MILEAGE FEE - RO</v>
          </cell>
        </row>
        <row r="6453">
          <cell r="H6453" t="str">
            <v>RENT20TEMP-RO</v>
          </cell>
          <cell r="I6453" t="str">
            <v>RENTAL FEE 20 YD TEMP - R</v>
          </cell>
        </row>
        <row r="6454">
          <cell r="H6454" t="str">
            <v>RENT30MO-RO</v>
          </cell>
          <cell r="I6454" t="str">
            <v>RENTAL FEE 30 YD MONTHLY</v>
          </cell>
        </row>
        <row r="6455">
          <cell r="H6455" t="str">
            <v>RENT30TEMP-RO</v>
          </cell>
          <cell r="I6455" t="str">
            <v>RENTAL FEE 30 YD TEMP - R</v>
          </cell>
        </row>
        <row r="6456">
          <cell r="H6456" t="str">
            <v>RENT40TEMP-RO</v>
          </cell>
          <cell r="I6456" t="str">
            <v>RENTAL FEE 40 YD TEMP - R</v>
          </cell>
        </row>
        <row r="6457">
          <cell r="H6457" t="str">
            <v>RTRNTRIP-RO</v>
          </cell>
          <cell r="I6457" t="str">
            <v>RETURN TRIP FEE - RO</v>
          </cell>
        </row>
        <row r="6458">
          <cell r="H6458" t="str">
            <v>TIME-RO</v>
          </cell>
          <cell r="I6458" t="str">
            <v>TIME FEE - RO</v>
          </cell>
        </row>
        <row r="6459">
          <cell r="H6459" t="str">
            <v>DEL20TEMP-RO</v>
          </cell>
          <cell r="I6459" t="str">
            <v>DELIVERY FEE 20 YD TEMP -</v>
          </cell>
        </row>
        <row r="6460">
          <cell r="H6460" t="str">
            <v>DISP-RO</v>
          </cell>
          <cell r="I6460" t="str">
            <v>DISPOSAL CHARGE - RO</v>
          </cell>
        </row>
        <row r="6461">
          <cell r="H6461" t="str">
            <v>DISPAPPL-RO</v>
          </cell>
          <cell r="I6461" t="str">
            <v>DISPOSAL APPLIANCE - RO</v>
          </cell>
        </row>
        <row r="6462">
          <cell r="H6462" t="str">
            <v>FINAL20TEMP-RO</v>
          </cell>
          <cell r="I6462" t="str">
            <v>FINAL PULL 20 YD TEMP - R</v>
          </cell>
        </row>
        <row r="6463">
          <cell r="H6463" t="str">
            <v>HAUL20TEMP-RO</v>
          </cell>
          <cell r="I6463" t="str">
            <v>HAUL 20 YD TEMP - RO</v>
          </cell>
        </row>
        <row r="6464">
          <cell r="H6464" t="str">
            <v>MILE-RO</v>
          </cell>
          <cell r="I6464" t="str">
            <v>MILEAGE FEE - RO</v>
          </cell>
        </row>
        <row r="6465">
          <cell r="H6465" t="str">
            <v>RENT20TEMP-RO</v>
          </cell>
          <cell r="I6465" t="str">
            <v>RENTAL FEE 20 YD TEMP - R</v>
          </cell>
        </row>
        <row r="6466">
          <cell r="H6466" t="str">
            <v>COMMODITY SURCHARGE</v>
          </cell>
          <cell r="I6466" t="str">
            <v>COMMODITY SURCHARGE</v>
          </cell>
        </row>
        <row r="6467">
          <cell r="H6467" t="str">
            <v>COMMODITY SURCHARGE</v>
          </cell>
          <cell r="I6467" t="str">
            <v>COMMODITY SURCHARGE</v>
          </cell>
        </row>
        <row r="6468">
          <cell r="H6468" t="str">
            <v>COMMODITY SURCHARGE</v>
          </cell>
          <cell r="I6468" t="str">
            <v>COMMODITY SURCHARGE</v>
          </cell>
        </row>
        <row r="6469">
          <cell r="H6469" t="str">
            <v xml:space="preserve">PIERCE COUNTY REFUSE </v>
          </cell>
          <cell r="I6469" t="str">
            <v>3.6% PIERCE COUNTY REFUSE</v>
          </cell>
        </row>
        <row r="6470">
          <cell r="H6470" t="str">
            <v xml:space="preserve">PIERCE COUNTY REFUSE  </v>
          </cell>
          <cell r="I6470" t="str">
            <v>3.6% PIERCE COUNTY REFUSE</v>
          </cell>
        </row>
        <row r="6471">
          <cell r="H6471" t="str">
            <v>PIERCE REFUSE TAX</v>
          </cell>
          <cell r="I6471" t="str">
            <v>3.6% WA STATE REFUSE TAX</v>
          </cell>
        </row>
        <row r="6472">
          <cell r="H6472" t="str">
            <v xml:space="preserve">PIERCE COUNTY REFUSE </v>
          </cell>
          <cell r="I6472" t="str">
            <v>3.6% PIERCE COUNTY REFUSE</v>
          </cell>
        </row>
        <row r="6473">
          <cell r="H6473" t="str">
            <v xml:space="preserve">PIERCE COUNTY REFUSE  </v>
          </cell>
          <cell r="I6473" t="str">
            <v>3.6% PIERCE COUNTY REFUSE</v>
          </cell>
        </row>
        <row r="6474">
          <cell r="H6474" t="str">
            <v>PIERCE COUNTY REFUSE</v>
          </cell>
          <cell r="I6474" t="str">
            <v>3.6% PIERCE COUNTY REFUSE</v>
          </cell>
        </row>
        <row r="6475">
          <cell r="H6475" t="str">
            <v>PIERCE COUNTY SALES 7.9%</v>
          </cell>
          <cell r="I6475" t="str">
            <v>7.9% WA STATE SALES TAX</v>
          </cell>
        </row>
        <row r="6476">
          <cell r="H6476" t="str">
            <v>PIERCE COUNTY SALES 9.3%</v>
          </cell>
          <cell r="I6476" t="str">
            <v>9.3% WA STATE SALES TAX</v>
          </cell>
        </row>
        <row r="6477">
          <cell r="H6477" t="str">
            <v>PIERCE REFUSE TAX</v>
          </cell>
          <cell r="I6477" t="str">
            <v>3.6% WA STATE REFUSE TAX</v>
          </cell>
        </row>
        <row r="6478">
          <cell r="H6478" t="str">
            <v>PIERCE STATE SALES TAX</v>
          </cell>
          <cell r="I6478" t="str">
            <v>9.9% WA STATE SALES TAX</v>
          </cell>
        </row>
        <row r="6479">
          <cell r="H6479" t="str">
            <v xml:space="preserve">PIERCE COUNTY REFUSE  </v>
          </cell>
          <cell r="I6479" t="str">
            <v>3.6% PIERCE COUNTY REFUSE</v>
          </cell>
        </row>
        <row r="6480">
          <cell r="H6480" t="str">
            <v>PIERCE COUNTY SALES 9.3%</v>
          </cell>
          <cell r="I6480" t="str">
            <v>9.3% WA STATE SALES TAX</v>
          </cell>
        </row>
        <row r="6481">
          <cell r="H6481" t="str">
            <v>PIERCE REFUSE TAX</v>
          </cell>
          <cell r="I6481" t="str">
            <v>3.6% WA STATE REFUSE TAX</v>
          </cell>
        </row>
        <row r="6482">
          <cell r="H6482" t="str">
            <v>PIERCE STATE SALES TAX</v>
          </cell>
          <cell r="I6482" t="str">
            <v>9.9% WA STATE SALES TAX</v>
          </cell>
        </row>
        <row r="6483">
          <cell r="H6483" t="str">
            <v>PIERCE REFUSE TAX</v>
          </cell>
          <cell r="I6483" t="str">
            <v>3.6% WA STATE REFUSE TAX</v>
          </cell>
        </row>
        <row r="6484">
          <cell r="H6484" t="str">
            <v xml:space="preserve">PIERCE COUNTY REFUSE </v>
          </cell>
          <cell r="I6484" t="str">
            <v>3.6% PIERCE COUNTY REFUSE</v>
          </cell>
        </row>
        <row r="6485">
          <cell r="H6485" t="str">
            <v xml:space="preserve">PIERCE COUNTY REFUSE  </v>
          </cell>
          <cell r="I6485" t="str">
            <v>3.6% PIERCE COUNTY REFUSE</v>
          </cell>
        </row>
        <row r="6486">
          <cell r="H6486" t="str">
            <v>PIERCE COUNTY REFUSE</v>
          </cell>
          <cell r="I6486" t="str">
            <v>3.6% PIERCE COUNTY REFUSE</v>
          </cell>
        </row>
        <row r="6487">
          <cell r="H6487" t="str">
            <v>PIERCE REFUSE TAX</v>
          </cell>
          <cell r="I6487" t="str">
            <v>3.6% WA STATE REFUSE TAX</v>
          </cell>
        </row>
        <row r="6488">
          <cell r="H6488" t="str">
            <v xml:space="preserve">PIERCE COUNTY REFUSE </v>
          </cell>
          <cell r="I6488" t="str">
            <v>3.6% PIERCE COUNTY REFUSE</v>
          </cell>
        </row>
        <row r="6489">
          <cell r="H6489" t="str">
            <v xml:space="preserve">PIERCE COUNTY REFUSE  </v>
          </cell>
          <cell r="I6489" t="str">
            <v>3.6% PIERCE COUNTY REFUSE</v>
          </cell>
        </row>
        <row r="6490">
          <cell r="H6490" t="str">
            <v>PIERCE COUNTY REFUSE</v>
          </cell>
          <cell r="I6490" t="str">
            <v>3.6% PIERCE COUNTY REFUSE</v>
          </cell>
        </row>
        <row r="6491">
          <cell r="H6491" t="str">
            <v>PIERCE REFUSE TAX</v>
          </cell>
          <cell r="I6491" t="str">
            <v>3.6% WA STATE REFUSE TAX</v>
          </cell>
        </row>
        <row r="6492">
          <cell r="H6492" t="str">
            <v>UP CITY UTILITY TAX</v>
          </cell>
          <cell r="I6492" t="str">
            <v>6% CITY UTILITY TAX</v>
          </cell>
        </row>
        <row r="6493">
          <cell r="H6493" t="str">
            <v>UP REFUSE TAX</v>
          </cell>
          <cell r="I6493" t="str">
            <v>3.6% WA STATE REFUSE TAX</v>
          </cell>
        </row>
        <row r="6494">
          <cell r="H6494" t="str">
            <v>LAKEWOOD CITY UTILITY TAX</v>
          </cell>
          <cell r="I6494" t="str">
            <v>6% CITY UTILITY TAX</v>
          </cell>
        </row>
        <row r="6495">
          <cell r="H6495" t="str">
            <v>LAKEWOOD REFUSE TAX</v>
          </cell>
          <cell r="I6495" t="str">
            <v>3.6% WA STATE REFUSE TAX</v>
          </cell>
        </row>
        <row r="6496">
          <cell r="H6496" t="str">
            <v xml:space="preserve">PIERCE COUNTY REFUSE </v>
          </cell>
          <cell r="I6496" t="str">
            <v>3.6% PIERCE COUNTY REFUSE</v>
          </cell>
        </row>
        <row r="6497">
          <cell r="H6497" t="str">
            <v xml:space="preserve">PIERCE COUNTY REFUSE  </v>
          </cell>
          <cell r="I6497" t="str">
            <v>3.6% PIERCE COUNTY REFUSE</v>
          </cell>
        </row>
        <row r="6498">
          <cell r="H6498" t="str">
            <v>PIERCE COUNTY REFUSE</v>
          </cell>
          <cell r="I6498" t="str">
            <v>3.6% PIERCE COUNTY REFUSE</v>
          </cell>
        </row>
        <row r="6499">
          <cell r="H6499" t="str">
            <v>PIERCE REFUSE TAX</v>
          </cell>
          <cell r="I6499" t="str">
            <v>3.6% WA STATE REFUSE TAX</v>
          </cell>
        </row>
        <row r="6500">
          <cell r="H6500" t="str">
            <v xml:space="preserve">PIERCE COUNTY REFUSE </v>
          </cell>
          <cell r="I6500" t="str">
            <v>3.6% PIERCE COUNTY REFUSE</v>
          </cell>
        </row>
        <row r="6501">
          <cell r="H6501" t="str">
            <v xml:space="preserve">PIERCE COUNTY REFUSE  </v>
          </cell>
          <cell r="I6501" t="str">
            <v>3.6% PIERCE COUNTY REFUSE</v>
          </cell>
        </row>
        <row r="6502">
          <cell r="H6502" t="str">
            <v>PIERCE COUNTY REFUSE</v>
          </cell>
          <cell r="I6502" t="str">
            <v>3.6% PIERCE COUNTY REFUSE</v>
          </cell>
        </row>
        <row r="6503">
          <cell r="H6503" t="str">
            <v>PIERCE COUNTY SALES 7.9%</v>
          </cell>
          <cell r="I6503" t="str">
            <v>7.9% WA STATE SALES TAX</v>
          </cell>
        </row>
        <row r="6504">
          <cell r="H6504" t="str">
            <v>PIERCE COUNTY SALES 8.0%</v>
          </cell>
          <cell r="I6504" t="str">
            <v>8.0% WA STATE SALES TAX</v>
          </cell>
        </row>
        <row r="6505">
          <cell r="H6505" t="str">
            <v>PIERCE COUNTY SALES 9.3%</v>
          </cell>
          <cell r="I6505" t="str">
            <v>9.3% WA STATE SALES TAX</v>
          </cell>
        </row>
        <row r="6506">
          <cell r="H6506" t="str">
            <v>PIERCE REFUSE TAX</v>
          </cell>
          <cell r="I6506" t="str">
            <v>3.6% WA STATE REFUSE TAX</v>
          </cell>
        </row>
        <row r="6507">
          <cell r="H6507" t="str">
            <v>PIERCE STATE SALES TAX</v>
          </cell>
          <cell r="I6507" t="str">
            <v>9.9% WA STATE SALES TAX</v>
          </cell>
        </row>
        <row r="6508">
          <cell r="H6508" t="str">
            <v xml:space="preserve">PIERCE COUNTY REFUSE  </v>
          </cell>
          <cell r="I6508" t="str">
            <v>3.6% PIERCE COUNTY REFUSE</v>
          </cell>
        </row>
        <row r="6509">
          <cell r="H6509" t="str">
            <v>PIERCE COUNTY SALES 9.3%</v>
          </cell>
          <cell r="I6509" t="str">
            <v>9.3% WA STATE SALES TAX</v>
          </cell>
        </row>
        <row r="6510">
          <cell r="H6510" t="str">
            <v>PIERCE REFUSE TAX</v>
          </cell>
          <cell r="I6510" t="str">
            <v>3.6% WA STATE REFUSE TAX</v>
          </cell>
        </row>
        <row r="6511">
          <cell r="H6511" t="str">
            <v>PIERCE STATE SALES TAX</v>
          </cell>
          <cell r="I6511" t="str">
            <v>9.9% WA STATE SALES TAX</v>
          </cell>
        </row>
        <row r="6512">
          <cell r="H6512" t="str">
            <v>FINCHG</v>
          </cell>
          <cell r="I6512" t="str">
            <v>LATE FEE</v>
          </cell>
        </row>
        <row r="6513">
          <cell r="H6513" t="str">
            <v>BD</v>
          </cell>
          <cell r="I6513" t="str">
            <v>BAD DEBT WRITE OFF</v>
          </cell>
        </row>
        <row r="6514">
          <cell r="H6514" t="str">
            <v>BDR</v>
          </cell>
          <cell r="I6514" t="str">
            <v>BAD DEBT RECOVERY</v>
          </cell>
        </row>
        <row r="6515">
          <cell r="H6515" t="str">
            <v>COLLFEE</v>
          </cell>
          <cell r="I6515" t="str">
            <v>COLLECTION AGENCY FEE</v>
          </cell>
        </row>
        <row r="6516">
          <cell r="H6516" t="str">
            <v>FINCHG</v>
          </cell>
          <cell r="I6516" t="str">
            <v>LATE FEE</v>
          </cell>
        </row>
        <row r="6517">
          <cell r="H6517" t="str">
            <v>MM</v>
          </cell>
          <cell r="I6517" t="str">
            <v>ADJUST BALANCE (MM)</v>
          </cell>
        </row>
        <row r="6518">
          <cell r="H6518" t="str">
            <v>MM</v>
          </cell>
          <cell r="I6518" t="str">
            <v>ADJUST BALANCE (MM)</v>
          </cell>
        </row>
        <row r="6519">
          <cell r="H6519" t="str">
            <v>REFUND</v>
          </cell>
          <cell r="I6519" t="str">
            <v>REFUND</v>
          </cell>
        </row>
        <row r="6520">
          <cell r="H6520" t="str">
            <v>ACCESS-COMM</v>
          </cell>
          <cell r="I6520" t="str">
            <v>ACCESS FEE - COMM</v>
          </cell>
        </row>
        <row r="6521">
          <cell r="H6521" t="str">
            <v>DONATIONC</v>
          </cell>
          <cell r="I6521" t="str">
            <v>DONATED SERVICE COMM</v>
          </cell>
        </row>
        <row r="6522">
          <cell r="H6522" t="str">
            <v>DRIVEIN1-COMM</v>
          </cell>
          <cell r="I6522" t="str">
            <v>DRIVE IN 125-250' - COMM</v>
          </cell>
        </row>
        <row r="6523">
          <cell r="H6523" t="str">
            <v>FL001.0Y1W001</v>
          </cell>
          <cell r="I6523" t="str">
            <v>1 YD 1X WK 1</v>
          </cell>
        </row>
        <row r="6524">
          <cell r="H6524" t="str">
            <v>FL001.0Y1W001MF</v>
          </cell>
          <cell r="I6524" t="str">
            <v>1 YD 1X WK MULTI-FAMILY 1</v>
          </cell>
        </row>
        <row r="6525">
          <cell r="H6525" t="str">
            <v>FL001.5Y1W001</v>
          </cell>
          <cell r="I6525" t="str">
            <v>1.5 YD 1X WK 1</v>
          </cell>
        </row>
        <row r="6526">
          <cell r="H6526" t="str">
            <v>FL001.5Y1W001MF</v>
          </cell>
          <cell r="I6526" t="str">
            <v>1.5 YD 1X WK MULTI-FAMILY 1</v>
          </cell>
        </row>
        <row r="6527">
          <cell r="H6527" t="str">
            <v>FL001.5Y2W001</v>
          </cell>
          <cell r="I6527" t="str">
            <v>1.5 YD 2X WK 1</v>
          </cell>
        </row>
        <row r="6528">
          <cell r="H6528" t="str">
            <v>FL001.5Y2W001MF</v>
          </cell>
          <cell r="I6528" t="str">
            <v>1.5 YD 2X WK MULTI-FAMILY 1</v>
          </cell>
        </row>
        <row r="6529">
          <cell r="H6529" t="str">
            <v>FL002.0Y1W001</v>
          </cell>
          <cell r="I6529" t="str">
            <v>2 YD 1X WK 1</v>
          </cell>
        </row>
        <row r="6530">
          <cell r="H6530" t="str">
            <v>FL002.0Y1W001MF</v>
          </cell>
          <cell r="I6530" t="str">
            <v>2 YD 1X WK MULTI-FAMILY 1</v>
          </cell>
        </row>
        <row r="6531">
          <cell r="H6531" t="str">
            <v>FL002.0Y2W001</v>
          </cell>
          <cell r="I6531" t="str">
            <v>2 YD 2X WK 1</v>
          </cell>
        </row>
        <row r="6532">
          <cell r="H6532" t="str">
            <v>FL002.0Y2W001MF</v>
          </cell>
          <cell r="I6532" t="str">
            <v>2 YD 2X WK MULTI-FAMILY 1</v>
          </cell>
        </row>
        <row r="6533">
          <cell r="H6533" t="str">
            <v>FL003.0Y1W001MF</v>
          </cell>
          <cell r="I6533" t="str">
            <v>3 YD 1X WK MULTI-FAMILY 1</v>
          </cell>
        </row>
        <row r="6534">
          <cell r="H6534" t="str">
            <v>FL004.0Y1W001</v>
          </cell>
          <cell r="I6534" t="str">
            <v>4 YD 1X WK 1</v>
          </cell>
        </row>
        <row r="6535">
          <cell r="H6535" t="str">
            <v>FL004.0Y1W001MF</v>
          </cell>
          <cell r="I6535" t="str">
            <v>4 YD 1X WK MULTI-FAMILY 1</v>
          </cell>
        </row>
        <row r="6536">
          <cell r="H6536" t="str">
            <v>FL004.0Y2W001MF</v>
          </cell>
          <cell r="I6536" t="str">
            <v>4 YD 2X WK MULTI-FAMILY 1</v>
          </cell>
        </row>
        <row r="6537">
          <cell r="H6537" t="str">
            <v>FL006.0Y1W001</v>
          </cell>
          <cell r="I6537" t="str">
            <v>6 YD 1X WK 1</v>
          </cell>
        </row>
        <row r="6538">
          <cell r="H6538" t="str">
            <v>FL006.0Y1W001MF</v>
          </cell>
          <cell r="I6538" t="str">
            <v>6 YD 1X WK MULTI-FAMILY 1</v>
          </cell>
        </row>
        <row r="6539">
          <cell r="H6539" t="str">
            <v>FL006.0Y2W001</v>
          </cell>
          <cell r="I6539" t="str">
            <v>6 YD 2X WK 1</v>
          </cell>
        </row>
        <row r="6540">
          <cell r="H6540" t="str">
            <v>GWCOMM</v>
          </cell>
          <cell r="I6540" t="str">
            <v>GREENWASTE SERVICE - COMM</v>
          </cell>
        </row>
        <row r="6541">
          <cell r="H6541" t="str">
            <v>RL032.0G1W002WRECC</v>
          </cell>
          <cell r="I6541" t="str">
            <v>32 GL 1X WK W/RECY COMM 2</v>
          </cell>
        </row>
        <row r="6542">
          <cell r="H6542" t="str">
            <v>RL032.0G1W006WRECC</v>
          </cell>
          <cell r="I6542" t="str">
            <v>32 GL 1X WK W/RECY COMM 6</v>
          </cell>
        </row>
        <row r="6543">
          <cell r="H6543" t="str">
            <v>SL035.0G1W001WRECC</v>
          </cell>
          <cell r="I6543" t="str">
            <v>35 GL 1X WK W/RECY COMM 1</v>
          </cell>
        </row>
        <row r="6544">
          <cell r="H6544" t="str">
            <v>SL065.0G1W001WRECC</v>
          </cell>
          <cell r="I6544" t="str">
            <v>65 GL 1X WK W/RECY COMM 1</v>
          </cell>
        </row>
        <row r="6545">
          <cell r="H6545" t="str">
            <v>SL065.0GEO001WRECC</v>
          </cell>
          <cell r="I6545" t="str">
            <v>65 GL EOW W/RECY COMM 1</v>
          </cell>
        </row>
        <row r="6546">
          <cell r="H6546" t="str">
            <v>SL095.0G1W001WRECC</v>
          </cell>
          <cell r="I6546" t="str">
            <v>95 GL 1X WK W/RECY COMM 1</v>
          </cell>
        </row>
        <row r="6547">
          <cell r="H6547" t="str">
            <v>SL095.0GEO001WRECC</v>
          </cell>
          <cell r="I6547" t="str">
            <v>95 GL EOW W/RECY COMM 1</v>
          </cell>
        </row>
        <row r="6548">
          <cell r="H6548" t="str">
            <v>WI1-COMM</v>
          </cell>
          <cell r="I6548" t="str">
            <v>WALK IN 6-25' - COMM</v>
          </cell>
        </row>
        <row r="6549">
          <cell r="H6549" t="str">
            <v>CLEAN2-COMM</v>
          </cell>
          <cell r="I6549" t="str">
            <v>CLEANING FEE 2 YD - COMM</v>
          </cell>
        </row>
        <row r="6550">
          <cell r="H6550" t="str">
            <v>DEL2TEMP-COMM</v>
          </cell>
          <cell r="I6550" t="str">
            <v xml:space="preserve">DELIVERY FEE 2 YD TEMP - </v>
          </cell>
        </row>
        <row r="6551">
          <cell r="H6551" t="str">
            <v>EXTRA-COMM</v>
          </cell>
          <cell r="I6551" t="str">
            <v>EXTRA CAN, BAG, BOX - COM</v>
          </cell>
        </row>
        <row r="6552">
          <cell r="H6552" t="str">
            <v>EXTRAYDG-COM</v>
          </cell>
          <cell r="I6552" t="str">
            <v>EXTRA YARDAGE - COMM</v>
          </cell>
        </row>
        <row r="6553">
          <cell r="H6553" t="str">
            <v>FL002.0YXX001TEMPC</v>
          </cell>
          <cell r="I6553" t="str">
            <v xml:space="preserve">2 YD TEMP </v>
          </cell>
        </row>
        <row r="6554">
          <cell r="H6554" t="str">
            <v>REINSTATE-COMM</v>
          </cell>
          <cell r="I6554" t="str">
            <v>REINSTATE FEE - COMM</v>
          </cell>
        </row>
        <row r="6555">
          <cell r="H6555" t="str">
            <v>RENT2TEMP-COMM</v>
          </cell>
          <cell r="I6555" t="str">
            <v>RENT 2 YD TEMP - COMM</v>
          </cell>
        </row>
        <row r="6556">
          <cell r="H6556" t="str">
            <v>FL002.0Y1W001BCMGL</v>
          </cell>
          <cell r="I6556" t="str">
            <v>2 YD 1X WK BUS CMGL 1</v>
          </cell>
        </row>
        <row r="6557">
          <cell r="H6557" t="str">
            <v>FL002.0Y1W001BOCC</v>
          </cell>
          <cell r="I6557" t="str">
            <v>2 YD 1X WK BUS OCC 1</v>
          </cell>
        </row>
        <row r="6558">
          <cell r="H6558" t="str">
            <v>FL002.0Y1W001SCMGL</v>
          </cell>
          <cell r="I6558" t="str">
            <v>2 YD 1X WK SCHL CMGL 1</v>
          </cell>
        </row>
        <row r="6559">
          <cell r="H6559" t="str">
            <v>FL002.0Y2W001BCMGL</v>
          </cell>
          <cell r="I6559" t="str">
            <v>2 YD 2X WK BUS CMGL 1</v>
          </cell>
        </row>
        <row r="6560">
          <cell r="H6560" t="str">
            <v>FL002.0Y2W001SCMGL</v>
          </cell>
          <cell r="I6560" t="str">
            <v>2 YD 2X WK SCHL CMGL 1</v>
          </cell>
        </row>
        <row r="6561">
          <cell r="H6561" t="str">
            <v>FL006.0Y2W001SCMGL</v>
          </cell>
          <cell r="I6561" t="str">
            <v>6 YD 2X WK SCHL CMGL 1</v>
          </cell>
        </row>
        <row r="6562">
          <cell r="H6562" t="str">
            <v>MFWBINS</v>
          </cell>
          <cell r="I6562" t="str">
            <v>MULTI-FAMILY REC UNIT W/B</v>
          </cell>
        </row>
        <row r="6563">
          <cell r="H6563" t="str">
            <v>SL096.0G1W001BCMGLOUT</v>
          </cell>
          <cell r="I6563" t="str">
            <v>96 GL WKLY BUS CMGL OUT</v>
          </cell>
        </row>
        <row r="6564">
          <cell r="H6564" t="str">
            <v>SL096.0G1W001SCMGLOUT</v>
          </cell>
          <cell r="I6564" t="str">
            <v>96 GL WKLY SCHL CMGL OUT</v>
          </cell>
        </row>
        <row r="6565">
          <cell r="H6565" t="str">
            <v>SL096.0GEO001BCMGLOUT</v>
          </cell>
          <cell r="I6565" t="str">
            <v>96 GL EOW BUS CMGL OUT</v>
          </cell>
        </row>
        <row r="6566">
          <cell r="H6566" t="str">
            <v>SL096.0GEO001SCMGLOUT</v>
          </cell>
          <cell r="I6566" t="str">
            <v>96 GL EOW SCHL CMGL OUT</v>
          </cell>
        </row>
        <row r="6567">
          <cell r="H6567" t="str">
            <v>CC-KOL</v>
          </cell>
          <cell r="I6567" t="str">
            <v>ONLINE PAYMENT-CC</v>
          </cell>
        </row>
        <row r="6568">
          <cell r="H6568" t="str">
            <v>CCREF-KOL</v>
          </cell>
          <cell r="I6568" t="str">
            <v>CREDIT CARD REFUND</v>
          </cell>
        </row>
        <row r="6569">
          <cell r="H6569" t="str">
            <v>PAY</v>
          </cell>
          <cell r="I6569" t="str">
            <v>PAYMENT THANK YOU</v>
          </cell>
        </row>
        <row r="6570">
          <cell r="H6570" t="str">
            <v>PAY-CFREE</v>
          </cell>
          <cell r="I6570" t="str">
            <v>CHECKFREE PAYMENT</v>
          </cell>
        </row>
        <row r="6571">
          <cell r="H6571" t="str">
            <v>PAY-KOL</v>
          </cell>
          <cell r="I6571" t="str">
            <v>PAYMENT-THANK YOU - OL</v>
          </cell>
        </row>
        <row r="6572">
          <cell r="H6572" t="str">
            <v>PAY-ORCC</v>
          </cell>
          <cell r="I6572" t="str">
            <v>ORCC PAYMENT</v>
          </cell>
        </row>
        <row r="6573">
          <cell r="H6573" t="str">
            <v>PAY-RPPS</v>
          </cell>
          <cell r="I6573" t="str">
            <v>RPPS MASTERCARD PAYMENT</v>
          </cell>
        </row>
        <row r="6574">
          <cell r="H6574" t="str">
            <v>PAYICT</v>
          </cell>
          <cell r="I6574" t="str">
            <v>I/C PAYMENT THANK YOU</v>
          </cell>
        </row>
        <row r="6575">
          <cell r="H6575" t="str">
            <v>PAYMET</v>
          </cell>
          <cell r="I6575" t="str">
            <v>METAVANTE ONLINE PAYMENT</v>
          </cell>
        </row>
        <row r="6576">
          <cell r="H6576" t="str">
            <v>PAYUSBL</v>
          </cell>
          <cell r="I6576" t="str">
            <v>PAYMENT THANK YOU</v>
          </cell>
        </row>
        <row r="6577">
          <cell r="H6577" t="str">
            <v>DRIVEIN1-RES</v>
          </cell>
          <cell r="I6577" t="str">
            <v>DRIVE IN 1 - RES</v>
          </cell>
        </row>
        <row r="6578">
          <cell r="H6578" t="str">
            <v>DRIVEIN2-RES</v>
          </cell>
          <cell r="I6578" t="str">
            <v>DRIVE IN 2 - RES</v>
          </cell>
        </row>
        <row r="6579">
          <cell r="H6579" t="str">
            <v>EMPLOYEER</v>
          </cell>
          <cell r="I6579" t="str">
            <v>EMPLOYEE SERVICE RES</v>
          </cell>
        </row>
        <row r="6580">
          <cell r="H6580" t="str">
            <v>GW3RES</v>
          </cell>
          <cell r="I6580" t="str">
            <v>GREENWASTE SVC 3 - RES</v>
          </cell>
        </row>
        <row r="6581">
          <cell r="H6581" t="str">
            <v>GWRES</v>
          </cell>
          <cell r="I6581" t="str">
            <v>GREENWASTE SERVICE - RES</v>
          </cell>
        </row>
        <row r="6582">
          <cell r="H6582" t="str">
            <v>RECBINONLYR</v>
          </cell>
          <cell r="I6582" t="str">
            <v>RECYCLE SERVICE ONLY</v>
          </cell>
        </row>
        <row r="6583">
          <cell r="H6583" t="str">
            <v>RL010.0G1W001WREC</v>
          </cell>
          <cell r="I6583" t="str">
            <v>10 GL 1X WK RECYCLE 1</v>
          </cell>
        </row>
        <row r="6584">
          <cell r="H6584" t="str">
            <v>RL020.0G1W001</v>
          </cell>
          <cell r="I6584" t="str">
            <v>20 GL 1X WK 1</v>
          </cell>
        </row>
        <row r="6585">
          <cell r="H6585" t="str">
            <v>RL032.0G1W001WREC</v>
          </cell>
          <cell r="I6585" t="str">
            <v>32 GL 1X WK W/RECY 1</v>
          </cell>
        </row>
        <row r="6586">
          <cell r="H6586" t="str">
            <v>RL032.0G1W002WREC</v>
          </cell>
          <cell r="I6586" t="str">
            <v>32 GL 1X WK W/RECY 2</v>
          </cell>
        </row>
        <row r="6587">
          <cell r="H6587" t="str">
            <v>RL032.0G1W003WREC</v>
          </cell>
          <cell r="I6587" t="str">
            <v>32 GL 1X WK W/RECY 3</v>
          </cell>
        </row>
        <row r="6588">
          <cell r="H6588" t="str">
            <v>SL035.0G1M001WREC</v>
          </cell>
          <cell r="I6588" t="str">
            <v>35 GL 1X MO W/RECY 1</v>
          </cell>
        </row>
        <row r="6589">
          <cell r="H6589" t="str">
            <v>SL035.0G1W001WREC</v>
          </cell>
          <cell r="I6589" t="str">
            <v>35 GL 1X WK W/ RECY 1</v>
          </cell>
        </row>
        <row r="6590">
          <cell r="H6590" t="str">
            <v>SL035.0G1W002WREC</v>
          </cell>
          <cell r="I6590" t="str">
            <v>35 GL 1X WK W/RECY 2</v>
          </cell>
        </row>
        <row r="6591">
          <cell r="H6591" t="str">
            <v>SL035.0GEO001WREC</v>
          </cell>
          <cell r="I6591" t="str">
            <v>35 GL EOW W/RECY 1</v>
          </cell>
        </row>
        <row r="6592">
          <cell r="H6592" t="str">
            <v>SL065.0G1M001WREC</v>
          </cell>
          <cell r="I6592" t="str">
            <v>65 GL 1X MO W/RECY 1</v>
          </cell>
        </row>
        <row r="6593">
          <cell r="H6593" t="str">
            <v>SL065.0G1W001WREC</v>
          </cell>
          <cell r="I6593" t="str">
            <v>65 GL 1X WK W/RECY 1</v>
          </cell>
        </row>
        <row r="6594">
          <cell r="H6594" t="str">
            <v>SL065.0GEO001WREC</v>
          </cell>
          <cell r="I6594" t="str">
            <v>65 GL EOW W/RECY 1</v>
          </cell>
        </row>
        <row r="6595">
          <cell r="H6595" t="str">
            <v>SL095.0G1W001WREC</v>
          </cell>
          <cell r="I6595" t="str">
            <v>95 GL 1X WK W/RECY 1</v>
          </cell>
        </row>
        <row r="6596">
          <cell r="H6596" t="str">
            <v>SL095.0GEO001WREC</v>
          </cell>
          <cell r="I6596" t="str">
            <v>95 GL EOW W/RECY 1</v>
          </cell>
        </row>
        <row r="6597">
          <cell r="H6597" t="str">
            <v>WI1-RES</v>
          </cell>
          <cell r="I6597" t="str">
            <v>WALK IN 6-25' - RES</v>
          </cell>
        </row>
        <row r="6598">
          <cell r="H6598" t="str">
            <v>ADJ-RES</v>
          </cell>
          <cell r="I6598" t="str">
            <v>ADJUSTMENT SERVICE - RES</v>
          </cell>
        </row>
        <row r="6599">
          <cell r="H6599" t="str">
            <v>BULKY-RES</v>
          </cell>
          <cell r="I6599" t="str">
            <v>BULKY ITEM PICK UP - RES</v>
          </cell>
        </row>
        <row r="6600">
          <cell r="H6600" t="str">
            <v>EXTRA-RES</v>
          </cell>
          <cell r="I6600" t="str">
            <v>EXTRA CAN, BAG, BOX - RES</v>
          </cell>
        </row>
        <row r="6601">
          <cell r="H6601" t="str">
            <v>EXTRAGWC-RES</v>
          </cell>
          <cell r="I6601" t="str">
            <v>EXTRA GREENWASTE FEE - RE</v>
          </cell>
        </row>
        <row r="6602">
          <cell r="H6602" t="str">
            <v>OW-RES</v>
          </cell>
          <cell r="I6602" t="str">
            <v>OVERFILL / OVERWEIGHT CAN</v>
          </cell>
        </row>
        <row r="6603">
          <cell r="H6603" t="str">
            <v>RECPROGADJ-RES</v>
          </cell>
          <cell r="I6603" t="str">
            <v>RECYCLING PROGRAM ADJUSTM</v>
          </cell>
        </row>
        <row r="6604">
          <cell r="H6604" t="str">
            <v>RECVALRES</v>
          </cell>
          <cell r="I6604" t="str">
            <v>RECYCLABLES VALUE - RES</v>
          </cell>
        </row>
        <row r="6605">
          <cell r="H6605" t="str">
            <v>REINSTATE-RES</v>
          </cell>
          <cell r="I6605" t="str">
            <v>REINSTATE FEE - RES</v>
          </cell>
        </row>
        <row r="6606">
          <cell r="H6606" t="str">
            <v>RTRNCART65-RES</v>
          </cell>
          <cell r="I6606" t="str">
            <v>RETURN TRIP 65 GL - RES</v>
          </cell>
        </row>
        <row r="6607">
          <cell r="H6607" t="str">
            <v>SL065.0G1W001WREC</v>
          </cell>
          <cell r="I6607" t="str">
            <v>65 GL 1X WK W/RECY 1</v>
          </cell>
        </row>
        <row r="6608">
          <cell r="H6608" t="str">
            <v>SP32-RES</v>
          </cell>
          <cell r="I6608" t="str">
            <v>SPECIAL PICK UP 32 GL - RES</v>
          </cell>
        </row>
        <row r="6609">
          <cell r="H6609" t="str">
            <v>SP65-RES</v>
          </cell>
          <cell r="I6609" t="str">
            <v>SPECIAL PICK UP 65 GL - R</v>
          </cell>
        </row>
        <row r="6610">
          <cell r="H6610" t="str">
            <v>SP95-RES</v>
          </cell>
          <cell r="I6610" t="str">
            <v>SPECIAL PICK UP 95 GL - R</v>
          </cell>
        </row>
        <row r="6611">
          <cell r="H6611" t="str">
            <v>LIDRO</v>
          </cell>
          <cell r="I6611" t="str">
            <v>LID CHARGE - RO</v>
          </cell>
        </row>
        <row r="6612">
          <cell r="H6612" t="str">
            <v>RENT20MO-RO</v>
          </cell>
          <cell r="I6612" t="str">
            <v>RENTAL FEE 20 YD MONTHLY</v>
          </cell>
        </row>
        <row r="6613">
          <cell r="H6613" t="str">
            <v>RENT20TEMP-RO</v>
          </cell>
          <cell r="I6613" t="str">
            <v>RENTAL FEE 20 YD TEMP - R</v>
          </cell>
        </row>
        <row r="6614">
          <cell r="H6614" t="str">
            <v>DEL20TEMP-RO</v>
          </cell>
          <cell r="I6614" t="str">
            <v>DELIVERY FEE 20 YD TEMP -</v>
          </cell>
        </row>
        <row r="6615">
          <cell r="H6615" t="str">
            <v>DISCO-CP</v>
          </cell>
          <cell r="I6615" t="str">
            <v xml:space="preserve">COMPACTOR DISCONNECT FEE </v>
          </cell>
        </row>
        <row r="6616">
          <cell r="H6616" t="str">
            <v>DISP-RO</v>
          </cell>
          <cell r="I6616" t="str">
            <v>DISPOSAL CHARGE - RO</v>
          </cell>
        </row>
        <row r="6617">
          <cell r="H6617" t="str">
            <v>DISPCMGL-RO</v>
          </cell>
          <cell r="I6617" t="str">
            <v xml:space="preserve">DISPOSAL FEE COMMINGLE - </v>
          </cell>
        </row>
        <row r="6618">
          <cell r="H6618" t="str">
            <v>DISPGLASS-RO</v>
          </cell>
          <cell r="I6618" t="str">
            <v>DISPOSAL FEE GLASS - RO</v>
          </cell>
        </row>
        <row r="6619">
          <cell r="H6619" t="str">
            <v>DISPOCC-RO</v>
          </cell>
          <cell r="I6619" t="str">
            <v xml:space="preserve">DISPOSAL FEE CARDBOARD - </v>
          </cell>
        </row>
        <row r="6620">
          <cell r="H6620" t="str">
            <v>DISPTRANS-RO</v>
          </cell>
          <cell r="I6620" t="str">
            <v>DISPOSAL FEE TRANSFER HAU</v>
          </cell>
        </row>
        <row r="6621">
          <cell r="H6621" t="str">
            <v>FINAL20TEMP-RO</v>
          </cell>
          <cell r="I6621" t="str">
            <v>FINAL PULL 20 YD TEMP - R</v>
          </cell>
        </row>
        <row r="6622">
          <cell r="H6622" t="str">
            <v>HAUL20-RO</v>
          </cell>
          <cell r="I6622" t="str">
            <v>HAUL 20 YD - RO</v>
          </cell>
        </row>
        <row r="6623">
          <cell r="H6623" t="str">
            <v>HAUL20TEMP-RO</v>
          </cell>
          <cell r="I6623" t="str">
            <v>HAUL 20 YD TEMP - RO</v>
          </cell>
        </row>
        <row r="6624">
          <cell r="H6624" t="str">
            <v>HAUL25-CP</v>
          </cell>
          <cell r="I6624" t="str">
            <v>COMPACTOR HAUL 25 YD - RO</v>
          </cell>
        </row>
        <row r="6625">
          <cell r="H6625" t="str">
            <v>HAUL30-RO</v>
          </cell>
          <cell r="I6625" t="str">
            <v>HAUL 30 YD - RO</v>
          </cell>
        </row>
        <row r="6626">
          <cell r="H6626" t="str">
            <v>MILE-RO</v>
          </cell>
          <cell r="I6626" t="str">
            <v>MILEAGE FEE - RO</v>
          </cell>
        </row>
        <row r="6627">
          <cell r="H6627" t="str">
            <v>RENT20TEMP-RO</v>
          </cell>
          <cell r="I6627" t="str">
            <v>RENTAL FEE 20 YD TEMP - R</v>
          </cell>
        </row>
        <row r="6628">
          <cell r="H6628" t="str">
            <v>COMMODITY SURCHARGE</v>
          </cell>
          <cell r="I6628" t="str">
            <v>COMMODITY SURCHARGE</v>
          </cell>
        </row>
        <row r="6629">
          <cell r="H6629" t="str">
            <v>STEILACOOM CITY  TAX</v>
          </cell>
          <cell r="I6629" t="str">
            <v>6% CITY UTILITY TAX</v>
          </cell>
        </row>
        <row r="6630">
          <cell r="H6630" t="str">
            <v>STEILACOOM REFUSE TAX</v>
          </cell>
          <cell r="I6630" t="str">
            <v>3.6% WA STATE REFUSE TAX</v>
          </cell>
        </row>
        <row r="6631">
          <cell r="H6631" t="str">
            <v>STEILACOOM ST SALES TAX</v>
          </cell>
          <cell r="I6631" t="str">
            <v>9.9% WA STATE SALES TAX</v>
          </cell>
        </row>
        <row r="6632">
          <cell r="H6632" t="str">
            <v>STEILACOOM CITY  TAX</v>
          </cell>
          <cell r="I6632" t="str">
            <v>6% CITY UTILITY TAX</v>
          </cell>
        </row>
        <row r="6633">
          <cell r="H6633" t="str">
            <v>STEILACOOM REFUSE TAX</v>
          </cell>
          <cell r="I6633" t="str">
            <v>3.6% WA STATE REFUSE TAX</v>
          </cell>
        </row>
        <row r="6634">
          <cell r="H6634" t="str">
            <v>STEILACOOM CITY  TAX</v>
          </cell>
          <cell r="I6634" t="str">
            <v>6% CITY UTILITY TAX</v>
          </cell>
        </row>
        <row r="6635">
          <cell r="H6635" t="str">
            <v>STEILACOOM REFUSE TAX</v>
          </cell>
          <cell r="I6635" t="str">
            <v>3.6% WA STATE REFUSE TAX</v>
          </cell>
        </row>
        <row r="6636">
          <cell r="H6636" t="str">
            <v>STEILACOOM ST SALES TAX</v>
          </cell>
          <cell r="I6636" t="str">
            <v>9.9% WA STATE SALES TAX</v>
          </cell>
        </row>
        <row r="6637">
          <cell r="H6637" t="str">
            <v>STEILACOOM CITY  TAX</v>
          </cell>
          <cell r="I6637" t="str">
            <v>6% CITY UTILITY TAX</v>
          </cell>
        </row>
        <row r="6638">
          <cell r="H6638" t="str">
            <v>STEILACOOM REFUSE TAX</v>
          </cell>
          <cell r="I6638" t="str">
            <v>3.6% WA STATE REFUSE TAX</v>
          </cell>
        </row>
        <row r="6639">
          <cell r="H6639" t="str">
            <v>STEILACOOM ST SALES TAX</v>
          </cell>
          <cell r="I6639" t="str">
            <v>9.9% WA STATE SALES TAX</v>
          </cell>
        </row>
        <row r="6640">
          <cell r="H6640" t="str">
            <v>MM</v>
          </cell>
          <cell r="I6640" t="str">
            <v>ADJUST BALANCE (MM)</v>
          </cell>
        </row>
        <row r="6641">
          <cell r="H6641" t="str">
            <v>FINCHG</v>
          </cell>
          <cell r="I6641" t="str">
            <v>LATE FEE</v>
          </cell>
        </row>
        <row r="6642">
          <cell r="H6642" t="str">
            <v>MM</v>
          </cell>
          <cell r="I6642" t="str">
            <v>ADJUST BALANCE (MM)</v>
          </cell>
        </row>
        <row r="6643">
          <cell r="H6643" t="str">
            <v>REFUND</v>
          </cell>
          <cell r="I6643" t="str">
            <v>REFUND</v>
          </cell>
        </row>
        <row r="6644">
          <cell r="H6644" t="str">
            <v>FINCHG</v>
          </cell>
          <cell r="I6644" t="str">
            <v>LATE FEE</v>
          </cell>
        </row>
        <row r="6645">
          <cell r="H6645" t="str">
            <v>BD</v>
          </cell>
          <cell r="I6645" t="str">
            <v>BAD DEBT WRITE OFF</v>
          </cell>
        </row>
        <row r="6646">
          <cell r="H6646" t="str">
            <v>ACCESS-COMM</v>
          </cell>
          <cell r="I6646" t="str">
            <v>ACCESS FEE - COMM</v>
          </cell>
        </row>
        <row r="6647">
          <cell r="H6647" t="str">
            <v>FL001.5Y1W001</v>
          </cell>
          <cell r="I6647" t="str">
            <v>1.5 YD 1X WK 1</v>
          </cell>
        </row>
        <row r="6648">
          <cell r="H6648" t="str">
            <v>FL002.0Y1W001</v>
          </cell>
          <cell r="I6648" t="str">
            <v>2 YD 1X WK 1</v>
          </cell>
        </row>
        <row r="6649">
          <cell r="H6649" t="str">
            <v>FL002.0Y2W001</v>
          </cell>
          <cell r="I6649" t="str">
            <v>2 YD 2X WK 1</v>
          </cell>
        </row>
        <row r="6650">
          <cell r="H6650" t="str">
            <v>FL002.0Y4W001</v>
          </cell>
          <cell r="I6650" t="str">
            <v>2 YD 4X WK 1</v>
          </cell>
        </row>
        <row r="6651">
          <cell r="H6651" t="str">
            <v>FL003.0Y2W001</v>
          </cell>
          <cell r="I6651" t="str">
            <v>3 YD 2X WK 1</v>
          </cell>
        </row>
        <row r="6652">
          <cell r="H6652" t="str">
            <v>FL006.0Y1W001</v>
          </cell>
          <cell r="I6652" t="str">
            <v>6 YD 1X WK 1</v>
          </cell>
        </row>
        <row r="6653">
          <cell r="H6653" t="str">
            <v>FL006.0Y2W001</v>
          </cell>
          <cell r="I6653" t="str">
            <v>6 YD 2X WK 1</v>
          </cell>
        </row>
        <row r="6654">
          <cell r="H6654" t="str">
            <v>SL065.0G1W001NORECC</v>
          </cell>
          <cell r="I6654" t="str">
            <v xml:space="preserve">65 GL 1X WK NO RECY COMM </v>
          </cell>
        </row>
        <row r="6655">
          <cell r="H6655" t="str">
            <v>SL065.0G1W001WRECC</v>
          </cell>
          <cell r="I6655" t="str">
            <v>65 GL 1X WK W/RECY COMM 1</v>
          </cell>
        </row>
        <row r="6656">
          <cell r="H6656" t="str">
            <v>SL065.0GEO001WRECC</v>
          </cell>
          <cell r="I6656" t="str">
            <v>65 GL EOW W/RECY COMM 1</v>
          </cell>
        </row>
        <row r="6657">
          <cell r="H6657" t="str">
            <v>EXTRA-COMM</v>
          </cell>
          <cell r="I6657" t="str">
            <v>EXTRA CAN, BAG, BOX - COM</v>
          </cell>
        </row>
        <row r="6658">
          <cell r="H6658" t="str">
            <v>EXTRAYDG-COM</v>
          </cell>
          <cell r="I6658" t="str">
            <v>EXTRA YARDAGE - COMM</v>
          </cell>
        </row>
        <row r="6659">
          <cell r="H6659" t="str">
            <v>FL002.0Y1W001BCMGL</v>
          </cell>
          <cell r="I6659" t="str">
            <v>2 YD 1X WK BUS CMGL 1</v>
          </cell>
        </row>
        <row r="6660">
          <cell r="H6660" t="str">
            <v>FL002.0Y1W001BOCC</v>
          </cell>
          <cell r="I6660" t="str">
            <v>2 YD 1X WK BUS OCC 1</v>
          </cell>
        </row>
        <row r="6661">
          <cell r="H6661" t="str">
            <v>FL005.0Y1W001BOCC</v>
          </cell>
          <cell r="I6661" t="str">
            <v>5 YD 1X WK BUS OCC 1</v>
          </cell>
        </row>
        <row r="6662">
          <cell r="H6662" t="str">
            <v>FL005.0Y3W001BOCC</v>
          </cell>
          <cell r="I6662" t="str">
            <v>5 YD 3X WK BUS OCC 1</v>
          </cell>
        </row>
        <row r="6663">
          <cell r="H6663" t="str">
            <v>MFWBINS</v>
          </cell>
          <cell r="I6663" t="str">
            <v>MULTI-FAMILY REC UNIT W/B</v>
          </cell>
        </row>
        <row r="6664">
          <cell r="H6664" t="str">
            <v>SL096.0GEO001BCMGLOUT</v>
          </cell>
          <cell r="I6664" t="str">
            <v>96 GL EOW BUS CMGL OUT</v>
          </cell>
        </row>
        <row r="6665">
          <cell r="H6665" t="str">
            <v>CC-KOL</v>
          </cell>
          <cell r="I6665" t="str">
            <v>ONLINE PAYMENT-CC</v>
          </cell>
        </row>
        <row r="6666">
          <cell r="H6666" t="str">
            <v>CCREF-KOL</v>
          </cell>
          <cell r="I6666" t="str">
            <v>CREDIT CARD REFUND</v>
          </cell>
        </row>
        <row r="6667">
          <cell r="H6667" t="str">
            <v>PAY</v>
          </cell>
          <cell r="I6667" t="str">
            <v>PAYMENT THANK YOU</v>
          </cell>
        </row>
        <row r="6668">
          <cell r="H6668" t="str">
            <v>PAY-CFREE</v>
          </cell>
          <cell r="I6668" t="str">
            <v>CHECKFREE PAYMENT</v>
          </cell>
        </row>
        <row r="6669">
          <cell r="H6669" t="str">
            <v>PAY-KOL</v>
          </cell>
          <cell r="I6669" t="str">
            <v>PAYMENT-THANK YOU - OL</v>
          </cell>
        </row>
        <row r="6670">
          <cell r="H6670" t="str">
            <v>PAY-ORCC</v>
          </cell>
          <cell r="I6670" t="str">
            <v>ORCC PAYMENT</v>
          </cell>
        </row>
        <row r="6671">
          <cell r="H6671" t="str">
            <v>PAY-RPPS</v>
          </cell>
          <cell r="I6671" t="str">
            <v>RPPS MASTERCARD PAYMENT</v>
          </cell>
        </row>
        <row r="6672">
          <cell r="H6672" t="str">
            <v>PAYMET</v>
          </cell>
          <cell r="I6672" t="str">
            <v>METAVANTE ONLINE PAYMENT</v>
          </cell>
        </row>
        <row r="6673">
          <cell r="H6673" t="str">
            <v>PAYUSBL</v>
          </cell>
          <cell r="I6673" t="str">
            <v>PAYMENT THANK YOU</v>
          </cell>
        </row>
        <row r="6674">
          <cell r="H6674" t="str">
            <v>CC-KOL</v>
          </cell>
          <cell r="I6674" t="str">
            <v>ONLINE PAYMENT-CC</v>
          </cell>
        </row>
        <row r="6675">
          <cell r="H6675" t="str">
            <v>CCREF-KOL</v>
          </cell>
          <cell r="I6675" t="str">
            <v>CREDIT CARD REFUND</v>
          </cell>
        </row>
        <row r="6676">
          <cell r="H6676" t="str">
            <v>PAY</v>
          </cell>
          <cell r="I6676" t="str">
            <v>PAYMENT THANK YOU</v>
          </cell>
        </row>
        <row r="6677">
          <cell r="H6677" t="str">
            <v>PAY-CFREE</v>
          </cell>
          <cell r="I6677" t="str">
            <v>CHECKFREE PAYMENT</v>
          </cell>
        </row>
        <row r="6678">
          <cell r="H6678" t="str">
            <v>PAY-KOL</v>
          </cell>
          <cell r="I6678" t="str">
            <v>PAYMENT-THANK YOU - OL</v>
          </cell>
        </row>
        <row r="6679">
          <cell r="H6679" t="str">
            <v>PAYMET</v>
          </cell>
          <cell r="I6679" t="str">
            <v>METAVANTE ONLINE PAYMENT</v>
          </cell>
        </row>
        <row r="6680">
          <cell r="H6680" t="str">
            <v>PAYUSBL</v>
          </cell>
          <cell r="I6680" t="str">
            <v>PAYMENT THANK YOU</v>
          </cell>
        </row>
        <row r="6681">
          <cell r="H6681" t="str">
            <v>CC-KOL</v>
          </cell>
          <cell r="I6681" t="str">
            <v>ONLINE PAYMENT-CC</v>
          </cell>
        </row>
        <row r="6682">
          <cell r="H6682" t="str">
            <v>PAY-CFREE</v>
          </cell>
          <cell r="I6682" t="str">
            <v>CHECKFREE PAYMENT</v>
          </cell>
        </row>
        <row r="6683">
          <cell r="H6683" t="str">
            <v>PAY-KOL</v>
          </cell>
          <cell r="I6683" t="str">
            <v>PAYMENT-THANK YOU - OL</v>
          </cell>
        </row>
        <row r="6684">
          <cell r="H6684" t="str">
            <v>PAY-OAK</v>
          </cell>
          <cell r="I6684" t="str">
            <v>OAKLEAF PAYMENT</v>
          </cell>
        </row>
        <row r="6685">
          <cell r="H6685" t="str">
            <v>PAY-RPPS</v>
          </cell>
          <cell r="I6685" t="str">
            <v>RPPS MASTERCARD PAYMENT</v>
          </cell>
        </row>
        <row r="6686">
          <cell r="H6686" t="str">
            <v>PAYMET</v>
          </cell>
          <cell r="I6686" t="str">
            <v>METAVANTE ONLINE PAYMENT</v>
          </cell>
        </row>
        <row r="6687">
          <cell r="H6687" t="str">
            <v>PAYUSBL</v>
          </cell>
          <cell r="I6687" t="str">
            <v>PAYMENT THANK YOU</v>
          </cell>
        </row>
        <row r="6688">
          <cell r="H6688" t="str">
            <v>GWRES</v>
          </cell>
          <cell r="I6688" t="str">
            <v>GREENWASTE SERVICE - RES</v>
          </cell>
        </row>
        <row r="6689">
          <cell r="H6689" t="str">
            <v>SL035.0GEO001WREC</v>
          </cell>
          <cell r="I6689" t="str">
            <v>35 GL EOW W/RECY 1</v>
          </cell>
        </row>
        <row r="6690">
          <cell r="H6690" t="str">
            <v>SL065.0G1W001WREC</v>
          </cell>
          <cell r="I6690" t="str">
            <v>65 GL 1X WK W/RECY 1</v>
          </cell>
        </row>
        <row r="6691">
          <cell r="H6691" t="str">
            <v>SL065.0GEO001WREC</v>
          </cell>
          <cell r="I6691" t="str">
            <v>65 GL EOW W/RECY 1</v>
          </cell>
        </row>
        <row r="6692">
          <cell r="H6692" t="str">
            <v>SL095.0G1W001WREC</v>
          </cell>
          <cell r="I6692" t="str">
            <v>95 GL 1X WK W/RECY 1</v>
          </cell>
        </row>
        <row r="6693">
          <cell r="H6693" t="str">
            <v>OW-RES</v>
          </cell>
          <cell r="I6693" t="str">
            <v>OVERFILL / OVERWEIGHT CAN</v>
          </cell>
        </row>
        <row r="6694">
          <cell r="H6694" t="str">
            <v>REINSTATE-RES</v>
          </cell>
          <cell r="I6694" t="str">
            <v>REINSTATE FEE - RES</v>
          </cell>
        </row>
        <row r="6695">
          <cell r="H6695" t="str">
            <v>SL065.0GEO001WREC</v>
          </cell>
          <cell r="I6695" t="str">
            <v>65 GL EOW W/RECY 1</v>
          </cell>
        </row>
        <row r="6696">
          <cell r="H6696" t="str">
            <v>SPCL95-RES</v>
          </cell>
          <cell r="I6696" t="str">
            <v>SPECIAL 95 GL - RES</v>
          </cell>
        </row>
        <row r="6697">
          <cell r="H6697" t="str">
            <v>GWRES</v>
          </cell>
          <cell r="I6697" t="str">
            <v>GREENWASTE SERVICE - RES</v>
          </cell>
        </row>
        <row r="6698">
          <cell r="H6698" t="str">
            <v>RECBINONLYR</v>
          </cell>
          <cell r="I6698" t="str">
            <v>RECYCLE SERVICE ONLY</v>
          </cell>
        </row>
        <row r="6699">
          <cell r="H6699" t="str">
            <v>SL035.0GEO001WREC</v>
          </cell>
          <cell r="I6699" t="str">
            <v>35 GL EOW W/RECY 1</v>
          </cell>
        </row>
        <row r="6700">
          <cell r="H6700" t="str">
            <v>SL065.0G1W001WREC</v>
          </cell>
          <cell r="I6700" t="str">
            <v>65 GL 1X WK W/RECY 1</v>
          </cell>
        </row>
        <row r="6701">
          <cell r="H6701" t="str">
            <v>SL065.0GEO001NOREC</v>
          </cell>
          <cell r="I6701" t="str">
            <v>65 GL EOW NO RECY 1</v>
          </cell>
        </row>
        <row r="6702">
          <cell r="H6702" t="str">
            <v>SL065.0GEO001WREC</v>
          </cell>
          <cell r="I6702" t="str">
            <v>65 GL EOW W/RECY 1</v>
          </cell>
        </row>
        <row r="6703">
          <cell r="H6703" t="str">
            <v>SL095.0G1W001WREC</v>
          </cell>
          <cell r="I6703" t="str">
            <v>95 GL 1X WK W/RECY 1</v>
          </cell>
        </row>
        <row r="6704">
          <cell r="H6704" t="str">
            <v>EXTRA-RES</v>
          </cell>
          <cell r="I6704" t="str">
            <v>EXTRA CAN, BAG, BOX - RES</v>
          </cell>
        </row>
        <row r="6705">
          <cell r="H6705" t="str">
            <v>OW-RES</v>
          </cell>
          <cell r="I6705" t="str">
            <v>OVERFILL / OVERWEIGHT CAN</v>
          </cell>
        </row>
        <row r="6706">
          <cell r="H6706" t="str">
            <v>REINSTATE-RES</v>
          </cell>
          <cell r="I6706" t="str">
            <v>REINSTATE FEE - RES</v>
          </cell>
        </row>
        <row r="6707">
          <cell r="H6707" t="str">
            <v>SPCL95-RES</v>
          </cell>
          <cell r="I6707" t="str">
            <v>SPECIAL 95 GL - RES</v>
          </cell>
        </row>
        <row r="6708">
          <cell r="H6708" t="str">
            <v>RENT20MO-RO</v>
          </cell>
          <cell r="I6708" t="str">
            <v>RENTAL FEE 20 YD MONTHLY</v>
          </cell>
        </row>
        <row r="6709">
          <cell r="H6709" t="str">
            <v>COMMODITY SURCHARGE</v>
          </cell>
          <cell r="I6709" t="str">
            <v>COMMODITY SURCHARGE</v>
          </cell>
        </row>
        <row r="6710">
          <cell r="H6710" t="str">
            <v>UP CITY UTILITY TAX</v>
          </cell>
          <cell r="I6710" t="str">
            <v>6% CITY UTILITY TAX</v>
          </cell>
        </row>
        <row r="6711">
          <cell r="H6711" t="str">
            <v>UP CITY ONLY</v>
          </cell>
          <cell r="I6711" t="str">
            <v>6% CITY UTILITY TAX</v>
          </cell>
        </row>
        <row r="6712">
          <cell r="H6712" t="str">
            <v>UP CITY UTILITY TAX</v>
          </cell>
          <cell r="I6712" t="str">
            <v>6% CITY UTILITY TAX</v>
          </cell>
        </row>
        <row r="6713">
          <cell r="H6713" t="str">
            <v>UP REFUSE TAX</v>
          </cell>
          <cell r="I6713" t="str">
            <v>3.6% WA STATE REFUSE TAX</v>
          </cell>
        </row>
        <row r="6714">
          <cell r="H6714" t="str">
            <v>UP CITY UTILITY TAX</v>
          </cell>
          <cell r="I6714" t="str">
            <v>6% CITY UTILITY TAX</v>
          </cell>
        </row>
        <row r="6715">
          <cell r="H6715" t="str">
            <v>UP REFUSE TAX</v>
          </cell>
          <cell r="I6715" t="str">
            <v>3.6% WA STATE REFUSE TAX</v>
          </cell>
        </row>
        <row r="6716">
          <cell r="H6716" t="str">
            <v>UP CITY UTILITY TAX</v>
          </cell>
          <cell r="I6716" t="str">
            <v>6% CITY UTILITY TAX</v>
          </cell>
        </row>
        <row r="6717">
          <cell r="H6717" t="str">
            <v>UP REFUSE TAX</v>
          </cell>
          <cell r="I6717" t="str">
            <v>3.6% WA STATE REFUSE TAX</v>
          </cell>
        </row>
        <row r="6718">
          <cell r="H6718" t="str">
            <v>UP CITY UTILITY TAX</v>
          </cell>
          <cell r="I6718" t="str">
            <v>6% CITY UTILITY TAX</v>
          </cell>
        </row>
        <row r="6719">
          <cell r="H6719" t="str">
            <v>UP REFUSE TAX</v>
          </cell>
          <cell r="I6719" t="str">
            <v>3.6% WA STATE REFUSE TAX</v>
          </cell>
        </row>
        <row r="6720">
          <cell r="H6720" t="str">
            <v>UP STATE SALES TAX</v>
          </cell>
          <cell r="I6720" t="str">
            <v>9.9% WA STATE SALES TAX</v>
          </cell>
        </row>
        <row r="6721">
          <cell r="H6721" t="str">
            <v>DISPFEDMSW-COMM</v>
          </cell>
          <cell r="I6721" t="str">
            <v>DISPOSAL FEDERAL MSW - CO</v>
          </cell>
        </row>
        <row r="6722">
          <cell r="H6722" t="str">
            <v>FL001.5Y1W001</v>
          </cell>
          <cell r="I6722" t="str">
            <v>1.5 YD 1X WK 1</v>
          </cell>
        </row>
        <row r="6723">
          <cell r="H6723" t="str">
            <v>CONTRACTEDC</v>
          </cell>
          <cell r="I6723" t="str">
            <v>CONTRACTED SERVICE - COMM</v>
          </cell>
        </row>
        <row r="6724">
          <cell r="H6724" t="str">
            <v>DISPTONER-COMM</v>
          </cell>
          <cell r="I6724" t="str">
            <v>DISPOSAL TONER - COMM</v>
          </cell>
        </row>
        <row r="6725">
          <cell r="H6725" t="str">
            <v>PAYEFT</v>
          </cell>
          <cell r="I6725" t="str">
            <v>EFT PAYMENT</v>
          </cell>
        </row>
        <row r="6726">
          <cell r="H6726" t="str">
            <v>ADJ-RO</v>
          </cell>
          <cell r="I6726" t="str">
            <v>ADJUSTMENT SERVICE - RO</v>
          </cell>
        </row>
        <row r="6727">
          <cell r="H6727" t="str">
            <v>ADJTAX-RO</v>
          </cell>
          <cell r="I6727" t="str">
            <v>ADJUSTMENT TAX - RO</v>
          </cell>
        </row>
        <row r="6728">
          <cell r="H6728" t="str">
            <v>DEL20-RO</v>
          </cell>
          <cell r="I6728" t="str">
            <v>DELIVERY FEE 20 YD - RO</v>
          </cell>
        </row>
        <row r="6729">
          <cell r="H6729" t="str">
            <v>DEL30-RO</v>
          </cell>
          <cell r="I6729" t="str">
            <v>DELIVERY FEE 30 YD - RO</v>
          </cell>
        </row>
        <row r="6730">
          <cell r="H6730" t="str">
            <v>DISPBATT-RO</v>
          </cell>
          <cell r="I6730" t="str">
            <v>DISPOSAL BATTERIES - RO</v>
          </cell>
        </row>
        <row r="6731">
          <cell r="H6731" t="str">
            <v>DISPBOOKS-RO</v>
          </cell>
          <cell r="I6731" t="str">
            <v>DISPOSAL BOOKS - RO</v>
          </cell>
        </row>
        <row r="6732">
          <cell r="H6732" t="str">
            <v>DISPCMGL-RO</v>
          </cell>
          <cell r="I6732" t="str">
            <v xml:space="preserve">DISPOSAL FEE COMMINGLE - </v>
          </cell>
        </row>
        <row r="6733">
          <cell r="H6733" t="str">
            <v>DISPEWASTE-RO</v>
          </cell>
          <cell r="I6733" t="str">
            <v>DISPOSAL FEE EWASTE - RO</v>
          </cell>
        </row>
        <row r="6734">
          <cell r="H6734" t="str">
            <v>DISPFEDMSW-RO</v>
          </cell>
          <cell r="I6734" t="str">
            <v xml:space="preserve">DISPOSAL FEE FEDERAL MSW </v>
          </cell>
        </row>
        <row r="6735">
          <cell r="H6735" t="str">
            <v>DISPFOOD-RO</v>
          </cell>
          <cell r="I6735" t="str">
            <v>DISPOSAL FEE FOOD WASTE -</v>
          </cell>
        </row>
        <row r="6736">
          <cell r="H6736" t="str">
            <v>DISPGLASS-RO</v>
          </cell>
          <cell r="I6736" t="str">
            <v>DISPOSAL FEE GLASS - RO</v>
          </cell>
        </row>
        <row r="6737">
          <cell r="H6737" t="str">
            <v>DISPGW-RO</v>
          </cell>
          <cell r="I6737" t="str">
            <v>DISPOSAL FEE GREENWASTE -</v>
          </cell>
        </row>
        <row r="6738">
          <cell r="H6738" t="str">
            <v>DISPMETAL-RO</v>
          </cell>
          <cell r="I6738" t="str">
            <v>DISPOSAL FEE METAL - RO</v>
          </cell>
        </row>
        <row r="6739">
          <cell r="H6739" t="str">
            <v>DISPOCC-RO</v>
          </cell>
          <cell r="I6739" t="str">
            <v xml:space="preserve">DISPOSAL FEE CARDBOARD - </v>
          </cell>
        </row>
        <row r="6740">
          <cell r="H6740" t="str">
            <v>DISPTEX-RO</v>
          </cell>
          <cell r="I6740" t="str">
            <v>DISPOSAL TEXTILE - RO</v>
          </cell>
        </row>
        <row r="6741">
          <cell r="H6741" t="str">
            <v>DISPWD-RO</v>
          </cell>
          <cell r="I6741" t="str">
            <v>DISPOSAL FEE WOOD - RO</v>
          </cell>
        </row>
        <row r="6742">
          <cell r="H6742" t="str">
            <v>HAUL50-RO</v>
          </cell>
          <cell r="I6742" t="str">
            <v>HAUL 50 YD - RO</v>
          </cell>
        </row>
        <row r="6743">
          <cell r="H6743" t="str">
            <v>FINCHG</v>
          </cell>
          <cell r="I6743" t="str">
            <v>LATE FEE</v>
          </cell>
        </row>
        <row r="6744">
          <cell r="H6744" t="str">
            <v>FINCHG</v>
          </cell>
          <cell r="I6744" t="str">
            <v>LATE FEE</v>
          </cell>
        </row>
        <row r="6745">
          <cell r="H6745" t="str">
            <v>MM</v>
          </cell>
          <cell r="I6745" t="str">
            <v>ADJUST BALANCE (MM)</v>
          </cell>
        </row>
        <row r="6746">
          <cell r="H6746" t="str">
            <v>MM</v>
          </cell>
          <cell r="I6746" t="str">
            <v>ADJUST BALANCE (MM)</v>
          </cell>
        </row>
        <row r="6747">
          <cell r="H6747" t="str">
            <v>REFUND</v>
          </cell>
          <cell r="I6747" t="str">
            <v>REFUND</v>
          </cell>
        </row>
        <row r="6748">
          <cell r="H6748" t="str">
            <v>BD</v>
          </cell>
          <cell r="I6748" t="str">
            <v>BAD DEBT WRITE OFF</v>
          </cell>
        </row>
        <row r="6749">
          <cell r="H6749" t="str">
            <v>BDR</v>
          </cell>
          <cell r="I6749" t="str">
            <v>BAD DEBT RECOVERY</v>
          </cell>
        </row>
        <row r="6750">
          <cell r="H6750" t="str">
            <v>COLLFEE</v>
          </cell>
          <cell r="I6750" t="str">
            <v>COLLECTION AGENCY FEE</v>
          </cell>
        </row>
        <row r="6751">
          <cell r="H6751" t="str">
            <v>MM</v>
          </cell>
          <cell r="I6751" t="str">
            <v>ADJUST BALANCE (MM)</v>
          </cell>
        </row>
        <row r="6752">
          <cell r="H6752" t="str">
            <v>REFUND</v>
          </cell>
          <cell r="I6752" t="str">
            <v>REFUND</v>
          </cell>
        </row>
        <row r="6753">
          <cell r="H6753" t="str">
            <v>RETCK</v>
          </cell>
          <cell r="I6753" t="str">
            <v>RETURNED CHECK</v>
          </cell>
        </row>
        <row r="6754">
          <cell r="H6754" t="str">
            <v>RETCKC</v>
          </cell>
          <cell r="I6754" t="str">
            <v>RETURN CHECK CHARGE</v>
          </cell>
        </row>
        <row r="6755">
          <cell r="H6755" t="str">
            <v>FINCHG</v>
          </cell>
          <cell r="I6755" t="str">
            <v>LATE FEE</v>
          </cell>
        </row>
        <row r="6756">
          <cell r="H6756" t="str">
            <v>MM</v>
          </cell>
          <cell r="I6756" t="str">
            <v>ADJUST BALANCE (MM)</v>
          </cell>
        </row>
        <row r="6757">
          <cell r="H6757" t="str">
            <v>REFUND</v>
          </cell>
          <cell r="I6757" t="str">
            <v>REFUND</v>
          </cell>
        </row>
        <row r="6758">
          <cell r="H6758" t="str">
            <v>RETCK-LB</v>
          </cell>
          <cell r="I6758" t="str">
            <v>RETURNED CHECK - LOCKBOX</v>
          </cell>
        </row>
        <row r="6759">
          <cell r="H6759" t="str">
            <v>ACCESS-COMM</v>
          </cell>
          <cell r="I6759" t="str">
            <v>ACCESS FEE - COMM</v>
          </cell>
        </row>
        <row r="6760">
          <cell r="H6760" t="str">
            <v>DONATIONC</v>
          </cell>
          <cell r="I6760" t="str">
            <v>DONATED SERVICE COMM</v>
          </cell>
        </row>
        <row r="6761">
          <cell r="H6761" t="str">
            <v>DRIVEIN1-COMM</v>
          </cell>
          <cell r="I6761" t="str">
            <v>DRIVE IN 125-250' - COMM</v>
          </cell>
        </row>
        <row r="6762">
          <cell r="H6762" t="str">
            <v>FL001.0Y1W001</v>
          </cell>
          <cell r="I6762" t="str">
            <v>1 YD 1X WK 1</v>
          </cell>
        </row>
        <row r="6763">
          <cell r="H6763" t="str">
            <v>FL001.5Y1W001</v>
          </cell>
          <cell r="I6763" t="str">
            <v>1.5 YD 1X WK 1</v>
          </cell>
        </row>
        <row r="6764">
          <cell r="H6764" t="str">
            <v>FL001.5Y2W001</v>
          </cell>
          <cell r="I6764" t="str">
            <v>1.5 YD 2X WK 1</v>
          </cell>
        </row>
        <row r="6765">
          <cell r="H6765" t="str">
            <v>FL002.0Y1W001</v>
          </cell>
          <cell r="I6765" t="str">
            <v>2 YD 1X WK 1</v>
          </cell>
        </row>
        <row r="6766">
          <cell r="H6766" t="str">
            <v>FL002.0Y2W001</v>
          </cell>
          <cell r="I6766" t="str">
            <v>2 YD 2X WK 1</v>
          </cell>
        </row>
        <row r="6767">
          <cell r="H6767" t="str">
            <v>FL002.0Y3W001</v>
          </cell>
          <cell r="I6767" t="str">
            <v>2 YD 3X WK 1</v>
          </cell>
        </row>
        <row r="6768">
          <cell r="H6768" t="str">
            <v>FL003.0Y1W001</v>
          </cell>
          <cell r="I6768" t="str">
            <v>3 YD 1X WK 1</v>
          </cell>
        </row>
        <row r="6769">
          <cell r="H6769" t="str">
            <v>FL003.0Y2W001</v>
          </cell>
          <cell r="I6769" t="str">
            <v>3 YD 2X WK 1</v>
          </cell>
        </row>
        <row r="6770">
          <cell r="H6770" t="str">
            <v>FL003.0Y3W001</v>
          </cell>
          <cell r="I6770" t="str">
            <v>3 YD 3X WK 1</v>
          </cell>
        </row>
        <row r="6771">
          <cell r="H6771" t="str">
            <v>FL004.0Y1W001</v>
          </cell>
          <cell r="I6771" t="str">
            <v>4 YD 1X WK 1</v>
          </cell>
        </row>
        <row r="6772">
          <cell r="H6772" t="str">
            <v>FL004.0Y2W001</v>
          </cell>
          <cell r="I6772" t="str">
            <v>4 YD 2X WK 1</v>
          </cell>
        </row>
        <row r="6773">
          <cell r="H6773" t="str">
            <v>FL004.0Y3W001</v>
          </cell>
          <cell r="I6773" t="str">
            <v>4 YD 3X WK 1</v>
          </cell>
        </row>
        <row r="6774">
          <cell r="H6774" t="str">
            <v>FL006.0Y1W001</v>
          </cell>
          <cell r="I6774" t="str">
            <v>6 YD 1X WK 1</v>
          </cell>
        </row>
        <row r="6775">
          <cell r="H6775" t="str">
            <v>FL006.0Y2W001</v>
          </cell>
          <cell r="I6775" t="str">
            <v>6 YD 2X WK 1</v>
          </cell>
        </row>
        <row r="6776">
          <cell r="H6776" t="str">
            <v>FL006.0Y4W001</v>
          </cell>
          <cell r="I6776" t="str">
            <v>6 YD 4X WK 1</v>
          </cell>
        </row>
        <row r="6777">
          <cell r="H6777" t="str">
            <v>ROLL-COMM</v>
          </cell>
          <cell r="I6777" t="str">
            <v>ROLL OUT CHARGE - COMM</v>
          </cell>
        </row>
        <row r="6778">
          <cell r="H6778" t="str">
            <v>SL065.0G1W001NORECC</v>
          </cell>
          <cell r="I6778" t="str">
            <v xml:space="preserve">65 GL 1X WK NO RECY COMM </v>
          </cell>
        </row>
        <row r="6779">
          <cell r="H6779" t="str">
            <v>SL065.0G1W001WRECC</v>
          </cell>
          <cell r="I6779" t="str">
            <v>65 GL 1X WK W/RECY COMM 1</v>
          </cell>
        </row>
        <row r="6780">
          <cell r="H6780" t="str">
            <v>SL065.0GEO001WRECC</v>
          </cell>
          <cell r="I6780" t="str">
            <v>65 GL EOW W/RECY COMM 1</v>
          </cell>
        </row>
        <row r="6781">
          <cell r="H6781" t="str">
            <v>SL095.0G1W001WRECC</v>
          </cell>
          <cell r="I6781" t="str">
            <v>95 GL 1X WK W/RECY COMM 1</v>
          </cell>
        </row>
        <row r="6782">
          <cell r="H6782" t="str">
            <v>CLEAN2-COMM</v>
          </cell>
          <cell r="I6782" t="str">
            <v>CLEANING FEE 2 YD - COMM</v>
          </cell>
        </row>
        <row r="6783">
          <cell r="H6783" t="str">
            <v>DEL2TEMP-COMM</v>
          </cell>
          <cell r="I6783" t="str">
            <v xml:space="preserve">DELIVERY FEE 2 YD TEMP - </v>
          </cell>
        </row>
        <row r="6784">
          <cell r="H6784" t="str">
            <v>EXTRA-COMM</v>
          </cell>
          <cell r="I6784" t="str">
            <v>EXTRA CAN, BAG, BOX - COM</v>
          </cell>
        </row>
        <row r="6785">
          <cell r="H6785" t="str">
            <v>FL002.0YXX001TEMPC</v>
          </cell>
          <cell r="I6785" t="str">
            <v xml:space="preserve">2 YD TEMP </v>
          </cell>
        </row>
        <row r="6786">
          <cell r="H6786" t="str">
            <v>RENT2TEMP-COMM</v>
          </cell>
          <cell r="I6786" t="str">
            <v>RENT 2 YD TEMP - COMM</v>
          </cell>
        </row>
        <row r="6787">
          <cell r="H6787" t="str">
            <v>ACCESSCREC-COMM</v>
          </cell>
          <cell r="I6787" t="str">
            <v>ACCESS FEE COMM RECY - CO</v>
          </cell>
        </row>
        <row r="6788">
          <cell r="H6788" t="str">
            <v>FL002.0Y1W001BCMGL</v>
          </cell>
          <cell r="I6788" t="str">
            <v>2 YD 1X WK BUS CMGL 1</v>
          </cell>
        </row>
        <row r="6789">
          <cell r="H6789" t="str">
            <v>FL002.0Y1W001BOCC</v>
          </cell>
          <cell r="I6789" t="str">
            <v>2 YD 1X WK BUS OCC 1</v>
          </cell>
        </row>
        <row r="6790">
          <cell r="H6790" t="str">
            <v>FL004.0Y2W001CMGL</v>
          </cell>
          <cell r="I6790" t="str">
            <v>4 YD 2X WK BUS CMGL 1</v>
          </cell>
        </row>
        <row r="6791">
          <cell r="H6791" t="str">
            <v>FL005.0Y1W001BOCC</v>
          </cell>
          <cell r="I6791" t="str">
            <v>5 YD 1X WK BUS OCC 1</v>
          </cell>
        </row>
        <row r="6792">
          <cell r="H6792" t="str">
            <v>FL005.0Y2W001BOCC</v>
          </cell>
          <cell r="I6792" t="str">
            <v>5 YD 2X WK BUS OCC 1</v>
          </cell>
        </row>
        <row r="6793">
          <cell r="H6793" t="str">
            <v>FL005.0Y3W001BOCC</v>
          </cell>
          <cell r="I6793" t="str">
            <v>5 YD 3X WK BUS OCC 1</v>
          </cell>
        </row>
        <row r="6794">
          <cell r="H6794" t="str">
            <v>FL006.0Y1W001BCMGL</v>
          </cell>
          <cell r="I6794" t="str">
            <v>6 YD 1X WK BUS COMINGLE 1</v>
          </cell>
        </row>
        <row r="6795">
          <cell r="H6795" t="str">
            <v>FL006.0Y2W001BCMGL</v>
          </cell>
          <cell r="I6795" t="str">
            <v>6 YD 2X WK BUS COMINGLE 1</v>
          </cell>
        </row>
        <row r="6796">
          <cell r="H6796" t="str">
            <v>FL006.0Y4W001OCC</v>
          </cell>
          <cell r="I6796" t="str">
            <v>6 YD 4X WK OCC 1</v>
          </cell>
        </row>
        <row r="6797">
          <cell r="H6797" t="str">
            <v>MFWBINS</v>
          </cell>
          <cell r="I6797" t="str">
            <v>MULTI-FAMILY REC UNIT W/B</v>
          </cell>
        </row>
        <row r="6798">
          <cell r="H6798" t="str">
            <v>SL096.0G1W001BCMGLOUT</v>
          </cell>
          <cell r="I6798" t="str">
            <v>96 GL WKLY BUS CMGL OUT</v>
          </cell>
        </row>
        <row r="6799">
          <cell r="H6799" t="str">
            <v>SL096.0GEO001BCMGLOUT</v>
          </cell>
          <cell r="I6799" t="str">
            <v>96 GL EOW BUS CMGL OUT</v>
          </cell>
        </row>
        <row r="6800">
          <cell r="H6800" t="str">
            <v>CC-KOL</v>
          </cell>
          <cell r="I6800" t="str">
            <v>ONLINE PAYMENT-CC</v>
          </cell>
        </row>
        <row r="6801">
          <cell r="H6801" t="str">
            <v>CCREF-KOL</v>
          </cell>
          <cell r="I6801" t="str">
            <v>CREDIT CARD REFUND</v>
          </cell>
        </row>
        <row r="6802">
          <cell r="H6802" t="str">
            <v>PAY</v>
          </cell>
          <cell r="I6802" t="str">
            <v>PAYMENT THANK YOU</v>
          </cell>
        </row>
        <row r="6803">
          <cell r="H6803" t="str">
            <v>PAY-CFREE</v>
          </cell>
          <cell r="I6803" t="str">
            <v>CHECKFREE PAYMENT</v>
          </cell>
        </row>
        <row r="6804">
          <cell r="H6804" t="str">
            <v>PAY-KOL</v>
          </cell>
          <cell r="I6804" t="str">
            <v>PAYMENT-THANK YOU - OL</v>
          </cell>
        </row>
        <row r="6805">
          <cell r="H6805" t="str">
            <v>PAY-ORCC</v>
          </cell>
          <cell r="I6805" t="str">
            <v>ORCC PAYMENT</v>
          </cell>
        </row>
        <row r="6806">
          <cell r="H6806" t="str">
            <v>PAY-RPPS</v>
          </cell>
          <cell r="I6806" t="str">
            <v>RPPS MASTERCARD PAYMENT</v>
          </cell>
        </row>
        <row r="6807">
          <cell r="H6807" t="str">
            <v>PAYMET</v>
          </cell>
          <cell r="I6807" t="str">
            <v>METAVANTE ONLINE PAYMENT</v>
          </cell>
        </row>
        <row r="6808">
          <cell r="H6808" t="str">
            <v>PAYUSBL</v>
          </cell>
          <cell r="I6808" t="str">
            <v>PAYMENT THANK YOU</v>
          </cell>
        </row>
        <row r="6809">
          <cell r="H6809" t="str">
            <v>RET-KOL</v>
          </cell>
          <cell r="I6809" t="str">
            <v>ONLINE PAYMENT RETURN</v>
          </cell>
        </row>
        <row r="6810">
          <cell r="H6810" t="str">
            <v>CC-KOL</v>
          </cell>
          <cell r="I6810" t="str">
            <v>ONLINE PAYMENT-CC</v>
          </cell>
        </row>
        <row r="6811">
          <cell r="H6811" t="str">
            <v>CCREF-KOL</v>
          </cell>
          <cell r="I6811" t="str">
            <v>CREDIT CARD REFUND</v>
          </cell>
        </row>
        <row r="6812">
          <cell r="H6812" t="str">
            <v>PAY</v>
          </cell>
          <cell r="I6812" t="str">
            <v>PAYMENT THANK YOU</v>
          </cell>
        </row>
        <row r="6813">
          <cell r="H6813" t="str">
            <v>PAY-CFREE</v>
          </cell>
          <cell r="I6813" t="str">
            <v>CHECKFREE PAYMENT</v>
          </cell>
        </row>
        <row r="6814">
          <cell r="H6814" t="str">
            <v>PAY-KOL</v>
          </cell>
          <cell r="I6814" t="str">
            <v>PAYMENT-THANK YOU - OL</v>
          </cell>
        </row>
        <row r="6815">
          <cell r="H6815" t="str">
            <v>PAY-ORCC</v>
          </cell>
          <cell r="I6815" t="str">
            <v>ORCC PAYMENT</v>
          </cell>
        </row>
        <row r="6816">
          <cell r="H6816" t="str">
            <v>PAY-RPPS</v>
          </cell>
          <cell r="I6816" t="str">
            <v>RPPS MASTERCARD PAYMENT</v>
          </cell>
        </row>
        <row r="6817">
          <cell r="H6817" t="str">
            <v>PAYMET</v>
          </cell>
          <cell r="I6817" t="str">
            <v>METAVANTE ONLINE PAYMENT</v>
          </cell>
        </row>
        <row r="6818">
          <cell r="H6818" t="str">
            <v>PAYUSBL</v>
          </cell>
          <cell r="I6818" t="str">
            <v>PAYMENT THANK YOU</v>
          </cell>
        </row>
        <row r="6819">
          <cell r="H6819" t="str">
            <v>RET-KOL</v>
          </cell>
          <cell r="I6819" t="str">
            <v>ONLINE PAYMENT RETURN</v>
          </cell>
        </row>
        <row r="6820">
          <cell r="H6820" t="str">
            <v>CC-KOL</v>
          </cell>
          <cell r="I6820" t="str">
            <v>ONLINE PAYMENT-CC</v>
          </cell>
        </row>
        <row r="6821">
          <cell r="H6821" t="str">
            <v>PAY</v>
          </cell>
          <cell r="I6821" t="str">
            <v>PAYMENT THANK YOU</v>
          </cell>
        </row>
        <row r="6822">
          <cell r="H6822" t="str">
            <v>PAY-CFREE</v>
          </cell>
          <cell r="I6822" t="str">
            <v>CHECKFREE PAYMENT</v>
          </cell>
        </row>
        <row r="6823">
          <cell r="H6823" t="str">
            <v>PAY-KOL</v>
          </cell>
          <cell r="I6823" t="str">
            <v>PAYMENT-THANK YOU - OL</v>
          </cell>
        </row>
        <row r="6824">
          <cell r="H6824" t="str">
            <v>PAY-NATL</v>
          </cell>
          <cell r="I6824" t="str">
            <v>PAYMENT THANK YOU</v>
          </cell>
        </row>
        <row r="6825">
          <cell r="H6825" t="str">
            <v>PAY-OAK</v>
          </cell>
          <cell r="I6825" t="str">
            <v>OAKLEAF PAYMENT</v>
          </cell>
        </row>
        <row r="6826">
          <cell r="H6826" t="str">
            <v>PAY-ORCC</v>
          </cell>
          <cell r="I6826" t="str">
            <v>ORCC PAYMENT</v>
          </cell>
        </row>
        <row r="6827">
          <cell r="H6827" t="str">
            <v>PAY-RPPS</v>
          </cell>
          <cell r="I6827" t="str">
            <v>RPPS MASTERCARD PAYMENT</v>
          </cell>
        </row>
        <row r="6828">
          <cell r="H6828" t="str">
            <v>PAYMET</v>
          </cell>
          <cell r="I6828" t="str">
            <v>METAVANTE ONLINE PAYMENT</v>
          </cell>
        </row>
        <row r="6829">
          <cell r="H6829" t="str">
            <v>PAYUSBL</v>
          </cell>
          <cell r="I6829" t="str">
            <v>PAYMENT THANK YOU</v>
          </cell>
        </row>
        <row r="6830">
          <cell r="H6830" t="str">
            <v>GWRES</v>
          </cell>
          <cell r="I6830" t="str">
            <v>GREENWASTE SERVICE - RES</v>
          </cell>
        </row>
        <row r="6831">
          <cell r="H6831" t="str">
            <v>GWSPCL-RES</v>
          </cell>
          <cell r="I6831" t="str">
            <v>GREENWASTE SEN/DIS - RES</v>
          </cell>
        </row>
        <row r="6832">
          <cell r="H6832" t="str">
            <v>RECBINONLYR</v>
          </cell>
          <cell r="I6832" t="str">
            <v>RECYCLE SERVICE ONLY</v>
          </cell>
        </row>
        <row r="6833">
          <cell r="H6833" t="str">
            <v>RECPROGADJ-RES</v>
          </cell>
          <cell r="I6833" t="str">
            <v>RECYCLING PROGRAM ADJUSTM</v>
          </cell>
        </row>
        <row r="6834">
          <cell r="H6834" t="str">
            <v>RECVALRES</v>
          </cell>
          <cell r="I6834" t="str">
            <v>RECYCLABLES VALUE - RES</v>
          </cell>
        </row>
        <row r="6835">
          <cell r="H6835" t="str">
            <v>S45G1W1</v>
          </cell>
          <cell r="I6835" t="str">
            <v>45 GL 1X WK 1</v>
          </cell>
        </row>
        <row r="6836">
          <cell r="H6836" t="str">
            <v>S45G1W2</v>
          </cell>
          <cell r="I6836" t="str">
            <v>45 GL 1X WK 2</v>
          </cell>
        </row>
        <row r="6837">
          <cell r="H6837" t="str">
            <v>S45G1W3</v>
          </cell>
          <cell r="I6837" t="str">
            <v>45 GL 1X WK 3</v>
          </cell>
        </row>
        <row r="6838">
          <cell r="H6838" t="str">
            <v>S45GEO1</v>
          </cell>
          <cell r="I6838" t="str">
            <v>45 GL EOW 1</v>
          </cell>
        </row>
        <row r="6839">
          <cell r="H6839" t="str">
            <v>SL045.0G1W001REC</v>
          </cell>
          <cell r="I6839" t="str">
            <v>45 GL 1X WK RECYCLE 1</v>
          </cell>
        </row>
        <row r="6840">
          <cell r="H6840" t="str">
            <v>SL065.0G1W001WREC</v>
          </cell>
          <cell r="I6840" t="str">
            <v>65 GL 1X WK W/RECY 1</v>
          </cell>
        </row>
        <row r="6841">
          <cell r="H6841" t="str">
            <v>SL095.0G1W001WREC</v>
          </cell>
          <cell r="I6841" t="str">
            <v>95 GL 1X WK W/RECY 1</v>
          </cell>
        </row>
        <row r="6842">
          <cell r="H6842" t="str">
            <v>WI1-RES</v>
          </cell>
          <cell r="I6842" t="str">
            <v>WALK IN 6-25' - RES</v>
          </cell>
        </row>
        <row r="6843">
          <cell r="H6843" t="str">
            <v>BULKY-RES</v>
          </cell>
          <cell r="I6843" t="str">
            <v>BULKY ITEM PICK UP - RES</v>
          </cell>
        </row>
        <row r="6844">
          <cell r="H6844" t="str">
            <v>EXTRA-RES</v>
          </cell>
          <cell r="I6844" t="str">
            <v>EXTRA CAN, BAG, BOX - RES</v>
          </cell>
        </row>
        <row r="6845">
          <cell r="H6845" t="str">
            <v>EXTRAGWC-RES</v>
          </cell>
          <cell r="I6845" t="str">
            <v>EXTRA GREENWASTE FEE - RE</v>
          </cell>
        </row>
        <row r="6846">
          <cell r="H6846" t="str">
            <v>GWRES</v>
          </cell>
          <cell r="I6846" t="str">
            <v>GREENWASTE SERVICE - RES</v>
          </cell>
        </row>
        <row r="6847">
          <cell r="H6847" t="str">
            <v>OW-RES</v>
          </cell>
          <cell r="I6847" t="str">
            <v>OVERFILL / OVERWEIGHT CAN</v>
          </cell>
        </row>
        <row r="6848">
          <cell r="H6848" t="str">
            <v>REINSTATE-RES</v>
          </cell>
          <cell r="I6848" t="str">
            <v>REINSTATE FEE - RES</v>
          </cell>
        </row>
        <row r="6849">
          <cell r="H6849" t="str">
            <v>RTRNCART45-RES</v>
          </cell>
          <cell r="I6849" t="str">
            <v>RETURN TRIP 45 GL - RES</v>
          </cell>
        </row>
        <row r="6850">
          <cell r="H6850" t="str">
            <v>S45G1W1</v>
          </cell>
          <cell r="I6850" t="str">
            <v>45 GL 1X WK 1</v>
          </cell>
        </row>
        <row r="6851">
          <cell r="H6851" t="str">
            <v>SPECIAL-RES</v>
          </cell>
          <cell r="I6851" t="str">
            <v>SPECIAL SERVICE - RES</v>
          </cell>
        </row>
        <row r="6852">
          <cell r="H6852" t="str">
            <v>TIME-RES</v>
          </cell>
          <cell r="I6852" t="str">
            <v>TIME FEE 1 - RES</v>
          </cell>
        </row>
        <row r="6853">
          <cell r="H6853" t="str">
            <v>GWRES</v>
          </cell>
          <cell r="I6853" t="str">
            <v>GREENWASTE SERVICE - RES</v>
          </cell>
        </row>
        <row r="6854">
          <cell r="H6854" t="str">
            <v>S45G1W1</v>
          </cell>
          <cell r="I6854" t="str">
            <v>45 GL 1X WK 1</v>
          </cell>
        </row>
        <row r="6855">
          <cell r="H6855" t="str">
            <v>S45GEO1</v>
          </cell>
          <cell r="I6855" t="str">
            <v>45 GL EOW 1</v>
          </cell>
        </row>
        <row r="6856">
          <cell r="H6856" t="str">
            <v>SL045.0G1W001REC</v>
          </cell>
          <cell r="I6856" t="str">
            <v>45 GL 1X WK RECYCLE 1</v>
          </cell>
        </row>
        <row r="6857">
          <cell r="H6857" t="str">
            <v>SL065.0G1W001WREC</v>
          </cell>
          <cell r="I6857" t="str">
            <v>65 GL 1X WK W/RECY 1</v>
          </cell>
        </row>
        <row r="6858">
          <cell r="H6858" t="str">
            <v>SL095.0G1W001WREC</v>
          </cell>
          <cell r="I6858" t="str">
            <v>95 GL 1X WK W/RECY 1</v>
          </cell>
        </row>
        <row r="6859">
          <cell r="H6859" t="str">
            <v>BULKY-RES</v>
          </cell>
          <cell r="I6859" t="str">
            <v>BULKY ITEM PICK UP - RES</v>
          </cell>
        </row>
        <row r="6860">
          <cell r="H6860" t="str">
            <v>EXTRA-RES</v>
          </cell>
          <cell r="I6860" t="str">
            <v>EXTRA CAN, BAG, BOX - RES</v>
          </cell>
        </row>
        <row r="6861">
          <cell r="H6861" t="str">
            <v>GWRES</v>
          </cell>
          <cell r="I6861" t="str">
            <v>GREENWASTE SERVICE - RES</v>
          </cell>
        </row>
        <row r="6862">
          <cell r="H6862" t="str">
            <v>OW-RES</v>
          </cell>
          <cell r="I6862" t="str">
            <v>OVERFILL / OVERWEIGHT CAN</v>
          </cell>
        </row>
        <row r="6863">
          <cell r="H6863" t="str">
            <v>REINSTATE-RES</v>
          </cell>
          <cell r="I6863" t="str">
            <v>REINSTATE FEE - RES</v>
          </cell>
        </row>
        <row r="6864">
          <cell r="H6864" t="str">
            <v>S45G1W1</v>
          </cell>
          <cell r="I6864" t="str">
            <v>45 GL 1X WK 1</v>
          </cell>
        </row>
        <row r="6865">
          <cell r="H6865" t="str">
            <v>S45G1W2</v>
          </cell>
          <cell r="I6865" t="str">
            <v>45 GL 1X WK 2</v>
          </cell>
        </row>
        <row r="6866">
          <cell r="H6866" t="str">
            <v>TIME-RES</v>
          </cell>
          <cell r="I6866" t="str">
            <v>TIME FEE 1 - RES</v>
          </cell>
        </row>
        <row r="6867">
          <cell r="H6867" t="str">
            <v>OW-RES</v>
          </cell>
          <cell r="I6867" t="str">
            <v>OVERFILL / OVERWEIGHT CAN</v>
          </cell>
        </row>
        <row r="6868">
          <cell r="H6868" t="str">
            <v>LIDRO</v>
          </cell>
          <cell r="I6868" t="str">
            <v>LID CHARGE - RO</v>
          </cell>
        </row>
        <row r="6869">
          <cell r="H6869" t="str">
            <v>RENT20MO-RO</v>
          </cell>
          <cell r="I6869" t="str">
            <v>RENTAL FEE 20 YD MONTHLY</v>
          </cell>
        </row>
        <row r="6870">
          <cell r="H6870" t="str">
            <v>RENT30MO-RO</v>
          </cell>
          <cell r="I6870" t="str">
            <v>RENTAL FEE 30 YD MONTHLY</v>
          </cell>
        </row>
        <row r="6871">
          <cell r="H6871" t="str">
            <v>RENT40MO-RO</v>
          </cell>
          <cell r="I6871" t="str">
            <v>RENTAL FEE 40 YD MONTHLY</v>
          </cell>
        </row>
        <row r="6872">
          <cell r="H6872" t="str">
            <v>CLEAN25-RO</v>
          </cell>
          <cell r="I6872" t="str">
            <v>CLEANING FEE 25 YD - RO</v>
          </cell>
        </row>
        <row r="6873">
          <cell r="H6873" t="str">
            <v>DEL20TEMP-RO</v>
          </cell>
          <cell r="I6873" t="str">
            <v>DELIVERY FEE 20 YD TEMP -</v>
          </cell>
        </row>
        <row r="6874">
          <cell r="H6874" t="str">
            <v>DISCO-CP</v>
          </cell>
          <cell r="I6874" t="str">
            <v xml:space="preserve">COMPACTOR DISCONNECT FEE </v>
          </cell>
        </row>
        <row r="6875">
          <cell r="H6875" t="str">
            <v>DISP-RO</v>
          </cell>
          <cell r="I6875" t="str">
            <v>DISPOSAL CHARGE - RO</v>
          </cell>
        </row>
        <row r="6876">
          <cell r="H6876" t="str">
            <v>DISPTRANS-RO</v>
          </cell>
          <cell r="I6876" t="str">
            <v>DISPOSAL FEE TRANSFER HAU</v>
          </cell>
        </row>
        <row r="6877">
          <cell r="H6877" t="str">
            <v>FINAL20TEMP-RO</v>
          </cell>
          <cell r="I6877" t="str">
            <v>FINAL PULL 20 YD TEMP - R</v>
          </cell>
        </row>
        <row r="6878">
          <cell r="H6878" t="str">
            <v>HAUL20-RO</v>
          </cell>
          <cell r="I6878" t="str">
            <v>HAUL 20 YD - RO</v>
          </cell>
        </row>
        <row r="6879">
          <cell r="H6879" t="str">
            <v>HAUL25-CP</v>
          </cell>
          <cell r="I6879" t="str">
            <v>COMPACTOR HAUL 25 YD - RO</v>
          </cell>
        </row>
        <row r="6880">
          <cell r="H6880" t="str">
            <v>HAUL30-RO</v>
          </cell>
          <cell r="I6880" t="str">
            <v>HAUL 30 YD - RO</v>
          </cell>
        </row>
        <row r="6881">
          <cell r="H6881" t="str">
            <v>HAUL40-CP</v>
          </cell>
          <cell r="I6881" t="str">
            <v>COMPACTOR HAUL 40 YD</v>
          </cell>
        </row>
        <row r="6882">
          <cell r="H6882" t="str">
            <v>HAUL40-RO</v>
          </cell>
          <cell r="I6882" t="str">
            <v>HAUL 40 YD - RO</v>
          </cell>
        </row>
        <row r="6883">
          <cell r="H6883" t="str">
            <v>MILE-RO</v>
          </cell>
          <cell r="I6883" t="str">
            <v>MILEAGE FEE - RO</v>
          </cell>
        </row>
        <row r="6884">
          <cell r="H6884" t="str">
            <v>RENT20TEMP-RO</v>
          </cell>
          <cell r="I6884" t="str">
            <v>RENTAL FEE 20 YD TEMP - R</v>
          </cell>
        </row>
        <row r="6885">
          <cell r="H6885" t="str">
            <v>RENT30TEMP-RO</v>
          </cell>
          <cell r="I6885" t="str">
            <v>RENTAL FEE 30 YD TEMP - R</v>
          </cell>
        </row>
        <row r="6886">
          <cell r="H6886" t="str">
            <v>DISPCMGL-RO</v>
          </cell>
          <cell r="I6886" t="str">
            <v xml:space="preserve">DISPOSAL FEE COMMINGLE - </v>
          </cell>
        </row>
        <row r="6887">
          <cell r="H6887" t="str">
            <v>DISPOCC-RO</v>
          </cell>
          <cell r="I6887" t="str">
            <v xml:space="preserve">DISPOSAL FEE CARDBOARD - </v>
          </cell>
        </row>
        <row r="6888">
          <cell r="H6888" t="str">
            <v>HAUL30-RO</v>
          </cell>
          <cell r="I6888" t="str">
            <v>HAUL 30 YD - RO</v>
          </cell>
        </row>
        <row r="6889">
          <cell r="H6889" t="str">
            <v>COMMODITY SURCHARGE</v>
          </cell>
          <cell r="I6889" t="str">
            <v>COMMODITY SURCHARGE</v>
          </cell>
        </row>
        <row r="6890">
          <cell r="H6890" t="str">
            <v>COMMODITY SURCHARGE</v>
          </cell>
          <cell r="I6890" t="str">
            <v>COMMODITY SURCHARGE</v>
          </cell>
        </row>
        <row r="6891">
          <cell r="H6891" t="str">
            <v>DUPONT CITY UTILITY TAX</v>
          </cell>
          <cell r="I6891" t="str">
            <v>8% CITY UTILITY TAX</v>
          </cell>
        </row>
        <row r="6892">
          <cell r="H6892" t="str">
            <v>DUPONT REFUSE TAX</v>
          </cell>
          <cell r="I6892" t="str">
            <v>3.6% WA STATE REFUSE TAX</v>
          </cell>
        </row>
        <row r="6893">
          <cell r="H6893" t="str">
            <v>DUPONT CITY ONLY</v>
          </cell>
          <cell r="I6893" t="str">
            <v>8% CITY UTILITY TAX</v>
          </cell>
        </row>
        <row r="6894">
          <cell r="H6894" t="str">
            <v>DUPONT CITY UTILITY TAX</v>
          </cell>
          <cell r="I6894" t="str">
            <v>8% CITY UTILITY TAX</v>
          </cell>
        </row>
        <row r="6895">
          <cell r="H6895" t="str">
            <v>DUPONT REFUSE TAX</v>
          </cell>
          <cell r="I6895" t="str">
            <v>3.6% WA STATE REFUSE TAX</v>
          </cell>
        </row>
        <row r="6896">
          <cell r="H6896" t="str">
            <v>DUPONT STATE SALES TAX</v>
          </cell>
          <cell r="I6896" t="str">
            <v>9.3% WA STATE SALES TAX</v>
          </cell>
        </row>
        <row r="6897">
          <cell r="H6897" t="str">
            <v>DUPONT CITY UTILITY TAX</v>
          </cell>
          <cell r="I6897" t="str">
            <v>8% CITY UTILITY TAX</v>
          </cell>
        </row>
        <row r="6898">
          <cell r="H6898" t="str">
            <v>DUPONT REFUSE TAX</v>
          </cell>
          <cell r="I6898" t="str">
            <v>3.6% WA STATE REFUSE TAX</v>
          </cell>
        </row>
        <row r="6899">
          <cell r="H6899" t="str">
            <v>DUPONT STATE SALES TAX</v>
          </cell>
          <cell r="I6899" t="str">
            <v>9.3% WA STATE SALES TAX</v>
          </cell>
        </row>
        <row r="6900">
          <cell r="H6900" t="str">
            <v>DUPONT CITY ONLY</v>
          </cell>
          <cell r="I6900" t="str">
            <v>8% CITY UTILITY TAX</v>
          </cell>
        </row>
        <row r="6901">
          <cell r="H6901" t="str">
            <v>DUPONT CITY UTILITY TAX</v>
          </cell>
          <cell r="I6901" t="str">
            <v>8% CITY UTILITY TAX</v>
          </cell>
        </row>
        <row r="6902">
          <cell r="H6902" t="str">
            <v>DUPONT REFUSE TAX</v>
          </cell>
          <cell r="I6902" t="str">
            <v>3.6% WA STATE REFUSE TAX</v>
          </cell>
        </row>
        <row r="6903">
          <cell r="H6903" t="str">
            <v>DUPONT CITY UTILITY TAX</v>
          </cell>
          <cell r="I6903" t="str">
            <v>8% CITY UTILITY TAX</v>
          </cell>
        </row>
        <row r="6904">
          <cell r="H6904" t="str">
            <v>DUPONT REFUSE TAX</v>
          </cell>
          <cell r="I6904" t="str">
            <v>3.6% WA STATE REFUSE TAX</v>
          </cell>
        </row>
        <row r="6905">
          <cell r="H6905" t="str">
            <v>DUPONT CITY ONLY</v>
          </cell>
          <cell r="I6905" t="str">
            <v>8% CITY UTILITY TAX</v>
          </cell>
        </row>
        <row r="6906">
          <cell r="H6906" t="str">
            <v>DUPONT CITY UTILITY TAX</v>
          </cell>
          <cell r="I6906" t="str">
            <v>8% CITY UTILITY TAX</v>
          </cell>
        </row>
        <row r="6907">
          <cell r="H6907" t="str">
            <v>DUPONT REFUSE TAX</v>
          </cell>
          <cell r="I6907" t="str">
            <v>3.6% WA STATE REFUSE TAX</v>
          </cell>
        </row>
        <row r="6908">
          <cell r="H6908" t="str">
            <v>DUPONT STATE SALES TAX</v>
          </cell>
          <cell r="I6908" t="str">
            <v>9.3% WA STATE SALES TAX</v>
          </cell>
        </row>
        <row r="6909">
          <cell r="H6909" t="str">
            <v>DUPONT CITY UTILITY TAX</v>
          </cell>
          <cell r="I6909" t="str">
            <v>8% CITY UTILITY TAX</v>
          </cell>
        </row>
        <row r="6910">
          <cell r="H6910" t="str">
            <v>DUPONT REFUSE TAX</v>
          </cell>
          <cell r="I6910" t="str">
            <v>3.6% WA STATE REFUSE TAX</v>
          </cell>
        </row>
        <row r="6911">
          <cell r="H6911" t="str">
            <v>FINCHG</v>
          </cell>
          <cell r="I6911" t="str">
            <v>LATE FEE</v>
          </cell>
        </row>
        <row r="6912">
          <cell r="H6912" t="str">
            <v>MM</v>
          </cell>
          <cell r="I6912" t="str">
            <v>ADJUST BALANCE (MM)</v>
          </cell>
        </row>
        <row r="6913">
          <cell r="H6913" t="str">
            <v>ACCESS-COMM</v>
          </cell>
          <cell r="I6913" t="str">
            <v>ACCESS FEE - COMM</v>
          </cell>
        </row>
        <row r="6914">
          <cell r="H6914" t="str">
            <v>DONATIONC</v>
          </cell>
          <cell r="I6914" t="str">
            <v>DONATED SERVICE COMM</v>
          </cell>
        </row>
        <row r="6915">
          <cell r="H6915" t="str">
            <v>FL001.0Y1W001</v>
          </cell>
          <cell r="I6915" t="str">
            <v>1 YD 1X WK 1</v>
          </cell>
        </row>
        <row r="6916">
          <cell r="H6916" t="str">
            <v>FL001.0Y2W001</v>
          </cell>
          <cell r="I6916" t="str">
            <v>1 YD 2X WK 1</v>
          </cell>
        </row>
        <row r="6917">
          <cell r="H6917" t="str">
            <v>FL001.5Y1W001</v>
          </cell>
          <cell r="I6917" t="str">
            <v>1.5 YD 1X WK 1</v>
          </cell>
        </row>
        <row r="6918">
          <cell r="H6918" t="str">
            <v>FL001.5Y2W001</v>
          </cell>
          <cell r="I6918" t="str">
            <v>1.5 YD 2X WK 1</v>
          </cell>
        </row>
        <row r="6919">
          <cell r="H6919" t="str">
            <v>FL002.0Y1W001</v>
          </cell>
          <cell r="I6919" t="str">
            <v>2 YD 1X WK 1</v>
          </cell>
        </row>
        <row r="6920">
          <cell r="H6920" t="str">
            <v>FL002.0Y2W001</v>
          </cell>
          <cell r="I6920" t="str">
            <v>2 YD 2X WK 1</v>
          </cell>
        </row>
        <row r="6921">
          <cell r="H6921" t="str">
            <v>GWCOMM</v>
          </cell>
          <cell r="I6921" t="str">
            <v>GREENWASTE SERVICE - COMM</v>
          </cell>
        </row>
        <row r="6922">
          <cell r="H6922" t="str">
            <v>RL001.0Y1W001</v>
          </cell>
          <cell r="I6922" t="str">
            <v>1 YD 1X WK 1</v>
          </cell>
        </row>
        <row r="6923">
          <cell r="H6923" t="str">
            <v>RL002.0Y1W001</v>
          </cell>
          <cell r="I6923" t="str">
            <v>2 YD 1X WK 1</v>
          </cell>
        </row>
        <row r="6924">
          <cell r="H6924" t="str">
            <v>SL035.0G1M001WRECC</v>
          </cell>
          <cell r="I6924" t="str">
            <v>35 GL 1X MO W/RECY COMM 1</v>
          </cell>
        </row>
        <row r="6925">
          <cell r="H6925" t="str">
            <v>SL065.0G1M001WRECC</v>
          </cell>
          <cell r="I6925" t="str">
            <v>65 GL 1X MO W/RECY COMM 1</v>
          </cell>
        </row>
        <row r="6926">
          <cell r="H6926" t="str">
            <v>SL065.0G1W001WRECC</v>
          </cell>
          <cell r="I6926" t="str">
            <v>65 GL 1X WK W/RECY COMM 1</v>
          </cell>
        </row>
        <row r="6927">
          <cell r="H6927" t="str">
            <v>SL065.0GEO001WRECC</v>
          </cell>
          <cell r="I6927" t="str">
            <v>65 GL EOW W/RECY COMM 1</v>
          </cell>
        </row>
        <row r="6928">
          <cell r="H6928" t="str">
            <v>SL095.0G1W001NORECC</v>
          </cell>
          <cell r="I6928" t="str">
            <v xml:space="preserve">95 GL 1X WK NO RECY COMM </v>
          </cell>
        </row>
        <row r="6929">
          <cell r="H6929" t="str">
            <v>SL095.0G1W001WRECC</v>
          </cell>
          <cell r="I6929" t="str">
            <v>95 GL 1X WK W/RECY COMM 1</v>
          </cell>
        </row>
        <row r="6930">
          <cell r="H6930" t="str">
            <v>SL095.0GEO001WRECC</v>
          </cell>
          <cell r="I6930" t="str">
            <v>95 GL EOW W/RECY COMM 1</v>
          </cell>
        </row>
        <row r="6931">
          <cell r="H6931" t="str">
            <v>EXTRA-COMM</v>
          </cell>
          <cell r="I6931" t="str">
            <v>EXTRA CAN, BAG, BOX - COM</v>
          </cell>
        </row>
        <row r="6932">
          <cell r="H6932" t="str">
            <v>FL002.0YXX001TEMPC</v>
          </cell>
          <cell r="I6932" t="str">
            <v xml:space="preserve">2 YD TEMP </v>
          </cell>
        </row>
        <row r="6933">
          <cell r="H6933" t="str">
            <v>RENT2TEMP-COMM</v>
          </cell>
          <cell r="I6933" t="str">
            <v>RENT 2 YD TEMP - COMM</v>
          </cell>
        </row>
        <row r="6934">
          <cell r="H6934" t="str">
            <v>ACCESSCREC-COMM</v>
          </cell>
          <cell r="I6934" t="str">
            <v>ACCESS FEE COMM RECY - CO</v>
          </cell>
        </row>
        <row r="6935">
          <cell r="H6935" t="str">
            <v>FL002.0Y1W001BCMGL</v>
          </cell>
          <cell r="I6935" t="str">
            <v>2 YD 1X WK BUS CMGL 1</v>
          </cell>
        </row>
        <row r="6936">
          <cell r="H6936" t="str">
            <v>FL002.0Y1W001BOCC</v>
          </cell>
          <cell r="I6936" t="str">
            <v>2 YD 1X WK BUS OCC 1</v>
          </cell>
        </row>
        <row r="6937">
          <cell r="H6937" t="str">
            <v>FL002.0Y2W001SCMGL</v>
          </cell>
          <cell r="I6937" t="str">
            <v>2 YD 2X WK SCHL CMGL 1</v>
          </cell>
        </row>
        <row r="6938">
          <cell r="H6938" t="str">
            <v>FL005.0Y1W001BOCC</v>
          </cell>
          <cell r="I6938" t="str">
            <v>5 YD 1X WK BUS OCC 1</v>
          </cell>
        </row>
        <row r="6939">
          <cell r="H6939" t="str">
            <v>FL006.0Y1W001SCMGL</v>
          </cell>
          <cell r="I6939" t="str">
            <v>6 YD 1X WK SCHL CMGL 1</v>
          </cell>
        </row>
        <row r="6940">
          <cell r="H6940" t="str">
            <v>SL096.0GEO001BCMGLIN</v>
          </cell>
          <cell r="I6940" t="str">
            <v>96 GL EOW BUS CMGL IN</v>
          </cell>
        </row>
        <row r="6941">
          <cell r="H6941" t="str">
            <v>SL096.0GEO001BCMGLOUT</v>
          </cell>
          <cell r="I6941" t="str">
            <v>96 GL EOW BUS CMGL OUT</v>
          </cell>
        </row>
        <row r="6942">
          <cell r="H6942" t="str">
            <v>SL096.0GEO001SCMGLOUT</v>
          </cell>
          <cell r="I6942" t="str">
            <v>96 GL EOW SCHL CMGL OUT</v>
          </cell>
        </row>
        <row r="6943">
          <cell r="H6943" t="str">
            <v>CC-KOL</v>
          </cell>
          <cell r="I6943" t="str">
            <v>ONLINE PAYMENT-CC</v>
          </cell>
        </row>
        <row r="6944">
          <cell r="H6944" t="str">
            <v>PAYUSBL</v>
          </cell>
          <cell r="I6944" t="str">
            <v>PAYMENT THANK YOU</v>
          </cell>
        </row>
        <row r="6945">
          <cell r="H6945" t="str">
            <v>GWRES</v>
          </cell>
          <cell r="I6945" t="str">
            <v>GREENWASTE SERVICE - RES</v>
          </cell>
        </row>
        <row r="6946">
          <cell r="H6946" t="str">
            <v>RECBINONLYR</v>
          </cell>
          <cell r="I6946" t="str">
            <v>RECYCLE SERVICE ONLY</v>
          </cell>
        </row>
        <row r="6947">
          <cell r="H6947" t="str">
            <v>SL035.0G1M001WREC</v>
          </cell>
          <cell r="I6947" t="str">
            <v>35 GL 1X MO W/RECY 1</v>
          </cell>
        </row>
        <row r="6948">
          <cell r="H6948" t="str">
            <v>SL065.0G1M001NOREC</v>
          </cell>
          <cell r="I6948" t="str">
            <v>65 GL 1X MO NO RECY 1</v>
          </cell>
        </row>
        <row r="6949">
          <cell r="H6949" t="str">
            <v>SL065.0G1M001WREC</v>
          </cell>
          <cell r="I6949" t="str">
            <v>65 GL 1X MO W/RECY 1</v>
          </cell>
        </row>
        <row r="6950">
          <cell r="H6950" t="str">
            <v>SL065.0G1W001WREC</v>
          </cell>
          <cell r="I6950" t="str">
            <v>65 GL 1X WK W/RECY 1</v>
          </cell>
        </row>
        <row r="6951">
          <cell r="H6951" t="str">
            <v>SL065.0GEO001</v>
          </cell>
          <cell r="I6951" t="str">
            <v>65 GL EOW 1</v>
          </cell>
        </row>
        <row r="6952">
          <cell r="H6952" t="str">
            <v>SL065.0GEO001WREC</v>
          </cell>
          <cell r="I6952" t="str">
            <v>65 GL EOW W/RECY 1</v>
          </cell>
        </row>
        <row r="6953">
          <cell r="H6953" t="str">
            <v>SL095.0G1W001WREC</v>
          </cell>
          <cell r="I6953" t="str">
            <v>95 GL 1X WK W/RECY 1</v>
          </cell>
        </row>
        <row r="6954">
          <cell r="H6954" t="str">
            <v>SL095.0GEO001</v>
          </cell>
          <cell r="I6954" t="str">
            <v>95 GL EOW 1</v>
          </cell>
        </row>
        <row r="6955">
          <cell r="H6955" t="str">
            <v>SL095.0GEO001WREC</v>
          </cell>
          <cell r="I6955" t="str">
            <v>95 GL EOW W/RECY 1</v>
          </cell>
        </row>
        <row r="6956">
          <cell r="H6956" t="str">
            <v>EXTRA-RES</v>
          </cell>
          <cell r="I6956" t="str">
            <v>EXTRA CAN, BAG, BOX - RES</v>
          </cell>
        </row>
        <row r="6957">
          <cell r="H6957" t="str">
            <v>EXTRAGWC-RES</v>
          </cell>
          <cell r="I6957" t="str">
            <v>EXTRA GREENWASTE FEE - RE</v>
          </cell>
        </row>
        <row r="6958">
          <cell r="H6958" t="str">
            <v>OC-RES</v>
          </cell>
          <cell r="I6958" t="str">
            <v>ON CALL SERVICE - RES</v>
          </cell>
        </row>
        <row r="6959">
          <cell r="H6959" t="str">
            <v>RTRNCART65-RES</v>
          </cell>
          <cell r="I6959" t="str">
            <v>RETURN TRIP 65 GL - RES</v>
          </cell>
        </row>
        <row r="6960">
          <cell r="H6960" t="str">
            <v>TIRESM-RES</v>
          </cell>
          <cell r="I6960" t="str">
            <v>TIRE FEE SMALL - RES</v>
          </cell>
        </row>
        <row r="6961">
          <cell r="H6961" t="str">
            <v>DONATIONRO</v>
          </cell>
          <cell r="I6961" t="str">
            <v>DONATED SERVICE ROLL OFF</v>
          </cell>
        </row>
        <row r="6962">
          <cell r="H6962" t="str">
            <v>LIDRO</v>
          </cell>
          <cell r="I6962" t="str">
            <v>LID CHARGE - RO</v>
          </cell>
        </row>
        <row r="6963">
          <cell r="H6963" t="str">
            <v>RENT20MO-RO</v>
          </cell>
          <cell r="I6963" t="str">
            <v>RENTAL FEE 20 YD MONTHLY</v>
          </cell>
        </row>
        <row r="6964">
          <cell r="H6964" t="str">
            <v>RENT30MO-RO</v>
          </cell>
          <cell r="I6964" t="str">
            <v>RENTAL FEE 30 YD MONTHLY</v>
          </cell>
        </row>
        <row r="6965">
          <cell r="H6965" t="str">
            <v>DISCO-CP</v>
          </cell>
          <cell r="I6965" t="str">
            <v xml:space="preserve">COMPACTOR DISCONNECT FEE </v>
          </cell>
        </row>
        <row r="6966">
          <cell r="H6966" t="str">
            <v>DISP-RO</v>
          </cell>
          <cell r="I6966" t="str">
            <v>DISPOSAL CHARGE - RO</v>
          </cell>
        </row>
        <row r="6967">
          <cell r="H6967" t="str">
            <v>DISPOCC-RO</v>
          </cell>
          <cell r="I6967" t="str">
            <v xml:space="preserve">DISPOSAL FEE CARDBOARD - </v>
          </cell>
        </row>
        <row r="6968">
          <cell r="H6968" t="str">
            <v>HAUL20-RO</v>
          </cell>
          <cell r="I6968" t="str">
            <v>HAUL 20 YD - RO</v>
          </cell>
        </row>
        <row r="6969">
          <cell r="H6969" t="str">
            <v>HAUL30-CP</v>
          </cell>
          <cell r="I6969" t="str">
            <v>COMPACTOR HAUL 30 YD</v>
          </cell>
        </row>
        <row r="6970">
          <cell r="H6970" t="str">
            <v>HAUL30-RO</v>
          </cell>
          <cell r="I6970" t="str">
            <v>HAUL 30 YD - RO</v>
          </cell>
        </row>
        <row r="6971">
          <cell r="H6971" t="str">
            <v>MILE-RO</v>
          </cell>
          <cell r="I6971" t="str">
            <v>MILEAGE FEE - RO</v>
          </cell>
        </row>
        <row r="6972">
          <cell r="H6972" t="str">
            <v>RENT20TEMP-RO</v>
          </cell>
          <cell r="I6972" t="str">
            <v>RENTAL FEE 20 YD TEMP - R</v>
          </cell>
        </row>
        <row r="6973">
          <cell r="H6973" t="str">
            <v>COMMODITY SURCHARGE</v>
          </cell>
          <cell r="I6973" t="str">
            <v>COMMODITY SURCHARGE</v>
          </cell>
        </row>
        <row r="6974">
          <cell r="H6974" t="str">
            <v>PIERCE COUNTY REFUSE TAX</v>
          </cell>
          <cell r="I6974" t="str">
            <v>3.6% PIERCE COUNTY REFUSE</v>
          </cell>
        </row>
        <row r="6975">
          <cell r="H6975" t="str">
            <v>PIERCE COUNTY SALES TAX</v>
          </cell>
          <cell r="I6975" t="str">
            <v>7.9% WA STATE SALES TAX</v>
          </cell>
        </row>
        <row r="6976">
          <cell r="H6976" t="str">
            <v>PIERCE COUNTY REFUSE TAX</v>
          </cell>
          <cell r="I6976" t="str">
            <v>3.6% PIERCE COUNTY REFUSE</v>
          </cell>
        </row>
        <row r="6977">
          <cell r="H6977" t="str">
            <v>PIERCE COUNTY SALES TAX</v>
          </cell>
          <cell r="I6977" t="str">
            <v>7.9% WA STATE SALES TAX</v>
          </cell>
        </row>
        <row r="6978">
          <cell r="H6978" t="str">
            <v>PIERCE COUNTY REFUSE TAX</v>
          </cell>
          <cell r="I6978" t="str">
            <v>3.6% PIERCE COUNTY REFUSE</v>
          </cell>
        </row>
        <row r="6979">
          <cell r="H6979" t="str">
            <v>PIERCE COUNTY SALES TAX</v>
          </cell>
          <cell r="I6979" t="str">
            <v>7.9% WA STATE SALES TAX</v>
          </cell>
        </row>
        <row r="6980">
          <cell r="H6980" t="str">
            <v>FINCHG</v>
          </cell>
          <cell r="I6980" t="str">
            <v>LATE FEE</v>
          </cell>
        </row>
        <row r="6981">
          <cell r="H6981" t="str">
            <v>FL004.0Y2W001MF</v>
          </cell>
          <cell r="I6981" t="str">
            <v>4 YD 2X WK MULTI-FAMILY 1</v>
          </cell>
        </row>
        <row r="6982">
          <cell r="H6982" t="str">
            <v>FL006.0Y1W001MF</v>
          </cell>
          <cell r="I6982" t="str">
            <v>6 YD 1X WK MULTI-FAMILY 1</v>
          </cell>
        </row>
        <row r="6983">
          <cell r="H6983" t="str">
            <v>FL006.0Y2W001MF</v>
          </cell>
          <cell r="I6983" t="str">
            <v>6 YD 2X WK MULTI-FAMILY 1</v>
          </cell>
        </row>
        <row r="6984">
          <cell r="H6984" t="str">
            <v>SL095.0G1W001WRECC</v>
          </cell>
          <cell r="I6984" t="str">
            <v>95 GL 1X WK W/RECY COMM 1</v>
          </cell>
        </row>
        <row r="6985">
          <cell r="H6985" t="str">
            <v>MFWBINS</v>
          </cell>
          <cell r="I6985" t="str">
            <v>MULTI-FAMILY REC UNIT W/B</v>
          </cell>
        </row>
        <row r="6986">
          <cell r="H6986" t="str">
            <v>SL096.0G1M001BCMGLOUT</v>
          </cell>
          <cell r="I6986" t="str">
            <v>96 GL MTHLY BUS CMGL OUT</v>
          </cell>
        </row>
        <row r="6987">
          <cell r="H6987" t="str">
            <v>CC-KOL</v>
          </cell>
          <cell r="I6987" t="str">
            <v>ONLINE PAYMENT-CC</v>
          </cell>
        </row>
        <row r="6988">
          <cell r="H6988" t="str">
            <v>PAY</v>
          </cell>
          <cell r="I6988" t="str">
            <v>PAYMENT THANK YOU</v>
          </cell>
        </row>
        <row r="6989">
          <cell r="H6989" t="str">
            <v>PAY-KOL</v>
          </cell>
          <cell r="I6989" t="str">
            <v>PAYMENT-THANK YOU - OL</v>
          </cell>
        </row>
        <row r="6990">
          <cell r="H6990" t="str">
            <v>GWRES</v>
          </cell>
          <cell r="I6990" t="str">
            <v>GREENWASTE SERVICE - RES</v>
          </cell>
        </row>
        <row r="6991">
          <cell r="H6991" t="str">
            <v>RECBINONLYR</v>
          </cell>
          <cell r="I6991" t="str">
            <v>RECYCLE SERVICE ONLY</v>
          </cell>
        </row>
        <row r="6992">
          <cell r="H6992" t="str">
            <v>RECPROGADJ-RES</v>
          </cell>
          <cell r="I6992" t="str">
            <v>RECYCLING PROGRAM ADJUSTM</v>
          </cell>
        </row>
        <row r="6993">
          <cell r="H6993" t="str">
            <v>RECVALRES</v>
          </cell>
          <cell r="I6993" t="str">
            <v>RECYCLABLES VALUE - RES</v>
          </cell>
        </row>
        <row r="6994">
          <cell r="H6994" t="str">
            <v>SL065.0G1W001WREC</v>
          </cell>
          <cell r="I6994" t="str">
            <v>65 GL 1X WK W/RECY 1</v>
          </cell>
        </row>
        <row r="6995">
          <cell r="H6995" t="str">
            <v>SL095.0G1W001WREC</v>
          </cell>
          <cell r="I6995" t="str">
            <v>95 GL 1X WK W/RECY 1</v>
          </cell>
        </row>
        <row r="6996">
          <cell r="H6996" t="str">
            <v>DISPFEDMSW-RES</v>
          </cell>
          <cell r="I6996" t="str">
            <v>DISPOSAL FEDERAL MSW - RE</v>
          </cell>
        </row>
        <row r="6997">
          <cell r="H6997" t="str">
            <v>TIME-RES</v>
          </cell>
          <cell r="I6997" t="str">
            <v>TIME FEE 1 - RES</v>
          </cell>
        </row>
        <row r="6998">
          <cell r="H6998" t="str">
            <v>RENT20MO-RO</v>
          </cell>
          <cell r="I6998" t="str">
            <v>RENTAL FEE 20 YD MONTHLY</v>
          </cell>
        </row>
        <row r="6999">
          <cell r="H6999" t="str">
            <v>RENT30MO-RO</v>
          </cell>
          <cell r="I6999" t="str">
            <v>RENTAL FEE 30 YD MONTHLY</v>
          </cell>
        </row>
        <row r="7000">
          <cell r="H7000" t="str">
            <v>RENT40MO-RO</v>
          </cell>
          <cell r="I7000" t="str">
            <v>RENTAL FEE 40 YD MONTHLY</v>
          </cell>
        </row>
        <row r="7001">
          <cell r="H7001" t="str">
            <v>DISPFEDMSW-RO</v>
          </cell>
          <cell r="I7001" t="str">
            <v xml:space="preserve">DISPOSAL FEE FEDERAL MSW </v>
          </cell>
        </row>
        <row r="7002">
          <cell r="H7002" t="str">
            <v>HAUL30-RO</v>
          </cell>
          <cell r="I7002" t="str">
            <v>HAUL 30 YD - RO</v>
          </cell>
        </row>
        <row r="7003">
          <cell r="H7003" t="str">
            <v>HAUL40-RO</v>
          </cell>
          <cell r="I7003" t="str">
            <v>HAUL 40 YD - RO</v>
          </cell>
        </row>
        <row r="7004">
          <cell r="H7004" t="str">
            <v>MILE-RO</v>
          </cell>
          <cell r="I7004" t="str">
            <v>MILEAGE FEE - RO</v>
          </cell>
        </row>
        <row r="7005">
          <cell r="H7005" t="str">
            <v>RTRNTRIP-RO</v>
          </cell>
          <cell r="I7005" t="str">
            <v>RETURN TRIP FEE - RO</v>
          </cell>
        </row>
        <row r="7006">
          <cell r="H7006" t="str">
            <v>FT LEWIS REFUSE TAX</v>
          </cell>
          <cell r="I7006" t="str">
            <v>3.6% WA STATE REFUSE TAX</v>
          </cell>
        </row>
        <row r="7007">
          <cell r="H7007" t="str">
            <v>FT LEWIS REFUSE TAX</v>
          </cell>
          <cell r="I7007" t="str">
            <v>3.6% WA STATE REFUSE TAX</v>
          </cell>
        </row>
        <row r="7008">
          <cell r="H7008" t="str">
            <v>FT LEWIS STATE SALES TAX</v>
          </cell>
          <cell r="I7008" t="str">
            <v>9.3% WA STATE SALES TAX</v>
          </cell>
        </row>
        <row r="7009">
          <cell r="H7009" t="str">
            <v>FT LEWIS REFUSE TAX</v>
          </cell>
          <cell r="I7009" t="str">
            <v>3.6% WA STATE REFUSE TAX</v>
          </cell>
        </row>
        <row r="7010">
          <cell r="H7010" t="str">
            <v>FINCHG</v>
          </cell>
          <cell r="I7010" t="str">
            <v>LATE FEE</v>
          </cell>
        </row>
        <row r="7011">
          <cell r="H7011" t="str">
            <v>FINCHG</v>
          </cell>
          <cell r="I7011" t="str">
            <v>LATE FEE</v>
          </cell>
        </row>
        <row r="7012">
          <cell r="H7012" t="str">
            <v>MM</v>
          </cell>
          <cell r="I7012" t="str">
            <v>ADJUST BALANCE (MM)</v>
          </cell>
        </row>
        <row r="7013">
          <cell r="H7013" t="str">
            <v>RETCK-LB</v>
          </cell>
          <cell r="I7013" t="str">
            <v>RETURNED CHECK - LOCKBOX</v>
          </cell>
        </row>
        <row r="7014">
          <cell r="H7014" t="str">
            <v>ACCESS-COMM</v>
          </cell>
          <cell r="I7014" t="str">
            <v>ACCESS FEE - COMM</v>
          </cell>
        </row>
        <row r="7015">
          <cell r="H7015" t="str">
            <v>FL001.0Y1W001</v>
          </cell>
          <cell r="I7015" t="str">
            <v>1 YD 1X WK 1</v>
          </cell>
        </row>
        <row r="7016">
          <cell r="H7016" t="str">
            <v>FL001.5Y1W001</v>
          </cell>
          <cell r="I7016" t="str">
            <v>1.5 YD 1X WK 1</v>
          </cell>
        </row>
        <row r="7017">
          <cell r="H7017" t="str">
            <v>FL001.5Y2W001</v>
          </cell>
          <cell r="I7017" t="str">
            <v>1.5 YD 2X WK 1</v>
          </cell>
        </row>
        <row r="7018">
          <cell r="H7018" t="str">
            <v>FL001.5Y3W001</v>
          </cell>
          <cell r="I7018" t="str">
            <v>1.5 YD 3X WK 1</v>
          </cell>
        </row>
        <row r="7019">
          <cell r="H7019" t="str">
            <v>FL001.5Y4W001</v>
          </cell>
          <cell r="I7019" t="str">
            <v>1.5 YD 4X WK 1</v>
          </cell>
        </row>
        <row r="7020">
          <cell r="H7020" t="str">
            <v>FL001.5Y5W001</v>
          </cell>
          <cell r="I7020" t="str">
            <v>1.5 YD 5X WK 1</v>
          </cell>
        </row>
        <row r="7021">
          <cell r="H7021" t="str">
            <v>FL002.0Y1W001</v>
          </cell>
          <cell r="I7021" t="str">
            <v>2 YD 1X WK 1</v>
          </cell>
        </row>
        <row r="7022">
          <cell r="H7022" t="str">
            <v>FL002.0Y3W001</v>
          </cell>
          <cell r="I7022" t="str">
            <v>2 YD 3X WK 1</v>
          </cell>
        </row>
        <row r="7023">
          <cell r="H7023" t="str">
            <v>FL002.0Y5W001</v>
          </cell>
          <cell r="I7023" t="str">
            <v>2 YD 5X WK 1</v>
          </cell>
        </row>
        <row r="7024">
          <cell r="H7024" t="str">
            <v>FL003.0Y1W001</v>
          </cell>
          <cell r="I7024" t="str">
            <v>3 YD 1X WK 1</v>
          </cell>
        </row>
        <row r="7025">
          <cell r="H7025" t="str">
            <v>FL003.0Y2W001</v>
          </cell>
          <cell r="I7025" t="str">
            <v>3 YD 2X WK 1</v>
          </cell>
        </row>
        <row r="7026">
          <cell r="H7026" t="str">
            <v>FL004.0Y1W001</v>
          </cell>
          <cell r="I7026" t="str">
            <v>4 YD 1X WK 1</v>
          </cell>
        </row>
        <row r="7027">
          <cell r="H7027" t="str">
            <v>FL006.0Y1W001</v>
          </cell>
          <cell r="I7027" t="str">
            <v>6 YD 1X WK 1</v>
          </cell>
        </row>
        <row r="7028">
          <cell r="H7028" t="str">
            <v>FL006.0Y2W001</v>
          </cell>
          <cell r="I7028" t="str">
            <v>6 YD 2X WK 1</v>
          </cell>
        </row>
        <row r="7029">
          <cell r="H7029" t="str">
            <v>FL006.0Y3W001</v>
          </cell>
          <cell r="I7029" t="str">
            <v>6 YD 3X WK 1</v>
          </cell>
        </row>
        <row r="7030">
          <cell r="H7030" t="str">
            <v>SL065.0G1W001NORECC</v>
          </cell>
          <cell r="I7030" t="str">
            <v xml:space="preserve">65 GL 1X WK NO RECY COMM </v>
          </cell>
        </row>
        <row r="7031">
          <cell r="H7031" t="str">
            <v>SL065.0G1W001WRECC</v>
          </cell>
          <cell r="I7031" t="str">
            <v>65 GL 1X WK W/RECY COMM 1</v>
          </cell>
        </row>
        <row r="7032">
          <cell r="H7032" t="str">
            <v>SL095.0G1W001NORECC</v>
          </cell>
          <cell r="I7032" t="str">
            <v xml:space="preserve">95 GL 1X WK NO RECY COMM </v>
          </cell>
        </row>
        <row r="7033">
          <cell r="H7033" t="str">
            <v>CLEAN6-COMM</v>
          </cell>
          <cell r="I7033" t="str">
            <v>CLEANING FEE 6 YD - COMM</v>
          </cell>
        </row>
        <row r="7034">
          <cell r="H7034" t="str">
            <v>DEL6TEMP-COMM</v>
          </cell>
          <cell r="I7034" t="str">
            <v xml:space="preserve">DELIVERY FEE 6 YD TEMP - </v>
          </cell>
        </row>
        <row r="7035">
          <cell r="H7035" t="str">
            <v>EXTRA-COMM</v>
          </cell>
          <cell r="I7035" t="str">
            <v>EXTRA CAN, BAG, BOX - COM</v>
          </cell>
        </row>
        <row r="7036">
          <cell r="H7036" t="str">
            <v>EXTRAYDG-COM</v>
          </cell>
          <cell r="I7036" t="str">
            <v>EXTRA YARDAGE - COMM</v>
          </cell>
        </row>
        <row r="7037">
          <cell r="H7037" t="str">
            <v>FL006.0YXX001TEMPC</v>
          </cell>
          <cell r="I7037" t="str">
            <v>6 YD TEMP 1</v>
          </cell>
        </row>
        <row r="7038">
          <cell r="H7038" t="str">
            <v>RENT6TEMP-COMM</v>
          </cell>
          <cell r="I7038" t="str">
            <v>RENT 6 YD TEMP - COMM</v>
          </cell>
        </row>
        <row r="7039">
          <cell r="H7039" t="str">
            <v>SP2-COMM</v>
          </cell>
          <cell r="I7039" t="str">
            <v>SPECIAL PICK UP 2 YD - CO</v>
          </cell>
        </row>
        <row r="7040">
          <cell r="H7040" t="str">
            <v>FL002.0Y1W001BCMGL</v>
          </cell>
          <cell r="I7040" t="str">
            <v>2 YD 1X WK BUS CMGL 1</v>
          </cell>
        </row>
        <row r="7041">
          <cell r="H7041" t="str">
            <v>FL002.0Y1W001BOCC</v>
          </cell>
          <cell r="I7041" t="str">
            <v>2 YD 1X WK BUS OCC 1</v>
          </cell>
        </row>
        <row r="7042">
          <cell r="H7042" t="str">
            <v>FL002.0Y2W001BCMGL</v>
          </cell>
          <cell r="I7042" t="str">
            <v>2 YD 2X WK BUS CMGL 1</v>
          </cell>
        </row>
        <row r="7043">
          <cell r="H7043" t="str">
            <v>FL004.0Y2W001CMGL</v>
          </cell>
          <cell r="I7043" t="str">
            <v>4 YD 2X WK BUS CMGL 1</v>
          </cell>
        </row>
        <row r="7044">
          <cell r="H7044" t="str">
            <v>FL005.0Y1W001BOCC</v>
          </cell>
          <cell r="I7044" t="str">
            <v>5 YD 1X WK BUS OCC 1</v>
          </cell>
        </row>
        <row r="7045">
          <cell r="H7045" t="str">
            <v>FL005.0Y2W001BOCC</v>
          </cell>
          <cell r="I7045" t="str">
            <v>5 YD 2X WK BUS OCC 1</v>
          </cell>
        </row>
        <row r="7046">
          <cell r="H7046" t="str">
            <v>FL006.0Y1W001BCMGL</v>
          </cell>
          <cell r="I7046" t="str">
            <v>6 YD 1X WK BUS COMINGLE 1</v>
          </cell>
        </row>
        <row r="7047">
          <cell r="H7047" t="str">
            <v>SL096.0GEO001BCMGLOUT</v>
          </cell>
          <cell r="I7047" t="str">
            <v>96 GL EOW BUS CMGL OUT</v>
          </cell>
        </row>
        <row r="7048">
          <cell r="H7048" t="str">
            <v>CC-KOL</v>
          </cell>
          <cell r="I7048" t="str">
            <v>ONLINE PAYMENT-CC</v>
          </cell>
        </row>
        <row r="7049">
          <cell r="H7049" t="str">
            <v>PAY</v>
          </cell>
          <cell r="I7049" t="str">
            <v>PAYMENT THANK YOU</v>
          </cell>
        </row>
        <row r="7050">
          <cell r="H7050" t="str">
            <v>PAY-KOL</v>
          </cell>
          <cell r="I7050" t="str">
            <v>PAYMENT-THANK YOU - OL</v>
          </cell>
        </row>
        <row r="7051">
          <cell r="H7051" t="str">
            <v>PAYEFT</v>
          </cell>
          <cell r="I7051" t="str">
            <v>EFT PAYMENT</v>
          </cell>
        </row>
        <row r="7052">
          <cell r="H7052" t="str">
            <v>PAYUSBL</v>
          </cell>
          <cell r="I7052" t="str">
            <v>PAYMENT THANK YOU</v>
          </cell>
        </row>
        <row r="7053">
          <cell r="H7053" t="str">
            <v>LIDRO</v>
          </cell>
          <cell r="I7053" t="str">
            <v>LID CHARGE - RO</v>
          </cell>
        </row>
        <row r="7054">
          <cell r="H7054" t="str">
            <v>RENT20MO-RO</v>
          </cell>
          <cell r="I7054" t="str">
            <v>RENTAL FEE 20 YD MONTHLY</v>
          </cell>
        </row>
        <row r="7055">
          <cell r="H7055" t="str">
            <v>RENT30MO-RO</v>
          </cell>
          <cell r="I7055" t="str">
            <v>RENTAL FEE 30 YD MONTHLY</v>
          </cell>
        </row>
        <row r="7056">
          <cell r="H7056" t="str">
            <v>RENT40MO-RO</v>
          </cell>
          <cell r="I7056" t="str">
            <v>RENTAL FEE 40 YD MONTHLY</v>
          </cell>
        </row>
        <row r="7057">
          <cell r="H7057" t="str">
            <v>CLEAN20-RO</v>
          </cell>
          <cell r="I7057" t="str">
            <v>CLEANING FEE 20 YD - RO</v>
          </cell>
        </row>
        <row r="7058">
          <cell r="H7058" t="str">
            <v>DEL20TEMP-RO</v>
          </cell>
          <cell r="I7058" t="str">
            <v>DELIVERY FEE 20 YD TEMP -</v>
          </cell>
        </row>
        <row r="7059">
          <cell r="H7059" t="str">
            <v>DEL40-RO</v>
          </cell>
          <cell r="I7059" t="str">
            <v>DELIVERY FEE 40 YD - RO</v>
          </cell>
        </row>
        <row r="7060">
          <cell r="H7060" t="str">
            <v>DISCO-CP</v>
          </cell>
          <cell r="I7060" t="str">
            <v xml:space="preserve">COMPACTOR DISCONNECT FEE </v>
          </cell>
        </row>
        <row r="7061">
          <cell r="H7061" t="str">
            <v>DISPFEDMSW-RO</v>
          </cell>
          <cell r="I7061" t="str">
            <v xml:space="preserve">DISPOSAL FEE FEDERAL MSW </v>
          </cell>
        </row>
        <row r="7062">
          <cell r="H7062" t="str">
            <v>FINAL20TEMP-RO</v>
          </cell>
          <cell r="I7062" t="str">
            <v>FINAL PULL 20 YD TEMP - R</v>
          </cell>
        </row>
        <row r="7063">
          <cell r="H7063" t="str">
            <v>FINAL30-RO</v>
          </cell>
          <cell r="I7063" t="str">
            <v>FINAL PULL 30 YD - RO</v>
          </cell>
        </row>
        <row r="7064">
          <cell r="H7064" t="str">
            <v>FINAL40TEMP-RO</v>
          </cell>
          <cell r="I7064" t="str">
            <v>FINAL PULL 40 YD TEMP - R</v>
          </cell>
        </row>
        <row r="7065">
          <cell r="H7065" t="str">
            <v>HAUL20-CP</v>
          </cell>
          <cell r="I7065" t="str">
            <v>COMPACTOR HAUL 20 YD - RO</v>
          </cell>
        </row>
        <row r="7066">
          <cell r="H7066" t="str">
            <v>HAUL20-RO</v>
          </cell>
          <cell r="I7066" t="str">
            <v>HAUL 20 YD - RO</v>
          </cell>
        </row>
        <row r="7067">
          <cell r="H7067" t="str">
            <v>HAUL40-RO</v>
          </cell>
          <cell r="I7067" t="str">
            <v>HAUL 40 YD - RO</v>
          </cell>
        </row>
        <row r="7068">
          <cell r="H7068" t="str">
            <v>MILE-RO</v>
          </cell>
          <cell r="I7068" t="str">
            <v>MILEAGE FEE - RO</v>
          </cell>
        </row>
        <row r="7069">
          <cell r="H7069" t="str">
            <v>RENT20TEMP-RO</v>
          </cell>
          <cell r="I7069" t="str">
            <v>RENTAL FEE 20 YD TEMP - R</v>
          </cell>
        </row>
        <row r="7070">
          <cell r="H7070" t="str">
            <v>RTRNTRIP-RO</v>
          </cell>
          <cell r="I7070" t="str">
            <v>RETURN TRIP FEE - RO</v>
          </cell>
        </row>
        <row r="7071">
          <cell r="H7071" t="str">
            <v>COMMODITY SURCHARGE</v>
          </cell>
          <cell r="I7071" t="str">
            <v>COMMODITY SURCHARGE</v>
          </cell>
        </row>
        <row r="7072">
          <cell r="H7072" t="str">
            <v>COMMODITY SURCHARGE</v>
          </cell>
          <cell r="I7072" t="str">
            <v>COMMODITY SURCHARGE</v>
          </cell>
        </row>
        <row r="7073">
          <cell r="H7073" t="str">
            <v>FT LEWIS REFUSE TAX</v>
          </cell>
          <cell r="I7073" t="str">
            <v>3.6% WA STATE REFUSE TAX</v>
          </cell>
        </row>
        <row r="7074">
          <cell r="H7074" t="str">
            <v>FT LEWIS STATE SALES TAX</v>
          </cell>
          <cell r="I7074" t="str">
            <v>9.3% WA STATE SALES TAX</v>
          </cell>
        </row>
        <row r="7075">
          <cell r="H7075" t="str">
            <v xml:space="preserve">PIERCE COUNTY REFUSE  </v>
          </cell>
          <cell r="I7075" t="str">
            <v>3.6% PIERCE COUNTY REFUSE</v>
          </cell>
        </row>
        <row r="7076">
          <cell r="H7076" t="str">
            <v>FT LEWIS REFUSE TAX</v>
          </cell>
          <cell r="I7076" t="str">
            <v>3.6% WA STATE REFUSE TAX</v>
          </cell>
        </row>
        <row r="7077">
          <cell r="H7077" t="str">
            <v>FT LEWIS REFUSE TAX</v>
          </cell>
          <cell r="I7077" t="str">
            <v>3.6% WA STATE REFUSE TAX</v>
          </cell>
        </row>
        <row r="7078">
          <cell r="H7078" t="str">
            <v>FT LEWIS STATE SALES TAX</v>
          </cell>
          <cell r="I7078" t="str">
            <v>9.3% WA STATE SALES TAX</v>
          </cell>
        </row>
        <row r="7079">
          <cell r="H7079" t="str">
            <v>FINCHG</v>
          </cell>
          <cell r="I7079" t="str">
            <v>LATE FEE</v>
          </cell>
        </row>
        <row r="7080">
          <cell r="H7080" t="str">
            <v>BD</v>
          </cell>
          <cell r="I7080" t="str">
            <v>BAD DEBT WRITE OFF</v>
          </cell>
        </row>
        <row r="7081">
          <cell r="H7081" t="str">
            <v>BDR</v>
          </cell>
          <cell r="I7081" t="str">
            <v>BAD DEBT RECOVERY</v>
          </cell>
        </row>
        <row r="7082">
          <cell r="H7082" t="str">
            <v>COLLFEE</v>
          </cell>
          <cell r="I7082" t="str">
            <v>COLLECTION AGENCY FEE</v>
          </cell>
        </row>
        <row r="7083">
          <cell r="H7083" t="str">
            <v>FINCHG</v>
          </cell>
          <cell r="I7083" t="str">
            <v>LATE FEE</v>
          </cell>
        </row>
        <row r="7084">
          <cell r="H7084" t="str">
            <v>MM</v>
          </cell>
          <cell r="I7084" t="str">
            <v>ADJUST BALANCE (MM)</v>
          </cell>
        </row>
        <row r="7085">
          <cell r="H7085" t="str">
            <v>MM</v>
          </cell>
          <cell r="I7085" t="str">
            <v>ADJUST BALANCE (MM)</v>
          </cell>
        </row>
        <row r="7086">
          <cell r="H7086" t="str">
            <v>REFUND</v>
          </cell>
          <cell r="I7086" t="str">
            <v>REFUND</v>
          </cell>
        </row>
        <row r="7087">
          <cell r="H7087" t="str">
            <v>RETCK-LB</v>
          </cell>
          <cell r="I7087" t="str">
            <v>RETURNED CHECK - LOCKBOX</v>
          </cell>
        </row>
        <row r="7088">
          <cell r="H7088" t="str">
            <v>BD</v>
          </cell>
          <cell r="I7088" t="str">
            <v>BAD DEBT WRITE OFF</v>
          </cell>
        </row>
        <row r="7089">
          <cell r="H7089" t="str">
            <v>BDR</v>
          </cell>
          <cell r="I7089" t="str">
            <v>BAD DEBT RECOVERY</v>
          </cell>
        </row>
        <row r="7090">
          <cell r="H7090" t="str">
            <v>COLLFEE</v>
          </cell>
          <cell r="I7090" t="str">
            <v>COLLECTION AGENCY FEE</v>
          </cell>
        </row>
        <row r="7091">
          <cell r="H7091" t="str">
            <v>FINCHG</v>
          </cell>
          <cell r="I7091" t="str">
            <v>LATE FEE</v>
          </cell>
        </row>
        <row r="7092">
          <cell r="H7092" t="str">
            <v>MM</v>
          </cell>
          <cell r="I7092" t="str">
            <v>ADJUST BALANCE (MM)</v>
          </cell>
        </row>
        <row r="7093">
          <cell r="H7093" t="str">
            <v>MM</v>
          </cell>
          <cell r="I7093" t="str">
            <v>ADJUST BALANCE (MM)</v>
          </cell>
        </row>
        <row r="7094">
          <cell r="H7094" t="str">
            <v>REFUND</v>
          </cell>
          <cell r="I7094" t="str">
            <v>REFUND</v>
          </cell>
        </row>
        <row r="7095">
          <cell r="H7095" t="str">
            <v>RETCK-LB</v>
          </cell>
          <cell r="I7095" t="str">
            <v>RETURNED CHECK - LOCKBOX</v>
          </cell>
        </row>
        <row r="7096">
          <cell r="H7096" t="str">
            <v>FINCHG</v>
          </cell>
          <cell r="I7096" t="str">
            <v>LATE FEE</v>
          </cell>
        </row>
        <row r="7097">
          <cell r="H7097" t="str">
            <v>BD</v>
          </cell>
          <cell r="I7097" t="str">
            <v>BAD DEBT WRITE OFF</v>
          </cell>
        </row>
        <row r="7098">
          <cell r="H7098" t="str">
            <v>BDR</v>
          </cell>
          <cell r="I7098" t="str">
            <v>BAD DEBT RECOVERY</v>
          </cell>
        </row>
        <row r="7099">
          <cell r="H7099" t="str">
            <v>FINCHG</v>
          </cell>
          <cell r="I7099" t="str">
            <v>LATE FEE</v>
          </cell>
        </row>
        <row r="7100">
          <cell r="H7100" t="str">
            <v>MM</v>
          </cell>
          <cell r="I7100" t="str">
            <v>ADJUST BALANCE (MM)</v>
          </cell>
        </row>
        <row r="7101">
          <cell r="H7101" t="str">
            <v>MM</v>
          </cell>
          <cell r="I7101" t="str">
            <v>ADJUST BALANCE (MM)</v>
          </cell>
        </row>
        <row r="7102">
          <cell r="H7102" t="str">
            <v>REFUND</v>
          </cell>
          <cell r="I7102" t="str">
            <v>REFUND</v>
          </cell>
        </row>
        <row r="7103">
          <cell r="H7103" t="str">
            <v>RETCK</v>
          </cell>
          <cell r="I7103" t="str">
            <v>RETURNED CHECK</v>
          </cell>
        </row>
        <row r="7104">
          <cell r="H7104" t="str">
            <v>RETCK-LB</v>
          </cell>
          <cell r="I7104" t="str">
            <v>RETURNED CHECK - LOCKBOX</v>
          </cell>
        </row>
        <row r="7105">
          <cell r="H7105" t="str">
            <v>FINCHG</v>
          </cell>
          <cell r="I7105" t="str">
            <v>LATE FEE</v>
          </cell>
        </row>
        <row r="7106">
          <cell r="H7106" t="str">
            <v>ACCESS-COMM</v>
          </cell>
          <cell r="I7106" t="str">
            <v>ACCESS FEE - COMM</v>
          </cell>
        </row>
        <row r="7107">
          <cell r="H7107" t="str">
            <v>ACCESS-MF</v>
          </cell>
          <cell r="I7107" t="str">
            <v>ACCESS FEE - MF</v>
          </cell>
        </row>
        <row r="7108">
          <cell r="H7108" t="str">
            <v>DONATIONC</v>
          </cell>
          <cell r="I7108" t="str">
            <v>DONATED SERVICE COMM</v>
          </cell>
        </row>
        <row r="7109">
          <cell r="H7109" t="str">
            <v>DRIVEIN1-COMM</v>
          </cell>
          <cell r="I7109" t="str">
            <v>DRIVE IN 125-250' - COMM</v>
          </cell>
        </row>
        <row r="7110">
          <cell r="H7110" t="str">
            <v>DRIVEIN3-COMM</v>
          </cell>
          <cell r="I7110" t="str">
            <v>DRIVE IN 779-1306' - COMM</v>
          </cell>
        </row>
        <row r="7111">
          <cell r="H7111" t="str">
            <v>FL001.0Y1W001</v>
          </cell>
          <cell r="I7111" t="str">
            <v>1 YD 1X WK 1</v>
          </cell>
        </row>
        <row r="7112">
          <cell r="H7112" t="str">
            <v>FL001.0Y2W001</v>
          </cell>
          <cell r="I7112" t="str">
            <v>1 YD 2X WK 1</v>
          </cell>
        </row>
        <row r="7113">
          <cell r="H7113" t="str">
            <v>FL001.0Y3W001</v>
          </cell>
          <cell r="I7113" t="str">
            <v>1 YD 3X WK 1</v>
          </cell>
        </row>
        <row r="7114">
          <cell r="H7114" t="str">
            <v>FL001.5Y1W001</v>
          </cell>
          <cell r="I7114" t="str">
            <v>1.5 YD 1X WK 1</v>
          </cell>
        </row>
        <row r="7115">
          <cell r="H7115" t="str">
            <v>FL001.5Y2W001</v>
          </cell>
          <cell r="I7115" t="str">
            <v>1.5 YD 2X WK 1</v>
          </cell>
        </row>
        <row r="7116">
          <cell r="H7116" t="str">
            <v>FL001.5Y3W001</v>
          </cell>
          <cell r="I7116" t="str">
            <v>1.5 YD 3X WK 1</v>
          </cell>
        </row>
        <row r="7117">
          <cell r="H7117" t="str">
            <v>FL002.0Y1W001</v>
          </cell>
          <cell r="I7117" t="str">
            <v>2 YD 1X WK 1</v>
          </cell>
        </row>
        <row r="7118">
          <cell r="H7118" t="str">
            <v>FL002.0Y2W001</v>
          </cell>
          <cell r="I7118" t="str">
            <v>2 YD 2X WK 1</v>
          </cell>
        </row>
        <row r="7119">
          <cell r="H7119" t="str">
            <v>FL002.0Y3W001</v>
          </cell>
          <cell r="I7119" t="str">
            <v>2 YD 3X WK 1</v>
          </cell>
        </row>
        <row r="7120">
          <cell r="H7120" t="str">
            <v>FL002.0Y4W001</v>
          </cell>
          <cell r="I7120" t="str">
            <v>2 YD 4X WK 1</v>
          </cell>
        </row>
        <row r="7121">
          <cell r="H7121" t="str">
            <v>FL002.0Y5W001</v>
          </cell>
          <cell r="I7121" t="str">
            <v>2 YD 5X WK 1</v>
          </cell>
        </row>
        <row r="7122">
          <cell r="H7122" t="str">
            <v>FL003.0Y1W001</v>
          </cell>
          <cell r="I7122" t="str">
            <v>3 YD 1X WK 1</v>
          </cell>
        </row>
        <row r="7123">
          <cell r="H7123" t="str">
            <v>FL003.0Y2W001</v>
          </cell>
          <cell r="I7123" t="str">
            <v>3 YD 2X WK 1</v>
          </cell>
        </row>
        <row r="7124">
          <cell r="H7124" t="str">
            <v>FL003.0Y3W001</v>
          </cell>
          <cell r="I7124" t="str">
            <v>3 YD 3X WK 1</v>
          </cell>
        </row>
        <row r="7125">
          <cell r="H7125" t="str">
            <v>FL003.0Y5W001</v>
          </cell>
          <cell r="I7125" t="str">
            <v>3 YD 5X WK 1</v>
          </cell>
        </row>
        <row r="7126">
          <cell r="H7126" t="str">
            <v>FL004.0Y1W001</v>
          </cell>
          <cell r="I7126" t="str">
            <v>4 YD 1X WK 1</v>
          </cell>
        </row>
        <row r="7127">
          <cell r="H7127" t="str">
            <v>FL004.0Y2W001</v>
          </cell>
          <cell r="I7127" t="str">
            <v>4 YD 2X WK 1</v>
          </cell>
        </row>
        <row r="7128">
          <cell r="H7128" t="str">
            <v>FL004.0Y2W001CMP</v>
          </cell>
          <cell r="I7128" t="str">
            <v>4 YD 2X WK COMP 1</v>
          </cell>
        </row>
        <row r="7129">
          <cell r="H7129" t="str">
            <v>FL004.0Y3W001</v>
          </cell>
          <cell r="I7129" t="str">
            <v>4 YD 3X WK 1</v>
          </cell>
        </row>
        <row r="7130">
          <cell r="H7130" t="str">
            <v>FL004.0Y4W001</v>
          </cell>
          <cell r="I7130" t="str">
            <v>4 YD 4X WK 1</v>
          </cell>
        </row>
        <row r="7131">
          <cell r="H7131" t="str">
            <v>FL004.0Y5W001</v>
          </cell>
          <cell r="I7131" t="str">
            <v>4 YD 5X WK 1</v>
          </cell>
        </row>
        <row r="7132">
          <cell r="H7132" t="str">
            <v>FL006.0Y1W001</v>
          </cell>
          <cell r="I7132" t="str">
            <v>6 YD 1X WK 1</v>
          </cell>
        </row>
        <row r="7133">
          <cell r="H7133" t="str">
            <v>FL006.0Y2W001</v>
          </cell>
          <cell r="I7133" t="str">
            <v>6 YD 2X WK 1</v>
          </cell>
        </row>
        <row r="7134">
          <cell r="H7134" t="str">
            <v>FL006.0Y2W001CMP</v>
          </cell>
          <cell r="I7134" t="str">
            <v>6 YD 2X WK COMP 1</v>
          </cell>
        </row>
        <row r="7135">
          <cell r="H7135" t="str">
            <v>FL006.0Y3W001</v>
          </cell>
          <cell r="I7135" t="str">
            <v>6 YD 3X WK 1</v>
          </cell>
        </row>
        <row r="7136">
          <cell r="H7136" t="str">
            <v>FL006.0Y4W001</v>
          </cell>
          <cell r="I7136" t="str">
            <v>6 YD 4X WK 1</v>
          </cell>
        </row>
        <row r="7137">
          <cell r="H7137" t="str">
            <v>FL006.0Y5W001</v>
          </cell>
          <cell r="I7137" t="str">
            <v>6 YD 5X WK 1</v>
          </cell>
        </row>
        <row r="7138">
          <cell r="H7138" t="str">
            <v>GWCOMM</v>
          </cell>
          <cell r="I7138" t="str">
            <v>GREENWASTE SERVICE - COMM</v>
          </cell>
        </row>
        <row r="7139">
          <cell r="H7139" t="str">
            <v>RL032.0G1W001WRECC</v>
          </cell>
          <cell r="I7139" t="str">
            <v>32 GL 1X WK W/RECY COMM 1</v>
          </cell>
        </row>
        <row r="7140">
          <cell r="H7140" t="str">
            <v>ROLL-COMM</v>
          </cell>
          <cell r="I7140" t="str">
            <v>ROLL OUT CHARGE - COMM</v>
          </cell>
        </row>
        <row r="7141">
          <cell r="H7141" t="str">
            <v>SL065.0G1M001NORECC</v>
          </cell>
          <cell r="I7141" t="str">
            <v xml:space="preserve">65 GL 1X MO NO RECY COMM </v>
          </cell>
        </row>
        <row r="7142">
          <cell r="H7142" t="str">
            <v>SL065.0G1W001NORECC</v>
          </cell>
          <cell r="I7142" t="str">
            <v xml:space="preserve">65 GL 1X WK NO RECY COMM </v>
          </cell>
        </row>
        <row r="7143">
          <cell r="H7143" t="str">
            <v>SL065.0G1W001WRECC</v>
          </cell>
          <cell r="I7143" t="str">
            <v>65 GL 1X WK W/RECY COMM 1</v>
          </cell>
        </row>
        <row r="7144">
          <cell r="H7144" t="str">
            <v>SL065.0GEO001NORECC</v>
          </cell>
          <cell r="I7144" t="str">
            <v>65 GL EOW NO RECY COMM 1</v>
          </cell>
        </row>
        <row r="7145">
          <cell r="H7145" t="str">
            <v>SL065.0GEO001WRECC</v>
          </cell>
          <cell r="I7145" t="str">
            <v>65 GL EOW W/RECY COMM 1</v>
          </cell>
        </row>
        <row r="7146">
          <cell r="H7146" t="str">
            <v>SL095.0G1W001NORECC</v>
          </cell>
          <cell r="I7146" t="str">
            <v xml:space="preserve">95 GL 1X WK NO RECY COMM </v>
          </cell>
        </row>
        <row r="7147">
          <cell r="H7147" t="str">
            <v>SL095.0G1W001WRECC</v>
          </cell>
          <cell r="I7147" t="str">
            <v>95 GL 1X WK W/RECY COMM 1</v>
          </cell>
        </row>
        <row r="7148">
          <cell r="H7148" t="str">
            <v>SL095.0GEO001NORECC</v>
          </cell>
          <cell r="I7148" t="str">
            <v>95 GL EOW NO RECY COMM 1</v>
          </cell>
        </row>
        <row r="7149">
          <cell r="H7149" t="str">
            <v>SL095.0GEO001WRECC</v>
          </cell>
          <cell r="I7149" t="str">
            <v>95 GL EOW W/RECY COMM 1</v>
          </cell>
        </row>
        <row r="7150">
          <cell r="H7150" t="str">
            <v>WI1-COMM</v>
          </cell>
          <cell r="I7150" t="str">
            <v>WALK IN 6-25' - COMM</v>
          </cell>
        </row>
        <row r="7151">
          <cell r="H7151" t="str">
            <v>WI2-COMM</v>
          </cell>
          <cell r="I7151" t="str">
            <v>WALK IN 26-50' - COMM</v>
          </cell>
        </row>
        <row r="7152">
          <cell r="H7152" t="str">
            <v>ADJ-COMM</v>
          </cell>
          <cell r="I7152" t="str">
            <v>ADJUSTMENT SERVICE - COMM</v>
          </cell>
        </row>
        <row r="7153">
          <cell r="H7153" t="str">
            <v>APPLIANCEC</v>
          </cell>
          <cell r="I7153" t="str">
            <v>APPLIANCE REMOVAL - COMM</v>
          </cell>
        </row>
        <row r="7154">
          <cell r="H7154" t="str">
            <v>BULKY-COMM</v>
          </cell>
          <cell r="I7154" t="str">
            <v>BULKY ITEM PICK UP - COMM</v>
          </cell>
        </row>
        <row r="7155">
          <cell r="H7155" t="str">
            <v>CANCOUNT-COMM</v>
          </cell>
          <cell r="I7155" t="str">
            <v>CAN COUNT - COMM</v>
          </cell>
        </row>
        <row r="7156">
          <cell r="H7156" t="str">
            <v>CLEAN1.5-COMM</v>
          </cell>
          <cell r="I7156" t="str">
            <v>CLEANING FEE 1.5 YD - COM</v>
          </cell>
        </row>
        <row r="7157">
          <cell r="H7157" t="str">
            <v>CLEAN2-COMM</v>
          </cell>
          <cell r="I7157" t="str">
            <v>CLEANING FEE 2 YD - COMM</v>
          </cell>
        </row>
        <row r="7158">
          <cell r="H7158" t="str">
            <v>CLEAN3-COMM</v>
          </cell>
          <cell r="I7158" t="str">
            <v>CLEANING FEE 3 YD - COMM</v>
          </cell>
        </row>
        <row r="7159">
          <cell r="H7159" t="str">
            <v>DEL1.5TEMP-COMM</v>
          </cell>
          <cell r="I7159" t="str">
            <v xml:space="preserve">DELIVERY FEE 1.5 YD TEMP </v>
          </cell>
        </row>
        <row r="7160">
          <cell r="H7160" t="str">
            <v>DEL2TEMP-COMM</v>
          </cell>
          <cell r="I7160" t="str">
            <v xml:space="preserve">DELIVERY FEE 2 YD TEMP - </v>
          </cell>
        </row>
        <row r="7161">
          <cell r="H7161" t="str">
            <v>DEL6TEMP-COMM</v>
          </cell>
          <cell r="I7161" t="str">
            <v xml:space="preserve">DELIVERY FEE 6 YD TEMP - </v>
          </cell>
        </row>
        <row r="7162">
          <cell r="H7162" t="str">
            <v>EXTRAGRAD1-COMM</v>
          </cell>
          <cell r="I7162" t="str">
            <v>EXTRAS GRADUATED 1-2 - COMM</v>
          </cell>
        </row>
        <row r="7163">
          <cell r="H7163" t="str">
            <v>EXTRAGRAD2-COMM</v>
          </cell>
          <cell r="I7163" t="str">
            <v>EXTRAS GRADUATED 3+ - COMM</v>
          </cell>
        </row>
        <row r="7164">
          <cell r="H7164" t="str">
            <v>EXTRAYDG-COM</v>
          </cell>
          <cell r="I7164" t="str">
            <v>EXTRA YARDAGE - COMM</v>
          </cell>
        </row>
        <row r="7165">
          <cell r="H7165" t="str">
            <v>FL001.5YXX001TEMPC</v>
          </cell>
          <cell r="I7165" t="str">
            <v xml:space="preserve">1.5 YD TEMP </v>
          </cell>
        </row>
        <row r="7166">
          <cell r="H7166" t="str">
            <v>FL002.0YXX001TEMPC</v>
          </cell>
          <cell r="I7166" t="str">
            <v xml:space="preserve">2 YD TEMP </v>
          </cell>
        </row>
        <row r="7167">
          <cell r="H7167" t="str">
            <v>REINSTATE-COMM</v>
          </cell>
          <cell r="I7167" t="str">
            <v>REINSTATE FEE - COMM</v>
          </cell>
        </row>
        <row r="7168">
          <cell r="H7168" t="str">
            <v>RENT1.5TEMP-COMM</v>
          </cell>
          <cell r="I7168" t="str">
            <v>RENT 1.5 YD TEMP - COMM</v>
          </cell>
        </row>
        <row r="7169">
          <cell r="H7169" t="str">
            <v>RENT2TEMP-COMM</v>
          </cell>
          <cell r="I7169" t="str">
            <v>RENT 2 YD TEMP - COMM</v>
          </cell>
        </row>
        <row r="7170">
          <cell r="H7170" t="str">
            <v>RENT6TEMP-COMM</v>
          </cell>
          <cell r="I7170" t="str">
            <v>RENT 6 YD TEMP - COMM</v>
          </cell>
        </row>
        <row r="7171">
          <cell r="H7171" t="str">
            <v>RTRNCART95-COMM</v>
          </cell>
          <cell r="I7171" t="str">
            <v>RETURN TRIP 95 GL - COMM</v>
          </cell>
        </row>
        <row r="7172">
          <cell r="H7172" t="str">
            <v>RTRNTRIP-COMM</v>
          </cell>
          <cell r="I7172" t="str">
            <v>RETURN TRIP FEE - COMM</v>
          </cell>
        </row>
        <row r="7173">
          <cell r="H7173" t="str">
            <v>SL095.0G1W001WRECC</v>
          </cell>
          <cell r="I7173" t="str">
            <v>95 GL 1X WK W/RECY COMM 1</v>
          </cell>
        </row>
        <row r="7174">
          <cell r="H7174" t="str">
            <v>SP1-COMM</v>
          </cell>
          <cell r="I7174" t="str">
            <v>SPECIAL PICK UP 1 YD - CO</v>
          </cell>
        </row>
        <row r="7175">
          <cell r="H7175" t="str">
            <v>SP2-COMM</v>
          </cell>
          <cell r="I7175" t="str">
            <v>SPECIAL PICK UP 2 YD - CO</v>
          </cell>
        </row>
        <row r="7176">
          <cell r="H7176" t="str">
            <v>SP3-COMM</v>
          </cell>
          <cell r="I7176" t="str">
            <v>SPECIAL PICK UP 3 YD - CO</v>
          </cell>
        </row>
        <row r="7177">
          <cell r="H7177" t="str">
            <v>SP4-COMM</v>
          </cell>
          <cell r="I7177" t="str">
            <v>SPECIAL PICK UP 4 YD - CO</v>
          </cell>
        </row>
        <row r="7178">
          <cell r="H7178" t="str">
            <v>SP6-COMM</v>
          </cell>
          <cell r="I7178" t="str">
            <v>SPECIAL PICK UP 6 YD - CO</v>
          </cell>
        </row>
        <row r="7179">
          <cell r="H7179" t="str">
            <v>ACCESSCREC-COMM</v>
          </cell>
          <cell r="I7179" t="str">
            <v>ACCESS FEE COMM RECY - CO</v>
          </cell>
        </row>
        <row r="7180">
          <cell r="H7180" t="str">
            <v>FL002.0Y1W001BCMGL</v>
          </cell>
          <cell r="I7180" t="str">
            <v>2 YD 1X WK BUS CMGL 1</v>
          </cell>
        </row>
        <row r="7181">
          <cell r="H7181" t="str">
            <v>FL002.0Y1W001BOCC</v>
          </cell>
          <cell r="I7181" t="str">
            <v>2 YD 1X WK BUS OCC 1</v>
          </cell>
        </row>
        <row r="7182">
          <cell r="H7182" t="str">
            <v>FL002.0Y1W001SCMGL</v>
          </cell>
          <cell r="I7182" t="str">
            <v>2 YD 1X WK SCHL CMGL 1</v>
          </cell>
        </row>
        <row r="7183">
          <cell r="H7183" t="str">
            <v>FL002.0Y1W001SOCC</v>
          </cell>
          <cell r="I7183" t="str">
            <v>2 YD 1X WK SCHOOL OCC</v>
          </cell>
        </row>
        <row r="7184">
          <cell r="H7184" t="str">
            <v>FL002.0Y2W001BCMGL</v>
          </cell>
          <cell r="I7184" t="str">
            <v>2 YD 2X WK BUS CMGL 1</v>
          </cell>
        </row>
        <row r="7185">
          <cell r="H7185" t="str">
            <v>FL002.0Y2W001BOCC</v>
          </cell>
          <cell r="I7185" t="str">
            <v>2 YD 2X WK BUS OCC 1</v>
          </cell>
        </row>
        <row r="7186">
          <cell r="H7186" t="str">
            <v>FL002.0Y2W001SOCC</v>
          </cell>
          <cell r="I7186" t="str">
            <v>2 YD 2X WK SCHOOL OCC</v>
          </cell>
        </row>
        <row r="7187">
          <cell r="H7187" t="str">
            <v>FL002.0Y3W001BOCC</v>
          </cell>
          <cell r="I7187" t="str">
            <v>2 YD 3X WK BUS OCC 1</v>
          </cell>
        </row>
        <row r="7188">
          <cell r="H7188" t="str">
            <v>FL002.0Y4W001BOCC</v>
          </cell>
          <cell r="I7188" t="str">
            <v>2 YD 4X WK BUS OCC 1</v>
          </cell>
        </row>
        <row r="7189">
          <cell r="H7189" t="str">
            <v>FL004.0Y1W001CMGL</v>
          </cell>
          <cell r="I7189" t="str">
            <v>4 YD 1X WK BUS CMGL 1</v>
          </cell>
        </row>
        <row r="7190">
          <cell r="H7190" t="str">
            <v>FL004.0Y2W001CMGL</v>
          </cell>
          <cell r="I7190" t="str">
            <v>4 YD 2X WK BUS CMGL 1</v>
          </cell>
        </row>
        <row r="7191">
          <cell r="H7191" t="str">
            <v>FL004.0Y3W001BCMGL</v>
          </cell>
          <cell r="I7191" t="str">
            <v>4 YD 3X WK BUS CMGL 1</v>
          </cell>
        </row>
        <row r="7192">
          <cell r="H7192" t="str">
            <v>FL005.0Y1W001BOCC</v>
          </cell>
          <cell r="I7192" t="str">
            <v>5 YD 1X WK BUS OCC 1</v>
          </cell>
        </row>
        <row r="7193">
          <cell r="H7193" t="str">
            <v>FL005.0Y1W001SOCC</v>
          </cell>
          <cell r="I7193" t="str">
            <v>5 YD 1X WK SCHOOL OCC</v>
          </cell>
        </row>
        <row r="7194">
          <cell r="H7194" t="str">
            <v>FL005.0Y2W001BOCC</v>
          </cell>
          <cell r="I7194" t="str">
            <v>5 YD 2X WK BUS OCC 1</v>
          </cell>
        </row>
        <row r="7195">
          <cell r="H7195" t="str">
            <v>FL005.0Y2W001SOCC</v>
          </cell>
          <cell r="I7195" t="str">
            <v>5 YD 2X WK SCHOOL OCC</v>
          </cell>
        </row>
        <row r="7196">
          <cell r="H7196" t="str">
            <v>FL005.0Y3W001BOCC</v>
          </cell>
          <cell r="I7196" t="str">
            <v>5 YD 3X WK BUS OCC 1</v>
          </cell>
        </row>
        <row r="7197">
          <cell r="H7197" t="str">
            <v>FL005.0Y4W001BOCC</v>
          </cell>
          <cell r="I7197" t="str">
            <v>5 YD 4X WK BUS OCC 1</v>
          </cell>
        </row>
        <row r="7198">
          <cell r="H7198" t="str">
            <v>FL005.0Y5W001BOCC</v>
          </cell>
          <cell r="I7198" t="str">
            <v>5 YD 5X WK BUS OCC 1</v>
          </cell>
        </row>
        <row r="7199">
          <cell r="H7199" t="str">
            <v>FL006.0Y1W001BCMGL</v>
          </cell>
          <cell r="I7199" t="str">
            <v>6 YD 1X WK BUS COMINGLE 1</v>
          </cell>
        </row>
        <row r="7200">
          <cell r="H7200" t="str">
            <v>FL006.0Y2W001BCMGL</v>
          </cell>
          <cell r="I7200" t="str">
            <v>6 YD 2X WK BUS COMINGLE 1</v>
          </cell>
        </row>
        <row r="7201">
          <cell r="H7201" t="str">
            <v>FL006.0Y3W001BCMGL</v>
          </cell>
          <cell r="I7201" t="str">
            <v>6 YD 3X WK BUS CMGL 1</v>
          </cell>
        </row>
        <row r="7202">
          <cell r="H7202" t="str">
            <v>FL006.0Y4W001BCMGL</v>
          </cell>
          <cell r="I7202" t="str">
            <v>6 YD 4X WK BUS CMGL 1</v>
          </cell>
        </row>
        <row r="7203">
          <cell r="H7203" t="str">
            <v>MFNBINS</v>
          </cell>
          <cell r="I7203" t="str">
            <v>MULTI-FAMILY REC UNIT N/B</v>
          </cell>
        </row>
        <row r="7204">
          <cell r="H7204" t="str">
            <v>MFWBINS</v>
          </cell>
          <cell r="I7204" t="str">
            <v>MULTI-FAMILY REC UNIT W/B</v>
          </cell>
        </row>
        <row r="7205">
          <cell r="H7205" t="str">
            <v>RENTRECCNT-COMM</v>
          </cell>
          <cell r="I7205" t="str">
            <v>RENTAL FEE RECYCLE CONTAI</v>
          </cell>
        </row>
        <row r="7206">
          <cell r="H7206" t="str">
            <v>ROLL-REC</v>
          </cell>
          <cell r="I7206" t="str">
            <v>ROLL OUT CHARGE - RECYCLI</v>
          </cell>
        </row>
        <row r="7207">
          <cell r="H7207" t="str">
            <v>SL064.0G1W001BCMGLOUT</v>
          </cell>
          <cell r="I7207" t="str">
            <v>64 GL WKLY BUS CMGL OUT</v>
          </cell>
        </row>
        <row r="7208">
          <cell r="H7208" t="str">
            <v>SL064.0GEO001BCMGLOUT</v>
          </cell>
          <cell r="I7208" t="str">
            <v>64 GL EOW BUS CMGL OUT</v>
          </cell>
        </row>
        <row r="7209">
          <cell r="H7209" t="str">
            <v>SL096.0G1M001BCMGLOUT</v>
          </cell>
          <cell r="I7209" t="str">
            <v>96 GL MTHLY BUS CMGL OUT</v>
          </cell>
        </row>
        <row r="7210">
          <cell r="H7210" t="str">
            <v>SL096.0G1W001BCMGLIN</v>
          </cell>
          <cell r="I7210" t="str">
            <v>96 GL WKLY BUS CMGL IN</v>
          </cell>
        </row>
        <row r="7211">
          <cell r="H7211" t="str">
            <v>SL096.0G1W001BCMGLOUT</v>
          </cell>
          <cell r="I7211" t="str">
            <v>96 GL WKLY BUS CMGL OUT</v>
          </cell>
        </row>
        <row r="7212">
          <cell r="H7212" t="str">
            <v>SL096.0G1W001SCMGLOUT</v>
          </cell>
          <cell r="I7212" t="str">
            <v>96 GL WKLY SCHL CMGL OUT</v>
          </cell>
        </row>
        <row r="7213">
          <cell r="H7213" t="str">
            <v>SL096.0GEO001BCMGLIN</v>
          </cell>
          <cell r="I7213" t="str">
            <v>96 GL EOW BUS CMGL IN</v>
          </cell>
        </row>
        <row r="7214">
          <cell r="H7214" t="str">
            <v>SL096.0GEO001BCMGLOUT</v>
          </cell>
          <cell r="I7214" t="str">
            <v>96 GL EOW BUS CMGL OUT</v>
          </cell>
        </row>
        <row r="7215">
          <cell r="H7215" t="str">
            <v>SL096.0GEO001SCMGLOUT</v>
          </cell>
          <cell r="I7215" t="str">
            <v>96 GL EOW SCHL CMGL OUT</v>
          </cell>
        </row>
        <row r="7216">
          <cell r="H7216" t="str">
            <v>ACCESSCREC-COMM</v>
          </cell>
          <cell r="I7216" t="str">
            <v>ACCESS FEE COMM RECY - CO</v>
          </cell>
        </row>
        <row r="7217">
          <cell r="H7217" t="str">
            <v>FL006.0Y3W001BCMGL</v>
          </cell>
          <cell r="I7217" t="str">
            <v>6 YD 3X WK BUS CMGL 1</v>
          </cell>
        </row>
        <row r="7218">
          <cell r="H7218" t="str">
            <v>RTRNCART96REC-COMM</v>
          </cell>
          <cell r="I7218" t="str">
            <v>RETURN TRIP 96 GL REC - C</v>
          </cell>
        </row>
        <row r="7219">
          <cell r="H7219" t="str">
            <v>SP2BCMGL-COMM</v>
          </cell>
          <cell r="I7219" t="str">
            <v>SPECIAL P/U 2 YD BUS CMGL</v>
          </cell>
        </row>
        <row r="7220">
          <cell r="H7220" t="str">
            <v>SPGRAD1REC-COMM</v>
          </cell>
          <cell r="I7220" t="str">
            <v>SPECIAL UNIT GRAD1 REC - COMM</v>
          </cell>
        </row>
        <row r="7221">
          <cell r="H7221" t="str">
            <v>SPGRAD2REC-COMM</v>
          </cell>
          <cell r="I7221" t="str">
            <v>SPECIAL UNIT GRAD2 REC - COMM</v>
          </cell>
        </row>
        <row r="7222">
          <cell r="H7222" t="str">
            <v>CC-KOL</v>
          </cell>
          <cell r="I7222" t="str">
            <v>ONLINE PAYMENT-CC</v>
          </cell>
        </row>
        <row r="7223">
          <cell r="H7223" t="str">
            <v>CCREF-KOL</v>
          </cell>
          <cell r="I7223" t="str">
            <v>CREDIT CARD REFUND</v>
          </cell>
        </row>
        <row r="7224">
          <cell r="H7224" t="str">
            <v>PAY</v>
          </cell>
          <cell r="I7224" t="str">
            <v>PAYMENT THANK YOU</v>
          </cell>
        </row>
        <row r="7225">
          <cell r="H7225" t="str">
            <v>PAY-CFREE</v>
          </cell>
          <cell r="I7225" t="str">
            <v>CHECKFREE PAYMENT</v>
          </cell>
        </row>
        <row r="7226">
          <cell r="H7226" t="str">
            <v>PAY-KOL</v>
          </cell>
          <cell r="I7226" t="str">
            <v>PAYMENT-THANK YOU - OL</v>
          </cell>
        </row>
        <row r="7227">
          <cell r="H7227" t="str">
            <v>PAY-ORCC</v>
          </cell>
          <cell r="I7227" t="str">
            <v>ORCC PAYMENT</v>
          </cell>
        </row>
        <row r="7228">
          <cell r="H7228" t="str">
            <v>PAY-RPPS</v>
          </cell>
          <cell r="I7228" t="str">
            <v>RPPS MASTERCARD PAYMENT</v>
          </cell>
        </row>
        <row r="7229">
          <cell r="H7229" t="str">
            <v>PAYMET</v>
          </cell>
          <cell r="I7229" t="str">
            <v>METAVANTE ONLINE PAYMENT</v>
          </cell>
        </row>
        <row r="7230">
          <cell r="H7230" t="str">
            <v>PAYUSBL</v>
          </cell>
          <cell r="I7230" t="str">
            <v>PAYMENT THANK YOU</v>
          </cell>
        </row>
        <row r="7231">
          <cell r="H7231" t="str">
            <v>RET-KOL</v>
          </cell>
          <cell r="I7231" t="str">
            <v>ONLINE PAYMENT RETURN</v>
          </cell>
        </row>
        <row r="7232">
          <cell r="H7232" t="str">
            <v>CC-KOL</v>
          </cell>
          <cell r="I7232" t="str">
            <v>ONLINE PAYMENT-CC</v>
          </cell>
        </row>
        <row r="7233">
          <cell r="H7233" t="str">
            <v>CCREF-KOL</v>
          </cell>
          <cell r="I7233" t="str">
            <v>CREDIT CARD REFUND</v>
          </cell>
        </row>
        <row r="7234">
          <cell r="H7234" t="str">
            <v>PAY</v>
          </cell>
          <cell r="I7234" t="str">
            <v>PAYMENT THANK YOU</v>
          </cell>
        </row>
        <row r="7235">
          <cell r="H7235" t="str">
            <v>PAY-CFREE</v>
          </cell>
          <cell r="I7235" t="str">
            <v>CHECKFREE PAYMENT</v>
          </cell>
        </row>
        <row r="7236">
          <cell r="H7236" t="str">
            <v>PAY-KOL</v>
          </cell>
          <cell r="I7236" t="str">
            <v>PAYMENT-THANK YOU - OL</v>
          </cell>
        </row>
        <row r="7237">
          <cell r="H7237" t="str">
            <v>PAY-ORCC</v>
          </cell>
          <cell r="I7237" t="str">
            <v>ORCC PAYMENT</v>
          </cell>
        </row>
        <row r="7238">
          <cell r="H7238" t="str">
            <v>PAY-RPPS</v>
          </cell>
          <cell r="I7238" t="str">
            <v>RPPS MASTERCARD PAYMENT</v>
          </cell>
        </row>
        <row r="7239">
          <cell r="H7239" t="str">
            <v>PAYMET</v>
          </cell>
          <cell r="I7239" t="str">
            <v>METAVANTE ONLINE PAYMENT</v>
          </cell>
        </row>
        <row r="7240">
          <cell r="H7240" t="str">
            <v>PAYUSBL</v>
          </cell>
          <cell r="I7240" t="str">
            <v>PAYMENT THANK YOU</v>
          </cell>
        </row>
        <row r="7241">
          <cell r="H7241" t="str">
            <v>RET-KOL</v>
          </cell>
          <cell r="I7241" t="str">
            <v>ONLINE PAYMENT RETURN</v>
          </cell>
        </row>
        <row r="7242">
          <cell r="H7242" t="str">
            <v>CC-KOL</v>
          </cell>
          <cell r="I7242" t="str">
            <v>ONLINE PAYMENT-CC</v>
          </cell>
        </row>
        <row r="7243">
          <cell r="H7243" t="str">
            <v>CCREF-KOL</v>
          </cell>
          <cell r="I7243" t="str">
            <v>CREDIT CARD REFUND</v>
          </cell>
        </row>
        <row r="7244">
          <cell r="H7244" t="str">
            <v>PAY</v>
          </cell>
          <cell r="I7244" t="str">
            <v>PAYMENT THANK YOU</v>
          </cell>
        </row>
        <row r="7245">
          <cell r="H7245" t="str">
            <v>PAY-CFREE</v>
          </cell>
          <cell r="I7245" t="str">
            <v>CHECKFREE PAYMENT</v>
          </cell>
        </row>
        <row r="7246">
          <cell r="H7246" t="str">
            <v>PAY-KOL</v>
          </cell>
          <cell r="I7246" t="str">
            <v>PAYMENT-THANK YOU - OL</v>
          </cell>
        </row>
        <row r="7247">
          <cell r="H7247" t="str">
            <v>PAY-NATL</v>
          </cell>
          <cell r="I7247" t="str">
            <v>PAYMENT THANK YOU</v>
          </cell>
        </row>
        <row r="7248">
          <cell r="H7248" t="str">
            <v>PAY-OAK</v>
          </cell>
          <cell r="I7248" t="str">
            <v>OAKLEAF PAYMENT</v>
          </cell>
        </row>
        <row r="7249">
          <cell r="H7249" t="str">
            <v>PAY-ORCC</v>
          </cell>
          <cell r="I7249" t="str">
            <v>ORCC PAYMENT</v>
          </cell>
        </row>
        <row r="7250">
          <cell r="H7250" t="str">
            <v>PAY-RPPS</v>
          </cell>
          <cell r="I7250" t="str">
            <v>RPPS MASTERCARD PAYMENT</v>
          </cell>
        </row>
        <row r="7251">
          <cell r="H7251" t="str">
            <v>PAYEFT</v>
          </cell>
          <cell r="I7251" t="str">
            <v>EFT PAYMENT</v>
          </cell>
        </row>
        <row r="7252">
          <cell r="H7252" t="str">
            <v>PAYICLRI</v>
          </cell>
          <cell r="I7252" t="str">
            <v>PAYMENT THANK YOU</v>
          </cell>
        </row>
        <row r="7253">
          <cell r="H7253" t="str">
            <v>PAYMET</v>
          </cell>
          <cell r="I7253" t="str">
            <v>METAVANTE ONLINE PAYMENT</v>
          </cell>
        </row>
        <row r="7254">
          <cell r="H7254" t="str">
            <v>PAYUSBL</v>
          </cell>
          <cell r="I7254" t="str">
            <v>PAYMENT THANK YOU</v>
          </cell>
        </row>
        <row r="7255">
          <cell r="H7255" t="str">
            <v>RET-KOL</v>
          </cell>
          <cell r="I7255" t="str">
            <v>ONLINE PAYMENT RETURN</v>
          </cell>
        </row>
        <row r="7256">
          <cell r="H7256" t="str">
            <v>PAYUSBL</v>
          </cell>
          <cell r="I7256" t="str">
            <v>PAYMENT THANK YOU</v>
          </cell>
        </row>
        <row r="7257">
          <cell r="H7257" t="str">
            <v>ACCESS-RES</v>
          </cell>
          <cell r="I7257" t="str">
            <v>ACCESS FEE - RES</v>
          </cell>
        </row>
        <row r="7258">
          <cell r="H7258" t="str">
            <v>DRIVEIN-RES</v>
          </cell>
          <cell r="I7258" t="str">
            <v>DRIVE IN SERVICE - RES</v>
          </cell>
        </row>
        <row r="7259">
          <cell r="H7259" t="str">
            <v>DRIVEIN1-RES</v>
          </cell>
          <cell r="I7259" t="str">
            <v>DRIVE IN 1 - RES</v>
          </cell>
        </row>
        <row r="7260">
          <cell r="H7260" t="str">
            <v>DRIVEIN2-RES</v>
          </cell>
          <cell r="I7260" t="str">
            <v>DRIVE IN 2 - RES</v>
          </cell>
        </row>
        <row r="7261">
          <cell r="H7261" t="str">
            <v>DRIVEIN3-RES</v>
          </cell>
          <cell r="I7261" t="str">
            <v>DRIVE IN 3 - RES</v>
          </cell>
        </row>
        <row r="7262">
          <cell r="H7262" t="str">
            <v>DRIVEIN7-RES</v>
          </cell>
          <cell r="I7262" t="str">
            <v>DRIVE IN 7 - RES</v>
          </cell>
        </row>
        <row r="7263">
          <cell r="H7263" t="str">
            <v>EMPLOYEER</v>
          </cell>
          <cell r="I7263" t="str">
            <v>EMPLOYEE SERVICE RES</v>
          </cell>
        </row>
        <row r="7264">
          <cell r="H7264" t="str">
            <v>GWRES</v>
          </cell>
          <cell r="I7264" t="str">
            <v>GREENWASTE SERVICE - RES</v>
          </cell>
        </row>
        <row r="7265">
          <cell r="H7265" t="str">
            <v>GWSPCL-RES</v>
          </cell>
          <cell r="I7265" t="str">
            <v>GREENWASTE SEN/DIS - RES</v>
          </cell>
        </row>
        <row r="7266">
          <cell r="H7266" t="str">
            <v>GWSPCLR-OC</v>
          </cell>
          <cell r="I7266" t="str">
            <v>GREENWASTE S/D ON CALL - RES</v>
          </cell>
        </row>
        <row r="7267">
          <cell r="H7267" t="str">
            <v>RECBINONLYR</v>
          </cell>
          <cell r="I7267" t="str">
            <v>RECYCLE SERVICE ONLY</v>
          </cell>
        </row>
        <row r="7268">
          <cell r="H7268" t="str">
            <v>RECPROGADJ-RES</v>
          </cell>
          <cell r="I7268" t="str">
            <v>RECYCLING PROGRAM ADJUSTM</v>
          </cell>
        </row>
        <row r="7269">
          <cell r="H7269" t="str">
            <v>RECVALRES</v>
          </cell>
          <cell r="I7269" t="str">
            <v>RECYCLABLES VALUE - RES</v>
          </cell>
        </row>
        <row r="7270">
          <cell r="H7270" t="str">
            <v>RL032.0G1M001WREC</v>
          </cell>
          <cell r="I7270" t="str">
            <v>32 GL 1X MO W/RECY 1</v>
          </cell>
        </row>
        <row r="7271">
          <cell r="H7271" t="str">
            <v>SL032.0G1W001WREC</v>
          </cell>
          <cell r="I7271" t="str">
            <v>32 GL 1X WK W/RECY 1</v>
          </cell>
        </row>
        <row r="7272">
          <cell r="H7272" t="str">
            <v>SL035.0G1M001NOREC</v>
          </cell>
          <cell r="I7272" t="str">
            <v>35 GL 1X MO NO RECY 1</v>
          </cell>
        </row>
        <row r="7273">
          <cell r="H7273" t="str">
            <v>SL035.0G1M001WREC</v>
          </cell>
          <cell r="I7273" t="str">
            <v>35 GL 1X MO W/RECY 1</v>
          </cell>
        </row>
        <row r="7274">
          <cell r="H7274" t="str">
            <v>SL035.0G1W001NOREC</v>
          </cell>
          <cell r="I7274" t="str">
            <v>35 GL 1X WK NO RECY 1</v>
          </cell>
        </row>
        <row r="7275">
          <cell r="H7275" t="str">
            <v>SL035.0G1W001WREC</v>
          </cell>
          <cell r="I7275" t="str">
            <v>35 GL 1X WK W/ RECY 1</v>
          </cell>
        </row>
        <row r="7276">
          <cell r="H7276" t="str">
            <v>SL035.0GEO001WREC</v>
          </cell>
          <cell r="I7276" t="str">
            <v>35 GL EOW W/RECY 1</v>
          </cell>
        </row>
        <row r="7277">
          <cell r="H7277" t="str">
            <v>SL065.0G1M001NOREC</v>
          </cell>
          <cell r="I7277" t="str">
            <v>65 GL 1X MO NO RECY 1</v>
          </cell>
        </row>
        <row r="7278">
          <cell r="H7278" t="str">
            <v>SL065.0G1M001WREC</v>
          </cell>
          <cell r="I7278" t="str">
            <v>65 GL 1X MO W/RECY 1</v>
          </cell>
        </row>
        <row r="7279">
          <cell r="H7279" t="str">
            <v>SL065.0G1M001WRECSPCL</v>
          </cell>
          <cell r="I7279" t="str">
            <v>65 GL 1X MO W/RECY S/D 1</v>
          </cell>
        </row>
        <row r="7280">
          <cell r="H7280" t="str">
            <v>SL065.0G1W001NOREC</v>
          </cell>
          <cell r="I7280" t="str">
            <v>65 GL 1X WK NO RECY 1</v>
          </cell>
        </row>
        <row r="7281">
          <cell r="H7281" t="str">
            <v>SL065.0G1W001SPCLNOREC</v>
          </cell>
          <cell r="I7281" t="str">
            <v>65 GL 1X WK S/D NO REC 1</v>
          </cell>
        </row>
        <row r="7282">
          <cell r="H7282" t="str">
            <v>SL065.0G1W001SPCLWREC</v>
          </cell>
          <cell r="I7282" t="str">
            <v>65 GL 1X WK S/D W/REC 1</v>
          </cell>
        </row>
        <row r="7283">
          <cell r="H7283" t="str">
            <v>SL065.0G1W001WREC</v>
          </cell>
          <cell r="I7283" t="str">
            <v>65 GL 1X WK W/RECY 1</v>
          </cell>
        </row>
        <row r="7284">
          <cell r="H7284" t="str">
            <v>SL065.0GEO001NOREC</v>
          </cell>
          <cell r="I7284" t="str">
            <v>65 GL EOW NO RECY 1</v>
          </cell>
        </row>
        <row r="7285">
          <cell r="H7285" t="str">
            <v>SL065.0GEO001SPCLNOREC</v>
          </cell>
          <cell r="I7285" t="str">
            <v>65 GL EOW S/D NO RECY 1</v>
          </cell>
        </row>
        <row r="7286">
          <cell r="H7286" t="str">
            <v>SL065.0GEO001SPCLWREC</v>
          </cell>
          <cell r="I7286" t="str">
            <v>65 GL EOW S/D W/RECY 1</v>
          </cell>
        </row>
        <row r="7287">
          <cell r="H7287" t="str">
            <v>SL065.0GEO001WREC</v>
          </cell>
          <cell r="I7287" t="str">
            <v>65 GL EOW W/RECY 1</v>
          </cell>
        </row>
        <row r="7288">
          <cell r="H7288" t="str">
            <v>SL095.0G1M0001WRECSPCL</v>
          </cell>
          <cell r="I7288" t="str">
            <v>95 GL 1X MO S/D W/RECY 1</v>
          </cell>
        </row>
        <row r="7289">
          <cell r="H7289" t="str">
            <v>SL095.0G1M001WREC</v>
          </cell>
          <cell r="I7289" t="str">
            <v>95 GL 1X MO W/RECY 1</v>
          </cell>
        </row>
        <row r="7290">
          <cell r="H7290" t="str">
            <v>SL095.0G1W001NOREC</v>
          </cell>
          <cell r="I7290" t="str">
            <v>95 GL 1X WK NO RECY 1</v>
          </cell>
        </row>
        <row r="7291">
          <cell r="H7291" t="str">
            <v>SL095.0G1W001WREC</v>
          </cell>
          <cell r="I7291" t="str">
            <v>95 GL 1X WK W/RECY 1</v>
          </cell>
        </row>
        <row r="7292">
          <cell r="H7292" t="str">
            <v>SL095.0GEO001NOREC</v>
          </cell>
          <cell r="I7292" t="str">
            <v>95 GL EOW NO RECY 1</v>
          </cell>
        </row>
        <row r="7293">
          <cell r="H7293" t="str">
            <v>SL095.0GEO001WREC</v>
          </cell>
          <cell r="I7293" t="str">
            <v>95 GL EOW W/RECY 1</v>
          </cell>
        </row>
        <row r="7294">
          <cell r="H7294" t="str">
            <v>WI-RES</v>
          </cell>
          <cell r="I7294" t="str">
            <v>WALK IN 6-25' - RES</v>
          </cell>
        </row>
        <row r="7295">
          <cell r="H7295" t="str">
            <v>WI1-RES</v>
          </cell>
          <cell r="I7295" t="str">
            <v>WALK IN 6-25' - RES</v>
          </cell>
        </row>
        <row r="7296">
          <cell r="H7296" t="str">
            <v>WI2-RES</v>
          </cell>
          <cell r="I7296" t="str">
            <v>WALK IN 26-50' - RES</v>
          </cell>
        </row>
        <row r="7297">
          <cell r="H7297" t="str">
            <v>WI3-RES</v>
          </cell>
          <cell r="I7297" t="str">
            <v>WALK IN 51-75' - RES</v>
          </cell>
        </row>
        <row r="7298">
          <cell r="H7298" t="str">
            <v>WI4-RES</v>
          </cell>
          <cell r="I7298" t="str">
            <v>WALK IN 76-100' - RES</v>
          </cell>
        </row>
        <row r="7299">
          <cell r="H7299" t="str">
            <v>WI5-RES</v>
          </cell>
          <cell r="I7299" t="str">
            <v>WALK IN 101-125' - RES</v>
          </cell>
        </row>
        <row r="7300">
          <cell r="H7300" t="str">
            <v>WI8-RES</v>
          </cell>
          <cell r="I7300" t="str">
            <v>WALK IN 176-200' - RES</v>
          </cell>
        </row>
        <row r="7301">
          <cell r="H7301" t="str">
            <v>ADJ-RES</v>
          </cell>
          <cell r="I7301" t="str">
            <v>ADJUSTMENT SERVICE - RES</v>
          </cell>
        </row>
        <row r="7302">
          <cell r="H7302" t="str">
            <v>BULKY-RES</v>
          </cell>
          <cell r="I7302" t="str">
            <v>BULKY ITEM PICK UP - RES</v>
          </cell>
        </row>
        <row r="7303">
          <cell r="H7303" t="str">
            <v>EP96GWC-RES</v>
          </cell>
          <cell r="I7303" t="str">
            <v>EXTRA PICK UP 96 GW - RES</v>
          </cell>
        </row>
        <row r="7304">
          <cell r="H7304" t="str">
            <v>EXTRA-RES</v>
          </cell>
          <cell r="I7304" t="str">
            <v>EXTRA CAN, BAG, BOX - RES</v>
          </cell>
        </row>
        <row r="7305">
          <cell r="H7305" t="str">
            <v>EXTRAGRAD1-RES</v>
          </cell>
          <cell r="I7305" t="str">
            <v>EXTRAS GRADUATED 1-2 - RES</v>
          </cell>
        </row>
        <row r="7306">
          <cell r="H7306" t="str">
            <v>EXTRAGRAD2-RES</v>
          </cell>
          <cell r="I7306" t="str">
            <v>EXTRAS GRADUATED 3+ - RES</v>
          </cell>
        </row>
        <row r="7307">
          <cell r="H7307" t="str">
            <v>EXTRAGWC-RES</v>
          </cell>
          <cell r="I7307" t="str">
            <v>EXTRA GREENWASTE FEE - RE</v>
          </cell>
        </row>
        <row r="7308">
          <cell r="H7308" t="str">
            <v>GWRES</v>
          </cell>
          <cell r="I7308" t="str">
            <v>GREENWASTE SERVICE - RES</v>
          </cell>
        </row>
        <row r="7309">
          <cell r="H7309" t="str">
            <v>OC-RES</v>
          </cell>
          <cell r="I7309" t="str">
            <v>ON CALL SERVICE - RES</v>
          </cell>
        </row>
        <row r="7310">
          <cell r="H7310" t="str">
            <v>OW-RES</v>
          </cell>
          <cell r="I7310" t="str">
            <v>OVERFILL / OVERWEIGHT CAN</v>
          </cell>
        </row>
        <row r="7311">
          <cell r="H7311" t="str">
            <v>REINSTATE-RES</v>
          </cell>
          <cell r="I7311" t="str">
            <v>REINSTATE FEE - RES</v>
          </cell>
        </row>
        <row r="7312">
          <cell r="H7312" t="str">
            <v>RTRNCART65-RES</v>
          </cell>
          <cell r="I7312" t="str">
            <v>RETURN TRIP 65 GL - RES</v>
          </cell>
        </row>
        <row r="7313">
          <cell r="H7313" t="str">
            <v>RTRNCART95-RES</v>
          </cell>
          <cell r="I7313" t="str">
            <v>RETURN TRIP 95 GL - RES</v>
          </cell>
        </row>
        <row r="7314">
          <cell r="H7314" t="str">
            <v>SL065.0G1W001WREC</v>
          </cell>
          <cell r="I7314" t="str">
            <v>65 GL 1X WK W/RECY 1</v>
          </cell>
        </row>
        <row r="7315">
          <cell r="H7315" t="str">
            <v>SL065.0GEO001NOREC</v>
          </cell>
          <cell r="I7315" t="str">
            <v>65 GL EOW NO RECY 1</v>
          </cell>
        </row>
        <row r="7316">
          <cell r="H7316" t="str">
            <v>SL065.0GEO001WREC</v>
          </cell>
          <cell r="I7316" t="str">
            <v>65 GL EOW W/RECY 1</v>
          </cell>
        </row>
        <row r="7317">
          <cell r="H7317" t="str">
            <v>SPGRAD1-RES</v>
          </cell>
          <cell r="I7317" t="str">
            <v>SPECIAL GRADUATED 1-2 - R</v>
          </cell>
        </row>
        <row r="7318">
          <cell r="H7318" t="str">
            <v>SPGRAD2-RES</v>
          </cell>
          <cell r="I7318" t="str">
            <v>SPECIAL GRADUATED 3+ - RE</v>
          </cell>
        </row>
        <row r="7319">
          <cell r="H7319" t="str">
            <v>TIME-RES</v>
          </cell>
          <cell r="I7319" t="str">
            <v>TIME FEE 1 - RES</v>
          </cell>
        </row>
        <row r="7320">
          <cell r="H7320" t="str">
            <v>ACCESS-RES</v>
          </cell>
          <cell r="I7320" t="str">
            <v>ACCESS FEE - RES</v>
          </cell>
        </row>
        <row r="7321">
          <cell r="H7321" t="str">
            <v>GWRES</v>
          </cell>
          <cell r="I7321" t="str">
            <v>GREENWASTE SERVICE - RES</v>
          </cell>
        </row>
        <row r="7322">
          <cell r="H7322" t="str">
            <v>RECBINONLYR</v>
          </cell>
          <cell r="I7322" t="str">
            <v>RECYCLE SERVICE ONLY</v>
          </cell>
        </row>
        <row r="7323">
          <cell r="H7323" t="str">
            <v>SL035.0G1M001WREC</v>
          </cell>
          <cell r="I7323" t="str">
            <v>35 GL 1X MO W/RECY 1</v>
          </cell>
        </row>
        <row r="7324">
          <cell r="H7324" t="str">
            <v>SL035.0G1W001WREC</v>
          </cell>
          <cell r="I7324" t="str">
            <v>35 GL 1X WK W/ RECY 1</v>
          </cell>
        </row>
        <row r="7325">
          <cell r="H7325" t="str">
            <v>SL065.0G1M001WREC</v>
          </cell>
          <cell r="I7325" t="str">
            <v>65 GL 1X MO W/RECY 1</v>
          </cell>
        </row>
        <row r="7326">
          <cell r="H7326" t="str">
            <v>SL065.0G1W001WREC</v>
          </cell>
          <cell r="I7326" t="str">
            <v>65 GL 1X WK W/RECY 1</v>
          </cell>
        </row>
        <row r="7327">
          <cell r="H7327" t="str">
            <v>SL065.0GEO001WREC</v>
          </cell>
          <cell r="I7327" t="str">
            <v>65 GL EOW W/RECY 1</v>
          </cell>
        </row>
        <row r="7328">
          <cell r="H7328" t="str">
            <v>SL095.0G1W001NOREC</v>
          </cell>
          <cell r="I7328" t="str">
            <v>95 GL 1X WK NO RECY 1</v>
          </cell>
        </row>
        <row r="7329">
          <cell r="H7329" t="str">
            <v>SL095.0G1W001WREC</v>
          </cell>
          <cell r="I7329" t="str">
            <v>95 GL 1X WK W/RECY 1</v>
          </cell>
        </row>
        <row r="7330">
          <cell r="H7330" t="str">
            <v>SL095.0GEO001WREC</v>
          </cell>
          <cell r="I7330" t="str">
            <v>95 GL EOW W/RECY 1</v>
          </cell>
        </row>
        <row r="7331">
          <cell r="H7331" t="str">
            <v>WI1-RES</v>
          </cell>
          <cell r="I7331" t="str">
            <v>WALK IN 6-25' - RES</v>
          </cell>
        </row>
        <row r="7332">
          <cell r="H7332" t="str">
            <v>BULKY-RES</v>
          </cell>
          <cell r="I7332" t="str">
            <v>BULKY ITEM PICK UP - RES</v>
          </cell>
        </row>
        <row r="7333">
          <cell r="H7333" t="str">
            <v>EP96GWC-RES</v>
          </cell>
          <cell r="I7333" t="str">
            <v>EXTRA PICK UP 96 GW - RES</v>
          </cell>
        </row>
        <row r="7334">
          <cell r="H7334" t="str">
            <v>EXTRAGRAD1-RES</v>
          </cell>
          <cell r="I7334" t="str">
            <v>EXTRAS GRADUATED 1-2 - RES</v>
          </cell>
        </row>
        <row r="7335">
          <cell r="H7335" t="str">
            <v>EXTRAGRAD2-RES</v>
          </cell>
          <cell r="I7335" t="str">
            <v>EXTRAS GRADUATED 3+ - RES</v>
          </cell>
        </row>
        <row r="7336">
          <cell r="H7336" t="str">
            <v>EXTRAGWC-RES</v>
          </cell>
          <cell r="I7336" t="str">
            <v>EXTRA GREENWASTE FEE - RE</v>
          </cell>
        </row>
        <row r="7337">
          <cell r="H7337" t="str">
            <v>GWRES</v>
          </cell>
          <cell r="I7337" t="str">
            <v>GREENWASTE SERVICE - RES</v>
          </cell>
        </row>
        <row r="7338">
          <cell r="H7338" t="str">
            <v>OC-RES</v>
          </cell>
          <cell r="I7338" t="str">
            <v>ON CALL SERVICE - RES</v>
          </cell>
        </row>
        <row r="7339">
          <cell r="H7339" t="str">
            <v>OW-RES</v>
          </cell>
          <cell r="I7339" t="str">
            <v>OVERFILL / OVERWEIGHT CAN</v>
          </cell>
        </row>
        <row r="7340">
          <cell r="H7340" t="str">
            <v>REINSTATE-RES</v>
          </cell>
          <cell r="I7340" t="str">
            <v>REINSTATE FEE - RES</v>
          </cell>
        </row>
        <row r="7341">
          <cell r="H7341" t="str">
            <v>RTRNCART65-RES</v>
          </cell>
          <cell r="I7341" t="str">
            <v>RETURN TRIP 65 GL - RES</v>
          </cell>
        </row>
        <row r="7342">
          <cell r="H7342" t="str">
            <v>RTRNCART95-RES</v>
          </cell>
          <cell r="I7342" t="str">
            <v>RETURN TRIP 95 GL - RES</v>
          </cell>
        </row>
        <row r="7343">
          <cell r="H7343" t="str">
            <v>RTRNCART96REC-RES</v>
          </cell>
          <cell r="I7343" t="str">
            <v>RETURN TRIP 96 GL REC - RES</v>
          </cell>
        </row>
        <row r="7344">
          <cell r="H7344" t="str">
            <v>RTRNTRIP-RES</v>
          </cell>
          <cell r="I7344" t="str">
            <v>RETURN TRIP FEE - RES</v>
          </cell>
        </row>
        <row r="7345">
          <cell r="H7345" t="str">
            <v>SL065.0G1W001WREC</v>
          </cell>
          <cell r="I7345" t="str">
            <v>65 GL 1X WK W/RECY 1</v>
          </cell>
        </row>
        <row r="7346">
          <cell r="H7346" t="str">
            <v>SL065.0GEO001WREC</v>
          </cell>
          <cell r="I7346" t="str">
            <v>65 GL EOW W/RECY 1</v>
          </cell>
        </row>
        <row r="7347">
          <cell r="H7347" t="str">
            <v>SPGRAD1-RES</v>
          </cell>
          <cell r="I7347" t="str">
            <v>SPECIAL GRADUATED 1-2 - R</v>
          </cell>
        </row>
        <row r="7348">
          <cell r="H7348" t="str">
            <v>SPGRAD2-RES</v>
          </cell>
          <cell r="I7348" t="str">
            <v>SPECIAL GRADUATED 3+ - RE</v>
          </cell>
        </row>
        <row r="7349">
          <cell r="H7349" t="str">
            <v>SL095.0G1W001WREC</v>
          </cell>
          <cell r="I7349" t="str">
            <v>95 GL 1X WK W/RECY 1</v>
          </cell>
        </row>
        <row r="7350">
          <cell r="H7350" t="str">
            <v>BULKY-RES</v>
          </cell>
          <cell r="I7350" t="str">
            <v>BULKY ITEM PICK UP - RES</v>
          </cell>
        </row>
        <row r="7351">
          <cell r="H7351" t="str">
            <v>OW-RES</v>
          </cell>
          <cell r="I7351" t="str">
            <v>OVERFILL / OVERWEIGHT CAN</v>
          </cell>
        </row>
        <row r="7352">
          <cell r="H7352" t="str">
            <v>EXTRAGRAD1-RES</v>
          </cell>
          <cell r="I7352" t="str">
            <v>EXTRAS GRADUATED 1-2 - RES</v>
          </cell>
        </row>
        <row r="7353">
          <cell r="H7353" t="str">
            <v>EXTRAGRAD2-RES</v>
          </cell>
          <cell r="I7353" t="str">
            <v>EXTRAS GRADUATED 3+ - RES</v>
          </cell>
        </row>
        <row r="7354">
          <cell r="H7354" t="str">
            <v>DISCO-CP</v>
          </cell>
          <cell r="I7354" t="str">
            <v xml:space="preserve">COMPACTOR DISCONNECT FEE </v>
          </cell>
        </row>
        <row r="7355">
          <cell r="H7355" t="str">
            <v>HAUL30-RO</v>
          </cell>
          <cell r="I7355" t="str">
            <v>HAUL 30 YD - RO</v>
          </cell>
        </row>
        <row r="7356">
          <cell r="H7356" t="str">
            <v>LIDRO</v>
          </cell>
          <cell r="I7356" t="str">
            <v>LID CHARGE - RO</v>
          </cell>
        </row>
        <row r="7357">
          <cell r="H7357" t="str">
            <v>RENT15MO-RO</v>
          </cell>
          <cell r="I7357" t="str">
            <v>RENTAL FEE 15 YD MONTHLY</v>
          </cell>
        </row>
        <row r="7358">
          <cell r="H7358" t="str">
            <v>RENT20MO-RO</v>
          </cell>
          <cell r="I7358" t="str">
            <v>RENTAL FEE 20 YD MONTHLY</v>
          </cell>
        </row>
        <row r="7359">
          <cell r="H7359" t="str">
            <v>RENT30MO-RO</v>
          </cell>
          <cell r="I7359" t="str">
            <v>RENTAL FEE 30 YD MONTHLY</v>
          </cell>
        </row>
        <row r="7360">
          <cell r="H7360" t="str">
            <v>RENT30TEMP-RO</v>
          </cell>
          <cell r="I7360" t="str">
            <v>RENTAL FEE 30 YD TEMP - R</v>
          </cell>
        </row>
        <row r="7361">
          <cell r="H7361" t="str">
            <v>RENT40MO-RO</v>
          </cell>
          <cell r="I7361" t="str">
            <v>RENTAL FEE 40 YD MONTHLY</v>
          </cell>
        </row>
        <row r="7362">
          <cell r="H7362" t="str">
            <v>DEL20TEMP-RO</v>
          </cell>
          <cell r="I7362" t="str">
            <v>DELIVERY FEE 20 YD TEMP -</v>
          </cell>
        </row>
        <row r="7363">
          <cell r="H7363" t="str">
            <v>DEL30TEMP-RO</v>
          </cell>
          <cell r="I7363" t="str">
            <v>DELIVERY FEE 30 YD TEMP -</v>
          </cell>
        </row>
        <row r="7364">
          <cell r="H7364" t="str">
            <v>DEL40TEMP-RO</v>
          </cell>
          <cell r="I7364" t="str">
            <v>DELIVERY FEE 40 YD TEMP -</v>
          </cell>
        </row>
        <row r="7365">
          <cell r="H7365" t="str">
            <v>DISCO-CP</v>
          </cell>
          <cell r="I7365" t="str">
            <v xml:space="preserve">COMPACTOR DISCONNECT FEE </v>
          </cell>
        </row>
        <row r="7366">
          <cell r="H7366" t="str">
            <v>DISP-RO</v>
          </cell>
          <cell r="I7366" t="str">
            <v>DISPOSAL CHARGE - RO</v>
          </cell>
        </row>
        <row r="7367">
          <cell r="H7367" t="str">
            <v>DISPTRANS-RO</v>
          </cell>
          <cell r="I7367" t="str">
            <v>DISPOSAL FEE TRANSFER HAU</v>
          </cell>
        </row>
        <row r="7368">
          <cell r="H7368" t="str">
            <v>EXWGHT-RO</v>
          </cell>
          <cell r="I7368" t="str">
            <v>EXCESS WEIGHT - RO</v>
          </cell>
        </row>
        <row r="7369">
          <cell r="H7369" t="str">
            <v>FINAL20-RO</v>
          </cell>
          <cell r="I7369" t="str">
            <v>FINAL PULL 20 YD - RO</v>
          </cell>
        </row>
        <row r="7370">
          <cell r="H7370" t="str">
            <v>FINAL20TEMP-RO</v>
          </cell>
          <cell r="I7370" t="str">
            <v>FINAL PULL 20 YD TEMP - R</v>
          </cell>
        </row>
        <row r="7371">
          <cell r="H7371" t="str">
            <v>FINAL30TEMP-RO</v>
          </cell>
          <cell r="I7371" t="str">
            <v>FINAL PULL 30 YD TEMP - R</v>
          </cell>
        </row>
        <row r="7372">
          <cell r="H7372" t="str">
            <v>FINAL40TEMP-RO</v>
          </cell>
          <cell r="I7372" t="str">
            <v>FINAL PULL 40 YD TEMP - R</v>
          </cell>
        </row>
        <row r="7373">
          <cell r="H7373" t="str">
            <v>HAUL10-CP</v>
          </cell>
          <cell r="I7373" t="str">
            <v>COMPACTOR HAUL 10 YD - RO</v>
          </cell>
        </row>
        <row r="7374">
          <cell r="H7374" t="str">
            <v>HAUL15-CP</v>
          </cell>
          <cell r="I7374" t="str">
            <v>COMPACTOR HAUL 15 YD</v>
          </cell>
        </row>
        <row r="7375">
          <cell r="H7375" t="str">
            <v>HAUL20-CP</v>
          </cell>
          <cell r="I7375" t="str">
            <v>COMPACTOR HAUL 20 YD - RO</v>
          </cell>
        </row>
        <row r="7376">
          <cell r="H7376" t="str">
            <v>HAUL20-RO</v>
          </cell>
          <cell r="I7376" t="str">
            <v>HAUL 20 YD - RO</v>
          </cell>
        </row>
        <row r="7377">
          <cell r="H7377" t="str">
            <v>HAUL20TEMP-RO</v>
          </cell>
          <cell r="I7377" t="str">
            <v>HAUL 20 YD TEMP - RO</v>
          </cell>
        </row>
        <row r="7378">
          <cell r="H7378" t="str">
            <v>HAUL25-CP</v>
          </cell>
          <cell r="I7378" t="str">
            <v>COMPACTOR HAUL 25 YD - RO</v>
          </cell>
        </row>
        <row r="7379">
          <cell r="H7379" t="str">
            <v>HAUL26-CP</v>
          </cell>
          <cell r="I7379" t="str">
            <v>COMPACTOR HAUL 26 YD - RO</v>
          </cell>
        </row>
        <row r="7380">
          <cell r="H7380" t="str">
            <v>HAUL30-CP</v>
          </cell>
          <cell r="I7380" t="str">
            <v>COMPACTOR HAUL 30 YD</v>
          </cell>
        </row>
        <row r="7381">
          <cell r="H7381" t="str">
            <v>HAUL30-RO</v>
          </cell>
          <cell r="I7381" t="str">
            <v>HAUL 30 YD - RO</v>
          </cell>
        </row>
        <row r="7382">
          <cell r="H7382" t="str">
            <v>HAUL30TEMP-RO</v>
          </cell>
          <cell r="I7382" t="str">
            <v>HAUL 30 YD TEMP - RO</v>
          </cell>
        </row>
        <row r="7383">
          <cell r="H7383" t="str">
            <v>HAUL35-CP</v>
          </cell>
          <cell r="I7383" t="str">
            <v>COMPACTOR HAUL 35 YD - RO</v>
          </cell>
        </row>
        <row r="7384">
          <cell r="H7384" t="str">
            <v>HAUL37-CP</v>
          </cell>
          <cell r="I7384" t="str">
            <v>COMPACTOR HAUL 37 YD - RO</v>
          </cell>
        </row>
        <row r="7385">
          <cell r="H7385" t="str">
            <v>HAUL40-CP</v>
          </cell>
          <cell r="I7385" t="str">
            <v>COMPACTOR HAUL 40 YD</v>
          </cell>
        </row>
        <row r="7386">
          <cell r="H7386" t="str">
            <v>HAUL40-RO</v>
          </cell>
          <cell r="I7386" t="str">
            <v>HAUL 40 YD - RO</v>
          </cell>
        </row>
        <row r="7387">
          <cell r="H7387" t="str">
            <v>HAUL40TEMP-RO</v>
          </cell>
          <cell r="I7387" t="str">
            <v>HAUL 40 YD TEMP - RO</v>
          </cell>
        </row>
        <row r="7388">
          <cell r="H7388" t="str">
            <v>RENT20TEMP-RO</v>
          </cell>
          <cell r="I7388" t="str">
            <v>RENTAL FEE 20 YD TEMP - R</v>
          </cell>
        </row>
        <row r="7389">
          <cell r="H7389" t="str">
            <v>RENT30TEMP-RO</v>
          </cell>
          <cell r="I7389" t="str">
            <v>RENTAL FEE 30 YD TEMP - R</v>
          </cell>
        </row>
        <row r="7390">
          <cell r="H7390" t="str">
            <v>RENT40TEMP-RO</v>
          </cell>
          <cell r="I7390" t="str">
            <v>RENTAL FEE 40 YD TEMP - R</v>
          </cell>
        </row>
        <row r="7391">
          <cell r="H7391" t="str">
            <v>RTRNTRIP-RO</v>
          </cell>
          <cell r="I7391" t="str">
            <v>RETURN TRIP FEE - RO</v>
          </cell>
        </row>
        <row r="7392">
          <cell r="H7392" t="str">
            <v>TIME-RO</v>
          </cell>
          <cell r="I7392" t="str">
            <v>TIME FEE - RO</v>
          </cell>
        </row>
        <row r="7393">
          <cell r="H7393" t="str">
            <v>DISPDEMO-RO</v>
          </cell>
          <cell r="I7393" t="str">
            <v>DISPOSAL FEE DEMO - RO</v>
          </cell>
        </row>
        <row r="7394">
          <cell r="H7394" t="str">
            <v>DISPGLASS-RO</v>
          </cell>
          <cell r="I7394" t="str">
            <v>DISPOSAL FEE GLASS - RO</v>
          </cell>
        </row>
        <row r="7395">
          <cell r="H7395" t="str">
            <v>DISPMETAL-RO</v>
          </cell>
          <cell r="I7395" t="str">
            <v>DISPOSAL FEE METAL - RO</v>
          </cell>
        </row>
        <row r="7396">
          <cell r="H7396" t="str">
            <v>DISPTIRES-RO</v>
          </cell>
          <cell r="I7396" t="str">
            <v>DISPOSAL FEE TIRES - RO</v>
          </cell>
        </row>
        <row r="7397">
          <cell r="H7397" t="str">
            <v>HAUL30-RO</v>
          </cell>
          <cell r="I7397" t="str">
            <v>HAUL 30 YD - RO</v>
          </cell>
        </row>
        <row r="7398">
          <cell r="H7398" t="str">
            <v>COMMODITY SURCHARGE</v>
          </cell>
          <cell r="I7398" t="str">
            <v>COMMODITY SURCHARGE</v>
          </cell>
        </row>
        <row r="7399">
          <cell r="H7399" t="str">
            <v>COMMODITY SURCHARGE</v>
          </cell>
          <cell r="I7399" t="str">
            <v>COMMODITY SURCHARGE</v>
          </cell>
        </row>
        <row r="7400">
          <cell r="H7400" t="str">
            <v>LAKEWOOD CITY ONLY</v>
          </cell>
          <cell r="I7400" t="str">
            <v>6% CITY UTILITY TAX</v>
          </cell>
        </row>
        <row r="7401">
          <cell r="H7401" t="str">
            <v>LAKEWOOD CITY UTILITY TAX</v>
          </cell>
          <cell r="I7401" t="str">
            <v>6% CITY UTILITY TAX</v>
          </cell>
        </row>
        <row r="7402">
          <cell r="H7402" t="str">
            <v>LAKEWOOD REFUSE TAX</v>
          </cell>
          <cell r="I7402" t="str">
            <v>3.6% WA STATE REFUSE TAX</v>
          </cell>
        </row>
        <row r="7403">
          <cell r="H7403" t="str">
            <v>LAKEWOOD STATE SALES TAX</v>
          </cell>
          <cell r="I7403" t="str">
            <v>9.9% WA STATE SALES TAX</v>
          </cell>
        </row>
        <row r="7404">
          <cell r="H7404" t="str">
            <v>LAKEWOOD CITY ONLY</v>
          </cell>
          <cell r="I7404" t="str">
            <v>6% CITY UTILITY TAX</v>
          </cell>
        </row>
        <row r="7405">
          <cell r="H7405" t="str">
            <v>LAKEWOOD CITY UTILITY TAX</v>
          </cell>
          <cell r="I7405" t="str">
            <v>6% CITY UTILITY TAX</v>
          </cell>
        </row>
        <row r="7406">
          <cell r="H7406" t="str">
            <v>LAKEWOOD REFUSE TAX</v>
          </cell>
          <cell r="I7406" t="str">
            <v>3.6% WA STATE REFUSE TAX</v>
          </cell>
        </row>
        <row r="7407">
          <cell r="H7407" t="str">
            <v>LAKEWOOD STATE SALES TAX</v>
          </cell>
          <cell r="I7407" t="str">
            <v>9.9% WA STATE SALES TAX</v>
          </cell>
        </row>
        <row r="7408">
          <cell r="H7408" t="str">
            <v xml:space="preserve">PIERCE COUNTY REFUSE  </v>
          </cell>
          <cell r="I7408" t="str">
            <v>3.6% PIERCE COUNTY REFUSE</v>
          </cell>
        </row>
        <row r="7409">
          <cell r="H7409" t="str">
            <v>LAKEWOOD CITY UTILITY TAX</v>
          </cell>
          <cell r="I7409" t="str">
            <v>6% CITY UTILITY TAX</v>
          </cell>
        </row>
        <row r="7410">
          <cell r="H7410" t="str">
            <v>LAKEWOOD REFUSE TAX</v>
          </cell>
          <cell r="I7410" t="str">
            <v>3.6% WA STATE REFUSE TAX</v>
          </cell>
        </row>
        <row r="7411">
          <cell r="H7411" t="str">
            <v>LAKEWOOD CITY UTILITY TAX</v>
          </cell>
          <cell r="I7411" t="str">
            <v>6% CITY UTILITY TAX</v>
          </cell>
        </row>
        <row r="7412">
          <cell r="H7412" t="str">
            <v>LAKEWOOD REFUSE TAX</v>
          </cell>
          <cell r="I7412" t="str">
            <v>3.6% WA STATE REFUSE TAX</v>
          </cell>
        </row>
        <row r="7413">
          <cell r="H7413" t="str">
            <v>LAKEWOOD STATE SALES TAX</v>
          </cell>
          <cell r="I7413" t="str">
            <v>9.9% WA STATE SALES TAX</v>
          </cell>
        </row>
        <row r="7414">
          <cell r="H7414" t="str">
            <v>LAKEWOOD CITY ONLY</v>
          </cell>
          <cell r="I7414" t="str">
            <v>6% CITY UTILITY TAX</v>
          </cell>
        </row>
        <row r="7415">
          <cell r="H7415" t="str">
            <v>LAKEWOOD CITY UTILITY TAX</v>
          </cell>
          <cell r="I7415" t="str">
            <v>6% CITY UTILITY TAX</v>
          </cell>
        </row>
        <row r="7416">
          <cell r="H7416" t="str">
            <v>LAKEWOOD REFUSE TAX</v>
          </cell>
          <cell r="I7416" t="str">
            <v>3.6% WA STATE REFUSE TAX</v>
          </cell>
        </row>
        <row r="7417">
          <cell r="H7417" t="str">
            <v>UP CITY UTILITY TAX</v>
          </cell>
          <cell r="I7417" t="str">
            <v>6% CITY UTILITY TAX</v>
          </cell>
        </row>
        <row r="7418">
          <cell r="H7418" t="str">
            <v>UP REFUSE TAX</v>
          </cell>
          <cell r="I7418" t="str">
            <v>3.6% WA STATE REFUSE TAX</v>
          </cell>
        </row>
        <row r="7419">
          <cell r="H7419" t="str">
            <v>LAKEWOOD CITY UTILITY TAX</v>
          </cell>
          <cell r="I7419" t="str">
            <v>6% CITY UTILITY TAX</v>
          </cell>
        </row>
        <row r="7420">
          <cell r="H7420" t="str">
            <v>LAKEWOOD REFUSE TAX</v>
          </cell>
          <cell r="I7420" t="str">
            <v>3.6% WA STATE REFUSE TAX</v>
          </cell>
        </row>
        <row r="7421">
          <cell r="H7421" t="str">
            <v>LAKEWOOD CITY ONLY</v>
          </cell>
          <cell r="I7421" t="str">
            <v>6% CITY UTILITY TAX</v>
          </cell>
        </row>
        <row r="7422">
          <cell r="H7422" t="str">
            <v>LAKEWOOD CITY UTILITY TAX</v>
          </cell>
          <cell r="I7422" t="str">
            <v>6% CITY UTILITY TAX</v>
          </cell>
        </row>
        <row r="7423">
          <cell r="H7423" t="str">
            <v>LAKEWOOD REFUSE TAX</v>
          </cell>
          <cell r="I7423" t="str">
            <v>3.6% WA STATE REFUSE TAX</v>
          </cell>
        </row>
        <row r="7424">
          <cell r="H7424" t="str">
            <v>LAKEWOOD STATE SALES TAX</v>
          </cell>
          <cell r="I7424" t="str">
            <v>9.9% WA STATE SALES TAX</v>
          </cell>
        </row>
        <row r="7425">
          <cell r="H7425" t="str">
            <v>LAKEWOOD CITY UTILITY TAX</v>
          </cell>
          <cell r="I7425" t="str">
            <v>6% CITY UTILITY TAX</v>
          </cell>
        </row>
        <row r="7426">
          <cell r="H7426" t="str">
            <v>LAKEWOOD REFUSE TAX</v>
          </cell>
          <cell r="I7426" t="str">
            <v>3.6% WA STATE REFUSE TAX</v>
          </cell>
        </row>
        <row r="7427">
          <cell r="H7427" t="str">
            <v>LAKEWOOD CITY UTILITY TAX</v>
          </cell>
          <cell r="I7427" t="str">
            <v>6% CITY UTILITY TAX</v>
          </cell>
        </row>
        <row r="7428">
          <cell r="H7428" t="str">
            <v>LAKEWOOD REFUSE TAX</v>
          </cell>
          <cell r="I7428" t="str">
            <v>3.6% WA STATE REFUSE TAX</v>
          </cell>
        </row>
        <row r="7429">
          <cell r="H7429" t="str">
            <v>LAKEWOOD STATE SALES TAX</v>
          </cell>
          <cell r="I7429" t="str">
            <v>9.9% WA STATE SALES TAX</v>
          </cell>
        </row>
        <row r="7430">
          <cell r="H7430" t="str">
            <v>FINCHG</v>
          </cell>
          <cell r="I7430" t="str">
            <v>LATE FEE</v>
          </cell>
        </row>
        <row r="7431">
          <cell r="H7431" t="str">
            <v>BD</v>
          </cell>
          <cell r="I7431" t="str">
            <v>BAD DEBT WRITE OFF</v>
          </cell>
        </row>
        <row r="7432">
          <cell r="H7432" t="str">
            <v>BDR</v>
          </cell>
          <cell r="I7432" t="str">
            <v>BAD DEBT RECOVERY</v>
          </cell>
        </row>
        <row r="7433">
          <cell r="H7433" t="str">
            <v>COLLFEE</v>
          </cell>
          <cell r="I7433" t="str">
            <v>COLLECTION AGENCY FEE</v>
          </cell>
        </row>
        <row r="7434">
          <cell r="H7434" t="str">
            <v>FINCHG</v>
          </cell>
          <cell r="I7434" t="str">
            <v>LATE FEE</v>
          </cell>
        </row>
        <row r="7435">
          <cell r="H7435" t="str">
            <v>MM</v>
          </cell>
          <cell r="I7435" t="str">
            <v>ADJUST BALANCE (MM)</v>
          </cell>
        </row>
        <row r="7436">
          <cell r="H7436" t="str">
            <v>MM</v>
          </cell>
          <cell r="I7436" t="str">
            <v>ADJUST BALANCE (MM)</v>
          </cell>
        </row>
        <row r="7437">
          <cell r="H7437" t="str">
            <v>REFUND</v>
          </cell>
          <cell r="I7437" t="str">
            <v>REFUND</v>
          </cell>
        </row>
        <row r="7438">
          <cell r="H7438" t="str">
            <v>RETCK</v>
          </cell>
          <cell r="I7438" t="str">
            <v>RETURNED CHECK</v>
          </cell>
        </row>
        <row r="7439">
          <cell r="H7439" t="str">
            <v>RETCK-LB</v>
          </cell>
          <cell r="I7439" t="str">
            <v>RETURNED CHECK - LOCKBOX</v>
          </cell>
        </row>
        <row r="7440">
          <cell r="H7440" t="str">
            <v>RETCKC</v>
          </cell>
          <cell r="I7440" t="str">
            <v>RETURN CHECK CHARGE</v>
          </cell>
        </row>
        <row r="7441">
          <cell r="H7441" t="str">
            <v>BD</v>
          </cell>
          <cell r="I7441" t="str">
            <v>BAD DEBT WRITE OFF</v>
          </cell>
        </row>
        <row r="7442">
          <cell r="H7442" t="str">
            <v>BDR</v>
          </cell>
          <cell r="I7442" t="str">
            <v>BAD DEBT RECOVERY</v>
          </cell>
        </row>
        <row r="7443">
          <cell r="H7443" t="str">
            <v>COLLFEE</v>
          </cell>
          <cell r="I7443" t="str">
            <v>COLLECTION AGENCY FEE</v>
          </cell>
        </row>
        <row r="7444">
          <cell r="H7444" t="str">
            <v>FINCHG</v>
          </cell>
          <cell r="I7444" t="str">
            <v>LATE FEE</v>
          </cell>
        </row>
        <row r="7445">
          <cell r="H7445" t="str">
            <v>MM</v>
          </cell>
          <cell r="I7445" t="str">
            <v>ADJUST BALANCE (MM)</v>
          </cell>
        </row>
        <row r="7446">
          <cell r="H7446" t="str">
            <v>MM</v>
          </cell>
          <cell r="I7446" t="str">
            <v>ADJUST BALANCE (MM)</v>
          </cell>
        </row>
        <row r="7447">
          <cell r="H7447" t="str">
            <v>REFUND</v>
          </cell>
          <cell r="I7447" t="str">
            <v>REFUND</v>
          </cell>
        </row>
        <row r="7448">
          <cell r="H7448" t="str">
            <v>RETCK</v>
          </cell>
          <cell r="I7448" t="str">
            <v>RETURNED CHECK</v>
          </cell>
        </row>
        <row r="7449">
          <cell r="H7449" t="str">
            <v>RETCK-LB</v>
          </cell>
          <cell r="I7449" t="str">
            <v>RETURNED CHECK - LOCKBOX</v>
          </cell>
        </row>
        <row r="7450">
          <cell r="H7450" t="str">
            <v>RETCKC</v>
          </cell>
          <cell r="I7450" t="str">
            <v>RETURN CHECK CHARGE</v>
          </cell>
        </row>
        <row r="7451">
          <cell r="H7451" t="str">
            <v>FINCHG</v>
          </cell>
          <cell r="I7451" t="str">
            <v>LATE FEE</v>
          </cell>
        </row>
        <row r="7452">
          <cell r="H7452" t="str">
            <v>BD</v>
          </cell>
          <cell r="I7452" t="str">
            <v>BAD DEBT WRITE OFF</v>
          </cell>
        </row>
        <row r="7453">
          <cell r="H7453" t="str">
            <v>BDR</v>
          </cell>
          <cell r="I7453" t="str">
            <v>BAD DEBT RECOVERY</v>
          </cell>
        </row>
        <row r="7454">
          <cell r="H7454" t="str">
            <v>COLLFEE</v>
          </cell>
          <cell r="I7454" t="str">
            <v>COLLECTION AGENCY FEE</v>
          </cell>
        </row>
        <row r="7455">
          <cell r="H7455" t="str">
            <v>FINCHG</v>
          </cell>
          <cell r="I7455" t="str">
            <v>LATE FEE</v>
          </cell>
        </row>
        <row r="7456">
          <cell r="H7456" t="str">
            <v>MM</v>
          </cell>
          <cell r="I7456" t="str">
            <v>ADJUST BALANCE (MM)</v>
          </cell>
        </row>
        <row r="7457">
          <cell r="H7457" t="str">
            <v>MM</v>
          </cell>
          <cell r="I7457" t="str">
            <v>ADJUST BALANCE (MM)</v>
          </cell>
        </row>
        <row r="7458">
          <cell r="H7458" t="str">
            <v>REFUND</v>
          </cell>
          <cell r="I7458" t="str">
            <v>REFUND</v>
          </cell>
        </row>
        <row r="7459">
          <cell r="H7459" t="str">
            <v>RETCK</v>
          </cell>
          <cell r="I7459" t="str">
            <v>RETURNED CHECK</v>
          </cell>
        </row>
        <row r="7460">
          <cell r="H7460" t="str">
            <v>RETCK-LB</v>
          </cell>
          <cell r="I7460" t="str">
            <v>RETURNED CHECK - LOCKBOX</v>
          </cell>
        </row>
        <row r="7461">
          <cell r="H7461" t="str">
            <v>FINCHG</v>
          </cell>
          <cell r="I7461" t="str">
            <v>LATE FEE</v>
          </cell>
        </row>
        <row r="7462">
          <cell r="H7462" t="str">
            <v>MM</v>
          </cell>
          <cell r="I7462" t="str">
            <v>ADJUST BALANCE (MM)</v>
          </cell>
        </row>
        <row r="7463">
          <cell r="H7463" t="str">
            <v>MM</v>
          </cell>
          <cell r="I7463" t="str">
            <v>ADJUST BALANCE (MM)</v>
          </cell>
        </row>
        <row r="7464">
          <cell r="H7464" t="str">
            <v>CANCOUNT-COMM</v>
          </cell>
          <cell r="I7464" t="str">
            <v>CAN COUNT - COMM</v>
          </cell>
        </row>
        <row r="7465">
          <cell r="H7465" t="str">
            <v>ACCESS-COMM</v>
          </cell>
          <cell r="I7465" t="str">
            <v>ACCESS FEE - COMM</v>
          </cell>
        </row>
        <row r="7466">
          <cell r="H7466" t="str">
            <v>CLEAN1.5-COMM</v>
          </cell>
          <cell r="I7466" t="str">
            <v>CLEANING FEE 1.5 YD - COM</v>
          </cell>
        </row>
        <row r="7467">
          <cell r="H7467" t="str">
            <v>DIST4CAN-COMM</v>
          </cell>
          <cell r="I7467" t="str">
            <v>DISTRIBUTED 4 CANS - COMM</v>
          </cell>
        </row>
        <row r="7468">
          <cell r="H7468" t="str">
            <v>DONATIONC</v>
          </cell>
          <cell r="I7468" t="str">
            <v>DONATED SERVICE COMM</v>
          </cell>
        </row>
        <row r="7469">
          <cell r="H7469" t="str">
            <v>DRIVEIN-COMM</v>
          </cell>
          <cell r="I7469" t="str">
            <v>DRIVE IN SERVICE - COMM</v>
          </cell>
        </row>
        <row r="7470">
          <cell r="H7470" t="str">
            <v>DRIVEIN1-COMM</v>
          </cell>
          <cell r="I7470" t="str">
            <v>DRIVE IN 125-250' - COMM</v>
          </cell>
        </row>
        <row r="7471">
          <cell r="H7471" t="str">
            <v>FL001.0Y1W001</v>
          </cell>
          <cell r="I7471" t="str">
            <v>1 YD 1X WK 1</v>
          </cell>
        </row>
        <row r="7472">
          <cell r="H7472" t="str">
            <v>FL001.0Y2W001</v>
          </cell>
          <cell r="I7472" t="str">
            <v>1 YD 2X WK 1</v>
          </cell>
        </row>
        <row r="7473">
          <cell r="H7473" t="str">
            <v>FL001.0Y3W001</v>
          </cell>
          <cell r="I7473" t="str">
            <v>1 YD 3X WK 1</v>
          </cell>
        </row>
        <row r="7474">
          <cell r="H7474" t="str">
            <v>FL001.5Y1W001</v>
          </cell>
          <cell r="I7474" t="str">
            <v>1.5 YD 1X WK 1</v>
          </cell>
        </row>
        <row r="7475">
          <cell r="H7475" t="str">
            <v>FL001.5Y2W001</v>
          </cell>
          <cell r="I7475" t="str">
            <v>1.5 YD 2X WK 1</v>
          </cell>
        </row>
        <row r="7476">
          <cell r="H7476" t="str">
            <v>FL001.5Y3W001</v>
          </cell>
          <cell r="I7476" t="str">
            <v>1.5 YD 3X WK 1</v>
          </cell>
        </row>
        <row r="7477">
          <cell r="H7477" t="str">
            <v>FL001.5YXX001TEMPC</v>
          </cell>
          <cell r="I7477" t="str">
            <v xml:space="preserve">1.5 YD TEMP </v>
          </cell>
        </row>
        <row r="7478">
          <cell r="H7478" t="str">
            <v>FL002.0Y1W001</v>
          </cell>
          <cell r="I7478" t="str">
            <v>2 YD 1X WK 1</v>
          </cell>
        </row>
        <row r="7479">
          <cell r="H7479" t="str">
            <v>FL002.0Y1W001CMP</v>
          </cell>
          <cell r="I7479" t="str">
            <v>2 YD 1X WK COMP 1</v>
          </cell>
        </row>
        <row r="7480">
          <cell r="H7480" t="str">
            <v>FL002.0Y2W001</v>
          </cell>
          <cell r="I7480" t="str">
            <v>2 YD 2X WK 1</v>
          </cell>
        </row>
        <row r="7481">
          <cell r="H7481" t="str">
            <v>FL002.0Y3W001</v>
          </cell>
          <cell r="I7481" t="str">
            <v>2 YD 3X WK 1</v>
          </cell>
        </row>
        <row r="7482">
          <cell r="H7482" t="str">
            <v>FL003.0Y1W001</v>
          </cell>
          <cell r="I7482" t="str">
            <v>3 YD 1X WK 1</v>
          </cell>
        </row>
        <row r="7483">
          <cell r="H7483" t="str">
            <v>FL003.0Y2W001</v>
          </cell>
          <cell r="I7483" t="str">
            <v>3 YD 2X WK 1</v>
          </cell>
        </row>
        <row r="7484">
          <cell r="H7484" t="str">
            <v>FL003.0Y2W001CMP</v>
          </cell>
          <cell r="I7484" t="str">
            <v>3 YD 2X WK COMP 1</v>
          </cell>
        </row>
        <row r="7485">
          <cell r="H7485" t="str">
            <v>FL003.0Y3W001</v>
          </cell>
          <cell r="I7485" t="str">
            <v>3 YD 3X WK 1</v>
          </cell>
        </row>
        <row r="7486">
          <cell r="H7486" t="str">
            <v>FL003.0Y4W001</v>
          </cell>
          <cell r="I7486" t="str">
            <v>3 YD 4X WK 1</v>
          </cell>
        </row>
        <row r="7487">
          <cell r="H7487" t="str">
            <v>FL004.0Y1W001</v>
          </cell>
          <cell r="I7487" t="str">
            <v>4 YD 1X WK 1</v>
          </cell>
        </row>
        <row r="7488">
          <cell r="H7488" t="str">
            <v>FL004.0Y1W001CMP</v>
          </cell>
          <cell r="I7488" t="str">
            <v>4 YD 1X WK COMP 1</v>
          </cell>
        </row>
        <row r="7489">
          <cell r="H7489" t="str">
            <v>FL004.0Y2W001</v>
          </cell>
          <cell r="I7489" t="str">
            <v>4 YD 2X WK 1</v>
          </cell>
        </row>
        <row r="7490">
          <cell r="H7490" t="str">
            <v>FL004.0Y2W001CMP</v>
          </cell>
          <cell r="I7490" t="str">
            <v>4 YD 2X WK COMP 1</v>
          </cell>
        </row>
        <row r="7491">
          <cell r="H7491" t="str">
            <v>FL004.0Y3W001</v>
          </cell>
          <cell r="I7491" t="str">
            <v>4 YD 3X WK 1</v>
          </cell>
        </row>
        <row r="7492">
          <cell r="H7492" t="str">
            <v>FL006.0Y1W001</v>
          </cell>
          <cell r="I7492" t="str">
            <v>6 YD 1X WK 1</v>
          </cell>
        </row>
        <row r="7493">
          <cell r="H7493" t="str">
            <v>FL006.0Y2W001</v>
          </cell>
          <cell r="I7493" t="str">
            <v>6 YD 2X WK 1</v>
          </cell>
        </row>
        <row r="7494">
          <cell r="H7494" t="str">
            <v>FL006.0Y2W001CMP</v>
          </cell>
          <cell r="I7494" t="str">
            <v>6 YD 2X WK COMP 1</v>
          </cell>
        </row>
        <row r="7495">
          <cell r="H7495" t="str">
            <v>FL006.0Y3W001</v>
          </cell>
          <cell r="I7495" t="str">
            <v>6 YD 3X WK 1</v>
          </cell>
        </row>
        <row r="7496">
          <cell r="H7496" t="str">
            <v>FL006.0Y4W001</v>
          </cell>
          <cell r="I7496" t="str">
            <v>6 YD 4X WK 1</v>
          </cell>
        </row>
        <row r="7497">
          <cell r="H7497" t="str">
            <v>GWCOMM</v>
          </cell>
          <cell r="I7497" t="str">
            <v>GREENWASTE SERVICE - COMM</v>
          </cell>
        </row>
        <row r="7498">
          <cell r="H7498" t="str">
            <v>RENT1.5TEMP-COMM</v>
          </cell>
          <cell r="I7498" t="str">
            <v>RENT 1.5 YD TEMP - COMM</v>
          </cell>
        </row>
        <row r="7499">
          <cell r="H7499" t="str">
            <v>RL032.0G1W001NORECC</v>
          </cell>
          <cell r="I7499" t="str">
            <v xml:space="preserve">32 GL 1X WK NO RECY COMM </v>
          </cell>
        </row>
        <row r="7500">
          <cell r="H7500" t="str">
            <v>RL032.0G1W001WRECC</v>
          </cell>
          <cell r="I7500" t="str">
            <v>32 GL 1X WK W/RECY COMM 1</v>
          </cell>
        </row>
        <row r="7501">
          <cell r="H7501" t="str">
            <v>RL032.0G1W002NORECC</v>
          </cell>
          <cell r="I7501" t="str">
            <v xml:space="preserve">32 GL 1X WK NO RECY COMM </v>
          </cell>
        </row>
        <row r="7502">
          <cell r="H7502" t="str">
            <v>RL032.0G1W002WRECC</v>
          </cell>
          <cell r="I7502" t="str">
            <v>32 GL 1X WK W/RECY COMM 2</v>
          </cell>
        </row>
        <row r="7503">
          <cell r="H7503" t="str">
            <v>RL032.0G1W003WRECC</v>
          </cell>
          <cell r="I7503" t="str">
            <v>32 GL 1X WK W/RECY COMM 3</v>
          </cell>
        </row>
        <row r="7504">
          <cell r="H7504" t="str">
            <v>RL032.0G1W004WRECC</v>
          </cell>
          <cell r="I7504" t="str">
            <v>32 GL 1X WK W/RECY COMM 4</v>
          </cell>
        </row>
        <row r="7505">
          <cell r="H7505" t="str">
            <v>RL035.0G1W001WRECC</v>
          </cell>
          <cell r="I7505" t="str">
            <v>35 GL 1X WK W/RECY COMM 1</v>
          </cell>
        </row>
        <row r="7506">
          <cell r="H7506" t="str">
            <v>ROLL-COMM</v>
          </cell>
          <cell r="I7506" t="str">
            <v>ROLL OUT CHARGE - COMM</v>
          </cell>
        </row>
        <row r="7507">
          <cell r="H7507" t="str">
            <v>SL065.0G1W001NORECC</v>
          </cell>
          <cell r="I7507" t="str">
            <v xml:space="preserve">65 GL 1X WK NO RECY COMM </v>
          </cell>
        </row>
        <row r="7508">
          <cell r="H7508" t="str">
            <v>SL065.0G1W001WRECC</v>
          </cell>
          <cell r="I7508" t="str">
            <v>65 GL 1X WK W/RECY COMM 1</v>
          </cell>
        </row>
        <row r="7509">
          <cell r="H7509" t="str">
            <v>SL065.0GEO001NORECC</v>
          </cell>
          <cell r="I7509" t="str">
            <v>65 GL EOW NO RECY COMM 1</v>
          </cell>
        </row>
        <row r="7510">
          <cell r="H7510" t="str">
            <v>SL065.0GEO001WRECC</v>
          </cell>
          <cell r="I7510" t="str">
            <v>65 GL EOW W/RECY COMM 1</v>
          </cell>
        </row>
        <row r="7511">
          <cell r="H7511" t="str">
            <v>SL095.0G1W001NORECC</v>
          </cell>
          <cell r="I7511" t="str">
            <v xml:space="preserve">95 GL 1X WK NO RECY COMM </v>
          </cell>
        </row>
        <row r="7512">
          <cell r="H7512" t="str">
            <v>SL095.0G1W001WRECC</v>
          </cell>
          <cell r="I7512" t="str">
            <v>95 GL 1X WK W/RECY COMM 1</v>
          </cell>
        </row>
        <row r="7513">
          <cell r="H7513" t="str">
            <v>SL095.0GEO001NORECC</v>
          </cell>
          <cell r="I7513" t="str">
            <v>95 GL EOW NO RECY COMM 1</v>
          </cell>
        </row>
        <row r="7514">
          <cell r="H7514" t="str">
            <v>SL095.0GEO001WRECC</v>
          </cell>
          <cell r="I7514" t="str">
            <v>95 GL EOW W/RECY COMM 1</v>
          </cell>
        </row>
        <row r="7515">
          <cell r="H7515" t="str">
            <v>WI1-COMM</v>
          </cell>
          <cell r="I7515" t="str">
            <v>WALK IN 6-25' - COMM</v>
          </cell>
        </row>
        <row r="7516">
          <cell r="H7516" t="str">
            <v>WI2-COMM</v>
          </cell>
          <cell r="I7516" t="str">
            <v>WALK IN 26-50' - COMM</v>
          </cell>
        </row>
        <row r="7517">
          <cell r="H7517" t="str">
            <v>WI4-COMM</v>
          </cell>
          <cell r="I7517" t="str">
            <v>WALK IN 76-100' - COMM</v>
          </cell>
        </row>
        <row r="7518">
          <cell r="H7518" t="str">
            <v>ACCESS-COMM</v>
          </cell>
          <cell r="I7518" t="str">
            <v>ACCESS FEE - COMM</v>
          </cell>
        </row>
        <row r="7519">
          <cell r="H7519" t="str">
            <v>ADJ-COMM</v>
          </cell>
          <cell r="I7519" t="str">
            <v>ADJUSTMENT SERVICE - COMM</v>
          </cell>
        </row>
        <row r="7520">
          <cell r="H7520" t="str">
            <v>BULKY-COMM</v>
          </cell>
          <cell r="I7520" t="str">
            <v>BULKY ITEM PICK UP - COMM</v>
          </cell>
        </row>
        <row r="7521">
          <cell r="H7521" t="str">
            <v>CANCOUNT-COMM</v>
          </cell>
          <cell r="I7521" t="str">
            <v>CAN COUNT - COMM</v>
          </cell>
        </row>
        <row r="7522">
          <cell r="H7522" t="str">
            <v>CANCOUNT65-COMM</v>
          </cell>
          <cell r="I7522" t="str">
            <v>CAN COUNT 65 GL - COMM</v>
          </cell>
        </row>
        <row r="7523">
          <cell r="H7523" t="str">
            <v>CLEAN1.5-COMM</v>
          </cell>
          <cell r="I7523" t="str">
            <v>CLEANING FEE 1.5 YD - COM</v>
          </cell>
        </row>
        <row r="7524">
          <cell r="H7524" t="str">
            <v>CLEAN2-COMM</v>
          </cell>
          <cell r="I7524" t="str">
            <v>CLEANING FEE 2 YD - COMM</v>
          </cell>
        </row>
        <row r="7525">
          <cell r="H7525" t="str">
            <v>CLEAN4-COMM</v>
          </cell>
          <cell r="I7525" t="str">
            <v>CLEANING FEE 4 YD - COMM</v>
          </cell>
        </row>
        <row r="7526">
          <cell r="H7526" t="str">
            <v>DEL1.5TEMP-COMM</v>
          </cell>
          <cell r="I7526" t="str">
            <v xml:space="preserve">DELIVERY FEE 1.5 YD TEMP </v>
          </cell>
        </row>
        <row r="7527">
          <cell r="H7527" t="str">
            <v>DEL1TEMP-COMM</v>
          </cell>
          <cell r="I7527" t="str">
            <v xml:space="preserve">DELIVERY FEE 1 YD TEMP - </v>
          </cell>
        </row>
        <row r="7528">
          <cell r="H7528" t="str">
            <v>DEL2TEMP-COMM</v>
          </cell>
          <cell r="I7528" t="str">
            <v xml:space="preserve">DELIVERY FEE 2 YD TEMP - </v>
          </cell>
        </row>
        <row r="7529">
          <cell r="H7529" t="str">
            <v>DEL4TEMP-COMM</v>
          </cell>
          <cell r="I7529" t="str">
            <v xml:space="preserve">DELIVERY FEE 4 YD TEMP - </v>
          </cell>
        </row>
        <row r="7530">
          <cell r="H7530" t="str">
            <v>DISP-COMM</v>
          </cell>
          <cell r="I7530" t="str">
            <v>DISPOSAL FEE - COMM</v>
          </cell>
        </row>
        <row r="7531">
          <cell r="H7531" t="str">
            <v>DISPFEDMSW-COMM</v>
          </cell>
          <cell r="I7531" t="str">
            <v>DISPOSAL FEDERAL MSW - CO</v>
          </cell>
        </row>
        <row r="7532">
          <cell r="H7532" t="str">
            <v>DISPMIX-COMM</v>
          </cell>
          <cell r="I7532" t="str">
            <v>DISPOSAL MIX CMGL OCC - COMM</v>
          </cell>
        </row>
        <row r="7533">
          <cell r="H7533" t="str">
            <v>EXTRA-COMM</v>
          </cell>
          <cell r="I7533" t="str">
            <v>EXTRA CAN, BAG, BOX - COM</v>
          </cell>
        </row>
        <row r="7534">
          <cell r="H7534" t="str">
            <v>EXTRAYDG-COM</v>
          </cell>
          <cell r="I7534" t="str">
            <v>EXTRA YARDAGE - COMM</v>
          </cell>
        </row>
        <row r="7535">
          <cell r="H7535" t="str">
            <v>FL001.0Y1W001</v>
          </cell>
          <cell r="I7535" t="str">
            <v>1 YD 1X WK 1</v>
          </cell>
        </row>
        <row r="7536">
          <cell r="H7536" t="str">
            <v>FL001.0YXX001TEMPC</v>
          </cell>
          <cell r="I7536" t="str">
            <v xml:space="preserve">1 YD TEMP </v>
          </cell>
        </row>
        <row r="7537">
          <cell r="H7537" t="str">
            <v>FL001.5YXX001TEMPC</v>
          </cell>
          <cell r="I7537" t="str">
            <v xml:space="preserve">1.5 YD TEMP </v>
          </cell>
        </row>
        <row r="7538">
          <cell r="H7538" t="str">
            <v>FL002.0Y1W001</v>
          </cell>
          <cell r="I7538" t="str">
            <v>2 YD 1X WK 1</v>
          </cell>
        </row>
        <row r="7539">
          <cell r="H7539" t="str">
            <v>FL002.0YXX001TEMPC</v>
          </cell>
          <cell r="I7539" t="str">
            <v xml:space="preserve">2 YD TEMP </v>
          </cell>
        </row>
        <row r="7540">
          <cell r="H7540" t="str">
            <v>FL003.0Y1W001</v>
          </cell>
          <cell r="I7540" t="str">
            <v>3 YD 1X WK 1</v>
          </cell>
        </row>
        <row r="7541">
          <cell r="H7541" t="str">
            <v>FL003.0Y2W001</v>
          </cell>
          <cell r="I7541" t="str">
            <v>3 YD 2X WK 1</v>
          </cell>
        </row>
        <row r="7542">
          <cell r="H7542" t="str">
            <v>FL004.0YXX001TEMPC</v>
          </cell>
          <cell r="I7542" t="str">
            <v>4 YD TEMP 1</v>
          </cell>
        </row>
        <row r="7543">
          <cell r="H7543" t="str">
            <v>LCKC</v>
          </cell>
          <cell r="I7543" t="str">
            <v>LOCK CHARGE - COMM</v>
          </cell>
        </row>
        <row r="7544">
          <cell r="H7544" t="str">
            <v>REDEL-COMM</v>
          </cell>
          <cell r="I7544" t="str">
            <v>REDELIVER FEE LVL 1 - COM</v>
          </cell>
        </row>
        <row r="7545">
          <cell r="H7545" t="str">
            <v>REINSTATE-COMM</v>
          </cell>
          <cell r="I7545" t="str">
            <v>REINSTATE FEE - COMM</v>
          </cell>
        </row>
        <row r="7546">
          <cell r="H7546" t="str">
            <v>RENT1.5TEMP-COMM</v>
          </cell>
          <cell r="I7546" t="str">
            <v>RENT 1.5 YD TEMP - COMM</v>
          </cell>
        </row>
        <row r="7547">
          <cell r="H7547" t="str">
            <v>RENT1TEMP-COMM</v>
          </cell>
          <cell r="I7547" t="str">
            <v>RENT 1 YD TEMP - COMM</v>
          </cell>
        </row>
        <row r="7548">
          <cell r="H7548" t="str">
            <v>RENT2TEMP-COMM</v>
          </cell>
          <cell r="I7548" t="str">
            <v>RENT 2 YD TEMP - COMM</v>
          </cell>
        </row>
        <row r="7549">
          <cell r="H7549" t="str">
            <v>RENT4TEMP-COMM</v>
          </cell>
          <cell r="I7549" t="str">
            <v>RENT 4 YD TEMP - COMM</v>
          </cell>
        </row>
        <row r="7550">
          <cell r="H7550" t="str">
            <v>RTRNTRIP-COMM</v>
          </cell>
          <cell r="I7550" t="str">
            <v>RETURN TRIP FEE - COMM</v>
          </cell>
        </row>
        <row r="7551">
          <cell r="H7551" t="str">
            <v>SP1-COMM</v>
          </cell>
          <cell r="I7551" t="str">
            <v>SPECIAL PICK UP 1 YD - CO</v>
          </cell>
        </row>
        <row r="7552">
          <cell r="H7552" t="str">
            <v>SP2-COMM</v>
          </cell>
          <cell r="I7552" t="str">
            <v>SPECIAL PICK UP 2 YD - CO</v>
          </cell>
        </row>
        <row r="7553">
          <cell r="H7553" t="str">
            <v>SP3-COMM</v>
          </cell>
          <cell r="I7553" t="str">
            <v>SPECIAL PICK UP 3 YD - CO</v>
          </cell>
        </row>
        <row r="7554">
          <cell r="H7554" t="str">
            <v>SP4-COMM</v>
          </cell>
          <cell r="I7554" t="str">
            <v>SPECIAL PICK UP 4 YD - CO</v>
          </cell>
        </row>
        <row r="7555">
          <cell r="H7555" t="str">
            <v>SP6-COMM</v>
          </cell>
          <cell r="I7555" t="str">
            <v>SPECIAL PICK UP 6 YD - CO</v>
          </cell>
        </row>
        <row r="7556">
          <cell r="H7556" t="str">
            <v>SPGRAD1-COMM</v>
          </cell>
          <cell r="I7556" t="str">
            <v>SPECIAL PICKUP GRADUATED 1 - COMM</v>
          </cell>
        </row>
        <row r="7557">
          <cell r="H7557" t="str">
            <v>TIME-COMM</v>
          </cell>
          <cell r="I7557" t="str">
            <v>TIME FEE 1 - COMM</v>
          </cell>
        </row>
        <row r="7558">
          <cell r="H7558" t="str">
            <v>CLEAN1.5-COMM</v>
          </cell>
          <cell r="I7558" t="str">
            <v>CLEANING FEE 1.5 YD - COM</v>
          </cell>
        </row>
        <row r="7559">
          <cell r="H7559" t="str">
            <v>CLEAN2-COMM</v>
          </cell>
          <cell r="I7559" t="str">
            <v>CLEANING FEE 2 YD - COMM</v>
          </cell>
        </row>
        <row r="7560">
          <cell r="H7560" t="str">
            <v>DEL2TEMP-COMM</v>
          </cell>
          <cell r="I7560" t="str">
            <v xml:space="preserve">DELIVERY FEE 2 YD TEMP - </v>
          </cell>
        </row>
        <row r="7561">
          <cell r="H7561" t="str">
            <v>DISP-COMM</v>
          </cell>
          <cell r="I7561" t="str">
            <v>DISPOSAL FEE - COMM</v>
          </cell>
        </row>
        <row r="7562">
          <cell r="H7562" t="str">
            <v>DISPFEDMSW-COMM</v>
          </cell>
          <cell r="I7562" t="str">
            <v>DISPOSAL FEDERAL MSW - CO</v>
          </cell>
        </row>
        <row r="7563">
          <cell r="H7563" t="str">
            <v>FL001.5YXX001TEMPC</v>
          </cell>
          <cell r="I7563" t="str">
            <v xml:space="preserve">1.5 YD TEMP </v>
          </cell>
        </row>
        <row r="7564">
          <cell r="H7564" t="str">
            <v>FL002.0YXX001TEMPC</v>
          </cell>
          <cell r="I7564" t="str">
            <v xml:space="preserve">2 YD TEMP </v>
          </cell>
        </row>
        <row r="7565">
          <cell r="H7565" t="str">
            <v>RENT1.5TEMP-COMM</v>
          </cell>
          <cell r="I7565" t="str">
            <v>RENT 1.5 YD TEMP - COMM</v>
          </cell>
        </row>
        <row r="7566">
          <cell r="H7566" t="str">
            <v>RENT2TEMP-COMM</v>
          </cell>
          <cell r="I7566" t="str">
            <v>RENT 2 YD TEMP - COMM</v>
          </cell>
        </row>
        <row r="7567">
          <cell r="H7567" t="str">
            <v>ACCESSCREC-COMM</v>
          </cell>
          <cell r="I7567" t="str">
            <v>ACCESS FEE COMM RECY - CO</v>
          </cell>
        </row>
        <row r="7568">
          <cell r="H7568" t="str">
            <v>COMDESKREC</v>
          </cell>
          <cell r="I7568" t="str">
            <v>COMM DESKSIDE RECYCLING</v>
          </cell>
        </row>
        <row r="7569">
          <cell r="H7569" t="str">
            <v>FL002.0Y1M001BCMGL</v>
          </cell>
          <cell r="I7569" t="str">
            <v>2 YD 1X MO BUS CMGL 1</v>
          </cell>
        </row>
        <row r="7570">
          <cell r="H7570" t="str">
            <v>FL002.0Y1W001BCMGL</v>
          </cell>
          <cell r="I7570" t="str">
            <v>2 YD 1X WK BUS CMGL 1</v>
          </cell>
        </row>
        <row r="7571">
          <cell r="H7571" t="str">
            <v>FL002.0Y1W001BOCC</v>
          </cell>
          <cell r="I7571" t="str">
            <v>2 YD 1X WK BUS OCC 1</v>
          </cell>
        </row>
        <row r="7572">
          <cell r="H7572" t="str">
            <v>FL002.0Y1W001OCC</v>
          </cell>
          <cell r="I7572" t="str">
            <v>2 YD 1X WK OCC 1</v>
          </cell>
        </row>
        <row r="7573">
          <cell r="H7573" t="str">
            <v>FL002.0Y1W001SCMGL</v>
          </cell>
          <cell r="I7573" t="str">
            <v>2 YD 1X WK SCHL CMGL 1</v>
          </cell>
        </row>
        <row r="7574">
          <cell r="H7574" t="str">
            <v>FL002.0Y1W001SOCC</v>
          </cell>
          <cell r="I7574" t="str">
            <v>2 YD 1X WK SCHOOL OCC</v>
          </cell>
        </row>
        <row r="7575">
          <cell r="H7575" t="str">
            <v>FL002.0Y2W001BCMGL</v>
          </cell>
          <cell r="I7575" t="str">
            <v>2 YD 2X WK BUS CMGL 1</v>
          </cell>
        </row>
        <row r="7576">
          <cell r="H7576" t="str">
            <v>FL002.0Y2W001BOCC</v>
          </cell>
          <cell r="I7576" t="str">
            <v>2 YD 2X WK BUS OCC 1</v>
          </cell>
        </row>
        <row r="7577">
          <cell r="H7577" t="str">
            <v>FL002.0Y2W001SCMGL</v>
          </cell>
          <cell r="I7577" t="str">
            <v>2 YD 2X WK SCHL CMGL 1</v>
          </cell>
        </row>
        <row r="7578">
          <cell r="H7578" t="str">
            <v>FL002.0Y2W001SOCC</v>
          </cell>
          <cell r="I7578" t="str">
            <v>2 YD 2X WK SCHOOL OCC</v>
          </cell>
        </row>
        <row r="7579">
          <cell r="H7579" t="str">
            <v>FL002.0Y3W001BCMGL</v>
          </cell>
          <cell r="I7579" t="str">
            <v>2 YD 3X WK BUS CMGL 1</v>
          </cell>
        </row>
        <row r="7580">
          <cell r="H7580" t="str">
            <v>FL002.0Y4W001BCMGL</v>
          </cell>
          <cell r="I7580" t="str">
            <v>2 YD 4X WK BUS CMGL 1</v>
          </cell>
        </row>
        <row r="7581">
          <cell r="H7581" t="str">
            <v>FL002.0Y4W001BOCC</v>
          </cell>
          <cell r="I7581" t="str">
            <v>2 YD 4X WK BUS OCC 1</v>
          </cell>
        </row>
        <row r="7582">
          <cell r="H7582" t="str">
            <v>FL004.0Y1W001CMGL</v>
          </cell>
          <cell r="I7582" t="str">
            <v>4 YD 1X WK BUS CMGL 1</v>
          </cell>
        </row>
        <row r="7583">
          <cell r="H7583" t="str">
            <v>FL004.0Y1W001SCMGL</v>
          </cell>
          <cell r="I7583" t="str">
            <v>4 YD 1X WK SCH CMGL 1</v>
          </cell>
        </row>
        <row r="7584">
          <cell r="H7584" t="str">
            <v>FL004.0Y2W001CMGL</v>
          </cell>
          <cell r="I7584" t="str">
            <v>4 YD 2X WK BUS CMGL 1</v>
          </cell>
        </row>
        <row r="7585">
          <cell r="H7585" t="str">
            <v>FL004.0Y4W001BCMGL</v>
          </cell>
          <cell r="I7585" t="str">
            <v>4 YD 4X WK BUS CMGL 1</v>
          </cell>
        </row>
        <row r="7586">
          <cell r="H7586" t="str">
            <v>FL004.0Y5W001BCMGL</v>
          </cell>
          <cell r="I7586" t="str">
            <v>4 YD 5X WK BUS CMGL 1</v>
          </cell>
        </row>
        <row r="7587">
          <cell r="H7587" t="str">
            <v>FL005.0Y1W001BOCC</v>
          </cell>
          <cell r="I7587" t="str">
            <v>5 YD 1X WK BUS OCC 1</v>
          </cell>
        </row>
        <row r="7588">
          <cell r="H7588" t="str">
            <v>FL005.0Y1W001SOCC</v>
          </cell>
          <cell r="I7588" t="str">
            <v>5 YD 1X WK SCHOOL OCC</v>
          </cell>
        </row>
        <row r="7589">
          <cell r="H7589" t="str">
            <v>FL005.0Y2W001BOCC</v>
          </cell>
          <cell r="I7589" t="str">
            <v>5 YD 2X WK BUS OCC 1</v>
          </cell>
        </row>
        <row r="7590">
          <cell r="H7590" t="str">
            <v>FL005.0Y2W001OCC</v>
          </cell>
          <cell r="I7590" t="str">
            <v>5 YD 2X WK OCC 1</v>
          </cell>
        </row>
        <row r="7591">
          <cell r="H7591" t="str">
            <v>FL005.0Y3W001BOCC</v>
          </cell>
          <cell r="I7591" t="str">
            <v>5 YD 3X WK BUS OCC 1</v>
          </cell>
        </row>
        <row r="7592">
          <cell r="H7592" t="str">
            <v>FL005.0Y4W001BOCC</v>
          </cell>
          <cell r="I7592" t="str">
            <v>5 YD 4X WK BUS OCC 1</v>
          </cell>
        </row>
        <row r="7593">
          <cell r="H7593" t="str">
            <v>FL006.0Y1W001BCMGL</v>
          </cell>
          <cell r="I7593" t="str">
            <v>6 YD 1X WK BUS COMINGLE 1</v>
          </cell>
        </row>
        <row r="7594">
          <cell r="H7594" t="str">
            <v>FL006.0Y1W001SCMGL</v>
          </cell>
          <cell r="I7594" t="str">
            <v>6 YD 1X WK SCHL CMGL 1</v>
          </cell>
        </row>
        <row r="7595">
          <cell r="H7595" t="str">
            <v>FL006.0Y2W001BCMGL</v>
          </cell>
          <cell r="I7595" t="str">
            <v>6 YD 2X WK BUS COMINGLE 1</v>
          </cell>
        </row>
        <row r="7596">
          <cell r="H7596" t="str">
            <v>FL006.0Y3W001BCMGL</v>
          </cell>
          <cell r="I7596" t="str">
            <v>6 YD 3X WK BUS CMGL 1</v>
          </cell>
        </row>
        <row r="7597">
          <cell r="H7597" t="str">
            <v>MFNBINS</v>
          </cell>
          <cell r="I7597" t="str">
            <v>MULTI-FAMILY REC UNIT N/B</v>
          </cell>
        </row>
        <row r="7598">
          <cell r="H7598" t="str">
            <v>MFWBINS</v>
          </cell>
          <cell r="I7598" t="str">
            <v>MULTI-FAMILY REC UNIT W/B</v>
          </cell>
        </row>
        <row r="7599">
          <cell r="H7599" t="str">
            <v>ROLL-REC</v>
          </cell>
          <cell r="I7599" t="str">
            <v>ROLL OUT CHARGE - RECYCLI</v>
          </cell>
        </row>
        <row r="7600">
          <cell r="H7600" t="str">
            <v>SL064.0G1M001BCMGLIN</v>
          </cell>
          <cell r="I7600" t="str">
            <v>64 GL MTHLY BUS CMGL IN</v>
          </cell>
        </row>
        <row r="7601">
          <cell r="H7601" t="str">
            <v>SL064.0G1W001BCMGLOUT</v>
          </cell>
          <cell r="I7601" t="str">
            <v>64 GL WKLY BUS CMGL OUT</v>
          </cell>
        </row>
        <row r="7602">
          <cell r="H7602" t="str">
            <v>SL064.0GEO001BCMGLOUT</v>
          </cell>
          <cell r="I7602" t="str">
            <v>64 GL EOW BUS CMGL OUT</v>
          </cell>
        </row>
        <row r="7603">
          <cell r="H7603" t="str">
            <v>SL096.0G1M001BCMGLIN</v>
          </cell>
          <cell r="I7603" t="str">
            <v>96 GL MTHLY BUS CMGL IN</v>
          </cell>
        </row>
        <row r="7604">
          <cell r="H7604" t="str">
            <v>SL096.0G1M001BCMGLOUT</v>
          </cell>
          <cell r="I7604" t="str">
            <v>96 GL MTHLY BUS CMGL OUT</v>
          </cell>
        </row>
        <row r="7605">
          <cell r="H7605" t="str">
            <v>SL096.0G1W001BCMGLIN</v>
          </cell>
          <cell r="I7605" t="str">
            <v>96 GL WKLY BUS CMGL IN</v>
          </cell>
        </row>
        <row r="7606">
          <cell r="H7606" t="str">
            <v>SL096.0G1W001BCMGLOUT</v>
          </cell>
          <cell r="I7606" t="str">
            <v>96 GL WKLY BUS CMGL OUT</v>
          </cell>
        </row>
        <row r="7607">
          <cell r="H7607" t="str">
            <v>SL096.0G1W001RECC</v>
          </cell>
          <cell r="I7607" t="str">
            <v xml:space="preserve">96 GL 1X WK RECYCLE COMM </v>
          </cell>
        </row>
        <row r="7608">
          <cell r="H7608" t="str">
            <v>SL096.0G1W001SCMGLIN</v>
          </cell>
          <cell r="I7608" t="str">
            <v>96 GL WKLY SCHL CMGL IN</v>
          </cell>
        </row>
        <row r="7609">
          <cell r="H7609" t="str">
            <v>SL096.0G1W001SCMGLOUT</v>
          </cell>
          <cell r="I7609" t="str">
            <v>96 GL WKLY SCHL CMGL OUT</v>
          </cell>
        </row>
        <row r="7610">
          <cell r="H7610" t="str">
            <v>SL096.0GEO001BCMGLIN</v>
          </cell>
          <cell r="I7610" t="str">
            <v>96 GL EOW BUS CMGL IN</v>
          </cell>
        </row>
        <row r="7611">
          <cell r="H7611" t="str">
            <v>SL096.0GEO001BCMGLOUT</v>
          </cell>
          <cell r="I7611" t="str">
            <v>96 GL EOW BUS CMGL OUT</v>
          </cell>
        </row>
        <row r="7612">
          <cell r="H7612" t="str">
            <v>SL096.0GEO001SCMGLOUT</v>
          </cell>
          <cell r="I7612" t="str">
            <v>96 GL EOW SCHL CMGL OUT</v>
          </cell>
        </row>
        <row r="7613">
          <cell r="H7613" t="str">
            <v>MFNBINS</v>
          </cell>
          <cell r="I7613" t="str">
            <v>MULTI-FAMILY REC UNIT N/B</v>
          </cell>
        </row>
        <row r="7614">
          <cell r="H7614" t="str">
            <v>MFWBINS</v>
          </cell>
          <cell r="I7614" t="str">
            <v>MULTI-FAMILY REC UNIT W/B</v>
          </cell>
        </row>
        <row r="7615">
          <cell r="H7615" t="str">
            <v>SP2BCMGL-COMM</v>
          </cell>
          <cell r="I7615" t="str">
            <v>SPECIAL P/U 2 YD BUS CMGL</v>
          </cell>
        </row>
        <row r="7616">
          <cell r="H7616" t="str">
            <v>SP4CMGL-COM</v>
          </cell>
          <cell r="I7616" t="str">
            <v>SPECIAL PU 4YD BUS CMGL</v>
          </cell>
        </row>
        <row r="7617">
          <cell r="H7617" t="str">
            <v>SP5OCC-COMM</v>
          </cell>
          <cell r="I7617" t="str">
            <v>SPECIAL PICKUP 5 YD OCC -</v>
          </cell>
        </row>
        <row r="7618">
          <cell r="H7618" t="str">
            <v>SP6BCMGL-COMM</v>
          </cell>
          <cell r="I7618" t="str">
            <v>SPECIAL P/U 6 YD BUS CMGL</v>
          </cell>
        </row>
        <row r="7619">
          <cell r="H7619" t="str">
            <v>SPGRAD1REC-COMM</v>
          </cell>
          <cell r="I7619" t="str">
            <v>SPECIAL UNIT GRAD1 REC - COMM</v>
          </cell>
        </row>
        <row r="7620">
          <cell r="H7620" t="str">
            <v>SPGRAD2REC-COMM</v>
          </cell>
          <cell r="I7620" t="str">
            <v>SPECIAL UNIT GRAD2 REC - COMM</v>
          </cell>
        </row>
        <row r="7621">
          <cell r="H7621" t="str">
            <v>CC-KOL</v>
          </cell>
          <cell r="I7621" t="str">
            <v>ONLINE PAYMENT-CC</v>
          </cell>
        </row>
        <row r="7622">
          <cell r="H7622" t="str">
            <v>CCREF-KOL</v>
          </cell>
          <cell r="I7622" t="str">
            <v>CREDIT CARD REFUND</v>
          </cell>
        </row>
        <row r="7623">
          <cell r="H7623" t="str">
            <v>PAY</v>
          </cell>
          <cell r="I7623" t="str">
            <v>PAYMENT THANK YOU</v>
          </cell>
        </row>
        <row r="7624">
          <cell r="H7624" t="str">
            <v>PAY-CFREE</v>
          </cell>
          <cell r="I7624" t="str">
            <v>CHECKFREE PAYMENT</v>
          </cell>
        </row>
        <row r="7625">
          <cell r="H7625" t="str">
            <v>PAY-KOL</v>
          </cell>
          <cell r="I7625" t="str">
            <v>PAYMENT-THANK YOU - OL</v>
          </cell>
        </row>
        <row r="7626">
          <cell r="H7626" t="str">
            <v>PAY-ORCC</v>
          </cell>
          <cell r="I7626" t="str">
            <v>ORCC PAYMENT</v>
          </cell>
        </row>
        <row r="7627">
          <cell r="H7627" t="str">
            <v>PAY-RPPS</v>
          </cell>
          <cell r="I7627" t="str">
            <v>RPPS MASTERCARD PAYMENT</v>
          </cell>
        </row>
        <row r="7628">
          <cell r="H7628" t="str">
            <v>PAYICT</v>
          </cell>
          <cell r="I7628" t="str">
            <v>I/C PAYMENT THANK YOU</v>
          </cell>
        </row>
        <row r="7629">
          <cell r="H7629" t="str">
            <v>PAYMET</v>
          </cell>
          <cell r="I7629" t="str">
            <v>METAVANTE ONLINE PAYMENT</v>
          </cell>
        </row>
        <row r="7630">
          <cell r="H7630" t="str">
            <v>PAYUSBL</v>
          </cell>
          <cell r="I7630" t="str">
            <v>PAYMENT THANK YOU</v>
          </cell>
        </row>
        <row r="7631">
          <cell r="H7631" t="str">
            <v>RET-KOL</v>
          </cell>
          <cell r="I7631" t="str">
            <v>ONLINE PAYMENT RETURN</v>
          </cell>
        </row>
        <row r="7632">
          <cell r="H7632" t="str">
            <v>CC-KOL</v>
          </cell>
          <cell r="I7632" t="str">
            <v>ONLINE PAYMENT-CC</v>
          </cell>
        </row>
        <row r="7633">
          <cell r="H7633" t="str">
            <v>CCREF-KOL</v>
          </cell>
          <cell r="I7633" t="str">
            <v>CREDIT CARD REFUND</v>
          </cell>
        </row>
        <row r="7634">
          <cell r="H7634" t="str">
            <v>PAY</v>
          </cell>
          <cell r="I7634" t="str">
            <v>PAYMENT THANK YOU</v>
          </cell>
        </row>
        <row r="7635">
          <cell r="H7635" t="str">
            <v>PAY-CFREE</v>
          </cell>
          <cell r="I7635" t="str">
            <v>CHECKFREE PAYMENT</v>
          </cell>
        </row>
        <row r="7636">
          <cell r="H7636" t="str">
            <v>PAY-KOL</v>
          </cell>
          <cell r="I7636" t="str">
            <v>PAYMENT-THANK YOU - OL</v>
          </cell>
        </row>
        <row r="7637">
          <cell r="H7637" t="str">
            <v>PAY-OAK</v>
          </cell>
          <cell r="I7637" t="str">
            <v>OAKLEAF PAYMENT</v>
          </cell>
        </row>
        <row r="7638">
          <cell r="H7638" t="str">
            <v>PAY-ORCC</v>
          </cell>
          <cell r="I7638" t="str">
            <v>ORCC PAYMENT</v>
          </cell>
        </row>
        <row r="7639">
          <cell r="H7639" t="str">
            <v>PAY-RPPS</v>
          </cell>
          <cell r="I7639" t="str">
            <v>RPPS MASTERCARD PAYMENT</v>
          </cell>
        </row>
        <row r="7640">
          <cell r="H7640" t="str">
            <v>PAYICT</v>
          </cell>
          <cell r="I7640" t="str">
            <v>I/C PAYMENT THANK YOU</v>
          </cell>
        </row>
        <row r="7641">
          <cell r="H7641" t="str">
            <v>PAYMET</v>
          </cell>
          <cell r="I7641" t="str">
            <v>METAVANTE ONLINE PAYMENT</v>
          </cell>
        </row>
        <row r="7642">
          <cell r="H7642" t="str">
            <v>PAYUSBL</v>
          </cell>
          <cell r="I7642" t="str">
            <v>PAYMENT THANK YOU</v>
          </cell>
        </row>
        <row r="7643">
          <cell r="H7643" t="str">
            <v>RET-KOL</v>
          </cell>
          <cell r="I7643" t="str">
            <v>ONLINE PAYMENT RETURN</v>
          </cell>
        </row>
        <row r="7644">
          <cell r="H7644" t="str">
            <v>CC-KOL</v>
          </cell>
          <cell r="I7644" t="str">
            <v>ONLINE PAYMENT-CC</v>
          </cell>
        </row>
        <row r="7645">
          <cell r="H7645" t="str">
            <v>CCREF-KOL</v>
          </cell>
          <cell r="I7645" t="str">
            <v>CREDIT CARD REFUND</v>
          </cell>
        </row>
        <row r="7646">
          <cell r="H7646" t="str">
            <v>PAY</v>
          </cell>
          <cell r="I7646" t="str">
            <v>PAYMENT THANK YOU</v>
          </cell>
        </row>
        <row r="7647">
          <cell r="H7647" t="str">
            <v>PAY-CFREE</v>
          </cell>
          <cell r="I7647" t="str">
            <v>CHECKFREE PAYMENT</v>
          </cell>
        </row>
        <row r="7648">
          <cell r="H7648" t="str">
            <v>PAY-KOL</v>
          </cell>
          <cell r="I7648" t="str">
            <v>PAYMENT-THANK YOU - OL</v>
          </cell>
        </row>
        <row r="7649">
          <cell r="H7649" t="str">
            <v>PAY-NATL</v>
          </cell>
          <cell r="I7649" t="str">
            <v>PAYMENT THANK YOU</v>
          </cell>
        </row>
        <row r="7650">
          <cell r="H7650" t="str">
            <v>PAY-OAK</v>
          </cell>
          <cell r="I7650" t="str">
            <v>OAKLEAF PAYMENT</v>
          </cell>
        </row>
        <row r="7651">
          <cell r="H7651" t="str">
            <v>PAY-ORCC</v>
          </cell>
          <cell r="I7651" t="str">
            <v>ORCC PAYMENT</v>
          </cell>
        </row>
        <row r="7652">
          <cell r="H7652" t="str">
            <v>PAY-RPPS</v>
          </cell>
          <cell r="I7652" t="str">
            <v>RPPS MASTERCARD PAYMENT</v>
          </cell>
        </row>
        <row r="7653">
          <cell r="H7653" t="str">
            <v>PAYEFT</v>
          </cell>
          <cell r="I7653" t="str">
            <v>EFT PAYMENT</v>
          </cell>
        </row>
        <row r="7654">
          <cell r="H7654" t="str">
            <v>PAYICLRI</v>
          </cell>
          <cell r="I7654" t="str">
            <v>PAYMENT THANK YOU</v>
          </cell>
        </row>
        <row r="7655">
          <cell r="H7655" t="str">
            <v>PAYICT</v>
          </cell>
          <cell r="I7655" t="str">
            <v>I/C PAYMENT THANK YOU</v>
          </cell>
        </row>
        <row r="7656">
          <cell r="H7656" t="str">
            <v>PAYMET</v>
          </cell>
          <cell r="I7656" t="str">
            <v>METAVANTE ONLINE PAYMENT</v>
          </cell>
        </row>
        <row r="7657">
          <cell r="H7657" t="str">
            <v>PAYUSBL</v>
          </cell>
          <cell r="I7657" t="str">
            <v>PAYMENT THANK YOU</v>
          </cell>
        </row>
        <row r="7658">
          <cell r="H7658" t="str">
            <v>RET-KOL</v>
          </cell>
          <cell r="I7658" t="str">
            <v>ONLINE PAYMENT RETURN</v>
          </cell>
        </row>
        <row r="7659">
          <cell r="H7659" t="str">
            <v>CC-KOL</v>
          </cell>
          <cell r="I7659" t="str">
            <v>ONLINE PAYMENT-CC</v>
          </cell>
        </row>
        <row r="7660">
          <cell r="H7660" t="str">
            <v>PAY-KOL</v>
          </cell>
          <cell r="I7660" t="str">
            <v>PAYMENT-THANK YOU - OL</v>
          </cell>
        </row>
        <row r="7661">
          <cell r="H7661" t="str">
            <v>ACCESS-RES</v>
          </cell>
          <cell r="I7661" t="str">
            <v>ACCESS FEE - RES</v>
          </cell>
        </row>
        <row r="7662">
          <cell r="H7662" t="str">
            <v>DRIVEIN-RES</v>
          </cell>
          <cell r="I7662" t="str">
            <v>DRIVE IN SERVICE - RES</v>
          </cell>
        </row>
        <row r="7663">
          <cell r="H7663" t="str">
            <v>DRIVEIN1-RES</v>
          </cell>
          <cell r="I7663" t="str">
            <v>DRIVE IN 1 - RES</v>
          </cell>
        </row>
        <row r="7664">
          <cell r="H7664" t="str">
            <v>DRIVEIN2-RES</v>
          </cell>
          <cell r="I7664" t="str">
            <v>DRIVE IN 2 - RES</v>
          </cell>
        </row>
        <row r="7665">
          <cell r="H7665" t="str">
            <v>DRIVEIN4-RES</v>
          </cell>
          <cell r="I7665" t="str">
            <v>DRIVE IN 4 - RES</v>
          </cell>
        </row>
        <row r="7666">
          <cell r="H7666" t="str">
            <v>DRIVEINMUL-RES</v>
          </cell>
          <cell r="I7666" t="str">
            <v>DRIVE IN SVC MULTIPLE</v>
          </cell>
        </row>
        <row r="7667">
          <cell r="H7667" t="str">
            <v>EMPLOYEER</v>
          </cell>
          <cell r="I7667" t="str">
            <v>EMPLOYEE SERVICE RES</v>
          </cell>
        </row>
        <row r="7668">
          <cell r="H7668" t="str">
            <v>GWRES</v>
          </cell>
          <cell r="I7668" t="str">
            <v>GREENWASTE SERVICE - RES</v>
          </cell>
        </row>
        <row r="7669">
          <cell r="H7669" t="str">
            <v>GWSPCL-RES</v>
          </cell>
          <cell r="I7669" t="str">
            <v>GREENWASTE SEN/DIS - RES</v>
          </cell>
        </row>
        <row r="7670">
          <cell r="H7670" t="str">
            <v>RECBINONLYR</v>
          </cell>
          <cell r="I7670" t="str">
            <v>RECYCLE SERVICE ONLY</v>
          </cell>
        </row>
        <row r="7671">
          <cell r="H7671" t="str">
            <v>RECPROGADJ-RES</v>
          </cell>
          <cell r="I7671" t="str">
            <v>RECYCLING PROGRAM ADJUSTM</v>
          </cell>
        </row>
        <row r="7672">
          <cell r="H7672" t="str">
            <v>RECVALRES</v>
          </cell>
          <cell r="I7672" t="str">
            <v>RECYCLABLES VALUE - RES</v>
          </cell>
        </row>
        <row r="7673">
          <cell r="H7673" t="str">
            <v>RL020.0G1W001</v>
          </cell>
          <cell r="I7673" t="str">
            <v>20 GL 1X WK 1</v>
          </cell>
        </row>
        <row r="7674">
          <cell r="H7674" t="str">
            <v>RL032.0G1M001NOREC</v>
          </cell>
          <cell r="I7674" t="str">
            <v>32 GL 1X MO NO RECY 1</v>
          </cell>
        </row>
        <row r="7675">
          <cell r="H7675" t="str">
            <v>RL032.0G1M001WREC</v>
          </cell>
          <cell r="I7675" t="str">
            <v>32 GL 1X MO W/RECY 1</v>
          </cell>
        </row>
        <row r="7676">
          <cell r="H7676" t="str">
            <v>RL032.0G1W001NOREC</v>
          </cell>
          <cell r="I7676" t="str">
            <v>32 GL 1X WK NO RECY 1</v>
          </cell>
        </row>
        <row r="7677">
          <cell r="H7677" t="str">
            <v>RL032.0G1W001WREC</v>
          </cell>
          <cell r="I7677" t="str">
            <v>32 GL 1X WK W/RECY 1</v>
          </cell>
        </row>
        <row r="7678">
          <cell r="H7678" t="str">
            <v>RL032.0G1W002NOREC</v>
          </cell>
          <cell r="I7678" t="str">
            <v>32 GL 1X WK NO RECY 2</v>
          </cell>
        </row>
        <row r="7679">
          <cell r="H7679" t="str">
            <v>RL032.0G1W002WREC</v>
          </cell>
          <cell r="I7679" t="str">
            <v>32 GL 1X WK W/RECY 2</v>
          </cell>
        </row>
        <row r="7680">
          <cell r="H7680" t="str">
            <v>RL032.0G1W003WREC</v>
          </cell>
          <cell r="I7680" t="str">
            <v>32 GL 1X WK W/RECY 3</v>
          </cell>
        </row>
        <row r="7681">
          <cell r="H7681" t="str">
            <v>SL035.0G1M001WREC</v>
          </cell>
          <cell r="I7681" t="str">
            <v>35 GL 1X MO W/RECY 1</v>
          </cell>
        </row>
        <row r="7682">
          <cell r="H7682" t="str">
            <v>SL035.0G1W001NOREC</v>
          </cell>
          <cell r="I7682" t="str">
            <v>35 GL 1X WK NO RECY 1</v>
          </cell>
        </row>
        <row r="7683">
          <cell r="H7683" t="str">
            <v>SL035.0G1W001WREC</v>
          </cell>
          <cell r="I7683" t="str">
            <v>35 GL 1X WK W/ RECY 1</v>
          </cell>
        </row>
        <row r="7684">
          <cell r="H7684" t="str">
            <v>SL035.0G1W002WREC</v>
          </cell>
          <cell r="I7684" t="str">
            <v>35 GL 1X WK W/RECY 2</v>
          </cell>
        </row>
        <row r="7685">
          <cell r="H7685" t="str">
            <v>SL035.0GEO001NOREC</v>
          </cell>
          <cell r="I7685" t="str">
            <v>35 GL EOW NO RECY 1</v>
          </cell>
        </row>
        <row r="7686">
          <cell r="H7686" t="str">
            <v>SL035.0GEO001WREC</v>
          </cell>
          <cell r="I7686" t="str">
            <v>35 GL EOW W/RECY 1</v>
          </cell>
        </row>
        <row r="7687">
          <cell r="H7687" t="str">
            <v>SL065.0G1M001</v>
          </cell>
          <cell r="I7687" t="str">
            <v>65 GL 1X MO 1</v>
          </cell>
        </row>
        <row r="7688">
          <cell r="H7688" t="str">
            <v>SL065.0G1M001NOREC</v>
          </cell>
          <cell r="I7688" t="str">
            <v>65 GL 1X MO NO RECY 1</v>
          </cell>
        </row>
        <row r="7689">
          <cell r="H7689" t="str">
            <v>SL065.0G1M001WREC</v>
          </cell>
          <cell r="I7689" t="str">
            <v>65 GL 1X MO W/RECY 1</v>
          </cell>
        </row>
        <row r="7690">
          <cell r="H7690" t="str">
            <v>SL065.0G1W001NOREC</v>
          </cell>
          <cell r="I7690" t="str">
            <v>65 GL 1X WK NO RECY 1</v>
          </cell>
        </row>
        <row r="7691">
          <cell r="H7691" t="str">
            <v>SL065.0G1W001WREC</v>
          </cell>
          <cell r="I7691" t="str">
            <v>65 GL 1X WK W/RECY 1</v>
          </cell>
        </row>
        <row r="7692">
          <cell r="H7692" t="str">
            <v>SL065.0GEO001NOREC</v>
          </cell>
          <cell r="I7692" t="str">
            <v>65 GL EOW NO RECY 1</v>
          </cell>
        </row>
        <row r="7693">
          <cell r="H7693" t="str">
            <v>SL065.0GEO001WREC</v>
          </cell>
          <cell r="I7693" t="str">
            <v>65 GL EOW W/RECY 1</v>
          </cell>
        </row>
        <row r="7694">
          <cell r="H7694" t="str">
            <v>SL095.0G1M001NOREC</v>
          </cell>
          <cell r="I7694" t="str">
            <v>95 GL 1X MO NO RECY 1</v>
          </cell>
        </row>
        <row r="7695">
          <cell r="H7695" t="str">
            <v>SL095.0G1M001WREC</v>
          </cell>
          <cell r="I7695" t="str">
            <v>95 GL 1X MO W/RECY 1</v>
          </cell>
        </row>
        <row r="7696">
          <cell r="H7696" t="str">
            <v>SL095.0G1W001NOREC</v>
          </cell>
          <cell r="I7696" t="str">
            <v>95 GL 1X WK NO RECY 1</v>
          </cell>
        </row>
        <row r="7697">
          <cell r="H7697" t="str">
            <v>SL095.0G1W001WREC</v>
          </cell>
          <cell r="I7697" t="str">
            <v>95 GL 1X WK W/RECY 1</v>
          </cell>
        </row>
        <row r="7698">
          <cell r="H7698" t="str">
            <v>SL095.0GEO001NOREC</v>
          </cell>
          <cell r="I7698" t="str">
            <v>95 GL EOW NO RECY 1</v>
          </cell>
        </row>
        <row r="7699">
          <cell r="H7699" t="str">
            <v>SL095.0GEO001WREC</v>
          </cell>
          <cell r="I7699" t="str">
            <v>95 GL EOW W/RECY 1</v>
          </cell>
        </row>
        <row r="7700">
          <cell r="H7700" t="str">
            <v>WI1-RES</v>
          </cell>
          <cell r="I7700" t="str">
            <v>WALK IN 6-25' - RES</v>
          </cell>
        </row>
        <row r="7701">
          <cell r="H7701" t="str">
            <v>WI2-RES</v>
          </cell>
          <cell r="I7701" t="str">
            <v>WALK IN 26-50' - RES</v>
          </cell>
        </row>
        <row r="7702">
          <cell r="H7702" t="str">
            <v>ADJ-RES</v>
          </cell>
          <cell r="I7702" t="str">
            <v>ADJUSTMENT SERVICE - RES</v>
          </cell>
        </row>
        <row r="7703">
          <cell r="H7703" t="str">
            <v>BULKY-RES</v>
          </cell>
          <cell r="I7703" t="str">
            <v>BULKY ITEM PICK UP - RES</v>
          </cell>
        </row>
        <row r="7704">
          <cell r="H7704" t="str">
            <v>EP96GWC-RES</v>
          </cell>
          <cell r="I7704" t="str">
            <v>EXTRA PICK UP 96 GW - RES</v>
          </cell>
        </row>
        <row r="7705">
          <cell r="H7705" t="str">
            <v>EXTRA-RES</v>
          </cell>
          <cell r="I7705" t="str">
            <v>EXTRA CAN, BAG, BOX - RES</v>
          </cell>
        </row>
        <row r="7706">
          <cell r="H7706" t="str">
            <v>EXTRA95-RES</v>
          </cell>
          <cell r="I7706" t="str">
            <v>EXTRA 95 GL RES</v>
          </cell>
        </row>
        <row r="7707">
          <cell r="H7707" t="str">
            <v>EXTRAGWC-RES</v>
          </cell>
          <cell r="I7707" t="str">
            <v>EXTRA GREENWASTE FEE - RE</v>
          </cell>
        </row>
        <row r="7708">
          <cell r="H7708" t="str">
            <v>GWRES</v>
          </cell>
          <cell r="I7708" t="str">
            <v>GREENWASTE SERVICE - RES</v>
          </cell>
        </row>
        <row r="7709">
          <cell r="H7709" t="str">
            <v>OC-RES</v>
          </cell>
          <cell r="I7709" t="str">
            <v>ON CALL SERVICE - RES</v>
          </cell>
        </row>
        <row r="7710">
          <cell r="H7710" t="str">
            <v>OW-RES</v>
          </cell>
          <cell r="I7710" t="str">
            <v>OVERFILL / OVERWEIGHT CAN</v>
          </cell>
        </row>
        <row r="7711">
          <cell r="H7711" t="str">
            <v>RECBINONLYR</v>
          </cell>
          <cell r="I7711" t="str">
            <v>RECYCLE SERVICE ONLY</v>
          </cell>
        </row>
        <row r="7712">
          <cell r="H7712" t="str">
            <v>RECPROGADJ-RES</v>
          </cell>
          <cell r="I7712" t="str">
            <v>RECYCLING PROGRAM ADJUSTM</v>
          </cell>
        </row>
        <row r="7713">
          <cell r="H7713" t="str">
            <v>RECVALRES</v>
          </cell>
          <cell r="I7713" t="str">
            <v>RECYCLABLES VALUE - RES</v>
          </cell>
        </row>
        <row r="7714">
          <cell r="H7714" t="str">
            <v>REDEL-RES</v>
          </cell>
          <cell r="I7714" t="str">
            <v>REDELIVER FEE - RES</v>
          </cell>
        </row>
        <row r="7715">
          <cell r="H7715" t="str">
            <v>REINSTATE-RES</v>
          </cell>
          <cell r="I7715" t="str">
            <v>REINSTATE FEE - RES</v>
          </cell>
        </row>
        <row r="7716">
          <cell r="H7716" t="str">
            <v>RTRNCART32-RES</v>
          </cell>
          <cell r="I7716" t="str">
            <v>RETURN TRIP 32 GL - RES</v>
          </cell>
        </row>
        <row r="7717">
          <cell r="H7717" t="str">
            <v>RTRNCART65-RES</v>
          </cell>
          <cell r="I7717" t="str">
            <v>RETURN TRIP 65 GL - RES</v>
          </cell>
        </row>
        <row r="7718">
          <cell r="H7718" t="str">
            <v>RTRNCART95-RES</v>
          </cell>
          <cell r="I7718" t="str">
            <v>RETURN TRIP 95 GL - RES</v>
          </cell>
        </row>
        <row r="7719">
          <cell r="H7719" t="str">
            <v>RTRNCART96REC-RES</v>
          </cell>
          <cell r="I7719" t="str">
            <v>RETURN TRIP 96 GL REC - RES</v>
          </cell>
        </row>
        <row r="7720">
          <cell r="H7720" t="str">
            <v>SL065.0G1W001WREC</v>
          </cell>
          <cell r="I7720" t="str">
            <v>65 GL 1X WK W/RECY 1</v>
          </cell>
        </row>
        <row r="7721">
          <cell r="H7721" t="str">
            <v>SL095.0GEO001WREC</v>
          </cell>
          <cell r="I7721" t="str">
            <v>95 GL EOW W/RECY 1</v>
          </cell>
        </row>
        <row r="7722">
          <cell r="H7722" t="str">
            <v>SPECIAL-RES</v>
          </cell>
          <cell r="I7722" t="str">
            <v>SPECIAL SERVICE - RES</v>
          </cell>
        </row>
        <row r="7723">
          <cell r="H7723" t="str">
            <v>TIME-RES</v>
          </cell>
          <cell r="I7723" t="str">
            <v>TIME FEE 1 - RES</v>
          </cell>
        </row>
        <row r="7724">
          <cell r="H7724" t="str">
            <v>DRIVEIN-RES</v>
          </cell>
          <cell r="I7724" t="str">
            <v>DRIVE IN SERVICE - RES</v>
          </cell>
        </row>
        <row r="7725">
          <cell r="H7725" t="str">
            <v>GWRES</v>
          </cell>
          <cell r="I7725" t="str">
            <v>GREENWASTE SERVICE - RES</v>
          </cell>
        </row>
        <row r="7726">
          <cell r="H7726" t="str">
            <v>GWSPCL-RES</v>
          </cell>
          <cell r="I7726" t="str">
            <v>GREENWASTE SEN/DIS - RES</v>
          </cell>
        </row>
        <row r="7727">
          <cell r="H7727" t="str">
            <v>RECBINONLYR</v>
          </cell>
          <cell r="I7727" t="str">
            <v>RECYCLE SERVICE ONLY</v>
          </cell>
        </row>
        <row r="7728">
          <cell r="H7728" t="str">
            <v>RECPROGADJ-RES</v>
          </cell>
          <cell r="I7728" t="str">
            <v>RECYCLING PROGRAM ADJUSTM</v>
          </cell>
        </row>
        <row r="7729">
          <cell r="H7729" t="str">
            <v>RECVALRES</v>
          </cell>
          <cell r="I7729" t="str">
            <v>RECYCLABLES VALUE - RES</v>
          </cell>
        </row>
        <row r="7730">
          <cell r="H7730" t="str">
            <v>RL032.0G1W001WREC</v>
          </cell>
          <cell r="I7730" t="str">
            <v>32 GL 1X WK W/RECY 1</v>
          </cell>
        </row>
        <row r="7731">
          <cell r="H7731" t="str">
            <v>RL032.0G1W002WREC</v>
          </cell>
          <cell r="I7731" t="str">
            <v>32 GL 1X WK W/RECY 2</v>
          </cell>
        </row>
        <row r="7732">
          <cell r="H7732" t="str">
            <v>SL035.0G1W001NOREC</v>
          </cell>
          <cell r="I7732" t="str">
            <v>35 GL 1X WK NO RECY 1</v>
          </cell>
        </row>
        <row r="7733">
          <cell r="H7733" t="str">
            <v>SL035.0G1W001WREC</v>
          </cell>
          <cell r="I7733" t="str">
            <v>35 GL 1X WK W/ RECY 1</v>
          </cell>
        </row>
        <row r="7734">
          <cell r="H7734" t="str">
            <v>SL035.0GEO001WREC</v>
          </cell>
          <cell r="I7734" t="str">
            <v>35 GL EOW W/RECY 1</v>
          </cell>
        </row>
        <row r="7735">
          <cell r="H7735" t="str">
            <v>SL065.0G1M001NOREC</v>
          </cell>
          <cell r="I7735" t="str">
            <v>65 GL 1X MO NO RECY 1</v>
          </cell>
        </row>
        <row r="7736">
          <cell r="H7736" t="str">
            <v>SL065.0G1M001WREC</v>
          </cell>
          <cell r="I7736" t="str">
            <v>65 GL 1X MO W/RECY 1</v>
          </cell>
        </row>
        <row r="7737">
          <cell r="H7737" t="str">
            <v>SL065.0G1W001NOREC</v>
          </cell>
          <cell r="I7737" t="str">
            <v>65 GL 1X WK NO RECY 1</v>
          </cell>
        </row>
        <row r="7738">
          <cell r="H7738" t="str">
            <v>SL065.0G1W001WREC</v>
          </cell>
          <cell r="I7738" t="str">
            <v>65 GL 1X WK W/RECY 1</v>
          </cell>
        </row>
        <row r="7739">
          <cell r="H7739" t="str">
            <v>SL065.0GEO001NOREC</v>
          </cell>
          <cell r="I7739" t="str">
            <v>65 GL EOW NO RECY 1</v>
          </cell>
        </row>
        <row r="7740">
          <cell r="H7740" t="str">
            <v>SL065.0GEO001WREC</v>
          </cell>
          <cell r="I7740" t="str">
            <v>65 GL EOW W/RECY 1</v>
          </cell>
        </row>
        <row r="7741">
          <cell r="H7741" t="str">
            <v>SL095.0G1M001WREC</v>
          </cell>
          <cell r="I7741" t="str">
            <v>95 GL 1X MO W/RECY 1</v>
          </cell>
        </row>
        <row r="7742">
          <cell r="H7742" t="str">
            <v>SL095.0G1W001NOREC</v>
          </cell>
          <cell r="I7742" t="str">
            <v>95 GL 1X WK NO RECY 1</v>
          </cell>
        </row>
        <row r="7743">
          <cell r="H7743" t="str">
            <v>SL095.0G1W001WREC</v>
          </cell>
          <cell r="I7743" t="str">
            <v>95 GL 1X WK W/RECY 1</v>
          </cell>
        </row>
        <row r="7744">
          <cell r="H7744" t="str">
            <v>SL095.0GEO001NOREC</v>
          </cell>
          <cell r="I7744" t="str">
            <v>95 GL EOW NO RECY 1</v>
          </cell>
        </row>
        <row r="7745">
          <cell r="H7745" t="str">
            <v>SL095.0GEO001WREC</v>
          </cell>
          <cell r="I7745" t="str">
            <v>95 GL EOW W/RECY 1</v>
          </cell>
        </row>
        <row r="7746">
          <cell r="H7746" t="str">
            <v>ADJ-RES</v>
          </cell>
          <cell r="I7746" t="str">
            <v>ADJUSTMENT SERVICE - RES</v>
          </cell>
        </row>
        <row r="7747">
          <cell r="H7747" t="str">
            <v>BULKY-RES</v>
          </cell>
          <cell r="I7747" t="str">
            <v>BULKY ITEM PICK UP - RES</v>
          </cell>
        </row>
        <row r="7748">
          <cell r="H7748" t="str">
            <v>EP96GWC-RES</v>
          </cell>
          <cell r="I7748" t="str">
            <v>EXTRA PICK UP 96 GW - RES</v>
          </cell>
        </row>
        <row r="7749">
          <cell r="H7749" t="str">
            <v>EXTRA-RES</v>
          </cell>
          <cell r="I7749" t="str">
            <v>EXTRA CAN, BAG, BOX - RES</v>
          </cell>
        </row>
        <row r="7750">
          <cell r="H7750" t="str">
            <v>EXTRA95-RES</v>
          </cell>
          <cell r="I7750" t="str">
            <v>EXTRA 95 GL RES</v>
          </cell>
        </row>
        <row r="7751">
          <cell r="H7751" t="str">
            <v>EXTRAGWC-RES</v>
          </cell>
          <cell r="I7751" t="str">
            <v>EXTRA GREENWASTE FEE - RE</v>
          </cell>
        </row>
        <row r="7752">
          <cell r="H7752" t="str">
            <v>GWRES</v>
          </cell>
          <cell r="I7752" t="str">
            <v>GREENWASTE SERVICE - RES</v>
          </cell>
        </row>
        <row r="7753">
          <cell r="H7753" t="str">
            <v>OC-RES</v>
          </cell>
          <cell r="I7753" t="str">
            <v>ON CALL SERVICE - RES</v>
          </cell>
        </row>
        <row r="7754">
          <cell r="H7754" t="str">
            <v>OW-RES</v>
          </cell>
          <cell r="I7754" t="str">
            <v>OVERFILL / OVERWEIGHT CAN</v>
          </cell>
        </row>
        <row r="7755">
          <cell r="H7755" t="str">
            <v>RECPROGADJ-RES</v>
          </cell>
          <cell r="I7755" t="str">
            <v>RECYCLING PROGRAM ADJUSTM</v>
          </cell>
        </row>
        <row r="7756">
          <cell r="H7756" t="str">
            <v>RECVALRES</v>
          </cell>
          <cell r="I7756" t="str">
            <v>RECYCLABLES VALUE - RES</v>
          </cell>
        </row>
        <row r="7757">
          <cell r="H7757" t="str">
            <v>REDEL-RES</v>
          </cell>
          <cell r="I7757" t="str">
            <v>REDELIVER FEE - RES</v>
          </cell>
        </row>
        <row r="7758">
          <cell r="H7758" t="str">
            <v>REINSTATE-RES</v>
          </cell>
          <cell r="I7758" t="str">
            <v>REINSTATE FEE - RES</v>
          </cell>
        </row>
        <row r="7759">
          <cell r="H7759" t="str">
            <v>RL032.0G1W001NOREC</v>
          </cell>
          <cell r="I7759" t="str">
            <v>32 GL 1X WK NO RECY 1</v>
          </cell>
        </row>
        <row r="7760">
          <cell r="H7760" t="str">
            <v>RL032.0G1W001WREC</v>
          </cell>
          <cell r="I7760" t="str">
            <v>32 GL 1X WK W/RECY 1</v>
          </cell>
        </row>
        <row r="7761">
          <cell r="H7761" t="str">
            <v>RTRNCART32-RES</v>
          </cell>
          <cell r="I7761" t="str">
            <v>RETURN TRIP 32 GL - RES</v>
          </cell>
        </row>
        <row r="7762">
          <cell r="H7762" t="str">
            <v>RTRNCART65-RES</v>
          </cell>
          <cell r="I7762" t="str">
            <v>RETURN TRIP 65 GL - RES</v>
          </cell>
        </row>
        <row r="7763">
          <cell r="H7763" t="str">
            <v>RTRNCART95-RES</v>
          </cell>
          <cell r="I7763" t="str">
            <v>RETURN TRIP 95 GL - RES</v>
          </cell>
        </row>
        <row r="7764">
          <cell r="H7764" t="str">
            <v>RTRNCART96REC-RES</v>
          </cell>
          <cell r="I7764" t="str">
            <v>RETURN TRIP 96 GL REC - RES</v>
          </cell>
        </row>
        <row r="7765">
          <cell r="H7765" t="str">
            <v>SL035.0G1W001WREC</v>
          </cell>
          <cell r="I7765" t="str">
            <v>35 GL 1X WK W/ RECY 1</v>
          </cell>
        </row>
        <row r="7766">
          <cell r="H7766" t="str">
            <v>SL065.0G1M001WREC</v>
          </cell>
          <cell r="I7766" t="str">
            <v>65 GL 1X MO W/RECY 1</v>
          </cell>
        </row>
        <row r="7767">
          <cell r="H7767" t="str">
            <v>SL065.0G1W001WREC</v>
          </cell>
          <cell r="I7767" t="str">
            <v>65 GL 1X WK W/RECY 1</v>
          </cell>
        </row>
        <row r="7768">
          <cell r="H7768" t="str">
            <v>SL065.0GEO001WREC</v>
          </cell>
          <cell r="I7768" t="str">
            <v>65 GL EOW W/RECY 1</v>
          </cell>
        </row>
        <row r="7769">
          <cell r="H7769" t="str">
            <v>SL095.0G1W001WREC</v>
          </cell>
          <cell r="I7769" t="str">
            <v>95 GL 1X WK W/RECY 1</v>
          </cell>
        </row>
        <row r="7770">
          <cell r="H7770" t="str">
            <v>SL095.0GEO001WREC</v>
          </cell>
          <cell r="I7770" t="str">
            <v>95 GL EOW W/RECY 1</v>
          </cell>
        </row>
        <row r="7771">
          <cell r="H7771" t="str">
            <v>SPGRAD1-RES</v>
          </cell>
          <cell r="I7771" t="str">
            <v>SPECIAL GRADUATED 1-2 - R</v>
          </cell>
        </row>
        <row r="7772">
          <cell r="H7772" t="str">
            <v>TIME-RES</v>
          </cell>
          <cell r="I7772" t="str">
            <v>TIME FEE 1 - RES</v>
          </cell>
        </row>
        <row r="7773">
          <cell r="H7773" t="str">
            <v>EMPLOYEER</v>
          </cell>
          <cell r="I7773" t="str">
            <v>EMPLOYEE SERVICE RES</v>
          </cell>
        </row>
        <row r="7774">
          <cell r="H7774" t="str">
            <v>GWRES</v>
          </cell>
          <cell r="I7774" t="str">
            <v>GREENWASTE SERVICE - RES</v>
          </cell>
        </row>
        <row r="7775">
          <cell r="H7775" t="str">
            <v>SL035.0G1W001WREC</v>
          </cell>
          <cell r="I7775" t="str">
            <v>35 GL 1X WK W/ RECY 1</v>
          </cell>
        </row>
        <row r="7776">
          <cell r="H7776" t="str">
            <v>SL065.0G1W001WREC</v>
          </cell>
          <cell r="I7776" t="str">
            <v>65 GL 1X WK W/RECY 1</v>
          </cell>
        </row>
        <row r="7777">
          <cell r="H7777" t="str">
            <v>SL095.0G1W001WREC</v>
          </cell>
          <cell r="I7777" t="str">
            <v>95 GL 1X WK W/RECY 1</v>
          </cell>
        </row>
        <row r="7778">
          <cell r="H7778" t="str">
            <v>BULKY-RES</v>
          </cell>
          <cell r="I7778" t="str">
            <v>BULKY ITEM PICK UP - RES</v>
          </cell>
        </row>
        <row r="7779">
          <cell r="H7779" t="str">
            <v>DISP-RES</v>
          </cell>
          <cell r="I7779" t="str">
            <v>DISPOSAL FEE -RES</v>
          </cell>
        </row>
        <row r="7780">
          <cell r="H7780" t="str">
            <v>DISPCMGL-RES</v>
          </cell>
          <cell r="I7780" t="str">
            <v>DISPOSAL COMINGLE - RES</v>
          </cell>
        </row>
        <row r="7781">
          <cell r="H7781" t="str">
            <v>DISPFEDMSW-RES</v>
          </cell>
          <cell r="I7781" t="str">
            <v>DISPOSAL FEDERAL MSW - RE</v>
          </cell>
        </row>
        <row r="7782">
          <cell r="H7782" t="str">
            <v>DISPGW-RES</v>
          </cell>
          <cell r="I7782" t="str">
            <v>DISPOSAL FEE GREENWASTE -</v>
          </cell>
        </row>
        <row r="7783">
          <cell r="H7783" t="str">
            <v>EXTRA-RES</v>
          </cell>
          <cell r="I7783" t="str">
            <v>EXTRA CAN, BAG, BOX - RES</v>
          </cell>
        </row>
        <row r="7784">
          <cell r="H7784" t="str">
            <v>EXTRAGWC-RES</v>
          </cell>
          <cell r="I7784" t="str">
            <v>EXTRA GREENWASTE FEE - RE</v>
          </cell>
        </row>
        <row r="7785">
          <cell r="H7785" t="str">
            <v>OW-RES</v>
          </cell>
          <cell r="I7785" t="str">
            <v>OVERFILL / OVERWEIGHT CAN</v>
          </cell>
        </row>
        <row r="7786">
          <cell r="H7786" t="str">
            <v>REINSTATE-RES</v>
          </cell>
          <cell r="I7786" t="str">
            <v>REINSTATE FEE - RES</v>
          </cell>
        </row>
        <row r="7787">
          <cell r="H7787" t="str">
            <v>RTRNCART65-RES</v>
          </cell>
          <cell r="I7787" t="str">
            <v>RETURN TRIP 65 GL - RES</v>
          </cell>
        </row>
        <row r="7788">
          <cell r="H7788" t="str">
            <v>TIME-RES</v>
          </cell>
          <cell r="I7788" t="str">
            <v>TIME FEE 1 - RES</v>
          </cell>
        </row>
        <row r="7789">
          <cell r="H7789" t="str">
            <v>DISP-RES</v>
          </cell>
          <cell r="I7789" t="str">
            <v>DISPOSAL FEE -RES</v>
          </cell>
        </row>
        <row r="7790">
          <cell r="H7790" t="str">
            <v>DISPCMGL-RES</v>
          </cell>
          <cell r="I7790" t="str">
            <v>DISPOSAL COMINGLE - RES</v>
          </cell>
        </row>
        <row r="7791">
          <cell r="H7791" t="str">
            <v>DISPGW-RES</v>
          </cell>
          <cell r="I7791" t="str">
            <v>DISPOSAL FEE GREENWASTE -</v>
          </cell>
        </row>
        <row r="7792">
          <cell r="H7792" t="str">
            <v>DEL20TEMP-RO</v>
          </cell>
          <cell r="I7792" t="str">
            <v>DELIVERY FEE 20 YD TEMP -</v>
          </cell>
        </row>
        <row r="7793">
          <cell r="H7793" t="str">
            <v>DISP-RO</v>
          </cell>
          <cell r="I7793" t="str">
            <v>DISPOSAL CHARGE - RO</v>
          </cell>
        </row>
        <row r="7794">
          <cell r="H7794" t="str">
            <v>FINAL20TEMP-RO</v>
          </cell>
          <cell r="I7794" t="str">
            <v>FINAL PULL 20 YD TEMP - R</v>
          </cell>
        </row>
        <row r="7795">
          <cell r="H7795" t="str">
            <v>MILE-RO</v>
          </cell>
          <cell r="I7795" t="str">
            <v>MILEAGE FEE - RO</v>
          </cell>
        </row>
        <row r="7796">
          <cell r="H7796" t="str">
            <v>RENT20TEMP-RO</v>
          </cell>
          <cell r="I7796" t="str">
            <v>RENTAL FEE 20 YD TEMP - R</v>
          </cell>
        </row>
        <row r="7797">
          <cell r="H7797" t="str">
            <v>DEL20TEMP-RO</v>
          </cell>
          <cell r="I7797" t="str">
            <v>DELIVERY FEE 20 YD TEMP -</v>
          </cell>
        </row>
        <row r="7798">
          <cell r="H7798" t="str">
            <v>DISP-RO</v>
          </cell>
          <cell r="I7798" t="str">
            <v>DISPOSAL CHARGE - RO</v>
          </cell>
        </row>
        <row r="7799">
          <cell r="H7799" t="str">
            <v>FINAL20TEMP-RO</v>
          </cell>
          <cell r="I7799" t="str">
            <v>FINAL PULL 20 YD TEMP - R</v>
          </cell>
        </row>
        <row r="7800">
          <cell r="H7800" t="str">
            <v>MILE-RO</v>
          </cell>
          <cell r="I7800" t="str">
            <v>MILEAGE FEE - RO</v>
          </cell>
        </row>
        <row r="7801">
          <cell r="H7801" t="str">
            <v>RENT20TEMP-RO</v>
          </cell>
          <cell r="I7801" t="str">
            <v>RENTAL FEE 20 YD TEMP - R</v>
          </cell>
        </row>
        <row r="7802">
          <cell r="H7802" t="str">
            <v>HAUL20-RO</v>
          </cell>
          <cell r="I7802" t="str">
            <v>HAUL 20 YD - RO</v>
          </cell>
        </row>
        <row r="7803">
          <cell r="H7803" t="str">
            <v>LIDRO</v>
          </cell>
          <cell r="I7803" t="str">
            <v>LID CHARGE - RO</v>
          </cell>
        </row>
        <row r="7804">
          <cell r="H7804" t="str">
            <v>RENT10MO-RO</v>
          </cell>
          <cell r="I7804" t="str">
            <v>RENTAL FEE 10 YD MONTHLY</v>
          </cell>
        </row>
        <row r="7805">
          <cell r="H7805" t="str">
            <v>RENT20MO-RO</v>
          </cell>
          <cell r="I7805" t="str">
            <v>RENTAL FEE 20 YD MONTHLY</v>
          </cell>
        </row>
        <row r="7806">
          <cell r="H7806" t="str">
            <v>RENT20TEMP-RO</v>
          </cell>
          <cell r="I7806" t="str">
            <v>RENTAL FEE 20 YD TEMP - R</v>
          </cell>
        </row>
        <row r="7807">
          <cell r="H7807" t="str">
            <v>RENT30MO-RO</v>
          </cell>
          <cell r="I7807" t="str">
            <v>RENTAL FEE 30 YD MONTHLY</v>
          </cell>
        </row>
        <row r="7808">
          <cell r="H7808" t="str">
            <v>RENT40MO-RO</v>
          </cell>
          <cell r="I7808" t="str">
            <v>RENTAL FEE 40 YD MONTHLY</v>
          </cell>
        </row>
        <row r="7809">
          <cell r="H7809" t="str">
            <v>RENT40TEMP-RO</v>
          </cell>
          <cell r="I7809" t="str">
            <v>RENTAL FEE 40 YD TEMP - R</v>
          </cell>
        </row>
        <row r="7810">
          <cell r="H7810" t="str">
            <v>CLEAN20-RO</v>
          </cell>
          <cell r="I7810" t="str">
            <v>CLEANING FEE 20 YD - RO</v>
          </cell>
        </row>
        <row r="7811">
          <cell r="H7811" t="str">
            <v>CLEAN30-RO</v>
          </cell>
          <cell r="I7811" t="str">
            <v>CLEANING FEE 30 YD - RO</v>
          </cell>
        </row>
        <row r="7812">
          <cell r="H7812" t="str">
            <v>DEL20TEMP-RO</v>
          </cell>
          <cell r="I7812" t="str">
            <v>DELIVERY FEE 20 YD TEMP -</v>
          </cell>
        </row>
        <row r="7813">
          <cell r="H7813" t="str">
            <v>DEL30TEMP-RO</v>
          </cell>
          <cell r="I7813" t="str">
            <v>DELIVERY FEE 30 YD TEMP -</v>
          </cell>
        </row>
        <row r="7814">
          <cell r="H7814" t="str">
            <v>DEL40-RO</v>
          </cell>
          <cell r="I7814" t="str">
            <v>DELIVERY FEE 40 YD - RO</v>
          </cell>
        </row>
        <row r="7815">
          <cell r="H7815" t="str">
            <v>DEL40TEMP-RO</v>
          </cell>
          <cell r="I7815" t="str">
            <v>DELIVERY FEE 40 YD TEMP -</v>
          </cell>
        </row>
        <row r="7816">
          <cell r="H7816" t="str">
            <v>DISCO-CP</v>
          </cell>
          <cell r="I7816" t="str">
            <v xml:space="preserve">COMPACTOR DISCONNECT FEE </v>
          </cell>
        </row>
        <row r="7817">
          <cell r="H7817" t="str">
            <v>DISP-RO</v>
          </cell>
          <cell r="I7817" t="str">
            <v>DISPOSAL CHARGE - RO</v>
          </cell>
        </row>
        <row r="7818">
          <cell r="H7818" t="str">
            <v>DISPCMGL-RO</v>
          </cell>
          <cell r="I7818" t="str">
            <v xml:space="preserve">DISPOSAL FEE COMMINGLE - </v>
          </cell>
        </row>
        <row r="7819">
          <cell r="H7819" t="str">
            <v>DISPDEMO-RO</v>
          </cell>
          <cell r="I7819" t="str">
            <v>DISPOSAL FEE DEMO - RO</v>
          </cell>
        </row>
        <row r="7820">
          <cell r="H7820" t="str">
            <v>DISPFEDMSW-RO</v>
          </cell>
          <cell r="I7820" t="str">
            <v xml:space="preserve">DISPOSAL FEE FEDERAL MSW </v>
          </cell>
        </row>
        <row r="7821">
          <cell r="H7821" t="str">
            <v>DISPTOTERS-RO</v>
          </cell>
          <cell r="I7821" t="str">
            <v>DISPOSAL FEE TOTERS</v>
          </cell>
        </row>
        <row r="7822">
          <cell r="H7822" t="str">
            <v>DISPTRANS-RO</v>
          </cell>
          <cell r="I7822" t="str">
            <v>DISPOSAL FEE TRANSFER HAU</v>
          </cell>
        </row>
        <row r="7823">
          <cell r="H7823" t="str">
            <v>EXWGHT-RO</v>
          </cell>
          <cell r="I7823" t="str">
            <v>EXCESS WEIGHT - RO</v>
          </cell>
        </row>
        <row r="7824">
          <cell r="H7824" t="str">
            <v>FERRY-RO</v>
          </cell>
          <cell r="I7824" t="str">
            <v>FERRY FEE - RO</v>
          </cell>
        </row>
        <row r="7825">
          <cell r="H7825" t="str">
            <v>FINAL20-RO</v>
          </cell>
          <cell r="I7825" t="str">
            <v>FINAL PULL 20 YD - RO</v>
          </cell>
        </row>
        <row r="7826">
          <cell r="H7826" t="str">
            <v>FINAL20TEMP-RO</v>
          </cell>
          <cell r="I7826" t="str">
            <v>FINAL PULL 20 YD TEMP - R</v>
          </cell>
        </row>
        <row r="7827">
          <cell r="H7827" t="str">
            <v>FINAL30TEMP-RO</v>
          </cell>
          <cell r="I7827" t="str">
            <v>FINAL PULL 30 YD TEMP - R</v>
          </cell>
        </row>
        <row r="7828">
          <cell r="H7828" t="str">
            <v>FINAL40-RO</v>
          </cell>
          <cell r="I7828" t="str">
            <v>FINAL PULL 40 YD - RO</v>
          </cell>
        </row>
        <row r="7829">
          <cell r="H7829" t="str">
            <v>FINAL40TEMP-RO</v>
          </cell>
          <cell r="I7829" t="str">
            <v>FINAL PULL 40 YD TEMP - R</v>
          </cell>
        </row>
        <row r="7830">
          <cell r="H7830" t="str">
            <v>HAUL10-CP</v>
          </cell>
          <cell r="I7830" t="str">
            <v>COMPACTOR HAUL 10 YD - RO</v>
          </cell>
        </row>
        <row r="7831">
          <cell r="H7831" t="str">
            <v>HAUL20-CP</v>
          </cell>
          <cell r="I7831" t="str">
            <v>COMPACTOR HAUL 20 YD - RO</v>
          </cell>
        </row>
        <row r="7832">
          <cell r="H7832" t="str">
            <v>HAUL20-RO</v>
          </cell>
          <cell r="I7832" t="str">
            <v>HAUL 20 YD - RO</v>
          </cell>
        </row>
        <row r="7833">
          <cell r="H7833" t="str">
            <v>HAUL20CUST-RO</v>
          </cell>
          <cell r="I7833" t="str">
            <v>HAUL 20 YD CUST - RO</v>
          </cell>
        </row>
        <row r="7834">
          <cell r="H7834" t="str">
            <v>HAUL20TEMP-RO</v>
          </cell>
          <cell r="I7834" t="str">
            <v>HAUL 20 YD TEMP - RO</v>
          </cell>
        </row>
        <row r="7835">
          <cell r="H7835" t="str">
            <v>HAUL25-CP</v>
          </cell>
          <cell r="I7835" t="str">
            <v>COMPACTOR HAUL 25 YD - RO</v>
          </cell>
        </row>
        <row r="7836">
          <cell r="H7836" t="str">
            <v>HAUL30-CP</v>
          </cell>
          <cell r="I7836" t="str">
            <v>COMPACTOR HAUL 30 YD</v>
          </cell>
        </row>
        <row r="7837">
          <cell r="H7837" t="str">
            <v>HAUL30-RO</v>
          </cell>
          <cell r="I7837" t="str">
            <v>HAUL 30 YD - RO</v>
          </cell>
        </row>
        <row r="7838">
          <cell r="H7838" t="str">
            <v>HAUL30TEMP-RO</v>
          </cell>
          <cell r="I7838" t="str">
            <v>HAUL 30 YD TEMP - RO</v>
          </cell>
        </row>
        <row r="7839">
          <cell r="H7839" t="str">
            <v>HAUL40-CP</v>
          </cell>
          <cell r="I7839" t="str">
            <v>COMPACTOR HAUL 40 YD</v>
          </cell>
        </row>
        <row r="7840">
          <cell r="H7840" t="str">
            <v>HAUL40-RO</v>
          </cell>
          <cell r="I7840" t="str">
            <v>HAUL 40 YD - RO</v>
          </cell>
        </row>
        <row r="7841">
          <cell r="H7841" t="str">
            <v>HAUL40TEMP-RO</v>
          </cell>
          <cell r="I7841" t="str">
            <v>HAUL 40 YD TEMP - RO</v>
          </cell>
        </row>
        <row r="7842">
          <cell r="H7842" t="str">
            <v>MILE-RO</v>
          </cell>
          <cell r="I7842" t="str">
            <v>MILEAGE FEE - RO</v>
          </cell>
        </row>
        <row r="7843">
          <cell r="H7843" t="str">
            <v>RENT20TEMP-RO</v>
          </cell>
          <cell r="I7843" t="str">
            <v>RENTAL FEE 20 YD TEMP - R</v>
          </cell>
        </row>
        <row r="7844">
          <cell r="H7844" t="str">
            <v>RENT30TEMP-RO</v>
          </cell>
          <cell r="I7844" t="str">
            <v>RENTAL FEE 30 YD TEMP - R</v>
          </cell>
        </row>
        <row r="7845">
          <cell r="H7845" t="str">
            <v>RENT40TEMP-RO</v>
          </cell>
          <cell r="I7845" t="str">
            <v>RENTAL FEE 40 YD TEMP - R</v>
          </cell>
        </row>
        <row r="7846">
          <cell r="H7846" t="str">
            <v>RTRNTRIP-RO</v>
          </cell>
          <cell r="I7846" t="str">
            <v>RETURN TRIP FEE - RO</v>
          </cell>
        </row>
        <row r="7847">
          <cell r="H7847" t="str">
            <v>TIME-RO</v>
          </cell>
          <cell r="I7847" t="str">
            <v>TIME FEE - RO</v>
          </cell>
        </row>
        <row r="7848">
          <cell r="H7848" t="str">
            <v>DEL20TEMP-RO</v>
          </cell>
          <cell r="I7848" t="str">
            <v>DELIVERY FEE 20 YD TEMP -</v>
          </cell>
        </row>
        <row r="7849">
          <cell r="H7849" t="str">
            <v>DEL40TEMP-RO</v>
          </cell>
          <cell r="I7849" t="str">
            <v>DELIVERY FEE 40 YD TEMP -</v>
          </cell>
        </row>
        <row r="7850">
          <cell r="H7850" t="str">
            <v>DISP-RO</v>
          </cell>
          <cell r="I7850" t="str">
            <v>DISPOSAL CHARGE - RO</v>
          </cell>
        </row>
        <row r="7851">
          <cell r="H7851" t="str">
            <v>FINAL20TEMP-RO</v>
          </cell>
          <cell r="I7851" t="str">
            <v>FINAL PULL 20 YD TEMP - R</v>
          </cell>
        </row>
        <row r="7852">
          <cell r="H7852" t="str">
            <v>FINAL40TEMP-RO</v>
          </cell>
          <cell r="I7852" t="str">
            <v>FINAL PULL 40 YD TEMP - R</v>
          </cell>
        </row>
        <row r="7853">
          <cell r="H7853" t="str">
            <v>MILE-RO</v>
          </cell>
          <cell r="I7853" t="str">
            <v>MILEAGE FEE - RO</v>
          </cell>
        </row>
        <row r="7854">
          <cell r="H7854" t="str">
            <v>RENT20TEMP-RO</v>
          </cell>
          <cell r="I7854" t="str">
            <v>RENTAL FEE 20 YD TEMP - R</v>
          </cell>
        </row>
        <row r="7855">
          <cell r="H7855" t="str">
            <v>RENT40TEMP-RO</v>
          </cell>
          <cell r="I7855" t="str">
            <v>RENTAL FEE 40 YD TEMP - R</v>
          </cell>
        </row>
        <row r="7856">
          <cell r="H7856" t="str">
            <v>COMMODITY SURCHARGE</v>
          </cell>
          <cell r="I7856" t="str">
            <v>COMMODITY SURCHARGE</v>
          </cell>
        </row>
        <row r="7857">
          <cell r="H7857" t="str">
            <v>COMMODITY SURCHARGE</v>
          </cell>
          <cell r="I7857" t="str">
            <v>COMMODITY SURCHARGE</v>
          </cell>
        </row>
        <row r="7858">
          <cell r="H7858" t="str">
            <v>COMMODITY SURCHARGE</v>
          </cell>
          <cell r="I7858" t="str">
            <v>COMMODITY SURCHARGE</v>
          </cell>
        </row>
        <row r="7859">
          <cell r="H7859" t="str">
            <v xml:space="preserve">PIERCE COUNTY REFUSE </v>
          </cell>
          <cell r="I7859" t="str">
            <v>3.6% PIERCE COUNTY REFUSE</v>
          </cell>
        </row>
        <row r="7860">
          <cell r="H7860" t="str">
            <v xml:space="preserve">PIERCE COUNTY REFUSE  </v>
          </cell>
          <cell r="I7860" t="str">
            <v>3.6% PIERCE COUNTY REFUSE</v>
          </cell>
        </row>
        <row r="7861">
          <cell r="H7861" t="str">
            <v>PIERCE REFUSE TAX</v>
          </cell>
          <cell r="I7861" t="str">
            <v>3.6% WA STATE REFUSE TAX</v>
          </cell>
        </row>
        <row r="7862">
          <cell r="H7862" t="str">
            <v xml:space="preserve">PIERCE COUNTY REFUSE </v>
          </cell>
          <cell r="I7862" t="str">
            <v>3.6% PIERCE COUNTY REFUSE</v>
          </cell>
        </row>
        <row r="7863">
          <cell r="H7863" t="str">
            <v xml:space="preserve">PIERCE COUNTY REFUSE  </v>
          </cell>
          <cell r="I7863" t="str">
            <v>3.6% PIERCE COUNTY REFUSE</v>
          </cell>
        </row>
        <row r="7864">
          <cell r="H7864" t="str">
            <v>PIERCE COUNTY REFUSE</v>
          </cell>
          <cell r="I7864" t="str">
            <v>3.6% PIERCE COUNTY REFUSE</v>
          </cell>
        </row>
        <row r="7865">
          <cell r="H7865" t="str">
            <v>PIERCE COUNTY SALES 7.9%</v>
          </cell>
          <cell r="I7865" t="str">
            <v>7.9% WA STATE SALES TAX</v>
          </cell>
        </row>
        <row r="7866">
          <cell r="H7866" t="str">
            <v>PIERCE COUNTY SALES 9.3%</v>
          </cell>
          <cell r="I7866" t="str">
            <v>9.3% WA STATE SALES TAX</v>
          </cell>
        </row>
        <row r="7867">
          <cell r="H7867" t="str">
            <v>PIERCE REFUSE TAX</v>
          </cell>
          <cell r="I7867" t="str">
            <v>3.6% WA STATE REFUSE TAX</v>
          </cell>
        </row>
        <row r="7868">
          <cell r="H7868" t="str">
            <v>PIERCE STATE SALES TAX</v>
          </cell>
          <cell r="I7868" t="str">
            <v>9.9% WA STATE SALES TAX</v>
          </cell>
        </row>
        <row r="7869">
          <cell r="H7869" t="str">
            <v xml:space="preserve">PIERCE COUNTY REFUSE  </v>
          </cell>
          <cell r="I7869" t="str">
            <v>3.6% PIERCE COUNTY REFUSE</v>
          </cell>
        </row>
        <row r="7870">
          <cell r="H7870" t="str">
            <v>PIERCE REFUSE TAX</v>
          </cell>
          <cell r="I7870" t="str">
            <v>3.6% WA STATE REFUSE TAX</v>
          </cell>
        </row>
        <row r="7871">
          <cell r="H7871" t="str">
            <v>PIERCE STATE SALES TAX</v>
          </cell>
          <cell r="I7871" t="str">
            <v>9.9% WA STATE SALES TAX</v>
          </cell>
        </row>
        <row r="7872">
          <cell r="H7872" t="str">
            <v xml:space="preserve">PIERCE COUNTY REFUSE </v>
          </cell>
          <cell r="I7872" t="str">
            <v>3.6% PIERCE COUNTY REFUSE</v>
          </cell>
        </row>
        <row r="7873">
          <cell r="H7873" t="str">
            <v xml:space="preserve">PIERCE COUNTY REFUSE  </v>
          </cell>
          <cell r="I7873" t="str">
            <v>3.6% PIERCE COUNTY REFUSE</v>
          </cell>
        </row>
        <row r="7874">
          <cell r="H7874" t="str">
            <v>PIERCE COUNTY REFUSE</v>
          </cell>
          <cell r="I7874" t="str">
            <v>3.6% PIERCE COUNTY REFUSE</v>
          </cell>
        </row>
        <row r="7875">
          <cell r="H7875" t="str">
            <v>PIERCE REFUSE TAX</v>
          </cell>
          <cell r="I7875" t="str">
            <v>3.6% WA STATE REFUSE TAX</v>
          </cell>
        </row>
        <row r="7876">
          <cell r="H7876" t="str">
            <v>LAKEWOOD CITY UTILITY TAX</v>
          </cell>
          <cell r="I7876" t="str">
            <v>6% CITY UTILITY TAX</v>
          </cell>
        </row>
        <row r="7877">
          <cell r="H7877" t="str">
            <v>LAKEWOOD REFUSE TAX</v>
          </cell>
          <cell r="I7877" t="str">
            <v>3.6% WA STATE REFUSE TAX</v>
          </cell>
        </row>
        <row r="7878">
          <cell r="H7878" t="str">
            <v xml:space="preserve">PIERCE COUNTY REFUSE </v>
          </cell>
          <cell r="I7878" t="str">
            <v>3.6% PIERCE COUNTY REFUSE</v>
          </cell>
        </row>
        <row r="7879">
          <cell r="H7879" t="str">
            <v xml:space="preserve">PIERCE COUNTY REFUSE  </v>
          </cell>
          <cell r="I7879" t="str">
            <v>3.6% PIERCE COUNTY REFUSE</v>
          </cell>
        </row>
        <row r="7880">
          <cell r="H7880" t="str">
            <v>PIERCE COUNTY REFUSE</v>
          </cell>
          <cell r="I7880" t="str">
            <v>3.6% PIERCE COUNTY REFUSE</v>
          </cell>
        </row>
        <row r="7881">
          <cell r="H7881" t="str">
            <v>PIERCE REFUSE TAX</v>
          </cell>
          <cell r="I7881" t="str">
            <v>3.6% WA STATE REFUSE TAX</v>
          </cell>
        </row>
        <row r="7882">
          <cell r="H7882" t="str">
            <v>PIERCE STATE SALES TAX</v>
          </cell>
          <cell r="I7882" t="str">
            <v>9.9% WA STATE SALES TAX</v>
          </cell>
        </row>
        <row r="7883">
          <cell r="H7883" t="str">
            <v xml:space="preserve">PIERCE COUNTY REFUSE </v>
          </cell>
          <cell r="I7883" t="str">
            <v>3.6% PIERCE COUNTY REFUSE</v>
          </cell>
        </row>
        <row r="7884">
          <cell r="H7884" t="str">
            <v xml:space="preserve">PIERCE COUNTY REFUSE  </v>
          </cell>
          <cell r="I7884" t="str">
            <v>3.6% PIERCE COUNTY REFUSE</v>
          </cell>
        </row>
        <row r="7885">
          <cell r="H7885" t="str">
            <v>PIERCE COUNTY REFUSE</v>
          </cell>
          <cell r="I7885" t="str">
            <v>3.6% PIERCE COUNTY REFUSE</v>
          </cell>
        </row>
        <row r="7886">
          <cell r="H7886" t="str">
            <v>PIERCE REFUSE TAX</v>
          </cell>
          <cell r="I7886" t="str">
            <v>3.6% WA STATE REFUSE TAX</v>
          </cell>
        </row>
        <row r="7887">
          <cell r="H7887" t="str">
            <v>PIERCE REFUSE TAX</v>
          </cell>
          <cell r="I7887" t="str">
            <v>3.6% WA STATE REFUSE TAX</v>
          </cell>
        </row>
        <row r="7888">
          <cell r="H7888" t="str">
            <v>PIERCE STATE SALES TAX</v>
          </cell>
          <cell r="I7888" t="str">
            <v>9.9% WA STATE SALES TAX</v>
          </cell>
        </row>
        <row r="7889">
          <cell r="H7889" t="str">
            <v xml:space="preserve">PIERCE COUNTY REFUSE </v>
          </cell>
          <cell r="I7889" t="str">
            <v>3.6% PIERCE COUNTY REFUSE</v>
          </cell>
        </row>
        <row r="7890">
          <cell r="H7890" t="str">
            <v xml:space="preserve">PIERCE COUNTY REFUSE  </v>
          </cell>
          <cell r="I7890" t="str">
            <v>3.6% PIERCE COUNTY REFUSE</v>
          </cell>
        </row>
        <row r="7891">
          <cell r="H7891" t="str">
            <v>PIERCE COUNTY SALES 7.9%</v>
          </cell>
          <cell r="I7891" t="str">
            <v>7.9% WA STATE SALES TAX</v>
          </cell>
        </row>
        <row r="7892">
          <cell r="H7892" t="str">
            <v>PIERCE COUNTY SALES 8.0%</v>
          </cell>
          <cell r="I7892" t="str">
            <v>8.0% WA STATE SALES TAX</v>
          </cell>
        </row>
        <row r="7893">
          <cell r="H7893" t="str">
            <v>PIERCE COUNTY SALES 9.3%</v>
          </cell>
          <cell r="I7893" t="str">
            <v>9.3% WA STATE SALES TAX</v>
          </cell>
        </row>
        <row r="7894">
          <cell r="H7894" t="str">
            <v>PIERCE REFUSE TAX</v>
          </cell>
          <cell r="I7894" t="str">
            <v>3.6% WA STATE REFUSE TAX</v>
          </cell>
        </row>
        <row r="7895">
          <cell r="H7895" t="str">
            <v>PIERCE STATE SALES TAX</v>
          </cell>
          <cell r="I7895" t="str">
            <v>9.9% WA STATE SALES TAX</v>
          </cell>
        </row>
        <row r="7896">
          <cell r="H7896" t="str">
            <v xml:space="preserve">PIERCE COUNTY REFUSE  </v>
          </cell>
          <cell r="I7896" t="str">
            <v>3.6% PIERCE COUNTY REFUSE</v>
          </cell>
        </row>
        <row r="7897">
          <cell r="H7897" t="str">
            <v>PIERCE COUNTY SALES 7.9%</v>
          </cell>
          <cell r="I7897" t="str">
            <v>7.9% WA STATE SALES TAX</v>
          </cell>
        </row>
        <row r="7898">
          <cell r="H7898" t="str">
            <v>PIERCE COUNTY SALES 9.3%</v>
          </cell>
          <cell r="I7898" t="str">
            <v>9.3% WA STATE SALES TAX</v>
          </cell>
        </row>
        <row r="7899">
          <cell r="H7899" t="str">
            <v>PIERCE REFUSE TAX</v>
          </cell>
          <cell r="I7899" t="str">
            <v>3.6% WA STATE REFUSE TAX</v>
          </cell>
        </row>
        <row r="7900">
          <cell r="H7900" t="str">
            <v>PIERCE STATE SALES TAX</v>
          </cell>
          <cell r="I7900" t="str">
            <v>9.9% WA STATE SALES TAX</v>
          </cell>
        </row>
        <row r="7901">
          <cell r="H7901" t="str">
            <v>FINCHG</v>
          </cell>
          <cell r="I7901" t="str">
            <v>LATE FEE</v>
          </cell>
        </row>
        <row r="7902">
          <cell r="H7902" t="str">
            <v>BD</v>
          </cell>
          <cell r="I7902" t="str">
            <v>BAD DEBT WRITE OFF</v>
          </cell>
        </row>
        <row r="7903">
          <cell r="H7903" t="str">
            <v>BDR</v>
          </cell>
          <cell r="I7903" t="str">
            <v>BAD DEBT RECOVERY</v>
          </cell>
        </row>
        <row r="7904">
          <cell r="H7904" t="str">
            <v>FINCHG</v>
          </cell>
          <cell r="I7904" t="str">
            <v>LATE FEE</v>
          </cell>
        </row>
        <row r="7905">
          <cell r="H7905" t="str">
            <v>MM</v>
          </cell>
          <cell r="I7905" t="str">
            <v>ADJUST BALANCE (MM)</v>
          </cell>
        </row>
        <row r="7906">
          <cell r="H7906" t="str">
            <v>MM</v>
          </cell>
          <cell r="I7906" t="str">
            <v>ADJUST BALANCE (MM)</v>
          </cell>
        </row>
        <row r="7907">
          <cell r="H7907" t="str">
            <v>REFUND</v>
          </cell>
          <cell r="I7907" t="str">
            <v>REFUND</v>
          </cell>
        </row>
        <row r="7908">
          <cell r="H7908" t="str">
            <v>RETCK-LB</v>
          </cell>
          <cell r="I7908" t="str">
            <v>RETURNED CHECK - LOCKBOX</v>
          </cell>
        </row>
        <row r="7909">
          <cell r="H7909" t="str">
            <v>ACCESS-COMM</v>
          </cell>
          <cell r="I7909" t="str">
            <v>ACCESS FEE - COMM</v>
          </cell>
        </row>
        <row r="7910">
          <cell r="H7910" t="str">
            <v>DONATIONC</v>
          </cell>
          <cell r="I7910" t="str">
            <v>DONATED SERVICE COMM</v>
          </cell>
        </row>
        <row r="7911">
          <cell r="H7911" t="str">
            <v>DRIVEIN1-COMM</v>
          </cell>
          <cell r="I7911" t="str">
            <v>DRIVE IN 125-250' - COMM</v>
          </cell>
        </row>
        <row r="7912">
          <cell r="H7912" t="str">
            <v>FL001.0Y1W001</v>
          </cell>
          <cell r="I7912" t="str">
            <v>1 YD 1X WK 1</v>
          </cell>
        </row>
        <row r="7913">
          <cell r="H7913" t="str">
            <v>FL001.0Y1W001MF</v>
          </cell>
          <cell r="I7913" t="str">
            <v>1 YD 1X WK MULTI-FAMILY 1</v>
          </cell>
        </row>
        <row r="7914">
          <cell r="H7914" t="str">
            <v>FL001.5Y1W001</v>
          </cell>
          <cell r="I7914" t="str">
            <v>1.5 YD 1X WK 1</v>
          </cell>
        </row>
        <row r="7915">
          <cell r="H7915" t="str">
            <v>FL001.5Y1W001MF</v>
          </cell>
          <cell r="I7915" t="str">
            <v>1.5 YD 1X WK MULTI-FAMILY 1</v>
          </cell>
        </row>
        <row r="7916">
          <cell r="H7916" t="str">
            <v>FL001.5Y2W001</v>
          </cell>
          <cell r="I7916" t="str">
            <v>1.5 YD 2X WK 1</v>
          </cell>
        </row>
        <row r="7917">
          <cell r="H7917" t="str">
            <v>FL001.5Y2W001MF</v>
          </cell>
          <cell r="I7917" t="str">
            <v>1.5 YD 2X WK MULTI-FAMILY 1</v>
          </cell>
        </row>
        <row r="7918">
          <cell r="H7918" t="str">
            <v>FL002.0Y1W001</v>
          </cell>
          <cell r="I7918" t="str">
            <v>2 YD 1X WK 1</v>
          </cell>
        </row>
        <row r="7919">
          <cell r="H7919" t="str">
            <v>FL002.0Y1W001MF</v>
          </cell>
          <cell r="I7919" t="str">
            <v>2 YD 1X WK MULTI-FAMILY 1</v>
          </cell>
        </row>
        <row r="7920">
          <cell r="H7920" t="str">
            <v>FL002.0Y2W001</v>
          </cell>
          <cell r="I7920" t="str">
            <v>2 YD 2X WK 1</v>
          </cell>
        </row>
        <row r="7921">
          <cell r="H7921" t="str">
            <v>FL002.0Y2W001MF</v>
          </cell>
          <cell r="I7921" t="str">
            <v>2 YD 2X WK MULTI-FAMILY 1</v>
          </cell>
        </row>
        <row r="7922">
          <cell r="H7922" t="str">
            <v>FL002.0Y3W001</v>
          </cell>
          <cell r="I7922" t="str">
            <v>2 YD 3X WK 1</v>
          </cell>
        </row>
        <row r="7923">
          <cell r="H7923" t="str">
            <v>FL003.0Y1W001MF</v>
          </cell>
          <cell r="I7923" t="str">
            <v>3 YD 1X WK MULTI-FAMILY 1</v>
          </cell>
        </row>
        <row r="7924">
          <cell r="H7924" t="str">
            <v>FL004.0Y1W001</v>
          </cell>
          <cell r="I7924" t="str">
            <v>4 YD 1X WK 1</v>
          </cell>
        </row>
        <row r="7925">
          <cell r="H7925" t="str">
            <v>FL004.0Y1W001MF</v>
          </cell>
          <cell r="I7925" t="str">
            <v>4 YD 1X WK MULTI-FAMILY 1</v>
          </cell>
        </row>
        <row r="7926">
          <cell r="H7926" t="str">
            <v>FL004.0Y2W001MF</v>
          </cell>
          <cell r="I7926" t="str">
            <v>4 YD 2X WK MULTI-FAMILY 1</v>
          </cell>
        </row>
        <row r="7927">
          <cell r="H7927" t="str">
            <v>FL006.0Y1W001</v>
          </cell>
          <cell r="I7927" t="str">
            <v>6 YD 1X WK 1</v>
          </cell>
        </row>
        <row r="7928">
          <cell r="H7928" t="str">
            <v>FL006.0Y1W001MF</v>
          </cell>
          <cell r="I7928" t="str">
            <v>6 YD 1X WK MULTI-FAMILY 1</v>
          </cell>
        </row>
        <row r="7929">
          <cell r="H7929" t="str">
            <v>FL006.0Y2W001</v>
          </cell>
          <cell r="I7929" t="str">
            <v>6 YD 2X WK 1</v>
          </cell>
        </row>
        <row r="7930">
          <cell r="H7930" t="str">
            <v>GWCOMM</v>
          </cell>
          <cell r="I7930" t="str">
            <v>GREENWASTE SERVICE - COMM</v>
          </cell>
        </row>
        <row r="7931">
          <cell r="H7931" t="str">
            <v>RL032.0G1W002WRECC</v>
          </cell>
          <cell r="I7931" t="str">
            <v>32 GL 1X WK W/RECY COMM 2</v>
          </cell>
        </row>
        <row r="7932">
          <cell r="H7932" t="str">
            <v>RL032.0G1W006WRECC</v>
          </cell>
          <cell r="I7932" t="str">
            <v>32 GL 1X WK W/RECY COMM 6</v>
          </cell>
        </row>
        <row r="7933">
          <cell r="H7933" t="str">
            <v>SL035.0G1W001WRECC</v>
          </cell>
          <cell r="I7933" t="str">
            <v>35 GL 1X WK W/RECY COMM 1</v>
          </cell>
        </row>
        <row r="7934">
          <cell r="H7934" t="str">
            <v>SL065.0G1W001WRECC</v>
          </cell>
          <cell r="I7934" t="str">
            <v>65 GL 1X WK W/RECY COMM 1</v>
          </cell>
        </row>
        <row r="7935">
          <cell r="H7935" t="str">
            <v>SL065.0GEO001WRECC</v>
          </cell>
          <cell r="I7935" t="str">
            <v>65 GL EOW W/RECY COMM 1</v>
          </cell>
        </row>
        <row r="7936">
          <cell r="H7936" t="str">
            <v>SL095.0G1W001WRECC</v>
          </cell>
          <cell r="I7936" t="str">
            <v>95 GL 1X WK W/RECY COMM 1</v>
          </cell>
        </row>
        <row r="7937">
          <cell r="H7937" t="str">
            <v>SL095.0GEO001WRECC</v>
          </cell>
          <cell r="I7937" t="str">
            <v>95 GL EOW W/RECY COMM 1</v>
          </cell>
        </row>
        <row r="7938">
          <cell r="H7938" t="str">
            <v>WI1-COMM</v>
          </cell>
          <cell r="I7938" t="str">
            <v>WALK IN 6-25' - COMM</v>
          </cell>
        </row>
        <row r="7939">
          <cell r="H7939" t="str">
            <v>EXTRA-COMM</v>
          </cell>
          <cell r="I7939" t="str">
            <v>EXTRA CAN, BAG, BOX - COM</v>
          </cell>
        </row>
        <row r="7940">
          <cell r="H7940" t="str">
            <v>EXTRAYDG-COM</v>
          </cell>
          <cell r="I7940" t="str">
            <v>EXTRA YARDAGE - COMM</v>
          </cell>
        </row>
        <row r="7941">
          <cell r="H7941" t="str">
            <v>FL002.0YXX001TEMPC</v>
          </cell>
          <cell r="I7941" t="str">
            <v xml:space="preserve">2 YD TEMP </v>
          </cell>
        </row>
        <row r="7942">
          <cell r="H7942" t="str">
            <v>SP2-COMM</v>
          </cell>
          <cell r="I7942" t="str">
            <v>SPECIAL PICK UP 2 YD - CO</v>
          </cell>
        </row>
        <row r="7943">
          <cell r="H7943" t="str">
            <v>FL002.0Y1W001BCMGL</v>
          </cell>
          <cell r="I7943" t="str">
            <v>2 YD 1X WK BUS CMGL 1</v>
          </cell>
        </row>
        <row r="7944">
          <cell r="H7944" t="str">
            <v>FL002.0Y1W001BOCC</v>
          </cell>
          <cell r="I7944" t="str">
            <v>2 YD 1X WK BUS OCC 1</v>
          </cell>
        </row>
        <row r="7945">
          <cell r="H7945" t="str">
            <v>FL002.0Y1W001SCMGL</v>
          </cell>
          <cell r="I7945" t="str">
            <v>2 YD 1X WK SCHL CMGL 1</v>
          </cell>
        </row>
        <row r="7946">
          <cell r="H7946" t="str">
            <v>FL002.0Y2W001BCMGL</v>
          </cell>
          <cell r="I7946" t="str">
            <v>2 YD 2X WK BUS CMGL 1</v>
          </cell>
        </row>
        <row r="7947">
          <cell r="H7947" t="str">
            <v>FL002.0Y2W001SCMGL</v>
          </cell>
          <cell r="I7947" t="str">
            <v>2 YD 2X WK SCHL CMGL 1</v>
          </cell>
        </row>
        <row r="7948">
          <cell r="H7948" t="str">
            <v>FL006.0Y2W001SCMGL</v>
          </cell>
          <cell r="I7948" t="str">
            <v>6 YD 2X WK SCHL CMGL 1</v>
          </cell>
        </row>
        <row r="7949">
          <cell r="H7949" t="str">
            <v>MFWBINS</v>
          </cell>
          <cell r="I7949" t="str">
            <v>MULTI-FAMILY REC UNIT W/B</v>
          </cell>
        </row>
        <row r="7950">
          <cell r="H7950" t="str">
            <v>SL096.0G1W001BCMGLOUT</v>
          </cell>
          <cell r="I7950" t="str">
            <v>96 GL WKLY BUS CMGL OUT</v>
          </cell>
        </row>
        <row r="7951">
          <cell r="H7951" t="str">
            <v>SL096.0G1W001SCMGLOUT</v>
          </cell>
          <cell r="I7951" t="str">
            <v>96 GL WKLY SCHL CMGL OUT</v>
          </cell>
        </row>
        <row r="7952">
          <cell r="H7952" t="str">
            <v>SL096.0GEO001BCMGLOUT</v>
          </cell>
          <cell r="I7952" t="str">
            <v>96 GL EOW BUS CMGL OUT</v>
          </cell>
        </row>
        <row r="7953">
          <cell r="H7953" t="str">
            <v>SL096.0GEO001SCMGLOUT</v>
          </cell>
          <cell r="I7953" t="str">
            <v>96 GL EOW SCHL CMGL OUT</v>
          </cell>
        </row>
        <row r="7954">
          <cell r="H7954" t="str">
            <v>CC-KOL</v>
          </cell>
          <cell r="I7954" t="str">
            <v>ONLINE PAYMENT-CC</v>
          </cell>
        </row>
        <row r="7955">
          <cell r="H7955" t="str">
            <v>CCREF-KOL</v>
          </cell>
          <cell r="I7955" t="str">
            <v>CREDIT CARD REFUND</v>
          </cell>
        </row>
        <row r="7956">
          <cell r="H7956" t="str">
            <v>PAY</v>
          </cell>
          <cell r="I7956" t="str">
            <v>PAYMENT THANK YOU</v>
          </cell>
        </row>
        <row r="7957">
          <cell r="H7957" t="str">
            <v>PAY-CFREE</v>
          </cell>
          <cell r="I7957" t="str">
            <v>CHECKFREE PAYMENT</v>
          </cell>
        </row>
        <row r="7958">
          <cell r="H7958" t="str">
            <v>PAY-KOL</v>
          </cell>
          <cell r="I7958" t="str">
            <v>PAYMENT-THANK YOU - OL</v>
          </cell>
        </row>
        <row r="7959">
          <cell r="H7959" t="str">
            <v>PAY-ORCC</v>
          </cell>
          <cell r="I7959" t="str">
            <v>ORCC PAYMENT</v>
          </cell>
        </row>
        <row r="7960">
          <cell r="H7960" t="str">
            <v>PAY-RPPS</v>
          </cell>
          <cell r="I7960" t="str">
            <v>RPPS MASTERCARD PAYMENT</v>
          </cell>
        </row>
        <row r="7961">
          <cell r="H7961" t="str">
            <v>PAYMET</v>
          </cell>
          <cell r="I7961" t="str">
            <v>METAVANTE ONLINE PAYMENT</v>
          </cell>
        </row>
        <row r="7962">
          <cell r="H7962" t="str">
            <v>PAYUSBL</v>
          </cell>
          <cell r="I7962" t="str">
            <v>PAYMENT THANK YOU</v>
          </cell>
        </row>
        <row r="7963">
          <cell r="H7963" t="str">
            <v>DRIVEIN1-RES</v>
          </cell>
          <cell r="I7963" t="str">
            <v>DRIVE IN 1 - RES</v>
          </cell>
        </row>
        <row r="7964">
          <cell r="H7964" t="str">
            <v>DRIVEIN2-RES</v>
          </cell>
          <cell r="I7964" t="str">
            <v>DRIVE IN 2 - RES</v>
          </cell>
        </row>
        <row r="7965">
          <cell r="H7965" t="str">
            <v>EMPLOYEER</v>
          </cell>
          <cell r="I7965" t="str">
            <v>EMPLOYEE SERVICE RES</v>
          </cell>
        </row>
        <row r="7966">
          <cell r="H7966" t="str">
            <v>GW3RES</v>
          </cell>
          <cell r="I7966" t="str">
            <v>GREENWASTE SVC 3 - RES</v>
          </cell>
        </row>
        <row r="7967">
          <cell r="H7967" t="str">
            <v>GWRES</v>
          </cell>
          <cell r="I7967" t="str">
            <v>GREENWASTE SERVICE - RES</v>
          </cell>
        </row>
        <row r="7968">
          <cell r="H7968" t="str">
            <v>RECBINONLYR</v>
          </cell>
          <cell r="I7968" t="str">
            <v>RECYCLE SERVICE ONLY</v>
          </cell>
        </row>
        <row r="7969">
          <cell r="H7969" t="str">
            <v>RL010.0G1W001WREC</v>
          </cell>
          <cell r="I7969" t="str">
            <v>10 GL 1X WK RECYCLE 1</v>
          </cell>
        </row>
        <row r="7970">
          <cell r="H7970" t="str">
            <v>RL020.0G1W001</v>
          </cell>
          <cell r="I7970" t="str">
            <v>20 GL 1X WK 1</v>
          </cell>
        </row>
        <row r="7971">
          <cell r="H7971" t="str">
            <v>RL032.0G1W001WREC</v>
          </cell>
          <cell r="I7971" t="str">
            <v>32 GL 1X WK W/RECY 1</v>
          </cell>
        </row>
        <row r="7972">
          <cell r="H7972" t="str">
            <v>RL032.0G1W002WREC</v>
          </cell>
          <cell r="I7972" t="str">
            <v>32 GL 1X WK W/RECY 2</v>
          </cell>
        </row>
        <row r="7973">
          <cell r="H7973" t="str">
            <v>RL032.0G1W003WREC</v>
          </cell>
          <cell r="I7973" t="str">
            <v>32 GL 1X WK W/RECY 3</v>
          </cell>
        </row>
        <row r="7974">
          <cell r="H7974" t="str">
            <v>SL035.0G1M001WREC</v>
          </cell>
          <cell r="I7974" t="str">
            <v>35 GL 1X MO W/RECY 1</v>
          </cell>
        </row>
        <row r="7975">
          <cell r="H7975" t="str">
            <v>SL035.0G1W001WREC</v>
          </cell>
          <cell r="I7975" t="str">
            <v>35 GL 1X WK W/ RECY 1</v>
          </cell>
        </row>
        <row r="7976">
          <cell r="H7976" t="str">
            <v>SL035.0G1W002WREC</v>
          </cell>
          <cell r="I7976" t="str">
            <v>35 GL 1X WK W/RECY 2</v>
          </cell>
        </row>
        <row r="7977">
          <cell r="H7977" t="str">
            <v>SL035.0GEO001WREC</v>
          </cell>
          <cell r="I7977" t="str">
            <v>35 GL EOW W/RECY 1</v>
          </cell>
        </row>
        <row r="7978">
          <cell r="H7978" t="str">
            <v>SL065.0G1M001WREC</v>
          </cell>
          <cell r="I7978" t="str">
            <v>65 GL 1X MO W/RECY 1</v>
          </cell>
        </row>
        <row r="7979">
          <cell r="H7979" t="str">
            <v>SL065.0G1W001WREC</v>
          </cell>
          <cell r="I7979" t="str">
            <v>65 GL 1X WK W/RECY 1</v>
          </cell>
        </row>
        <row r="7980">
          <cell r="H7980" t="str">
            <v>SL065.0GEO001WREC</v>
          </cell>
          <cell r="I7980" t="str">
            <v>65 GL EOW W/RECY 1</v>
          </cell>
        </row>
        <row r="7981">
          <cell r="H7981" t="str">
            <v>SL095.0G1W001WREC</v>
          </cell>
          <cell r="I7981" t="str">
            <v>95 GL 1X WK W/RECY 1</v>
          </cell>
        </row>
        <row r="7982">
          <cell r="H7982" t="str">
            <v>SL095.0GEO001WREC</v>
          </cell>
          <cell r="I7982" t="str">
            <v>95 GL EOW W/RECY 1</v>
          </cell>
        </row>
        <row r="7983">
          <cell r="H7983" t="str">
            <v>WI1-RES</v>
          </cell>
          <cell r="I7983" t="str">
            <v>WALK IN 6-25' - RES</v>
          </cell>
        </row>
        <row r="7984">
          <cell r="H7984" t="str">
            <v>BULKY-RES</v>
          </cell>
          <cell r="I7984" t="str">
            <v>BULKY ITEM PICK UP - RES</v>
          </cell>
        </row>
        <row r="7985">
          <cell r="H7985" t="str">
            <v>DISP-RES</v>
          </cell>
          <cell r="I7985" t="str">
            <v>DISPOSAL FEE -RES</v>
          </cell>
        </row>
        <row r="7986">
          <cell r="H7986" t="str">
            <v>EP96GWC-RES</v>
          </cell>
          <cell r="I7986" t="str">
            <v>EXTRA PICK UP 96 GW - RES</v>
          </cell>
        </row>
        <row r="7987">
          <cell r="H7987" t="str">
            <v>EXTRA-RES</v>
          </cell>
          <cell r="I7987" t="str">
            <v>EXTRA CAN, BAG, BOX - RES</v>
          </cell>
        </row>
        <row r="7988">
          <cell r="H7988" t="str">
            <v>EXTRAGWC-RES</v>
          </cell>
          <cell r="I7988" t="str">
            <v>EXTRA GREENWASTE FEE - RE</v>
          </cell>
        </row>
        <row r="7989">
          <cell r="H7989" t="str">
            <v>OW-RES</v>
          </cell>
          <cell r="I7989" t="str">
            <v>OVERFILL / OVERWEIGHT CAN</v>
          </cell>
        </row>
        <row r="7990">
          <cell r="H7990" t="str">
            <v>REINSTATE-RES</v>
          </cell>
          <cell r="I7990" t="str">
            <v>REINSTATE FEE - RES</v>
          </cell>
        </row>
        <row r="7991">
          <cell r="H7991" t="str">
            <v>RTRNCART65-RES</v>
          </cell>
          <cell r="I7991" t="str">
            <v>RETURN TRIP 65 GL - RES</v>
          </cell>
        </row>
        <row r="7992">
          <cell r="H7992" t="str">
            <v>RTRNCART96REC-RES</v>
          </cell>
          <cell r="I7992" t="str">
            <v>RETURN TRIP 96 GL REC - RES</v>
          </cell>
        </row>
        <row r="7993">
          <cell r="H7993" t="str">
            <v>SP65-RES</v>
          </cell>
          <cell r="I7993" t="str">
            <v>SPECIAL PICK UP 65 GL - R</v>
          </cell>
        </row>
        <row r="7994">
          <cell r="H7994" t="str">
            <v>SPCLREC-RES</v>
          </cell>
          <cell r="I7994" t="str">
            <v>SPECIAL RECYCLE - RES</v>
          </cell>
        </row>
        <row r="7995">
          <cell r="H7995" t="str">
            <v>TIME-RES</v>
          </cell>
          <cell r="I7995" t="str">
            <v>TIME FEE 1 - RES</v>
          </cell>
        </row>
        <row r="7996">
          <cell r="H7996" t="str">
            <v>LIDRO</v>
          </cell>
          <cell r="I7996" t="str">
            <v>LID CHARGE - RO</v>
          </cell>
        </row>
        <row r="7997">
          <cell r="H7997" t="str">
            <v>RENT20MO-RO</v>
          </cell>
          <cell r="I7997" t="str">
            <v>RENTAL FEE 20 YD MONTHLY</v>
          </cell>
        </row>
        <row r="7998">
          <cell r="H7998" t="str">
            <v>CLEAN25-RO</v>
          </cell>
          <cell r="I7998" t="str">
            <v>CLEANING FEE 25 YD - RO</v>
          </cell>
        </row>
        <row r="7999">
          <cell r="H7999" t="str">
            <v>DEL20TEMP-RO</v>
          </cell>
          <cell r="I7999" t="str">
            <v>DELIVERY FEE 20 YD TEMP -</v>
          </cell>
        </row>
        <row r="8000">
          <cell r="H8000" t="str">
            <v>DISCO-CP</v>
          </cell>
          <cell r="I8000" t="str">
            <v xml:space="preserve">COMPACTOR DISCONNECT FEE </v>
          </cell>
        </row>
        <row r="8001">
          <cell r="H8001" t="str">
            <v>DISP-RO</v>
          </cell>
          <cell r="I8001" t="str">
            <v>DISPOSAL CHARGE - RO</v>
          </cell>
        </row>
        <row r="8002">
          <cell r="H8002" t="str">
            <v>DISPCMGL-RO</v>
          </cell>
          <cell r="I8002" t="str">
            <v xml:space="preserve">DISPOSAL FEE COMMINGLE - </v>
          </cell>
        </row>
        <row r="8003">
          <cell r="H8003" t="str">
            <v>DISPGLASS-RO</v>
          </cell>
          <cell r="I8003" t="str">
            <v>DISPOSAL FEE GLASS - RO</v>
          </cell>
        </row>
        <row r="8004">
          <cell r="H8004" t="str">
            <v>DISPMETAL-RO</v>
          </cell>
          <cell r="I8004" t="str">
            <v>DISPOSAL FEE METAL - RO</v>
          </cell>
        </row>
        <row r="8005">
          <cell r="H8005" t="str">
            <v>DISPOCC-RO</v>
          </cell>
          <cell r="I8005" t="str">
            <v xml:space="preserve">DISPOSAL FEE CARDBOARD - </v>
          </cell>
        </row>
        <row r="8006">
          <cell r="H8006" t="str">
            <v>DISPTRANS-RO</v>
          </cell>
          <cell r="I8006" t="str">
            <v>DISPOSAL FEE TRANSFER HAU</v>
          </cell>
        </row>
        <row r="8007">
          <cell r="H8007" t="str">
            <v>FINAL20TEMP-RO</v>
          </cell>
          <cell r="I8007" t="str">
            <v>FINAL PULL 20 YD TEMP - R</v>
          </cell>
        </row>
        <row r="8008">
          <cell r="H8008" t="str">
            <v>HAUL20TEMP-RO</v>
          </cell>
          <cell r="I8008" t="str">
            <v>HAUL 20 YD TEMP - RO</v>
          </cell>
        </row>
        <row r="8009">
          <cell r="H8009" t="str">
            <v>HAUL25-CP</v>
          </cell>
          <cell r="I8009" t="str">
            <v>COMPACTOR HAUL 25 YD - RO</v>
          </cell>
        </row>
        <row r="8010">
          <cell r="H8010" t="str">
            <v>HAUL30-RO</v>
          </cell>
          <cell r="I8010" t="str">
            <v>HAUL 30 YD - RO</v>
          </cell>
        </row>
        <row r="8011">
          <cell r="H8011" t="str">
            <v>MILE-RO</v>
          </cell>
          <cell r="I8011" t="str">
            <v>MILEAGE FEE - RO</v>
          </cell>
        </row>
        <row r="8012">
          <cell r="H8012" t="str">
            <v>RENT20TEMP-RO</v>
          </cell>
          <cell r="I8012" t="str">
            <v>RENTAL FEE 20 YD TEMP - R</v>
          </cell>
        </row>
        <row r="8013">
          <cell r="H8013" t="str">
            <v>COMMODITY SURCHARGE</v>
          </cell>
          <cell r="I8013" t="str">
            <v>COMMODITY SURCHARGE</v>
          </cell>
        </row>
        <row r="8014">
          <cell r="H8014" t="str">
            <v>STEILACOOM CITY  TAX</v>
          </cell>
          <cell r="I8014" t="str">
            <v>6% CITY UTILITY TAX</v>
          </cell>
        </row>
        <row r="8015">
          <cell r="H8015" t="str">
            <v>STEILACOOM REFUSE TAX</v>
          </cell>
          <cell r="I8015" t="str">
            <v>3.6% WA STATE REFUSE TAX</v>
          </cell>
        </row>
        <row r="8016">
          <cell r="H8016" t="str">
            <v>STEILACOOM CITY  TAX</v>
          </cell>
          <cell r="I8016" t="str">
            <v>6% CITY UTILITY TAX</v>
          </cell>
        </row>
        <row r="8017">
          <cell r="H8017" t="str">
            <v>STEILACOOM REFUSE TAX</v>
          </cell>
          <cell r="I8017" t="str">
            <v>3.6% WA STATE REFUSE TAX</v>
          </cell>
        </row>
        <row r="8018">
          <cell r="H8018" t="str">
            <v>STEILACOOM ST SALES TAX</v>
          </cell>
          <cell r="I8018" t="str">
            <v>9.9% WA STATE SALES TAX</v>
          </cell>
        </row>
        <row r="8019">
          <cell r="H8019" t="str">
            <v>STEILACOOM CITY  TAX</v>
          </cell>
          <cell r="I8019" t="str">
            <v>6% CITY UTILITY TAX</v>
          </cell>
        </row>
        <row r="8020">
          <cell r="H8020" t="str">
            <v>STEILACOOM CITY ONLY</v>
          </cell>
          <cell r="I8020" t="str">
            <v>6% CITY UTILITY TAX</v>
          </cell>
        </row>
        <row r="8021">
          <cell r="H8021" t="str">
            <v>STEILACOOM REFUSE TAX</v>
          </cell>
          <cell r="I8021" t="str">
            <v>3.6% WA STATE REFUSE TAX</v>
          </cell>
        </row>
        <row r="8022">
          <cell r="H8022" t="str">
            <v>STEILACOOM ST SALES TAX</v>
          </cell>
          <cell r="I8022" t="str">
            <v>9.9% WA STATE SALES TAX</v>
          </cell>
        </row>
        <row r="8023">
          <cell r="H8023" t="str">
            <v>STEILACOOM CITY  TAX</v>
          </cell>
          <cell r="I8023" t="str">
            <v>6% CITY UTILITY TAX</v>
          </cell>
        </row>
        <row r="8024">
          <cell r="H8024" t="str">
            <v>STEILACOOM REFUSE TAX</v>
          </cell>
          <cell r="I8024" t="str">
            <v>3.6% WA STATE REFUSE TAX</v>
          </cell>
        </row>
        <row r="8025">
          <cell r="H8025" t="str">
            <v>STEILACOOM ST SALES TAX</v>
          </cell>
          <cell r="I8025" t="str">
            <v>9.9% WA STATE SALES TAX</v>
          </cell>
        </row>
        <row r="8026">
          <cell r="H8026" t="str">
            <v>FINCHG</v>
          </cell>
          <cell r="I8026" t="str">
            <v>LATE FEE</v>
          </cell>
        </row>
        <row r="8027">
          <cell r="H8027" t="str">
            <v>BD</v>
          </cell>
          <cell r="I8027" t="str">
            <v>BAD DEBT WRITE OFF</v>
          </cell>
        </row>
        <row r="8028">
          <cell r="H8028" t="str">
            <v>BDR</v>
          </cell>
          <cell r="I8028" t="str">
            <v>BAD DEBT RECOVERY</v>
          </cell>
        </row>
        <row r="8029">
          <cell r="H8029" t="str">
            <v>COLLFEE</v>
          </cell>
          <cell r="I8029" t="str">
            <v>COLLECTION AGENCY FEE</v>
          </cell>
        </row>
        <row r="8030">
          <cell r="H8030" t="str">
            <v>ACCESS-COMM</v>
          </cell>
          <cell r="I8030" t="str">
            <v>ACCESS FEE - COMM</v>
          </cell>
        </row>
        <row r="8031">
          <cell r="H8031" t="str">
            <v>FL001.5Y1W001</v>
          </cell>
          <cell r="I8031" t="str">
            <v>1.5 YD 1X WK 1</v>
          </cell>
        </row>
        <row r="8032">
          <cell r="H8032" t="str">
            <v>FL002.0Y1W001</v>
          </cell>
          <cell r="I8032" t="str">
            <v>2 YD 1X WK 1</v>
          </cell>
        </row>
        <row r="8033">
          <cell r="H8033" t="str">
            <v>FL002.0Y2W001</v>
          </cell>
          <cell r="I8033" t="str">
            <v>2 YD 2X WK 1</v>
          </cell>
        </row>
        <row r="8034">
          <cell r="H8034" t="str">
            <v>FL002.0Y4W001</v>
          </cell>
          <cell r="I8034" t="str">
            <v>2 YD 4X WK 1</v>
          </cell>
        </row>
        <row r="8035">
          <cell r="H8035" t="str">
            <v>FL003.0Y2W001</v>
          </cell>
          <cell r="I8035" t="str">
            <v>3 YD 2X WK 1</v>
          </cell>
        </row>
        <row r="8036">
          <cell r="H8036" t="str">
            <v>FL006.0Y1W001</v>
          </cell>
          <cell r="I8036" t="str">
            <v>6 YD 1X WK 1</v>
          </cell>
        </row>
        <row r="8037">
          <cell r="H8037" t="str">
            <v>FL006.0Y2W001</v>
          </cell>
          <cell r="I8037" t="str">
            <v>6 YD 2X WK 1</v>
          </cell>
        </row>
        <row r="8038">
          <cell r="H8038" t="str">
            <v>SL065.0G1W001NORECC</v>
          </cell>
          <cell r="I8038" t="str">
            <v xml:space="preserve">65 GL 1X WK NO RECY COMM </v>
          </cell>
        </row>
        <row r="8039">
          <cell r="H8039" t="str">
            <v>SL065.0G1W001WRECC</v>
          </cell>
          <cell r="I8039" t="str">
            <v>65 GL 1X WK W/RECY COMM 1</v>
          </cell>
        </row>
        <row r="8040">
          <cell r="H8040" t="str">
            <v>SL065.0GEO001WRECC</v>
          </cell>
          <cell r="I8040" t="str">
            <v>65 GL EOW W/RECY COMM 1</v>
          </cell>
        </row>
        <row r="8041">
          <cell r="H8041" t="str">
            <v>EXTRA-COMM</v>
          </cell>
          <cell r="I8041" t="str">
            <v>EXTRA CAN, BAG, BOX - COM</v>
          </cell>
        </row>
        <row r="8042">
          <cell r="H8042" t="str">
            <v>EXTRAYDG-COM</v>
          </cell>
          <cell r="I8042" t="str">
            <v>EXTRA YARDAGE - COMM</v>
          </cell>
        </row>
        <row r="8043">
          <cell r="H8043" t="str">
            <v>SP2-COMM</v>
          </cell>
          <cell r="I8043" t="str">
            <v>SPECIAL PICK UP 2 YD - CO</v>
          </cell>
        </row>
        <row r="8044">
          <cell r="H8044" t="str">
            <v>FL002.0Y1W001BCMGL</v>
          </cell>
          <cell r="I8044" t="str">
            <v>2 YD 1X WK BUS CMGL 1</v>
          </cell>
        </row>
        <row r="8045">
          <cell r="H8045" t="str">
            <v>FL002.0Y1W001BOCC</v>
          </cell>
          <cell r="I8045" t="str">
            <v>2 YD 1X WK BUS OCC 1</v>
          </cell>
        </row>
        <row r="8046">
          <cell r="H8046" t="str">
            <v>FL005.0Y1W001BOCC</v>
          </cell>
          <cell r="I8046" t="str">
            <v>5 YD 1X WK BUS OCC 1</v>
          </cell>
        </row>
        <row r="8047">
          <cell r="H8047" t="str">
            <v>FL005.0Y3W001BOCC</v>
          </cell>
          <cell r="I8047" t="str">
            <v>5 YD 3X WK BUS OCC 1</v>
          </cell>
        </row>
        <row r="8048">
          <cell r="H8048" t="str">
            <v>MFWBINS</v>
          </cell>
          <cell r="I8048" t="str">
            <v>MULTI-FAMILY REC UNIT W/B</v>
          </cell>
        </row>
        <row r="8049">
          <cell r="H8049" t="str">
            <v>SL096.0GEO001BCMGLOUT</v>
          </cell>
          <cell r="I8049" t="str">
            <v>96 GL EOW BUS CMGL OUT</v>
          </cell>
        </row>
        <row r="8050">
          <cell r="H8050" t="str">
            <v>CC-KOL</v>
          </cell>
          <cell r="I8050" t="str">
            <v>ONLINE PAYMENT-CC</v>
          </cell>
        </row>
        <row r="8051">
          <cell r="H8051" t="str">
            <v>PAY-CFREE</v>
          </cell>
          <cell r="I8051" t="str">
            <v>CHECKFREE PAYMENT</v>
          </cell>
        </row>
        <row r="8052">
          <cell r="H8052" t="str">
            <v>PAY-KOL</v>
          </cell>
          <cell r="I8052" t="str">
            <v>PAYMENT-THANK YOU - OL</v>
          </cell>
        </row>
        <row r="8053">
          <cell r="H8053" t="str">
            <v>PAY-ORCC</v>
          </cell>
          <cell r="I8053" t="str">
            <v>ORCC PAYMENT</v>
          </cell>
        </row>
        <row r="8054">
          <cell r="H8054" t="str">
            <v>PAY-RPPS</v>
          </cell>
          <cell r="I8054" t="str">
            <v>RPPS MASTERCARD PAYMENT</v>
          </cell>
        </row>
        <row r="8055">
          <cell r="H8055" t="str">
            <v>PAYUSBL</v>
          </cell>
          <cell r="I8055" t="str">
            <v>PAYMENT THANK YOU</v>
          </cell>
        </row>
        <row r="8056">
          <cell r="H8056" t="str">
            <v>CC-KOL</v>
          </cell>
          <cell r="I8056" t="str">
            <v>ONLINE PAYMENT-CC</v>
          </cell>
        </row>
        <row r="8057">
          <cell r="H8057" t="str">
            <v>PAY</v>
          </cell>
          <cell r="I8057" t="str">
            <v>PAYMENT THANK YOU</v>
          </cell>
        </row>
        <row r="8058">
          <cell r="H8058" t="str">
            <v>PAY-CFREE</v>
          </cell>
          <cell r="I8058" t="str">
            <v>CHECKFREE PAYMENT</v>
          </cell>
        </row>
        <row r="8059">
          <cell r="H8059" t="str">
            <v>PAY-KOL</v>
          </cell>
          <cell r="I8059" t="str">
            <v>PAYMENT-THANK YOU - OL</v>
          </cell>
        </row>
        <row r="8060">
          <cell r="H8060" t="str">
            <v>PAYMET</v>
          </cell>
          <cell r="I8060" t="str">
            <v>METAVANTE ONLINE PAYMENT</v>
          </cell>
        </row>
        <row r="8061">
          <cell r="H8061" t="str">
            <v>PAYUSBL</v>
          </cell>
          <cell r="I8061" t="str">
            <v>PAYMENT THANK YOU</v>
          </cell>
        </row>
        <row r="8062">
          <cell r="H8062" t="str">
            <v>CC-KOL</v>
          </cell>
          <cell r="I8062" t="str">
            <v>ONLINE PAYMENT-CC</v>
          </cell>
        </row>
        <row r="8063">
          <cell r="H8063" t="str">
            <v>PAY-CFREE</v>
          </cell>
          <cell r="I8063" t="str">
            <v>CHECKFREE PAYMENT</v>
          </cell>
        </row>
        <row r="8064">
          <cell r="H8064" t="str">
            <v>PAY-KOL</v>
          </cell>
          <cell r="I8064" t="str">
            <v>PAYMENT-THANK YOU - OL</v>
          </cell>
        </row>
        <row r="8065">
          <cell r="H8065" t="str">
            <v>PAY-OAK</v>
          </cell>
          <cell r="I8065" t="str">
            <v>OAKLEAF PAYMENT</v>
          </cell>
        </row>
        <row r="8066">
          <cell r="H8066" t="str">
            <v>PAY-RPPS</v>
          </cell>
          <cell r="I8066" t="str">
            <v>RPPS MASTERCARD PAYMENT</v>
          </cell>
        </row>
        <row r="8067">
          <cell r="H8067" t="str">
            <v>PAYMET</v>
          </cell>
          <cell r="I8067" t="str">
            <v>METAVANTE ONLINE PAYMENT</v>
          </cell>
        </row>
        <row r="8068">
          <cell r="H8068" t="str">
            <v>PAYUSBL</v>
          </cell>
          <cell r="I8068" t="str">
            <v>PAYMENT THANK YOU</v>
          </cell>
        </row>
        <row r="8069">
          <cell r="H8069" t="str">
            <v>GWRES</v>
          </cell>
          <cell r="I8069" t="str">
            <v>GREENWASTE SERVICE - RES</v>
          </cell>
        </row>
        <row r="8070">
          <cell r="H8070" t="str">
            <v>RECBINONLYR</v>
          </cell>
          <cell r="I8070" t="str">
            <v>RECYCLE SERVICE ONLY</v>
          </cell>
        </row>
        <row r="8071">
          <cell r="H8071" t="str">
            <v>SL035.0GEO001WREC</v>
          </cell>
          <cell r="I8071" t="str">
            <v>35 GL EOW W/RECY 1</v>
          </cell>
        </row>
        <row r="8072">
          <cell r="H8072" t="str">
            <v>SL065.0G1W001WREC</v>
          </cell>
          <cell r="I8072" t="str">
            <v>65 GL 1X WK W/RECY 1</v>
          </cell>
        </row>
        <row r="8073">
          <cell r="H8073" t="str">
            <v>SL065.0GEO001NOREC</v>
          </cell>
          <cell r="I8073" t="str">
            <v>65 GL EOW NO RECY 1</v>
          </cell>
        </row>
        <row r="8074">
          <cell r="H8074" t="str">
            <v>SL065.0GEO001WREC</v>
          </cell>
          <cell r="I8074" t="str">
            <v>65 GL EOW W/RECY 1</v>
          </cell>
        </row>
        <row r="8075">
          <cell r="H8075" t="str">
            <v>SL095.0G1W001WREC</v>
          </cell>
          <cell r="I8075" t="str">
            <v>95 GL 1X WK W/RECY 1</v>
          </cell>
        </row>
        <row r="8076">
          <cell r="H8076" t="str">
            <v>EXTRA-RES</v>
          </cell>
          <cell r="I8076" t="str">
            <v>EXTRA CAN, BAG, BOX - RES</v>
          </cell>
        </row>
        <row r="8077">
          <cell r="H8077" t="str">
            <v>OW-RES</v>
          </cell>
          <cell r="I8077" t="str">
            <v>OVERFILL / OVERWEIGHT CAN</v>
          </cell>
        </row>
        <row r="8078">
          <cell r="H8078" t="str">
            <v>GWRES</v>
          </cell>
          <cell r="I8078" t="str">
            <v>GREENWASTE SERVICE - RES</v>
          </cell>
        </row>
        <row r="8079">
          <cell r="H8079" t="str">
            <v>SL065.0G1W001WREC</v>
          </cell>
          <cell r="I8079" t="str">
            <v>65 GL 1X WK W/RECY 1</v>
          </cell>
        </row>
        <row r="8080">
          <cell r="H8080" t="str">
            <v>EXTRA-RES</v>
          </cell>
          <cell r="I8080" t="str">
            <v>EXTRA CAN, BAG, BOX - RES</v>
          </cell>
        </row>
        <row r="8081">
          <cell r="H8081" t="str">
            <v>OW-RES</v>
          </cell>
          <cell r="I8081" t="str">
            <v>OVERFILL / OVERWEIGHT CAN</v>
          </cell>
        </row>
        <row r="8082">
          <cell r="H8082" t="str">
            <v>REINSTATE-RES</v>
          </cell>
          <cell r="I8082" t="str">
            <v>REINSTATE FEE - RES</v>
          </cell>
        </row>
        <row r="8083">
          <cell r="H8083" t="str">
            <v>RENT20MO-RO</v>
          </cell>
          <cell r="I8083" t="str">
            <v>RENTAL FEE 20 YD MONTHLY</v>
          </cell>
        </row>
        <row r="8084">
          <cell r="H8084" t="str">
            <v>DISCO-CP</v>
          </cell>
          <cell r="I8084" t="str">
            <v xml:space="preserve">COMPACTOR DISCONNECT FEE </v>
          </cell>
        </row>
        <row r="8085">
          <cell r="H8085" t="str">
            <v>DISP-RO</v>
          </cell>
          <cell r="I8085" t="str">
            <v>DISPOSAL CHARGE - RO</v>
          </cell>
        </row>
        <row r="8086">
          <cell r="H8086" t="str">
            <v>HAUL20-RO</v>
          </cell>
          <cell r="I8086" t="str">
            <v>HAUL 20 YD - RO</v>
          </cell>
        </row>
        <row r="8087">
          <cell r="H8087" t="str">
            <v>HAUL25-CP</v>
          </cell>
          <cell r="I8087" t="str">
            <v>COMPACTOR HAUL 25 YD - RO</v>
          </cell>
        </row>
        <row r="8088">
          <cell r="H8088" t="str">
            <v>HAUL30-CP</v>
          </cell>
          <cell r="I8088" t="str">
            <v>COMPACTOR HAUL 30 YD</v>
          </cell>
        </row>
        <row r="8089">
          <cell r="H8089" t="str">
            <v>COMMODITY SURCHARGE</v>
          </cell>
          <cell r="I8089" t="str">
            <v>COMMODITY SURCHARGE</v>
          </cell>
        </row>
        <row r="8090">
          <cell r="H8090" t="str">
            <v>UNIV PLACE SURCHARGE</v>
          </cell>
          <cell r="I8090" t="str">
            <v>UNIVERSITY PLACE SURCHARGE</v>
          </cell>
        </row>
        <row r="8091">
          <cell r="H8091" t="str">
            <v>UNIV PLACE SURCHARGE</v>
          </cell>
          <cell r="I8091" t="str">
            <v>UNIVERSITY PLACE SURCHARGE</v>
          </cell>
        </row>
        <row r="8092">
          <cell r="H8092" t="str">
            <v>UNIV PLACE SURCHARGE</v>
          </cell>
          <cell r="I8092" t="str">
            <v>UNIVERSITY PLACE SURCHARGE</v>
          </cell>
        </row>
        <row r="8093">
          <cell r="H8093" t="str">
            <v>UNIV PLACE SURCHARGE</v>
          </cell>
          <cell r="I8093" t="str">
            <v>UNIVERSITY PLACE SURCHARGE</v>
          </cell>
        </row>
        <row r="8094">
          <cell r="H8094" t="str">
            <v>UNIV PLACE SURCHARGE</v>
          </cell>
          <cell r="I8094" t="str">
            <v>UNIVERSITY PLACE SURCHARGE</v>
          </cell>
        </row>
        <row r="8095">
          <cell r="H8095" t="str">
            <v>UP CITY UTILITY TAX</v>
          </cell>
          <cell r="I8095" t="str">
            <v>6% CITY UTILITY TAX</v>
          </cell>
        </row>
        <row r="8096">
          <cell r="H8096" t="str">
            <v>UP CITY ONLY</v>
          </cell>
          <cell r="I8096" t="str">
            <v>6% CITY UTILITY TAX</v>
          </cell>
        </row>
        <row r="8097">
          <cell r="H8097" t="str">
            <v>UP CITY UTILITY TAX</v>
          </cell>
          <cell r="I8097" t="str">
            <v>6% CITY UTILITY TAX</v>
          </cell>
        </row>
        <row r="8098">
          <cell r="H8098" t="str">
            <v>UP REFUSE TAX</v>
          </cell>
          <cell r="I8098" t="str">
            <v>3.6% WA STATE REFUSE TAX</v>
          </cell>
        </row>
        <row r="8099">
          <cell r="H8099" t="str">
            <v>UP CITY UTILITY TAX</v>
          </cell>
          <cell r="I8099" t="str">
            <v>6% CITY UTILITY TAX</v>
          </cell>
        </row>
        <row r="8100">
          <cell r="H8100" t="str">
            <v>UP REFUSE TAX</v>
          </cell>
          <cell r="I8100" t="str">
            <v>3.6% WA STATE REFUSE TAX</v>
          </cell>
        </row>
        <row r="8101">
          <cell r="H8101" t="str">
            <v>UP CITY UTILITY TAX</v>
          </cell>
          <cell r="I8101" t="str">
            <v>6% CITY UTILITY TAX</v>
          </cell>
        </row>
        <row r="8102">
          <cell r="H8102" t="str">
            <v>UP REFUSE TAX</v>
          </cell>
          <cell r="I8102" t="str">
            <v>3.6% WA STATE REFUSE TAX</v>
          </cell>
        </row>
        <row r="8103">
          <cell r="H8103" t="str">
            <v>UP CITY UTILITY TAX</v>
          </cell>
          <cell r="I8103" t="str">
            <v>6% CITY UTILITY TAX</v>
          </cell>
        </row>
        <row r="8104">
          <cell r="H8104" t="str">
            <v>UP REFUSE TAX</v>
          </cell>
          <cell r="I8104" t="str">
            <v>3.6% WA STATE REFUSE TAX</v>
          </cell>
        </row>
        <row r="8105">
          <cell r="H8105" t="str">
            <v>UP CITY UTILITY TAX</v>
          </cell>
          <cell r="I8105" t="str">
            <v>6% CITY UTILITY TAX</v>
          </cell>
        </row>
        <row r="8106">
          <cell r="H8106" t="str">
            <v>UP REFUSE TAX</v>
          </cell>
          <cell r="I8106" t="str">
            <v>3.6% WA STATE REFUSE TAX</v>
          </cell>
        </row>
        <row r="8107">
          <cell r="H8107" t="str">
            <v>UP STATE SALES TAX</v>
          </cell>
          <cell r="I8107" t="str">
            <v>9.9% WA STATE SALES TAX</v>
          </cell>
        </row>
        <row r="8108">
          <cell r="H8108" t="str">
            <v>DISPFEDMSW-COMM</v>
          </cell>
          <cell r="I8108" t="str">
            <v>DISPOSAL FEDERAL MSW - CO</v>
          </cell>
        </row>
        <row r="8109">
          <cell r="H8109" t="str">
            <v>FL001.5Y1W001</v>
          </cell>
          <cell r="I8109" t="str">
            <v>1.5 YD 1X WK 1</v>
          </cell>
        </row>
        <row r="8110">
          <cell r="H8110" t="str">
            <v>CONTRACTEDC</v>
          </cell>
          <cell r="I8110" t="str">
            <v>CONTRACTED SERVICE - COMM</v>
          </cell>
        </row>
        <row r="8111">
          <cell r="H8111" t="str">
            <v>DISPTONER-COMM</v>
          </cell>
          <cell r="I8111" t="str">
            <v>DISPOSAL TONER - COMM</v>
          </cell>
        </row>
        <row r="8112">
          <cell r="H8112" t="str">
            <v>PAYEFT</v>
          </cell>
          <cell r="I8112" t="str">
            <v>EFT PAYMENT</v>
          </cell>
        </row>
        <row r="8113">
          <cell r="H8113" t="str">
            <v>DISPASB-RO</v>
          </cell>
          <cell r="I8113" t="str">
            <v>DISPOSAL FEE ASBESTOS - R</v>
          </cell>
        </row>
        <row r="8114">
          <cell r="H8114" t="str">
            <v>DISPBATT-RO</v>
          </cell>
          <cell r="I8114" t="str">
            <v>DISPOSAL BATTERIES - RO</v>
          </cell>
        </row>
        <row r="8115">
          <cell r="H8115" t="str">
            <v>DISPCMGL-RO</v>
          </cell>
          <cell r="I8115" t="str">
            <v xml:space="preserve">DISPOSAL FEE COMMINGLE - </v>
          </cell>
        </row>
        <row r="8116">
          <cell r="H8116" t="str">
            <v>DISPEWASTE-RO</v>
          </cell>
          <cell r="I8116" t="str">
            <v>DISPOSAL FEE EWASTE - RO</v>
          </cell>
        </row>
        <row r="8117">
          <cell r="H8117" t="str">
            <v>DISPFEDMSW-RO</v>
          </cell>
          <cell r="I8117" t="str">
            <v xml:space="preserve">DISPOSAL FEE FEDERAL MSW </v>
          </cell>
        </row>
        <row r="8118">
          <cell r="H8118" t="str">
            <v>DISPFOOD-RO</v>
          </cell>
          <cell r="I8118" t="str">
            <v>DISPOSAL FEE FOOD WASTE -</v>
          </cell>
        </row>
        <row r="8119">
          <cell r="H8119" t="str">
            <v>DISPGLASS-RO</v>
          </cell>
          <cell r="I8119" t="str">
            <v>DISPOSAL FEE GLASS - RO</v>
          </cell>
        </row>
        <row r="8120">
          <cell r="H8120" t="str">
            <v>DISPGW-RO</v>
          </cell>
          <cell r="I8120" t="str">
            <v>DISPOSAL FEE GREENWASTE -</v>
          </cell>
        </row>
        <row r="8121">
          <cell r="H8121" t="str">
            <v>DISPMETAL-RO</v>
          </cell>
          <cell r="I8121" t="str">
            <v>DISPOSAL FEE METAL - RO</v>
          </cell>
        </row>
        <row r="8122">
          <cell r="H8122" t="str">
            <v>DISPOCC-RO</v>
          </cell>
          <cell r="I8122" t="str">
            <v xml:space="preserve">DISPOSAL FEE CARDBOARD - </v>
          </cell>
        </row>
        <row r="8123">
          <cell r="H8123" t="str">
            <v>DISPTEX-RO</v>
          </cell>
          <cell r="I8123" t="str">
            <v>DISPOSAL TEXTILE - RO</v>
          </cell>
        </row>
        <row r="8124">
          <cell r="H8124" t="str">
            <v>DISPWD-RO</v>
          </cell>
          <cell r="I8124" t="str">
            <v>DISPOSAL FEE WOOD - RO</v>
          </cell>
        </row>
        <row r="8125">
          <cell r="H8125" t="str">
            <v>HAUL30-RO</v>
          </cell>
          <cell r="I8125" t="str">
            <v>HAUL 30 YD - RO</v>
          </cell>
        </row>
        <row r="8126">
          <cell r="H8126" t="str">
            <v>HAUL50-RO</v>
          </cell>
          <cell r="I8126" t="str">
            <v>HAUL 50 YD - RO</v>
          </cell>
        </row>
        <row r="8127">
          <cell r="H8127" t="str">
            <v>BD</v>
          </cell>
          <cell r="I8127" t="str">
            <v>BAD DEBT WRITE OFF</v>
          </cell>
        </row>
        <row r="8128">
          <cell r="H8128" t="str">
            <v>MM</v>
          </cell>
          <cell r="I8128" t="str">
            <v>ADJUST BALANCE (MM)</v>
          </cell>
        </row>
        <row r="8129">
          <cell r="H8129" t="str">
            <v>REFUND</v>
          </cell>
          <cell r="I8129" t="str">
            <v>REFUND</v>
          </cell>
        </row>
        <row r="8130">
          <cell r="H8130" t="str">
            <v>FINCHG</v>
          </cell>
          <cell r="I8130" t="str">
            <v>LATE FEE</v>
          </cell>
        </row>
        <row r="8131">
          <cell r="H8131" t="str">
            <v>BDR</v>
          </cell>
          <cell r="I8131" t="str">
            <v>BAD DEBT RECOVERY</v>
          </cell>
        </row>
        <row r="8132">
          <cell r="H8132" t="str">
            <v>MM</v>
          </cell>
          <cell r="I8132" t="str">
            <v>ADJUST BALANCE (MM)</v>
          </cell>
        </row>
        <row r="8133">
          <cell r="H8133" t="str">
            <v>REFUND</v>
          </cell>
          <cell r="I8133" t="str">
            <v>REFUND</v>
          </cell>
        </row>
        <row r="8134">
          <cell r="H8134" t="str">
            <v>FINCHG</v>
          </cell>
          <cell r="I8134" t="str">
            <v>LATE FEE</v>
          </cell>
        </row>
        <row r="8135">
          <cell r="H8135" t="str">
            <v>ACCESS-COMM</v>
          </cell>
          <cell r="I8135" t="str">
            <v>ACCESS FEE - COMM</v>
          </cell>
        </row>
        <row r="8136">
          <cell r="H8136" t="str">
            <v>DONATIONC</v>
          </cell>
          <cell r="I8136" t="str">
            <v>DONATED SERVICE COMM</v>
          </cell>
        </row>
        <row r="8137">
          <cell r="H8137" t="str">
            <v>DRIVEIN1-COMM</v>
          </cell>
          <cell r="I8137" t="str">
            <v>DRIVE IN 125-250' - COMM</v>
          </cell>
        </row>
        <row r="8138">
          <cell r="H8138" t="str">
            <v>FL001.0Y1W001</v>
          </cell>
          <cell r="I8138" t="str">
            <v>1 YD 1X WK 1</v>
          </cell>
        </row>
        <row r="8139">
          <cell r="H8139" t="str">
            <v>FL001.5Y1W001</v>
          </cell>
          <cell r="I8139" t="str">
            <v>1.5 YD 1X WK 1</v>
          </cell>
        </row>
        <row r="8140">
          <cell r="H8140" t="str">
            <v>FL001.5Y2W001</v>
          </cell>
          <cell r="I8140" t="str">
            <v>1.5 YD 2X WK 1</v>
          </cell>
        </row>
        <row r="8141">
          <cell r="H8141" t="str">
            <v>FL002.0Y1W001</v>
          </cell>
          <cell r="I8141" t="str">
            <v>2 YD 1X WK 1</v>
          </cell>
        </row>
        <row r="8142">
          <cell r="H8142" t="str">
            <v>FL002.0Y2W001</v>
          </cell>
          <cell r="I8142" t="str">
            <v>2 YD 2X WK 1</v>
          </cell>
        </row>
        <row r="8143">
          <cell r="H8143" t="str">
            <v>FL002.0Y3W001</v>
          </cell>
          <cell r="I8143" t="str">
            <v>2 YD 3X WK 1</v>
          </cell>
        </row>
        <row r="8144">
          <cell r="H8144" t="str">
            <v>FL003.0Y1W001</v>
          </cell>
          <cell r="I8144" t="str">
            <v>3 YD 1X WK 1</v>
          </cell>
        </row>
        <row r="8145">
          <cell r="H8145" t="str">
            <v>FL003.0Y2W001</v>
          </cell>
          <cell r="I8145" t="str">
            <v>3 YD 2X WK 1</v>
          </cell>
        </row>
        <row r="8146">
          <cell r="H8146" t="str">
            <v>FL003.0Y3W001</v>
          </cell>
          <cell r="I8146" t="str">
            <v>3 YD 3X WK 1</v>
          </cell>
        </row>
        <row r="8147">
          <cell r="H8147" t="str">
            <v>FL004.0Y1W001</v>
          </cell>
          <cell r="I8147" t="str">
            <v>4 YD 1X WK 1</v>
          </cell>
        </row>
        <row r="8148">
          <cell r="H8148" t="str">
            <v>FL004.0Y2W001</v>
          </cell>
          <cell r="I8148" t="str">
            <v>4 YD 2X WK 1</v>
          </cell>
        </row>
        <row r="8149">
          <cell r="H8149" t="str">
            <v>FL004.0Y3W001</v>
          </cell>
          <cell r="I8149" t="str">
            <v>4 YD 3X WK 1</v>
          </cell>
        </row>
        <row r="8150">
          <cell r="H8150" t="str">
            <v>FL006.0Y1W001</v>
          </cell>
          <cell r="I8150" t="str">
            <v>6 YD 1X WK 1</v>
          </cell>
        </row>
        <row r="8151">
          <cell r="H8151" t="str">
            <v>FL006.0Y2W001</v>
          </cell>
          <cell r="I8151" t="str">
            <v>6 YD 2X WK 1</v>
          </cell>
        </row>
        <row r="8152">
          <cell r="H8152" t="str">
            <v>FL006.0Y4W001</v>
          </cell>
          <cell r="I8152" t="str">
            <v>6 YD 4X WK 1</v>
          </cell>
        </row>
        <row r="8153">
          <cell r="H8153" t="str">
            <v>ROLL-COMM</v>
          </cell>
          <cell r="I8153" t="str">
            <v>ROLL OUT CHARGE - COMM</v>
          </cell>
        </row>
        <row r="8154">
          <cell r="H8154" t="str">
            <v>SL065.0G1W001NORECC</v>
          </cell>
          <cell r="I8154" t="str">
            <v xml:space="preserve">65 GL 1X WK NO RECY COMM </v>
          </cell>
        </row>
        <row r="8155">
          <cell r="H8155" t="str">
            <v>SL065.0G1W001WRECC</v>
          </cell>
          <cell r="I8155" t="str">
            <v>65 GL 1X WK W/RECY COMM 1</v>
          </cell>
        </row>
        <row r="8156">
          <cell r="H8156" t="str">
            <v>SL065.0GEO001WRECC</v>
          </cell>
          <cell r="I8156" t="str">
            <v>65 GL EOW W/RECY COMM 1</v>
          </cell>
        </row>
        <row r="8157">
          <cell r="H8157" t="str">
            <v>SL095.0G1W001WRECC</v>
          </cell>
          <cell r="I8157" t="str">
            <v>95 GL 1X WK W/RECY COMM 1</v>
          </cell>
        </row>
        <row r="8158">
          <cell r="H8158" t="str">
            <v>CLEAN-COMM</v>
          </cell>
          <cell r="I8158" t="str">
            <v xml:space="preserve">CONTAINER CLEANING FEE - </v>
          </cell>
        </row>
        <row r="8159">
          <cell r="H8159" t="str">
            <v>CLEAN2-COMM</v>
          </cell>
          <cell r="I8159" t="str">
            <v>CLEANING FEE 2 YD - COMM</v>
          </cell>
        </row>
        <row r="8160">
          <cell r="H8160" t="str">
            <v>DEL2TEMP-COMM</v>
          </cell>
          <cell r="I8160" t="str">
            <v xml:space="preserve">DELIVERY FEE 2 YD TEMP - </v>
          </cell>
        </row>
        <row r="8161">
          <cell r="H8161" t="str">
            <v>EXTRA-COMM</v>
          </cell>
          <cell r="I8161" t="str">
            <v>EXTRA CAN, BAG, BOX - COM</v>
          </cell>
        </row>
        <row r="8162">
          <cell r="H8162" t="str">
            <v>EXTRAYDG-COM</v>
          </cell>
          <cell r="I8162" t="str">
            <v>EXTRA YARDAGE - COMM</v>
          </cell>
        </row>
        <row r="8163">
          <cell r="H8163" t="str">
            <v>FL002.0YXX001TEMPC</v>
          </cell>
          <cell r="I8163" t="str">
            <v xml:space="preserve">2 YD TEMP </v>
          </cell>
        </row>
        <row r="8164">
          <cell r="H8164" t="str">
            <v>REINSTATE-COMM</v>
          </cell>
          <cell r="I8164" t="str">
            <v>REINSTATE FEE - COMM</v>
          </cell>
        </row>
        <row r="8165">
          <cell r="H8165" t="str">
            <v>RENT1.5TEMP-COMM</v>
          </cell>
          <cell r="I8165" t="str">
            <v>RENT 1.5 YD TEMP - COMM</v>
          </cell>
        </row>
        <row r="8166">
          <cell r="H8166" t="str">
            <v>RENT2TEMP-COMM</v>
          </cell>
          <cell r="I8166" t="str">
            <v>RENT 2 YD TEMP - COMM</v>
          </cell>
        </row>
        <row r="8167">
          <cell r="H8167" t="str">
            <v>ACCESSCREC-COMM</v>
          </cell>
          <cell r="I8167" t="str">
            <v>ACCESS FEE COMM RECY - CO</v>
          </cell>
        </row>
        <row r="8168">
          <cell r="H8168" t="str">
            <v>FL002.0Y1W001BCMGL</v>
          </cell>
          <cell r="I8168" t="str">
            <v>2 YD 1X WK BUS CMGL 1</v>
          </cell>
        </row>
        <row r="8169">
          <cell r="H8169" t="str">
            <v>FL002.0Y1W001BOCC</v>
          </cell>
          <cell r="I8169" t="str">
            <v>2 YD 1X WK BUS OCC 1</v>
          </cell>
        </row>
        <row r="8170">
          <cell r="H8170" t="str">
            <v>FL004.0Y2W001CMGL</v>
          </cell>
          <cell r="I8170" t="str">
            <v>4 YD 2X WK BUS CMGL 1</v>
          </cell>
        </row>
        <row r="8171">
          <cell r="H8171" t="str">
            <v>FL005.0Y1W001BOCC</v>
          </cell>
          <cell r="I8171" t="str">
            <v>5 YD 1X WK BUS OCC 1</v>
          </cell>
        </row>
        <row r="8172">
          <cell r="H8172" t="str">
            <v>FL005.0Y2W001BOCC</v>
          </cell>
          <cell r="I8172" t="str">
            <v>5 YD 2X WK BUS OCC 1</v>
          </cell>
        </row>
        <row r="8173">
          <cell r="H8173" t="str">
            <v>FL005.0Y3W001BOCC</v>
          </cell>
          <cell r="I8173" t="str">
            <v>5 YD 3X WK BUS OCC 1</v>
          </cell>
        </row>
        <row r="8174">
          <cell r="H8174" t="str">
            <v>FL006.0Y1W001BCMGL</v>
          </cell>
          <cell r="I8174" t="str">
            <v>6 YD 1X WK BUS COMINGLE 1</v>
          </cell>
        </row>
        <row r="8175">
          <cell r="H8175" t="str">
            <v>FL006.0Y2W001BCMGL</v>
          </cell>
          <cell r="I8175" t="str">
            <v>6 YD 2X WK BUS COMINGLE 1</v>
          </cell>
        </row>
        <row r="8176">
          <cell r="H8176" t="str">
            <v>FL006.0Y4W001OCC</v>
          </cell>
          <cell r="I8176" t="str">
            <v>6 YD 4X WK OCC 1</v>
          </cell>
        </row>
        <row r="8177">
          <cell r="H8177" t="str">
            <v>MFWBINS</v>
          </cell>
          <cell r="I8177" t="str">
            <v>MULTI-FAMILY REC UNIT W/B</v>
          </cell>
        </row>
        <row r="8178">
          <cell r="H8178" t="str">
            <v>SL096.0G1W001BCMGLOUT</v>
          </cell>
          <cell r="I8178" t="str">
            <v>96 GL WKLY BUS CMGL OUT</v>
          </cell>
        </row>
        <row r="8179">
          <cell r="H8179" t="str">
            <v>SL096.0GEO001BCMGLOUT</v>
          </cell>
          <cell r="I8179" t="str">
            <v>96 GL EOW BUS CMGL OUT</v>
          </cell>
        </row>
        <row r="8180">
          <cell r="H8180" t="str">
            <v>CC-KOL</v>
          </cell>
          <cell r="I8180" t="str">
            <v>ONLINE PAYMENT-CC</v>
          </cell>
        </row>
        <row r="8181">
          <cell r="H8181" t="str">
            <v>CCREF-KOL</v>
          </cell>
          <cell r="I8181" t="str">
            <v>CREDIT CARD REFUND</v>
          </cell>
        </row>
        <row r="8182">
          <cell r="H8182" t="str">
            <v>PAY</v>
          </cell>
          <cell r="I8182" t="str">
            <v>PAYMENT THANK YOU</v>
          </cell>
        </row>
        <row r="8183">
          <cell r="H8183" t="str">
            <v>PAY-CFREE</v>
          </cell>
          <cell r="I8183" t="str">
            <v>CHECKFREE PAYMENT</v>
          </cell>
        </row>
        <row r="8184">
          <cell r="H8184" t="str">
            <v>PAY-KOL</v>
          </cell>
          <cell r="I8184" t="str">
            <v>PAYMENT-THANK YOU - OL</v>
          </cell>
        </row>
        <row r="8185">
          <cell r="H8185" t="str">
            <v>PAY-ORCC</v>
          </cell>
          <cell r="I8185" t="str">
            <v>ORCC PAYMENT</v>
          </cell>
        </row>
        <row r="8186">
          <cell r="H8186" t="str">
            <v>PAY-RPPS</v>
          </cell>
          <cell r="I8186" t="str">
            <v>RPPS MASTERCARD PAYMENT</v>
          </cell>
        </row>
        <row r="8187">
          <cell r="H8187" t="str">
            <v>PAYAD</v>
          </cell>
          <cell r="I8187" t="str">
            <v>ADJUST PAYMENT AD</v>
          </cell>
        </row>
        <row r="8188">
          <cell r="H8188" t="str">
            <v>PAYMET</v>
          </cell>
          <cell r="I8188" t="str">
            <v>METAVANTE ONLINE PAYMENT</v>
          </cell>
        </row>
        <row r="8189">
          <cell r="H8189" t="str">
            <v>PAYUSBL</v>
          </cell>
          <cell r="I8189" t="str">
            <v>PAYMENT THANK YOU</v>
          </cell>
        </row>
        <row r="8190">
          <cell r="H8190" t="str">
            <v>RET-KOL</v>
          </cell>
          <cell r="I8190" t="str">
            <v>ONLINE PAYMENT RETURN</v>
          </cell>
        </row>
        <row r="8191">
          <cell r="H8191" t="str">
            <v>CC-KOL</v>
          </cell>
          <cell r="I8191" t="str">
            <v>ONLINE PAYMENT-CC</v>
          </cell>
        </row>
        <row r="8192">
          <cell r="H8192" t="str">
            <v>PAY</v>
          </cell>
          <cell r="I8192" t="str">
            <v>PAYMENT THANK YOU</v>
          </cell>
        </row>
        <row r="8193">
          <cell r="H8193" t="str">
            <v>PAY-CFREE</v>
          </cell>
          <cell r="I8193" t="str">
            <v>CHECKFREE PAYMENT</v>
          </cell>
        </row>
        <row r="8194">
          <cell r="H8194" t="str">
            <v>PAY-KOL</v>
          </cell>
          <cell r="I8194" t="str">
            <v>PAYMENT-THANK YOU - OL</v>
          </cell>
        </row>
        <row r="8195">
          <cell r="H8195" t="str">
            <v>PAY-ORCC</v>
          </cell>
          <cell r="I8195" t="str">
            <v>ORCC PAYMENT</v>
          </cell>
        </row>
        <row r="8196">
          <cell r="H8196" t="str">
            <v>PAY-RPPS</v>
          </cell>
          <cell r="I8196" t="str">
            <v>RPPS MASTERCARD PAYMENT</v>
          </cell>
        </row>
        <row r="8197">
          <cell r="H8197" t="str">
            <v>PAYMET</v>
          </cell>
          <cell r="I8197" t="str">
            <v>METAVANTE ONLINE PAYMENT</v>
          </cell>
        </row>
        <row r="8198">
          <cell r="H8198" t="str">
            <v>PAYUSBL</v>
          </cell>
          <cell r="I8198" t="str">
            <v>PAYMENT THANK YOU</v>
          </cell>
        </row>
        <row r="8199">
          <cell r="H8199" t="str">
            <v>CC-KOL</v>
          </cell>
          <cell r="I8199" t="str">
            <v>ONLINE PAYMENT-CC</v>
          </cell>
        </row>
        <row r="8200">
          <cell r="H8200" t="str">
            <v>PAY</v>
          </cell>
          <cell r="I8200" t="str">
            <v>PAYMENT THANK YOU</v>
          </cell>
        </row>
        <row r="8201">
          <cell r="H8201" t="str">
            <v>PAY-CFREE</v>
          </cell>
          <cell r="I8201" t="str">
            <v>CHECKFREE PAYMENT</v>
          </cell>
        </row>
        <row r="8202">
          <cell r="H8202" t="str">
            <v>PAY-KOL</v>
          </cell>
          <cell r="I8202" t="str">
            <v>PAYMENT-THANK YOU - OL</v>
          </cell>
        </row>
        <row r="8203">
          <cell r="H8203" t="str">
            <v>PAY-NATL</v>
          </cell>
          <cell r="I8203" t="str">
            <v>PAYMENT THANK YOU</v>
          </cell>
        </row>
        <row r="8204">
          <cell r="H8204" t="str">
            <v>PAY-OAK</v>
          </cell>
          <cell r="I8204" t="str">
            <v>OAKLEAF PAYMENT</v>
          </cell>
        </row>
        <row r="8205">
          <cell r="H8205" t="str">
            <v>PAY-RPPS</v>
          </cell>
          <cell r="I8205" t="str">
            <v>RPPS MASTERCARD PAYMENT</v>
          </cell>
        </row>
        <row r="8206">
          <cell r="H8206" t="str">
            <v>PAYMET</v>
          </cell>
          <cell r="I8206" t="str">
            <v>METAVANTE ONLINE PAYMENT</v>
          </cell>
        </row>
        <row r="8207">
          <cell r="H8207" t="str">
            <v>PAYUSBL</v>
          </cell>
          <cell r="I8207" t="str">
            <v>PAYMENT THANK YOU</v>
          </cell>
        </row>
        <row r="8208">
          <cell r="H8208" t="str">
            <v>GWRES</v>
          </cell>
          <cell r="I8208" t="str">
            <v>GREENWASTE SERVICE - RES</v>
          </cell>
        </row>
        <row r="8209">
          <cell r="H8209" t="str">
            <v>S45G1W1</v>
          </cell>
          <cell r="I8209" t="str">
            <v>45 GL 1X WK 1</v>
          </cell>
        </row>
        <row r="8210">
          <cell r="H8210" t="str">
            <v>S45G1W2</v>
          </cell>
          <cell r="I8210" t="str">
            <v>45 GL 1X WK 2</v>
          </cell>
        </row>
        <row r="8211">
          <cell r="H8211" t="str">
            <v>S45GEO1</v>
          </cell>
          <cell r="I8211" t="str">
            <v>45 GL EOW 1</v>
          </cell>
        </row>
        <row r="8212">
          <cell r="H8212" t="str">
            <v>SL065.0G1W001WREC</v>
          </cell>
          <cell r="I8212" t="str">
            <v>65 GL 1X WK W/RECY 1</v>
          </cell>
        </row>
        <row r="8213">
          <cell r="H8213" t="str">
            <v>SL095.0G1W001WREC</v>
          </cell>
          <cell r="I8213" t="str">
            <v>95 GL 1X WK W/RECY 1</v>
          </cell>
        </row>
        <row r="8214">
          <cell r="H8214" t="str">
            <v>BULKY-RES</v>
          </cell>
          <cell r="I8214" t="str">
            <v>BULKY ITEM PICK UP - RES</v>
          </cell>
        </row>
        <row r="8215">
          <cell r="H8215" t="str">
            <v>EXTRA-RES</v>
          </cell>
          <cell r="I8215" t="str">
            <v>EXTRA CAN, BAG, BOX - RES</v>
          </cell>
        </row>
        <row r="8216">
          <cell r="H8216" t="str">
            <v>EXTRAGWC-RES</v>
          </cell>
          <cell r="I8216" t="str">
            <v>EXTRA GREENWASTE FEE - RE</v>
          </cell>
        </row>
        <row r="8217">
          <cell r="H8217" t="str">
            <v>GWRES</v>
          </cell>
          <cell r="I8217" t="str">
            <v>GREENWASTE SERVICE - RES</v>
          </cell>
        </row>
        <row r="8218">
          <cell r="H8218" t="str">
            <v>OC-RES</v>
          </cell>
          <cell r="I8218" t="str">
            <v>ON CALL SERVICE - RES</v>
          </cell>
        </row>
        <row r="8219">
          <cell r="H8219" t="str">
            <v>OW-RES</v>
          </cell>
          <cell r="I8219" t="str">
            <v>OVERFILL / OVERWEIGHT CAN</v>
          </cell>
        </row>
        <row r="8220">
          <cell r="H8220" t="str">
            <v>REINSTATE-RES</v>
          </cell>
          <cell r="I8220" t="str">
            <v>REINSTATE FEE - RES</v>
          </cell>
        </row>
        <row r="8221">
          <cell r="H8221" t="str">
            <v>RTRNCART45-RES</v>
          </cell>
          <cell r="I8221" t="str">
            <v>RETURN TRIP 45 GL - RES</v>
          </cell>
        </row>
        <row r="8222">
          <cell r="H8222" t="str">
            <v>S45G1W1</v>
          </cell>
          <cell r="I8222" t="str">
            <v>45 GL 1X WK 1</v>
          </cell>
        </row>
        <row r="8223">
          <cell r="H8223" t="str">
            <v>TIME-RES</v>
          </cell>
          <cell r="I8223" t="str">
            <v>TIME FEE 1 - RES</v>
          </cell>
        </row>
        <row r="8224">
          <cell r="H8224" t="str">
            <v>GWRES</v>
          </cell>
          <cell r="I8224" t="str">
            <v>GREENWASTE SERVICE - RES</v>
          </cell>
        </row>
        <row r="8225">
          <cell r="H8225" t="str">
            <v>RECBINONLYR</v>
          </cell>
          <cell r="I8225" t="str">
            <v>RECYCLE SERVICE ONLY</v>
          </cell>
        </row>
        <row r="8226">
          <cell r="H8226" t="str">
            <v>S45G1W1</v>
          </cell>
          <cell r="I8226" t="str">
            <v>45 GL 1X WK 1</v>
          </cell>
        </row>
        <row r="8227">
          <cell r="H8227" t="str">
            <v>S45G1W2</v>
          </cell>
          <cell r="I8227" t="str">
            <v>45 GL 1X WK 2</v>
          </cell>
        </row>
        <row r="8228">
          <cell r="H8228" t="str">
            <v>S45G1W3</v>
          </cell>
          <cell r="I8228" t="str">
            <v>45 GL 1X WK 3</v>
          </cell>
        </row>
        <row r="8229">
          <cell r="H8229" t="str">
            <v>S45GEO1</v>
          </cell>
          <cell r="I8229" t="str">
            <v>45 GL EOW 1</v>
          </cell>
        </row>
        <row r="8230">
          <cell r="H8230" t="str">
            <v>SL020.0G1W001</v>
          </cell>
          <cell r="I8230" t="str">
            <v>20 GL 1X WK 1</v>
          </cell>
        </row>
        <row r="8231">
          <cell r="H8231" t="str">
            <v>SL045.0G1W001REC</v>
          </cell>
          <cell r="I8231" t="str">
            <v>45 GL 1X WK RECYCLE 1</v>
          </cell>
        </row>
        <row r="8232">
          <cell r="H8232" t="str">
            <v>SL065.0G1W001WREC</v>
          </cell>
          <cell r="I8232" t="str">
            <v>65 GL 1X WK W/RECY 1</v>
          </cell>
        </row>
        <row r="8233">
          <cell r="H8233" t="str">
            <v>SL095.0G1W001WREC</v>
          </cell>
          <cell r="I8233" t="str">
            <v>95 GL 1X WK W/RECY 1</v>
          </cell>
        </row>
        <row r="8234">
          <cell r="H8234" t="str">
            <v>BULKY-RES</v>
          </cell>
          <cell r="I8234" t="str">
            <v>BULKY ITEM PICK UP - RES</v>
          </cell>
        </row>
        <row r="8235">
          <cell r="H8235" t="str">
            <v>EXTRA-RES</v>
          </cell>
          <cell r="I8235" t="str">
            <v>EXTRA CAN, BAG, BOX - RES</v>
          </cell>
        </row>
        <row r="8236">
          <cell r="H8236" t="str">
            <v>GWRES</v>
          </cell>
          <cell r="I8236" t="str">
            <v>GREENWASTE SERVICE - RES</v>
          </cell>
        </row>
        <row r="8237">
          <cell r="H8237" t="str">
            <v>OC-RES</v>
          </cell>
          <cell r="I8237" t="str">
            <v>ON CALL SERVICE - RES</v>
          </cell>
        </row>
        <row r="8238">
          <cell r="H8238" t="str">
            <v>OW-RES</v>
          </cell>
          <cell r="I8238" t="str">
            <v>OVERFILL / OVERWEIGHT CAN</v>
          </cell>
        </row>
        <row r="8239">
          <cell r="H8239" t="str">
            <v>REINSTATE-RES</v>
          </cell>
          <cell r="I8239" t="str">
            <v>REINSTATE FEE - RES</v>
          </cell>
        </row>
        <row r="8240">
          <cell r="H8240" t="str">
            <v>RTRNCART45-RES</v>
          </cell>
          <cell r="I8240" t="str">
            <v>RETURN TRIP 45 GL - RES</v>
          </cell>
        </row>
        <row r="8241">
          <cell r="H8241" t="str">
            <v>RTRNCART96REC-RES</v>
          </cell>
          <cell r="I8241" t="str">
            <v>RETURN TRIP 96 GL REC - RES</v>
          </cell>
        </row>
        <row r="8242">
          <cell r="H8242" t="str">
            <v>SPGRAD1-RES</v>
          </cell>
          <cell r="I8242" t="str">
            <v>SPECIAL GRADUATED 1-2 - R</v>
          </cell>
        </row>
        <row r="8243">
          <cell r="H8243" t="str">
            <v>OW-RES</v>
          </cell>
          <cell r="I8243" t="str">
            <v>OVERFILL / OVERWEIGHT CAN</v>
          </cell>
        </row>
        <row r="8244">
          <cell r="H8244" t="str">
            <v>LIDRO</v>
          </cell>
          <cell r="I8244" t="str">
            <v>LID CHARGE - RO</v>
          </cell>
        </row>
        <row r="8245">
          <cell r="H8245" t="str">
            <v>RENT20MO-RO</v>
          </cell>
          <cell r="I8245" t="str">
            <v>RENTAL FEE 20 YD MONTHLY</v>
          </cell>
        </row>
        <row r="8246">
          <cell r="H8246" t="str">
            <v>RENT30MO-RO</v>
          </cell>
          <cell r="I8246" t="str">
            <v>RENTAL FEE 30 YD MONTHLY</v>
          </cell>
        </row>
        <row r="8247">
          <cell r="H8247" t="str">
            <v>RENT40MO-RO</v>
          </cell>
          <cell r="I8247" t="str">
            <v>RENTAL FEE 40 YD MONTHLY</v>
          </cell>
        </row>
        <row r="8248">
          <cell r="H8248" t="str">
            <v>CLEAN25-RO</v>
          </cell>
          <cell r="I8248" t="str">
            <v>CLEANING FEE 25 YD - RO</v>
          </cell>
        </row>
        <row r="8249">
          <cell r="H8249" t="str">
            <v>DISCO-CP</v>
          </cell>
          <cell r="I8249" t="str">
            <v xml:space="preserve">COMPACTOR DISCONNECT FEE </v>
          </cell>
        </row>
        <row r="8250">
          <cell r="H8250" t="str">
            <v>DISP-RO</v>
          </cell>
          <cell r="I8250" t="str">
            <v>DISPOSAL CHARGE - RO</v>
          </cell>
        </row>
        <row r="8251">
          <cell r="H8251" t="str">
            <v>DISPTRANS-RO</v>
          </cell>
          <cell r="I8251" t="str">
            <v>DISPOSAL FEE TRANSFER HAU</v>
          </cell>
        </row>
        <row r="8252">
          <cell r="H8252" t="str">
            <v>FINAL20-RO</v>
          </cell>
          <cell r="I8252" t="str">
            <v>FINAL PULL 20 YD - RO</v>
          </cell>
        </row>
        <row r="8253">
          <cell r="H8253" t="str">
            <v>HAUL20-CP</v>
          </cell>
          <cell r="I8253" t="str">
            <v>COMPACTOR HAUL 20 YD - RO</v>
          </cell>
        </row>
        <row r="8254">
          <cell r="H8254" t="str">
            <v>HAUL25-CP</v>
          </cell>
          <cell r="I8254" t="str">
            <v>COMPACTOR HAUL 25 YD - RO</v>
          </cell>
        </row>
        <row r="8255">
          <cell r="H8255" t="str">
            <v>HAUL30-RO</v>
          </cell>
          <cell r="I8255" t="str">
            <v>HAUL 30 YD - RO</v>
          </cell>
        </row>
        <row r="8256">
          <cell r="H8256" t="str">
            <v>HAUL40-CP</v>
          </cell>
          <cell r="I8256" t="str">
            <v>COMPACTOR HAUL 40 YD</v>
          </cell>
        </row>
        <row r="8257">
          <cell r="H8257" t="str">
            <v>HAUL40-RO</v>
          </cell>
          <cell r="I8257" t="str">
            <v>HAUL 40 YD - RO</v>
          </cell>
        </row>
        <row r="8258">
          <cell r="H8258" t="str">
            <v>MILE-RO</v>
          </cell>
          <cell r="I8258" t="str">
            <v>MILEAGE FEE - RO</v>
          </cell>
        </row>
        <row r="8259">
          <cell r="H8259" t="str">
            <v>RTRNTRIP-RO</v>
          </cell>
          <cell r="I8259" t="str">
            <v>RETURN TRIP FEE - RO</v>
          </cell>
        </row>
        <row r="8260">
          <cell r="H8260" t="str">
            <v>DISPCMGL-RO</v>
          </cell>
          <cell r="I8260" t="str">
            <v xml:space="preserve">DISPOSAL FEE COMMINGLE - </v>
          </cell>
        </row>
        <row r="8261">
          <cell r="H8261" t="str">
            <v>DISPOCC-RO</v>
          </cell>
          <cell r="I8261" t="str">
            <v xml:space="preserve">DISPOSAL FEE CARDBOARD - </v>
          </cell>
        </row>
        <row r="8262">
          <cell r="H8262" t="str">
            <v>HAUL30-RO</v>
          </cell>
          <cell r="I8262" t="str">
            <v>HAUL 30 YD - RO</v>
          </cell>
        </row>
        <row r="8263">
          <cell r="H8263" t="str">
            <v>COMMODITY SURCHARGE</v>
          </cell>
          <cell r="I8263" t="str">
            <v>COMMODITY SURCHARGE</v>
          </cell>
        </row>
        <row r="8264">
          <cell r="H8264" t="str">
            <v>COMMODITY SURCHARGE</v>
          </cell>
          <cell r="I8264" t="str">
            <v>COMMODITY SURCHARGE</v>
          </cell>
        </row>
        <row r="8265">
          <cell r="H8265" t="str">
            <v>DUPONT CITY UTILITY TAX</v>
          </cell>
          <cell r="I8265" t="str">
            <v>8% CITY UTILITY TAX</v>
          </cell>
        </row>
        <row r="8266">
          <cell r="H8266" t="str">
            <v>DUPONT REFUSE TAX</v>
          </cell>
          <cell r="I8266" t="str">
            <v>3.6% WA STATE REFUSE TAX</v>
          </cell>
        </row>
        <row r="8267">
          <cell r="H8267" t="str">
            <v>DUPONT CITY ONLY</v>
          </cell>
          <cell r="I8267" t="str">
            <v>8% CITY UTILITY TAX</v>
          </cell>
        </row>
        <row r="8268">
          <cell r="H8268" t="str">
            <v>DUPONT CITY UTILITY TAX</v>
          </cell>
          <cell r="I8268" t="str">
            <v>8% CITY UTILITY TAX</v>
          </cell>
        </row>
        <row r="8269">
          <cell r="H8269" t="str">
            <v>DUPONT REFUSE TAX</v>
          </cell>
          <cell r="I8269" t="str">
            <v>3.6% WA STATE REFUSE TAX</v>
          </cell>
        </row>
        <row r="8270">
          <cell r="H8270" t="str">
            <v>DUPONT STATE SALES TAX</v>
          </cell>
          <cell r="I8270" t="str">
            <v>9.3% WA STATE SALES TAX</v>
          </cell>
        </row>
        <row r="8271">
          <cell r="H8271" t="str">
            <v>DUPONT CITY UTILITY TAX</v>
          </cell>
          <cell r="I8271" t="str">
            <v>8% CITY UTILITY TAX</v>
          </cell>
        </row>
        <row r="8272">
          <cell r="H8272" t="str">
            <v>DUPONT REFUSE TAX</v>
          </cell>
          <cell r="I8272" t="str">
            <v>3.6% WA STATE REFUSE TAX</v>
          </cell>
        </row>
        <row r="8273">
          <cell r="H8273" t="str">
            <v>DUPONT STATE SALES TAX</v>
          </cell>
          <cell r="I8273" t="str">
            <v>9.3% WA STATE SALES TAX</v>
          </cell>
        </row>
        <row r="8274">
          <cell r="H8274" t="str">
            <v>DUPONT CITY UTILITY TAX</v>
          </cell>
          <cell r="I8274" t="str">
            <v>8% CITY UTILITY TAX</v>
          </cell>
        </row>
        <row r="8275">
          <cell r="H8275" t="str">
            <v>DUPONT REFUSE TAX</v>
          </cell>
          <cell r="I8275" t="str">
            <v>3.6% WA STATE REFUSE TAX</v>
          </cell>
        </row>
        <row r="8276">
          <cell r="H8276" t="str">
            <v>DUPONT STATE SALES TAX</v>
          </cell>
          <cell r="I8276" t="str">
            <v>9.3% WA STATE SALES TAX</v>
          </cell>
        </row>
        <row r="8277">
          <cell r="H8277" t="str">
            <v>DUPONT CITY UTILITY TAX</v>
          </cell>
          <cell r="I8277" t="str">
            <v>8% CITY UTILITY TAX</v>
          </cell>
        </row>
        <row r="8278">
          <cell r="H8278" t="str">
            <v>DUPONT REFUSE TAX</v>
          </cell>
          <cell r="I8278" t="str">
            <v>3.6% WA STATE REFUSE TAX</v>
          </cell>
        </row>
        <row r="8279">
          <cell r="H8279" t="str">
            <v>DUPONT CITY UTILITY TAX</v>
          </cell>
          <cell r="I8279" t="str">
            <v>8% CITY UTILITY TAX</v>
          </cell>
        </row>
        <row r="8280">
          <cell r="H8280" t="str">
            <v>DUPONT REFUSE TAX</v>
          </cell>
          <cell r="I8280" t="str">
            <v>3.6% WA STATE REFUSE TAX</v>
          </cell>
        </row>
        <row r="8281">
          <cell r="H8281" t="str">
            <v>DUPONT CITY UTILITY TAX</v>
          </cell>
          <cell r="I8281" t="str">
            <v>8% CITY UTILITY TAX</v>
          </cell>
        </row>
        <row r="8282">
          <cell r="H8282" t="str">
            <v>DUPONT REFUSE TAX</v>
          </cell>
          <cell r="I8282" t="str">
            <v>3.6% WA STATE REFUSE TAX</v>
          </cell>
        </row>
        <row r="8283">
          <cell r="H8283" t="str">
            <v>DUPONT CITY ONLY</v>
          </cell>
          <cell r="I8283" t="str">
            <v>8% CITY UTILITY TAX</v>
          </cell>
        </row>
        <row r="8284">
          <cell r="H8284" t="str">
            <v>DUPONT CITY UTILITY TAX</v>
          </cell>
          <cell r="I8284" t="str">
            <v>8% CITY UTILITY TAX</v>
          </cell>
        </row>
        <row r="8285">
          <cell r="H8285" t="str">
            <v>DUPONT REFUSE TAX</v>
          </cell>
          <cell r="I8285" t="str">
            <v>3.6% WA STATE REFUSE TAX</v>
          </cell>
        </row>
        <row r="8286">
          <cell r="H8286" t="str">
            <v>DUPONT STATE SALES TAX</v>
          </cell>
          <cell r="I8286" t="str">
            <v>9.3% WA STATE SALES TAX</v>
          </cell>
        </row>
        <row r="8287">
          <cell r="H8287" t="str">
            <v>DUPONT CITY UTILITY TAX</v>
          </cell>
          <cell r="I8287" t="str">
            <v>8% CITY UTILITY TAX</v>
          </cell>
        </row>
        <row r="8288">
          <cell r="H8288" t="str">
            <v>DUPONT REFUSE TAX</v>
          </cell>
          <cell r="I8288" t="str">
            <v>3.6% WA STATE REFUSE TAX</v>
          </cell>
        </row>
        <row r="8289">
          <cell r="H8289" t="str">
            <v>FINCHG</v>
          </cell>
          <cell r="I8289" t="str">
            <v>LATE FEE</v>
          </cell>
        </row>
        <row r="8290">
          <cell r="H8290" t="str">
            <v>ACCESS-COMM</v>
          </cell>
          <cell r="I8290" t="str">
            <v>ACCESS FEE - COMM</v>
          </cell>
        </row>
        <row r="8291">
          <cell r="H8291" t="str">
            <v>DONATIONC</v>
          </cell>
          <cell r="I8291" t="str">
            <v>DONATED SERVICE COMM</v>
          </cell>
        </row>
        <row r="8292">
          <cell r="H8292" t="str">
            <v>FL001.0Y1W001</v>
          </cell>
          <cell r="I8292" t="str">
            <v>1 YD 1X WK 1</v>
          </cell>
        </row>
        <row r="8293">
          <cell r="H8293" t="str">
            <v>FL001.0Y2W001</v>
          </cell>
          <cell r="I8293" t="str">
            <v>1 YD 2X WK 1</v>
          </cell>
        </row>
        <row r="8294">
          <cell r="H8294" t="str">
            <v>FL001.5Y1W001</v>
          </cell>
          <cell r="I8294" t="str">
            <v>1.5 YD 1X WK 1</v>
          </cell>
        </row>
        <row r="8295">
          <cell r="H8295" t="str">
            <v>FL001.5Y2W001</v>
          </cell>
          <cell r="I8295" t="str">
            <v>1.5 YD 2X WK 1</v>
          </cell>
        </row>
        <row r="8296">
          <cell r="H8296" t="str">
            <v>FL002.0Y1W001</v>
          </cell>
          <cell r="I8296" t="str">
            <v>2 YD 1X WK 1</v>
          </cell>
        </row>
        <row r="8297">
          <cell r="H8297" t="str">
            <v>FL002.0Y2W001</v>
          </cell>
          <cell r="I8297" t="str">
            <v>2 YD 2X WK 1</v>
          </cell>
        </row>
        <row r="8298">
          <cell r="H8298" t="str">
            <v>GWCOMM</v>
          </cell>
          <cell r="I8298" t="str">
            <v>GREENWASTE SERVICE - COMM</v>
          </cell>
        </row>
        <row r="8299">
          <cell r="H8299" t="str">
            <v>RL001.0Y1W001</v>
          </cell>
          <cell r="I8299" t="str">
            <v>1 YD 1X WK 1</v>
          </cell>
        </row>
        <row r="8300">
          <cell r="H8300" t="str">
            <v>RL002.0Y1W001</v>
          </cell>
          <cell r="I8300" t="str">
            <v>2 YD 1X WK 1</v>
          </cell>
        </row>
        <row r="8301">
          <cell r="H8301" t="str">
            <v>SL035.0G1M001WRECC</v>
          </cell>
          <cell r="I8301" t="str">
            <v>35 GL 1X MO W/RECY COMM 1</v>
          </cell>
        </row>
        <row r="8302">
          <cell r="H8302" t="str">
            <v>SL065.0G1M001WRECC</v>
          </cell>
          <cell r="I8302" t="str">
            <v>65 GL 1X MO W/RECY COMM 1</v>
          </cell>
        </row>
        <row r="8303">
          <cell r="H8303" t="str">
            <v>SL065.0G1W001WRECC</v>
          </cell>
          <cell r="I8303" t="str">
            <v>65 GL 1X WK W/RECY COMM 1</v>
          </cell>
        </row>
        <row r="8304">
          <cell r="H8304" t="str">
            <v>SL065.0GEO001WRECC</v>
          </cell>
          <cell r="I8304" t="str">
            <v>65 GL EOW W/RECY COMM 1</v>
          </cell>
        </row>
        <row r="8305">
          <cell r="H8305" t="str">
            <v>SL095.0G1W001NORECC</v>
          </cell>
          <cell r="I8305" t="str">
            <v xml:space="preserve">95 GL 1X WK NO RECY COMM </v>
          </cell>
        </row>
        <row r="8306">
          <cell r="H8306" t="str">
            <v>SL095.0G1W001WRECC</v>
          </cell>
          <cell r="I8306" t="str">
            <v>95 GL 1X WK W/RECY COMM 1</v>
          </cell>
        </row>
        <row r="8307">
          <cell r="H8307" t="str">
            <v>SL095.0GEO001WRECC</v>
          </cell>
          <cell r="I8307" t="str">
            <v>95 GL EOW W/RECY COMM 1</v>
          </cell>
        </row>
        <row r="8308">
          <cell r="H8308" t="str">
            <v>CLEAN2-COMM</v>
          </cell>
          <cell r="I8308" t="str">
            <v>CLEANING FEE 2 YD - COMM</v>
          </cell>
        </row>
        <row r="8309">
          <cell r="H8309" t="str">
            <v>EXTRA-COMM</v>
          </cell>
          <cell r="I8309" t="str">
            <v>EXTRA CAN, BAG, BOX - COM</v>
          </cell>
        </row>
        <row r="8310">
          <cell r="H8310" t="str">
            <v>FL002.0YXX001TEMPC</v>
          </cell>
          <cell r="I8310" t="str">
            <v xml:space="preserve">2 YD TEMP </v>
          </cell>
        </row>
        <row r="8311">
          <cell r="H8311" t="str">
            <v>RENT2TEMP-COMM</v>
          </cell>
          <cell r="I8311" t="str">
            <v>RENT 2 YD TEMP - COMM</v>
          </cell>
        </row>
        <row r="8312">
          <cell r="H8312" t="str">
            <v>ACCESSCREC-COMM</v>
          </cell>
          <cell r="I8312" t="str">
            <v>ACCESS FEE COMM RECY - CO</v>
          </cell>
        </row>
        <row r="8313">
          <cell r="H8313" t="str">
            <v>FL002.0Y1W001BCMGL</v>
          </cell>
          <cell r="I8313" t="str">
            <v>2 YD 1X WK BUS CMGL 1</v>
          </cell>
        </row>
        <row r="8314">
          <cell r="H8314" t="str">
            <v>FL002.0Y1W001BOCC</v>
          </cell>
          <cell r="I8314" t="str">
            <v>2 YD 1X WK BUS OCC 1</v>
          </cell>
        </row>
        <row r="8315">
          <cell r="H8315" t="str">
            <v>FL002.0Y2W001SCMGL</v>
          </cell>
          <cell r="I8315" t="str">
            <v>2 YD 2X WK SCHL CMGL 1</v>
          </cell>
        </row>
        <row r="8316">
          <cell r="H8316" t="str">
            <v>FL005.0Y1W001BOCC</v>
          </cell>
          <cell r="I8316" t="str">
            <v>5 YD 1X WK BUS OCC 1</v>
          </cell>
        </row>
        <row r="8317">
          <cell r="H8317" t="str">
            <v>FL006.0Y1W001SCMGL</v>
          </cell>
          <cell r="I8317" t="str">
            <v>6 YD 1X WK SCHL CMGL 1</v>
          </cell>
        </row>
        <row r="8318">
          <cell r="H8318" t="str">
            <v>SL096.0GEO001BCMGLIN</v>
          </cell>
          <cell r="I8318" t="str">
            <v>96 GL EOW BUS CMGL IN</v>
          </cell>
        </row>
        <row r="8319">
          <cell r="H8319" t="str">
            <v>SL096.0GEO001BCMGLOUT</v>
          </cell>
          <cell r="I8319" t="str">
            <v>96 GL EOW BUS CMGL OUT</v>
          </cell>
        </row>
        <row r="8320">
          <cell r="H8320" t="str">
            <v>SL096.0GEO001SCMGLOUT</v>
          </cell>
          <cell r="I8320" t="str">
            <v>96 GL EOW SCHL CMGL OUT</v>
          </cell>
        </row>
        <row r="8321">
          <cell r="H8321" t="str">
            <v>CC-KOL</v>
          </cell>
          <cell r="I8321" t="str">
            <v>ONLINE PAYMENT-CC</v>
          </cell>
        </row>
        <row r="8322">
          <cell r="H8322" t="str">
            <v>PAYUSBL</v>
          </cell>
          <cell r="I8322" t="str">
            <v>PAYMENT THANK YOU</v>
          </cell>
        </row>
        <row r="8323">
          <cell r="H8323" t="str">
            <v>GWRES</v>
          </cell>
          <cell r="I8323" t="str">
            <v>GREENWASTE SERVICE - RES</v>
          </cell>
        </row>
        <row r="8324">
          <cell r="H8324" t="str">
            <v>RECBINONLYR</v>
          </cell>
          <cell r="I8324" t="str">
            <v>RECYCLE SERVICE ONLY</v>
          </cell>
        </row>
        <row r="8325">
          <cell r="H8325" t="str">
            <v>SL035.0G1M001WREC</v>
          </cell>
          <cell r="I8325" t="str">
            <v>35 GL 1X MO W/RECY 1</v>
          </cell>
        </row>
        <row r="8326">
          <cell r="H8326" t="str">
            <v>SL065.0G1M001NOREC</v>
          </cell>
          <cell r="I8326" t="str">
            <v>65 GL 1X MO NO RECY 1</v>
          </cell>
        </row>
        <row r="8327">
          <cell r="H8327" t="str">
            <v>SL065.0G1M001WREC</v>
          </cell>
          <cell r="I8327" t="str">
            <v>65 GL 1X MO W/RECY 1</v>
          </cell>
        </row>
        <row r="8328">
          <cell r="H8328" t="str">
            <v>SL065.0G1W001WREC</v>
          </cell>
          <cell r="I8328" t="str">
            <v>65 GL 1X WK W/RECY 1</v>
          </cell>
        </row>
        <row r="8329">
          <cell r="H8329" t="str">
            <v>SL065.0GEO001</v>
          </cell>
          <cell r="I8329" t="str">
            <v>65 GL EOW 1</v>
          </cell>
        </row>
        <row r="8330">
          <cell r="H8330" t="str">
            <v>SL065.0GEO001WREC</v>
          </cell>
          <cell r="I8330" t="str">
            <v>65 GL EOW W/RECY 1</v>
          </cell>
        </row>
        <row r="8331">
          <cell r="H8331" t="str">
            <v>SL095.0G1W001WREC</v>
          </cell>
          <cell r="I8331" t="str">
            <v>95 GL 1X WK W/RECY 1</v>
          </cell>
        </row>
        <row r="8332">
          <cell r="H8332" t="str">
            <v>SL095.0GEO001</v>
          </cell>
          <cell r="I8332" t="str">
            <v>95 GL EOW 1</v>
          </cell>
        </row>
        <row r="8333">
          <cell r="H8333" t="str">
            <v>SL095.0GEO001WREC</v>
          </cell>
          <cell r="I8333" t="str">
            <v>95 GL EOW W/RECY 1</v>
          </cell>
        </row>
        <row r="8334">
          <cell r="H8334" t="str">
            <v>EXTRA-RES</v>
          </cell>
          <cell r="I8334" t="str">
            <v>EXTRA CAN, BAG, BOX - RES</v>
          </cell>
        </row>
        <row r="8335">
          <cell r="H8335" t="str">
            <v>EXTRAGWC-RES</v>
          </cell>
          <cell r="I8335" t="str">
            <v>EXTRA GREENWASTE FEE - RE</v>
          </cell>
        </row>
        <row r="8336">
          <cell r="H8336" t="str">
            <v>OW-RES</v>
          </cell>
          <cell r="I8336" t="str">
            <v>OVERFILL / OVERWEIGHT CAN</v>
          </cell>
        </row>
        <row r="8337">
          <cell r="H8337" t="str">
            <v>DONATIONRO</v>
          </cell>
          <cell r="I8337" t="str">
            <v>DONATED SERVICE ROLL OFF</v>
          </cell>
        </row>
        <row r="8338">
          <cell r="H8338" t="str">
            <v>LIDRO</v>
          </cell>
          <cell r="I8338" t="str">
            <v>LID CHARGE - RO</v>
          </cell>
        </row>
        <row r="8339">
          <cell r="H8339" t="str">
            <v>RENT20MO-RO</v>
          </cell>
          <cell r="I8339" t="str">
            <v>RENTAL FEE 20 YD MONTHLY</v>
          </cell>
        </row>
        <row r="8340">
          <cell r="H8340" t="str">
            <v>RENT30MO-RO</v>
          </cell>
          <cell r="I8340" t="str">
            <v>RENTAL FEE 30 YD MONTHLY</v>
          </cell>
        </row>
        <row r="8341">
          <cell r="H8341" t="str">
            <v>DISCO-CP</v>
          </cell>
          <cell r="I8341" t="str">
            <v xml:space="preserve">COMPACTOR DISCONNECT FEE </v>
          </cell>
        </row>
        <row r="8342">
          <cell r="H8342" t="str">
            <v>DISP-RO</v>
          </cell>
          <cell r="I8342" t="str">
            <v>DISPOSAL CHARGE - RO</v>
          </cell>
        </row>
        <row r="8343">
          <cell r="H8343" t="str">
            <v>DISPOCC-RO</v>
          </cell>
          <cell r="I8343" t="str">
            <v xml:space="preserve">DISPOSAL FEE CARDBOARD - </v>
          </cell>
        </row>
        <row r="8344">
          <cell r="H8344" t="str">
            <v>HAUL30-CP</v>
          </cell>
          <cell r="I8344" t="str">
            <v>COMPACTOR HAUL 30 YD</v>
          </cell>
        </row>
        <row r="8345">
          <cell r="H8345" t="str">
            <v>HAUL30-RO</v>
          </cell>
          <cell r="I8345" t="str">
            <v>HAUL 30 YD - RO</v>
          </cell>
        </row>
        <row r="8346">
          <cell r="H8346" t="str">
            <v>MILE-RO</v>
          </cell>
          <cell r="I8346" t="str">
            <v>MILEAGE FEE - RO</v>
          </cell>
        </row>
        <row r="8347">
          <cell r="H8347" t="str">
            <v>COMMODITY SURCHARGE</v>
          </cell>
          <cell r="I8347" t="str">
            <v>COMMODITY SURCHARGE</v>
          </cell>
        </row>
        <row r="8348">
          <cell r="H8348" t="str">
            <v>PIERCE COUNTY REFUSE TAX</v>
          </cell>
          <cell r="I8348" t="str">
            <v>3.6% PIERCE COUNTY REFUSE</v>
          </cell>
        </row>
        <row r="8349">
          <cell r="H8349" t="str">
            <v>PIERCE COUNTY SALES TAX</v>
          </cell>
          <cell r="I8349" t="str">
            <v>7.9% WA STATE SALES TAX</v>
          </cell>
        </row>
        <row r="8350">
          <cell r="H8350" t="str">
            <v>PIERCE COUNTY REFUSE TAX</v>
          </cell>
          <cell r="I8350" t="str">
            <v>3.6% PIERCE COUNTY REFUSE</v>
          </cell>
        </row>
        <row r="8351">
          <cell r="H8351" t="str">
            <v>PIERCE COUNTY SALES TAX</v>
          </cell>
          <cell r="I8351" t="str">
            <v>7.9% WA STATE SALES TAX</v>
          </cell>
        </row>
        <row r="8352">
          <cell r="H8352" t="str">
            <v>FINCHG</v>
          </cell>
          <cell r="I8352" t="str">
            <v>LATE FEE</v>
          </cell>
        </row>
        <row r="8353">
          <cell r="H8353" t="str">
            <v>FL004.0Y2W001MF</v>
          </cell>
          <cell r="I8353" t="str">
            <v>4 YD 2X WK MULTI-FAMILY 1</v>
          </cell>
        </row>
        <row r="8354">
          <cell r="H8354" t="str">
            <v>FL006.0Y1W001MF</v>
          </cell>
          <cell r="I8354" t="str">
            <v>6 YD 1X WK MULTI-FAMILY 1</v>
          </cell>
        </row>
        <row r="8355">
          <cell r="H8355" t="str">
            <v>FL006.0Y2W001MF</v>
          </cell>
          <cell r="I8355" t="str">
            <v>6 YD 2X WK MULTI-FAMILY 1</v>
          </cell>
        </row>
        <row r="8356">
          <cell r="H8356" t="str">
            <v>SL095.0G1W001WRECC</v>
          </cell>
          <cell r="I8356" t="str">
            <v>95 GL 1X WK W/RECY COMM 1</v>
          </cell>
        </row>
        <row r="8357">
          <cell r="H8357" t="str">
            <v>MFWBINS</v>
          </cell>
          <cell r="I8357" t="str">
            <v>MULTI-FAMILY REC UNIT W/B</v>
          </cell>
        </row>
        <row r="8358">
          <cell r="H8358" t="str">
            <v>SL096.0G1M001BCMGLOUT</v>
          </cell>
          <cell r="I8358" t="str">
            <v>96 GL MTHLY BUS CMGL OUT</v>
          </cell>
        </row>
        <row r="8359">
          <cell r="H8359" t="str">
            <v>CC-KOL</v>
          </cell>
          <cell r="I8359" t="str">
            <v>ONLINE PAYMENT-CC</v>
          </cell>
        </row>
        <row r="8360">
          <cell r="H8360" t="str">
            <v>PAY</v>
          </cell>
          <cell r="I8360" t="str">
            <v>PAYMENT THANK YOU</v>
          </cell>
        </row>
        <row r="8361">
          <cell r="H8361" t="str">
            <v>PAY-KOL</v>
          </cell>
          <cell r="I8361" t="str">
            <v>PAYMENT-THANK YOU - OL</v>
          </cell>
        </row>
        <row r="8362">
          <cell r="H8362" t="str">
            <v>GWRES</v>
          </cell>
          <cell r="I8362" t="str">
            <v>GREENWASTE SERVICE - RES</v>
          </cell>
        </row>
        <row r="8363">
          <cell r="H8363" t="str">
            <v>RECBINONLYR</v>
          </cell>
          <cell r="I8363" t="str">
            <v>RECYCLE SERVICE ONLY</v>
          </cell>
        </row>
        <row r="8364">
          <cell r="H8364" t="str">
            <v>RECPROGADJ-RES</v>
          </cell>
          <cell r="I8364" t="str">
            <v>RECYCLING PROGRAM ADJUSTM</v>
          </cell>
        </row>
        <row r="8365">
          <cell r="H8365" t="str">
            <v>RECVALRES</v>
          </cell>
          <cell r="I8365" t="str">
            <v>RECYCLABLES VALUE - RES</v>
          </cell>
        </row>
        <row r="8366">
          <cell r="H8366" t="str">
            <v>SL065.0G1W001WREC</v>
          </cell>
          <cell r="I8366" t="str">
            <v>65 GL 1X WK W/RECY 1</v>
          </cell>
        </row>
        <row r="8367">
          <cell r="H8367" t="str">
            <v>SL095.0G1W001WREC</v>
          </cell>
          <cell r="I8367" t="str">
            <v>95 GL 1X WK W/RECY 1</v>
          </cell>
        </row>
        <row r="8368">
          <cell r="H8368" t="str">
            <v>DISPFEDMSW-RES</v>
          </cell>
          <cell r="I8368" t="str">
            <v>DISPOSAL FEDERAL MSW - RE</v>
          </cell>
        </row>
        <row r="8369">
          <cell r="H8369" t="str">
            <v>EXTRA-RES</v>
          </cell>
          <cell r="I8369" t="str">
            <v>EXTRA CAN, BAG, BOX - RES</v>
          </cell>
        </row>
        <row r="8370">
          <cell r="H8370" t="str">
            <v>OW-RES</v>
          </cell>
          <cell r="I8370" t="str">
            <v>OVERFILL / OVERWEIGHT CAN</v>
          </cell>
        </row>
        <row r="8371">
          <cell r="H8371" t="str">
            <v>SL095.0G1W001WREC</v>
          </cell>
          <cell r="I8371" t="str">
            <v>95 GL 1X WK W/RECY 1</v>
          </cell>
        </row>
        <row r="8372">
          <cell r="H8372" t="str">
            <v>TIME-RES</v>
          </cell>
          <cell r="I8372" t="str">
            <v>TIME FEE 1 - RES</v>
          </cell>
        </row>
        <row r="8373">
          <cell r="H8373" t="str">
            <v>RENT20MO-RO</v>
          </cell>
          <cell r="I8373" t="str">
            <v>RENTAL FEE 20 YD MONTHLY</v>
          </cell>
        </row>
        <row r="8374">
          <cell r="H8374" t="str">
            <v>RENT30MO-RO</v>
          </cell>
          <cell r="I8374" t="str">
            <v>RENTAL FEE 30 YD MONTHLY</v>
          </cell>
        </row>
        <row r="8375">
          <cell r="H8375" t="str">
            <v>RENT40MO-RO</v>
          </cell>
          <cell r="I8375" t="str">
            <v>RENTAL FEE 40 YD MONTHLY</v>
          </cell>
        </row>
        <row r="8376">
          <cell r="H8376" t="str">
            <v>DISPFEDMSW-RO</v>
          </cell>
          <cell r="I8376" t="str">
            <v xml:space="preserve">DISPOSAL FEE FEDERAL MSW </v>
          </cell>
        </row>
        <row r="8377">
          <cell r="H8377" t="str">
            <v>HAUL20-RO</v>
          </cell>
          <cell r="I8377" t="str">
            <v>HAUL 20 YD - RO</v>
          </cell>
        </row>
        <row r="8378">
          <cell r="H8378" t="str">
            <v>HAUL30-RO</v>
          </cell>
          <cell r="I8378" t="str">
            <v>HAUL 30 YD - RO</v>
          </cell>
        </row>
        <row r="8379">
          <cell r="H8379" t="str">
            <v>HAUL40-RO</v>
          </cell>
          <cell r="I8379" t="str">
            <v>HAUL 40 YD - RO</v>
          </cell>
        </row>
        <row r="8380">
          <cell r="H8380" t="str">
            <v>MILE-RO</v>
          </cell>
          <cell r="I8380" t="str">
            <v>MILEAGE FEE - RO</v>
          </cell>
        </row>
        <row r="8381">
          <cell r="H8381" t="str">
            <v>FT LEWIS REFUSE TAX</v>
          </cell>
          <cell r="I8381" t="str">
            <v>3.6% WA STATE REFUSE TAX</v>
          </cell>
        </row>
        <row r="8382">
          <cell r="H8382" t="str">
            <v>FT LEWIS REFUSE TAX</v>
          </cell>
          <cell r="I8382" t="str">
            <v>3.6% WA STATE REFUSE TAX</v>
          </cell>
        </row>
        <row r="8383">
          <cell r="H8383" t="str">
            <v>FT LEWIS STATE SALES TAX</v>
          </cell>
          <cell r="I8383" t="str">
            <v>9.3% WA STATE SALES TAX</v>
          </cell>
        </row>
        <row r="8384">
          <cell r="H8384" t="str">
            <v>FT LEWIS REFUSE TAX</v>
          </cell>
          <cell r="I8384" t="str">
            <v>3.6% WA STATE REFUSE TAX</v>
          </cell>
        </row>
        <row r="8385">
          <cell r="H8385" t="str">
            <v>FINCHG</v>
          </cell>
          <cell r="I8385" t="str">
            <v>LATE FEE</v>
          </cell>
        </row>
        <row r="8386">
          <cell r="H8386" t="str">
            <v>BD</v>
          </cell>
          <cell r="I8386" t="str">
            <v>BAD DEBT WRITE OFF</v>
          </cell>
        </row>
        <row r="8387">
          <cell r="H8387" t="str">
            <v>BDR</v>
          </cell>
          <cell r="I8387" t="str">
            <v>BAD DEBT RECOVERY</v>
          </cell>
        </row>
        <row r="8388">
          <cell r="H8388" t="str">
            <v>FINCHG</v>
          </cell>
          <cell r="I8388" t="str">
            <v>LATE FEE</v>
          </cell>
        </row>
        <row r="8389">
          <cell r="H8389" t="str">
            <v>MM</v>
          </cell>
          <cell r="I8389" t="str">
            <v>ADJUST BALANCE (MM)</v>
          </cell>
        </row>
        <row r="8390">
          <cell r="H8390" t="str">
            <v>MM</v>
          </cell>
          <cell r="I8390" t="str">
            <v>ADJUST BALANCE (MM)</v>
          </cell>
        </row>
        <row r="8391">
          <cell r="H8391" t="str">
            <v>ACCESS-COMM</v>
          </cell>
          <cell r="I8391" t="str">
            <v>ACCESS FEE - COMM</v>
          </cell>
        </row>
        <row r="8392">
          <cell r="H8392" t="str">
            <v>FL001.0Y1W001</v>
          </cell>
          <cell r="I8392" t="str">
            <v>1 YD 1X WK 1</v>
          </cell>
        </row>
        <row r="8393">
          <cell r="H8393" t="str">
            <v>FL001.5Y1W001</v>
          </cell>
          <cell r="I8393" t="str">
            <v>1.5 YD 1X WK 1</v>
          </cell>
        </row>
        <row r="8394">
          <cell r="H8394" t="str">
            <v>FL001.5Y2W001</v>
          </cell>
          <cell r="I8394" t="str">
            <v>1.5 YD 2X WK 1</v>
          </cell>
        </row>
        <row r="8395">
          <cell r="H8395" t="str">
            <v>FL001.5Y3W001</v>
          </cell>
          <cell r="I8395" t="str">
            <v>1.5 YD 3X WK 1</v>
          </cell>
        </row>
        <row r="8396">
          <cell r="H8396" t="str">
            <v>FL001.5Y4W001</v>
          </cell>
          <cell r="I8396" t="str">
            <v>1.5 YD 4X WK 1</v>
          </cell>
        </row>
        <row r="8397">
          <cell r="H8397" t="str">
            <v>FL001.5Y5W001</v>
          </cell>
          <cell r="I8397" t="str">
            <v>1.5 YD 5X WK 1</v>
          </cell>
        </row>
        <row r="8398">
          <cell r="H8398" t="str">
            <v>FL002.0Y1W001</v>
          </cell>
          <cell r="I8398" t="str">
            <v>2 YD 1X WK 1</v>
          </cell>
        </row>
        <row r="8399">
          <cell r="H8399" t="str">
            <v>FL002.0Y3W001</v>
          </cell>
          <cell r="I8399" t="str">
            <v>2 YD 3X WK 1</v>
          </cell>
        </row>
        <row r="8400">
          <cell r="H8400" t="str">
            <v>FL002.0Y5W001</v>
          </cell>
          <cell r="I8400" t="str">
            <v>2 YD 5X WK 1</v>
          </cell>
        </row>
        <row r="8401">
          <cell r="H8401" t="str">
            <v>FL003.0Y1W001</v>
          </cell>
          <cell r="I8401" t="str">
            <v>3 YD 1X WK 1</v>
          </cell>
        </row>
        <row r="8402">
          <cell r="H8402" t="str">
            <v>FL003.0Y2W001</v>
          </cell>
          <cell r="I8402" t="str">
            <v>3 YD 2X WK 1</v>
          </cell>
        </row>
        <row r="8403">
          <cell r="H8403" t="str">
            <v>FL004.0Y1W001</v>
          </cell>
          <cell r="I8403" t="str">
            <v>4 YD 1X WK 1</v>
          </cell>
        </row>
        <row r="8404">
          <cell r="H8404" t="str">
            <v>FL006.0Y1W001</v>
          </cell>
          <cell r="I8404" t="str">
            <v>6 YD 1X WK 1</v>
          </cell>
        </row>
        <row r="8405">
          <cell r="H8405" t="str">
            <v>FL006.0Y2W001</v>
          </cell>
          <cell r="I8405" t="str">
            <v>6 YD 2X WK 1</v>
          </cell>
        </row>
        <row r="8406">
          <cell r="H8406" t="str">
            <v>FL006.0Y3W001</v>
          </cell>
          <cell r="I8406" t="str">
            <v>6 YD 3X WK 1</v>
          </cell>
        </row>
        <row r="8407">
          <cell r="H8407" t="str">
            <v>SL065.0G1W001NORECC</v>
          </cell>
          <cell r="I8407" t="str">
            <v xml:space="preserve">65 GL 1X WK NO RECY COMM </v>
          </cell>
        </row>
        <row r="8408">
          <cell r="H8408" t="str">
            <v>SL065.0G1W001WRECC</v>
          </cell>
          <cell r="I8408" t="str">
            <v>65 GL 1X WK W/RECY COMM 1</v>
          </cell>
        </row>
        <row r="8409">
          <cell r="H8409" t="str">
            <v>SL095.0G1W001NORECC</v>
          </cell>
          <cell r="I8409" t="str">
            <v xml:space="preserve">95 GL 1X WK NO RECY COMM </v>
          </cell>
        </row>
        <row r="8410">
          <cell r="H8410" t="str">
            <v>EXTRA-COMM</v>
          </cell>
          <cell r="I8410" t="str">
            <v>EXTRA CAN, BAG, BOX - COM</v>
          </cell>
        </row>
        <row r="8411">
          <cell r="H8411" t="str">
            <v>EXTRAYDG-COM</v>
          </cell>
          <cell r="I8411" t="str">
            <v>EXTRA YARDAGE - COMM</v>
          </cell>
        </row>
        <row r="8412">
          <cell r="H8412" t="str">
            <v>FL002.0Y1W001BCMGL</v>
          </cell>
          <cell r="I8412" t="str">
            <v>2 YD 1X WK BUS CMGL 1</v>
          </cell>
        </row>
        <row r="8413">
          <cell r="H8413" t="str">
            <v>FL002.0Y1W001BOCC</v>
          </cell>
          <cell r="I8413" t="str">
            <v>2 YD 1X WK BUS OCC 1</v>
          </cell>
        </row>
        <row r="8414">
          <cell r="H8414" t="str">
            <v>FL002.0Y2W001BCMGL</v>
          </cell>
          <cell r="I8414" t="str">
            <v>2 YD 2X WK BUS CMGL 1</v>
          </cell>
        </row>
        <row r="8415">
          <cell r="H8415" t="str">
            <v>FL004.0Y2W001CMGL</v>
          </cell>
          <cell r="I8415" t="str">
            <v>4 YD 2X WK BUS CMGL 1</v>
          </cell>
        </row>
        <row r="8416">
          <cell r="H8416" t="str">
            <v>FL005.0Y1W001BOCC</v>
          </cell>
          <cell r="I8416" t="str">
            <v>5 YD 1X WK BUS OCC 1</v>
          </cell>
        </row>
        <row r="8417">
          <cell r="H8417" t="str">
            <v>FL005.0Y2W001BOCC</v>
          </cell>
          <cell r="I8417" t="str">
            <v>5 YD 2X WK BUS OCC 1</v>
          </cell>
        </row>
        <row r="8418">
          <cell r="H8418" t="str">
            <v>FL006.0Y1W001BCMGL</v>
          </cell>
          <cell r="I8418" t="str">
            <v>6 YD 1X WK BUS COMINGLE 1</v>
          </cell>
        </row>
        <row r="8419">
          <cell r="H8419" t="str">
            <v>SL096.0GEO001BCMGLOUT</v>
          </cell>
          <cell r="I8419" t="str">
            <v>96 GL EOW BUS CMGL OUT</v>
          </cell>
        </row>
        <row r="8420">
          <cell r="H8420" t="str">
            <v>CC-KOL</v>
          </cell>
          <cell r="I8420" t="str">
            <v>ONLINE PAYMENT-CC</v>
          </cell>
        </row>
        <row r="8421">
          <cell r="H8421" t="str">
            <v>CC-KOL</v>
          </cell>
          <cell r="I8421" t="str">
            <v>ONLINE PAYMENT-CC</v>
          </cell>
        </row>
        <row r="8422">
          <cell r="H8422" t="str">
            <v>CCREF-KOL</v>
          </cell>
          <cell r="I8422" t="str">
            <v>CREDIT CARD REFUND</v>
          </cell>
        </row>
        <row r="8423">
          <cell r="H8423" t="str">
            <v>PAY</v>
          </cell>
          <cell r="I8423" t="str">
            <v>PAYMENT THANK YOU</v>
          </cell>
        </row>
        <row r="8424">
          <cell r="H8424" t="str">
            <v>PAY-KOL</v>
          </cell>
          <cell r="I8424" t="str">
            <v>PAYMENT-THANK YOU - OL</v>
          </cell>
        </row>
        <row r="8425">
          <cell r="H8425" t="str">
            <v>PAY-NATL</v>
          </cell>
          <cell r="I8425" t="str">
            <v>PAYMENT THANK YOU</v>
          </cell>
        </row>
        <row r="8426">
          <cell r="H8426" t="str">
            <v>PAYEFT</v>
          </cell>
          <cell r="I8426" t="str">
            <v>EFT PAYMENT</v>
          </cell>
        </row>
        <row r="8427">
          <cell r="H8427" t="str">
            <v>PAYUSBL</v>
          </cell>
          <cell r="I8427" t="str">
            <v>PAYMENT THANK YOU</v>
          </cell>
        </row>
        <row r="8428">
          <cell r="H8428" t="str">
            <v>BULKY-RES</v>
          </cell>
          <cell r="I8428" t="str">
            <v>BULKY ITEM PICK UP - RES</v>
          </cell>
        </row>
        <row r="8429">
          <cell r="H8429" t="str">
            <v>OW-RES</v>
          </cell>
          <cell r="I8429" t="str">
            <v>OVERFILL / OVERWEIGHT CAN</v>
          </cell>
        </row>
        <row r="8430">
          <cell r="H8430" t="str">
            <v>LIDRO</v>
          </cell>
          <cell r="I8430" t="str">
            <v>LID CHARGE - RO</v>
          </cell>
        </row>
        <row r="8431">
          <cell r="H8431" t="str">
            <v>RENT20MO-RO</v>
          </cell>
          <cell r="I8431" t="str">
            <v>RENTAL FEE 20 YD MONTHLY</v>
          </cell>
        </row>
        <row r="8432">
          <cell r="H8432" t="str">
            <v>RENT30MO-RO</v>
          </cell>
          <cell r="I8432" t="str">
            <v>RENTAL FEE 30 YD MONTHLY</v>
          </cell>
        </row>
        <row r="8433">
          <cell r="H8433" t="str">
            <v>RENT40MO-RO</v>
          </cell>
          <cell r="I8433" t="str">
            <v>RENTAL FEE 40 YD MONTHLY</v>
          </cell>
        </row>
        <row r="8434">
          <cell r="H8434" t="str">
            <v>CLEAN20-RO</v>
          </cell>
          <cell r="I8434" t="str">
            <v>CLEANING FEE 20 YD - RO</v>
          </cell>
        </row>
        <row r="8435">
          <cell r="H8435" t="str">
            <v>DEL20-RO</v>
          </cell>
          <cell r="I8435" t="str">
            <v>DELIVERY FEE 20 YD - RO</v>
          </cell>
        </row>
        <row r="8436">
          <cell r="H8436" t="str">
            <v>DEL20TEMP-RO</v>
          </cell>
          <cell r="I8436" t="str">
            <v>DELIVERY FEE 20 YD TEMP -</v>
          </cell>
        </row>
        <row r="8437">
          <cell r="H8437" t="str">
            <v>DISCO-CP</v>
          </cell>
          <cell r="I8437" t="str">
            <v xml:space="preserve">COMPACTOR DISCONNECT FEE </v>
          </cell>
        </row>
        <row r="8438">
          <cell r="H8438" t="str">
            <v>DISPFEDMSW-RO</v>
          </cell>
          <cell r="I8438" t="str">
            <v xml:space="preserve">DISPOSAL FEE FEDERAL MSW </v>
          </cell>
        </row>
        <row r="8439">
          <cell r="H8439" t="str">
            <v>HAUL20-CP</v>
          </cell>
          <cell r="I8439" t="str">
            <v>COMPACTOR HAUL 20 YD - RO</v>
          </cell>
        </row>
        <row r="8440">
          <cell r="H8440" t="str">
            <v>HAUL20-RO</v>
          </cell>
          <cell r="I8440" t="str">
            <v>HAUL 20 YD - RO</v>
          </cell>
        </row>
        <row r="8441">
          <cell r="H8441" t="str">
            <v>HAUL30-RO</v>
          </cell>
          <cell r="I8441" t="str">
            <v>HAUL 30 YD - RO</v>
          </cell>
        </row>
        <row r="8442">
          <cell r="H8442" t="str">
            <v>HAUL40-RO</v>
          </cell>
          <cell r="I8442" t="str">
            <v>HAUL 40 YD - RO</v>
          </cell>
        </row>
        <row r="8443">
          <cell r="H8443" t="str">
            <v>MILE-RO</v>
          </cell>
          <cell r="I8443" t="str">
            <v>MILEAGE FEE - RO</v>
          </cell>
        </row>
        <row r="8444">
          <cell r="H8444" t="str">
            <v>COMMODITY SURCHARGE</v>
          </cell>
          <cell r="I8444" t="str">
            <v>COMMODITY SURCHARGE</v>
          </cell>
        </row>
        <row r="8445">
          <cell r="H8445" t="str">
            <v>COMMODITY SURCHARGE</v>
          </cell>
          <cell r="I8445" t="str">
            <v>COMMODITY SURCHARGE</v>
          </cell>
        </row>
        <row r="8446">
          <cell r="H8446" t="str">
            <v>FT LEWIS REFUSE TAX</v>
          </cell>
          <cell r="I8446" t="str">
            <v>3.6% WA STATE REFUSE TAX</v>
          </cell>
        </row>
        <row r="8447">
          <cell r="H8447" t="str">
            <v xml:space="preserve">PIERCE COUNTY REFUSE  </v>
          </cell>
          <cell r="I8447" t="str">
            <v>3.6% PIERCE COUNTY REFUSE</v>
          </cell>
        </row>
        <row r="8448">
          <cell r="H8448" t="str">
            <v>FT LEWIS REFUSE TAX</v>
          </cell>
          <cell r="I8448" t="str">
            <v>3.6% WA STATE REFUSE TAX</v>
          </cell>
        </row>
        <row r="8449">
          <cell r="H8449" t="str">
            <v>FT LEWIS REFUSE TAX</v>
          </cell>
          <cell r="I8449" t="str">
            <v>3.6% WA STATE REFUSE TAX</v>
          </cell>
        </row>
        <row r="8450">
          <cell r="H8450" t="str">
            <v>FT LEWIS STATE SALES TAX</v>
          </cell>
          <cell r="I8450" t="str">
            <v>9.3% WA STATE SALES TAX</v>
          </cell>
        </row>
        <row r="8451">
          <cell r="H8451" t="str">
            <v>BD</v>
          </cell>
          <cell r="I8451" t="str">
            <v>BAD DEBT WRITE OFF</v>
          </cell>
        </row>
        <row r="8452">
          <cell r="H8452" t="str">
            <v>BDR</v>
          </cell>
          <cell r="I8452" t="str">
            <v>BAD DEBT RECOVERY</v>
          </cell>
        </row>
        <row r="8453">
          <cell r="H8453" t="str">
            <v>COLLFEE</v>
          </cell>
          <cell r="I8453" t="str">
            <v>COLLECTION AGENCY FEE</v>
          </cell>
        </row>
        <row r="8454">
          <cell r="H8454" t="str">
            <v>FINCHG</v>
          </cell>
          <cell r="I8454" t="str">
            <v>LATE FEE</v>
          </cell>
        </row>
        <row r="8455">
          <cell r="H8455" t="str">
            <v>MM</v>
          </cell>
          <cell r="I8455" t="str">
            <v>ADJUST BALANCE (MM)</v>
          </cell>
        </row>
        <row r="8456">
          <cell r="H8456" t="str">
            <v>MM</v>
          </cell>
          <cell r="I8456" t="str">
            <v>ADJUST BALANCE (MM)</v>
          </cell>
        </row>
        <row r="8457">
          <cell r="H8457" t="str">
            <v>RETCK-LB</v>
          </cell>
          <cell r="I8457" t="str">
            <v>RETURNED CHECK - LOCKBOX</v>
          </cell>
        </row>
        <row r="8458">
          <cell r="H8458" t="str">
            <v>RETCKC</v>
          </cell>
          <cell r="I8458" t="str">
            <v>RETURN CHECK CHARGE</v>
          </cell>
        </row>
        <row r="8459">
          <cell r="H8459" t="str">
            <v>FINCHG</v>
          </cell>
          <cell r="I8459" t="str">
            <v>LATE FEE</v>
          </cell>
        </row>
        <row r="8460">
          <cell r="H8460" t="str">
            <v>BD</v>
          </cell>
          <cell r="I8460" t="str">
            <v>BAD DEBT WRITE OFF</v>
          </cell>
        </row>
        <row r="8461">
          <cell r="H8461" t="str">
            <v>BDR</v>
          </cell>
          <cell r="I8461" t="str">
            <v>BAD DEBT RECOVERY</v>
          </cell>
        </row>
        <row r="8462">
          <cell r="H8462" t="str">
            <v>COLLFEE</v>
          </cell>
          <cell r="I8462" t="str">
            <v>COLLECTION AGENCY FEE</v>
          </cell>
        </row>
        <row r="8463">
          <cell r="H8463" t="str">
            <v>MM</v>
          </cell>
          <cell r="I8463" t="str">
            <v>ADJUST BALANCE (MM)</v>
          </cell>
        </row>
        <row r="8464">
          <cell r="H8464" t="str">
            <v>MM</v>
          </cell>
          <cell r="I8464" t="str">
            <v>ADJUST BALANCE (MM)</v>
          </cell>
        </row>
        <row r="8465">
          <cell r="H8465" t="str">
            <v>REFUND</v>
          </cell>
          <cell r="I8465" t="str">
            <v>REFUND</v>
          </cell>
        </row>
        <row r="8466">
          <cell r="H8466" t="str">
            <v>RETCK-LB</v>
          </cell>
          <cell r="I8466" t="str">
            <v>RETURNED CHECK - LOCKBOX</v>
          </cell>
        </row>
        <row r="8467">
          <cell r="H8467" t="str">
            <v>RETCKC</v>
          </cell>
          <cell r="I8467" t="str">
            <v>RETURN CHECK CHARGE</v>
          </cell>
        </row>
        <row r="8468">
          <cell r="H8468" t="str">
            <v>FINCHG</v>
          </cell>
          <cell r="I8468" t="str">
            <v>LATE FEE</v>
          </cell>
        </row>
        <row r="8469">
          <cell r="H8469" t="str">
            <v>BD</v>
          </cell>
          <cell r="I8469" t="str">
            <v>BAD DEBT WRITE OFF</v>
          </cell>
        </row>
        <row r="8470">
          <cell r="H8470" t="str">
            <v>FINCHG</v>
          </cell>
          <cell r="I8470" t="str">
            <v>LATE FEE</v>
          </cell>
        </row>
        <row r="8471">
          <cell r="H8471" t="str">
            <v>MM</v>
          </cell>
          <cell r="I8471" t="str">
            <v>ADJUST BALANCE (MM)</v>
          </cell>
        </row>
        <row r="8472">
          <cell r="H8472" t="str">
            <v>FINCHG</v>
          </cell>
          <cell r="I8472" t="str">
            <v>LATE FEE</v>
          </cell>
        </row>
        <row r="8473">
          <cell r="H8473" t="str">
            <v>EXTRAGRAD1-COMM</v>
          </cell>
          <cell r="I8473" t="str">
            <v>EXTRAS GRADUATED 1-2 - COMM</v>
          </cell>
        </row>
        <row r="8474">
          <cell r="H8474" t="str">
            <v>ACCESS-COMM</v>
          </cell>
          <cell r="I8474" t="str">
            <v>ACCESS FEE - COMM</v>
          </cell>
        </row>
        <row r="8475">
          <cell r="H8475" t="str">
            <v>ACCESS-MF</v>
          </cell>
          <cell r="I8475" t="str">
            <v>ACCESS FEE - MF</v>
          </cell>
        </row>
        <row r="8476">
          <cell r="H8476" t="str">
            <v>DONATIONC</v>
          </cell>
          <cell r="I8476" t="str">
            <v>DONATED SERVICE COMM</v>
          </cell>
        </row>
        <row r="8477">
          <cell r="H8477" t="str">
            <v>DRIVEIN1-COMM</v>
          </cell>
          <cell r="I8477" t="str">
            <v>DRIVE IN 125-250' - COMM</v>
          </cell>
        </row>
        <row r="8478">
          <cell r="H8478" t="str">
            <v>DRIVEIN3-COMM</v>
          </cell>
          <cell r="I8478" t="str">
            <v>DRIVE IN 779-1306' - COMM</v>
          </cell>
        </row>
        <row r="8479">
          <cell r="H8479" t="str">
            <v>FL001.0Y1W001</v>
          </cell>
          <cell r="I8479" t="str">
            <v>1 YD 1X WK 1</v>
          </cell>
        </row>
        <row r="8480">
          <cell r="H8480" t="str">
            <v>FL001.0Y2W001</v>
          </cell>
          <cell r="I8480" t="str">
            <v>1 YD 2X WK 1</v>
          </cell>
        </row>
        <row r="8481">
          <cell r="H8481" t="str">
            <v>FL001.0Y3W001</v>
          </cell>
          <cell r="I8481" t="str">
            <v>1 YD 3X WK 1</v>
          </cell>
        </row>
        <row r="8482">
          <cell r="H8482" t="str">
            <v>FL001.5Y1W001</v>
          </cell>
          <cell r="I8482" t="str">
            <v>1.5 YD 1X WK 1</v>
          </cell>
        </row>
        <row r="8483">
          <cell r="H8483" t="str">
            <v>FL001.5Y2W001</v>
          </cell>
          <cell r="I8483" t="str">
            <v>1.5 YD 2X WK 1</v>
          </cell>
        </row>
        <row r="8484">
          <cell r="H8484" t="str">
            <v>FL001.5Y3W001</v>
          </cell>
          <cell r="I8484" t="str">
            <v>1.5 YD 3X WK 1</v>
          </cell>
        </row>
        <row r="8485">
          <cell r="H8485" t="str">
            <v>FL002.0Y1W001</v>
          </cell>
          <cell r="I8485" t="str">
            <v>2 YD 1X WK 1</v>
          </cell>
        </row>
        <row r="8486">
          <cell r="H8486" t="str">
            <v>FL002.0Y2W001</v>
          </cell>
          <cell r="I8486" t="str">
            <v>2 YD 2X WK 1</v>
          </cell>
        </row>
        <row r="8487">
          <cell r="H8487" t="str">
            <v>FL002.0Y3W001</v>
          </cell>
          <cell r="I8487" t="str">
            <v>2 YD 3X WK 1</v>
          </cell>
        </row>
        <row r="8488">
          <cell r="H8488" t="str">
            <v>FL002.0Y4W001</v>
          </cell>
          <cell r="I8488" t="str">
            <v>2 YD 4X WK 1</v>
          </cell>
        </row>
        <row r="8489">
          <cell r="H8489" t="str">
            <v>FL002.0Y5W001</v>
          </cell>
          <cell r="I8489" t="str">
            <v>2 YD 5X WK 1</v>
          </cell>
        </row>
        <row r="8490">
          <cell r="H8490" t="str">
            <v>FL002.0YXX001TEMPC</v>
          </cell>
          <cell r="I8490" t="str">
            <v xml:space="preserve">2 YD TEMP </v>
          </cell>
        </row>
        <row r="8491">
          <cell r="H8491" t="str">
            <v>FL003.0Y1W001</v>
          </cell>
          <cell r="I8491" t="str">
            <v>3 YD 1X WK 1</v>
          </cell>
        </row>
        <row r="8492">
          <cell r="H8492" t="str">
            <v>FL003.0Y2W001</v>
          </cell>
          <cell r="I8492" t="str">
            <v>3 YD 2X WK 1</v>
          </cell>
        </row>
        <row r="8493">
          <cell r="H8493" t="str">
            <v>FL003.0Y3W001</v>
          </cell>
          <cell r="I8493" t="str">
            <v>3 YD 3X WK 1</v>
          </cell>
        </row>
        <row r="8494">
          <cell r="H8494" t="str">
            <v>FL003.0Y5W001</v>
          </cell>
          <cell r="I8494" t="str">
            <v>3 YD 5X WK 1</v>
          </cell>
        </row>
        <row r="8495">
          <cell r="H8495" t="str">
            <v>FL004.0Y1W001</v>
          </cell>
          <cell r="I8495" t="str">
            <v>4 YD 1X WK 1</v>
          </cell>
        </row>
        <row r="8496">
          <cell r="H8496" t="str">
            <v>FL004.0Y2W001</v>
          </cell>
          <cell r="I8496" t="str">
            <v>4 YD 2X WK 1</v>
          </cell>
        </row>
        <row r="8497">
          <cell r="H8497" t="str">
            <v>FL004.0Y2W001CMP</v>
          </cell>
          <cell r="I8497" t="str">
            <v>4 YD 2X WK COMP 1</v>
          </cell>
        </row>
        <row r="8498">
          <cell r="H8498" t="str">
            <v>FL004.0Y3W001</v>
          </cell>
          <cell r="I8498" t="str">
            <v>4 YD 3X WK 1</v>
          </cell>
        </row>
        <row r="8499">
          <cell r="H8499" t="str">
            <v>FL004.0Y4W001</v>
          </cell>
          <cell r="I8499" t="str">
            <v>4 YD 4X WK 1</v>
          </cell>
        </row>
        <row r="8500">
          <cell r="H8500" t="str">
            <v>FL004.0Y5W001</v>
          </cell>
          <cell r="I8500" t="str">
            <v>4 YD 5X WK 1</v>
          </cell>
        </row>
        <row r="8501">
          <cell r="H8501" t="str">
            <v>FL006.0Y1W001</v>
          </cell>
          <cell r="I8501" t="str">
            <v>6 YD 1X WK 1</v>
          </cell>
        </row>
        <row r="8502">
          <cell r="H8502" t="str">
            <v>FL006.0Y2W001</v>
          </cell>
          <cell r="I8502" t="str">
            <v>6 YD 2X WK 1</v>
          </cell>
        </row>
        <row r="8503">
          <cell r="H8503" t="str">
            <v>FL006.0Y2W001CMP</v>
          </cell>
          <cell r="I8503" t="str">
            <v>6 YD 2X WK COMP 1</v>
          </cell>
        </row>
        <row r="8504">
          <cell r="H8504" t="str">
            <v>FL006.0Y3W001</v>
          </cell>
          <cell r="I8504" t="str">
            <v>6 YD 3X WK 1</v>
          </cell>
        </row>
        <row r="8505">
          <cell r="H8505" t="str">
            <v>FL006.0Y4W001</v>
          </cell>
          <cell r="I8505" t="str">
            <v>6 YD 4X WK 1</v>
          </cell>
        </row>
        <row r="8506">
          <cell r="H8506" t="str">
            <v>FL006.0Y5W001</v>
          </cell>
          <cell r="I8506" t="str">
            <v>6 YD 5X WK 1</v>
          </cell>
        </row>
        <row r="8507">
          <cell r="H8507" t="str">
            <v>GWCOMM</v>
          </cell>
          <cell r="I8507" t="str">
            <v>GREENWASTE SERVICE - COMM</v>
          </cell>
        </row>
        <row r="8508">
          <cell r="H8508" t="str">
            <v>RENT2TEMP-COMM</v>
          </cell>
          <cell r="I8508" t="str">
            <v>RENT 2 YD TEMP - COMM</v>
          </cell>
        </row>
        <row r="8509">
          <cell r="H8509" t="str">
            <v>RL032.0G1W001WRECC</v>
          </cell>
          <cell r="I8509" t="str">
            <v>32 GL 1X WK W/RECY COMM 1</v>
          </cell>
        </row>
        <row r="8510">
          <cell r="H8510" t="str">
            <v>ROLL-COMM</v>
          </cell>
          <cell r="I8510" t="str">
            <v>ROLL OUT CHARGE - COMM</v>
          </cell>
        </row>
        <row r="8511">
          <cell r="H8511" t="str">
            <v>SL065.0G1M001NORECC</v>
          </cell>
          <cell r="I8511" t="str">
            <v xml:space="preserve">65 GL 1X MO NO RECY COMM </v>
          </cell>
        </row>
        <row r="8512">
          <cell r="H8512" t="str">
            <v>SL065.0G1W001NORECC</v>
          </cell>
          <cell r="I8512" t="str">
            <v xml:space="preserve">65 GL 1X WK NO RECY COMM </v>
          </cell>
        </row>
        <row r="8513">
          <cell r="H8513" t="str">
            <v>SL065.0G1W001WRECC</v>
          </cell>
          <cell r="I8513" t="str">
            <v>65 GL 1X WK W/RECY COMM 1</v>
          </cell>
        </row>
        <row r="8514">
          <cell r="H8514" t="str">
            <v>SL065.0GEO001NORECC</v>
          </cell>
          <cell r="I8514" t="str">
            <v>65 GL EOW NO RECY COMM 1</v>
          </cell>
        </row>
        <row r="8515">
          <cell r="H8515" t="str">
            <v>SL065.0GEO001WRECC</v>
          </cell>
          <cell r="I8515" t="str">
            <v>65 GL EOW W/RECY COMM 1</v>
          </cell>
        </row>
        <row r="8516">
          <cell r="H8516" t="str">
            <v>SL095.0G1W001NORECC</v>
          </cell>
          <cell r="I8516" t="str">
            <v xml:space="preserve">95 GL 1X WK NO RECY COMM </v>
          </cell>
        </row>
        <row r="8517">
          <cell r="H8517" t="str">
            <v>SL095.0G1W001WRECC</v>
          </cell>
          <cell r="I8517" t="str">
            <v>95 GL 1X WK W/RECY COMM 1</v>
          </cell>
        </row>
        <row r="8518">
          <cell r="H8518" t="str">
            <v>SL095.0GEO001NORECC</v>
          </cell>
          <cell r="I8518" t="str">
            <v>95 GL EOW NO RECY COMM 1</v>
          </cell>
        </row>
        <row r="8519">
          <cell r="H8519" t="str">
            <v>SL095.0GEO001WRECC</v>
          </cell>
          <cell r="I8519" t="str">
            <v>95 GL EOW W/RECY COMM 1</v>
          </cell>
        </row>
        <row r="8520">
          <cell r="H8520" t="str">
            <v>WI1-COMM</v>
          </cell>
          <cell r="I8520" t="str">
            <v>WALK IN 6-25' - COMM</v>
          </cell>
        </row>
        <row r="8521">
          <cell r="H8521" t="str">
            <v>WI2-COMM</v>
          </cell>
          <cell r="I8521" t="str">
            <v>WALK IN 26-50' - COMM</v>
          </cell>
        </row>
        <row r="8522">
          <cell r="H8522" t="str">
            <v>BULKY-COMM</v>
          </cell>
          <cell r="I8522" t="str">
            <v>BULKY ITEM PICK UP - COMM</v>
          </cell>
        </row>
        <row r="8523">
          <cell r="H8523" t="str">
            <v>CANCOUNT-COMM</v>
          </cell>
          <cell r="I8523" t="str">
            <v>CAN COUNT - COMM</v>
          </cell>
        </row>
        <row r="8524">
          <cell r="H8524" t="str">
            <v>CLEAN1.5-COMM</v>
          </cell>
          <cell r="I8524" t="str">
            <v>CLEANING FEE 1.5 YD - COM</v>
          </cell>
        </row>
        <row r="8525">
          <cell r="H8525" t="str">
            <v>CLEAN2-COMM</v>
          </cell>
          <cell r="I8525" t="str">
            <v>CLEANING FEE 2 YD - COMM</v>
          </cell>
        </row>
        <row r="8526">
          <cell r="H8526" t="str">
            <v>CLEAN6-COMM</v>
          </cell>
          <cell r="I8526" t="str">
            <v>CLEANING FEE 6 YD - COMM</v>
          </cell>
        </row>
        <row r="8527">
          <cell r="H8527" t="str">
            <v>DEL1.5TEMP-COMM</v>
          </cell>
          <cell r="I8527" t="str">
            <v xml:space="preserve">DELIVERY FEE 1.5 YD TEMP </v>
          </cell>
        </row>
        <row r="8528">
          <cell r="H8528" t="str">
            <v>DEL2TEMP-COMM</v>
          </cell>
          <cell r="I8528" t="str">
            <v xml:space="preserve">DELIVERY FEE 2 YD TEMP - </v>
          </cell>
        </row>
        <row r="8529">
          <cell r="H8529" t="str">
            <v>DRIVEIN1-COMM</v>
          </cell>
          <cell r="I8529" t="str">
            <v>DRIVE IN 125-250' - COMM</v>
          </cell>
        </row>
        <row r="8530">
          <cell r="H8530" t="str">
            <v>EXTRA-COMM</v>
          </cell>
          <cell r="I8530" t="str">
            <v>EXTRA CAN, BAG, BOX - COM</v>
          </cell>
        </row>
        <row r="8531">
          <cell r="H8531" t="str">
            <v>EXTRAGRAD1-COMM</v>
          </cell>
          <cell r="I8531" t="str">
            <v>EXTRAS GRADUATED 1-2 - COMM</v>
          </cell>
        </row>
        <row r="8532">
          <cell r="H8532" t="str">
            <v>EXTRAGRAD2-COMM</v>
          </cell>
          <cell r="I8532" t="str">
            <v>EXTRAS GRADUATED 3+ - COMM</v>
          </cell>
        </row>
        <row r="8533">
          <cell r="H8533" t="str">
            <v>EXTRAYDG-COM</v>
          </cell>
          <cell r="I8533" t="str">
            <v>EXTRA YARDAGE - COMM</v>
          </cell>
        </row>
        <row r="8534">
          <cell r="H8534" t="str">
            <v>FL001.0Y1W001</v>
          </cell>
          <cell r="I8534" t="str">
            <v>1 YD 1X WK 1</v>
          </cell>
        </row>
        <row r="8535">
          <cell r="H8535" t="str">
            <v>FL001.5Y1W001</v>
          </cell>
          <cell r="I8535" t="str">
            <v>1.5 YD 1X WK 1</v>
          </cell>
        </row>
        <row r="8536">
          <cell r="H8536" t="str">
            <v>FL001.5YXX001TEMPC</v>
          </cell>
          <cell r="I8536" t="str">
            <v xml:space="preserve">1.5 YD TEMP </v>
          </cell>
        </row>
        <row r="8537">
          <cell r="H8537" t="str">
            <v>FL002.0YXX001TEMPC</v>
          </cell>
          <cell r="I8537" t="str">
            <v xml:space="preserve">2 YD TEMP </v>
          </cell>
        </row>
        <row r="8538">
          <cell r="H8538" t="str">
            <v>FL006.0YXX001TEMPC</v>
          </cell>
          <cell r="I8538" t="str">
            <v>6 YD TEMP 1</v>
          </cell>
        </row>
        <row r="8539">
          <cell r="H8539" t="str">
            <v>GWCOMM</v>
          </cell>
          <cell r="I8539" t="str">
            <v>GREENWASTE SERVICE - COMM</v>
          </cell>
        </row>
        <row r="8540">
          <cell r="H8540" t="str">
            <v>LCKC</v>
          </cell>
          <cell r="I8540" t="str">
            <v>LOCK CHARGE - COMM</v>
          </cell>
        </row>
        <row r="8541">
          <cell r="H8541" t="str">
            <v>REDEL-COMM</v>
          </cell>
          <cell r="I8541" t="str">
            <v>REDELIVER FEE LVL 1 - COM</v>
          </cell>
        </row>
        <row r="8542">
          <cell r="H8542" t="str">
            <v>REINSTATE-COMM</v>
          </cell>
          <cell r="I8542" t="str">
            <v>REINSTATE FEE - COMM</v>
          </cell>
        </row>
        <row r="8543">
          <cell r="H8543" t="str">
            <v>RENT1.5TEMP-COMM</v>
          </cell>
          <cell r="I8543" t="str">
            <v>RENT 1.5 YD TEMP - COMM</v>
          </cell>
        </row>
        <row r="8544">
          <cell r="H8544" t="str">
            <v>RENT2TEMP-COMM</v>
          </cell>
          <cell r="I8544" t="str">
            <v>RENT 2 YD TEMP - COMM</v>
          </cell>
        </row>
        <row r="8545">
          <cell r="H8545" t="str">
            <v>RENT6TEMP-COMM</v>
          </cell>
          <cell r="I8545" t="str">
            <v>RENT 6 YD TEMP - COMM</v>
          </cell>
        </row>
        <row r="8546">
          <cell r="H8546" t="str">
            <v>RTRNTRIP-COMM</v>
          </cell>
          <cell r="I8546" t="str">
            <v>RETURN TRIP FEE - COMM</v>
          </cell>
        </row>
        <row r="8547">
          <cell r="H8547" t="str">
            <v>SP1-COMM</v>
          </cell>
          <cell r="I8547" t="str">
            <v>SPECIAL PICK UP 1 YD - CO</v>
          </cell>
        </row>
        <row r="8548">
          <cell r="H8548" t="str">
            <v>SP1.5-COMM</v>
          </cell>
          <cell r="I8548" t="str">
            <v xml:space="preserve">SPECIAL PICK UP 1.5 YD - </v>
          </cell>
        </row>
        <row r="8549">
          <cell r="H8549" t="str">
            <v>SP2-COMM</v>
          </cell>
          <cell r="I8549" t="str">
            <v>SPECIAL PICK UP 2 YD - CO</v>
          </cell>
        </row>
        <row r="8550">
          <cell r="H8550" t="str">
            <v>SP3-COMM</v>
          </cell>
          <cell r="I8550" t="str">
            <v>SPECIAL PICK UP 3 YD - CO</v>
          </cell>
        </row>
        <row r="8551">
          <cell r="H8551" t="str">
            <v>SP4-COMM</v>
          </cell>
          <cell r="I8551" t="str">
            <v>SPECIAL PICK UP 4 YD - CO</v>
          </cell>
        </row>
        <row r="8552">
          <cell r="H8552" t="str">
            <v>SP6-COMM</v>
          </cell>
          <cell r="I8552" t="str">
            <v>SPECIAL PICK UP 6 YD - CO</v>
          </cell>
        </row>
        <row r="8553">
          <cell r="H8553" t="str">
            <v>ACCESSCREC-COMM</v>
          </cell>
          <cell r="I8553" t="str">
            <v>ACCESS FEE COMM RECY - CO</v>
          </cell>
        </row>
        <row r="8554">
          <cell r="H8554" t="str">
            <v>FL002.0Y1W001BCMGL</v>
          </cell>
          <cell r="I8554" t="str">
            <v>2 YD 1X WK BUS CMGL 1</v>
          </cell>
        </row>
        <row r="8555">
          <cell r="H8555" t="str">
            <v>FL002.0Y1W001BOCC</v>
          </cell>
          <cell r="I8555" t="str">
            <v>2 YD 1X WK BUS OCC 1</v>
          </cell>
        </row>
        <row r="8556">
          <cell r="H8556" t="str">
            <v>FL002.0Y1W001SCMGL</v>
          </cell>
          <cell r="I8556" t="str">
            <v>2 YD 1X WK SCHL CMGL 1</v>
          </cell>
        </row>
        <row r="8557">
          <cell r="H8557" t="str">
            <v>FL002.0Y1W001SOCC</v>
          </cell>
          <cell r="I8557" t="str">
            <v>2 YD 1X WK SCHOOL OCC</v>
          </cell>
        </row>
        <row r="8558">
          <cell r="H8558" t="str">
            <v>FL002.0Y2W001BCMGL</v>
          </cell>
          <cell r="I8558" t="str">
            <v>2 YD 2X WK BUS CMGL 1</v>
          </cell>
        </row>
        <row r="8559">
          <cell r="H8559" t="str">
            <v>FL002.0Y2W001BOCC</v>
          </cell>
          <cell r="I8559" t="str">
            <v>2 YD 2X WK BUS OCC 1</v>
          </cell>
        </row>
        <row r="8560">
          <cell r="H8560" t="str">
            <v>FL002.0Y2W001SOCC</v>
          </cell>
          <cell r="I8560" t="str">
            <v>2 YD 2X WK SCHOOL OCC</v>
          </cell>
        </row>
        <row r="8561">
          <cell r="H8561" t="str">
            <v>FL002.0Y3W001BOCC</v>
          </cell>
          <cell r="I8561" t="str">
            <v>2 YD 3X WK BUS OCC 1</v>
          </cell>
        </row>
        <row r="8562">
          <cell r="H8562" t="str">
            <v>FL002.0Y4W001BOCC</v>
          </cell>
          <cell r="I8562" t="str">
            <v>2 YD 4X WK BUS OCC 1</v>
          </cell>
        </row>
        <row r="8563">
          <cell r="H8563" t="str">
            <v>FL004.0Y1W001CMGL</v>
          </cell>
          <cell r="I8563" t="str">
            <v>4 YD 1X WK BUS CMGL 1</v>
          </cell>
        </row>
        <row r="8564">
          <cell r="H8564" t="str">
            <v>FL004.0Y2W001CMGL</v>
          </cell>
          <cell r="I8564" t="str">
            <v>4 YD 2X WK BUS CMGL 1</v>
          </cell>
        </row>
        <row r="8565">
          <cell r="H8565" t="str">
            <v>FL004.0Y3W001BCMGL</v>
          </cell>
          <cell r="I8565" t="str">
            <v>4 YD 3X WK BUS CMGL 1</v>
          </cell>
        </row>
        <row r="8566">
          <cell r="H8566" t="str">
            <v>FL005.0Y1W001BOCC</v>
          </cell>
          <cell r="I8566" t="str">
            <v>5 YD 1X WK BUS OCC 1</v>
          </cell>
        </row>
        <row r="8567">
          <cell r="H8567" t="str">
            <v>FL005.0Y1W001SOCC</v>
          </cell>
          <cell r="I8567" t="str">
            <v>5 YD 1X WK SCHOOL OCC</v>
          </cell>
        </row>
        <row r="8568">
          <cell r="H8568" t="str">
            <v>FL005.0Y2W001BOCC</v>
          </cell>
          <cell r="I8568" t="str">
            <v>5 YD 2X WK BUS OCC 1</v>
          </cell>
        </row>
        <row r="8569">
          <cell r="H8569" t="str">
            <v>FL005.0Y2W001SOCC</v>
          </cell>
          <cell r="I8569" t="str">
            <v>5 YD 2X WK SCHOOL OCC</v>
          </cell>
        </row>
        <row r="8570">
          <cell r="H8570" t="str">
            <v>FL005.0Y3W001BOCC</v>
          </cell>
          <cell r="I8570" t="str">
            <v>5 YD 3X WK BUS OCC 1</v>
          </cell>
        </row>
        <row r="8571">
          <cell r="H8571" t="str">
            <v>FL005.0Y4W001BOCC</v>
          </cell>
          <cell r="I8571" t="str">
            <v>5 YD 4X WK BUS OCC 1</v>
          </cell>
        </row>
        <row r="8572">
          <cell r="H8572" t="str">
            <v>FL005.0Y5W001BOCC</v>
          </cell>
          <cell r="I8572" t="str">
            <v>5 YD 5X WK BUS OCC 1</v>
          </cell>
        </row>
        <row r="8573">
          <cell r="H8573" t="str">
            <v>FL006.0Y1W001BCMGL</v>
          </cell>
          <cell r="I8573" t="str">
            <v>6 YD 1X WK BUS COMINGLE 1</v>
          </cell>
        </row>
        <row r="8574">
          <cell r="H8574" t="str">
            <v>FL006.0Y2W001BCMGL</v>
          </cell>
          <cell r="I8574" t="str">
            <v>6 YD 2X WK BUS COMINGLE 1</v>
          </cell>
        </row>
        <row r="8575">
          <cell r="H8575" t="str">
            <v>FL006.0Y3W001BCMGL</v>
          </cell>
          <cell r="I8575" t="str">
            <v>6 YD 3X WK BUS CMGL 1</v>
          </cell>
        </row>
        <row r="8576">
          <cell r="H8576" t="str">
            <v>FL006.0Y4W001BCMGL</v>
          </cell>
          <cell r="I8576" t="str">
            <v>6 YD 4X WK BUS CMGL 1</v>
          </cell>
        </row>
        <row r="8577">
          <cell r="H8577" t="str">
            <v>MFNBINS</v>
          </cell>
          <cell r="I8577" t="str">
            <v>MULTI-FAMILY REC UNIT N/B</v>
          </cell>
        </row>
        <row r="8578">
          <cell r="H8578" t="str">
            <v>MFWBINS</v>
          </cell>
          <cell r="I8578" t="str">
            <v>MULTI-FAMILY REC UNIT W/B</v>
          </cell>
        </row>
        <row r="8579">
          <cell r="H8579" t="str">
            <v>RENTRECCNT-COMM</v>
          </cell>
          <cell r="I8579" t="str">
            <v>RENTAL FEE RECYCLE CONTAI</v>
          </cell>
        </row>
        <row r="8580">
          <cell r="H8580" t="str">
            <v>ROLL-REC</v>
          </cell>
          <cell r="I8580" t="str">
            <v>ROLL OUT CHARGE - RECYCLI</v>
          </cell>
        </row>
        <row r="8581">
          <cell r="H8581" t="str">
            <v>SL064.0G1W001BCMGLOUT</v>
          </cell>
          <cell r="I8581" t="str">
            <v>64 GL WKLY BUS CMGL OUT</v>
          </cell>
        </row>
        <row r="8582">
          <cell r="H8582" t="str">
            <v>SL064.0GEO001BCMGLOUT</v>
          </cell>
          <cell r="I8582" t="str">
            <v>64 GL EOW BUS CMGL OUT</v>
          </cell>
        </row>
        <row r="8583">
          <cell r="H8583" t="str">
            <v>SL096.0G1M001BCMGLOUT</v>
          </cell>
          <cell r="I8583" t="str">
            <v>96 GL MTHLY BUS CMGL OUT</v>
          </cell>
        </row>
        <row r="8584">
          <cell r="H8584" t="str">
            <v>SL096.0G1W001BCMGLIN</v>
          </cell>
          <cell r="I8584" t="str">
            <v>96 GL WKLY BUS CMGL IN</v>
          </cell>
        </row>
        <row r="8585">
          <cell r="H8585" t="str">
            <v>SL096.0G1W001BCMGLOUT</v>
          </cell>
          <cell r="I8585" t="str">
            <v>96 GL WKLY BUS CMGL OUT</v>
          </cell>
        </row>
        <row r="8586">
          <cell r="H8586" t="str">
            <v>SL096.0G1W001SCMGLOUT</v>
          </cell>
          <cell r="I8586" t="str">
            <v>96 GL WKLY SCHL CMGL OUT</v>
          </cell>
        </row>
        <row r="8587">
          <cell r="H8587" t="str">
            <v>SL096.0GEO001BCMGLIN</v>
          </cell>
          <cell r="I8587" t="str">
            <v>96 GL EOW BUS CMGL IN</v>
          </cell>
        </row>
        <row r="8588">
          <cell r="H8588" t="str">
            <v>SL096.0GEO001BCMGLOUT</v>
          </cell>
          <cell r="I8588" t="str">
            <v>96 GL EOW BUS CMGL OUT</v>
          </cell>
        </row>
        <row r="8589">
          <cell r="H8589" t="str">
            <v>SL096.0GEO001SCMGLOUT</v>
          </cell>
          <cell r="I8589" t="str">
            <v>96 GL EOW SCHL CMGL OUT</v>
          </cell>
        </row>
        <row r="8590">
          <cell r="H8590" t="str">
            <v>MFWBINS</v>
          </cell>
          <cell r="I8590" t="str">
            <v>MULTI-FAMILY REC UNIT W/B</v>
          </cell>
        </row>
        <row r="8591">
          <cell r="H8591" t="str">
            <v>CC-KOL</v>
          </cell>
          <cell r="I8591" t="str">
            <v>ONLINE PAYMENT-CC</v>
          </cell>
        </row>
        <row r="8592">
          <cell r="H8592" t="str">
            <v>CCREF-KOL</v>
          </cell>
          <cell r="I8592" t="str">
            <v>CREDIT CARD REFUND</v>
          </cell>
        </row>
        <row r="8593">
          <cell r="H8593" t="str">
            <v>PAY</v>
          </cell>
          <cell r="I8593" t="str">
            <v>PAYMENT THANK YOU</v>
          </cell>
        </row>
        <row r="8594">
          <cell r="H8594" t="str">
            <v>PAY-CFREE</v>
          </cell>
          <cell r="I8594" t="str">
            <v>CHECKFREE PAYMENT</v>
          </cell>
        </row>
        <row r="8595">
          <cell r="H8595" t="str">
            <v>PAY-KOL</v>
          </cell>
          <cell r="I8595" t="str">
            <v>PAYMENT-THANK YOU - OL</v>
          </cell>
        </row>
        <row r="8596">
          <cell r="H8596" t="str">
            <v>PAY-ORCC</v>
          </cell>
          <cell r="I8596" t="str">
            <v>ORCC PAYMENT</v>
          </cell>
        </row>
        <row r="8597">
          <cell r="H8597" t="str">
            <v>PAY-RPPS</v>
          </cell>
          <cell r="I8597" t="str">
            <v>RPPS MASTERCARD PAYMENT</v>
          </cell>
        </row>
        <row r="8598">
          <cell r="H8598" t="str">
            <v>PAYAD</v>
          </cell>
          <cell r="I8598" t="str">
            <v>ADJUST PAYMENT AD</v>
          </cell>
        </row>
        <row r="8599">
          <cell r="H8599" t="str">
            <v>PAYMET</v>
          </cell>
          <cell r="I8599" t="str">
            <v>METAVANTE ONLINE PAYMENT</v>
          </cell>
        </row>
        <row r="8600">
          <cell r="H8600" t="str">
            <v>PAYUSBL</v>
          </cell>
          <cell r="I8600" t="str">
            <v>PAYMENT THANK YOU</v>
          </cell>
        </row>
        <row r="8601">
          <cell r="H8601" t="str">
            <v>RET-KOL</v>
          </cell>
          <cell r="I8601" t="str">
            <v>ONLINE PAYMENT RETURN</v>
          </cell>
        </row>
        <row r="8602">
          <cell r="H8602" t="str">
            <v>CC-KOL</v>
          </cell>
          <cell r="I8602" t="str">
            <v>ONLINE PAYMENT-CC</v>
          </cell>
        </row>
        <row r="8603">
          <cell r="H8603" t="str">
            <v>PAY</v>
          </cell>
          <cell r="I8603" t="str">
            <v>PAYMENT THANK YOU</v>
          </cell>
        </row>
        <row r="8604">
          <cell r="H8604" t="str">
            <v>PAY-CFREE</v>
          </cell>
          <cell r="I8604" t="str">
            <v>CHECKFREE PAYMENT</v>
          </cell>
        </row>
        <row r="8605">
          <cell r="H8605" t="str">
            <v>PAY-KOL</v>
          </cell>
          <cell r="I8605" t="str">
            <v>PAYMENT-THANK YOU - OL</v>
          </cell>
        </row>
        <row r="8606">
          <cell r="H8606" t="str">
            <v>PAY-ORCC</v>
          </cell>
          <cell r="I8606" t="str">
            <v>ORCC PAYMENT</v>
          </cell>
        </row>
        <row r="8607">
          <cell r="H8607" t="str">
            <v>PAY-RPPS</v>
          </cell>
          <cell r="I8607" t="str">
            <v>RPPS MASTERCARD PAYMENT</v>
          </cell>
        </row>
        <row r="8608">
          <cell r="H8608" t="str">
            <v>PAYMET</v>
          </cell>
          <cell r="I8608" t="str">
            <v>METAVANTE ONLINE PAYMENT</v>
          </cell>
        </row>
        <row r="8609">
          <cell r="H8609" t="str">
            <v>PAYUSBL</v>
          </cell>
          <cell r="I8609" t="str">
            <v>PAYMENT THANK YOU</v>
          </cell>
        </row>
        <row r="8610">
          <cell r="H8610" t="str">
            <v>RET-KOL</v>
          </cell>
          <cell r="I8610" t="str">
            <v>ONLINE PAYMENT RETURN</v>
          </cell>
        </row>
        <row r="8611">
          <cell r="H8611" t="str">
            <v>CC-KOL</v>
          </cell>
          <cell r="I8611" t="str">
            <v>ONLINE PAYMENT-CC</v>
          </cell>
        </row>
        <row r="8612">
          <cell r="H8612" t="str">
            <v>CCREF-KOL</v>
          </cell>
          <cell r="I8612" t="str">
            <v>CREDIT CARD REFUND</v>
          </cell>
        </row>
        <row r="8613">
          <cell r="H8613" t="str">
            <v>PAY</v>
          </cell>
          <cell r="I8613" t="str">
            <v>PAYMENT THANK YOU</v>
          </cell>
        </row>
        <row r="8614">
          <cell r="H8614" t="str">
            <v>PAY-CFREE</v>
          </cell>
          <cell r="I8614" t="str">
            <v>CHECKFREE PAYMENT</v>
          </cell>
        </row>
        <row r="8615">
          <cell r="H8615" t="str">
            <v>PAY-KOL</v>
          </cell>
          <cell r="I8615" t="str">
            <v>PAYMENT-THANK YOU - OL</v>
          </cell>
        </row>
        <row r="8616">
          <cell r="H8616" t="str">
            <v>PAY-NATL</v>
          </cell>
          <cell r="I8616" t="str">
            <v>PAYMENT THANK YOU</v>
          </cell>
        </row>
        <row r="8617">
          <cell r="H8617" t="str">
            <v>PAY-OAK</v>
          </cell>
          <cell r="I8617" t="str">
            <v>OAKLEAF PAYMENT</v>
          </cell>
        </row>
        <row r="8618">
          <cell r="H8618" t="str">
            <v>PAY-ORCC</v>
          </cell>
          <cell r="I8618" t="str">
            <v>ORCC PAYMENT</v>
          </cell>
        </row>
        <row r="8619">
          <cell r="H8619" t="str">
            <v>PAY-RPPS</v>
          </cell>
          <cell r="I8619" t="str">
            <v>RPPS MASTERCARD PAYMENT</v>
          </cell>
        </row>
        <row r="8620">
          <cell r="H8620" t="str">
            <v>PAYAD</v>
          </cell>
          <cell r="I8620" t="str">
            <v>ADJUST PAYMENT AD</v>
          </cell>
        </row>
        <row r="8621">
          <cell r="H8621" t="str">
            <v>PAYEFT</v>
          </cell>
          <cell r="I8621" t="str">
            <v>EFT PAYMENT</v>
          </cell>
        </row>
        <row r="8622">
          <cell r="H8622" t="str">
            <v>PAYICLRI</v>
          </cell>
          <cell r="I8622" t="str">
            <v>PAYMENT THANK YOU</v>
          </cell>
        </row>
        <row r="8623">
          <cell r="H8623" t="str">
            <v>PAYICT</v>
          </cell>
          <cell r="I8623" t="str">
            <v>I/C PAYMENT THANK YOU</v>
          </cell>
        </row>
        <row r="8624">
          <cell r="H8624" t="str">
            <v>PAYMET</v>
          </cell>
          <cell r="I8624" t="str">
            <v>METAVANTE ONLINE PAYMENT</v>
          </cell>
        </row>
        <row r="8625">
          <cell r="H8625" t="str">
            <v>PAYUSBL</v>
          </cell>
          <cell r="I8625" t="str">
            <v>PAYMENT THANK YOU</v>
          </cell>
        </row>
        <row r="8626">
          <cell r="H8626" t="str">
            <v>RET-KOL</v>
          </cell>
          <cell r="I8626" t="str">
            <v>ONLINE PAYMENT RETURN</v>
          </cell>
        </row>
        <row r="8627">
          <cell r="H8627" t="str">
            <v>DRIVEIN-RES</v>
          </cell>
          <cell r="I8627" t="str">
            <v>DRIVE IN SERVICE - RES</v>
          </cell>
        </row>
        <row r="8628">
          <cell r="H8628" t="str">
            <v>GWRES</v>
          </cell>
          <cell r="I8628" t="str">
            <v>GREENWASTE SERVICE - RES</v>
          </cell>
        </row>
        <row r="8629">
          <cell r="H8629" t="str">
            <v>RECBINONLYR</v>
          </cell>
          <cell r="I8629" t="str">
            <v>RECYCLE SERVICE ONLY</v>
          </cell>
        </row>
        <row r="8630">
          <cell r="H8630" t="str">
            <v>RECPROGADJ-RES</v>
          </cell>
          <cell r="I8630" t="str">
            <v>RECYCLING PROGRAM ADJUSTM</v>
          </cell>
        </row>
        <row r="8631">
          <cell r="H8631" t="str">
            <v>RECVALRES</v>
          </cell>
          <cell r="I8631" t="str">
            <v>RECYCLABLES VALUE - RES</v>
          </cell>
        </row>
        <row r="8632">
          <cell r="H8632" t="str">
            <v>SL035.0G1M001WREC</v>
          </cell>
          <cell r="I8632" t="str">
            <v>35 GL 1X MO W/RECY 1</v>
          </cell>
        </row>
        <row r="8633">
          <cell r="H8633" t="str">
            <v>SL035.0G1W001WREC</v>
          </cell>
          <cell r="I8633" t="str">
            <v>35 GL 1X WK W/ RECY 1</v>
          </cell>
        </row>
        <row r="8634">
          <cell r="H8634" t="str">
            <v>SL065.0G1M001WREC</v>
          </cell>
          <cell r="I8634" t="str">
            <v>65 GL 1X MO W/RECY 1</v>
          </cell>
        </row>
        <row r="8635">
          <cell r="H8635" t="str">
            <v>SL065.0G1W001SPCLWREC</v>
          </cell>
          <cell r="I8635" t="str">
            <v>65 GL 1X WK S/D W/REC 1</v>
          </cell>
        </row>
        <row r="8636">
          <cell r="H8636" t="str">
            <v>SL065.0G1W001WREC</v>
          </cell>
          <cell r="I8636" t="str">
            <v>65 GL 1X WK W/RECY 1</v>
          </cell>
        </row>
        <row r="8637">
          <cell r="H8637" t="str">
            <v>SL065.0GEO001SPCLWREC</v>
          </cell>
          <cell r="I8637" t="str">
            <v>65 GL EOW S/D W/RECY 1</v>
          </cell>
        </row>
        <row r="8638">
          <cell r="H8638" t="str">
            <v>SL065.0GEO001WREC</v>
          </cell>
          <cell r="I8638" t="str">
            <v>65 GL EOW W/RECY 1</v>
          </cell>
        </row>
        <row r="8639">
          <cell r="H8639" t="str">
            <v>SL095.0G1W001WREC</v>
          </cell>
          <cell r="I8639" t="str">
            <v>95 GL 1X WK W/RECY 1</v>
          </cell>
        </row>
        <row r="8640">
          <cell r="H8640" t="str">
            <v>SL095.0GEO001WREC</v>
          </cell>
          <cell r="I8640" t="str">
            <v>95 GL EOW W/RECY 1</v>
          </cell>
        </row>
        <row r="8641">
          <cell r="H8641" t="str">
            <v>WI2-RES</v>
          </cell>
          <cell r="I8641" t="str">
            <v>WALK IN 26-50' - RES</v>
          </cell>
        </row>
        <row r="8642">
          <cell r="H8642" t="str">
            <v>EP96GWC-RES</v>
          </cell>
          <cell r="I8642" t="str">
            <v>EXTRA PICK UP 96 GW - RES</v>
          </cell>
        </row>
        <row r="8643">
          <cell r="H8643" t="str">
            <v>EXTRA95-RES</v>
          </cell>
          <cell r="I8643" t="str">
            <v>EXTRA 95 GL RES</v>
          </cell>
        </row>
        <row r="8644">
          <cell r="H8644" t="str">
            <v>EXTRAGRAD1-RES</v>
          </cell>
          <cell r="I8644" t="str">
            <v>EXTRAS GRADUATED 1-2 - RES</v>
          </cell>
        </row>
        <row r="8645">
          <cell r="H8645" t="str">
            <v>EXTRAGRAD2-RES</v>
          </cell>
          <cell r="I8645" t="str">
            <v>EXTRAS GRADUATED 3+ - RES</v>
          </cell>
        </row>
        <row r="8646">
          <cell r="H8646" t="str">
            <v>EXTRAGWC-RES</v>
          </cell>
          <cell r="I8646" t="str">
            <v>EXTRA GREENWASTE FEE - RE</v>
          </cell>
        </row>
        <row r="8647">
          <cell r="H8647" t="str">
            <v>GWRES</v>
          </cell>
          <cell r="I8647" t="str">
            <v>GREENWASTE SERVICE - RES</v>
          </cell>
        </row>
        <row r="8648">
          <cell r="H8648" t="str">
            <v>OC-RES</v>
          </cell>
          <cell r="I8648" t="str">
            <v>ON CALL SERVICE - RES</v>
          </cell>
        </row>
        <row r="8649">
          <cell r="H8649" t="str">
            <v>OW-RES</v>
          </cell>
          <cell r="I8649" t="str">
            <v>OVERFILL / OVERWEIGHT CAN</v>
          </cell>
        </row>
        <row r="8650">
          <cell r="H8650" t="str">
            <v>RECBINONLYR</v>
          </cell>
          <cell r="I8650" t="str">
            <v>RECYCLE SERVICE ONLY</v>
          </cell>
        </row>
        <row r="8651">
          <cell r="H8651" t="str">
            <v>REINSTATE-RES</v>
          </cell>
          <cell r="I8651" t="str">
            <v>REINSTATE FEE - RES</v>
          </cell>
        </row>
        <row r="8652">
          <cell r="H8652" t="str">
            <v>RTRNCART65-RES</v>
          </cell>
          <cell r="I8652" t="str">
            <v>RETURN TRIP 65 GL - RES</v>
          </cell>
        </row>
        <row r="8653">
          <cell r="H8653" t="str">
            <v>RTRNCART95-RES</v>
          </cell>
          <cell r="I8653" t="str">
            <v>RETURN TRIP 95 GL - RES</v>
          </cell>
        </row>
        <row r="8654">
          <cell r="H8654" t="str">
            <v>SL065.0G1M001WREC</v>
          </cell>
          <cell r="I8654" t="str">
            <v>65 GL 1X MO W/RECY 1</v>
          </cell>
        </row>
        <row r="8655">
          <cell r="H8655" t="str">
            <v>SL065.0G1W001WREC</v>
          </cell>
          <cell r="I8655" t="str">
            <v>65 GL 1X WK W/RECY 1</v>
          </cell>
        </row>
        <row r="8656">
          <cell r="H8656" t="str">
            <v>SL065.0GEO001WREC</v>
          </cell>
          <cell r="I8656" t="str">
            <v>65 GL EOW W/RECY 1</v>
          </cell>
        </row>
        <row r="8657">
          <cell r="H8657" t="str">
            <v>SL095.0G1W001WREC</v>
          </cell>
          <cell r="I8657" t="str">
            <v>95 GL 1X WK W/RECY 1</v>
          </cell>
        </row>
        <row r="8658">
          <cell r="H8658" t="str">
            <v>SPGRAD1-RES</v>
          </cell>
          <cell r="I8658" t="str">
            <v>SPECIAL GRADUATED 1-2 - R</v>
          </cell>
        </row>
        <row r="8659">
          <cell r="H8659" t="str">
            <v>SPGRAD2-RES</v>
          </cell>
          <cell r="I8659" t="str">
            <v>SPECIAL GRADUATED 3+ - RE</v>
          </cell>
        </row>
        <row r="8660">
          <cell r="H8660" t="str">
            <v>ACCESS-RES</v>
          </cell>
          <cell r="I8660" t="str">
            <v>ACCESS FEE - RES</v>
          </cell>
        </row>
        <row r="8661">
          <cell r="H8661" t="str">
            <v>DRIVEIN-RES</v>
          </cell>
          <cell r="I8661" t="str">
            <v>DRIVE IN SERVICE - RES</v>
          </cell>
        </row>
        <row r="8662">
          <cell r="H8662" t="str">
            <v>DRIVEIN1-RES</v>
          </cell>
          <cell r="I8662" t="str">
            <v>DRIVE IN 1 - RES</v>
          </cell>
        </row>
        <row r="8663">
          <cell r="H8663" t="str">
            <v>DRIVEIN2-RES</v>
          </cell>
          <cell r="I8663" t="str">
            <v>DRIVE IN 2 - RES</v>
          </cell>
        </row>
        <row r="8664">
          <cell r="H8664" t="str">
            <v>DRIVEIN4-RES</v>
          </cell>
          <cell r="I8664" t="str">
            <v>DRIVE IN 4 - RES</v>
          </cell>
        </row>
        <row r="8665">
          <cell r="H8665" t="str">
            <v>EMPLOYEER</v>
          </cell>
          <cell r="I8665" t="str">
            <v>EMPLOYEE SERVICE RES</v>
          </cell>
        </row>
        <row r="8666">
          <cell r="H8666" t="str">
            <v>GWRES</v>
          </cell>
          <cell r="I8666" t="str">
            <v>GREENWASTE SERVICE - RES</v>
          </cell>
        </row>
        <row r="8667">
          <cell r="H8667" t="str">
            <v>GWSPCL-RES</v>
          </cell>
          <cell r="I8667" t="str">
            <v>GREENWASTE SEN/DIS - RES</v>
          </cell>
        </row>
        <row r="8668">
          <cell r="H8668" t="str">
            <v>RECBINONLYR</v>
          </cell>
          <cell r="I8668" t="str">
            <v>RECYCLE SERVICE ONLY</v>
          </cell>
        </row>
        <row r="8669">
          <cell r="H8669" t="str">
            <v>RECPROGADJ-RES</v>
          </cell>
          <cell r="I8669" t="str">
            <v>RECYCLING PROGRAM ADJUSTM</v>
          </cell>
        </row>
        <row r="8670">
          <cell r="H8670" t="str">
            <v>RECVALRES</v>
          </cell>
          <cell r="I8670" t="str">
            <v>RECYCLABLES VALUE - RES</v>
          </cell>
        </row>
        <row r="8671">
          <cell r="H8671" t="str">
            <v>RL020.0G1W001</v>
          </cell>
          <cell r="I8671" t="str">
            <v>20 GL 1X WK 1</v>
          </cell>
        </row>
        <row r="8672">
          <cell r="H8672" t="str">
            <v>RL032.0G1M001WRECSPCL</v>
          </cell>
          <cell r="I8672" t="str">
            <v>32 GL 1X MO S/D W/RECY</v>
          </cell>
        </row>
        <row r="8673">
          <cell r="H8673" t="str">
            <v>SL032.0G1W001WREC</v>
          </cell>
          <cell r="I8673" t="str">
            <v>32 GL 1X WK W/RECY 1</v>
          </cell>
        </row>
        <row r="8674">
          <cell r="H8674" t="str">
            <v>SL035.0G1M001WREC</v>
          </cell>
          <cell r="I8674" t="str">
            <v>35 GL 1X MO W/RECY 1</v>
          </cell>
        </row>
        <row r="8675">
          <cell r="H8675" t="str">
            <v>SL035.0G1W001NOREC</v>
          </cell>
          <cell r="I8675" t="str">
            <v>35 GL 1X WK NO RECY 1</v>
          </cell>
        </row>
        <row r="8676">
          <cell r="H8676" t="str">
            <v>SL035.0G1W001WREC</v>
          </cell>
          <cell r="I8676" t="str">
            <v>35 GL 1X WK W/ RECY 1</v>
          </cell>
        </row>
        <row r="8677">
          <cell r="H8677" t="str">
            <v>SL065.0G1M001NOREC</v>
          </cell>
          <cell r="I8677" t="str">
            <v>65 GL 1X MO NO RECY 1</v>
          </cell>
        </row>
        <row r="8678">
          <cell r="H8678" t="str">
            <v>SL065.0G1M001SPCLNOREC</v>
          </cell>
          <cell r="I8678" t="str">
            <v>65 GL 1X MO S/D NO REC 1</v>
          </cell>
        </row>
        <row r="8679">
          <cell r="H8679" t="str">
            <v>SL065.0G1M001WREC</v>
          </cell>
          <cell r="I8679" t="str">
            <v>65 GL 1X MO W/RECY 1</v>
          </cell>
        </row>
        <row r="8680">
          <cell r="H8680" t="str">
            <v>SL065.0G1M001WRECSPCL</v>
          </cell>
          <cell r="I8680" t="str">
            <v>65 GL 1X MO W/RECY S/D 1</v>
          </cell>
        </row>
        <row r="8681">
          <cell r="H8681" t="str">
            <v>SL065.0G1W001NOREC</v>
          </cell>
          <cell r="I8681" t="str">
            <v>65 GL 1X WK NO RECY 1</v>
          </cell>
        </row>
        <row r="8682">
          <cell r="H8682" t="str">
            <v>SL065.0G1W001SPCLWREC</v>
          </cell>
          <cell r="I8682" t="str">
            <v>65 GL 1X WK S/D W/REC 1</v>
          </cell>
        </row>
        <row r="8683">
          <cell r="H8683" t="str">
            <v>SL065.0G1W001WREC</v>
          </cell>
          <cell r="I8683" t="str">
            <v>65 GL 1X WK W/RECY 1</v>
          </cell>
        </row>
        <row r="8684">
          <cell r="H8684" t="str">
            <v>SL065.0GEO001NOREC</v>
          </cell>
          <cell r="I8684" t="str">
            <v>65 GL EOW NO RECY 1</v>
          </cell>
        </row>
        <row r="8685">
          <cell r="H8685" t="str">
            <v>SL065.0GEO001SPCLWREC</v>
          </cell>
          <cell r="I8685" t="str">
            <v>65 GL EOW S/D W/RECY 1</v>
          </cell>
        </row>
        <row r="8686">
          <cell r="H8686" t="str">
            <v>SL065.0GEO001WREC</v>
          </cell>
          <cell r="I8686" t="str">
            <v>65 GL EOW W/RECY 1</v>
          </cell>
        </row>
        <row r="8687">
          <cell r="H8687" t="str">
            <v>SL095.0G1M001WREC</v>
          </cell>
          <cell r="I8687" t="str">
            <v>95 GL 1X MO W/RECY 1</v>
          </cell>
        </row>
        <row r="8688">
          <cell r="H8688" t="str">
            <v>SL095.0G1W001NOREC</v>
          </cell>
          <cell r="I8688" t="str">
            <v>95 GL 1X WK NO RECY 1</v>
          </cell>
        </row>
        <row r="8689">
          <cell r="H8689" t="str">
            <v>SL095.0G1W001WREC</v>
          </cell>
          <cell r="I8689" t="str">
            <v>95 GL 1X WK W/RECY 1</v>
          </cell>
        </row>
        <row r="8690">
          <cell r="H8690" t="str">
            <v>SL095.0GEO001NOREC</v>
          </cell>
          <cell r="I8690" t="str">
            <v>95 GL EOW NO RECY 1</v>
          </cell>
        </row>
        <row r="8691">
          <cell r="H8691" t="str">
            <v>SL095.0GEO001SPCLWREC</v>
          </cell>
          <cell r="I8691" t="str">
            <v>95 GL EOW S/D W/RECY 1</v>
          </cell>
        </row>
        <row r="8692">
          <cell r="H8692" t="str">
            <v>SL095.0GEO001WREC</v>
          </cell>
          <cell r="I8692" t="str">
            <v>95 GL EOW W/RECY 1</v>
          </cell>
        </row>
        <row r="8693">
          <cell r="H8693" t="str">
            <v>WI1-RES</v>
          </cell>
          <cell r="I8693" t="str">
            <v>WALK IN 6-25' - RES</v>
          </cell>
        </row>
        <row r="8694">
          <cell r="H8694" t="str">
            <v>WI2-RES</v>
          </cell>
          <cell r="I8694" t="str">
            <v>WALK IN 26-50' - RES</v>
          </cell>
        </row>
        <row r="8695">
          <cell r="H8695" t="str">
            <v>BULKY-RES</v>
          </cell>
          <cell r="I8695" t="str">
            <v>BULKY ITEM PICK UP - RES</v>
          </cell>
        </row>
        <row r="8696">
          <cell r="H8696" t="str">
            <v>EP96GWC-RES</v>
          </cell>
          <cell r="I8696" t="str">
            <v>EXTRA PICK UP 96 GW - RES</v>
          </cell>
        </row>
        <row r="8697">
          <cell r="H8697" t="str">
            <v>EXTRAGRAD1-RES</v>
          </cell>
          <cell r="I8697" t="str">
            <v>EXTRAS GRADUATED 1-2 - RES</v>
          </cell>
        </row>
        <row r="8698">
          <cell r="H8698" t="str">
            <v>EXTRAGRAD2-RES</v>
          </cell>
          <cell r="I8698" t="str">
            <v>EXTRAS GRADUATED 3+ - RES</v>
          </cell>
        </row>
        <row r="8699">
          <cell r="H8699" t="str">
            <v>EXTRAGWC-RES</v>
          </cell>
          <cell r="I8699" t="str">
            <v>EXTRA GREENWASTE FEE - RE</v>
          </cell>
        </row>
        <row r="8700">
          <cell r="H8700" t="str">
            <v>GWRES</v>
          </cell>
          <cell r="I8700" t="str">
            <v>GREENWASTE SERVICE - RES</v>
          </cell>
        </row>
        <row r="8701">
          <cell r="H8701" t="str">
            <v>OC-RES</v>
          </cell>
          <cell r="I8701" t="str">
            <v>ON CALL SERVICE - RES</v>
          </cell>
        </row>
        <row r="8702">
          <cell r="H8702" t="str">
            <v>OW-RES</v>
          </cell>
          <cell r="I8702" t="str">
            <v>OVERFILL / OVERWEIGHT CAN</v>
          </cell>
        </row>
        <row r="8703">
          <cell r="H8703" t="str">
            <v>REDEL-RES</v>
          </cell>
          <cell r="I8703" t="str">
            <v>REDELIVER FEE - RES</v>
          </cell>
        </row>
        <row r="8704">
          <cell r="H8704" t="str">
            <v>REINSTATE-RES</v>
          </cell>
          <cell r="I8704" t="str">
            <v>REINSTATE FEE - RES</v>
          </cell>
        </row>
        <row r="8705">
          <cell r="H8705" t="str">
            <v>RTRNCART32-RES</v>
          </cell>
          <cell r="I8705" t="str">
            <v>RETURN TRIP 32 GL - RES</v>
          </cell>
        </row>
        <row r="8706">
          <cell r="H8706" t="str">
            <v>RTRNCART65-RES</v>
          </cell>
          <cell r="I8706" t="str">
            <v>RETURN TRIP 65 GL - RES</v>
          </cell>
        </row>
        <row r="8707">
          <cell r="H8707" t="str">
            <v>SL035.0G1W001WREC</v>
          </cell>
          <cell r="I8707" t="str">
            <v>35 GL 1X WK W/ RECY 1</v>
          </cell>
        </row>
        <row r="8708">
          <cell r="H8708" t="str">
            <v>SL065.0G1W001WREC</v>
          </cell>
          <cell r="I8708" t="str">
            <v>65 GL 1X WK W/RECY 1</v>
          </cell>
        </row>
        <row r="8709">
          <cell r="H8709" t="str">
            <v>SPGRAD1-RES</v>
          </cell>
          <cell r="I8709" t="str">
            <v>SPECIAL GRADUATED 1-2 - R</v>
          </cell>
        </row>
        <row r="8710">
          <cell r="H8710" t="str">
            <v>GWRES</v>
          </cell>
          <cell r="I8710" t="str">
            <v>GREENWASTE SERVICE - RES</v>
          </cell>
        </row>
        <row r="8711">
          <cell r="H8711" t="str">
            <v>SL095.0G1W001WREC</v>
          </cell>
          <cell r="I8711" t="str">
            <v>95 GL 1X WK W/RECY 1</v>
          </cell>
        </row>
        <row r="8712">
          <cell r="H8712" t="str">
            <v>EXTRAGRAD1-RES</v>
          </cell>
          <cell r="I8712" t="str">
            <v>EXTRAS GRADUATED 1-2 - RES</v>
          </cell>
        </row>
        <row r="8713">
          <cell r="H8713" t="str">
            <v>EXTRAGRAD2-RES</v>
          </cell>
          <cell r="I8713" t="str">
            <v>EXTRAS GRADUATED 3+ - RES</v>
          </cell>
        </row>
        <row r="8714">
          <cell r="H8714" t="str">
            <v>GWRES</v>
          </cell>
          <cell r="I8714" t="str">
            <v>GREENWASTE SERVICE - RES</v>
          </cell>
        </row>
        <row r="8715">
          <cell r="H8715" t="str">
            <v>OW-RES</v>
          </cell>
          <cell r="I8715" t="str">
            <v>OVERFILL / OVERWEIGHT CAN</v>
          </cell>
        </row>
        <row r="8716">
          <cell r="H8716" t="str">
            <v>SL095.0G1W001WREC</v>
          </cell>
          <cell r="I8716" t="str">
            <v>95 GL 1X WK W/RECY 1</v>
          </cell>
        </row>
        <row r="8717">
          <cell r="H8717" t="str">
            <v>DISCO-CP</v>
          </cell>
          <cell r="I8717" t="str">
            <v xml:space="preserve">COMPACTOR DISCONNECT FEE </v>
          </cell>
        </row>
        <row r="8718">
          <cell r="H8718" t="str">
            <v>LIDRO</v>
          </cell>
          <cell r="I8718" t="str">
            <v>LID CHARGE - RO</v>
          </cell>
        </row>
        <row r="8719">
          <cell r="H8719" t="str">
            <v>RENT15MO-RO</v>
          </cell>
          <cell r="I8719" t="str">
            <v>RENTAL FEE 15 YD MONTHLY</v>
          </cell>
        </row>
        <row r="8720">
          <cell r="H8720" t="str">
            <v>RENT20MO-RO</v>
          </cell>
          <cell r="I8720" t="str">
            <v>RENTAL FEE 20 YD MONTHLY</v>
          </cell>
        </row>
        <row r="8721">
          <cell r="H8721" t="str">
            <v>RENT30MO-RO</v>
          </cell>
          <cell r="I8721" t="str">
            <v>RENTAL FEE 30 YD MONTHLY</v>
          </cell>
        </row>
        <row r="8722">
          <cell r="H8722" t="str">
            <v>RENT40MO-RO</v>
          </cell>
          <cell r="I8722" t="str">
            <v>RENTAL FEE 40 YD MONTHLY</v>
          </cell>
        </row>
        <row r="8723">
          <cell r="H8723" t="str">
            <v>DEL10-RO</v>
          </cell>
          <cell r="I8723" t="str">
            <v>DELIVERY FEE 10 YD - RO</v>
          </cell>
        </row>
        <row r="8724">
          <cell r="H8724" t="str">
            <v>DEL20TEMP-RO</v>
          </cell>
          <cell r="I8724" t="str">
            <v>DELIVERY FEE 20 YD TEMP -</v>
          </cell>
        </row>
        <row r="8725">
          <cell r="H8725" t="str">
            <v>DEL30-RO</v>
          </cell>
          <cell r="I8725" t="str">
            <v>DELIVERY FEE 30 YD - RO</v>
          </cell>
        </row>
        <row r="8726">
          <cell r="H8726" t="str">
            <v>DEL30TEMP-RO</v>
          </cell>
          <cell r="I8726" t="str">
            <v>DELIVERY FEE 30 YD TEMP -</v>
          </cell>
        </row>
        <row r="8727">
          <cell r="H8727" t="str">
            <v>DEL40TEMP-RO</v>
          </cell>
          <cell r="I8727" t="str">
            <v>DELIVERY FEE 40 YD TEMP -</v>
          </cell>
        </row>
        <row r="8728">
          <cell r="H8728" t="str">
            <v>DISCO-CP</v>
          </cell>
          <cell r="I8728" t="str">
            <v xml:space="preserve">COMPACTOR DISCONNECT FEE </v>
          </cell>
        </row>
        <row r="8729">
          <cell r="H8729" t="str">
            <v>DISP-RO</v>
          </cell>
          <cell r="I8729" t="str">
            <v>DISPOSAL CHARGE - RO</v>
          </cell>
        </row>
        <row r="8730">
          <cell r="H8730" t="str">
            <v>DISPTRANS-RO</v>
          </cell>
          <cell r="I8730" t="str">
            <v>DISPOSAL FEE TRANSFER HAU</v>
          </cell>
        </row>
        <row r="8731">
          <cell r="H8731" t="str">
            <v>EXWGHT-RO</v>
          </cell>
          <cell r="I8731" t="str">
            <v>EXCESS WEIGHT - RO</v>
          </cell>
        </row>
        <row r="8732">
          <cell r="H8732" t="str">
            <v>FINAL20TEMP-RO</v>
          </cell>
          <cell r="I8732" t="str">
            <v>FINAL PULL 20 YD TEMP - R</v>
          </cell>
        </row>
        <row r="8733">
          <cell r="H8733" t="str">
            <v>FINAL30TEMP-RO</v>
          </cell>
          <cell r="I8733" t="str">
            <v>FINAL PULL 30 YD TEMP - R</v>
          </cell>
        </row>
        <row r="8734">
          <cell r="H8734" t="str">
            <v>FINAL40TEMP-RO</v>
          </cell>
          <cell r="I8734" t="str">
            <v>FINAL PULL 40 YD TEMP - R</v>
          </cell>
        </row>
        <row r="8735">
          <cell r="H8735" t="str">
            <v>HAUL10-CP</v>
          </cell>
          <cell r="I8735" t="str">
            <v>COMPACTOR HAUL 10 YD - RO</v>
          </cell>
        </row>
        <row r="8736">
          <cell r="H8736" t="str">
            <v>HAUL15-CP</v>
          </cell>
          <cell r="I8736" t="str">
            <v>COMPACTOR HAUL 15 YD</v>
          </cell>
        </row>
        <row r="8737">
          <cell r="H8737" t="str">
            <v>HAUL15-RO</v>
          </cell>
          <cell r="I8737" t="str">
            <v>HAUL 15 YD - RO</v>
          </cell>
        </row>
        <row r="8738">
          <cell r="H8738" t="str">
            <v>HAUL20-CP</v>
          </cell>
          <cell r="I8738" t="str">
            <v>COMPACTOR HAUL 20 YD - RO</v>
          </cell>
        </row>
        <row r="8739">
          <cell r="H8739" t="str">
            <v>HAUL20-RO</v>
          </cell>
          <cell r="I8739" t="str">
            <v>HAUL 20 YD - RO</v>
          </cell>
        </row>
        <row r="8740">
          <cell r="H8740" t="str">
            <v>HAUL20TEMP-RO</v>
          </cell>
          <cell r="I8740" t="str">
            <v>HAUL 20 YD TEMP - RO</v>
          </cell>
        </row>
        <row r="8741">
          <cell r="H8741" t="str">
            <v>HAUL25-CP</v>
          </cell>
          <cell r="I8741" t="str">
            <v>COMPACTOR HAUL 25 YD - RO</v>
          </cell>
        </row>
        <row r="8742">
          <cell r="H8742" t="str">
            <v>HAUL26-CP</v>
          </cell>
          <cell r="I8742" t="str">
            <v>COMPACTOR HAUL 26 YD - RO</v>
          </cell>
        </row>
        <row r="8743">
          <cell r="H8743" t="str">
            <v>HAUL30-CP</v>
          </cell>
          <cell r="I8743" t="str">
            <v>COMPACTOR HAUL 30 YD</v>
          </cell>
        </row>
        <row r="8744">
          <cell r="H8744" t="str">
            <v>HAUL30-RO</v>
          </cell>
          <cell r="I8744" t="str">
            <v>HAUL 30 YD - RO</v>
          </cell>
        </row>
        <row r="8745">
          <cell r="H8745" t="str">
            <v>HAUL30TEMP-RO</v>
          </cell>
          <cell r="I8745" t="str">
            <v>HAUL 30 YD TEMP - RO</v>
          </cell>
        </row>
        <row r="8746">
          <cell r="H8746" t="str">
            <v>HAUL35-CP</v>
          </cell>
          <cell r="I8746" t="str">
            <v>COMPACTOR HAUL 35 YD - RO</v>
          </cell>
        </row>
        <row r="8747">
          <cell r="H8747" t="str">
            <v>HAUL37-CP</v>
          </cell>
          <cell r="I8747" t="str">
            <v>COMPACTOR HAUL 37 YD - RO</v>
          </cell>
        </row>
        <row r="8748">
          <cell r="H8748" t="str">
            <v>HAUL40-CP</v>
          </cell>
          <cell r="I8748" t="str">
            <v>COMPACTOR HAUL 40 YD</v>
          </cell>
        </row>
        <row r="8749">
          <cell r="H8749" t="str">
            <v>HAUL40-RO</v>
          </cell>
          <cell r="I8749" t="str">
            <v>HAUL 40 YD - RO</v>
          </cell>
        </row>
        <row r="8750">
          <cell r="H8750" t="str">
            <v>HAUL40TEMP-RO</v>
          </cell>
          <cell r="I8750" t="str">
            <v>HAUL 40 YD TEMP - RO</v>
          </cell>
        </row>
        <row r="8751">
          <cell r="H8751" t="str">
            <v>LOCK-RO</v>
          </cell>
          <cell r="I8751" t="str">
            <v>LOCK CHARGE - RO</v>
          </cell>
        </row>
        <row r="8752">
          <cell r="H8752" t="str">
            <v>RELO-RO</v>
          </cell>
          <cell r="I8752" t="str">
            <v>RELOCATION FEE - RO</v>
          </cell>
        </row>
        <row r="8753">
          <cell r="H8753" t="str">
            <v>RENT20TEMP-RO</v>
          </cell>
          <cell r="I8753" t="str">
            <v>RENTAL FEE 20 YD TEMP - R</v>
          </cell>
        </row>
        <row r="8754">
          <cell r="H8754" t="str">
            <v>RENT30MO-RO</v>
          </cell>
          <cell r="I8754" t="str">
            <v>RENTAL FEE 30 YD MONTHLY</v>
          </cell>
        </row>
        <row r="8755">
          <cell r="H8755" t="str">
            <v>RENT30TEMP-RO</v>
          </cell>
          <cell r="I8755" t="str">
            <v>RENTAL FEE 30 YD TEMP - R</v>
          </cell>
        </row>
        <row r="8756">
          <cell r="H8756" t="str">
            <v>RENT40TEMP-RO</v>
          </cell>
          <cell r="I8756" t="str">
            <v>RENTAL FEE 40 YD TEMP - R</v>
          </cell>
        </row>
        <row r="8757">
          <cell r="H8757" t="str">
            <v>RTRNTRIP-RO</v>
          </cell>
          <cell r="I8757" t="str">
            <v>RETURN TRIP FEE - RO</v>
          </cell>
        </row>
        <row r="8758">
          <cell r="H8758" t="str">
            <v>DISPGLASS-RO</v>
          </cell>
          <cell r="I8758" t="str">
            <v>DISPOSAL FEE GLASS - RO</v>
          </cell>
        </row>
        <row r="8759">
          <cell r="H8759" t="str">
            <v>HAUL30-RO</v>
          </cell>
          <cell r="I8759" t="str">
            <v>HAUL 30 YD - RO</v>
          </cell>
        </row>
        <row r="8760">
          <cell r="H8760" t="str">
            <v>COMMODITY SURCHARGE</v>
          </cell>
          <cell r="I8760" t="str">
            <v>COMMODITY SURCHARGE</v>
          </cell>
        </row>
        <row r="8761">
          <cell r="H8761" t="str">
            <v>COMMODITY SURCHARGE</v>
          </cell>
          <cell r="I8761" t="str">
            <v>COMMODITY SURCHARGE</v>
          </cell>
        </row>
        <row r="8762">
          <cell r="H8762" t="str">
            <v>UNIV PLACE SURCHARGE</v>
          </cell>
          <cell r="I8762" t="str">
            <v>UNIVERSITY PLACE SURCHARGE</v>
          </cell>
        </row>
        <row r="8763">
          <cell r="H8763" t="str">
            <v>LAKEWOOD CITY ONLY</v>
          </cell>
          <cell r="I8763" t="str">
            <v>6% CITY UTILITY TAX</v>
          </cell>
        </row>
        <row r="8764">
          <cell r="H8764" t="str">
            <v>LAKEWOOD CITY UTILITY TAX</v>
          </cell>
          <cell r="I8764" t="str">
            <v>6% CITY UTILITY TAX</v>
          </cell>
        </row>
        <row r="8765">
          <cell r="H8765" t="str">
            <v>LAKEWOOD REFUSE TAX</v>
          </cell>
          <cell r="I8765" t="str">
            <v>3.6% WA STATE REFUSE TAX</v>
          </cell>
        </row>
        <row r="8766">
          <cell r="H8766" t="str">
            <v>LAKEWOOD STATE SALES TAX</v>
          </cell>
          <cell r="I8766" t="str">
            <v>9.9% WA STATE SALES TAX</v>
          </cell>
        </row>
        <row r="8767">
          <cell r="H8767" t="str">
            <v>LAKEWOOD CITY ONLY</v>
          </cell>
          <cell r="I8767" t="str">
            <v>6% CITY UTILITY TAX</v>
          </cell>
        </row>
        <row r="8768">
          <cell r="H8768" t="str">
            <v>LAKEWOOD CITY UTILITY TAX</v>
          </cell>
          <cell r="I8768" t="str">
            <v>6% CITY UTILITY TAX</v>
          </cell>
        </row>
        <row r="8769">
          <cell r="H8769" t="str">
            <v>LAKEWOOD REFUSE TAX</v>
          </cell>
          <cell r="I8769" t="str">
            <v>3.6% WA STATE REFUSE TAX</v>
          </cell>
        </row>
        <row r="8770">
          <cell r="H8770" t="str">
            <v>LAKEWOOD STATE SALES TAX</v>
          </cell>
          <cell r="I8770" t="str">
            <v>9.9% WA STATE SALES TAX</v>
          </cell>
        </row>
        <row r="8771">
          <cell r="H8771" t="str">
            <v xml:space="preserve">PIERCE COUNTY REFUSE  </v>
          </cell>
          <cell r="I8771" t="str">
            <v>3.6% PIERCE COUNTY REFUSE</v>
          </cell>
        </row>
        <row r="8772">
          <cell r="H8772" t="str">
            <v>LAKEWOOD CITY UTILITY TAX</v>
          </cell>
          <cell r="I8772" t="str">
            <v>6% CITY UTILITY TAX</v>
          </cell>
        </row>
        <row r="8773">
          <cell r="H8773" t="str">
            <v>LAKEWOOD REFUSE TAX</v>
          </cell>
          <cell r="I8773" t="str">
            <v>3.6% WA STATE REFUSE TAX</v>
          </cell>
        </row>
        <row r="8774">
          <cell r="H8774" t="str">
            <v>LAKEWOOD STATE SALES TAX</v>
          </cell>
          <cell r="I8774" t="str">
            <v>9.9% WA STATE SALES TAX</v>
          </cell>
        </row>
        <row r="8775">
          <cell r="H8775" t="str">
            <v>LAKEWOOD CITY UTILITY TAX</v>
          </cell>
          <cell r="I8775" t="str">
            <v>6% CITY UTILITY TAX</v>
          </cell>
        </row>
        <row r="8776">
          <cell r="H8776" t="str">
            <v>LAKEWOOD REFUSE TAX</v>
          </cell>
          <cell r="I8776" t="str">
            <v>3.6% WA STATE REFUSE TAX</v>
          </cell>
        </row>
        <row r="8777">
          <cell r="H8777" t="str">
            <v>LAKEWOOD CITY ONLY</v>
          </cell>
          <cell r="I8777" t="str">
            <v>6% CITY UTILITY TAX</v>
          </cell>
        </row>
        <row r="8778">
          <cell r="H8778" t="str">
            <v>LAKEWOOD CITY UTILITY TAX</v>
          </cell>
          <cell r="I8778" t="str">
            <v>6% CITY UTILITY TAX</v>
          </cell>
        </row>
        <row r="8779">
          <cell r="H8779" t="str">
            <v>LAKEWOOD REFUSE TAX</v>
          </cell>
          <cell r="I8779" t="str">
            <v>3.6% WA STATE REFUSE TAX</v>
          </cell>
        </row>
        <row r="8780">
          <cell r="H8780" t="str">
            <v>LAKEWOOD STATE SALES TAX</v>
          </cell>
          <cell r="I8780" t="str">
            <v>9.9% WA STATE SALES TAX</v>
          </cell>
        </row>
        <row r="8781">
          <cell r="H8781" t="str">
            <v>LAKEWOOD CITY ONLY</v>
          </cell>
          <cell r="I8781" t="str">
            <v>6% CITY UTILITY TAX</v>
          </cell>
        </row>
        <row r="8782">
          <cell r="H8782" t="str">
            <v>LAKEWOOD CITY UTILITY TAX</v>
          </cell>
          <cell r="I8782" t="str">
            <v>6% CITY UTILITY TAX</v>
          </cell>
        </row>
        <row r="8783">
          <cell r="H8783" t="str">
            <v>LAKEWOOD REFUSE TAX</v>
          </cell>
          <cell r="I8783" t="str">
            <v>3.6% WA STATE REFUSE TAX</v>
          </cell>
        </row>
        <row r="8784">
          <cell r="H8784" t="str">
            <v>LAKEWOOD STATE SALES TAX</v>
          </cell>
          <cell r="I8784" t="str">
            <v>9.9% WA STATE SALES TAX</v>
          </cell>
        </row>
        <row r="8785">
          <cell r="H8785" t="str">
            <v>LAKEWOOD CITY UTILITY TAX</v>
          </cell>
          <cell r="I8785" t="str">
            <v>6% CITY UTILITY TAX</v>
          </cell>
        </row>
        <row r="8786">
          <cell r="H8786" t="str">
            <v>LAKEWOOD REFUSE TAX</v>
          </cell>
          <cell r="I8786" t="str">
            <v>3.6% WA STATE REFUSE TAX</v>
          </cell>
        </row>
        <row r="8787">
          <cell r="H8787" t="str">
            <v>LAKEWOOD CITY UTILITY TAX</v>
          </cell>
          <cell r="I8787" t="str">
            <v>6% CITY UTILITY TAX</v>
          </cell>
        </row>
        <row r="8788">
          <cell r="H8788" t="str">
            <v>LAKEWOOD REFUSE TAX</v>
          </cell>
          <cell r="I8788" t="str">
            <v>3.6% WA STATE REFUSE TAX</v>
          </cell>
        </row>
        <row r="8789">
          <cell r="H8789" t="str">
            <v>LAKEWOOD STATE SALES TAX</v>
          </cell>
          <cell r="I8789" t="str">
            <v>9.9% WA STATE SALES TAX</v>
          </cell>
        </row>
        <row r="8790">
          <cell r="H8790" t="str">
            <v>BD</v>
          </cell>
          <cell r="I8790" t="str">
            <v>BAD DEBT WRITE OFF</v>
          </cell>
        </row>
        <row r="8791">
          <cell r="H8791" t="str">
            <v>BDR</v>
          </cell>
          <cell r="I8791" t="str">
            <v>BAD DEBT RECOVERY</v>
          </cell>
        </row>
        <row r="8792">
          <cell r="H8792" t="str">
            <v>COLLFEE</v>
          </cell>
          <cell r="I8792" t="str">
            <v>COLLECTION AGENCY FEE</v>
          </cell>
        </row>
        <row r="8793">
          <cell r="H8793" t="str">
            <v>FINCHG</v>
          </cell>
          <cell r="I8793" t="str">
            <v>LATE FEE</v>
          </cell>
        </row>
        <row r="8794">
          <cell r="H8794" t="str">
            <v>MM</v>
          </cell>
          <cell r="I8794" t="str">
            <v>ADJUST BALANCE (MM)</v>
          </cell>
        </row>
        <row r="8795">
          <cell r="H8795" t="str">
            <v>MM</v>
          </cell>
          <cell r="I8795" t="str">
            <v>ADJUST BALANCE (MM)</v>
          </cell>
        </row>
        <row r="8796">
          <cell r="H8796" t="str">
            <v>REFUND</v>
          </cell>
          <cell r="I8796" t="str">
            <v>REFUND</v>
          </cell>
        </row>
        <row r="8797">
          <cell r="H8797" t="str">
            <v>RETCK</v>
          </cell>
          <cell r="I8797" t="str">
            <v>RETURNED CHECK</v>
          </cell>
        </row>
        <row r="8798">
          <cell r="H8798" t="str">
            <v>RETCK-LB</v>
          </cell>
          <cell r="I8798" t="str">
            <v>RETURNED CHECK - LOCKBOX</v>
          </cell>
        </row>
        <row r="8799">
          <cell r="H8799" t="str">
            <v>RETCKC</v>
          </cell>
          <cell r="I8799" t="str">
            <v>RETURN CHECK CHARGE</v>
          </cell>
        </row>
        <row r="8800">
          <cell r="H8800" t="str">
            <v>FINCHG</v>
          </cell>
          <cell r="I8800" t="str">
            <v>LATE FEE</v>
          </cell>
        </row>
        <row r="8801">
          <cell r="H8801" t="str">
            <v>BD</v>
          </cell>
          <cell r="I8801" t="str">
            <v>BAD DEBT WRITE OFF</v>
          </cell>
        </row>
        <row r="8802">
          <cell r="H8802" t="str">
            <v>BDR</v>
          </cell>
          <cell r="I8802" t="str">
            <v>BAD DEBT RECOVERY</v>
          </cell>
        </row>
        <row r="8803">
          <cell r="H8803" t="str">
            <v>COLLFEE</v>
          </cell>
          <cell r="I8803" t="str">
            <v>COLLECTION AGENCY FEE</v>
          </cell>
        </row>
        <row r="8804">
          <cell r="H8804" t="str">
            <v>FINCHG</v>
          </cell>
          <cell r="I8804" t="str">
            <v>LATE FEE</v>
          </cell>
        </row>
        <row r="8805">
          <cell r="H8805" t="str">
            <v>MM</v>
          </cell>
          <cell r="I8805" t="str">
            <v>ADJUST BALANCE (MM)</v>
          </cell>
        </row>
        <row r="8806">
          <cell r="H8806" t="str">
            <v>MM</v>
          </cell>
          <cell r="I8806" t="str">
            <v>ADJUST BALANCE (MM)</v>
          </cell>
        </row>
        <row r="8807">
          <cell r="H8807" t="str">
            <v>REFUND</v>
          </cell>
          <cell r="I8807" t="str">
            <v>REFUND</v>
          </cell>
        </row>
        <row r="8808">
          <cell r="H8808" t="str">
            <v>RETCK</v>
          </cell>
          <cell r="I8808" t="str">
            <v>RETURNED CHECK</v>
          </cell>
        </row>
        <row r="8809">
          <cell r="H8809" t="str">
            <v>RETCK-LB</v>
          </cell>
          <cell r="I8809" t="str">
            <v>RETURNED CHECK - LOCKBOX</v>
          </cell>
        </row>
        <row r="8810">
          <cell r="H8810" t="str">
            <v>RETCKC</v>
          </cell>
          <cell r="I8810" t="str">
            <v>RETURN CHECK CHARGE</v>
          </cell>
        </row>
        <row r="8811">
          <cell r="H8811" t="str">
            <v>FINCHG</v>
          </cell>
          <cell r="I8811" t="str">
            <v>LATE FEE</v>
          </cell>
        </row>
        <row r="8812">
          <cell r="H8812" t="str">
            <v>BD</v>
          </cell>
          <cell r="I8812" t="str">
            <v>BAD DEBT WRITE OFF</v>
          </cell>
        </row>
        <row r="8813">
          <cell r="H8813" t="str">
            <v>BDR</v>
          </cell>
          <cell r="I8813" t="str">
            <v>BAD DEBT RECOVERY</v>
          </cell>
        </row>
        <row r="8814">
          <cell r="H8814" t="str">
            <v>COLLFEE</v>
          </cell>
          <cell r="I8814" t="str">
            <v>COLLECTION AGENCY FEE</v>
          </cell>
        </row>
        <row r="8815">
          <cell r="H8815" t="str">
            <v>FINCHG</v>
          </cell>
          <cell r="I8815" t="str">
            <v>LATE FEE</v>
          </cell>
        </row>
        <row r="8816">
          <cell r="H8816" t="str">
            <v>MM</v>
          </cell>
          <cell r="I8816" t="str">
            <v>ADJUST BALANCE (MM)</v>
          </cell>
        </row>
        <row r="8817">
          <cell r="H8817" t="str">
            <v>MM</v>
          </cell>
          <cell r="I8817" t="str">
            <v>ADJUST BALANCE (MM)</v>
          </cell>
        </row>
        <row r="8818">
          <cell r="H8818" t="str">
            <v>RETCK-CFREE</v>
          </cell>
          <cell r="I8818" t="str">
            <v>CHECKFREE RETURN CHECK</v>
          </cell>
        </row>
        <row r="8819">
          <cell r="H8819" t="str">
            <v>FINCHG</v>
          </cell>
          <cell r="I8819" t="str">
            <v>LATE FEE</v>
          </cell>
        </row>
        <row r="8820">
          <cell r="H8820" t="str">
            <v>ACCESS-COMM</v>
          </cell>
          <cell r="I8820" t="str">
            <v>ACCESS FEE - COMM</v>
          </cell>
        </row>
        <row r="8821">
          <cell r="H8821" t="str">
            <v>CANCOUNT-COMM</v>
          </cell>
          <cell r="I8821" t="str">
            <v>CAN COUNT - COMM</v>
          </cell>
        </row>
        <row r="8822">
          <cell r="H8822" t="str">
            <v>ACCESS-COMM</v>
          </cell>
          <cell r="I8822" t="str">
            <v>ACCESS FEE - COMM</v>
          </cell>
        </row>
        <row r="8823">
          <cell r="H8823" t="str">
            <v>CLEAN1.5-COMM</v>
          </cell>
          <cell r="I8823" t="str">
            <v>CLEANING FEE 1.5 YD - COM</v>
          </cell>
        </row>
        <row r="8824">
          <cell r="H8824" t="str">
            <v>DIST4CAN-COMM</v>
          </cell>
          <cell r="I8824" t="str">
            <v>DISTRIBUTED 4 CANS - COMM</v>
          </cell>
        </row>
        <row r="8825">
          <cell r="H8825" t="str">
            <v>DONATIONC</v>
          </cell>
          <cell r="I8825" t="str">
            <v>DONATED SERVICE COMM</v>
          </cell>
        </row>
        <row r="8826">
          <cell r="H8826" t="str">
            <v>DRIVEIN-COMM</v>
          </cell>
          <cell r="I8826" t="str">
            <v>DRIVE IN SERVICE - COMM</v>
          </cell>
        </row>
        <row r="8827">
          <cell r="H8827" t="str">
            <v>DRIVEIN1-COMM</v>
          </cell>
          <cell r="I8827" t="str">
            <v>DRIVE IN 125-250' - COMM</v>
          </cell>
        </row>
        <row r="8828">
          <cell r="H8828" t="str">
            <v>FL001.0Y1W001</v>
          </cell>
          <cell r="I8828" t="str">
            <v>1 YD 1X WK 1</v>
          </cell>
        </row>
        <row r="8829">
          <cell r="H8829" t="str">
            <v>FL001.0Y2W001</v>
          </cell>
          <cell r="I8829" t="str">
            <v>1 YD 2X WK 1</v>
          </cell>
        </row>
        <row r="8830">
          <cell r="H8830" t="str">
            <v>FL001.0Y3W001</v>
          </cell>
          <cell r="I8830" t="str">
            <v>1 YD 3X WK 1</v>
          </cell>
        </row>
        <row r="8831">
          <cell r="H8831" t="str">
            <v>FL001.0YEO001</v>
          </cell>
          <cell r="I8831" t="str">
            <v>1 YD EOW 1</v>
          </cell>
        </row>
        <row r="8832">
          <cell r="H8832" t="str">
            <v>FL001.5Y1W001</v>
          </cell>
          <cell r="I8832" t="str">
            <v>1.5 YD 1X WK 1</v>
          </cell>
        </row>
        <row r="8833">
          <cell r="H8833" t="str">
            <v>FL001.5Y2W001</v>
          </cell>
          <cell r="I8833" t="str">
            <v>1.5 YD 2X WK 1</v>
          </cell>
        </row>
        <row r="8834">
          <cell r="H8834" t="str">
            <v>FL001.5Y3W001</v>
          </cell>
          <cell r="I8834" t="str">
            <v>1.5 YD 3X WK 1</v>
          </cell>
        </row>
        <row r="8835">
          <cell r="H8835" t="str">
            <v>FL001.5YXX001TEMPC</v>
          </cell>
          <cell r="I8835" t="str">
            <v xml:space="preserve">1.5 YD TEMP </v>
          </cell>
        </row>
        <row r="8836">
          <cell r="H8836" t="str">
            <v>FL002.0Y1W001</v>
          </cell>
          <cell r="I8836" t="str">
            <v>2 YD 1X WK 1</v>
          </cell>
        </row>
        <row r="8837">
          <cell r="H8837" t="str">
            <v>FL002.0Y1W001CMP</v>
          </cell>
          <cell r="I8837" t="str">
            <v>2 YD 1X WK COMP 1</v>
          </cell>
        </row>
        <row r="8838">
          <cell r="H8838" t="str">
            <v>FL002.0Y2W001</v>
          </cell>
          <cell r="I8838" t="str">
            <v>2 YD 2X WK 1</v>
          </cell>
        </row>
        <row r="8839">
          <cell r="H8839" t="str">
            <v>FL002.0Y3W001</v>
          </cell>
          <cell r="I8839" t="str">
            <v>2 YD 3X WK 1</v>
          </cell>
        </row>
        <row r="8840">
          <cell r="H8840" t="str">
            <v>FL003.0Y1W001</v>
          </cell>
          <cell r="I8840" t="str">
            <v>3 YD 1X WK 1</v>
          </cell>
        </row>
        <row r="8841">
          <cell r="H8841" t="str">
            <v>FL003.0Y2W001</v>
          </cell>
          <cell r="I8841" t="str">
            <v>3 YD 2X WK 1</v>
          </cell>
        </row>
        <row r="8842">
          <cell r="H8842" t="str">
            <v>FL003.0Y2W001CMP</v>
          </cell>
          <cell r="I8842" t="str">
            <v>3 YD 2X WK COMP 1</v>
          </cell>
        </row>
        <row r="8843">
          <cell r="H8843" t="str">
            <v>FL003.0Y3W001</v>
          </cell>
          <cell r="I8843" t="str">
            <v>3 YD 3X WK 1</v>
          </cell>
        </row>
        <row r="8844">
          <cell r="H8844" t="str">
            <v>FL003.0Y4W001</v>
          </cell>
          <cell r="I8844" t="str">
            <v>3 YD 4X WK 1</v>
          </cell>
        </row>
        <row r="8845">
          <cell r="H8845" t="str">
            <v>FL004.0Y1W001</v>
          </cell>
          <cell r="I8845" t="str">
            <v>4 YD 1X WK 1</v>
          </cell>
        </row>
        <row r="8846">
          <cell r="H8846" t="str">
            <v>FL004.0Y1W001CMP</v>
          </cell>
          <cell r="I8846" t="str">
            <v>4 YD 1X WK COMP 1</v>
          </cell>
        </row>
        <row r="8847">
          <cell r="H8847" t="str">
            <v>FL004.0Y2W001</v>
          </cell>
          <cell r="I8847" t="str">
            <v>4 YD 2X WK 1</v>
          </cell>
        </row>
        <row r="8848">
          <cell r="H8848" t="str">
            <v>FL004.0Y2W001CMP</v>
          </cell>
          <cell r="I8848" t="str">
            <v>4 YD 2X WK COMP 1</v>
          </cell>
        </row>
        <row r="8849">
          <cell r="H8849" t="str">
            <v>FL004.0Y3W001</v>
          </cell>
          <cell r="I8849" t="str">
            <v>4 YD 3X WK 1</v>
          </cell>
        </row>
        <row r="8850">
          <cell r="H8850" t="str">
            <v>FL006.0Y1W001</v>
          </cell>
          <cell r="I8850" t="str">
            <v>6 YD 1X WK 1</v>
          </cell>
        </row>
        <row r="8851">
          <cell r="H8851" t="str">
            <v>FL006.0Y2W001</v>
          </cell>
          <cell r="I8851" t="str">
            <v>6 YD 2X WK 1</v>
          </cell>
        </row>
        <row r="8852">
          <cell r="H8852" t="str">
            <v>FL006.0Y2W001CMP</v>
          </cell>
          <cell r="I8852" t="str">
            <v>6 YD 2X WK COMP 1</v>
          </cell>
        </row>
        <row r="8853">
          <cell r="H8853" t="str">
            <v>FL006.0Y3W001</v>
          </cell>
          <cell r="I8853" t="str">
            <v>6 YD 3X WK 1</v>
          </cell>
        </row>
        <row r="8854">
          <cell r="H8854" t="str">
            <v>FL006.0Y4W001</v>
          </cell>
          <cell r="I8854" t="str">
            <v>6 YD 4X WK 1</v>
          </cell>
        </row>
        <row r="8855">
          <cell r="H8855" t="str">
            <v>GWCOMM</v>
          </cell>
          <cell r="I8855" t="str">
            <v>GREENWASTE SERVICE - COMM</v>
          </cell>
        </row>
        <row r="8856">
          <cell r="H8856" t="str">
            <v>RENT1.5TEMP-COMM</v>
          </cell>
          <cell r="I8856" t="str">
            <v>RENT 1.5 YD TEMP - COMM</v>
          </cell>
        </row>
        <row r="8857">
          <cell r="H8857" t="str">
            <v>RENT2TEMP-COMM</v>
          </cell>
          <cell r="I8857" t="str">
            <v>RENT 2 YD TEMP - COMM</v>
          </cell>
        </row>
        <row r="8858">
          <cell r="H8858" t="str">
            <v>RL032.0G1W001NORECC</v>
          </cell>
          <cell r="I8858" t="str">
            <v xml:space="preserve">32 GL 1X WK NO RECY COMM </v>
          </cell>
        </row>
        <row r="8859">
          <cell r="H8859" t="str">
            <v>RL032.0G1W001WRECC</v>
          </cell>
          <cell r="I8859" t="str">
            <v>32 GL 1X WK W/RECY COMM 1</v>
          </cell>
        </row>
        <row r="8860">
          <cell r="H8860" t="str">
            <v>RL032.0G1W002NORECC</v>
          </cell>
          <cell r="I8860" t="str">
            <v xml:space="preserve">32 GL 1X WK NO RECY COMM </v>
          </cell>
        </row>
        <row r="8861">
          <cell r="H8861" t="str">
            <v>RL032.0G1W002WRECC</v>
          </cell>
          <cell r="I8861" t="str">
            <v>32 GL 1X WK W/RECY COMM 2</v>
          </cell>
        </row>
        <row r="8862">
          <cell r="H8862" t="str">
            <v>RL032.0G1W003WRECC</v>
          </cell>
          <cell r="I8862" t="str">
            <v>32 GL 1X WK W/RECY COMM 3</v>
          </cell>
        </row>
        <row r="8863">
          <cell r="H8863" t="str">
            <v>RL032.0G1W004WRECC</v>
          </cell>
          <cell r="I8863" t="str">
            <v>32 GL 1X WK W/RECY COMM 4</v>
          </cell>
        </row>
        <row r="8864">
          <cell r="H8864" t="str">
            <v>RL035.0G1W001WRECC</v>
          </cell>
          <cell r="I8864" t="str">
            <v>35 GL 1X WK W/RECY COMM 1</v>
          </cell>
        </row>
        <row r="8865">
          <cell r="H8865" t="str">
            <v>ROLL-COMM</v>
          </cell>
          <cell r="I8865" t="str">
            <v>ROLL OUT CHARGE - COMM</v>
          </cell>
        </row>
        <row r="8866">
          <cell r="H8866" t="str">
            <v>SL065.0G1W001NORECC</v>
          </cell>
          <cell r="I8866" t="str">
            <v xml:space="preserve">65 GL 1X WK NO RECY COMM </v>
          </cell>
        </row>
        <row r="8867">
          <cell r="H8867" t="str">
            <v>SL065.0G1W001WRECC</v>
          </cell>
          <cell r="I8867" t="str">
            <v>65 GL 1X WK W/RECY COMM 1</v>
          </cell>
        </row>
        <row r="8868">
          <cell r="H8868" t="str">
            <v>SL065.0GEO001NORECC</v>
          </cell>
          <cell r="I8868" t="str">
            <v>65 GL EOW NO RECY COMM 1</v>
          </cell>
        </row>
        <row r="8869">
          <cell r="H8869" t="str">
            <v>SL065.0GEO001WRECC</v>
          </cell>
          <cell r="I8869" t="str">
            <v>65 GL EOW W/RECY COMM 1</v>
          </cell>
        </row>
        <row r="8870">
          <cell r="H8870" t="str">
            <v>SL095.0G1W001NORECC</v>
          </cell>
          <cell r="I8870" t="str">
            <v xml:space="preserve">95 GL 1X WK NO RECY COMM </v>
          </cell>
        </row>
        <row r="8871">
          <cell r="H8871" t="str">
            <v>SL095.0G1W001WRECC</v>
          </cell>
          <cell r="I8871" t="str">
            <v>95 GL 1X WK W/RECY COMM 1</v>
          </cell>
        </row>
        <row r="8872">
          <cell r="H8872" t="str">
            <v>SL095.0GEO001NORECC</v>
          </cell>
          <cell r="I8872" t="str">
            <v>95 GL EOW NO RECY COMM 1</v>
          </cell>
        </row>
        <row r="8873">
          <cell r="H8873" t="str">
            <v>SL095.0GEO001WRECC</v>
          </cell>
          <cell r="I8873" t="str">
            <v>95 GL EOW W/RECY COMM 1</v>
          </cell>
        </row>
        <row r="8874">
          <cell r="H8874" t="str">
            <v>WI1-COMM</v>
          </cell>
          <cell r="I8874" t="str">
            <v>WALK IN 6-25' - COMM</v>
          </cell>
        </row>
        <row r="8875">
          <cell r="H8875" t="str">
            <v>WI2-COMM</v>
          </cell>
          <cell r="I8875" t="str">
            <v>WALK IN 26-50' - COMM</v>
          </cell>
        </row>
        <row r="8876">
          <cell r="H8876" t="str">
            <v>WI4-COMM</v>
          </cell>
          <cell r="I8876" t="str">
            <v>WALK IN 76-100' - COMM</v>
          </cell>
        </row>
        <row r="8877">
          <cell r="H8877" t="str">
            <v>BULKY-COMM</v>
          </cell>
          <cell r="I8877" t="str">
            <v>BULKY ITEM PICK UP - COMM</v>
          </cell>
        </row>
        <row r="8878">
          <cell r="H8878" t="str">
            <v>CANCOUNT-COMM</v>
          </cell>
          <cell r="I8878" t="str">
            <v>CAN COUNT - COMM</v>
          </cell>
        </row>
        <row r="8879">
          <cell r="H8879" t="str">
            <v>CANCOUNT65-COMM</v>
          </cell>
          <cell r="I8879" t="str">
            <v>CAN COUNT 65 GL - COMM</v>
          </cell>
        </row>
        <row r="8880">
          <cell r="H8880" t="str">
            <v>CLEAN-COMM</v>
          </cell>
          <cell r="I8880" t="str">
            <v xml:space="preserve">CONTAINER CLEANING FEE - </v>
          </cell>
        </row>
        <row r="8881">
          <cell r="H8881" t="str">
            <v>CLEAN1-COMM</v>
          </cell>
          <cell r="I8881" t="str">
            <v>CLEANING FEE 1 YD - COMM</v>
          </cell>
        </row>
        <row r="8882">
          <cell r="H8882" t="str">
            <v>CLEAN1.5-COMM</v>
          </cell>
          <cell r="I8882" t="str">
            <v>CLEANING FEE 1.5 YD - COM</v>
          </cell>
        </row>
        <row r="8883">
          <cell r="H8883" t="str">
            <v>CLEAN2-COMM</v>
          </cell>
          <cell r="I8883" t="str">
            <v>CLEANING FEE 2 YD - COMM</v>
          </cell>
        </row>
        <row r="8884">
          <cell r="H8884" t="str">
            <v>CLEAN6-COMM</v>
          </cell>
          <cell r="I8884" t="str">
            <v>CLEANING FEE 6 YD - COMM</v>
          </cell>
        </row>
        <row r="8885">
          <cell r="H8885" t="str">
            <v>DEL1.5TEMP-COMM</v>
          </cell>
          <cell r="I8885" t="str">
            <v xml:space="preserve">DELIVERY FEE 1.5 YD TEMP </v>
          </cell>
        </row>
        <row r="8886">
          <cell r="H8886" t="str">
            <v>DEL1TEMP-COMM</v>
          </cell>
          <cell r="I8886" t="str">
            <v xml:space="preserve">DELIVERY FEE 1 YD TEMP - </v>
          </cell>
        </row>
        <row r="8887">
          <cell r="H8887" t="str">
            <v>DEL2TEMP-COMM</v>
          </cell>
          <cell r="I8887" t="str">
            <v xml:space="preserve">DELIVERY FEE 2 YD TEMP - </v>
          </cell>
        </row>
        <row r="8888">
          <cell r="H8888" t="str">
            <v>DEL6TEMP-COMM</v>
          </cell>
          <cell r="I8888" t="str">
            <v xml:space="preserve">DELIVERY FEE 6 YD TEMP - </v>
          </cell>
        </row>
        <row r="8889">
          <cell r="H8889" t="str">
            <v>DISP-COMM</v>
          </cell>
          <cell r="I8889" t="str">
            <v>DISPOSAL FEE - COMM</v>
          </cell>
        </row>
        <row r="8890">
          <cell r="H8890" t="str">
            <v>DISPFEDMSW-COMM</v>
          </cell>
          <cell r="I8890" t="str">
            <v>DISPOSAL FEDERAL MSW - CO</v>
          </cell>
        </row>
        <row r="8891">
          <cell r="H8891" t="str">
            <v>DISPMIX-COMM</v>
          </cell>
          <cell r="I8891" t="str">
            <v>DISPOSAL MIX CMGL OCC - COMM</v>
          </cell>
        </row>
        <row r="8892">
          <cell r="H8892" t="str">
            <v>DRIVEIN1-COMM</v>
          </cell>
          <cell r="I8892" t="str">
            <v>DRIVE IN 125-250' - COMM</v>
          </cell>
        </row>
        <row r="8893">
          <cell r="H8893" t="str">
            <v>EXTRA-COMM</v>
          </cell>
          <cell r="I8893" t="str">
            <v>EXTRA CAN, BAG, BOX - COM</v>
          </cell>
        </row>
        <row r="8894">
          <cell r="H8894" t="str">
            <v>EXTRAGWC-COMM</v>
          </cell>
          <cell r="I8894" t="str">
            <v>EXTRA GREENWASTE FEE - CO</v>
          </cell>
        </row>
        <row r="8895">
          <cell r="H8895" t="str">
            <v>EXTRAYDG-COM</v>
          </cell>
          <cell r="I8895" t="str">
            <v>EXTRA YARDAGE - COMM</v>
          </cell>
        </row>
        <row r="8896">
          <cell r="H8896" t="str">
            <v>FL001.0YXX001TEMPC</v>
          </cell>
          <cell r="I8896" t="str">
            <v xml:space="preserve">1 YD TEMP </v>
          </cell>
        </row>
        <row r="8897">
          <cell r="H8897" t="str">
            <v>FL001.5YXX001TEMPC</v>
          </cell>
          <cell r="I8897" t="str">
            <v xml:space="preserve">1.5 YD TEMP </v>
          </cell>
        </row>
        <row r="8898">
          <cell r="H8898" t="str">
            <v>FL002.0YXX001TEMPC</v>
          </cell>
          <cell r="I8898" t="str">
            <v xml:space="preserve">2 YD TEMP </v>
          </cell>
        </row>
        <row r="8899">
          <cell r="H8899" t="str">
            <v>FL003.0Y2W001</v>
          </cell>
          <cell r="I8899" t="str">
            <v>3 YD 2X WK 1</v>
          </cell>
        </row>
        <row r="8900">
          <cell r="H8900" t="str">
            <v>FL006.0YXX001TEMPC</v>
          </cell>
          <cell r="I8900" t="str">
            <v>6 YD TEMP 1</v>
          </cell>
        </row>
        <row r="8901">
          <cell r="H8901" t="str">
            <v>LCKC</v>
          </cell>
          <cell r="I8901" t="str">
            <v>LOCK CHARGE - COMM</v>
          </cell>
        </row>
        <row r="8902">
          <cell r="H8902" t="str">
            <v>REDEL-COMM</v>
          </cell>
          <cell r="I8902" t="str">
            <v>REDELIVER FEE LVL 1 - COM</v>
          </cell>
        </row>
        <row r="8903">
          <cell r="H8903" t="str">
            <v>REINSTATE-COMM</v>
          </cell>
          <cell r="I8903" t="str">
            <v>REINSTATE FEE - COMM</v>
          </cell>
        </row>
        <row r="8904">
          <cell r="H8904" t="str">
            <v>RENT1.5TEMP-COMM</v>
          </cell>
          <cell r="I8904" t="str">
            <v>RENT 1.5 YD TEMP - COMM</v>
          </cell>
        </row>
        <row r="8905">
          <cell r="H8905" t="str">
            <v>RENT1TEMP-COMM</v>
          </cell>
          <cell r="I8905" t="str">
            <v>RENT 1 YD TEMP - COMM</v>
          </cell>
        </row>
        <row r="8906">
          <cell r="H8906" t="str">
            <v>RENT2TEMP-COMM</v>
          </cell>
          <cell r="I8906" t="str">
            <v>RENT 2 YD TEMP - COMM</v>
          </cell>
        </row>
        <row r="8907">
          <cell r="H8907" t="str">
            <v>RENT6TEMP-COMM</v>
          </cell>
          <cell r="I8907" t="str">
            <v>RENT 6 YD TEMP - COMM</v>
          </cell>
        </row>
        <row r="8908">
          <cell r="H8908" t="str">
            <v>RTRNCAN-COMM</v>
          </cell>
          <cell r="I8908" t="str">
            <v>RETURN TRIP FEE CAN - COM</v>
          </cell>
        </row>
        <row r="8909">
          <cell r="H8909" t="str">
            <v>RTRNCART65-COMM</v>
          </cell>
          <cell r="I8909" t="str">
            <v>RETURN TRIP 65 GL - COMM</v>
          </cell>
        </row>
        <row r="8910">
          <cell r="H8910" t="str">
            <v>RTRNTRIP-COMM</v>
          </cell>
          <cell r="I8910" t="str">
            <v>RETURN TRIP FEE - COMM</v>
          </cell>
        </row>
        <row r="8911">
          <cell r="H8911" t="str">
            <v>SP1-COMM</v>
          </cell>
          <cell r="I8911" t="str">
            <v>SPECIAL PICK UP 1 YD - CO</v>
          </cell>
        </row>
        <row r="8912">
          <cell r="H8912" t="str">
            <v>SP1.5-COMM</v>
          </cell>
          <cell r="I8912" t="str">
            <v xml:space="preserve">SPECIAL PICK UP 1.5 YD - </v>
          </cell>
        </row>
        <row r="8913">
          <cell r="H8913" t="str">
            <v>SP2-COMM</v>
          </cell>
          <cell r="I8913" t="str">
            <v>SPECIAL PICK UP 2 YD - CO</v>
          </cell>
        </row>
        <row r="8914">
          <cell r="H8914" t="str">
            <v>SP3-COMM</v>
          </cell>
          <cell r="I8914" t="str">
            <v>SPECIAL PICK UP 3 YD - CO</v>
          </cell>
        </row>
        <row r="8915">
          <cell r="H8915" t="str">
            <v>SP4-COMM</v>
          </cell>
          <cell r="I8915" t="str">
            <v>SPECIAL PICK UP 4 YD - CO</v>
          </cell>
        </row>
        <row r="8916">
          <cell r="H8916" t="str">
            <v>SP6-COMM</v>
          </cell>
          <cell r="I8916" t="str">
            <v>SPECIAL PICK UP 6 YD - CO</v>
          </cell>
        </row>
        <row r="8917">
          <cell r="H8917" t="str">
            <v>SPGRAD1-COMM</v>
          </cell>
          <cell r="I8917" t="str">
            <v>SPECIAL PICKUP GRADUATED 1 - COMM</v>
          </cell>
        </row>
        <row r="8918">
          <cell r="H8918" t="str">
            <v>SPGRAD1S-COMM</v>
          </cell>
          <cell r="I8918" t="str">
            <v>SPECIAL UNIT GRAD1 SCHL - COMM</v>
          </cell>
        </row>
        <row r="8919">
          <cell r="H8919" t="str">
            <v>SPGRAD2-COMM</v>
          </cell>
          <cell r="I8919" t="str">
            <v>SPECIAL PICKUP GRADUATED 2 - COMM</v>
          </cell>
        </row>
        <row r="8920">
          <cell r="H8920" t="str">
            <v>SPGRAD2S-COMM</v>
          </cell>
          <cell r="I8920" t="str">
            <v>SPECIAL UNIT GRAD2 SCHL - COMM</v>
          </cell>
        </row>
        <row r="8921">
          <cell r="H8921" t="str">
            <v>SURCHGC</v>
          </cell>
          <cell r="I8921" t="str">
            <v>SURCHARGE - COMM</v>
          </cell>
        </row>
        <row r="8922">
          <cell r="H8922" t="str">
            <v>TIME-COMM</v>
          </cell>
          <cell r="I8922" t="str">
            <v>TIME FEE 1 - COMM</v>
          </cell>
        </row>
        <row r="8923">
          <cell r="H8923" t="str">
            <v>CLEAN2-COMM</v>
          </cell>
          <cell r="I8923" t="str">
            <v>CLEANING FEE 2 YD - COMM</v>
          </cell>
        </row>
        <row r="8924">
          <cell r="H8924" t="str">
            <v>DEL2TEMP-COMM</v>
          </cell>
          <cell r="I8924" t="str">
            <v xml:space="preserve">DELIVERY FEE 2 YD TEMP - </v>
          </cell>
        </row>
        <row r="8925">
          <cell r="H8925" t="str">
            <v>DISP-COMM</v>
          </cell>
          <cell r="I8925" t="str">
            <v>DISPOSAL FEE - COMM</v>
          </cell>
        </row>
        <row r="8926">
          <cell r="H8926" t="str">
            <v>DISPFEDMSW-COMM</v>
          </cell>
          <cell r="I8926" t="str">
            <v>DISPOSAL FEDERAL MSW - CO</v>
          </cell>
        </row>
        <row r="8927">
          <cell r="H8927" t="str">
            <v>FL002.0YXX001TEMPC</v>
          </cell>
          <cell r="I8927" t="str">
            <v xml:space="preserve">2 YD TEMP </v>
          </cell>
        </row>
        <row r="8928">
          <cell r="H8928" t="str">
            <v>RENT2TEMP-COMM</v>
          </cell>
          <cell r="I8928" t="str">
            <v>RENT 2 YD TEMP - COMM</v>
          </cell>
        </row>
        <row r="8929">
          <cell r="H8929" t="str">
            <v>ACCESSCREC-COMM</v>
          </cell>
          <cell r="I8929" t="str">
            <v>ACCESS FEE COMM RECY - CO</v>
          </cell>
        </row>
        <row r="8930">
          <cell r="H8930" t="str">
            <v>COMDESKREC</v>
          </cell>
          <cell r="I8930" t="str">
            <v>COMM DESKSIDE RECYCLING</v>
          </cell>
        </row>
        <row r="8931">
          <cell r="H8931" t="str">
            <v>FL002.0Y1M001BCMGL</v>
          </cell>
          <cell r="I8931" t="str">
            <v>2 YD 1X MO BUS CMGL 1</v>
          </cell>
        </row>
        <row r="8932">
          <cell r="H8932" t="str">
            <v>FL002.0Y1W001BCMGL</v>
          </cell>
          <cell r="I8932" t="str">
            <v>2 YD 1X WK BUS CMGL 1</v>
          </cell>
        </row>
        <row r="8933">
          <cell r="H8933" t="str">
            <v>FL002.0Y1W001BOCC</v>
          </cell>
          <cell r="I8933" t="str">
            <v>2 YD 1X WK BUS OCC 1</v>
          </cell>
        </row>
        <row r="8934">
          <cell r="H8934" t="str">
            <v>FL002.0Y1W001OCC</v>
          </cell>
          <cell r="I8934" t="str">
            <v>2 YD 1X WK OCC 1</v>
          </cell>
        </row>
        <row r="8935">
          <cell r="H8935" t="str">
            <v>FL002.0Y1W001SCMGL</v>
          </cell>
          <cell r="I8935" t="str">
            <v>2 YD 1X WK SCHL CMGL 1</v>
          </cell>
        </row>
        <row r="8936">
          <cell r="H8936" t="str">
            <v>FL002.0Y1W001SOCC</v>
          </cell>
          <cell r="I8936" t="str">
            <v>2 YD 1X WK SCHOOL OCC</v>
          </cell>
        </row>
        <row r="8937">
          <cell r="H8937" t="str">
            <v>FL002.0Y2W001BCMGL</v>
          </cell>
          <cell r="I8937" t="str">
            <v>2 YD 2X WK BUS CMGL 1</v>
          </cell>
        </row>
        <row r="8938">
          <cell r="H8938" t="str">
            <v>FL002.0Y2W001BOCC</v>
          </cell>
          <cell r="I8938" t="str">
            <v>2 YD 2X WK BUS OCC 1</v>
          </cell>
        </row>
        <row r="8939">
          <cell r="H8939" t="str">
            <v>FL002.0Y2W001SCMGL</v>
          </cell>
          <cell r="I8939" t="str">
            <v>2 YD 2X WK SCHL CMGL 1</v>
          </cell>
        </row>
        <row r="8940">
          <cell r="H8940" t="str">
            <v>FL002.0Y2W001SOCC</v>
          </cell>
          <cell r="I8940" t="str">
            <v>2 YD 2X WK SCHOOL OCC</v>
          </cell>
        </row>
        <row r="8941">
          <cell r="H8941" t="str">
            <v>FL002.0Y3W001BCMGL</v>
          </cell>
          <cell r="I8941" t="str">
            <v>2 YD 3X WK BUS CMGL 1</v>
          </cell>
        </row>
        <row r="8942">
          <cell r="H8942" t="str">
            <v>FL002.0Y4W001BCMGL</v>
          </cell>
          <cell r="I8942" t="str">
            <v>2 YD 4X WK BUS CMGL 1</v>
          </cell>
        </row>
        <row r="8943">
          <cell r="H8943" t="str">
            <v>FL002.0Y4W001BOCC</v>
          </cell>
          <cell r="I8943" t="str">
            <v>2 YD 4X WK BUS OCC 1</v>
          </cell>
        </row>
        <row r="8944">
          <cell r="H8944" t="str">
            <v>FL004.0Y1W001CMGL</v>
          </cell>
          <cell r="I8944" t="str">
            <v>4 YD 1X WK BUS CMGL 1</v>
          </cell>
        </row>
        <row r="8945">
          <cell r="H8945" t="str">
            <v>FL004.0Y1W001SCMGL</v>
          </cell>
          <cell r="I8945" t="str">
            <v>4 YD 1X WK SCH CMGL 1</v>
          </cell>
        </row>
        <row r="8946">
          <cell r="H8946" t="str">
            <v>FL004.0Y2W001CMGL</v>
          </cell>
          <cell r="I8946" t="str">
            <v>4 YD 2X WK BUS CMGL 1</v>
          </cell>
        </row>
        <row r="8947">
          <cell r="H8947" t="str">
            <v>FL004.0Y4W001BCMGL</v>
          </cell>
          <cell r="I8947" t="str">
            <v>4 YD 4X WK BUS CMGL 1</v>
          </cell>
        </row>
        <row r="8948">
          <cell r="H8948" t="str">
            <v>FL004.0Y5W001BCMGL</v>
          </cell>
          <cell r="I8948" t="str">
            <v>4 YD 5X WK BUS CMGL 1</v>
          </cell>
        </row>
        <row r="8949">
          <cell r="H8949" t="str">
            <v>FL005.0Y1W001BOCC</v>
          </cell>
          <cell r="I8949" t="str">
            <v>5 YD 1X WK BUS OCC 1</v>
          </cell>
        </row>
        <row r="8950">
          <cell r="H8950" t="str">
            <v>FL005.0Y1W001OCC</v>
          </cell>
          <cell r="I8950" t="str">
            <v>5 YD 1X WK OCC  1</v>
          </cell>
        </row>
        <row r="8951">
          <cell r="H8951" t="str">
            <v>FL005.0Y1W001SOCC</v>
          </cell>
          <cell r="I8951" t="str">
            <v>5 YD 1X WK SCHOOL OCC</v>
          </cell>
        </row>
        <row r="8952">
          <cell r="H8952" t="str">
            <v>FL005.0Y2W001BOCC</v>
          </cell>
          <cell r="I8952" t="str">
            <v>5 YD 2X WK BUS OCC 1</v>
          </cell>
        </row>
        <row r="8953">
          <cell r="H8953" t="str">
            <v>FL005.0Y2W001OCC</v>
          </cell>
          <cell r="I8953" t="str">
            <v>5 YD 2X WK OCC 1</v>
          </cell>
        </row>
        <row r="8954">
          <cell r="H8954" t="str">
            <v>FL005.0Y3W001BOCC</v>
          </cell>
          <cell r="I8954" t="str">
            <v>5 YD 3X WK BUS OCC 1</v>
          </cell>
        </row>
        <row r="8955">
          <cell r="H8955" t="str">
            <v>FL005.0Y4W001BOCC</v>
          </cell>
          <cell r="I8955" t="str">
            <v>5 YD 4X WK BUS OCC 1</v>
          </cell>
        </row>
        <row r="8956">
          <cell r="H8956" t="str">
            <v>FL006.0Y1W001BCMGL</v>
          </cell>
          <cell r="I8956" t="str">
            <v>6 YD 1X WK BUS COMINGLE 1</v>
          </cell>
        </row>
        <row r="8957">
          <cell r="H8957" t="str">
            <v>FL006.0Y1W001SCMGL</v>
          </cell>
          <cell r="I8957" t="str">
            <v>6 YD 1X WK SCHL CMGL 1</v>
          </cell>
        </row>
        <row r="8958">
          <cell r="H8958" t="str">
            <v>FL006.0Y2W001BCMGL</v>
          </cell>
          <cell r="I8958" t="str">
            <v>6 YD 2X WK BUS COMINGLE 1</v>
          </cell>
        </row>
        <row r="8959">
          <cell r="H8959" t="str">
            <v>FL006.0Y3W001BCMGL</v>
          </cell>
          <cell r="I8959" t="str">
            <v>6 YD 3X WK BUS CMGL 1</v>
          </cell>
        </row>
        <row r="8960">
          <cell r="H8960" t="str">
            <v>MFNBINS</v>
          </cell>
          <cell r="I8960" t="str">
            <v>MULTI-FAMILY REC UNIT N/B</v>
          </cell>
        </row>
        <row r="8961">
          <cell r="H8961" t="str">
            <v>MFWBINS</v>
          </cell>
          <cell r="I8961" t="str">
            <v>MULTI-FAMILY REC UNIT W/B</v>
          </cell>
        </row>
        <row r="8962">
          <cell r="H8962" t="str">
            <v>ROLL-REC</v>
          </cell>
          <cell r="I8962" t="str">
            <v>ROLL OUT CHARGE - RECYCLI</v>
          </cell>
        </row>
        <row r="8963">
          <cell r="H8963" t="str">
            <v>SL064.0G1M001BCMGLIN</v>
          </cell>
          <cell r="I8963" t="str">
            <v>64 GL MTHLY BUS CMGL IN</v>
          </cell>
        </row>
        <row r="8964">
          <cell r="H8964" t="str">
            <v>SL064.0G1W001BCMGLOUT</v>
          </cell>
          <cell r="I8964" t="str">
            <v>64 GL WKLY BUS CMGL OUT</v>
          </cell>
        </row>
        <row r="8965">
          <cell r="H8965" t="str">
            <v>SL064.0GEO001BCMGLOUT</v>
          </cell>
          <cell r="I8965" t="str">
            <v>64 GL EOW BUS CMGL OUT</v>
          </cell>
        </row>
        <row r="8966">
          <cell r="H8966" t="str">
            <v>SL096.0G1M001BCMGLIN</v>
          </cell>
          <cell r="I8966" t="str">
            <v>96 GL MTHLY BUS CMGL IN</v>
          </cell>
        </row>
        <row r="8967">
          <cell r="H8967" t="str">
            <v>SL096.0G1M001BCMGLOUT</v>
          </cell>
          <cell r="I8967" t="str">
            <v>96 GL MTHLY BUS CMGL OUT</v>
          </cell>
        </row>
        <row r="8968">
          <cell r="H8968" t="str">
            <v>SL096.0G1W001BCMGLIN</v>
          </cell>
          <cell r="I8968" t="str">
            <v>96 GL WKLY BUS CMGL IN</v>
          </cell>
        </row>
        <row r="8969">
          <cell r="H8969" t="str">
            <v>SL096.0G1W001BCMGLOUT</v>
          </cell>
          <cell r="I8969" t="str">
            <v>96 GL WKLY BUS CMGL OUT</v>
          </cell>
        </row>
        <row r="8970">
          <cell r="H8970" t="str">
            <v>SL096.0G1W001RECC</v>
          </cell>
          <cell r="I8970" t="str">
            <v xml:space="preserve">96 GL 1X WK RECYCLE COMM </v>
          </cell>
        </row>
        <row r="8971">
          <cell r="H8971" t="str">
            <v>SL096.0G1W001SCMGLIN</v>
          </cell>
          <cell r="I8971" t="str">
            <v>96 GL WKLY SCHL CMGL IN</v>
          </cell>
        </row>
        <row r="8972">
          <cell r="H8972" t="str">
            <v>SL096.0G1W001SCMGLOUT</v>
          </cell>
          <cell r="I8972" t="str">
            <v>96 GL WKLY SCHL CMGL OUT</v>
          </cell>
        </row>
        <row r="8973">
          <cell r="H8973" t="str">
            <v>SL096.0GEO001BCMGLIN</v>
          </cell>
          <cell r="I8973" t="str">
            <v>96 GL EOW BUS CMGL IN</v>
          </cell>
        </row>
        <row r="8974">
          <cell r="H8974" t="str">
            <v>SL096.0GEO001BCMGLOUT</v>
          </cell>
          <cell r="I8974" t="str">
            <v>96 GL EOW BUS CMGL OUT</v>
          </cell>
        </row>
        <row r="8975">
          <cell r="H8975" t="str">
            <v>SL096.0GEO001SCMGLOUT</v>
          </cell>
          <cell r="I8975" t="str">
            <v>96 GL EOW SCHL CMGL OUT</v>
          </cell>
        </row>
        <row r="8976">
          <cell r="H8976" t="str">
            <v>FL002.0Y1W001BOCC</v>
          </cell>
          <cell r="I8976" t="str">
            <v>2 YD 1X WK BUS OCC 1</v>
          </cell>
        </row>
        <row r="8977">
          <cell r="H8977" t="str">
            <v>SL096.0G1W001BCMGLIN</v>
          </cell>
          <cell r="I8977" t="str">
            <v>96 GL WKLY BUS CMGL IN</v>
          </cell>
        </row>
        <row r="8978">
          <cell r="H8978" t="str">
            <v>SP2SOCC-COMM</v>
          </cell>
          <cell r="I8978" t="str">
            <v>SPECIAL PU 2 YD SCHOOL OC</v>
          </cell>
        </row>
        <row r="8979">
          <cell r="H8979" t="str">
            <v>SP5OCC-COMM</v>
          </cell>
          <cell r="I8979" t="str">
            <v>SPECIAL PICKUP 5 YD OCC -</v>
          </cell>
        </row>
        <row r="8980">
          <cell r="H8980" t="str">
            <v>SP6BCMGL-COMM</v>
          </cell>
          <cell r="I8980" t="str">
            <v>SPECIAL P/U 6 YD BUS CMGL</v>
          </cell>
        </row>
        <row r="8981">
          <cell r="H8981" t="str">
            <v>SPGRAD1REC-COMM</v>
          </cell>
          <cell r="I8981" t="str">
            <v>SPECIAL UNIT GRAD1 REC - COMM</v>
          </cell>
        </row>
        <row r="8982">
          <cell r="H8982" t="str">
            <v>SPGRAD2REC-COMM</v>
          </cell>
          <cell r="I8982" t="str">
            <v>SPECIAL UNIT GRAD2 REC - COMM</v>
          </cell>
        </row>
        <row r="8983">
          <cell r="H8983" t="str">
            <v>CC-KOL</v>
          </cell>
          <cell r="I8983" t="str">
            <v>ONLINE PAYMENT-CC</v>
          </cell>
        </row>
        <row r="8984">
          <cell r="H8984" t="str">
            <v>CCREF-KOL</v>
          </cell>
          <cell r="I8984" t="str">
            <v>CREDIT CARD REFUND</v>
          </cell>
        </row>
        <row r="8985">
          <cell r="H8985" t="str">
            <v>PAY</v>
          </cell>
          <cell r="I8985" t="str">
            <v>PAYMENT THANK YOU</v>
          </cell>
        </row>
        <row r="8986">
          <cell r="H8986" t="str">
            <v>PAY-CFREE</v>
          </cell>
          <cell r="I8986" t="str">
            <v>CHECKFREE PAYMENT</v>
          </cell>
        </row>
        <row r="8987">
          <cell r="H8987" t="str">
            <v>PAY-KOL</v>
          </cell>
          <cell r="I8987" t="str">
            <v>PAYMENT-THANK YOU - OL</v>
          </cell>
        </row>
        <row r="8988">
          <cell r="H8988" t="str">
            <v>PAY-ORCC</v>
          </cell>
          <cell r="I8988" t="str">
            <v>ORCC PAYMENT</v>
          </cell>
        </row>
        <row r="8989">
          <cell r="H8989" t="str">
            <v>PAY-RPPS</v>
          </cell>
          <cell r="I8989" t="str">
            <v>RPPS MASTERCARD PAYMENT</v>
          </cell>
        </row>
        <row r="8990">
          <cell r="H8990" t="str">
            <v>PAYAD</v>
          </cell>
          <cell r="I8990" t="str">
            <v>ADJUST PAYMENT AD</v>
          </cell>
        </row>
        <row r="8991">
          <cell r="H8991" t="str">
            <v>PAYMET</v>
          </cell>
          <cell r="I8991" t="str">
            <v>METAVANTE ONLINE PAYMENT</v>
          </cell>
        </row>
        <row r="8992">
          <cell r="H8992" t="str">
            <v>PAYUSBL</v>
          </cell>
          <cell r="I8992" t="str">
            <v>PAYMENT THANK YOU</v>
          </cell>
        </row>
        <row r="8993">
          <cell r="H8993" t="str">
            <v>RET-KOL</v>
          </cell>
          <cell r="I8993" t="str">
            <v>ONLINE PAYMENT RETURN</v>
          </cell>
        </row>
        <row r="8994">
          <cell r="H8994" t="str">
            <v>CC-KOL</v>
          </cell>
          <cell r="I8994" t="str">
            <v>ONLINE PAYMENT-CC</v>
          </cell>
        </row>
        <row r="8995">
          <cell r="H8995" t="str">
            <v>CCREF-KOL</v>
          </cell>
          <cell r="I8995" t="str">
            <v>CREDIT CARD REFUND</v>
          </cell>
        </row>
        <row r="8996">
          <cell r="H8996" t="str">
            <v>PAY</v>
          </cell>
          <cell r="I8996" t="str">
            <v>PAYMENT THANK YOU</v>
          </cell>
        </row>
        <row r="8997">
          <cell r="H8997" t="str">
            <v>PAY-CFREE</v>
          </cell>
          <cell r="I8997" t="str">
            <v>CHECKFREE PAYMENT</v>
          </cell>
        </row>
        <row r="8998">
          <cell r="H8998" t="str">
            <v>PAY-KOL</v>
          </cell>
          <cell r="I8998" t="str">
            <v>PAYMENT-THANK YOU - OL</v>
          </cell>
        </row>
        <row r="8999">
          <cell r="H8999" t="str">
            <v>PAY-ORCC</v>
          </cell>
          <cell r="I8999" t="str">
            <v>ORCC PAYMENT</v>
          </cell>
        </row>
        <row r="9000">
          <cell r="H9000" t="str">
            <v>PAY-RPPS</v>
          </cell>
          <cell r="I9000" t="str">
            <v>RPPS MASTERCARD PAYMENT</v>
          </cell>
        </row>
        <row r="9001">
          <cell r="H9001" t="str">
            <v>PAYAD</v>
          </cell>
          <cell r="I9001" t="str">
            <v>ADJUST PAYMENT AD</v>
          </cell>
        </row>
        <row r="9002">
          <cell r="H9002" t="str">
            <v>PAYICT</v>
          </cell>
          <cell r="I9002" t="str">
            <v>I/C PAYMENT THANK YOU</v>
          </cell>
        </row>
        <row r="9003">
          <cell r="H9003" t="str">
            <v>PAYMET</v>
          </cell>
          <cell r="I9003" t="str">
            <v>METAVANTE ONLINE PAYMENT</v>
          </cell>
        </row>
        <row r="9004">
          <cell r="H9004" t="str">
            <v>PAYUSBL</v>
          </cell>
          <cell r="I9004" t="str">
            <v>PAYMENT THANK YOU</v>
          </cell>
        </row>
        <row r="9005">
          <cell r="H9005" t="str">
            <v>RET-KOL</v>
          </cell>
          <cell r="I9005" t="str">
            <v>ONLINE PAYMENT RETURN</v>
          </cell>
        </row>
        <row r="9006">
          <cell r="H9006" t="str">
            <v>CC-KOL</v>
          </cell>
          <cell r="I9006" t="str">
            <v>ONLINE PAYMENT-CC</v>
          </cell>
        </row>
        <row r="9007">
          <cell r="H9007" t="str">
            <v>CCREF-KOL</v>
          </cell>
          <cell r="I9007" t="str">
            <v>CREDIT CARD REFUND</v>
          </cell>
        </row>
        <row r="9008">
          <cell r="H9008" t="str">
            <v>PAY</v>
          </cell>
          <cell r="I9008" t="str">
            <v>PAYMENT THANK YOU</v>
          </cell>
        </row>
        <row r="9009">
          <cell r="H9009" t="str">
            <v>PAY-CFREE</v>
          </cell>
          <cell r="I9009" t="str">
            <v>CHECKFREE PAYMENT</v>
          </cell>
        </row>
        <row r="9010">
          <cell r="H9010" t="str">
            <v>PAY-KOL</v>
          </cell>
          <cell r="I9010" t="str">
            <v>PAYMENT-THANK YOU - OL</v>
          </cell>
        </row>
        <row r="9011">
          <cell r="H9011" t="str">
            <v>PAY-NATL</v>
          </cell>
          <cell r="I9011" t="str">
            <v>PAYMENT THANK YOU</v>
          </cell>
        </row>
        <row r="9012">
          <cell r="H9012" t="str">
            <v>PAY-OAK</v>
          </cell>
          <cell r="I9012" t="str">
            <v>OAKLEAF PAYMENT</v>
          </cell>
        </row>
        <row r="9013">
          <cell r="H9013" t="str">
            <v>PAY-ORCC</v>
          </cell>
          <cell r="I9013" t="str">
            <v>ORCC PAYMENT</v>
          </cell>
        </row>
        <row r="9014">
          <cell r="H9014" t="str">
            <v>PAY-RPPS</v>
          </cell>
          <cell r="I9014" t="str">
            <v>RPPS MASTERCARD PAYMENT</v>
          </cell>
        </row>
        <row r="9015">
          <cell r="H9015" t="str">
            <v>PAYAD</v>
          </cell>
          <cell r="I9015" t="str">
            <v>ADJUST PAYMENT AD</v>
          </cell>
        </row>
        <row r="9016">
          <cell r="H9016" t="str">
            <v>PAYEFT</v>
          </cell>
          <cell r="I9016" t="str">
            <v>EFT PAYMENT</v>
          </cell>
        </row>
        <row r="9017">
          <cell r="H9017" t="str">
            <v>PAYICLRI</v>
          </cell>
          <cell r="I9017" t="str">
            <v>PAYMENT THANK YOU</v>
          </cell>
        </row>
        <row r="9018">
          <cell r="H9018" t="str">
            <v>PAYICT</v>
          </cell>
          <cell r="I9018" t="str">
            <v>I/C PAYMENT THANK YOU</v>
          </cell>
        </row>
        <row r="9019">
          <cell r="H9019" t="str">
            <v>PAYMET</v>
          </cell>
          <cell r="I9019" t="str">
            <v>METAVANTE ONLINE PAYMENT</v>
          </cell>
        </row>
        <row r="9020">
          <cell r="H9020" t="str">
            <v>PAYUSBL</v>
          </cell>
          <cell r="I9020" t="str">
            <v>PAYMENT THANK YOU</v>
          </cell>
        </row>
        <row r="9021">
          <cell r="H9021" t="str">
            <v>CC-KOL</v>
          </cell>
          <cell r="I9021" t="str">
            <v>ONLINE PAYMENT-CC</v>
          </cell>
        </row>
        <row r="9022">
          <cell r="H9022" t="str">
            <v>PAY</v>
          </cell>
          <cell r="I9022" t="str">
            <v>PAYMENT THANK YOU</v>
          </cell>
        </row>
        <row r="9023">
          <cell r="H9023" t="str">
            <v>PAYUSBL</v>
          </cell>
          <cell r="I9023" t="str">
            <v>PAYMENT THANK YOU</v>
          </cell>
        </row>
        <row r="9024">
          <cell r="H9024" t="str">
            <v>ACCESS-RES</v>
          </cell>
          <cell r="I9024" t="str">
            <v>ACCESS FEE - RES</v>
          </cell>
        </row>
        <row r="9025">
          <cell r="H9025" t="str">
            <v>DRIVEIN-RES</v>
          </cell>
          <cell r="I9025" t="str">
            <v>DRIVE IN SERVICE - RES</v>
          </cell>
        </row>
        <row r="9026">
          <cell r="H9026" t="str">
            <v>GWRES</v>
          </cell>
          <cell r="I9026" t="str">
            <v>GREENWASTE SERVICE - RES</v>
          </cell>
        </row>
        <row r="9027">
          <cell r="H9027" t="str">
            <v>RECBINONLYR</v>
          </cell>
          <cell r="I9027" t="str">
            <v>RECYCLE SERVICE ONLY</v>
          </cell>
        </row>
        <row r="9028">
          <cell r="H9028" t="str">
            <v>RECPROGADJ-RES</v>
          </cell>
          <cell r="I9028" t="str">
            <v>RECYCLING PROGRAM ADJUSTM</v>
          </cell>
        </row>
        <row r="9029">
          <cell r="H9029" t="str">
            <v>RECVALRES</v>
          </cell>
          <cell r="I9029" t="str">
            <v>RECYCLABLES VALUE - RES</v>
          </cell>
        </row>
        <row r="9030">
          <cell r="H9030" t="str">
            <v>RL032.0G1W001WREC</v>
          </cell>
          <cell r="I9030" t="str">
            <v>32 GL 1X WK W/RECY 1</v>
          </cell>
        </row>
        <row r="9031">
          <cell r="H9031" t="str">
            <v>RL032.0G1W002WREC</v>
          </cell>
          <cell r="I9031" t="str">
            <v>32 GL 1X WK W/RECY 2</v>
          </cell>
        </row>
        <row r="9032">
          <cell r="H9032" t="str">
            <v>SL035.0G1W001NOREC</v>
          </cell>
          <cell r="I9032" t="str">
            <v>35 GL 1X WK NO RECY 1</v>
          </cell>
        </row>
        <row r="9033">
          <cell r="H9033" t="str">
            <v>SL035.0G1W001WREC</v>
          </cell>
          <cell r="I9033" t="str">
            <v>35 GL 1X WK W/ RECY 1</v>
          </cell>
        </row>
        <row r="9034">
          <cell r="H9034" t="str">
            <v>SL035.0GEO001WREC</v>
          </cell>
          <cell r="I9034" t="str">
            <v>35 GL EOW W/RECY 1</v>
          </cell>
        </row>
        <row r="9035">
          <cell r="H9035" t="str">
            <v>SL065.0G1M001NOREC</v>
          </cell>
          <cell r="I9035" t="str">
            <v>65 GL 1X MO NO RECY 1</v>
          </cell>
        </row>
        <row r="9036">
          <cell r="H9036" t="str">
            <v>SL065.0G1M001WREC</v>
          </cell>
          <cell r="I9036" t="str">
            <v>65 GL 1X MO W/RECY 1</v>
          </cell>
        </row>
        <row r="9037">
          <cell r="H9037" t="str">
            <v>SL065.0G1W001NOREC</v>
          </cell>
          <cell r="I9037" t="str">
            <v>65 GL 1X WK NO RECY 1</v>
          </cell>
        </row>
        <row r="9038">
          <cell r="H9038" t="str">
            <v>SL065.0G1W001WREC</v>
          </cell>
          <cell r="I9038" t="str">
            <v>65 GL 1X WK W/RECY 1</v>
          </cell>
        </row>
        <row r="9039">
          <cell r="H9039" t="str">
            <v>SL065.0GEO001NOREC</v>
          </cell>
          <cell r="I9039" t="str">
            <v>65 GL EOW NO RECY 1</v>
          </cell>
        </row>
        <row r="9040">
          <cell r="H9040" t="str">
            <v>SL065.0GEO001WREC</v>
          </cell>
          <cell r="I9040" t="str">
            <v>65 GL EOW W/RECY 1</v>
          </cell>
        </row>
        <row r="9041">
          <cell r="H9041" t="str">
            <v>SL095.0G1M001WREC</v>
          </cell>
          <cell r="I9041" t="str">
            <v>95 GL 1X MO W/RECY 1</v>
          </cell>
        </row>
        <row r="9042">
          <cell r="H9042" t="str">
            <v>SL095.0G1W001NOREC</v>
          </cell>
          <cell r="I9042" t="str">
            <v>95 GL 1X WK NO RECY 1</v>
          </cell>
        </row>
        <row r="9043">
          <cell r="H9043" t="str">
            <v>SL095.0G1W001WREC</v>
          </cell>
          <cell r="I9043" t="str">
            <v>95 GL 1X WK W/RECY 1</v>
          </cell>
        </row>
        <row r="9044">
          <cell r="H9044" t="str">
            <v>SL095.0GEO001WREC</v>
          </cell>
          <cell r="I9044" t="str">
            <v>95 GL EOW W/RECY 1</v>
          </cell>
        </row>
        <row r="9045">
          <cell r="H9045" t="str">
            <v>WI1-RES</v>
          </cell>
          <cell r="I9045" t="str">
            <v>WALK IN 6-25' - RES</v>
          </cell>
        </row>
        <row r="9046">
          <cell r="H9046" t="str">
            <v>ADJ-RES</v>
          </cell>
          <cell r="I9046" t="str">
            <v>ADJUSTMENT SERVICE - RES</v>
          </cell>
        </row>
        <row r="9047">
          <cell r="H9047" t="str">
            <v>BULKY-RES</v>
          </cell>
          <cell r="I9047" t="str">
            <v>BULKY ITEM PICK UP - RES</v>
          </cell>
        </row>
        <row r="9048">
          <cell r="H9048" t="str">
            <v>EP96GWC-RES</v>
          </cell>
          <cell r="I9048" t="str">
            <v>EXTRA PICK UP 96 GW - RES</v>
          </cell>
        </row>
        <row r="9049">
          <cell r="H9049" t="str">
            <v>EXTRA-RES</v>
          </cell>
          <cell r="I9049" t="str">
            <v>EXTRA CAN, BAG, BOX - RES</v>
          </cell>
        </row>
        <row r="9050">
          <cell r="H9050" t="str">
            <v>EXTRA65-RES</v>
          </cell>
          <cell r="I9050" t="str">
            <v>EXTRA 65 GL RES</v>
          </cell>
        </row>
        <row r="9051">
          <cell r="H9051" t="str">
            <v>EXTRA95-RES</v>
          </cell>
          <cell r="I9051" t="str">
            <v>EXTRA 95 GL RES</v>
          </cell>
        </row>
        <row r="9052">
          <cell r="H9052" t="str">
            <v>EXTRAGWC-RES</v>
          </cell>
          <cell r="I9052" t="str">
            <v>EXTRA GREENWASTE FEE - RE</v>
          </cell>
        </row>
        <row r="9053">
          <cell r="H9053" t="str">
            <v>GWRES</v>
          </cell>
          <cell r="I9053" t="str">
            <v>GREENWASTE SERVICE - RES</v>
          </cell>
        </row>
        <row r="9054">
          <cell r="H9054" t="str">
            <v>OC-RES</v>
          </cell>
          <cell r="I9054" t="str">
            <v>ON CALL SERVICE - RES</v>
          </cell>
        </row>
        <row r="9055">
          <cell r="H9055" t="str">
            <v>OW-RES</v>
          </cell>
          <cell r="I9055" t="str">
            <v>OVERFILL / OVERWEIGHT CAN</v>
          </cell>
        </row>
        <row r="9056">
          <cell r="H9056" t="str">
            <v>RECPROGADJ-RES</v>
          </cell>
          <cell r="I9056" t="str">
            <v>RECYCLING PROGRAM ADJUSTM</v>
          </cell>
        </row>
        <row r="9057">
          <cell r="H9057" t="str">
            <v>RECVALRES</v>
          </cell>
          <cell r="I9057" t="str">
            <v>RECYCLABLES VALUE - RES</v>
          </cell>
        </row>
        <row r="9058">
          <cell r="H9058" t="str">
            <v>REDEL-RES</v>
          </cell>
          <cell r="I9058" t="str">
            <v>REDELIVER FEE - RES</v>
          </cell>
        </row>
        <row r="9059">
          <cell r="H9059" t="str">
            <v>REINSTATE-RES</v>
          </cell>
          <cell r="I9059" t="str">
            <v>REINSTATE FEE - RES</v>
          </cell>
        </row>
        <row r="9060">
          <cell r="H9060" t="str">
            <v>RL032.0G1W001WREC</v>
          </cell>
          <cell r="I9060" t="str">
            <v>32 GL 1X WK W/RECY 1</v>
          </cell>
        </row>
        <row r="9061">
          <cell r="H9061" t="str">
            <v>RTRNCART32-RES</v>
          </cell>
          <cell r="I9061" t="str">
            <v>RETURN TRIP 32 GL - RES</v>
          </cell>
        </row>
        <row r="9062">
          <cell r="H9062" t="str">
            <v>RTRNCART65-RES</v>
          </cell>
          <cell r="I9062" t="str">
            <v>RETURN TRIP 65 GL - RES</v>
          </cell>
        </row>
        <row r="9063">
          <cell r="H9063" t="str">
            <v>RTRNCART95-RES</v>
          </cell>
          <cell r="I9063" t="str">
            <v>RETURN TRIP 95 GL - RES</v>
          </cell>
        </row>
        <row r="9064">
          <cell r="H9064" t="str">
            <v>RTRNCART96REC-RES</v>
          </cell>
          <cell r="I9064" t="str">
            <v>RETURN TRIP 96 GL REC - RES</v>
          </cell>
        </row>
        <row r="9065">
          <cell r="H9065" t="str">
            <v>SL035.0G1M001WREC</v>
          </cell>
          <cell r="I9065" t="str">
            <v>35 GL 1X MO W/RECY 1</v>
          </cell>
        </row>
        <row r="9066">
          <cell r="H9066" t="str">
            <v>SL035.0G1W001WREC</v>
          </cell>
          <cell r="I9066" t="str">
            <v>35 GL 1X WK W/ RECY 1</v>
          </cell>
        </row>
        <row r="9067">
          <cell r="H9067" t="str">
            <v>SL065.0G1M001WREC</v>
          </cell>
          <cell r="I9067" t="str">
            <v>65 GL 1X MO W/RECY 1</v>
          </cell>
        </row>
        <row r="9068">
          <cell r="H9068" t="str">
            <v>SL065.0G1W001</v>
          </cell>
          <cell r="I9068" t="str">
            <v>65 GL 1X WK 1</v>
          </cell>
        </row>
        <row r="9069">
          <cell r="H9069" t="str">
            <v>SL065.0G1W001NOREC</v>
          </cell>
          <cell r="I9069" t="str">
            <v>65 GL 1X WK NO RECY 1</v>
          </cell>
        </row>
        <row r="9070">
          <cell r="H9070" t="str">
            <v>SL065.0G1W001WREC</v>
          </cell>
          <cell r="I9070" t="str">
            <v>65 GL 1X WK W/RECY 1</v>
          </cell>
        </row>
        <row r="9071">
          <cell r="H9071" t="str">
            <v>SL065.0GEO001WREC</v>
          </cell>
          <cell r="I9071" t="str">
            <v>65 GL EOW W/RECY 1</v>
          </cell>
        </row>
        <row r="9072">
          <cell r="H9072" t="str">
            <v>SL095.0G1W001WREC</v>
          </cell>
          <cell r="I9072" t="str">
            <v>95 GL 1X WK W/RECY 1</v>
          </cell>
        </row>
        <row r="9073">
          <cell r="H9073" t="str">
            <v>SL095.0GEO001WREC</v>
          </cell>
          <cell r="I9073" t="str">
            <v>95 GL EOW W/RECY 1</v>
          </cell>
        </row>
        <row r="9074">
          <cell r="H9074" t="str">
            <v>TIME-RES</v>
          </cell>
          <cell r="I9074" t="str">
            <v>TIME FEE 1 - RES</v>
          </cell>
        </row>
        <row r="9075">
          <cell r="H9075" t="str">
            <v>ACCESS-RES</v>
          </cell>
          <cell r="I9075" t="str">
            <v>ACCESS FEE - RES</v>
          </cell>
        </row>
        <row r="9076">
          <cell r="H9076" t="str">
            <v>DRIVEIN-RES</v>
          </cell>
          <cell r="I9076" t="str">
            <v>DRIVE IN SERVICE - RES</v>
          </cell>
        </row>
        <row r="9077">
          <cell r="H9077" t="str">
            <v>DRIVEINMUL-RES</v>
          </cell>
          <cell r="I9077" t="str">
            <v>DRIVE IN SVC MULTIPLE</v>
          </cell>
        </row>
        <row r="9078">
          <cell r="H9078" t="str">
            <v>EMPLOYEER</v>
          </cell>
          <cell r="I9078" t="str">
            <v>EMPLOYEE SERVICE RES</v>
          </cell>
        </row>
        <row r="9079">
          <cell r="H9079" t="str">
            <v>GWRES</v>
          </cell>
          <cell r="I9079" t="str">
            <v>GREENWASTE SERVICE - RES</v>
          </cell>
        </row>
        <row r="9080">
          <cell r="H9080" t="str">
            <v>GWSPCL-RES</v>
          </cell>
          <cell r="I9080" t="str">
            <v>GREENWASTE SEN/DIS - RES</v>
          </cell>
        </row>
        <row r="9081">
          <cell r="H9081" t="str">
            <v>RECBINONLYR</v>
          </cell>
          <cell r="I9081" t="str">
            <v>RECYCLE SERVICE ONLY</v>
          </cell>
        </row>
        <row r="9082">
          <cell r="H9082" t="str">
            <v>RECPROGADJ-RES</v>
          </cell>
          <cell r="I9082" t="str">
            <v>RECYCLING PROGRAM ADJUSTM</v>
          </cell>
        </row>
        <row r="9083">
          <cell r="H9083" t="str">
            <v>RECVALRES</v>
          </cell>
          <cell r="I9083" t="str">
            <v>RECYCLABLES VALUE - RES</v>
          </cell>
        </row>
        <row r="9084">
          <cell r="H9084" t="str">
            <v>REDEL-RES</v>
          </cell>
          <cell r="I9084" t="str">
            <v>REDELIVER FEE - RES</v>
          </cell>
        </row>
        <row r="9085">
          <cell r="H9085" t="str">
            <v>RL020.0G1W001</v>
          </cell>
          <cell r="I9085" t="str">
            <v>20 GL 1X WK 1</v>
          </cell>
        </row>
        <row r="9086">
          <cell r="H9086" t="str">
            <v>RL032.0G1M001NOREC</v>
          </cell>
          <cell r="I9086" t="str">
            <v>32 GL 1X MO NO RECY 1</v>
          </cell>
        </row>
        <row r="9087">
          <cell r="H9087" t="str">
            <v>RL032.0G1M001WREC</v>
          </cell>
          <cell r="I9087" t="str">
            <v>32 GL 1X MO W/RECY 1</v>
          </cell>
        </row>
        <row r="9088">
          <cell r="H9088" t="str">
            <v>RL032.0G1W001NOREC</v>
          </cell>
          <cell r="I9088" t="str">
            <v>32 GL 1X WK NO RECY 1</v>
          </cell>
        </row>
        <row r="9089">
          <cell r="H9089" t="str">
            <v>RL032.0G1W001WREC</v>
          </cell>
          <cell r="I9089" t="str">
            <v>32 GL 1X WK W/RECY 1</v>
          </cell>
        </row>
        <row r="9090">
          <cell r="H9090" t="str">
            <v>RL032.0G1W002NOREC</v>
          </cell>
          <cell r="I9090" t="str">
            <v>32 GL 1X WK NO RECY 2</v>
          </cell>
        </row>
        <row r="9091">
          <cell r="H9091" t="str">
            <v>RL032.0G1W002WREC</v>
          </cell>
          <cell r="I9091" t="str">
            <v>32 GL 1X WK W/RECY 2</v>
          </cell>
        </row>
        <row r="9092">
          <cell r="H9092" t="str">
            <v>RL032.0G1W003WREC</v>
          </cell>
          <cell r="I9092" t="str">
            <v>32 GL 1X WK W/RECY 3</v>
          </cell>
        </row>
        <row r="9093">
          <cell r="H9093" t="str">
            <v>RL032.0G1W004NOREC</v>
          </cell>
          <cell r="I9093" t="str">
            <v>32 GL 1X WK NO RECY 4</v>
          </cell>
        </row>
        <row r="9094">
          <cell r="H9094" t="str">
            <v>RL032.0G1W004WREC</v>
          </cell>
          <cell r="I9094" t="str">
            <v>32 GL 1X WK W/RECY 4</v>
          </cell>
        </row>
        <row r="9095">
          <cell r="H9095" t="str">
            <v>SL035.0G1M001WREC</v>
          </cell>
          <cell r="I9095" t="str">
            <v>35 GL 1X MO W/RECY 1</v>
          </cell>
        </row>
        <row r="9096">
          <cell r="H9096" t="str">
            <v>SL035.0G1W001NOREC</v>
          </cell>
          <cell r="I9096" t="str">
            <v>35 GL 1X WK NO RECY 1</v>
          </cell>
        </row>
        <row r="9097">
          <cell r="H9097" t="str">
            <v>SL035.0G1W001WREC</v>
          </cell>
          <cell r="I9097" t="str">
            <v>35 GL 1X WK W/ RECY 1</v>
          </cell>
        </row>
        <row r="9098">
          <cell r="H9098" t="str">
            <v>SL035.0G1W002WREC</v>
          </cell>
          <cell r="I9098" t="str">
            <v>35 GL 1X WK W/RECY 2</v>
          </cell>
        </row>
        <row r="9099">
          <cell r="H9099" t="str">
            <v>SL035.0GEO001NOREC</v>
          </cell>
          <cell r="I9099" t="str">
            <v>35 GL EOW NO RECY 1</v>
          </cell>
        </row>
        <row r="9100">
          <cell r="H9100" t="str">
            <v>SL035.0GEO001WREC</v>
          </cell>
          <cell r="I9100" t="str">
            <v>35 GL EOW W/RECY 1</v>
          </cell>
        </row>
        <row r="9101">
          <cell r="H9101" t="str">
            <v>SL065.0G1M001NOREC</v>
          </cell>
          <cell r="I9101" t="str">
            <v>65 GL 1X MO NO RECY 1</v>
          </cell>
        </row>
        <row r="9102">
          <cell r="H9102" t="str">
            <v>SL065.0G1M001WREC</v>
          </cell>
          <cell r="I9102" t="str">
            <v>65 GL 1X MO W/RECY 1</v>
          </cell>
        </row>
        <row r="9103">
          <cell r="H9103" t="str">
            <v>SL065.0G1W001NOREC</v>
          </cell>
          <cell r="I9103" t="str">
            <v>65 GL 1X WK NO RECY 1</v>
          </cell>
        </row>
        <row r="9104">
          <cell r="H9104" t="str">
            <v>SL065.0G1W001WREC</v>
          </cell>
          <cell r="I9104" t="str">
            <v>65 GL 1X WK W/RECY 1</v>
          </cell>
        </row>
        <row r="9105">
          <cell r="H9105" t="str">
            <v>SL065.0GEO001NOREC</v>
          </cell>
          <cell r="I9105" t="str">
            <v>65 GL EOW NO RECY 1</v>
          </cell>
        </row>
        <row r="9106">
          <cell r="H9106" t="str">
            <v>SL065.0GEO001WREC</v>
          </cell>
          <cell r="I9106" t="str">
            <v>65 GL EOW W/RECY 1</v>
          </cell>
        </row>
        <row r="9107">
          <cell r="H9107" t="str">
            <v>SL095.0G1M001NOREC</v>
          </cell>
          <cell r="I9107" t="str">
            <v>95 GL 1X MO NO RECY 1</v>
          </cell>
        </row>
        <row r="9108">
          <cell r="H9108" t="str">
            <v>SL095.0G1M001WREC</v>
          </cell>
          <cell r="I9108" t="str">
            <v>95 GL 1X MO W/RECY 1</v>
          </cell>
        </row>
        <row r="9109">
          <cell r="H9109" t="str">
            <v>SL095.0G1W001NOREC</v>
          </cell>
          <cell r="I9109" t="str">
            <v>95 GL 1X WK NO RECY 1</v>
          </cell>
        </row>
        <row r="9110">
          <cell r="H9110" t="str">
            <v>SL095.0G1W001WREC</v>
          </cell>
          <cell r="I9110" t="str">
            <v>95 GL 1X WK W/RECY 1</v>
          </cell>
        </row>
        <row r="9111">
          <cell r="H9111" t="str">
            <v>SL095.0GEO001NOREC</v>
          </cell>
          <cell r="I9111" t="str">
            <v>95 GL EOW NO RECY 1</v>
          </cell>
        </row>
        <row r="9112">
          <cell r="H9112" t="str">
            <v>SL095.0GEO001WREC</v>
          </cell>
          <cell r="I9112" t="str">
            <v>95 GL EOW W/RECY 1</v>
          </cell>
        </row>
        <row r="9113">
          <cell r="H9113" t="str">
            <v>WI1-RES</v>
          </cell>
          <cell r="I9113" t="str">
            <v>WALK IN 6-25' - RES</v>
          </cell>
        </row>
        <row r="9114">
          <cell r="H9114" t="str">
            <v>WI2-RES</v>
          </cell>
          <cell r="I9114" t="str">
            <v>WALK IN 26-50' - RES</v>
          </cell>
        </row>
        <row r="9115">
          <cell r="H9115" t="str">
            <v>ADJ-RES</v>
          </cell>
          <cell r="I9115" t="str">
            <v>ADJUSTMENT SERVICE - RES</v>
          </cell>
        </row>
        <row r="9116">
          <cell r="H9116" t="str">
            <v>BULKY-RES</v>
          </cell>
          <cell r="I9116" t="str">
            <v>BULKY ITEM PICK UP - RES</v>
          </cell>
        </row>
        <row r="9117">
          <cell r="H9117" t="str">
            <v>EP96GWC-RES</v>
          </cell>
          <cell r="I9117" t="str">
            <v>EXTRA PICK UP 96 GW - RES</v>
          </cell>
        </row>
        <row r="9118">
          <cell r="H9118" t="str">
            <v>EXTRA-RES</v>
          </cell>
          <cell r="I9118" t="str">
            <v>EXTRA CAN, BAG, BOX - RES</v>
          </cell>
        </row>
        <row r="9119">
          <cell r="H9119" t="str">
            <v>EXTRA95-RES</v>
          </cell>
          <cell r="I9119" t="str">
            <v>EXTRA 95 GL RES</v>
          </cell>
        </row>
        <row r="9120">
          <cell r="H9120" t="str">
            <v>EXTRAGWC-RES</v>
          </cell>
          <cell r="I9120" t="str">
            <v>EXTRA GREENWASTE FEE - RE</v>
          </cell>
        </row>
        <row r="9121">
          <cell r="H9121" t="str">
            <v>GWRES</v>
          </cell>
          <cell r="I9121" t="str">
            <v>GREENWASTE SERVICE - RES</v>
          </cell>
        </row>
        <row r="9122">
          <cell r="H9122" t="str">
            <v>OC-RES</v>
          </cell>
          <cell r="I9122" t="str">
            <v>ON CALL SERVICE - RES</v>
          </cell>
        </row>
        <row r="9123">
          <cell r="H9123" t="str">
            <v>OW-RES</v>
          </cell>
          <cell r="I9123" t="str">
            <v>OVERFILL / OVERWEIGHT CAN</v>
          </cell>
        </row>
        <row r="9124">
          <cell r="H9124" t="str">
            <v>RECPROGADJ-RES</v>
          </cell>
          <cell r="I9124" t="str">
            <v>RECYCLING PROGRAM ADJUSTM</v>
          </cell>
        </row>
        <row r="9125">
          <cell r="H9125" t="str">
            <v>RECVALRES</v>
          </cell>
          <cell r="I9125" t="str">
            <v>RECYCLABLES VALUE - RES</v>
          </cell>
        </row>
        <row r="9126">
          <cell r="H9126" t="str">
            <v>REDEL-RES</v>
          </cell>
          <cell r="I9126" t="str">
            <v>REDELIVER FEE - RES</v>
          </cell>
        </row>
        <row r="9127">
          <cell r="H9127" t="str">
            <v>REINSTATE-RES</v>
          </cell>
          <cell r="I9127" t="str">
            <v>REINSTATE FEE - RES</v>
          </cell>
        </row>
        <row r="9128">
          <cell r="H9128" t="str">
            <v>RTRNCART32-RES</v>
          </cell>
          <cell r="I9128" t="str">
            <v>RETURN TRIP 32 GL - RES</v>
          </cell>
        </row>
        <row r="9129">
          <cell r="H9129" t="str">
            <v>RTRNCART65-RES</v>
          </cell>
          <cell r="I9129" t="str">
            <v>RETURN TRIP 65 GL - RES</v>
          </cell>
        </row>
        <row r="9130">
          <cell r="H9130" t="str">
            <v>RTRNCART95-RES</v>
          </cell>
          <cell r="I9130" t="str">
            <v>RETURN TRIP 95 GL - RES</v>
          </cell>
        </row>
        <row r="9131">
          <cell r="H9131" t="str">
            <v>RTRNCART96REC-RES</v>
          </cell>
          <cell r="I9131" t="str">
            <v>RETURN TRIP 96 GL REC - RES</v>
          </cell>
        </row>
        <row r="9132">
          <cell r="H9132" t="str">
            <v>SL035.0G1W001WREC</v>
          </cell>
          <cell r="I9132" t="str">
            <v>35 GL 1X WK W/ RECY 1</v>
          </cell>
        </row>
        <row r="9133">
          <cell r="H9133" t="str">
            <v>SL065.0G1M001WREC</v>
          </cell>
          <cell r="I9133" t="str">
            <v>65 GL 1X MO W/RECY 1</v>
          </cell>
        </row>
        <row r="9134">
          <cell r="H9134" t="str">
            <v>SL065.0G1W001WREC</v>
          </cell>
          <cell r="I9134" t="str">
            <v>65 GL 1X WK W/RECY 1</v>
          </cell>
        </row>
        <row r="9135">
          <cell r="H9135" t="str">
            <v>SL065.0GEO001WREC</v>
          </cell>
          <cell r="I9135" t="str">
            <v>65 GL EOW W/RECY 1</v>
          </cell>
        </row>
        <row r="9136">
          <cell r="H9136" t="str">
            <v>SL095.0G1W001WREC</v>
          </cell>
          <cell r="I9136" t="str">
            <v>95 GL 1X WK W/RECY 1</v>
          </cell>
        </row>
        <row r="9137">
          <cell r="H9137" t="str">
            <v>SPGRAD1-RES</v>
          </cell>
          <cell r="I9137" t="str">
            <v>SPECIAL GRADUATED 1-2 - R</v>
          </cell>
        </row>
        <row r="9138">
          <cell r="H9138" t="str">
            <v>TIME-RES</v>
          </cell>
          <cell r="I9138" t="str">
            <v>TIME FEE 1 - RES</v>
          </cell>
        </row>
        <row r="9139">
          <cell r="H9139" t="str">
            <v>UNRETURN-RES</v>
          </cell>
          <cell r="I9139" t="str">
            <v xml:space="preserve">CONTAINER UNRETURNED FEE </v>
          </cell>
        </row>
        <row r="9140">
          <cell r="H9140" t="str">
            <v>DRIVEIN-RES</v>
          </cell>
          <cell r="I9140" t="str">
            <v>DRIVE IN SERVICE - RES</v>
          </cell>
        </row>
        <row r="9141">
          <cell r="H9141" t="str">
            <v>EMPLOYEER</v>
          </cell>
          <cell r="I9141" t="str">
            <v>EMPLOYEE SERVICE RES</v>
          </cell>
        </row>
        <row r="9142">
          <cell r="H9142" t="str">
            <v>GWRES</v>
          </cell>
          <cell r="I9142" t="str">
            <v>GREENWASTE SERVICE - RES</v>
          </cell>
        </row>
        <row r="9143">
          <cell r="H9143" t="str">
            <v>SL035.0G1W001WREC</v>
          </cell>
          <cell r="I9143" t="str">
            <v>35 GL 1X WK W/ RECY 1</v>
          </cell>
        </row>
        <row r="9144">
          <cell r="H9144" t="str">
            <v>SL065.0G1W001WREC</v>
          </cell>
          <cell r="I9144" t="str">
            <v>65 GL 1X WK W/RECY 1</v>
          </cell>
        </row>
        <row r="9145">
          <cell r="H9145" t="str">
            <v>SL095.0G1W001WREC</v>
          </cell>
          <cell r="I9145" t="str">
            <v>95 GL 1X WK W/RECY 1</v>
          </cell>
        </row>
        <row r="9146">
          <cell r="H9146" t="str">
            <v>ADJ-RES</v>
          </cell>
          <cell r="I9146" t="str">
            <v>ADJUSTMENT SERVICE - RES</v>
          </cell>
        </row>
        <row r="9147">
          <cell r="H9147" t="str">
            <v>BULKY-RES</v>
          </cell>
          <cell r="I9147" t="str">
            <v>BULKY ITEM PICK UP - RES</v>
          </cell>
        </row>
        <row r="9148">
          <cell r="H9148" t="str">
            <v>DISP-RES</v>
          </cell>
          <cell r="I9148" t="str">
            <v>DISPOSAL FEE -RES</v>
          </cell>
        </row>
        <row r="9149">
          <cell r="H9149" t="str">
            <v>DISPCMGL-RES</v>
          </cell>
          <cell r="I9149" t="str">
            <v>DISPOSAL COMINGLE - RES</v>
          </cell>
        </row>
        <row r="9150">
          <cell r="H9150" t="str">
            <v>DISPFEDMSW-RES</v>
          </cell>
          <cell r="I9150" t="str">
            <v>DISPOSAL FEDERAL MSW - RE</v>
          </cell>
        </row>
        <row r="9151">
          <cell r="H9151" t="str">
            <v>DISPGW-RES</v>
          </cell>
          <cell r="I9151" t="str">
            <v>DISPOSAL FEE GREENWASTE -</v>
          </cell>
        </row>
        <row r="9152">
          <cell r="H9152" t="str">
            <v>EXTRA-RES</v>
          </cell>
          <cell r="I9152" t="str">
            <v>EXTRA CAN, BAG, BOX - RES</v>
          </cell>
        </row>
        <row r="9153">
          <cell r="H9153" t="str">
            <v>GWRES</v>
          </cell>
          <cell r="I9153" t="str">
            <v>GREENWASTE SERVICE - RES</v>
          </cell>
        </row>
        <row r="9154">
          <cell r="H9154" t="str">
            <v>OW-RES</v>
          </cell>
          <cell r="I9154" t="str">
            <v>OVERFILL / OVERWEIGHT CAN</v>
          </cell>
        </row>
        <row r="9155">
          <cell r="H9155" t="str">
            <v>REDEL-RES</v>
          </cell>
          <cell r="I9155" t="str">
            <v>REDELIVER FEE - RES</v>
          </cell>
        </row>
        <row r="9156">
          <cell r="H9156" t="str">
            <v>REINSTATE-RES</v>
          </cell>
          <cell r="I9156" t="str">
            <v>REINSTATE FEE - RES</v>
          </cell>
        </row>
        <row r="9157">
          <cell r="H9157" t="str">
            <v>SL095.0GEO001WREC</v>
          </cell>
          <cell r="I9157" t="str">
            <v>95 GL EOW W/RECY 1</v>
          </cell>
        </row>
        <row r="9158">
          <cell r="H9158" t="str">
            <v>DISP-RES</v>
          </cell>
          <cell r="I9158" t="str">
            <v>DISPOSAL FEE -RES</v>
          </cell>
        </row>
        <row r="9159">
          <cell r="H9159" t="str">
            <v>DISPCMGL-RES</v>
          </cell>
          <cell r="I9159" t="str">
            <v>DISPOSAL COMINGLE - RES</v>
          </cell>
        </row>
        <row r="9160">
          <cell r="H9160" t="str">
            <v>DISPGW-RES</v>
          </cell>
          <cell r="I9160" t="str">
            <v>DISPOSAL FEE GREENWASTE -</v>
          </cell>
        </row>
        <row r="9161">
          <cell r="H9161" t="str">
            <v>OW-RES</v>
          </cell>
          <cell r="I9161" t="str">
            <v>OVERFILL / OVERWEIGHT CAN</v>
          </cell>
        </row>
        <row r="9162">
          <cell r="H9162" t="str">
            <v>HAUL20-RO</v>
          </cell>
          <cell r="I9162" t="str">
            <v>HAUL 20 YD - RO</v>
          </cell>
        </row>
        <row r="9163">
          <cell r="H9163" t="str">
            <v>LIDRO</v>
          </cell>
          <cell r="I9163" t="str">
            <v>LID CHARGE - RO</v>
          </cell>
        </row>
        <row r="9164">
          <cell r="H9164" t="str">
            <v>RENT10MO-RO</v>
          </cell>
          <cell r="I9164" t="str">
            <v>RENTAL FEE 10 YD MONTHLY</v>
          </cell>
        </row>
        <row r="9165">
          <cell r="H9165" t="str">
            <v>RENT20MO-RO</v>
          </cell>
          <cell r="I9165" t="str">
            <v>RENTAL FEE 20 YD MONTHLY</v>
          </cell>
        </row>
        <row r="9166">
          <cell r="H9166" t="str">
            <v>RENT20TEMP-RO</v>
          </cell>
          <cell r="I9166" t="str">
            <v>RENTAL FEE 20 YD TEMP - R</v>
          </cell>
        </row>
        <row r="9167">
          <cell r="H9167" t="str">
            <v>RENT30MO-RO</v>
          </cell>
          <cell r="I9167" t="str">
            <v>RENTAL FEE 30 YD MONTHLY</v>
          </cell>
        </row>
        <row r="9168">
          <cell r="H9168" t="str">
            <v>RENT30TEMP-RO</v>
          </cell>
          <cell r="I9168" t="str">
            <v>RENTAL FEE 30 YD TEMP - R</v>
          </cell>
        </row>
        <row r="9169">
          <cell r="H9169" t="str">
            <v>RENT40MO-RO</v>
          </cell>
          <cell r="I9169" t="str">
            <v>RENTAL FEE 40 YD MONTHLY</v>
          </cell>
        </row>
        <row r="9170">
          <cell r="H9170" t="str">
            <v>RENT40TEMP-RO</v>
          </cell>
          <cell r="I9170" t="str">
            <v>RENTAL FEE 40 YD TEMP - R</v>
          </cell>
        </row>
        <row r="9171">
          <cell r="H9171" t="str">
            <v>CLEAN20-RO</v>
          </cell>
          <cell r="I9171" t="str">
            <v>CLEANING FEE 20 YD - RO</v>
          </cell>
        </row>
        <row r="9172">
          <cell r="H9172" t="str">
            <v>CLEAN30-RO</v>
          </cell>
          <cell r="I9172" t="str">
            <v>CLEANING FEE 30 YD - RO</v>
          </cell>
        </row>
        <row r="9173">
          <cell r="H9173" t="str">
            <v>CLEAN40-RO</v>
          </cell>
          <cell r="I9173" t="str">
            <v>CLEANING FEE 40 YD - RO</v>
          </cell>
        </row>
        <row r="9174">
          <cell r="H9174" t="str">
            <v>DEL20-RO</v>
          </cell>
          <cell r="I9174" t="str">
            <v>DELIVERY FEE 20 YD - RO</v>
          </cell>
        </row>
        <row r="9175">
          <cell r="H9175" t="str">
            <v>DEL20TEMP-RO</v>
          </cell>
          <cell r="I9175" t="str">
            <v>DELIVERY FEE 20 YD TEMP -</v>
          </cell>
        </row>
        <row r="9176">
          <cell r="H9176" t="str">
            <v>DEL30TEMP-RO</v>
          </cell>
          <cell r="I9176" t="str">
            <v>DELIVERY FEE 30 YD TEMP -</v>
          </cell>
        </row>
        <row r="9177">
          <cell r="H9177" t="str">
            <v>DEL40-RO</v>
          </cell>
          <cell r="I9177" t="str">
            <v>DELIVERY FEE 40 YD - RO</v>
          </cell>
        </row>
        <row r="9178">
          <cell r="H9178" t="str">
            <v>DEL40TEMP-RO</v>
          </cell>
          <cell r="I9178" t="str">
            <v>DELIVERY FEE 40 YD TEMP -</v>
          </cell>
        </row>
        <row r="9179">
          <cell r="H9179" t="str">
            <v>DISCO-CP</v>
          </cell>
          <cell r="I9179" t="str">
            <v xml:space="preserve">COMPACTOR DISCONNECT FEE </v>
          </cell>
        </row>
        <row r="9180">
          <cell r="H9180" t="str">
            <v>DISP-RO</v>
          </cell>
          <cell r="I9180" t="str">
            <v>DISPOSAL CHARGE - RO</v>
          </cell>
        </row>
        <row r="9181">
          <cell r="H9181" t="str">
            <v>DISPCMGL-RO</v>
          </cell>
          <cell r="I9181" t="str">
            <v xml:space="preserve">DISPOSAL FEE COMMINGLE - </v>
          </cell>
        </row>
        <row r="9182">
          <cell r="H9182" t="str">
            <v>DISPMATT-RO</v>
          </cell>
          <cell r="I9182" t="str">
            <v>DISPOSAL MATTRESSES - RO</v>
          </cell>
        </row>
        <row r="9183">
          <cell r="H9183" t="str">
            <v>DISPMETAL-RO</v>
          </cell>
          <cell r="I9183" t="str">
            <v>DISPOSAL FEE METAL - RO</v>
          </cell>
        </row>
        <row r="9184">
          <cell r="H9184" t="str">
            <v>DISPOCC-RO</v>
          </cell>
          <cell r="I9184" t="str">
            <v xml:space="preserve">DISPOSAL FEE CARDBOARD - </v>
          </cell>
        </row>
        <row r="9185">
          <cell r="H9185" t="str">
            <v>DISPTIRES-RO</v>
          </cell>
          <cell r="I9185" t="str">
            <v>DISPOSAL FEE TIRES - RO</v>
          </cell>
        </row>
        <row r="9186">
          <cell r="H9186" t="str">
            <v>DISPTOTERS-RO</v>
          </cell>
          <cell r="I9186" t="str">
            <v>DISPOSAL FEE TOTERS</v>
          </cell>
        </row>
        <row r="9187">
          <cell r="H9187" t="str">
            <v>DISPTRANS-RO</v>
          </cell>
          <cell r="I9187" t="str">
            <v>DISPOSAL FEE TRANSFER HAU</v>
          </cell>
        </row>
        <row r="9188">
          <cell r="H9188" t="str">
            <v>DISPWD-RO</v>
          </cell>
          <cell r="I9188" t="str">
            <v>DISPOSAL FEE WOOD - RO</v>
          </cell>
        </row>
        <row r="9189">
          <cell r="H9189" t="str">
            <v>FERRY-RO</v>
          </cell>
          <cell r="I9189" t="str">
            <v>FERRY FEE - RO</v>
          </cell>
        </row>
        <row r="9190">
          <cell r="H9190" t="str">
            <v>FINAL20-RO</v>
          </cell>
          <cell r="I9190" t="str">
            <v>FINAL PULL 20 YD - RO</v>
          </cell>
        </row>
        <row r="9191">
          <cell r="H9191" t="str">
            <v>FINAL20TEMP-RO</v>
          </cell>
          <cell r="I9191" t="str">
            <v>FINAL PULL 20 YD TEMP - R</v>
          </cell>
        </row>
        <row r="9192">
          <cell r="H9192" t="str">
            <v>FINAL30-RO</v>
          </cell>
          <cell r="I9192" t="str">
            <v>FINAL PULL 30 YD - RO</v>
          </cell>
        </row>
        <row r="9193">
          <cell r="H9193" t="str">
            <v>FINAL30TEMP-RO</v>
          </cell>
          <cell r="I9193" t="str">
            <v>FINAL PULL 30 YD TEMP - R</v>
          </cell>
        </row>
        <row r="9194">
          <cell r="H9194" t="str">
            <v>FINAL40-RO</v>
          </cell>
          <cell r="I9194" t="str">
            <v>FINAL PULL 40 YD - RO</v>
          </cell>
        </row>
        <row r="9195">
          <cell r="H9195" t="str">
            <v>FINAL40TEMP-RO</v>
          </cell>
          <cell r="I9195" t="str">
            <v>FINAL PULL 40 YD TEMP - R</v>
          </cell>
        </row>
        <row r="9196">
          <cell r="H9196" t="str">
            <v>HAUL10-CP</v>
          </cell>
          <cell r="I9196" t="str">
            <v>COMPACTOR HAUL 10 YD - RO</v>
          </cell>
        </row>
        <row r="9197">
          <cell r="H9197" t="str">
            <v>HAUL20-CP</v>
          </cell>
          <cell r="I9197" t="str">
            <v>COMPACTOR HAUL 20 YD - RO</v>
          </cell>
        </row>
        <row r="9198">
          <cell r="H9198" t="str">
            <v>HAUL20-RO</v>
          </cell>
          <cell r="I9198" t="str">
            <v>HAUL 20 YD - RO</v>
          </cell>
        </row>
        <row r="9199">
          <cell r="H9199" t="str">
            <v>HAUL20CUST-RO</v>
          </cell>
          <cell r="I9199" t="str">
            <v>HAUL 20 YD CUST - RO</v>
          </cell>
        </row>
        <row r="9200">
          <cell r="H9200" t="str">
            <v>HAUL20TEMP-RO</v>
          </cell>
          <cell r="I9200" t="str">
            <v>HAUL 20 YD TEMP - RO</v>
          </cell>
        </row>
        <row r="9201">
          <cell r="H9201" t="str">
            <v>HAUL25-CP</v>
          </cell>
          <cell r="I9201" t="str">
            <v>COMPACTOR HAUL 25 YD - RO</v>
          </cell>
        </row>
        <row r="9202">
          <cell r="H9202" t="str">
            <v>HAUL30-CP</v>
          </cell>
          <cell r="I9202" t="str">
            <v>COMPACTOR HAUL 30 YD</v>
          </cell>
        </row>
        <row r="9203">
          <cell r="H9203" t="str">
            <v>HAUL30-RO</v>
          </cell>
          <cell r="I9203" t="str">
            <v>HAUL 30 YD - RO</v>
          </cell>
        </row>
        <row r="9204">
          <cell r="H9204" t="str">
            <v>HAUL30TEMP-RO</v>
          </cell>
          <cell r="I9204" t="str">
            <v>HAUL 30 YD TEMP - RO</v>
          </cell>
        </row>
        <row r="9205">
          <cell r="H9205" t="str">
            <v>HAUL40-CP</v>
          </cell>
          <cell r="I9205" t="str">
            <v>COMPACTOR HAUL 40 YD</v>
          </cell>
        </row>
        <row r="9206">
          <cell r="H9206" t="str">
            <v>HAUL40-RO</v>
          </cell>
          <cell r="I9206" t="str">
            <v>HAUL 40 YD - RO</v>
          </cell>
        </row>
        <row r="9207">
          <cell r="H9207" t="str">
            <v>HAUL40TEMP-RO</v>
          </cell>
          <cell r="I9207" t="str">
            <v>HAUL 40 YD TEMP - RO</v>
          </cell>
        </row>
        <row r="9208">
          <cell r="H9208" t="str">
            <v>MILE-RO</v>
          </cell>
          <cell r="I9208" t="str">
            <v>MILEAGE FEE - RO</v>
          </cell>
        </row>
        <row r="9209">
          <cell r="H9209" t="str">
            <v>RENT20TEMP-RO</v>
          </cell>
          <cell r="I9209" t="str">
            <v>RENTAL FEE 20 YD TEMP - R</v>
          </cell>
        </row>
        <row r="9210">
          <cell r="H9210" t="str">
            <v>RENT30TEMP-RO</v>
          </cell>
          <cell r="I9210" t="str">
            <v>RENTAL FEE 30 YD TEMP - R</v>
          </cell>
        </row>
        <row r="9211">
          <cell r="H9211" t="str">
            <v>RENT40TEMP-RO</v>
          </cell>
          <cell r="I9211" t="str">
            <v>RENTAL FEE 40 YD TEMP - R</v>
          </cell>
        </row>
        <row r="9212">
          <cell r="H9212" t="str">
            <v>RTRNTRIP-RO</v>
          </cell>
          <cell r="I9212" t="str">
            <v>RETURN TRIP FEE - RO</v>
          </cell>
        </row>
        <row r="9213">
          <cell r="H9213" t="str">
            <v>TIME-RO</v>
          </cell>
          <cell r="I9213" t="str">
            <v>TIME FEE - RO</v>
          </cell>
        </row>
        <row r="9214">
          <cell r="H9214" t="str">
            <v>DEL20TEMP-RO</v>
          </cell>
          <cell r="I9214" t="str">
            <v>DELIVERY FEE 20 YD TEMP -</v>
          </cell>
        </row>
        <row r="9215">
          <cell r="H9215" t="str">
            <v>DEL30TEMP-RO</v>
          </cell>
          <cell r="I9215" t="str">
            <v>DELIVERY FEE 30 YD TEMP -</v>
          </cell>
        </row>
        <row r="9216">
          <cell r="H9216" t="str">
            <v>DEL40TEMP-RO</v>
          </cell>
          <cell r="I9216" t="str">
            <v>DELIVERY FEE 40 YD TEMP -</v>
          </cell>
        </row>
        <row r="9217">
          <cell r="H9217" t="str">
            <v>DISP-RO</v>
          </cell>
          <cell r="I9217" t="str">
            <v>DISPOSAL CHARGE - RO</v>
          </cell>
        </row>
        <row r="9218">
          <cell r="H9218" t="str">
            <v>FINAL20TEMP-RO</v>
          </cell>
          <cell r="I9218" t="str">
            <v>FINAL PULL 20 YD TEMP - R</v>
          </cell>
        </row>
        <row r="9219">
          <cell r="H9219" t="str">
            <v>FINAL40TEMP-RO</v>
          </cell>
          <cell r="I9219" t="str">
            <v>FINAL PULL 40 YD TEMP - R</v>
          </cell>
        </row>
        <row r="9220">
          <cell r="H9220" t="str">
            <v>HAUL20TEMP-RO</v>
          </cell>
          <cell r="I9220" t="str">
            <v>HAUL 20 YD TEMP - RO</v>
          </cell>
        </row>
        <row r="9221">
          <cell r="H9221" t="str">
            <v>HAUL30TEMP-RO</v>
          </cell>
          <cell r="I9221" t="str">
            <v>HAUL 30 YD TEMP - RO</v>
          </cell>
        </row>
        <row r="9222">
          <cell r="H9222" t="str">
            <v>MILE-RO</v>
          </cell>
          <cell r="I9222" t="str">
            <v>MILEAGE FEE - RO</v>
          </cell>
        </row>
        <row r="9223">
          <cell r="H9223" t="str">
            <v>RENT20TEMP-RO</v>
          </cell>
          <cell r="I9223" t="str">
            <v>RENTAL FEE 20 YD TEMP - R</v>
          </cell>
        </row>
        <row r="9224">
          <cell r="H9224" t="str">
            <v>RENT30TEMP-RO</v>
          </cell>
          <cell r="I9224" t="str">
            <v>RENTAL FEE 30 YD TEMP - R</v>
          </cell>
        </row>
        <row r="9225">
          <cell r="H9225" t="str">
            <v>RENT40TEMP-RO</v>
          </cell>
          <cell r="I9225" t="str">
            <v>RENTAL FEE 40 YD TEMP - R</v>
          </cell>
        </row>
        <row r="9226">
          <cell r="H9226" t="str">
            <v>COMMODITY SURCHARGE</v>
          </cell>
          <cell r="I9226" t="str">
            <v>COMMODITY SURCHARGE</v>
          </cell>
        </row>
        <row r="9227">
          <cell r="H9227" t="str">
            <v>COMMODITY SURCHARGE</v>
          </cell>
          <cell r="I9227" t="str">
            <v>COMMODITY SURCHARGE</v>
          </cell>
        </row>
        <row r="9228">
          <cell r="H9228" t="str">
            <v>UNIV PLACE SURCHARGE</v>
          </cell>
          <cell r="I9228" t="str">
            <v>UNIVERSITY PLACE SURCHARGE</v>
          </cell>
        </row>
        <row r="9229">
          <cell r="H9229" t="str">
            <v>COMMODITY SURCHARGE</v>
          </cell>
          <cell r="I9229" t="str">
            <v>COMMODITY SURCHARGE</v>
          </cell>
        </row>
        <row r="9230">
          <cell r="H9230" t="str">
            <v xml:space="preserve">PIERCE COUNTY REFUSE </v>
          </cell>
          <cell r="I9230" t="str">
            <v>3.6% PIERCE COUNTY REFUSE</v>
          </cell>
        </row>
        <row r="9231">
          <cell r="H9231" t="str">
            <v xml:space="preserve">PIERCE COUNTY REFUSE  </v>
          </cell>
          <cell r="I9231" t="str">
            <v>3.6% PIERCE COUNTY REFUSE</v>
          </cell>
        </row>
        <row r="9232">
          <cell r="H9232" t="str">
            <v>PIERCE REFUSE TAX</v>
          </cell>
          <cell r="I9232" t="str">
            <v>3.6% WA STATE REFUSE TAX</v>
          </cell>
        </row>
        <row r="9233">
          <cell r="H9233" t="str">
            <v xml:space="preserve">PIERCE COUNTY REFUSE </v>
          </cell>
          <cell r="I9233" t="str">
            <v>3.6% PIERCE COUNTY REFUSE</v>
          </cell>
        </row>
        <row r="9234">
          <cell r="H9234" t="str">
            <v xml:space="preserve">PIERCE COUNTY REFUSE  </v>
          </cell>
          <cell r="I9234" t="str">
            <v>3.6% PIERCE COUNTY REFUSE</v>
          </cell>
        </row>
        <row r="9235">
          <cell r="H9235" t="str">
            <v>PIERCE COUNTY REFUSE</v>
          </cell>
          <cell r="I9235" t="str">
            <v>3.6% PIERCE COUNTY REFUSE</v>
          </cell>
        </row>
        <row r="9236">
          <cell r="H9236" t="str">
            <v>PIERCE COUNTY SALES 7.9%</v>
          </cell>
          <cell r="I9236" t="str">
            <v>7.9% WA STATE SALES TAX</v>
          </cell>
        </row>
        <row r="9237">
          <cell r="H9237" t="str">
            <v>PIERCE COUNTY SALES 9.3%</v>
          </cell>
          <cell r="I9237" t="str">
            <v>9.3% WA STATE SALES TAX</v>
          </cell>
        </row>
        <row r="9238">
          <cell r="H9238" t="str">
            <v>PIERCE REFUSE TAX</v>
          </cell>
          <cell r="I9238" t="str">
            <v>3.6% WA STATE REFUSE TAX</v>
          </cell>
        </row>
        <row r="9239">
          <cell r="H9239" t="str">
            <v>PIERCE STATE SALES TAX</v>
          </cell>
          <cell r="I9239" t="str">
            <v>9.9% WA STATE SALES TAX</v>
          </cell>
        </row>
        <row r="9240">
          <cell r="H9240" t="str">
            <v xml:space="preserve">PIERCE COUNTY REFUSE  </v>
          </cell>
          <cell r="I9240" t="str">
            <v>3.6% PIERCE COUNTY REFUSE</v>
          </cell>
        </row>
        <row r="9241">
          <cell r="H9241" t="str">
            <v xml:space="preserve">PIERCE COUNTY REFUSE </v>
          </cell>
          <cell r="I9241" t="str">
            <v>3.6% PIERCE COUNTY REFUSE</v>
          </cell>
        </row>
        <row r="9242">
          <cell r="H9242" t="str">
            <v xml:space="preserve">PIERCE COUNTY REFUSE  </v>
          </cell>
          <cell r="I9242" t="str">
            <v>3.6% PIERCE COUNTY REFUSE</v>
          </cell>
        </row>
        <row r="9243">
          <cell r="H9243" t="str">
            <v>PIERCE COUNTY REFUSE</v>
          </cell>
          <cell r="I9243" t="str">
            <v>3.6% PIERCE COUNTY REFUSE</v>
          </cell>
        </row>
        <row r="9244">
          <cell r="H9244" t="str">
            <v>PIERCE REFUSE TAX</v>
          </cell>
          <cell r="I9244" t="str">
            <v>3.6% WA STATE REFUSE TAX</v>
          </cell>
        </row>
        <row r="9245">
          <cell r="H9245" t="str">
            <v xml:space="preserve">PIERCE COUNTY REFUSE </v>
          </cell>
          <cell r="I9245" t="str">
            <v>3.6% PIERCE COUNTY REFUSE</v>
          </cell>
        </row>
        <row r="9246">
          <cell r="H9246" t="str">
            <v xml:space="preserve">PIERCE COUNTY REFUSE  </v>
          </cell>
          <cell r="I9246" t="str">
            <v>3.6% PIERCE COUNTY REFUSE</v>
          </cell>
        </row>
        <row r="9247">
          <cell r="H9247" t="str">
            <v>PIERCE COUNTY REFUSE</v>
          </cell>
          <cell r="I9247" t="str">
            <v>3.6% PIERCE COUNTY REFUSE</v>
          </cell>
        </row>
        <row r="9248">
          <cell r="H9248" t="str">
            <v>PIERCE REFUSE TAX</v>
          </cell>
          <cell r="I9248" t="str">
            <v>3.6% WA STATE REFUSE TAX</v>
          </cell>
        </row>
        <row r="9249">
          <cell r="H9249" t="str">
            <v xml:space="preserve">PIERCE COUNTY REFUSE </v>
          </cell>
          <cell r="I9249" t="str">
            <v>3.6% PIERCE COUNTY REFUSE</v>
          </cell>
        </row>
        <row r="9250">
          <cell r="H9250" t="str">
            <v xml:space="preserve">PIERCE COUNTY REFUSE  </v>
          </cell>
          <cell r="I9250" t="str">
            <v>3.6% PIERCE COUNTY REFUSE</v>
          </cell>
        </row>
        <row r="9251">
          <cell r="H9251" t="str">
            <v>PIERCE COUNTY REFUSE</v>
          </cell>
          <cell r="I9251" t="str">
            <v>3.6% PIERCE COUNTY REFUSE</v>
          </cell>
        </row>
        <row r="9252">
          <cell r="H9252" t="str">
            <v>PIERCE REFUSE TAX</v>
          </cell>
          <cell r="I9252" t="str">
            <v>3.6% WA STATE REFUSE TAX</v>
          </cell>
        </row>
        <row r="9253">
          <cell r="H9253" t="str">
            <v>PIERCE STATE SALES TAX</v>
          </cell>
          <cell r="I9253" t="str">
            <v>9.9% WA STATE SALES TAX</v>
          </cell>
        </row>
        <row r="9254">
          <cell r="H9254" t="str">
            <v xml:space="preserve">PIERCE COUNTY REFUSE  </v>
          </cell>
          <cell r="I9254" t="str">
            <v>3.6% PIERCE COUNTY REFUSE</v>
          </cell>
        </row>
        <row r="9255">
          <cell r="H9255" t="str">
            <v>PIERCE REFUSE TAX</v>
          </cell>
          <cell r="I9255" t="str">
            <v>3.6% WA STATE REFUSE TAX</v>
          </cell>
        </row>
        <row r="9256">
          <cell r="H9256" t="str">
            <v>PIERCE STATE SALES TAX</v>
          </cell>
          <cell r="I9256" t="str">
            <v>9.9% WA STATE SALES TAX</v>
          </cell>
        </row>
        <row r="9257">
          <cell r="H9257" t="str">
            <v xml:space="preserve">PIERCE COUNTY REFUSE </v>
          </cell>
          <cell r="I9257" t="str">
            <v>3.6% PIERCE COUNTY REFUSE</v>
          </cell>
        </row>
        <row r="9258">
          <cell r="H9258" t="str">
            <v xml:space="preserve">PIERCE COUNTY REFUSE  </v>
          </cell>
          <cell r="I9258" t="str">
            <v>3.6% PIERCE COUNTY REFUSE</v>
          </cell>
        </row>
        <row r="9259">
          <cell r="H9259" t="str">
            <v>PIERCE COUNTY REFUSE</v>
          </cell>
          <cell r="I9259" t="str">
            <v>3.6% PIERCE COUNTY REFUSE</v>
          </cell>
        </row>
        <row r="9260">
          <cell r="H9260" t="str">
            <v>PIERCE COUNTY SALES 7.9%</v>
          </cell>
          <cell r="I9260" t="str">
            <v>7.9% WA STATE SALES TAX</v>
          </cell>
        </row>
        <row r="9261">
          <cell r="H9261" t="str">
            <v>PIERCE COUNTY SALES 8.0%</v>
          </cell>
          <cell r="I9261" t="str">
            <v>8.0% WA STATE SALES TAX</v>
          </cell>
        </row>
        <row r="9262">
          <cell r="H9262" t="str">
            <v>PIERCE COUNTY SALES 9.3%</v>
          </cell>
          <cell r="I9262" t="str">
            <v>9.3% WA STATE SALES TAX</v>
          </cell>
        </row>
        <row r="9263">
          <cell r="H9263" t="str">
            <v>PIERCE REFUSE TAX</v>
          </cell>
          <cell r="I9263" t="str">
            <v>3.6% WA STATE REFUSE TAX</v>
          </cell>
        </row>
        <row r="9264">
          <cell r="H9264" t="str">
            <v>PIERCE STATE SALES TAX</v>
          </cell>
          <cell r="I9264" t="str">
            <v>9.9% WA STATE SALES TAX</v>
          </cell>
        </row>
        <row r="9265">
          <cell r="H9265" t="str">
            <v xml:space="preserve">PIERCE COUNTY REFUSE </v>
          </cell>
          <cell r="I9265" t="str">
            <v>3.6% PIERCE COUNTY REFUSE</v>
          </cell>
        </row>
        <row r="9266">
          <cell r="H9266" t="str">
            <v xml:space="preserve">PIERCE COUNTY REFUSE  </v>
          </cell>
          <cell r="I9266" t="str">
            <v>3.6% PIERCE COUNTY REFUSE</v>
          </cell>
        </row>
        <row r="9267">
          <cell r="H9267" t="str">
            <v>PIERCE COUNTY SALES 7.9%</v>
          </cell>
          <cell r="I9267" t="str">
            <v>7.9% WA STATE SALES TAX</v>
          </cell>
        </row>
        <row r="9268">
          <cell r="H9268" t="str">
            <v>PIERCE COUNTY SALES 9.3%</v>
          </cell>
          <cell r="I9268" t="str">
            <v>9.3% WA STATE SALES TAX</v>
          </cell>
        </row>
        <row r="9269">
          <cell r="H9269" t="str">
            <v>PIERCE REFUSE TAX</v>
          </cell>
          <cell r="I9269" t="str">
            <v>3.6% WA STATE REFUSE TAX</v>
          </cell>
        </row>
        <row r="9270">
          <cell r="H9270" t="str">
            <v>PIERCE STATE SALES TAX</v>
          </cell>
          <cell r="I9270" t="str">
            <v>9.9% WA STATE SALES TAX</v>
          </cell>
        </row>
        <row r="9271">
          <cell r="H9271" t="str">
            <v>FINCHG</v>
          </cell>
          <cell r="I9271" t="str">
            <v>LATE FEE</v>
          </cell>
        </row>
        <row r="9272">
          <cell r="H9272" t="str">
            <v>BD</v>
          </cell>
          <cell r="I9272" t="str">
            <v>BAD DEBT WRITE OFF</v>
          </cell>
        </row>
        <row r="9273">
          <cell r="H9273" t="str">
            <v>BDR</v>
          </cell>
          <cell r="I9273" t="str">
            <v>BAD DEBT RECOVERY</v>
          </cell>
        </row>
        <row r="9274">
          <cell r="H9274" t="str">
            <v>COLLFEE</v>
          </cell>
          <cell r="I9274" t="str">
            <v>COLLECTION AGENCY FEE</v>
          </cell>
        </row>
        <row r="9275">
          <cell r="H9275" t="str">
            <v>FINCHG</v>
          </cell>
          <cell r="I9275" t="str">
            <v>LATE FEE</v>
          </cell>
        </row>
        <row r="9276">
          <cell r="H9276" t="str">
            <v>REFUND</v>
          </cell>
          <cell r="I9276" t="str">
            <v>REFUND</v>
          </cell>
        </row>
        <row r="9277">
          <cell r="H9277" t="str">
            <v>ACCESS-COMM</v>
          </cell>
          <cell r="I9277" t="str">
            <v>ACCESS FEE - COMM</v>
          </cell>
        </row>
        <row r="9278">
          <cell r="H9278" t="str">
            <v>DONATIONC</v>
          </cell>
          <cell r="I9278" t="str">
            <v>DONATED SERVICE COMM</v>
          </cell>
        </row>
        <row r="9279">
          <cell r="H9279" t="str">
            <v>DRIVEIN1-COMM</v>
          </cell>
          <cell r="I9279" t="str">
            <v>DRIVE IN 125-250' - COMM</v>
          </cell>
        </row>
        <row r="9280">
          <cell r="H9280" t="str">
            <v>FL001.0Y1W001</v>
          </cell>
          <cell r="I9280" t="str">
            <v>1 YD 1X WK 1</v>
          </cell>
        </row>
        <row r="9281">
          <cell r="H9281" t="str">
            <v>FL001.0Y1W001MF</v>
          </cell>
          <cell r="I9281" t="str">
            <v>1 YD 1X WK MULTI-FAMILY 1</v>
          </cell>
        </row>
        <row r="9282">
          <cell r="H9282" t="str">
            <v>FL001.5Y1W001</v>
          </cell>
          <cell r="I9282" t="str">
            <v>1.5 YD 1X WK 1</v>
          </cell>
        </row>
        <row r="9283">
          <cell r="H9283" t="str">
            <v>FL001.5Y1W001MF</v>
          </cell>
          <cell r="I9283" t="str">
            <v>1.5 YD 1X WK MULTI-FAMILY 1</v>
          </cell>
        </row>
        <row r="9284">
          <cell r="H9284" t="str">
            <v>FL001.5Y2W001</v>
          </cell>
          <cell r="I9284" t="str">
            <v>1.5 YD 2X WK 1</v>
          </cell>
        </row>
        <row r="9285">
          <cell r="H9285" t="str">
            <v>FL001.5Y2W001MF</v>
          </cell>
          <cell r="I9285" t="str">
            <v>1.5 YD 2X WK MULTI-FAMILY 1</v>
          </cell>
        </row>
        <row r="9286">
          <cell r="H9286" t="str">
            <v>FL002.0Y1W001</v>
          </cell>
          <cell r="I9286" t="str">
            <v>2 YD 1X WK 1</v>
          </cell>
        </row>
        <row r="9287">
          <cell r="H9287" t="str">
            <v>FL002.0Y1W001MF</v>
          </cell>
          <cell r="I9287" t="str">
            <v>2 YD 1X WK MULTI-FAMILY 1</v>
          </cell>
        </row>
        <row r="9288">
          <cell r="H9288" t="str">
            <v>FL002.0Y2W001</v>
          </cell>
          <cell r="I9288" t="str">
            <v>2 YD 2X WK 1</v>
          </cell>
        </row>
        <row r="9289">
          <cell r="H9289" t="str">
            <v>FL002.0Y2W001MF</v>
          </cell>
          <cell r="I9289" t="str">
            <v>2 YD 2X WK MULTI-FAMILY 1</v>
          </cell>
        </row>
        <row r="9290">
          <cell r="H9290" t="str">
            <v>FL003.0Y1W001MF</v>
          </cell>
          <cell r="I9290" t="str">
            <v>3 YD 1X WK MULTI-FAMILY 1</v>
          </cell>
        </row>
        <row r="9291">
          <cell r="H9291" t="str">
            <v>FL004.0Y1W001</v>
          </cell>
          <cell r="I9291" t="str">
            <v>4 YD 1X WK 1</v>
          </cell>
        </row>
        <row r="9292">
          <cell r="H9292" t="str">
            <v>FL004.0Y1W001MF</v>
          </cell>
          <cell r="I9292" t="str">
            <v>4 YD 1X WK MULTI-FAMILY 1</v>
          </cell>
        </row>
        <row r="9293">
          <cell r="H9293" t="str">
            <v>FL004.0Y2W001MF</v>
          </cell>
          <cell r="I9293" t="str">
            <v>4 YD 2X WK MULTI-FAMILY 1</v>
          </cell>
        </row>
        <row r="9294">
          <cell r="H9294" t="str">
            <v>FL006.0Y1W001</v>
          </cell>
          <cell r="I9294" t="str">
            <v>6 YD 1X WK 1</v>
          </cell>
        </row>
        <row r="9295">
          <cell r="H9295" t="str">
            <v>FL006.0Y1W001MF</v>
          </cell>
          <cell r="I9295" t="str">
            <v>6 YD 1X WK MULTI-FAMILY 1</v>
          </cell>
        </row>
        <row r="9296">
          <cell r="H9296" t="str">
            <v>FL006.0Y2W001</v>
          </cell>
          <cell r="I9296" t="str">
            <v>6 YD 2X WK 1</v>
          </cell>
        </row>
        <row r="9297">
          <cell r="H9297" t="str">
            <v>GWCOMM</v>
          </cell>
          <cell r="I9297" t="str">
            <v>GREENWASTE SERVICE - COMM</v>
          </cell>
        </row>
        <row r="9298">
          <cell r="H9298" t="str">
            <v>RL032.0G1W002WRECC</v>
          </cell>
          <cell r="I9298" t="str">
            <v>32 GL 1X WK W/RECY COMM 2</v>
          </cell>
        </row>
        <row r="9299">
          <cell r="H9299" t="str">
            <v>RL032.0G1W006WRECC</v>
          </cell>
          <cell r="I9299" t="str">
            <v>32 GL 1X WK W/RECY COMM 6</v>
          </cell>
        </row>
        <row r="9300">
          <cell r="H9300" t="str">
            <v>SL035.0G1W001WRECC</v>
          </cell>
          <cell r="I9300" t="str">
            <v>35 GL 1X WK W/RECY COMM 1</v>
          </cell>
        </row>
        <row r="9301">
          <cell r="H9301" t="str">
            <v>SL065.0G1W001WRECC</v>
          </cell>
          <cell r="I9301" t="str">
            <v>65 GL 1X WK W/RECY COMM 1</v>
          </cell>
        </row>
        <row r="9302">
          <cell r="H9302" t="str">
            <v>SL065.0GEO001WRECC</v>
          </cell>
          <cell r="I9302" t="str">
            <v>65 GL EOW W/RECY COMM 1</v>
          </cell>
        </row>
        <row r="9303">
          <cell r="H9303" t="str">
            <v>SL095.0G1W001WRECC</v>
          </cell>
          <cell r="I9303" t="str">
            <v>95 GL 1X WK W/RECY COMM 1</v>
          </cell>
        </row>
        <row r="9304">
          <cell r="H9304" t="str">
            <v>SL095.0GEO001WRECC</v>
          </cell>
          <cell r="I9304" t="str">
            <v>95 GL EOW W/RECY COMM 1</v>
          </cell>
        </row>
        <row r="9305">
          <cell r="H9305" t="str">
            <v>WI1-COMM</v>
          </cell>
          <cell r="I9305" t="str">
            <v>WALK IN 6-25' - COMM</v>
          </cell>
        </row>
        <row r="9306">
          <cell r="H9306" t="str">
            <v>DEL-COMM</v>
          </cell>
          <cell r="I9306" t="str">
            <v>DELIVERY FEE - COMM</v>
          </cell>
        </row>
        <row r="9307">
          <cell r="H9307" t="str">
            <v>EXTRA-COMM</v>
          </cell>
          <cell r="I9307" t="str">
            <v>EXTRA CAN, BAG, BOX - COM</v>
          </cell>
        </row>
        <row r="9308">
          <cell r="H9308" t="str">
            <v>RENT1.5TEMP-COMM</v>
          </cell>
          <cell r="I9308" t="str">
            <v>RENT 1.5 YD TEMP - COMM</v>
          </cell>
        </row>
        <row r="9309">
          <cell r="H9309" t="str">
            <v>SP1-COMM</v>
          </cell>
          <cell r="I9309" t="str">
            <v>SPECIAL PICK UP 1 YD - CO</v>
          </cell>
        </row>
        <row r="9310">
          <cell r="H9310" t="str">
            <v>FL002.0Y1W001BCMGL</v>
          </cell>
          <cell r="I9310" t="str">
            <v>2 YD 1X WK BUS CMGL 1</v>
          </cell>
        </row>
        <row r="9311">
          <cell r="H9311" t="str">
            <v>FL002.0Y1W001BOCC</v>
          </cell>
          <cell r="I9311" t="str">
            <v>2 YD 1X WK BUS OCC 1</v>
          </cell>
        </row>
        <row r="9312">
          <cell r="H9312" t="str">
            <v>FL002.0Y1W001SCMGL</v>
          </cell>
          <cell r="I9312" t="str">
            <v>2 YD 1X WK SCHL CMGL 1</v>
          </cell>
        </row>
        <row r="9313">
          <cell r="H9313" t="str">
            <v>FL002.0Y2W001BCMGL</v>
          </cell>
          <cell r="I9313" t="str">
            <v>2 YD 2X WK BUS CMGL 1</v>
          </cell>
        </row>
        <row r="9314">
          <cell r="H9314" t="str">
            <v>FL002.0Y2W001SCMGL</v>
          </cell>
          <cell r="I9314" t="str">
            <v>2 YD 2X WK SCHL CMGL 1</v>
          </cell>
        </row>
        <row r="9315">
          <cell r="H9315" t="str">
            <v>FL004.0Y2W001CMGL</v>
          </cell>
          <cell r="I9315" t="str">
            <v>4 YD 2X WK BUS CMGL 1</v>
          </cell>
        </row>
        <row r="9316">
          <cell r="H9316" t="str">
            <v>FL006.0Y2W001BCMGL</v>
          </cell>
          <cell r="I9316" t="str">
            <v>6 YD 2X WK BUS COMINGLE 1</v>
          </cell>
        </row>
        <row r="9317">
          <cell r="H9317" t="str">
            <v>MFWBINS</v>
          </cell>
          <cell r="I9317" t="str">
            <v>MULTI-FAMILY REC UNIT W/B</v>
          </cell>
        </row>
        <row r="9318">
          <cell r="H9318" t="str">
            <v>SL096.0G1W001BCMGLOUT</v>
          </cell>
          <cell r="I9318" t="str">
            <v>96 GL WKLY BUS CMGL OUT</v>
          </cell>
        </row>
        <row r="9319">
          <cell r="H9319" t="str">
            <v>SL096.0G1W001SCMGLOUT</v>
          </cell>
          <cell r="I9319" t="str">
            <v>96 GL WKLY SCHL CMGL OUT</v>
          </cell>
        </row>
        <row r="9320">
          <cell r="H9320" t="str">
            <v>SL096.0GEO001BCMGLOUT</v>
          </cell>
          <cell r="I9320" t="str">
            <v>96 GL EOW BUS CMGL OUT</v>
          </cell>
        </row>
        <row r="9321">
          <cell r="H9321" t="str">
            <v>SL096.0GEO001SCMGLOUT</v>
          </cell>
          <cell r="I9321" t="str">
            <v>96 GL EOW SCHL CMGL OUT</v>
          </cell>
        </row>
        <row r="9322">
          <cell r="H9322" t="str">
            <v>CC-KOL</v>
          </cell>
          <cell r="I9322" t="str">
            <v>ONLINE PAYMENT-CC</v>
          </cell>
        </row>
        <row r="9323">
          <cell r="H9323" t="str">
            <v>CCREF-KOL</v>
          </cell>
          <cell r="I9323" t="str">
            <v>CREDIT CARD REFUND</v>
          </cell>
        </row>
        <row r="9324">
          <cell r="H9324" t="str">
            <v>PAY</v>
          </cell>
          <cell r="I9324" t="str">
            <v>PAYMENT THANK YOU</v>
          </cell>
        </row>
        <row r="9325">
          <cell r="H9325" t="str">
            <v>PAY-CFREE</v>
          </cell>
          <cell r="I9325" t="str">
            <v>CHECKFREE PAYMENT</v>
          </cell>
        </row>
        <row r="9326">
          <cell r="H9326" t="str">
            <v>PAY-KOL</v>
          </cell>
          <cell r="I9326" t="str">
            <v>PAYMENT-THANK YOU - OL</v>
          </cell>
        </row>
        <row r="9327">
          <cell r="H9327" t="str">
            <v>PAY-ORCC</v>
          </cell>
          <cell r="I9327" t="str">
            <v>ORCC PAYMENT</v>
          </cell>
        </row>
        <row r="9328">
          <cell r="H9328" t="str">
            <v>PAY-RPPS</v>
          </cell>
          <cell r="I9328" t="str">
            <v>RPPS MASTERCARD PAYMENT</v>
          </cell>
        </row>
        <row r="9329">
          <cell r="H9329" t="str">
            <v>PAYMET</v>
          </cell>
          <cell r="I9329" t="str">
            <v>METAVANTE ONLINE PAYMENT</v>
          </cell>
        </row>
        <row r="9330">
          <cell r="H9330" t="str">
            <v>PAYUSBL</v>
          </cell>
          <cell r="I9330" t="str">
            <v>PAYMENT THANK YOU</v>
          </cell>
        </row>
        <row r="9331">
          <cell r="H9331" t="str">
            <v>DRIVEIN1-RES</v>
          </cell>
          <cell r="I9331" t="str">
            <v>DRIVE IN 1 - RES</v>
          </cell>
        </row>
        <row r="9332">
          <cell r="H9332" t="str">
            <v>DRIVEIN2-RES</v>
          </cell>
          <cell r="I9332" t="str">
            <v>DRIVE IN 2 - RES</v>
          </cell>
        </row>
        <row r="9333">
          <cell r="H9333" t="str">
            <v>EMPLOYEER</v>
          </cell>
          <cell r="I9333" t="str">
            <v>EMPLOYEE SERVICE RES</v>
          </cell>
        </row>
        <row r="9334">
          <cell r="H9334" t="str">
            <v>GW3RES</v>
          </cell>
          <cell r="I9334" t="str">
            <v>GREENWASTE SVC 3 - RES</v>
          </cell>
        </row>
        <row r="9335">
          <cell r="H9335" t="str">
            <v>GWRES</v>
          </cell>
          <cell r="I9335" t="str">
            <v>GREENWASTE SERVICE - RES</v>
          </cell>
        </row>
        <row r="9336">
          <cell r="H9336" t="str">
            <v>RECBINONLYR</v>
          </cell>
          <cell r="I9336" t="str">
            <v>RECYCLE SERVICE ONLY</v>
          </cell>
        </row>
        <row r="9337">
          <cell r="H9337" t="str">
            <v>RL032.0G1W001WREC</v>
          </cell>
          <cell r="I9337" t="str">
            <v>32 GL 1X WK W/RECY 1</v>
          </cell>
        </row>
        <row r="9338">
          <cell r="H9338" t="str">
            <v>RL032.0G1W002WREC</v>
          </cell>
          <cell r="I9338" t="str">
            <v>32 GL 1X WK W/RECY 2</v>
          </cell>
        </row>
        <row r="9339">
          <cell r="H9339" t="str">
            <v>RL032.0G1W003WREC</v>
          </cell>
          <cell r="I9339" t="str">
            <v>32 GL 1X WK W/RECY 3</v>
          </cell>
        </row>
        <row r="9340">
          <cell r="H9340" t="str">
            <v>SL035.0G1M001WREC</v>
          </cell>
          <cell r="I9340" t="str">
            <v>35 GL 1X MO W/RECY 1</v>
          </cell>
        </row>
        <row r="9341">
          <cell r="H9341" t="str">
            <v>SL035.0G1W001WREC</v>
          </cell>
          <cell r="I9341" t="str">
            <v>35 GL 1X WK W/ RECY 1</v>
          </cell>
        </row>
        <row r="9342">
          <cell r="H9342" t="str">
            <v>SL035.0G1W002WREC</v>
          </cell>
          <cell r="I9342" t="str">
            <v>35 GL 1X WK W/RECY 2</v>
          </cell>
        </row>
        <row r="9343">
          <cell r="H9343" t="str">
            <v>SL035.0GEO001WREC</v>
          </cell>
          <cell r="I9343" t="str">
            <v>35 GL EOW W/RECY 1</v>
          </cell>
        </row>
        <row r="9344">
          <cell r="H9344" t="str">
            <v>SL065.0G1M001WREC</v>
          </cell>
          <cell r="I9344" t="str">
            <v>65 GL 1X MO W/RECY 1</v>
          </cell>
        </row>
        <row r="9345">
          <cell r="H9345" t="str">
            <v>SL065.0G1W001WREC</v>
          </cell>
          <cell r="I9345" t="str">
            <v>65 GL 1X WK W/RECY 1</v>
          </cell>
        </row>
        <row r="9346">
          <cell r="H9346" t="str">
            <v>SL065.0GEO001WREC</v>
          </cell>
          <cell r="I9346" t="str">
            <v>65 GL EOW W/RECY 1</v>
          </cell>
        </row>
        <row r="9347">
          <cell r="H9347" t="str">
            <v>SL095.0G1M0001WRECSPCL</v>
          </cell>
          <cell r="I9347" t="str">
            <v>95 GL 1X MO S/D W/RECY 1</v>
          </cell>
        </row>
        <row r="9348">
          <cell r="H9348" t="str">
            <v>SL095.0G1W001WREC</v>
          </cell>
          <cell r="I9348" t="str">
            <v>95 GL 1X WK W/RECY 1</v>
          </cell>
        </row>
        <row r="9349">
          <cell r="H9349" t="str">
            <v>SL095.0GEO001WREC</v>
          </cell>
          <cell r="I9349" t="str">
            <v>95 GL EOW W/RECY 1</v>
          </cell>
        </row>
        <row r="9350">
          <cell r="H9350" t="str">
            <v>WI1-RES</v>
          </cell>
          <cell r="I9350" t="str">
            <v>WALK IN 6-25' - RES</v>
          </cell>
        </row>
        <row r="9351">
          <cell r="H9351" t="str">
            <v>BULKY-RES</v>
          </cell>
          <cell r="I9351" t="str">
            <v>BULKY ITEM PICK UP - RES</v>
          </cell>
        </row>
        <row r="9352">
          <cell r="H9352" t="str">
            <v>EP96GWC-RES</v>
          </cell>
          <cell r="I9352" t="str">
            <v>EXTRA PICK UP 96 GW - RES</v>
          </cell>
        </row>
        <row r="9353">
          <cell r="H9353" t="str">
            <v>EXTRA-RES</v>
          </cell>
          <cell r="I9353" t="str">
            <v>EXTRA CAN, BAG, BOX - RES</v>
          </cell>
        </row>
        <row r="9354">
          <cell r="H9354" t="str">
            <v>EXTRAGWC-RES</v>
          </cell>
          <cell r="I9354" t="str">
            <v>EXTRA GREENWASTE FEE - RE</v>
          </cell>
        </row>
        <row r="9355">
          <cell r="H9355" t="str">
            <v>GWRES</v>
          </cell>
          <cell r="I9355" t="str">
            <v>GREENWASTE SERVICE - RES</v>
          </cell>
        </row>
        <row r="9356">
          <cell r="H9356" t="str">
            <v>OW-RES</v>
          </cell>
          <cell r="I9356" t="str">
            <v>OVERFILL / OVERWEIGHT CAN</v>
          </cell>
        </row>
        <row r="9357">
          <cell r="H9357" t="str">
            <v>REINSTATE-RES</v>
          </cell>
          <cell r="I9357" t="str">
            <v>REINSTATE FEE - RES</v>
          </cell>
        </row>
        <row r="9358">
          <cell r="H9358" t="str">
            <v>RTRNCART32-RES</v>
          </cell>
          <cell r="I9358" t="str">
            <v>RETURN TRIP 32 GL - RES</v>
          </cell>
        </row>
        <row r="9359">
          <cell r="H9359" t="str">
            <v>RTRNCART95-RES</v>
          </cell>
          <cell r="I9359" t="str">
            <v>RETURN TRIP 95 GL - RES</v>
          </cell>
        </row>
        <row r="9360">
          <cell r="H9360" t="str">
            <v>SL035.0G1W001WREC</v>
          </cell>
          <cell r="I9360" t="str">
            <v>35 GL 1X WK W/ RECY 1</v>
          </cell>
        </row>
        <row r="9361">
          <cell r="H9361" t="str">
            <v>SL065.0G1W001WREC</v>
          </cell>
          <cell r="I9361" t="str">
            <v>65 GL 1X WK W/RECY 1</v>
          </cell>
        </row>
        <row r="9362">
          <cell r="H9362" t="str">
            <v>SL065.0GEO001WREC</v>
          </cell>
          <cell r="I9362" t="str">
            <v>65 GL EOW W/RECY 1</v>
          </cell>
        </row>
        <row r="9363">
          <cell r="H9363" t="str">
            <v>SP65-RES</v>
          </cell>
          <cell r="I9363" t="str">
            <v>SPECIAL PICK UP 65 GL - R</v>
          </cell>
        </row>
        <row r="9364">
          <cell r="H9364" t="str">
            <v>SPCLREC-RES</v>
          </cell>
          <cell r="I9364" t="str">
            <v>SPECIAL RECYCLE - RES</v>
          </cell>
        </row>
        <row r="9365">
          <cell r="H9365" t="str">
            <v>LIDRO</v>
          </cell>
          <cell r="I9365" t="str">
            <v>LID CHARGE - RO</v>
          </cell>
        </row>
        <row r="9366">
          <cell r="H9366" t="str">
            <v>RENT20MO-RO</v>
          </cell>
          <cell r="I9366" t="str">
            <v>RENTAL FEE 20 YD MONTHLY</v>
          </cell>
        </row>
        <row r="9367">
          <cell r="H9367" t="str">
            <v>CLEAN25-RO</v>
          </cell>
          <cell r="I9367" t="str">
            <v>CLEANING FEE 25 YD - RO</v>
          </cell>
        </row>
        <row r="9368">
          <cell r="H9368" t="str">
            <v>DEL20TEMP-RO</v>
          </cell>
          <cell r="I9368" t="str">
            <v>DELIVERY FEE 20 YD TEMP -</v>
          </cell>
        </row>
        <row r="9369">
          <cell r="H9369" t="str">
            <v>DISCO-CP</v>
          </cell>
          <cell r="I9369" t="str">
            <v xml:space="preserve">COMPACTOR DISCONNECT FEE </v>
          </cell>
        </row>
        <row r="9370">
          <cell r="H9370" t="str">
            <v>DISP-RO</v>
          </cell>
          <cell r="I9370" t="str">
            <v>DISPOSAL CHARGE - RO</v>
          </cell>
        </row>
        <row r="9371">
          <cell r="H9371" t="str">
            <v>DISPCMGL-RO</v>
          </cell>
          <cell r="I9371" t="str">
            <v xml:space="preserve">DISPOSAL FEE COMMINGLE - </v>
          </cell>
        </row>
        <row r="9372">
          <cell r="H9372" t="str">
            <v>DISPGLASS-RO</v>
          </cell>
          <cell r="I9372" t="str">
            <v>DISPOSAL FEE GLASS - RO</v>
          </cell>
        </row>
        <row r="9373">
          <cell r="H9373" t="str">
            <v>DISPOCC-RO</v>
          </cell>
          <cell r="I9373" t="str">
            <v xml:space="preserve">DISPOSAL FEE CARDBOARD - </v>
          </cell>
        </row>
        <row r="9374">
          <cell r="H9374" t="str">
            <v>DISPTRANS-RO</v>
          </cell>
          <cell r="I9374" t="str">
            <v>DISPOSAL FEE TRANSFER HAU</v>
          </cell>
        </row>
        <row r="9375">
          <cell r="H9375" t="str">
            <v>FINAL20-RO</v>
          </cell>
          <cell r="I9375" t="str">
            <v>FINAL PULL 20 YD - RO</v>
          </cell>
        </row>
        <row r="9376">
          <cell r="H9376" t="str">
            <v>HAUL20-CP</v>
          </cell>
          <cell r="I9376" t="str">
            <v>COMPACTOR HAUL 20 YD - RO</v>
          </cell>
        </row>
        <row r="9377">
          <cell r="H9377" t="str">
            <v>HAUL20-RO</v>
          </cell>
          <cell r="I9377" t="str">
            <v>HAUL 20 YD - RO</v>
          </cell>
        </row>
        <row r="9378">
          <cell r="H9378" t="str">
            <v>HAUL20TEMP-RO</v>
          </cell>
          <cell r="I9378" t="str">
            <v>HAUL 20 YD TEMP - RO</v>
          </cell>
        </row>
        <row r="9379">
          <cell r="H9379" t="str">
            <v>HAUL25-CP</v>
          </cell>
          <cell r="I9379" t="str">
            <v>COMPACTOR HAUL 25 YD - RO</v>
          </cell>
        </row>
        <row r="9380">
          <cell r="H9380" t="str">
            <v>HAUL30-RO</v>
          </cell>
          <cell r="I9380" t="str">
            <v>HAUL 30 YD - RO</v>
          </cell>
        </row>
        <row r="9381">
          <cell r="H9381" t="str">
            <v>LIDRO</v>
          </cell>
          <cell r="I9381" t="str">
            <v>LID CHARGE - RO</v>
          </cell>
        </row>
        <row r="9382">
          <cell r="H9382" t="str">
            <v>MILE-RO</v>
          </cell>
          <cell r="I9382" t="str">
            <v>MILEAGE FEE - RO</v>
          </cell>
        </row>
        <row r="9383">
          <cell r="H9383" t="str">
            <v>RENT20MO-RO</v>
          </cell>
          <cell r="I9383" t="str">
            <v>RENTAL FEE 20 YD MONTHLY</v>
          </cell>
        </row>
        <row r="9384">
          <cell r="H9384" t="str">
            <v>RENT20TEMP-RO</v>
          </cell>
          <cell r="I9384" t="str">
            <v>RENTAL FEE 20 YD TEMP - R</v>
          </cell>
        </row>
        <row r="9385">
          <cell r="H9385" t="str">
            <v>COMMODITY SURCHARGE</v>
          </cell>
          <cell r="I9385" t="str">
            <v>COMMODITY SURCHARGE</v>
          </cell>
        </row>
        <row r="9386">
          <cell r="H9386" t="str">
            <v>COMMODITY SURCHARGE</v>
          </cell>
          <cell r="I9386" t="str">
            <v>COMMODITY SURCHARGE</v>
          </cell>
        </row>
        <row r="9387">
          <cell r="H9387" t="str">
            <v>DUPONT CITY UTILITY TAX</v>
          </cell>
          <cell r="I9387" t="str">
            <v>8% CITY UTILITY TAX</v>
          </cell>
        </row>
        <row r="9388">
          <cell r="H9388" t="str">
            <v>DUPONT REFUSE TAX</v>
          </cell>
          <cell r="I9388" t="str">
            <v>3.6% WA STATE REFUSE TAX</v>
          </cell>
        </row>
        <row r="9389">
          <cell r="H9389" t="str">
            <v xml:space="preserve">PIERCE COUNTY REFUSE </v>
          </cell>
          <cell r="I9389" t="str">
            <v>3.6% PIERCE COUNTY REFUSE</v>
          </cell>
        </row>
        <row r="9390">
          <cell r="H9390" t="str">
            <v>STEILACOOM CITY  TAX</v>
          </cell>
          <cell r="I9390" t="str">
            <v>6% CITY UTILITY TAX</v>
          </cell>
        </row>
        <row r="9391">
          <cell r="H9391" t="str">
            <v>STEILACOOM REFUSE TAX</v>
          </cell>
          <cell r="I9391" t="str">
            <v>3.6% WA STATE REFUSE TAX</v>
          </cell>
        </row>
        <row r="9392">
          <cell r="H9392" t="str">
            <v>STEILACOOM ST SALES TAX</v>
          </cell>
          <cell r="I9392" t="str">
            <v>9.9% WA STATE SALES TAX</v>
          </cell>
        </row>
        <row r="9393">
          <cell r="H9393" t="str">
            <v>STEILACOOM CITY  TAX</v>
          </cell>
          <cell r="I9393" t="str">
            <v>6% CITY UTILITY TAX</v>
          </cell>
        </row>
        <row r="9394">
          <cell r="H9394" t="str">
            <v>STEILACOOM REFUSE TAX</v>
          </cell>
          <cell r="I9394" t="str">
            <v>3.6% WA STATE REFUSE TAX</v>
          </cell>
        </row>
        <row r="9395">
          <cell r="H9395" t="str">
            <v>STEILACOOM ST SALES TAX</v>
          </cell>
          <cell r="I9395" t="str">
            <v>9.9% WA STATE SALES TAX</v>
          </cell>
        </row>
        <row r="9396">
          <cell r="H9396" t="str">
            <v>STEILACOOM CITY  TAX</v>
          </cell>
          <cell r="I9396" t="str">
            <v>6% CITY UTILITY TAX</v>
          </cell>
        </row>
        <row r="9397">
          <cell r="H9397" t="str">
            <v>STEILACOOM REFUSE TAX</v>
          </cell>
          <cell r="I9397" t="str">
            <v>3.6% WA STATE REFUSE TAX</v>
          </cell>
        </row>
        <row r="9398">
          <cell r="H9398" t="str">
            <v>STEILACOOM CITY  TAX</v>
          </cell>
          <cell r="I9398" t="str">
            <v>6% CITY UTILITY TAX</v>
          </cell>
        </row>
        <row r="9399">
          <cell r="H9399" t="str">
            <v>STEILACOOM REFUSE TAX</v>
          </cell>
          <cell r="I9399" t="str">
            <v>3.6% WA STATE REFUSE TAX</v>
          </cell>
        </row>
        <row r="9400">
          <cell r="H9400" t="str">
            <v>STEILACOOM ST SALES TAX</v>
          </cell>
          <cell r="I9400" t="str">
            <v>9.9% WA STATE SALES TAX</v>
          </cell>
        </row>
        <row r="9401">
          <cell r="H9401" t="str">
            <v>BDR</v>
          </cell>
          <cell r="I9401" t="str">
            <v>BAD DEBT RECOVERY</v>
          </cell>
        </row>
        <row r="9402">
          <cell r="H9402" t="str">
            <v>COLLFEE</v>
          </cell>
          <cell r="I9402" t="str">
            <v>COLLECTION AGENCY FEE</v>
          </cell>
        </row>
        <row r="9403">
          <cell r="H9403" t="str">
            <v>FINCHG</v>
          </cell>
          <cell r="I9403" t="str">
            <v>LATE FEE</v>
          </cell>
        </row>
        <row r="9404">
          <cell r="H9404" t="str">
            <v>BDR</v>
          </cell>
          <cell r="I9404" t="str">
            <v>BAD DEBT RECOVERY</v>
          </cell>
        </row>
        <row r="9405">
          <cell r="H9405" t="str">
            <v>FINCHG</v>
          </cell>
          <cell r="I9405" t="str">
            <v>LATE FEE</v>
          </cell>
        </row>
        <row r="9406">
          <cell r="H9406" t="str">
            <v>ACCESS-COMM</v>
          </cell>
          <cell r="I9406" t="str">
            <v>ACCESS FEE - COMM</v>
          </cell>
        </row>
        <row r="9407">
          <cell r="H9407" t="str">
            <v>FL001.5Y1W001</v>
          </cell>
          <cell r="I9407" t="str">
            <v>1.5 YD 1X WK 1</v>
          </cell>
        </row>
        <row r="9408">
          <cell r="H9408" t="str">
            <v>FL002.0Y1W001</v>
          </cell>
          <cell r="I9408" t="str">
            <v>2 YD 1X WK 1</v>
          </cell>
        </row>
        <row r="9409">
          <cell r="H9409" t="str">
            <v>FL002.0Y2W001</v>
          </cell>
          <cell r="I9409" t="str">
            <v>2 YD 2X WK 1</v>
          </cell>
        </row>
        <row r="9410">
          <cell r="H9410" t="str">
            <v>FL002.0Y4W001</v>
          </cell>
          <cell r="I9410" t="str">
            <v>2 YD 4X WK 1</v>
          </cell>
        </row>
        <row r="9411">
          <cell r="H9411" t="str">
            <v>FL003.0Y2W001</v>
          </cell>
          <cell r="I9411" t="str">
            <v>3 YD 2X WK 1</v>
          </cell>
        </row>
        <row r="9412">
          <cell r="H9412" t="str">
            <v>FL006.0Y1W001</v>
          </cell>
          <cell r="I9412" t="str">
            <v>6 YD 1X WK 1</v>
          </cell>
        </row>
        <row r="9413">
          <cell r="H9413" t="str">
            <v>FL006.0Y2W001</v>
          </cell>
          <cell r="I9413" t="str">
            <v>6 YD 2X WK 1</v>
          </cell>
        </row>
        <row r="9414">
          <cell r="H9414" t="str">
            <v>SL065.0G1W001NORECC</v>
          </cell>
          <cell r="I9414" t="str">
            <v xml:space="preserve">65 GL 1X WK NO RECY COMM </v>
          </cell>
        </row>
        <row r="9415">
          <cell r="H9415" t="str">
            <v>SL065.0G1W001WRECC</v>
          </cell>
          <cell r="I9415" t="str">
            <v>65 GL 1X WK W/RECY COMM 1</v>
          </cell>
        </row>
        <row r="9416">
          <cell r="H9416" t="str">
            <v>SL065.0GEO001WRECC</v>
          </cell>
          <cell r="I9416" t="str">
            <v>65 GL EOW W/RECY COMM 1</v>
          </cell>
        </row>
        <row r="9417">
          <cell r="H9417" t="str">
            <v>EXTRA-COMM</v>
          </cell>
          <cell r="I9417" t="str">
            <v>EXTRA CAN, BAG, BOX - COM</v>
          </cell>
        </row>
        <row r="9418">
          <cell r="H9418" t="str">
            <v>EXTRAYDG-COM</v>
          </cell>
          <cell r="I9418" t="str">
            <v>EXTRA YARDAGE - COMM</v>
          </cell>
        </row>
        <row r="9419">
          <cell r="H9419" t="str">
            <v>FL002.0Y1W001BOCC</v>
          </cell>
          <cell r="I9419" t="str">
            <v>2 YD 1X WK BUS OCC 1</v>
          </cell>
        </row>
        <row r="9420">
          <cell r="H9420" t="str">
            <v>FL004.0Y1W001CMGL</v>
          </cell>
          <cell r="I9420" t="str">
            <v>4 YD 1X WK BUS CMGL 1</v>
          </cell>
        </row>
        <row r="9421">
          <cell r="H9421" t="str">
            <v>FL005.0Y1W001BOCC</v>
          </cell>
          <cell r="I9421" t="str">
            <v>5 YD 1X WK BUS OCC 1</v>
          </cell>
        </row>
        <row r="9422">
          <cell r="H9422" t="str">
            <v>FL005.0Y3W001BOCC</v>
          </cell>
          <cell r="I9422" t="str">
            <v>5 YD 3X WK BUS OCC 1</v>
          </cell>
        </row>
        <row r="9423">
          <cell r="H9423" t="str">
            <v>MFWBINS</v>
          </cell>
          <cell r="I9423" t="str">
            <v>MULTI-FAMILY REC UNIT W/B</v>
          </cell>
        </row>
        <row r="9424">
          <cell r="H9424" t="str">
            <v>SL096.0GEO001BCMGLOUT</v>
          </cell>
          <cell r="I9424" t="str">
            <v>96 GL EOW BUS CMGL OUT</v>
          </cell>
        </row>
        <row r="9425">
          <cell r="H9425" t="str">
            <v>CC-KOL</v>
          </cell>
          <cell r="I9425" t="str">
            <v>ONLINE PAYMENT-CC</v>
          </cell>
        </row>
        <row r="9426">
          <cell r="H9426" t="str">
            <v>PAY</v>
          </cell>
          <cell r="I9426" t="str">
            <v>PAYMENT THANK YOU</v>
          </cell>
        </row>
        <row r="9427">
          <cell r="H9427" t="str">
            <v>PAY-CFREE</v>
          </cell>
          <cell r="I9427" t="str">
            <v>CHECKFREE PAYMENT</v>
          </cell>
        </row>
        <row r="9428">
          <cell r="H9428" t="str">
            <v>PAY-KOL</v>
          </cell>
          <cell r="I9428" t="str">
            <v>PAYMENT-THANK YOU - OL</v>
          </cell>
        </row>
        <row r="9429">
          <cell r="H9429" t="str">
            <v>PAY-ORCC</v>
          </cell>
          <cell r="I9429" t="str">
            <v>ORCC PAYMENT</v>
          </cell>
        </row>
        <row r="9430">
          <cell r="H9430" t="str">
            <v>PAY-RPPS</v>
          </cell>
          <cell r="I9430" t="str">
            <v>RPPS MASTERCARD PAYMENT</v>
          </cell>
        </row>
        <row r="9431">
          <cell r="H9431" t="str">
            <v>PAYMET</v>
          </cell>
          <cell r="I9431" t="str">
            <v>METAVANTE ONLINE PAYMENT</v>
          </cell>
        </row>
        <row r="9432">
          <cell r="H9432" t="str">
            <v>PAYUSBL</v>
          </cell>
          <cell r="I9432" t="str">
            <v>PAYMENT THANK YOU</v>
          </cell>
        </row>
        <row r="9433">
          <cell r="H9433" t="str">
            <v>CC-KOL</v>
          </cell>
          <cell r="I9433" t="str">
            <v>ONLINE PAYMENT-CC</v>
          </cell>
        </row>
        <row r="9434">
          <cell r="H9434" t="str">
            <v>PAY</v>
          </cell>
          <cell r="I9434" t="str">
            <v>PAYMENT THANK YOU</v>
          </cell>
        </row>
        <row r="9435">
          <cell r="H9435" t="str">
            <v>PAY-CFREE</v>
          </cell>
          <cell r="I9435" t="str">
            <v>CHECKFREE PAYMENT</v>
          </cell>
        </row>
        <row r="9436">
          <cell r="H9436" t="str">
            <v>PAY-KOL</v>
          </cell>
          <cell r="I9436" t="str">
            <v>PAYMENT-THANK YOU - OL</v>
          </cell>
        </row>
        <row r="9437">
          <cell r="H9437" t="str">
            <v>PAYUSBL</v>
          </cell>
          <cell r="I9437" t="str">
            <v>PAYMENT THANK YOU</v>
          </cell>
        </row>
        <row r="9438">
          <cell r="H9438" t="str">
            <v>CC-KOL</v>
          </cell>
          <cell r="I9438" t="str">
            <v>ONLINE PAYMENT-CC</v>
          </cell>
        </row>
        <row r="9439">
          <cell r="H9439" t="str">
            <v>PAY-CFREE</v>
          </cell>
          <cell r="I9439" t="str">
            <v>CHECKFREE PAYMENT</v>
          </cell>
        </row>
        <row r="9440">
          <cell r="H9440" t="str">
            <v>PAY-KOL</v>
          </cell>
          <cell r="I9440" t="str">
            <v>PAYMENT-THANK YOU - OL</v>
          </cell>
        </row>
        <row r="9441">
          <cell r="H9441" t="str">
            <v>PAY-OAK</v>
          </cell>
          <cell r="I9441" t="str">
            <v>OAKLEAF PAYMENT</v>
          </cell>
        </row>
        <row r="9442">
          <cell r="H9442" t="str">
            <v>PAY-RPPS</v>
          </cell>
          <cell r="I9442" t="str">
            <v>RPPS MASTERCARD PAYMENT</v>
          </cell>
        </row>
        <row r="9443">
          <cell r="H9443" t="str">
            <v>PAYMET</v>
          </cell>
          <cell r="I9443" t="str">
            <v>METAVANTE ONLINE PAYMENT</v>
          </cell>
        </row>
        <row r="9444">
          <cell r="H9444" t="str">
            <v>PAYUSBL</v>
          </cell>
          <cell r="I9444" t="str">
            <v>PAYMENT THANK YOU</v>
          </cell>
        </row>
        <row r="9445">
          <cell r="H9445" t="str">
            <v>GWRES</v>
          </cell>
          <cell r="I9445" t="str">
            <v>GREENWASTE SERVICE - RES</v>
          </cell>
        </row>
        <row r="9446">
          <cell r="H9446" t="str">
            <v>SL065.0G1W001WREC</v>
          </cell>
          <cell r="I9446" t="str">
            <v>65 GL 1X WK W/RECY 1</v>
          </cell>
        </row>
        <row r="9447">
          <cell r="H9447" t="str">
            <v>SL065.0GEO001WREC</v>
          </cell>
          <cell r="I9447" t="str">
            <v>65 GL EOW W/RECY 1</v>
          </cell>
        </row>
        <row r="9448">
          <cell r="H9448" t="str">
            <v>SL095.0G1W001WREC</v>
          </cell>
          <cell r="I9448" t="str">
            <v>95 GL 1X WK W/RECY 1</v>
          </cell>
        </row>
        <row r="9449">
          <cell r="H9449" t="str">
            <v>OW-RES</v>
          </cell>
          <cell r="I9449" t="str">
            <v>OVERFILL / OVERWEIGHT CAN</v>
          </cell>
        </row>
        <row r="9450">
          <cell r="H9450" t="str">
            <v>REINSTATE-RES</v>
          </cell>
          <cell r="I9450" t="str">
            <v>REINSTATE FEE - RES</v>
          </cell>
        </row>
        <row r="9451">
          <cell r="H9451" t="str">
            <v>GWRES</v>
          </cell>
          <cell r="I9451" t="str">
            <v>GREENWASTE SERVICE - RES</v>
          </cell>
        </row>
        <row r="9452">
          <cell r="H9452" t="str">
            <v>RECBINONLYR</v>
          </cell>
          <cell r="I9452" t="str">
            <v>RECYCLE SERVICE ONLY</v>
          </cell>
        </row>
        <row r="9453">
          <cell r="H9453" t="str">
            <v>SL035.0GEO001WREC</v>
          </cell>
          <cell r="I9453" t="str">
            <v>35 GL EOW W/RECY 1</v>
          </cell>
        </row>
        <row r="9454">
          <cell r="H9454" t="str">
            <v>SL065.0G1W001WREC</v>
          </cell>
          <cell r="I9454" t="str">
            <v>65 GL 1X WK W/RECY 1</v>
          </cell>
        </row>
        <row r="9455">
          <cell r="H9455" t="str">
            <v>SL065.0GEO001NOREC</v>
          </cell>
          <cell r="I9455" t="str">
            <v>65 GL EOW NO RECY 1</v>
          </cell>
        </row>
        <row r="9456">
          <cell r="H9456" t="str">
            <v>SL065.0GEO001WREC</v>
          </cell>
          <cell r="I9456" t="str">
            <v>65 GL EOW W/RECY 1</v>
          </cell>
        </row>
        <row r="9457">
          <cell r="H9457" t="str">
            <v>SL095.0G1W001WREC</v>
          </cell>
          <cell r="I9457" t="str">
            <v>95 GL 1X WK W/RECY 1</v>
          </cell>
        </row>
        <row r="9458">
          <cell r="H9458" t="str">
            <v>EXTRA-RES</v>
          </cell>
          <cell r="I9458" t="str">
            <v>EXTRA CAN, BAG, BOX - RES</v>
          </cell>
        </row>
        <row r="9459">
          <cell r="H9459" t="str">
            <v>OW-RES</v>
          </cell>
          <cell r="I9459" t="str">
            <v>OVERFILL / OVERWEIGHT CAN</v>
          </cell>
        </row>
        <row r="9460">
          <cell r="H9460" t="str">
            <v>SL065.0G1W001WREC</v>
          </cell>
          <cell r="I9460" t="str">
            <v>65 GL 1X WK W/RECY 1</v>
          </cell>
        </row>
        <row r="9461">
          <cell r="H9461" t="str">
            <v>SL095.0G1W001WREC</v>
          </cell>
          <cell r="I9461" t="str">
            <v>95 GL 1X WK W/RECY 1</v>
          </cell>
        </row>
        <row r="9462">
          <cell r="H9462" t="str">
            <v>TIME-RES</v>
          </cell>
          <cell r="I9462" t="str">
            <v>TIME FEE 1 - RES</v>
          </cell>
        </row>
        <row r="9463">
          <cell r="H9463" t="str">
            <v>OW-RES</v>
          </cell>
          <cell r="I9463" t="str">
            <v>OVERFILL / OVERWEIGHT CAN</v>
          </cell>
        </row>
        <row r="9464">
          <cell r="H9464" t="str">
            <v>RENT20MO-RO</v>
          </cell>
          <cell r="I9464" t="str">
            <v>RENTAL FEE 20 YD MONTHLY</v>
          </cell>
        </row>
        <row r="9465">
          <cell r="H9465" t="str">
            <v>DISCO-CP</v>
          </cell>
          <cell r="I9465" t="str">
            <v xml:space="preserve">COMPACTOR DISCONNECT FEE </v>
          </cell>
        </row>
        <row r="9466">
          <cell r="H9466" t="str">
            <v>DISP-RO</v>
          </cell>
          <cell r="I9466" t="str">
            <v>DISPOSAL CHARGE - RO</v>
          </cell>
        </row>
        <row r="9467">
          <cell r="H9467" t="str">
            <v>HAUL20-RO</v>
          </cell>
          <cell r="I9467" t="str">
            <v>HAUL 20 YD - RO</v>
          </cell>
        </row>
        <row r="9468">
          <cell r="H9468" t="str">
            <v>HAUL30-CP</v>
          </cell>
          <cell r="I9468" t="str">
            <v>COMPACTOR HAUL 30 YD</v>
          </cell>
        </row>
        <row r="9469">
          <cell r="H9469" t="str">
            <v>COMMODITY SURCHARGE</v>
          </cell>
          <cell r="I9469" t="str">
            <v>COMMODITY SURCHARGE</v>
          </cell>
        </row>
        <row r="9470">
          <cell r="H9470" t="str">
            <v>UNIV PLACE SURCHARGE</v>
          </cell>
          <cell r="I9470" t="str">
            <v>UNIVERSITY PLACE SURCHARGE</v>
          </cell>
        </row>
        <row r="9471">
          <cell r="H9471" t="str">
            <v>UNIV PLACE SURCHARGE</v>
          </cell>
          <cell r="I9471" t="str">
            <v>UNIVERSITY PLACE SURCHARGE</v>
          </cell>
        </row>
        <row r="9472">
          <cell r="H9472" t="str">
            <v>UNIV PLACE SURCHARGE</v>
          </cell>
          <cell r="I9472" t="str">
            <v>UNIVERSITY PLACE SURCHARGE</v>
          </cell>
        </row>
        <row r="9473">
          <cell r="H9473" t="str">
            <v>UNIV PLACE SURCHARGE</v>
          </cell>
          <cell r="I9473" t="str">
            <v>UNIVERSITY PLACE SURCHARGE</v>
          </cell>
        </row>
        <row r="9474">
          <cell r="H9474" t="str">
            <v>UNIV PLACE SURCHARGE</v>
          </cell>
          <cell r="I9474" t="str">
            <v>UNIVERSITY PLACE SURCHARGE</v>
          </cell>
        </row>
        <row r="9475">
          <cell r="H9475" t="str">
            <v>UP CITY UTILITY TAX</v>
          </cell>
          <cell r="I9475" t="str">
            <v>6% CITY UTILITY TAX</v>
          </cell>
        </row>
        <row r="9476">
          <cell r="H9476" t="str">
            <v>UP CITY ONLY</v>
          </cell>
          <cell r="I9476" t="str">
            <v>6% CITY UTILITY TAX</v>
          </cell>
        </row>
        <row r="9477">
          <cell r="H9477" t="str">
            <v>UP CITY UTILITY TAX</v>
          </cell>
          <cell r="I9477" t="str">
            <v>6% CITY UTILITY TAX</v>
          </cell>
        </row>
        <row r="9478">
          <cell r="H9478" t="str">
            <v>UP REFUSE TAX</v>
          </cell>
          <cell r="I9478" t="str">
            <v>3.6% WA STATE REFUSE TAX</v>
          </cell>
        </row>
        <row r="9479">
          <cell r="H9479" t="str">
            <v>UP CITY UTILITY TAX</v>
          </cell>
          <cell r="I9479" t="str">
            <v>6% CITY UTILITY TAX</v>
          </cell>
        </row>
        <row r="9480">
          <cell r="H9480" t="str">
            <v>UP REFUSE TAX</v>
          </cell>
          <cell r="I9480" t="str">
            <v>3.6% WA STATE REFUSE TAX</v>
          </cell>
        </row>
        <row r="9481">
          <cell r="H9481" t="str">
            <v>UP CITY UTILITY TAX</v>
          </cell>
          <cell r="I9481" t="str">
            <v>6% CITY UTILITY TAX</v>
          </cell>
        </row>
        <row r="9482">
          <cell r="H9482" t="str">
            <v>UP REFUSE TAX</v>
          </cell>
          <cell r="I9482" t="str">
            <v>3.6% WA STATE REFUSE TAX</v>
          </cell>
        </row>
        <row r="9483">
          <cell r="H9483" t="str">
            <v>UP CITY UTILITY TAX</v>
          </cell>
          <cell r="I9483" t="str">
            <v>6% CITY UTILITY TAX</v>
          </cell>
        </row>
        <row r="9484">
          <cell r="H9484" t="str">
            <v>UP REFUSE TAX</v>
          </cell>
          <cell r="I9484" t="str">
            <v>3.6% WA STATE REFUSE TAX</v>
          </cell>
        </row>
        <row r="9485">
          <cell r="H9485" t="str">
            <v>UP CITY UTILITY TAX</v>
          </cell>
          <cell r="I9485" t="str">
            <v>6% CITY UTILITY TAX</v>
          </cell>
        </row>
        <row r="9486">
          <cell r="H9486" t="str">
            <v>UP REFUSE TAX</v>
          </cell>
          <cell r="I9486" t="str">
            <v>3.6% WA STATE REFUSE TAX</v>
          </cell>
        </row>
        <row r="9487">
          <cell r="H9487" t="str">
            <v>UP STATE SALES TAX</v>
          </cell>
          <cell r="I9487" t="str">
            <v>9.9% WA STATE SALES TAX</v>
          </cell>
        </row>
        <row r="9488">
          <cell r="H9488" t="str">
            <v>DISPFEDMSW-COMM</v>
          </cell>
          <cell r="I9488" t="str">
            <v>DISPOSAL FEDERAL MSW - CO</v>
          </cell>
        </row>
        <row r="9489">
          <cell r="H9489" t="str">
            <v>FL001.5Y1W001</v>
          </cell>
          <cell r="I9489" t="str">
            <v>1.5 YD 1X WK 1</v>
          </cell>
        </row>
        <row r="9490">
          <cell r="H9490" t="str">
            <v>CONTRACTEDC</v>
          </cell>
          <cell r="I9490" t="str">
            <v>CONTRACTED SERVICE - COMM</v>
          </cell>
        </row>
        <row r="9491">
          <cell r="H9491" t="str">
            <v>DISPGW-COMM</v>
          </cell>
          <cell r="I9491" t="str">
            <v>DISPOSAL FEE GREENWASTE -</v>
          </cell>
        </row>
        <row r="9492">
          <cell r="H9492" t="str">
            <v>DISPTONER-COMM</v>
          </cell>
          <cell r="I9492" t="str">
            <v>DISPOSAL TONER - COMM</v>
          </cell>
        </row>
        <row r="9493">
          <cell r="H9493" t="str">
            <v>PAYEFT</v>
          </cell>
          <cell r="I9493" t="str">
            <v>EFT PAYMENT</v>
          </cell>
        </row>
        <row r="9494">
          <cell r="H9494" t="str">
            <v>DISPASB-RO</v>
          </cell>
          <cell r="I9494" t="str">
            <v>DISPOSAL FEE ASBESTOS - R</v>
          </cell>
        </row>
        <row r="9495">
          <cell r="H9495" t="str">
            <v>DISPBATT-RO</v>
          </cell>
          <cell r="I9495" t="str">
            <v>DISPOSAL BATTERIES - RO</v>
          </cell>
        </row>
        <row r="9496">
          <cell r="H9496" t="str">
            <v>DISPCMGL-RO</v>
          </cell>
          <cell r="I9496" t="str">
            <v xml:space="preserve">DISPOSAL FEE COMMINGLE - </v>
          </cell>
        </row>
        <row r="9497">
          <cell r="H9497" t="str">
            <v>DISPFEDMSW-RO</v>
          </cell>
          <cell r="I9497" t="str">
            <v xml:space="preserve">DISPOSAL FEE FEDERAL MSW </v>
          </cell>
        </row>
        <row r="9498">
          <cell r="H9498" t="str">
            <v>DISPFOOD-RO</v>
          </cell>
          <cell r="I9498" t="str">
            <v>DISPOSAL FEE FOOD WASTE -</v>
          </cell>
        </row>
        <row r="9499">
          <cell r="H9499" t="str">
            <v>DISPGLASS-RO</v>
          </cell>
          <cell r="I9499" t="str">
            <v>DISPOSAL FEE GLASS - RO</v>
          </cell>
        </row>
        <row r="9500">
          <cell r="H9500" t="str">
            <v>DISPGW-RO</v>
          </cell>
          <cell r="I9500" t="str">
            <v>DISPOSAL FEE GREENWASTE -</v>
          </cell>
        </row>
        <row r="9501">
          <cell r="H9501" t="str">
            <v>DISPMETAL-RO</v>
          </cell>
          <cell r="I9501" t="str">
            <v>DISPOSAL FEE METAL - RO</v>
          </cell>
        </row>
        <row r="9502">
          <cell r="H9502" t="str">
            <v>DISPOCC-RO</v>
          </cell>
          <cell r="I9502" t="str">
            <v xml:space="preserve">DISPOSAL FEE CARDBOARD - </v>
          </cell>
        </row>
        <row r="9503">
          <cell r="H9503" t="str">
            <v>DISPTEX-RO</v>
          </cell>
          <cell r="I9503" t="str">
            <v>DISPOSAL TEXTILE - RO</v>
          </cell>
        </row>
        <row r="9504">
          <cell r="H9504" t="str">
            <v>DISPWD-RO</v>
          </cell>
          <cell r="I9504" t="str">
            <v>DISPOSAL FEE WOOD - RO</v>
          </cell>
        </row>
        <row r="9505">
          <cell r="H9505" t="str">
            <v>DISPWIRE-RO</v>
          </cell>
          <cell r="I9505" t="str">
            <v>DISPOSAL FEE WIRE - RO</v>
          </cell>
        </row>
        <row r="9506">
          <cell r="H9506" t="str">
            <v>HAUL20-RO</v>
          </cell>
          <cell r="I9506" t="str">
            <v>HAUL 20 YD - RO</v>
          </cell>
        </row>
        <row r="9507">
          <cell r="H9507" t="str">
            <v>HAUL30-RO</v>
          </cell>
          <cell r="I9507" t="str">
            <v>HAUL 30 YD - RO</v>
          </cell>
        </row>
        <row r="9508">
          <cell r="H9508" t="str">
            <v>HAUL50-RO</v>
          </cell>
          <cell r="I9508" t="str">
            <v>HAUL 50 YD - RO</v>
          </cell>
        </row>
        <row r="9509">
          <cell r="H9509" t="str">
            <v>FINCHG</v>
          </cell>
          <cell r="I9509" t="str">
            <v>LATE FEE</v>
          </cell>
        </row>
        <row r="9510">
          <cell r="H9510" t="str">
            <v>FINCHG</v>
          </cell>
          <cell r="I9510" t="str">
            <v>LATE FEE</v>
          </cell>
        </row>
        <row r="9511">
          <cell r="H9511" t="str">
            <v>MM</v>
          </cell>
          <cell r="I9511" t="str">
            <v>ADJUST BALANCE (MM)</v>
          </cell>
        </row>
        <row r="9512">
          <cell r="H9512" t="str">
            <v>REFUND</v>
          </cell>
          <cell r="I9512" t="str">
            <v>REFUND</v>
          </cell>
        </row>
        <row r="9513">
          <cell r="H9513" t="str">
            <v>BD</v>
          </cell>
          <cell r="I9513" t="str">
            <v>BAD DEBT WRITE OFF</v>
          </cell>
        </row>
        <row r="9514">
          <cell r="H9514" t="str">
            <v>BDR</v>
          </cell>
          <cell r="I9514" t="str">
            <v>BAD DEBT RECOVERY</v>
          </cell>
        </row>
        <row r="9515">
          <cell r="H9515" t="str">
            <v>FINCHG</v>
          </cell>
          <cell r="I9515" t="str">
            <v>LATE FEE</v>
          </cell>
        </row>
        <row r="9516">
          <cell r="H9516" t="str">
            <v>MM</v>
          </cell>
          <cell r="I9516" t="str">
            <v>ADJUST BALANCE (MM)</v>
          </cell>
        </row>
        <row r="9517">
          <cell r="H9517" t="str">
            <v>REFUND</v>
          </cell>
          <cell r="I9517" t="str">
            <v>REFUND</v>
          </cell>
        </row>
        <row r="9518">
          <cell r="H9518" t="str">
            <v>FINCHG</v>
          </cell>
          <cell r="I9518" t="str">
            <v>LATE FEE</v>
          </cell>
        </row>
        <row r="9519">
          <cell r="H9519" t="str">
            <v>ACCESS-COMM</v>
          </cell>
          <cell r="I9519" t="str">
            <v>ACCESS FEE - COMM</v>
          </cell>
        </row>
        <row r="9520">
          <cell r="H9520" t="str">
            <v>DONATIONC</v>
          </cell>
          <cell r="I9520" t="str">
            <v>DONATED SERVICE COMM</v>
          </cell>
        </row>
        <row r="9521">
          <cell r="H9521" t="str">
            <v>DRIVEIN1-COMM</v>
          </cell>
          <cell r="I9521" t="str">
            <v>DRIVE IN 125-250' - COMM</v>
          </cell>
        </row>
        <row r="9522">
          <cell r="H9522" t="str">
            <v>FL001.0Y1W001</v>
          </cell>
          <cell r="I9522" t="str">
            <v>1 YD 1X WK 1</v>
          </cell>
        </row>
        <row r="9523">
          <cell r="H9523" t="str">
            <v>FL001.5Y1W001</v>
          </cell>
          <cell r="I9523" t="str">
            <v>1.5 YD 1X WK 1</v>
          </cell>
        </row>
        <row r="9524">
          <cell r="H9524" t="str">
            <v>FL001.5Y2W001</v>
          </cell>
          <cell r="I9524" t="str">
            <v>1.5 YD 2X WK 1</v>
          </cell>
        </row>
        <row r="9525">
          <cell r="H9525" t="str">
            <v>FL002.0Y1W001</v>
          </cell>
          <cell r="I9525" t="str">
            <v>2 YD 1X WK 1</v>
          </cell>
        </row>
        <row r="9526">
          <cell r="H9526" t="str">
            <v>FL002.0Y2W001</v>
          </cell>
          <cell r="I9526" t="str">
            <v>2 YD 2X WK 1</v>
          </cell>
        </row>
        <row r="9527">
          <cell r="H9527" t="str">
            <v>FL002.0Y3W001</v>
          </cell>
          <cell r="I9527" t="str">
            <v>2 YD 3X WK 1</v>
          </cell>
        </row>
        <row r="9528">
          <cell r="H9528" t="str">
            <v>FL003.0Y1W001</v>
          </cell>
          <cell r="I9528" t="str">
            <v>3 YD 1X WK 1</v>
          </cell>
        </row>
        <row r="9529">
          <cell r="H9529" t="str">
            <v>FL003.0Y2W001</v>
          </cell>
          <cell r="I9529" t="str">
            <v>3 YD 2X WK 1</v>
          </cell>
        </row>
        <row r="9530">
          <cell r="H9530" t="str">
            <v>FL003.0Y3W001</v>
          </cell>
          <cell r="I9530" t="str">
            <v>3 YD 3X WK 1</v>
          </cell>
        </row>
        <row r="9531">
          <cell r="H9531" t="str">
            <v>FL004.0Y1W001</v>
          </cell>
          <cell r="I9531" t="str">
            <v>4 YD 1X WK 1</v>
          </cell>
        </row>
        <row r="9532">
          <cell r="H9532" t="str">
            <v>FL004.0Y2W001</v>
          </cell>
          <cell r="I9532" t="str">
            <v>4 YD 2X WK 1</v>
          </cell>
        </row>
        <row r="9533">
          <cell r="H9533" t="str">
            <v>FL004.0Y3W001</v>
          </cell>
          <cell r="I9533" t="str">
            <v>4 YD 3X WK 1</v>
          </cell>
        </row>
        <row r="9534">
          <cell r="H9534" t="str">
            <v>FL006.0Y1W001</v>
          </cell>
          <cell r="I9534" t="str">
            <v>6 YD 1X WK 1</v>
          </cell>
        </row>
        <row r="9535">
          <cell r="H9535" t="str">
            <v>FL006.0Y2W001</v>
          </cell>
          <cell r="I9535" t="str">
            <v>6 YD 2X WK 1</v>
          </cell>
        </row>
        <row r="9536">
          <cell r="H9536" t="str">
            <v>FL006.0Y4W001</v>
          </cell>
          <cell r="I9536" t="str">
            <v>6 YD 4X WK 1</v>
          </cell>
        </row>
        <row r="9537">
          <cell r="H9537" t="str">
            <v>ROLL-COMM</v>
          </cell>
          <cell r="I9537" t="str">
            <v>ROLL OUT CHARGE - COMM</v>
          </cell>
        </row>
        <row r="9538">
          <cell r="H9538" t="str">
            <v>SL065.0G1W001NORECC</v>
          </cell>
          <cell r="I9538" t="str">
            <v xml:space="preserve">65 GL 1X WK NO RECY COMM </v>
          </cell>
        </row>
        <row r="9539">
          <cell r="H9539" t="str">
            <v>SL065.0G1W001WRECC</v>
          </cell>
          <cell r="I9539" t="str">
            <v>65 GL 1X WK W/RECY COMM 1</v>
          </cell>
        </row>
        <row r="9540">
          <cell r="H9540" t="str">
            <v>SL065.0GEO001WRECC</v>
          </cell>
          <cell r="I9540" t="str">
            <v>65 GL EOW W/RECY COMM 1</v>
          </cell>
        </row>
        <row r="9541">
          <cell r="H9541" t="str">
            <v>SL095.0G1W001NORECC</v>
          </cell>
          <cell r="I9541" t="str">
            <v xml:space="preserve">95 GL 1X WK NO RECY COMM </v>
          </cell>
        </row>
        <row r="9542">
          <cell r="H9542" t="str">
            <v>SL095.0G1W001WRECC</v>
          </cell>
          <cell r="I9542" t="str">
            <v>95 GL 1X WK W/RECY COMM 1</v>
          </cell>
        </row>
        <row r="9543">
          <cell r="H9543" t="str">
            <v>CLEAN1.5-COMM</v>
          </cell>
          <cell r="I9543" t="str">
            <v>CLEANING FEE 1.5 YD - COM</v>
          </cell>
        </row>
        <row r="9544">
          <cell r="H9544" t="str">
            <v>DEL1.5TEMP-COMM</v>
          </cell>
          <cell r="I9544" t="str">
            <v xml:space="preserve">DELIVERY FEE 1.5 YD TEMP </v>
          </cell>
        </row>
        <row r="9545">
          <cell r="H9545" t="str">
            <v>DEL2TEMP-COMM</v>
          </cell>
          <cell r="I9545" t="str">
            <v xml:space="preserve">DELIVERY FEE 2 YD TEMP - </v>
          </cell>
        </row>
        <row r="9546">
          <cell r="H9546" t="str">
            <v>DEL6TEMP-COMM</v>
          </cell>
          <cell r="I9546" t="str">
            <v xml:space="preserve">DELIVERY FEE 6 YD TEMP - </v>
          </cell>
        </row>
        <row r="9547">
          <cell r="H9547" t="str">
            <v>EXTRA-COMM</v>
          </cell>
          <cell r="I9547" t="str">
            <v>EXTRA CAN, BAG, BOX - COM</v>
          </cell>
        </row>
        <row r="9548">
          <cell r="H9548" t="str">
            <v>EXTRAYDG-COM</v>
          </cell>
          <cell r="I9548" t="str">
            <v>EXTRA YARDAGE - COMM</v>
          </cell>
        </row>
        <row r="9549">
          <cell r="H9549" t="str">
            <v>FL001.5YXX001TEMPC</v>
          </cell>
          <cell r="I9549" t="str">
            <v xml:space="preserve">1.5 YD TEMP </v>
          </cell>
        </row>
        <row r="9550">
          <cell r="H9550" t="str">
            <v>FL002.0YXX001TEMPC</v>
          </cell>
          <cell r="I9550" t="str">
            <v xml:space="preserve">2 YD TEMP </v>
          </cell>
        </row>
        <row r="9551">
          <cell r="H9551" t="str">
            <v>FL006.0YXX001TEMPC</v>
          </cell>
          <cell r="I9551" t="str">
            <v>6 YD TEMP 1</v>
          </cell>
        </row>
        <row r="9552">
          <cell r="H9552" t="str">
            <v>RENT1.5TEMP-COMM</v>
          </cell>
          <cell r="I9552" t="str">
            <v>RENT 1.5 YD TEMP - COMM</v>
          </cell>
        </row>
        <row r="9553">
          <cell r="H9553" t="str">
            <v>RENT2TEMP-COMM</v>
          </cell>
          <cell r="I9553" t="str">
            <v>RENT 2 YD TEMP - COMM</v>
          </cell>
        </row>
        <row r="9554">
          <cell r="H9554" t="str">
            <v>ACCESSCREC-COMM</v>
          </cell>
          <cell r="I9554" t="str">
            <v>ACCESS FEE COMM RECY - CO</v>
          </cell>
        </row>
        <row r="9555">
          <cell r="H9555" t="str">
            <v>FL002.0Y1W001BCMGL</v>
          </cell>
          <cell r="I9555" t="str">
            <v>2 YD 1X WK BUS CMGL 1</v>
          </cell>
        </row>
        <row r="9556">
          <cell r="H9556" t="str">
            <v>FL002.0Y1W001BOCC</v>
          </cell>
          <cell r="I9556" t="str">
            <v>2 YD 1X WK BUS OCC 1</v>
          </cell>
        </row>
        <row r="9557">
          <cell r="H9557" t="str">
            <v>FL004.0Y2W001CMGL</v>
          </cell>
          <cell r="I9557" t="str">
            <v>4 YD 2X WK BUS CMGL 1</v>
          </cell>
        </row>
        <row r="9558">
          <cell r="H9558" t="str">
            <v>FL005.0Y1W001BOCC</v>
          </cell>
          <cell r="I9558" t="str">
            <v>5 YD 1X WK BUS OCC 1</v>
          </cell>
        </row>
        <row r="9559">
          <cell r="H9559" t="str">
            <v>FL005.0Y2W001BOCC</v>
          </cell>
          <cell r="I9559" t="str">
            <v>5 YD 2X WK BUS OCC 1</v>
          </cell>
        </row>
        <row r="9560">
          <cell r="H9560" t="str">
            <v>FL005.0Y3W001BOCC</v>
          </cell>
          <cell r="I9560" t="str">
            <v>5 YD 3X WK BUS OCC 1</v>
          </cell>
        </row>
        <row r="9561">
          <cell r="H9561" t="str">
            <v>FL006.0Y1W001BCMGL</v>
          </cell>
          <cell r="I9561" t="str">
            <v>6 YD 1X WK BUS COMINGLE 1</v>
          </cell>
        </row>
        <row r="9562">
          <cell r="H9562" t="str">
            <v>FL006.0Y2W001BCMGL</v>
          </cell>
          <cell r="I9562" t="str">
            <v>6 YD 2X WK BUS COMINGLE 1</v>
          </cell>
        </row>
        <row r="9563">
          <cell r="H9563" t="str">
            <v>FL006.0Y4W001OCC</v>
          </cell>
          <cell r="I9563" t="str">
            <v>6 YD 4X WK OCC 1</v>
          </cell>
        </row>
        <row r="9564">
          <cell r="H9564" t="str">
            <v>MFWBINS</v>
          </cell>
          <cell r="I9564" t="str">
            <v>MULTI-FAMILY REC UNIT W/B</v>
          </cell>
        </row>
        <row r="9565">
          <cell r="H9565" t="str">
            <v>SL096.0G1W001BCMGLOUT</v>
          </cell>
          <cell r="I9565" t="str">
            <v>96 GL WKLY BUS CMGL OUT</v>
          </cell>
        </row>
        <row r="9566">
          <cell r="H9566" t="str">
            <v>SL096.0GEO001BCMGLOUT</v>
          </cell>
          <cell r="I9566" t="str">
            <v>96 GL EOW BUS CMGL OUT</v>
          </cell>
        </row>
        <row r="9567">
          <cell r="H9567" t="str">
            <v>CC-KOL</v>
          </cell>
          <cell r="I9567" t="str">
            <v>ONLINE PAYMENT-CC</v>
          </cell>
        </row>
        <row r="9568">
          <cell r="H9568" t="str">
            <v>CCREF-KOL</v>
          </cell>
          <cell r="I9568" t="str">
            <v>CREDIT CARD REFUND</v>
          </cell>
        </row>
        <row r="9569">
          <cell r="H9569" t="str">
            <v>PAY</v>
          </cell>
          <cell r="I9569" t="str">
            <v>PAYMENT THANK YOU</v>
          </cell>
        </row>
        <row r="9570">
          <cell r="H9570" t="str">
            <v>PAY-CFREE</v>
          </cell>
          <cell r="I9570" t="str">
            <v>CHECKFREE PAYMENT</v>
          </cell>
        </row>
        <row r="9571">
          <cell r="H9571" t="str">
            <v>PAY-KOL</v>
          </cell>
          <cell r="I9571" t="str">
            <v>PAYMENT-THANK YOU - OL</v>
          </cell>
        </row>
        <row r="9572">
          <cell r="H9572" t="str">
            <v>PAY-ORCC</v>
          </cell>
          <cell r="I9572" t="str">
            <v>ORCC PAYMENT</v>
          </cell>
        </row>
        <row r="9573">
          <cell r="H9573" t="str">
            <v>PAY-RPPS</v>
          </cell>
          <cell r="I9573" t="str">
            <v>RPPS MASTERCARD PAYMENT</v>
          </cell>
        </row>
        <row r="9574">
          <cell r="H9574" t="str">
            <v>PAYMET</v>
          </cell>
          <cell r="I9574" t="str">
            <v>METAVANTE ONLINE PAYMENT</v>
          </cell>
        </row>
        <row r="9575">
          <cell r="H9575" t="str">
            <v>PAYUSBL</v>
          </cell>
          <cell r="I9575" t="str">
            <v>PAYMENT THANK YOU</v>
          </cell>
        </row>
        <row r="9576">
          <cell r="H9576" t="str">
            <v>RET-KOL</v>
          </cell>
          <cell r="I9576" t="str">
            <v>ONLINE PAYMENT RETURN</v>
          </cell>
        </row>
        <row r="9577">
          <cell r="H9577" t="str">
            <v>CC-KOL</v>
          </cell>
          <cell r="I9577" t="str">
            <v>ONLINE PAYMENT-CC</v>
          </cell>
        </row>
        <row r="9578">
          <cell r="H9578" t="str">
            <v>CCREF-KOL</v>
          </cell>
          <cell r="I9578" t="str">
            <v>CREDIT CARD REFUND</v>
          </cell>
        </row>
        <row r="9579">
          <cell r="H9579" t="str">
            <v>PAY</v>
          </cell>
          <cell r="I9579" t="str">
            <v>PAYMENT THANK YOU</v>
          </cell>
        </row>
        <row r="9580">
          <cell r="H9580" t="str">
            <v>PAY-CFREE</v>
          </cell>
          <cell r="I9580" t="str">
            <v>CHECKFREE PAYMENT</v>
          </cell>
        </row>
        <row r="9581">
          <cell r="H9581" t="str">
            <v>PAY-KOL</v>
          </cell>
          <cell r="I9581" t="str">
            <v>PAYMENT-THANK YOU - OL</v>
          </cell>
        </row>
        <row r="9582">
          <cell r="H9582" t="str">
            <v>PAY-ORCC</v>
          </cell>
          <cell r="I9582" t="str">
            <v>ORCC PAYMENT</v>
          </cell>
        </row>
        <row r="9583">
          <cell r="H9583" t="str">
            <v>PAY-RPPS</v>
          </cell>
          <cell r="I9583" t="str">
            <v>RPPS MASTERCARD PAYMENT</v>
          </cell>
        </row>
        <row r="9584">
          <cell r="H9584" t="str">
            <v>PAYMET</v>
          </cell>
          <cell r="I9584" t="str">
            <v>METAVANTE ONLINE PAYMENT</v>
          </cell>
        </row>
        <row r="9585">
          <cell r="H9585" t="str">
            <v>PAYUSBL</v>
          </cell>
          <cell r="I9585" t="str">
            <v>PAYMENT THANK YOU</v>
          </cell>
        </row>
        <row r="9586">
          <cell r="H9586" t="str">
            <v>RET-KOL</v>
          </cell>
          <cell r="I9586" t="str">
            <v>ONLINE PAYMENT RETURN</v>
          </cell>
        </row>
        <row r="9587">
          <cell r="H9587" t="str">
            <v>CC-KOL</v>
          </cell>
          <cell r="I9587" t="str">
            <v>ONLINE PAYMENT-CC</v>
          </cell>
        </row>
        <row r="9588">
          <cell r="H9588" t="str">
            <v>CCREF-KOL</v>
          </cell>
          <cell r="I9588" t="str">
            <v>CREDIT CARD REFUND</v>
          </cell>
        </row>
        <row r="9589">
          <cell r="H9589" t="str">
            <v>PAY</v>
          </cell>
          <cell r="I9589" t="str">
            <v>PAYMENT THANK YOU</v>
          </cell>
        </row>
        <row r="9590">
          <cell r="H9590" t="str">
            <v>PAY-CFREE</v>
          </cell>
          <cell r="I9590" t="str">
            <v>CHECKFREE PAYMENT</v>
          </cell>
        </row>
        <row r="9591">
          <cell r="H9591" t="str">
            <v>PAY-KOL</v>
          </cell>
          <cell r="I9591" t="str">
            <v>PAYMENT-THANK YOU - OL</v>
          </cell>
        </row>
        <row r="9592">
          <cell r="H9592" t="str">
            <v>PAY-NATL</v>
          </cell>
          <cell r="I9592" t="str">
            <v>PAYMENT THANK YOU</v>
          </cell>
        </row>
        <row r="9593">
          <cell r="H9593" t="str">
            <v>PAY-OAK</v>
          </cell>
          <cell r="I9593" t="str">
            <v>OAKLEAF PAYMENT</v>
          </cell>
        </row>
        <row r="9594">
          <cell r="H9594" t="str">
            <v>PAY-ORCC</v>
          </cell>
          <cell r="I9594" t="str">
            <v>ORCC PAYMENT</v>
          </cell>
        </row>
        <row r="9595">
          <cell r="H9595" t="str">
            <v>PAY-RPPS</v>
          </cell>
          <cell r="I9595" t="str">
            <v>RPPS MASTERCARD PAYMENT</v>
          </cell>
        </row>
        <row r="9596">
          <cell r="H9596" t="str">
            <v>PAYMET</v>
          </cell>
          <cell r="I9596" t="str">
            <v>METAVANTE ONLINE PAYMENT</v>
          </cell>
        </row>
        <row r="9597">
          <cell r="H9597" t="str">
            <v>PAYUSBL</v>
          </cell>
          <cell r="I9597" t="str">
            <v>PAYMENT THANK YOU</v>
          </cell>
        </row>
        <row r="9598">
          <cell r="H9598" t="str">
            <v>GWRES</v>
          </cell>
          <cell r="I9598" t="str">
            <v>GREENWASTE SERVICE - RES</v>
          </cell>
        </row>
        <row r="9599">
          <cell r="H9599" t="str">
            <v>GWSPCL-RES</v>
          </cell>
          <cell r="I9599" t="str">
            <v>GREENWASTE SEN/DIS - RES</v>
          </cell>
        </row>
        <row r="9600">
          <cell r="H9600" t="str">
            <v>RECBINONLYR</v>
          </cell>
          <cell r="I9600" t="str">
            <v>RECYCLE SERVICE ONLY</v>
          </cell>
        </row>
        <row r="9601">
          <cell r="H9601" t="str">
            <v>RECPROGADJ-RES</v>
          </cell>
          <cell r="I9601" t="str">
            <v>RECYCLING PROGRAM ADJUSTM</v>
          </cell>
        </row>
        <row r="9602">
          <cell r="H9602" t="str">
            <v>RECVALRES</v>
          </cell>
          <cell r="I9602" t="str">
            <v>RECYCLABLES VALUE - RES</v>
          </cell>
        </row>
        <row r="9603">
          <cell r="H9603" t="str">
            <v>S45G1W1</v>
          </cell>
          <cell r="I9603" t="str">
            <v>45 GL 1X WK 1</v>
          </cell>
        </row>
        <row r="9604">
          <cell r="H9604" t="str">
            <v>S45G1W2</v>
          </cell>
          <cell r="I9604" t="str">
            <v>45 GL 1X WK 2</v>
          </cell>
        </row>
        <row r="9605">
          <cell r="H9605" t="str">
            <v>S45G1W3</v>
          </cell>
          <cell r="I9605" t="str">
            <v>45 GL 1X WK 3</v>
          </cell>
        </row>
        <row r="9606">
          <cell r="H9606" t="str">
            <v>S45GEO1</v>
          </cell>
          <cell r="I9606" t="str">
            <v>45 GL EOW 1</v>
          </cell>
        </row>
        <row r="9607">
          <cell r="H9607" t="str">
            <v>SL045.0G1W001REC</v>
          </cell>
          <cell r="I9607" t="str">
            <v>45 GL 1X WK RECYCLE 1</v>
          </cell>
        </row>
        <row r="9608">
          <cell r="H9608" t="str">
            <v>SL065.0G1W001WREC</v>
          </cell>
          <cell r="I9608" t="str">
            <v>65 GL 1X WK W/RECY 1</v>
          </cell>
        </row>
        <row r="9609">
          <cell r="H9609" t="str">
            <v>SL095.0G1W001WREC</v>
          </cell>
          <cell r="I9609" t="str">
            <v>95 GL 1X WK W/RECY 1</v>
          </cell>
        </row>
        <row r="9610">
          <cell r="H9610" t="str">
            <v>WI1-RES</v>
          </cell>
          <cell r="I9610" t="str">
            <v>WALK IN 6-25' - RES</v>
          </cell>
        </row>
        <row r="9611">
          <cell r="H9611" t="str">
            <v>BULKY-RES</v>
          </cell>
          <cell r="I9611" t="str">
            <v>BULKY ITEM PICK UP - RES</v>
          </cell>
        </row>
        <row r="9612">
          <cell r="H9612" t="str">
            <v>EXTRA-RES</v>
          </cell>
          <cell r="I9612" t="str">
            <v>EXTRA CAN, BAG, BOX - RES</v>
          </cell>
        </row>
        <row r="9613">
          <cell r="H9613" t="str">
            <v>EXTRAGWC-RES</v>
          </cell>
          <cell r="I9613" t="str">
            <v>EXTRA GREENWASTE FEE - RE</v>
          </cell>
        </row>
        <row r="9614">
          <cell r="H9614" t="str">
            <v>GWRES</v>
          </cell>
          <cell r="I9614" t="str">
            <v>GREENWASTE SERVICE - RES</v>
          </cell>
        </row>
        <row r="9615">
          <cell r="H9615" t="str">
            <v>OW-RES</v>
          </cell>
          <cell r="I9615" t="str">
            <v>OVERFILL / OVERWEIGHT CAN</v>
          </cell>
        </row>
        <row r="9616">
          <cell r="H9616" t="str">
            <v>REINSTATE-RES</v>
          </cell>
          <cell r="I9616" t="str">
            <v>REINSTATE FEE - RES</v>
          </cell>
        </row>
        <row r="9617">
          <cell r="H9617" t="str">
            <v>RTRNCART65-RES</v>
          </cell>
          <cell r="I9617" t="str">
            <v>RETURN TRIP 65 GL - RES</v>
          </cell>
        </row>
        <row r="9618">
          <cell r="H9618" t="str">
            <v>S45G1W1</v>
          </cell>
          <cell r="I9618" t="str">
            <v>45 GL 1X WK 1</v>
          </cell>
        </row>
        <row r="9619">
          <cell r="H9619" t="str">
            <v>TIME-RES</v>
          </cell>
          <cell r="I9619" t="str">
            <v>TIME FEE 1 - RES</v>
          </cell>
        </row>
        <row r="9620">
          <cell r="H9620" t="str">
            <v>GWRES</v>
          </cell>
          <cell r="I9620" t="str">
            <v>GREENWASTE SERVICE - RES</v>
          </cell>
        </row>
        <row r="9621">
          <cell r="H9621" t="str">
            <v>S45G1W1</v>
          </cell>
          <cell r="I9621" t="str">
            <v>45 GL 1X WK 1</v>
          </cell>
        </row>
        <row r="9622">
          <cell r="H9622" t="str">
            <v>S45G1W2</v>
          </cell>
          <cell r="I9622" t="str">
            <v>45 GL 1X WK 2</v>
          </cell>
        </row>
        <row r="9623">
          <cell r="H9623" t="str">
            <v>S45GEO1</v>
          </cell>
          <cell r="I9623" t="str">
            <v>45 GL EOW 1</v>
          </cell>
        </row>
        <row r="9624">
          <cell r="H9624" t="str">
            <v>SL065.0G1W001WREC</v>
          </cell>
          <cell r="I9624" t="str">
            <v>65 GL 1X WK W/RECY 1</v>
          </cell>
        </row>
        <row r="9625">
          <cell r="H9625" t="str">
            <v>SL095.0G1W001WREC</v>
          </cell>
          <cell r="I9625" t="str">
            <v>95 GL 1X WK W/RECY 1</v>
          </cell>
        </row>
        <row r="9626">
          <cell r="H9626" t="str">
            <v>BULKY-RES</v>
          </cell>
          <cell r="I9626" t="str">
            <v>BULKY ITEM PICK UP - RES</v>
          </cell>
        </row>
        <row r="9627">
          <cell r="H9627" t="str">
            <v>EXTRA-RES</v>
          </cell>
          <cell r="I9627" t="str">
            <v>EXTRA CAN, BAG, BOX - RES</v>
          </cell>
        </row>
        <row r="9628">
          <cell r="H9628" t="str">
            <v>GWRES</v>
          </cell>
          <cell r="I9628" t="str">
            <v>GREENWASTE SERVICE - RES</v>
          </cell>
        </row>
        <row r="9629">
          <cell r="H9629" t="str">
            <v>OW-RES</v>
          </cell>
          <cell r="I9629" t="str">
            <v>OVERFILL / OVERWEIGHT CAN</v>
          </cell>
        </row>
        <row r="9630">
          <cell r="H9630" t="str">
            <v>REINSTATE-RES</v>
          </cell>
          <cell r="I9630" t="str">
            <v>REINSTATE FEE - RES</v>
          </cell>
        </row>
        <row r="9631">
          <cell r="H9631" t="str">
            <v>RTRNCART45-RES</v>
          </cell>
          <cell r="I9631" t="str">
            <v>RETURN TRIP 45 GL - RES</v>
          </cell>
        </row>
        <row r="9632">
          <cell r="H9632" t="str">
            <v>S45G1W1</v>
          </cell>
          <cell r="I9632" t="str">
            <v>45 GL 1X WK 1</v>
          </cell>
        </row>
        <row r="9633">
          <cell r="H9633" t="str">
            <v>SL065.0G1W001WREC</v>
          </cell>
          <cell r="I9633" t="str">
            <v>65 GL 1X WK W/RECY 1</v>
          </cell>
        </row>
        <row r="9634">
          <cell r="H9634" t="str">
            <v>TIME-RES</v>
          </cell>
          <cell r="I9634" t="str">
            <v>TIME FEE 1 - RES</v>
          </cell>
        </row>
        <row r="9635">
          <cell r="H9635" t="str">
            <v>OW-RES</v>
          </cell>
          <cell r="I9635" t="str">
            <v>OVERFILL / OVERWEIGHT CAN</v>
          </cell>
        </row>
        <row r="9636">
          <cell r="H9636" t="str">
            <v>LIDRO</v>
          </cell>
          <cell r="I9636" t="str">
            <v>LID CHARGE - RO</v>
          </cell>
        </row>
        <row r="9637">
          <cell r="H9637" t="str">
            <v>RENT20MO-RO</v>
          </cell>
          <cell r="I9637" t="str">
            <v>RENTAL FEE 20 YD MONTHLY</v>
          </cell>
        </row>
        <row r="9638">
          <cell r="H9638" t="str">
            <v>RENT30MO-RO</v>
          </cell>
          <cell r="I9638" t="str">
            <v>RENTAL FEE 30 YD MONTHLY</v>
          </cell>
        </row>
        <row r="9639">
          <cell r="H9639" t="str">
            <v>RENT40MO-RO</v>
          </cell>
          <cell r="I9639" t="str">
            <v>RENTAL FEE 40 YD MONTHLY</v>
          </cell>
        </row>
        <row r="9640">
          <cell r="H9640" t="str">
            <v>CLEAN25-RO</v>
          </cell>
          <cell r="I9640" t="str">
            <v>CLEANING FEE 25 YD - RO</v>
          </cell>
        </row>
        <row r="9641">
          <cell r="H9641" t="str">
            <v>DEL30-RO</v>
          </cell>
          <cell r="I9641" t="str">
            <v>DELIVERY FEE 30 YD - RO</v>
          </cell>
        </row>
        <row r="9642">
          <cell r="H9642" t="str">
            <v>DISCO-CP</v>
          </cell>
          <cell r="I9642" t="str">
            <v xml:space="preserve">COMPACTOR DISCONNECT FEE </v>
          </cell>
        </row>
        <row r="9643">
          <cell r="H9643" t="str">
            <v>DISP-RO</v>
          </cell>
          <cell r="I9643" t="str">
            <v>DISPOSAL CHARGE - RO</v>
          </cell>
        </row>
        <row r="9644">
          <cell r="H9644" t="str">
            <v>DISPTRANS-RO</v>
          </cell>
          <cell r="I9644" t="str">
            <v>DISPOSAL FEE TRANSFER HAU</v>
          </cell>
        </row>
        <row r="9645">
          <cell r="H9645" t="str">
            <v>FINAL40-RO</v>
          </cell>
          <cell r="I9645" t="str">
            <v>FINAL PULL 40 YD - RO</v>
          </cell>
        </row>
        <row r="9646">
          <cell r="H9646" t="str">
            <v>HAUL25-CP</v>
          </cell>
          <cell r="I9646" t="str">
            <v>COMPACTOR HAUL 25 YD - RO</v>
          </cell>
        </row>
        <row r="9647">
          <cell r="H9647" t="str">
            <v>HAUL30-RO</v>
          </cell>
          <cell r="I9647" t="str">
            <v>HAUL 30 YD - RO</v>
          </cell>
        </row>
        <row r="9648">
          <cell r="H9648" t="str">
            <v>HAUL40-CP</v>
          </cell>
          <cell r="I9648" t="str">
            <v>COMPACTOR HAUL 40 YD</v>
          </cell>
        </row>
        <row r="9649">
          <cell r="H9649" t="str">
            <v>HAUL40-RO</v>
          </cell>
          <cell r="I9649" t="str">
            <v>HAUL 40 YD - RO</v>
          </cell>
        </row>
        <row r="9650">
          <cell r="H9650" t="str">
            <v>MILE-RO</v>
          </cell>
          <cell r="I9650" t="str">
            <v>MILEAGE FEE - RO</v>
          </cell>
        </row>
        <row r="9651">
          <cell r="H9651" t="str">
            <v>RTRNTRIP-RO</v>
          </cell>
          <cell r="I9651" t="str">
            <v>RETURN TRIP FEE - RO</v>
          </cell>
        </row>
        <row r="9652">
          <cell r="H9652" t="str">
            <v>DISPGLASS-RO</v>
          </cell>
          <cell r="I9652" t="str">
            <v>DISPOSAL FEE GLASS - RO</v>
          </cell>
        </row>
        <row r="9653">
          <cell r="H9653" t="str">
            <v>DISPOCC-RO</v>
          </cell>
          <cell r="I9653" t="str">
            <v xml:space="preserve">DISPOSAL FEE CARDBOARD - </v>
          </cell>
        </row>
        <row r="9654">
          <cell r="H9654" t="str">
            <v>HAUL30-RO</v>
          </cell>
          <cell r="I9654" t="str">
            <v>HAUL 30 YD - RO</v>
          </cell>
        </row>
        <row r="9655">
          <cell r="H9655" t="str">
            <v>COMMODITY SURCHARGE</v>
          </cell>
          <cell r="I9655" t="str">
            <v>COMMODITY SURCHARGE</v>
          </cell>
        </row>
        <row r="9656">
          <cell r="H9656" t="str">
            <v>COMMODITY SURCHARGE</v>
          </cell>
          <cell r="I9656" t="str">
            <v>COMMODITY SURCHARGE</v>
          </cell>
        </row>
        <row r="9657">
          <cell r="H9657" t="str">
            <v>DUPONT CITY UTILITY TAX</v>
          </cell>
          <cell r="I9657" t="str">
            <v>8% CITY UTILITY TAX</v>
          </cell>
        </row>
        <row r="9658">
          <cell r="H9658" t="str">
            <v>DUPONT REFUSE TAX</v>
          </cell>
          <cell r="I9658" t="str">
            <v>3.6% WA STATE REFUSE TAX</v>
          </cell>
        </row>
        <row r="9659">
          <cell r="H9659" t="str">
            <v>DUPONT CITY ONLY</v>
          </cell>
          <cell r="I9659" t="str">
            <v>8% CITY UTILITY TAX</v>
          </cell>
        </row>
        <row r="9660">
          <cell r="H9660" t="str">
            <v>DUPONT CITY UTILITY TAX</v>
          </cell>
          <cell r="I9660" t="str">
            <v>8% CITY UTILITY TAX</v>
          </cell>
        </row>
        <row r="9661">
          <cell r="H9661" t="str">
            <v>DUPONT REFUSE TAX</v>
          </cell>
          <cell r="I9661" t="str">
            <v>3.6% WA STATE REFUSE TAX</v>
          </cell>
        </row>
        <row r="9662">
          <cell r="H9662" t="str">
            <v>DUPONT STATE SALES TAX</v>
          </cell>
          <cell r="I9662" t="str">
            <v>9.3% WA STATE SALES TAX</v>
          </cell>
        </row>
        <row r="9663">
          <cell r="H9663" t="str">
            <v>DUPONT CITY UTILITY TAX</v>
          </cell>
          <cell r="I9663" t="str">
            <v>8% CITY UTILITY TAX</v>
          </cell>
        </row>
        <row r="9664">
          <cell r="H9664" t="str">
            <v>DUPONT REFUSE TAX</v>
          </cell>
          <cell r="I9664" t="str">
            <v>3.6% WA STATE REFUSE TAX</v>
          </cell>
        </row>
        <row r="9665">
          <cell r="H9665" t="str">
            <v>DUPONT STATE SALES TAX</v>
          </cell>
          <cell r="I9665" t="str">
            <v>9.3% WA STATE SALES TAX</v>
          </cell>
        </row>
        <row r="9666">
          <cell r="H9666" t="str">
            <v>DUPONT CITY UTILITY TAX</v>
          </cell>
          <cell r="I9666" t="str">
            <v>8% CITY UTILITY TAX</v>
          </cell>
        </row>
        <row r="9667">
          <cell r="H9667" t="str">
            <v>DUPONT REFUSE TAX</v>
          </cell>
          <cell r="I9667" t="str">
            <v>3.6% WA STATE REFUSE TAX</v>
          </cell>
        </row>
        <row r="9668">
          <cell r="H9668" t="str">
            <v>DUPONT CITY UTILITY TAX</v>
          </cell>
          <cell r="I9668" t="str">
            <v>8% CITY UTILITY TAX</v>
          </cell>
        </row>
        <row r="9669">
          <cell r="H9669" t="str">
            <v>DUPONT REFUSE TAX</v>
          </cell>
          <cell r="I9669" t="str">
            <v>3.6% WA STATE REFUSE TAX</v>
          </cell>
        </row>
        <row r="9670">
          <cell r="H9670" t="str">
            <v>DUPONT CITY UTILITY TAX</v>
          </cell>
          <cell r="I9670" t="str">
            <v>8% CITY UTILITY TAX</v>
          </cell>
        </row>
        <row r="9671">
          <cell r="H9671" t="str">
            <v>DUPONT REFUSE TAX</v>
          </cell>
          <cell r="I9671" t="str">
            <v>3.6% WA STATE REFUSE TAX</v>
          </cell>
        </row>
        <row r="9672">
          <cell r="H9672" t="str">
            <v>DUPONT CITY ONLY</v>
          </cell>
          <cell r="I9672" t="str">
            <v>8% CITY UTILITY TAX</v>
          </cell>
        </row>
        <row r="9673">
          <cell r="H9673" t="str">
            <v>DUPONT CITY UTILITY TAX</v>
          </cell>
          <cell r="I9673" t="str">
            <v>8% CITY UTILITY TAX</v>
          </cell>
        </row>
        <row r="9674">
          <cell r="H9674" t="str">
            <v>DUPONT REFUSE TAX</v>
          </cell>
          <cell r="I9674" t="str">
            <v>3.6% WA STATE REFUSE TAX</v>
          </cell>
        </row>
        <row r="9675">
          <cell r="H9675" t="str">
            <v>DUPONT STATE SALES TAX</v>
          </cell>
          <cell r="I9675" t="str">
            <v>9.3% WA STATE SALES TAX</v>
          </cell>
        </row>
        <row r="9676">
          <cell r="H9676" t="str">
            <v>DUPONT CITY UTILITY TAX</v>
          </cell>
          <cell r="I9676" t="str">
            <v>8% CITY UTILITY TAX</v>
          </cell>
        </row>
        <row r="9677">
          <cell r="H9677" t="str">
            <v>DUPONT REFUSE TAX</v>
          </cell>
          <cell r="I9677" t="str">
            <v>3.6% WA STATE REFUSE TAX</v>
          </cell>
        </row>
        <row r="9678">
          <cell r="H9678" t="str">
            <v>FINCHG</v>
          </cell>
          <cell r="I9678" t="str">
            <v>LATE FEE</v>
          </cell>
        </row>
        <row r="9679">
          <cell r="H9679" t="str">
            <v>ACCESS-COMM</v>
          </cell>
          <cell r="I9679" t="str">
            <v>ACCESS FEE - COMM</v>
          </cell>
        </row>
        <row r="9680">
          <cell r="H9680" t="str">
            <v>DONATIONC</v>
          </cell>
          <cell r="I9680" t="str">
            <v>DONATED SERVICE COMM</v>
          </cell>
        </row>
        <row r="9681">
          <cell r="H9681" t="str">
            <v>FL001.0Y1W001</v>
          </cell>
          <cell r="I9681" t="str">
            <v>1 YD 1X WK 1</v>
          </cell>
        </row>
        <row r="9682">
          <cell r="H9682" t="str">
            <v>FL001.0Y2W001</v>
          </cell>
          <cell r="I9682" t="str">
            <v>1 YD 2X WK 1</v>
          </cell>
        </row>
        <row r="9683">
          <cell r="H9683" t="str">
            <v>FL001.5Y1W001</v>
          </cell>
          <cell r="I9683" t="str">
            <v>1.5 YD 1X WK 1</v>
          </cell>
        </row>
        <row r="9684">
          <cell r="H9684" t="str">
            <v>FL001.5Y2W001</v>
          </cell>
          <cell r="I9684" t="str">
            <v>1.5 YD 2X WK 1</v>
          </cell>
        </row>
        <row r="9685">
          <cell r="H9685" t="str">
            <v>FL002.0Y1W001</v>
          </cell>
          <cell r="I9685" t="str">
            <v>2 YD 1X WK 1</v>
          </cell>
        </row>
        <row r="9686">
          <cell r="H9686" t="str">
            <v>FL002.0Y2W001</v>
          </cell>
          <cell r="I9686" t="str">
            <v>2 YD 2X WK 1</v>
          </cell>
        </row>
        <row r="9687">
          <cell r="H9687" t="str">
            <v>GWCOMM</v>
          </cell>
          <cell r="I9687" t="str">
            <v>GREENWASTE SERVICE - COMM</v>
          </cell>
        </row>
        <row r="9688">
          <cell r="H9688" t="str">
            <v>RL001.0Y1W001</v>
          </cell>
          <cell r="I9688" t="str">
            <v>1 YD 1X WK 1</v>
          </cell>
        </row>
        <row r="9689">
          <cell r="H9689" t="str">
            <v>RL002.0Y1W001</v>
          </cell>
          <cell r="I9689" t="str">
            <v>2 YD 1X WK 1</v>
          </cell>
        </row>
        <row r="9690">
          <cell r="H9690" t="str">
            <v>SL035.0G1M001WRECC</v>
          </cell>
          <cell r="I9690" t="str">
            <v>35 GL 1X MO W/RECY COMM 1</v>
          </cell>
        </row>
        <row r="9691">
          <cell r="H9691" t="str">
            <v>SL065.0G1M001WRECC</v>
          </cell>
          <cell r="I9691" t="str">
            <v>65 GL 1X MO W/RECY COMM 1</v>
          </cell>
        </row>
        <row r="9692">
          <cell r="H9692" t="str">
            <v>SL065.0G1W001WRECC</v>
          </cell>
          <cell r="I9692" t="str">
            <v>65 GL 1X WK W/RECY COMM 1</v>
          </cell>
        </row>
        <row r="9693">
          <cell r="H9693" t="str">
            <v>SL065.0GEO001WRECC</v>
          </cell>
          <cell r="I9693" t="str">
            <v>65 GL EOW W/RECY COMM 1</v>
          </cell>
        </row>
        <row r="9694">
          <cell r="H9694" t="str">
            <v>SL095.0G1W001NORECC</v>
          </cell>
          <cell r="I9694" t="str">
            <v xml:space="preserve">95 GL 1X WK NO RECY COMM </v>
          </cell>
        </row>
        <row r="9695">
          <cell r="H9695" t="str">
            <v>SL095.0G1W001WRECC</v>
          </cell>
          <cell r="I9695" t="str">
            <v>95 GL 1X WK W/RECY COMM 1</v>
          </cell>
        </row>
        <row r="9696">
          <cell r="H9696" t="str">
            <v>SL095.0GEO001WRECC</v>
          </cell>
          <cell r="I9696" t="str">
            <v>95 GL EOW W/RECY COMM 1</v>
          </cell>
        </row>
        <row r="9697">
          <cell r="H9697" t="str">
            <v>EXTRA-COMM</v>
          </cell>
          <cell r="I9697" t="str">
            <v>EXTRA CAN, BAG, BOX - COM</v>
          </cell>
        </row>
        <row r="9698">
          <cell r="H9698" t="str">
            <v>ACCESSCREC-COMM</v>
          </cell>
          <cell r="I9698" t="str">
            <v>ACCESS FEE COMM RECY - CO</v>
          </cell>
        </row>
        <row r="9699">
          <cell r="H9699" t="str">
            <v>FL002.0Y1W001BCMGL</v>
          </cell>
          <cell r="I9699" t="str">
            <v>2 YD 1X WK BUS CMGL 1</v>
          </cell>
        </row>
        <row r="9700">
          <cell r="H9700" t="str">
            <v>FL002.0Y1W001BOCC</v>
          </cell>
          <cell r="I9700" t="str">
            <v>2 YD 1X WK BUS OCC 1</v>
          </cell>
        </row>
        <row r="9701">
          <cell r="H9701" t="str">
            <v>FL002.0Y2W001SCMGL</v>
          </cell>
          <cell r="I9701" t="str">
            <v>2 YD 2X WK SCHL CMGL 1</v>
          </cell>
        </row>
        <row r="9702">
          <cell r="H9702" t="str">
            <v>FL005.0Y1W001BOCC</v>
          </cell>
          <cell r="I9702" t="str">
            <v>5 YD 1X WK BUS OCC 1</v>
          </cell>
        </row>
        <row r="9703">
          <cell r="H9703" t="str">
            <v>FL006.0Y1W001SCMGL</v>
          </cell>
          <cell r="I9703" t="str">
            <v>6 YD 1X WK SCHL CMGL 1</v>
          </cell>
        </row>
        <row r="9704">
          <cell r="H9704" t="str">
            <v>SL096.0GEO001BCMGLIN</v>
          </cell>
          <cell r="I9704" t="str">
            <v>96 GL EOW BUS CMGL IN</v>
          </cell>
        </row>
        <row r="9705">
          <cell r="H9705" t="str">
            <v>SL096.0GEO001BCMGLOUT</v>
          </cell>
          <cell r="I9705" t="str">
            <v>96 GL EOW BUS CMGL OUT</v>
          </cell>
        </row>
        <row r="9706">
          <cell r="H9706" t="str">
            <v>SL096.0GEO001SCMGLOUT</v>
          </cell>
          <cell r="I9706" t="str">
            <v>96 GL EOW SCHL CMGL OUT</v>
          </cell>
        </row>
        <row r="9707">
          <cell r="H9707" t="str">
            <v>CC-KOL</v>
          </cell>
          <cell r="I9707" t="str">
            <v>ONLINE PAYMENT-CC</v>
          </cell>
        </row>
        <row r="9708">
          <cell r="H9708" t="str">
            <v>PAYUSBL</v>
          </cell>
          <cell r="I9708" t="str">
            <v>PAYMENT THANK YOU</v>
          </cell>
        </row>
        <row r="9709">
          <cell r="H9709" t="str">
            <v>GWRES</v>
          </cell>
          <cell r="I9709" t="str">
            <v>GREENWASTE SERVICE - RES</v>
          </cell>
        </row>
        <row r="9710">
          <cell r="H9710" t="str">
            <v>SL035.0G1M001WREC</v>
          </cell>
          <cell r="I9710" t="str">
            <v>35 GL 1X MO W/RECY 1</v>
          </cell>
        </row>
        <row r="9711">
          <cell r="H9711" t="str">
            <v>SL065.0G1M001NOREC</v>
          </cell>
          <cell r="I9711" t="str">
            <v>65 GL 1X MO NO RECY 1</v>
          </cell>
        </row>
        <row r="9712">
          <cell r="H9712" t="str">
            <v>SL065.0G1M001WREC</v>
          </cell>
          <cell r="I9712" t="str">
            <v>65 GL 1X MO W/RECY 1</v>
          </cell>
        </row>
        <row r="9713">
          <cell r="H9713" t="str">
            <v>SL065.0G1W001WREC</v>
          </cell>
          <cell r="I9713" t="str">
            <v>65 GL 1X WK W/RECY 1</v>
          </cell>
        </row>
        <row r="9714">
          <cell r="H9714" t="str">
            <v>SL065.0GEO001</v>
          </cell>
          <cell r="I9714" t="str">
            <v>65 GL EOW 1</v>
          </cell>
        </row>
        <row r="9715">
          <cell r="H9715" t="str">
            <v>SL065.0GEO001WREC</v>
          </cell>
          <cell r="I9715" t="str">
            <v>65 GL EOW W/RECY 1</v>
          </cell>
        </row>
        <row r="9716">
          <cell r="H9716" t="str">
            <v>SL095.0G1W001WREC</v>
          </cell>
          <cell r="I9716" t="str">
            <v>95 GL 1X WK W/RECY 1</v>
          </cell>
        </row>
        <row r="9717">
          <cell r="H9717" t="str">
            <v>SL095.0GEO001</v>
          </cell>
          <cell r="I9717" t="str">
            <v>95 GL EOW 1</v>
          </cell>
        </row>
        <row r="9718">
          <cell r="H9718" t="str">
            <v>SL095.0GEO001WREC</v>
          </cell>
          <cell r="I9718" t="str">
            <v>95 GL EOW W/RECY 1</v>
          </cell>
        </row>
        <row r="9719">
          <cell r="H9719" t="str">
            <v>EXTRA-RES</v>
          </cell>
          <cell r="I9719" t="str">
            <v>EXTRA CAN, BAG, BOX - RES</v>
          </cell>
        </row>
        <row r="9720">
          <cell r="H9720" t="str">
            <v>EXTRAGWC-RES</v>
          </cell>
          <cell r="I9720" t="str">
            <v>EXTRA GREENWASTE FEE - RE</v>
          </cell>
        </row>
        <row r="9721">
          <cell r="H9721" t="str">
            <v>OC-RES</v>
          </cell>
          <cell r="I9721" t="str">
            <v>ON CALL SERVICE - RES</v>
          </cell>
        </row>
        <row r="9722">
          <cell r="H9722" t="str">
            <v>OW-RES</v>
          </cell>
          <cell r="I9722" t="str">
            <v>OVERFILL / OVERWEIGHT CAN</v>
          </cell>
        </row>
        <row r="9723">
          <cell r="H9723" t="str">
            <v>DONATIONRO</v>
          </cell>
          <cell r="I9723" t="str">
            <v>DONATED SERVICE ROLL OFF</v>
          </cell>
        </row>
        <row r="9724">
          <cell r="H9724" t="str">
            <v>LIDRO</v>
          </cell>
          <cell r="I9724" t="str">
            <v>LID CHARGE - RO</v>
          </cell>
        </row>
        <row r="9725">
          <cell r="H9725" t="str">
            <v>RENT20MO-RO</v>
          </cell>
          <cell r="I9725" t="str">
            <v>RENTAL FEE 20 YD MONTHLY</v>
          </cell>
        </row>
        <row r="9726">
          <cell r="H9726" t="str">
            <v>RENT30MO-RO</v>
          </cell>
          <cell r="I9726" t="str">
            <v>RENTAL FEE 30 YD MONTHLY</v>
          </cell>
        </row>
        <row r="9727">
          <cell r="H9727" t="str">
            <v>DEL20TEMP-RO</v>
          </cell>
          <cell r="I9727" t="str">
            <v>DELIVERY FEE 20 YD TEMP -</v>
          </cell>
        </row>
        <row r="9728">
          <cell r="H9728" t="str">
            <v>DISP-RO</v>
          </cell>
          <cell r="I9728" t="str">
            <v>DISPOSAL CHARGE - RO</v>
          </cell>
        </row>
        <row r="9729">
          <cell r="H9729" t="str">
            <v>DISPOCC-RO</v>
          </cell>
          <cell r="I9729" t="str">
            <v xml:space="preserve">DISPOSAL FEE CARDBOARD - </v>
          </cell>
        </row>
        <row r="9730">
          <cell r="H9730" t="str">
            <v>FINAL20TEMP-RO</v>
          </cell>
          <cell r="I9730" t="str">
            <v>FINAL PULL 20 YD TEMP - R</v>
          </cell>
        </row>
        <row r="9731">
          <cell r="H9731" t="str">
            <v>HAUL20-RO</v>
          </cell>
          <cell r="I9731" t="str">
            <v>HAUL 20 YD - RO</v>
          </cell>
        </row>
        <row r="9732">
          <cell r="H9732" t="str">
            <v>HAUL30-RO</v>
          </cell>
          <cell r="I9732" t="str">
            <v>HAUL 30 YD - RO</v>
          </cell>
        </row>
        <row r="9733">
          <cell r="H9733" t="str">
            <v>MILE-RO</v>
          </cell>
          <cell r="I9733" t="str">
            <v>MILEAGE FEE - RO</v>
          </cell>
        </row>
        <row r="9734">
          <cell r="H9734" t="str">
            <v>RENT20TEMP-RO</v>
          </cell>
          <cell r="I9734" t="str">
            <v>RENTAL FEE 20 YD TEMP - R</v>
          </cell>
        </row>
        <row r="9735">
          <cell r="H9735" t="str">
            <v>COMMODITY SURCHARGE</v>
          </cell>
          <cell r="I9735" t="str">
            <v>COMMODITY SURCHARGE</v>
          </cell>
        </row>
        <row r="9736">
          <cell r="H9736" t="str">
            <v>PIERCE COUNTY REFUSE TAX</v>
          </cell>
          <cell r="I9736" t="str">
            <v>3.6% PIERCE COUNTY REFUSE</v>
          </cell>
        </row>
        <row r="9737">
          <cell r="H9737" t="str">
            <v>PIERCE COUNTY SALES TAX</v>
          </cell>
          <cell r="I9737" t="str">
            <v>7.9% WA STATE SALES TAX</v>
          </cell>
        </row>
        <row r="9738">
          <cell r="H9738" t="str">
            <v>FINCHG</v>
          </cell>
          <cell r="I9738" t="str">
            <v>LATE FEE</v>
          </cell>
        </row>
        <row r="9739">
          <cell r="H9739" t="str">
            <v>BDR</v>
          </cell>
          <cell r="I9739" t="str">
            <v>BAD DEBT RECOVERY</v>
          </cell>
        </row>
        <row r="9740">
          <cell r="H9740" t="str">
            <v>MM</v>
          </cell>
          <cell r="I9740" t="str">
            <v>ADJUST BALANCE (MM)</v>
          </cell>
        </row>
        <row r="9741">
          <cell r="H9741" t="str">
            <v>REFUND</v>
          </cell>
          <cell r="I9741" t="str">
            <v>REFUND</v>
          </cell>
        </row>
        <row r="9742">
          <cell r="H9742" t="str">
            <v>ACCESS-COMM</v>
          </cell>
          <cell r="I9742" t="str">
            <v>ACCESS FEE - COMM</v>
          </cell>
        </row>
        <row r="9743">
          <cell r="H9743" t="str">
            <v>FL001.0Y1W001</v>
          </cell>
          <cell r="I9743" t="str">
            <v>1 YD 1X WK 1</v>
          </cell>
        </row>
        <row r="9744">
          <cell r="H9744" t="str">
            <v>FL001.5Y1W001</v>
          </cell>
          <cell r="I9744" t="str">
            <v>1.5 YD 1X WK 1</v>
          </cell>
        </row>
        <row r="9745">
          <cell r="H9745" t="str">
            <v>FL001.5Y2W001</v>
          </cell>
          <cell r="I9745" t="str">
            <v>1.5 YD 2X WK 1</v>
          </cell>
        </row>
        <row r="9746">
          <cell r="H9746" t="str">
            <v>FL001.5Y3W001</v>
          </cell>
          <cell r="I9746" t="str">
            <v>1.5 YD 3X WK 1</v>
          </cell>
        </row>
        <row r="9747">
          <cell r="H9747" t="str">
            <v>FL001.5Y4W001</v>
          </cell>
          <cell r="I9747" t="str">
            <v>1.5 YD 4X WK 1</v>
          </cell>
        </row>
        <row r="9748">
          <cell r="H9748" t="str">
            <v>FL001.5Y5W001</v>
          </cell>
          <cell r="I9748" t="str">
            <v>1.5 YD 5X WK 1</v>
          </cell>
        </row>
        <row r="9749">
          <cell r="H9749" t="str">
            <v>FL002.0Y1W001</v>
          </cell>
          <cell r="I9749" t="str">
            <v>2 YD 1X WK 1</v>
          </cell>
        </row>
        <row r="9750">
          <cell r="H9750" t="str">
            <v>FL002.0Y3W001</v>
          </cell>
          <cell r="I9750" t="str">
            <v>2 YD 3X WK 1</v>
          </cell>
        </row>
        <row r="9751">
          <cell r="H9751" t="str">
            <v>FL002.0Y5W001</v>
          </cell>
          <cell r="I9751" t="str">
            <v>2 YD 5X WK 1</v>
          </cell>
        </row>
        <row r="9752">
          <cell r="H9752" t="str">
            <v>FL003.0Y1W001</v>
          </cell>
          <cell r="I9752" t="str">
            <v>3 YD 1X WK 1</v>
          </cell>
        </row>
        <row r="9753">
          <cell r="H9753" t="str">
            <v>FL003.0Y2W001</v>
          </cell>
          <cell r="I9753" t="str">
            <v>3 YD 2X WK 1</v>
          </cell>
        </row>
        <row r="9754">
          <cell r="H9754" t="str">
            <v>FL004.0Y1W001</v>
          </cell>
          <cell r="I9754" t="str">
            <v>4 YD 1X WK 1</v>
          </cell>
        </row>
        <row r="9755">
          <cell r="H9755" t="str">
            <v>FL006.0Y1W001</v>
          </cell>
          <cell r="I9755" t="str">
            <v>6 YD 1X WK 1</v>
          </cell>
        </row>
        <row r="9756">
          <cell r="H9756" t="str">
            <v>FL006.0Y2W001</v>
          </cell>
          <cell r="I9756" t="str">
            <v>6 YD 2X WK 1</v>
          </cell>
        </row>
        <row r="9757">
          <cell r="H9757" t="str">
            <v>FL006.0Y3W001</v>
          </cell>
          <cell r="I9757" t="str">
            <v>6 YD 3X WK 1</v>
          </cell>
        </row>
        <row r="9758">
          <cell r="H9758" t="str">
            <v>SL065.0G1W001NORECC</v>
          </cell>
          <cell r="I9758" t="str">
            <v xml:space="preserve">65 GL 1X WK NO RECY COMM </v>
          </cell>
        </row>
        <row r="9759">
          <cell r="H9759" t="str">
            <v>SL065.0G1W001WRECC</v>
          </cell>
          <cell r="I9759" t="str">
            <v>65 GL 1X WK W/RECY COMM 1</v>
          </cell>
        </row>
        <row r="9760">
          <cell r="H9760" t="str">
            <v>SL095.0G1W001NORECC</v>
          </cell>
          <cell r="I9760" t="str">
            <v xml:space="preserve">95 GL 1X WK NO RECY COMM </v>
          </cell>
        </row>
        <row r="9761">
          <cell r="H9761" t="str">
            <v>EXTRA-COMM</v>
          </cell>
          <cell r="I9761" t="str">
            <v>EXTRA CAN, BAG, BOX - COM</v>
          </cell>
        </row>
        <row r="9762">
          <cell r="H9762" t="str">
            <v>EXTRAYDG-COM</v>
          </cell>
          <cell r="I9762" t="str">
            <v>EXTRA YARDAGE - COMM</v>
          </cell>
        </row>
        <row r="9763">
          <cell r="H9763" t="str">
            <v>FL002.0Y1W001BCMGL</v>
          </cell>
          <cell r="I9763" t="str">
            <v>2 YD 1X WK BUS CMGL 1</v>
          </cell>
        </row>
        <row r="9764">
          <cell r="H9764" t="str">
            <v>FL002.0Y1W001BOCC</v>
          </cell>
          <cell r="I9764" t="str">
            <v>2 YD 1X WK BUS OCC 1</v>
          </cell>
        </row>
        <row r="9765">
          <cell r="H9765" t="str">
            <v>FL002.0Y2W001BCMGL</v>
          </cell>
          <cell r="I9765" t="str">
            <v>2 YD 2X WK BUS CMGL 1</v>
          </cell>
        </row>
        <row r="9766">
          <cell r="H9766" t="str">
            <v>FL004.0Y1W001CMGL</v>
          </cell>
          <cell r="I9766" t="str">
            <v>4 YD 1X WK BUS CMGL 1</v>
          </cell>
        </row>
        <row r="9767">
          <cell r="H9767" t="str">
            <v>FL004.0Y2W001CMGL</v>
          </cell>
          <cell r="I9767" t="str">
            <v>4 YD 2X WK BUS CMGL 1</v>
          </cell>
        </row>
        <row r="9768">
          <cell r="H9768" t="str">
            <v>FL005.0Y1W001BOCC</v>
          </cell>
          <cell r="I9768" t="str">
            <v>5 YD 1X WK BUS OCC 1</v>
          </cell>
        </row>
        <row r="9769">
          <cell r="H9769" t="str">
            <v>FL005.0Y2W001BOCC</v>
          </cell>
          <cell r="I9769" t="str">
            <v>5 YD 2X WK BUS OCC 1</v>
          </cell>
        </row>
        <row r="9770">
          <cell r="H9770" t="str">
            <v>FL006.0Y1W001BCMGL</v>
          </cell>
          <cell r="I9770" t="str">
            <v>6 YD 1X WK BUS COMINGLE 1</v>
          </cell>
        </row>
        <row r="9771">
          <cell r="H9771" t="str">
            <v>SL096.0GEO001BCMGLOUT</v>
          </cell>
          <cell r="I9771" t="str">
            <v>96 GL EOW BUS CMGL OUT</v>
          </cell>
        </row>
        <row r="9772">
          <cell r="H9772" t="str">
            <v>CC-KOL</v>
          </cell>
          <cell r="I9772" t="str">
            <v>ONLINE PAYMENT-CC</v>
          </cell>
        </row>
        <row r="9773">
          <cell r="H9773" t="str">
            <v>PAY</v>
          </cell>
          <cell r="I9773" t="str">
            <v>PAYMENT THANK YOU</v>
          </cell>
        </row>
        <row r="9774">
          <cell r="H9774" t="str">
            <v>PAY-KOL</v>
          </cell>
          <cell r="I9774" t="str">
            <v>PAYMENT-THANK YOU - OL</v>
          </cell>
        </row>
        <row r="9775">
          <cell r="H9775" t="str">
            <v>PAY-NATL</v>
          </cell>
          <cell r="I9775" t="str">
            <v>PAYMENT THANK YOU</v>
          </cell>
        </row>
        <row r="9776">
          <cell r="H9776" t="str">
            <v>PAYEFT</v>
          </cell>
          <cell r="I9776" t="str">
            <v>EFT PAYMENT</v>
          </cell>
        </row>
        <row r="9777">
          <cell r="H9777" t="str">
            <v>PAYUSBL</v>
          </cell>
          <cell r="I9777" t="str">
            <v>PAYMENT THANK YOU</v>
          </cell>
        </row>
        <row r="9778">
          <cell r="H9778" t="str">
            <v>OW-RES</v>
          </cell>
          <cell r="I9778" t="str">
            <v>OVERFILL / OVERWEIGHT CAN</v>
          </cell>
        </row>
        <row r="9779">
          <cell r="H9779" t="str">
            <v>LIDRO</v>
          </cell>
          <cell r="I9779" t="str">
            <v>LID CHARGE - RO</v>
          </cell>
        </row>
        <row r="9780">
          <cell r="H9780" t="str">
            <v>RENT20MO-RO</v>
          </cell>
          <cell r="I9780" t="str">
            <v>RENTAL FEE 20 YD MONTHLY</v>
          </cell>
        </row>
        <row r="9781">
          <cell r="H9781" t="str">
            <v>RENT30MO-RO</v>
          </cell>
          <cell r="I9781" t="str">
            <v>RENTAL FEE 30 YD MONTHLY</v>
          </cell>
        </row>
        <row r="9782">
          <cell r="H9782" t="str">
            <v>RENT40MO-RO</v>
          </cell>
          <cell r="I9782" t="str">
            <v>RENTAL FEE 40 YD MONTHLY</v>
          </cell>
        </row>
        <row r="9783">
          <cell r="H9783" t="str">
            <v>CLEAN20-RO</v>
          </cell>
          <cell r="I9783" t="str">
            <v>CLEANING FEE 20 YD - RO</v>
          </cell>
        </row>
        <row r="9784">
          <cell r="H9784" t="str">
            <v>DISCO-CP</v>
          </cell>
          <cell r="I9784" t="str">
            <v xml:space="preserve">COMPACTOR DISCONNECT FEE </v>
          </cell>
        </row>
        <row r="9785">
          <cell r="H9785" t="str">
            <v>DISPFEDMSW-RO</v>
          </cell>
          <cell r="I9785" t="str">
            <v xml:space="preserve">DISPOSAL FEE FEDERAL MSW </v>
          </cell>
        </row>
        <row r="9786">
          <cell r="H9786" t="str">
            <v>FINAL20TEMP-RO</v>
          </cell>
          <cell r="I9786" t="str">
            <v>FINAL PULL 20 YD TEMP - R</v>
          </cell>
        </row>
        <row r="9787">
          <cell r="H9787" t="str">
            <v>HAUL20-CP</v>
          </cell>
          <cell r="I9787" t="str">
            <v>COMPACTOR HAUL 20 YD - RO</v>
          </cell>
        </row>
        <row r="9788">
          <cell r="H9788" t="str">
            <v>HAUL20-RO</v>
          </cell>
          <cell r="I9788" t="str">
            <v>HAUL 20 YD - RO</v>
          </cell>
        </row>
        <row r="9789">
          <cell r="H9789" t="str">
            <v>HAUL20TEMP-RO</v>
          </cell>
          <cell r="I9789" t="str">
            <v>HAUL 20 YD TEMP - RO</v>
          </cell>
        </row>
        <row r="9790">
          <cell r="H9790" t="str">
            <v>HAUL40-RO</v>
          </cell>
          <cell r="I9790" t="str">
            <v>HAUL 40 YD - RO</v>
          </cell>
        </row>
        <row r="9791">
          <cell r="H9791" t="str">
            <v>MILE-RO</v>
          </cell>
          <cell r="I9791" t="str">
            <v>MILEAGE FEE - RO</v>
          </cell>
        </row>
        <row r="9792">
          <cell r="H9792" t="str">
            <v>RENT20TEMP-RO</v>
          </cell>
          <cell r="I9792" t="str">
            <v>RENTAL FEE 20 YD TEMP - R</v>
          </cell>
        </row>
        <row r="9793">
          <cell r="H9793" t="str">
            <v>RTRNTRIP-RO</v>
          </cell>
          <cell r="I9793" t="str">
            <v>RETURN TRIP FEE - RO</v>
          </cell>
        </row>
        <row r="9794">
          <cell r="H9794" t="str">
            <v>COMMODITY SURCHARGE</v>
          </cell>
          <cell r="I9794" t="str">
            <v>COMMODITY SURCHARGE</v>
          </cell>
        </row>
        <row r="9795">
          <cell r="H9795" t="str">
            <v>FT LEWIS REFUSE TAX</v>
          </cell>
          <cell r="I9795" t="str">
            <v>3.6% WA STATE REFUSE TAX</v>
          </cell>
        </row>
        <row r="9796">
          <cell r="H9796" t="str">
            <v xml:space="preserve">PIERCE COUNTY REFUSE  </v>
          </cell>
          <cell r="I9796" t="str">
            <v>3.6% PIERCE COUNTY REFUSE</v>
          </cell>
        </row>
        <row r="9797">
          <cell r="H9797" t="str">
            <v>FT LEWIS REFUSE TAX</v>
          </cell>
          <cell r="I9797" t="str">
            <v>3.6% WA STATE REFUSE TAX</v>
          </cell>
        </row>
        <row r="9798">
          <cell r="H9798" t="str">
            <v>FT LEWIS STATE SALES TAX</v>
          </cell>
          <cell r="I9798" t="str">
            <v>9.3% WA STATE SALES TAX</v>
          </cell>
        </row>
        <row r="9799">
          <cell r="H9799" t="str">
            <v>FINCHG</v>
          </cell>
          <cell r="I9799" t="str">
            <v>LATE FEE</v>
          </cell>
        </row>
        <row r="9800">
          <cell r="H9800" t="str">
            <v>FL004.0Y2W001MF</v>
          </cell>
          <cell r="I9800" t="str">
            <v>4 YD 2X WK MULTI-FAMILY 1</v>
          </cell>
        </row>
        <row r="9801">
          <cell r="H9801" t="str">
            <v>FL006.0Y1W001MF</v>
          </cell>
          <cell r="I9801" t="str">
            <v>6 YD 1X WK MULTI-FAMILY 1</v>
          </cell>
        </row>
        <row r="9802">
          <cell r="H9802" t="str">
            <v>FL006.0Y2W001MF</v>
          </cell>
          <cell r="I9802" t="str">
            <v>6 YD 2X WK MULTI-FAMILY 1</v>
          </cell>
        </row>
        <row r="9803">
          <cell r="H9803" t="str">
            <v>SL095.0G1W001WRECC</v>
          </cell>
          <cell r="I9803" t="str">
            <v>95 GL 1X WK W/RECY COMM 1</v>
          </cell>
        </row>
        <row r="9804">
          <cell r="H9804" t="str">
            <v>MFWBINS</v>
          </cell>
          <cell r="I9804" t="str">
            <v>MULTI-FAMILY REC UNIT W/B</v>
          </cell>
        </row>
        <row r="9805">
          <cell r="H9805" t="str">
            <v>SL096.0G1M001BCMGLOUT</v>
          </cell>
          <cell r="I9805" t="str">
            <v>96 GL MTHLY BUS CMGL OUT</v>
          </cell>
        </row>
        <row r="9806">
          <cell r="H9806" t="str">
            <v>CC-KOL</v>
          </cell>
          <cell r="I9806" t="str">
            <v>ONLINE PAYMENT-CC</v>
          </cell>
        </row>
        <row r="9807">
          <cell r="H9807" t="str">
            <v>PAY</v>
          </cell>
          <cell r="I9807" t="str">
            <v>PAYMENT THANK YOU</v>
          </cell>
        </row>
        <row r="9808">
          <cell r="H9808" t="str">
            <v>PAY-KOL</v>
          </cell>
          <cell r="I9808" t="str">
            <v>PAYMENT-THANK YOU - OL</v>
          </cell>
        </row>
        <row r="9809">
          <cell r="H9809" t="str">
            <v>GWRES</v>
          </cell>
          <cell r="I9809" t="str">
            <v>GREENWASTE SERVICE - RES</v>
          </cell>
        </row>
        <row r="9810">
          <cell r="H9810" t="str">
            <v>RECBINONLYR</v>
          </cell>
          <cell r="I9810" t="str">
            <v>RECYCLE SERVICE ONLY</v>
          </cell>
        </row>
        <row r="9811">
          <cell r="H9811" t="str">
            <v>RECPROGADJ-RES</v>
          </cell>
          <cell r="I9811" t="str">
            <v>RECYCLING PROGRAM ADJUSTM</v>
          </cell>
        </row>
        <row r="9812">
          <cell r="H9812" t="str">
            <v>RECVALRES</v>
          </cell>
          <cell r="I9812" t="str">
            <v>RECYCLABLES VALUE - RES</v>
          </cell>
        </row>
        <row r="9813">
          <cell r="H9813" t="str">
            <v>SL065.0G1W001WREC</v>
          </cell>
          <cell r="I9813" t="str">
            <v>65 GL 1X WK W/RECY 1</v>
          </cell>
        </row>
        <row r="9814">
          <cell r="H9814" t="str">
            <v>SL095.0G1W001</v>
          </cell>
          <cell r="I9814" t="str">
            <v>95 GL 1X WK 1</v>
          </cell>
        </row>
        <row r="9815">
          <cell r="H9815" t="str">
            <v>SL095.0G1W001WREC</v>
          </cell>
          <cell r="I9815" t="str">
            <v>95 GL 1X WK W/RECY 1</v>
          </cell>
        </row>
        <row r="9816">
          <cell r="H9816" t="str">
            <v>DISPFEDMSW-RES</v>
          </cell>
          <cell r="I9816" t="str">
            <v>DISPOSAL FEDERAL MSW - RE</v>
          </cell>
        </row>
        <row r="9817">
          <cell r="H9817" t="str">
            <v>OW-RES</v>
          </cell>
          <cell r="I9817" t="str">
            <v>OVERFILL / OVERWEIGHT CAN</v>
          </cell>
        </row>
        <row r="9818">
          <cell r="H9818" t="str">
            <v>SL095.0G1W001WREC</v>
          </cell>
          <cell r="I9818" t="str">
            <v>95 GL 1X WK W/RECY 1</v>
          </cell>
        </row>
        <row r="9819">
          <cell r="H9819" t="str">
            <v>TIME-RES</v>
          </cell>
          <cell r="I9819" t="str">
            <v>TIME FEE 1 - RES</v>
          </cell>
        </row>
        <row r="9820">
          <cell r="H9820" t="str">
            <v>RENT20MO-RO</v>
          </cell>
          <cell r="I9820" t="str">
            <v>RENTAL FEE 20 YD MONTHLY</v>
          </cell>
        </row>
        <row r="9821">
          <cell r="H9821" t="str">
            <v>RENT30MO-RO</v>
          </cell>
          <cell r="I9821" t="str">
            <v>RENTAL FEE 30 YD MONTHLY</v>
          </cell>
        </row>
        <row r="9822">
          <cell r="H9822" t="str">
            <v>RENT40MO-RO</v>
          </cell>
          <cell r="I9822" t="str">
            <v>RENTAL FEE 40 YD MONTHLY</v>
          </cell>
        </row>
        <row r="9823">
          <cell r="H9823" t="str">
            <v>DISPFEDMSW-RO</v>
          </cell>
          <cell r="I9823" t="str">
            <v xml:space="preserve">DISPOSAL FEE FEDERAL MSW </v>
          </cell>
        </row>
        <row r="9824">
          <cell r="H9824" t="str">
            <v>HAUL30-RO</v>
          </cell>
          <cell r="I9824" t="str">
            <v>HAUL 30 YD - RO</v>
          </cell>
        </row>
        <row r="9825">
          <cell r="H9825" t="str">
            <v>HAUL40-RO</v>
          </cell>
          <cell r="I9825" t="str">
            <v>HAUL 40 YD - RO</v>
          </cell>
        </row>
        <row r="9826">
          <cell r="H9826" t="str">
            <v>MILE-RO</v>
          </cell>
          <cell r="I9826" t="str">
            <v>MILEAGE FEE - RO</v>
          </cell>
        </row>
        <row r="9827">
          <cell r="H9827" t="str">
            <v>RTRNTRIP-RO</v>
          </cell>
          <cell r="I9827" t="str">
            <v>RETURN TRIP FEE - RO</v>
          </cell>
        </row>
        <row r="9828">
          <cell r="H9828" t="str">
            <v>FT LEWIS REFUSE TAX</v>
          </cell>
          <cell r="I9828" t="str">
            <v>3.6% WA STATE REFUSE TAX</v>
          </cell>
        </row>
        <row r="9829">
          <cell r="H9829" t="str">
            <v>FT LEWIS REFUSE TAX</v>
          </cell>
          <cell r="I9829" t="str">
            <v>3.6% WA STATE REFUSE TAX</v>
          </cell>
        </row>
        <row r="9830">
          <cell r="H9830" t="str">
            <v>FT LEWIS STATE SALES TAX</v>
          </cell>
          <cell r="I9830" t="str">
            <v>9.3% WA STATE SALES TAX</v>
          </cell>
        </row>
        <row r="9831">
          <cell r="H9831" t="str">
            <v>FT LEWIS REFUSE TAX</v>
          </cell>
          <cell r="I9831" t="str">
            <v>3.6% WA STATE REFUSE TAX</v>
          </cell>
        </row>
        <row r="9832">
          <cell r="H9832" t="str">
            <v>FINCHG</v>
          </cell>
          <cell r="I9832" t="str">
            <v>LATE FEE</v>
          </cell>
        </row>
        <row r="9833">
          <cell r="H9833" t="str">
            <v>BD</v>
          </cell>
          <cell r="I9833" t="str">
            <v>BAD DEBT WRITE OFF</v>
          </cell>
        </row>
        <row r="9834">
          <cell r="H9834" t="str">
            <v>BDR</v>
          </cell>
          <cell r="I9834" t="str">
            <v>BAD DEBT RECOVERY</v>
          </cell>
        </row>
        <row r="9835">
          <cell r="H9835" t="str">
            <v>COLLFEE</v>
          </cell>
          <cell r="I9835" t="str">
            <v>COLLECTION AGENCY FEE</v>
          </cell>
        </row>
        <row r="9836">
          <cell r="H9836" t="str">
            <v>FINCHG</v>
          </cell>
          <cell r="I9836" t="str">
            <v>LATE FEE</v>
          </cell>
        </row>
        <row r="9837">
          <cell r="H9837" t="str">
            <v>MM</v>
          </cell>
          <cell r="I9837" t="str">
            <v>ADJUST BALANCE (MM)</v>
          </cell>
        </row>
        <row r="9838">
          <cell r="H9838" t="str">
            <v>REFUND</v>
          </cell>
          <cell r="I9838" t="str">
            <v>REFUND</v>
          </cell>
        </row>
        <row r="9839">
          <cell r="H9839" t="str">
            <v>RETCK-CFREE</v>
          </cell>
          <cell r="I9839" t="str">
            <v>CHECKFREE RETURN CHECK</v>
          </cell>
        </row>
        <row r="9840">
          <cell r="H9840" t="str">
            <v>RETCK-LB</v>
          </cell>
          <cell r="I9840" t="str">
            <v>RETURNED CHECK - LOCKBOX</v>
          </cell>
        </row>
        <row r="9841">
          <cell r="H9841" t="str">
            <v>RETCKC</v>
          </cell>
          <cell r="I9841" t="str">
            <v>RETURN CHECK CHARGE</v>
          </cell>
        </row>
        <row r="9842">
          <cell r="H9842" t="str">
            <v>BD</v>
          </cell>
          <cell r="I9842" t="str">
            <v>BAD DEBT WRITE OFF</v>
          </cell>
        </row>
        <row r="9843">
          <cell r="H9843" t="str">
            <v>BDR</v>
          </cell>
          <cell r="I9843" t="str">
            <v>BAD DEBT RECOVERY</v>
          </cell>
        </row>
        <row r="9844">
          <cell r="H9844" t="str">
            <v>COLLFEE</v>
          </cell>
          <cell r="I9844" t="str">
            <v>COLLECTION AGENCY FEE</v>
          </cell>
        </row>
        <row r="9845">
          <cell r="H9845" t="str">
            <v>FINCHG</v>
          </cell>
          <cell r="I9845" t="str">
            <v>LATE FEE</v>
          </cell>
        </row>
        <row r="9846">
          <cell r="H9846" t="str">
            <v>MM</v>
          </cell>
          <cell r="I9846" t="str">
            <v>ADJUST BALANCE (MM)</v>
          </cell>
        </row>
        <row r="9847">
          <cell r="H9847" t="str">
            <v>MM</v>
          </cell>
          <cell r="I9847" t="str">
            <v>ADJUST BALANCE (MM)</v>
          </cell>
        </row>
        <row r="9848">
          <cell r="H9848" t="str">
            <v>REFUND</v>
          </cell>
          <cell r="I9848" t="str">
            <v>REFUND</v>
          </cell>
        </row>
        <row r="9849">
          <cell r="H9849" t="str">
            <v>RETCK</v>
          </cell>
          <cell r="I9849" t="str">
            <v>RETURNED CHECK</v>
          </cell>
        </row>
        <row r="9850">
          <cell r="H9850" t="str">
            <v>RETCKC</v>
          </cell>
          <cell r="I9850" t="str">
            <v>RETURN CHECK CHARGE</v>
          </cell>
        </row>
        <row r="9851">
          <cell r="H9851" t="str">
            <v>FINCHG</v>
          </cell>
          <cell r="I9851" t="str">
            <v>LATE FEE</v>
          </cell>
        </row>
        <row r="9852">
          <cell r="H9852" t="str">
            <v>BD</v>
          </cell>
          <cell r="I9852" t="str">
            <v>BAD DEBT WRITE OFF</v>
          </cell>
        </row>
        <row r="9853">
          <cell r="H9853" t="str">
            <v>BDR</v>
          </cell>
          <cell r="I9853" t="str">
            <v>BAD DEBT RECOVERY</v>
          </cell>
        </row>
        <row r="9854">
          <cell r="H9854" t="str">
            <v>COLLFEE</v>
          </cell>
          <cell r="I9854" t="str">
            <v>COLLECTION AGENCY FEE</v>
          </cell>
        </row>
        <row r="9855">
          <cell r="H9855" t="str">
            <v>FINCHG</v>
          </cell>
          <cell r="I9855" t="str">
            <v>LATE FEE</v>
          </cell>
        </row>
        <row r="9856">
          <cell r="H9856" t="str">
            <v>MM</v>
          </cell>
          <cell r="I9856" t="str">
            <v>ADJUST BALANCE (MM)</v>
          </cell>
        </row>
        <row r="9857">
          <cell r="H9857" t="str">
            <v>MM</v>
          </cell>
          <cell r="I9857" t="str">
            <v>ADJUST BALANCE (MM)</v>
          </cell>
        </row>
        <row r="9858">
          <cell r="H9858" t="str">
            <v>REFUND</v>
          </cell>
          <cell r="I9858" t="str">
            <v>REFUND</v>
          </cell>
        </row>
        <row r="9859">
          <cell r="H9859" t="str">
            <v>RETCK-LB</v>
          </cell>
          <cell r="I9859" t="str">
            <v>RETURNED CHECK - LOCKBOX</v>
          </cell>
        </row>
        <row r="9860">
          <cell r="H9860" t="str">
            <v>RETCKC</v>
          </cell>
          <cell r="I9860" t="str">
            <v>RETURN CHECK CHARGE</v>
          </cell>
        </row>
        <row r="9861">
          <cell r="H9861" t="str">
            <v>MM</v>
          </cell>
          <cell r="I9861" t="str">
            <v>ADJUST BALANCE (MM)</v>
          </cell>
        </row>
        <row r="9862">
          <cell r="H9862" t="str">
            <v>CANCOUNT-COMM</v>
          </cell>
          <cell r="I9862" t="str">
            <v>CAN COUNT - COMM</v>
          </cell>
        </row>
        <row r="9863">
          <cell r="H9863" t="str">
            <v>ACCESS-COMM</v>
          </cell>
          <cell r="I9863" t="str">
            <v>ACCESS FEE - COMM</v>
          </cell>
        </row>
        <row r="9864">
          <cell r="H9864" t="str">
            <v>ACCESS-MF</v>
          </cell>
          <cell r="I9864" t="str">
            <v>ACCESS FEE - MF</v>
          </cell>
        </row>
        <row r="9865">
          <cell r="H9865" t="str">
            <v>DONATIONC</v>
          </cell>
          <cell r="I9865" t="str">
            <v>DONATED SERVICE COMM</v>
          </cell>
        </row>
        <row r="9866">
          <cell r="H9866" t="str">
            <v>DRIVEIN1-COMM</v>
          </cell>
          <cell r="I9866" t="str">
            <v>DRIVE IN 125-250' - COMM</v>
          </cell>
        </row>
        <row r="9867">
          <cell r="H9867" t="str">
            <v>DRIVEIN3-COMM</v>
          </cell>
          <cell r="I9867" t="str">
            <v>DRIVE IN 779-1306' - COMM</v>
          </cell>
        </row>
        <row r="9868">
          <cell r="H9868" t="str">
            <v>FL001.0Y1W001</v>
          </cell>
          <cell r="I9868" t="str">
            <v>1 YD 1X WK 1</v>
          </cell>
        </row>
        <row r="9869">
          <cell r="H9869" t="str">
            <v>FL001.0Y2W001</v>
          </cell>
          <cell r="I9869" t="str">
            <v>1 YD 2X WK 1</v>
          </cell>
        </row>
        <row r="9870">
          <cell r="H9870" t="str">
            <v>FL001.0Y3W001</v>
          </cell>
          <cell r="I9870" t="str">
            <v>1 YD 3X WK 1</v>
          </cell>
        </row>
        <row r="9871">
          <cell r="H9871" t="str">
            <v>FL001.5Y1W001</v>
          </cell>
          <cell r="I9871" t="str">
            <v>1.5 YD 1X WK 1</v>
          </cell>
        </row>
        <row r="9872">
          <cell r="H9872" t="str">
            <v>FL001.5Y2W001</v>
          </cell>
          <cell r="I9872" t="str">
            <v>1.5 YD 2X WK 1</v>
          </cell>
        </row>
        <row r="9873">
          <cell r="H9873" t="str">
            <v>FL001.5Y3W001</v>
          </cell>
          <cell r="I9873" t="str">
            <v>1.5 YD 3X WK 1</v>
          </cell>
        </row>
        <row r="9874">
          <cell r="H9874" t="str">
            <v>FL002.0Y1W001</v>
          </cell>
          <cell r="I9874" t="str">
            <v>2 YD 1X WK 1</v>
          </cell>
        </row>
        <row r="9875">
          <cell r="H9875" t="str">
            <v>FL002.0Y2W001</v>
          </cell>
          <cell r="I9875" t="str">
            <v>2 YD 2X WK 1</v>
          </cell>
        </row>
        <row r="9876">
          <cell r="H9876" t="str">
            <v>FL002.0Y3W001</v>
          </cell>
          <cell r="I9876" t="str">
            <v>2 YD 3X WK 1</v>
          </cell>
        </row>
        <row r="9877">
          <cell r="H9877" t="str">
            <v>FL002.0Y4W001</v>
          </cell>
          <cell r="I9877" t="str">
            <v>2 YD 4X WK 1</v>
          </cell>
        </row>
        <row r="9878">
          <cell r="H9878" t="str">
            <v>FL002.0Y5W001</v>
          </cell>
          <cell r="I9878" t="str">
            <v>2 YD 5X WK 1</v>
          </cell>
        </row>
        <row r="9879">
          <cell r="H9879" t="str">
            <v>FL002.0YXX001TEMPC</v>
          </cell>
          <cell r="I9879" t="str">
            <v xml:space="preserve">2 YD TEMP </v>
          </cell>
        </row>
        <row r="9880">
          <cell r="H9880" t="str">
            <v>FL003.0Y1W001</v>
          </cell>
          <cell r="I9880" t="str">
            <v>3 YD 1X WK 1</v>
          </cell>
        </row>
        <row r="9881">
          <cell r="H9881" t="str">
            <v>FL003.0Y2W001</v>
          </cell>
          <cell r="I9881" t="str">
            <v>3 YD 2X WK 1</v>
          </cell>
        </row>
        <row r="9882">
          <cell r="H9882" t="str">
            <v>FL003.0Y3W001</v>
          </cell>
          <cell r="I9882" t="str">
            <v>3 YD 3X WK 1</v>
          </cell>
        </row>
        <row r="9883">
          <cell r="H9883" t="str">
            <v>FL003.0Y5W001</v>
          </cell>
          <cell r="I9883" t="str">
            <v>3 YD 5X WK 1</v>
          </cell>
        </row>
        <row r="9884">
          <cell r="H9884" t="str">
            <v>FL004.0Y1W001</v>
          </cell>
          <cell r="I9884" t="str">
            <v>4 YD 1X WK 1</v>
          </cell>
        </row>
        <row r="9885">
          <cell r="H9885" t="str">
            <v>FL004.0Y2W001</v>
          </cell>
          <cell r="I9885" t="str">
            <v>4 YD 2X WK 1</v>
          </cell>
        </row>
        <row r="9886">
          <cell r="H9886" t="str">
            <v>FL004.0Y2W001CMP</v>
          </cell>
          <cell r="I9886" t="str">
            <v>4 YD 2X WK COMP 1</v>
          </cell>
        </row>
        <row r="9887">
          <cell r="H9887" t="str">
            <v>FL004.0Y3W001</v>
          </cell>
          <cell r="I9887" t="str">
            <v>4 YD 3X WK 1</v>
          </cell>
        </row>
        <row r="9888">
          <cell r="H9888" t="str">
            <v>FL004.0Y4W001</v>
          </cell>
          <cell r="I9888" t="str">
            <v>4 YD 4X WK 1</v>
          </cell>
        </row>
        <row r="9889">
          <cell r="H9889" t="str">
            <v>FL004.0Y5W001</v>
          </cell>
          <cell r="I9889" t="str">
            <v>4 YD 5X WK 1</v>
          </cell>
        </row>
        <row r="9890">
          <cell r="H9890" t="str">
            <v>FL006.0Y1W001</v>
          </cell>
          <cell r="I9890" t="str">
            <v>6 YD 1X WK 1</v>
          </cell>
        </row>
        <row r="9891">
          <cell r="H9891" t="str">
            <v>FL006.0Y2W001</v>
          </cell>
          <cell r="I9891" t="str">
            <v>6 YD 2X WK 1</v>
          </cell>
        </row>
        <row r="9892">
          <cell r="H9892" t="str">
            <v>FL006.0Y2W001CMP</v>
          </cell>
          <cell r="I9892" t="str">
            <v>6 YD 2X WK COMP 1</v>
          </cell>
        </row>
        <row r="9893">
          <cell r="H9893" t="str">
            <v>FL006.0Y3W001</v>
          </cell>
          <cell r="I9893" t="str">
            <v>6 YD 3X WK 1</v>
          </cell>
        </row>
        <row r="9894">
          <cell r="H9894" t="str">
            <v>FL006.0Y5W001</v>
          </cell>
          <cell r="I9894" t="str">
            <v>6 YD 5X WK 1</v>
          </cell>
        </row>
        <row r="9895">
          <cell r="H9895" t="str">
            <v>GWCOMM</v>
          </cell>
          <cell r="I9895" t="str">
            <v>GREENWASTE SERVICE - COMM</v>
          </cell>
        </row>
        <row r="9896">
          <cell r="H9896" t="str">
            <v>RENT2TEMP-COMM</v>
          </cell>
          <cell r="I9896" t="str">
            <v>RENT 2 YD TEMP - COMM</v>
          </cell>
        </row>
        <row r="9897">
          <cell r="H9897" t="str">
            <v>RL032.0G1W001WRECC</v>
          </cell>
          <cell r="I9897" t="str">
            <v>32 GL 1X WK W/RECY COMM 1</v>
          </cell>
        </row>
        <row r="9898">
          <cell r="H9898" t="str">
            <v>ROLL-COMM</v>
          </cell>
          <cell r="I9898" t="str">
            <v>ROLL OUT CHARGE - COMM</v>
          </cell>
        </row>
        <row r="9899">
          <cell r="H9899" t="str">
            <v>SL065.0G1M001NORECC</v>
          </cell>
          <cell r="I9899" t="str">
            <v xml:space="preserve">65 GL 1X MO NO RECY COMM </v>
          </cell>
        </row>
        <row r="9900">
          <cell r="H9900" t="str">
            <v>SL065.0G1W001NORECC</v>
          </cell>
          <cell r="I9900" t="str">
            <v xml:space="preserve">65 GL 1X WK NO RECY COMM </v>
          </cell>
        </row>
        <row r="9901">
          <cell r="H9901" t="str">
            <v>SL065.0G1W001WRECC</v>
          </cell>
          <cell r="I9901" t="str">
            <v>65 GL 1X WK W/RECY COMM 1</v>
          </cell>
        </row>
        <row r="9902">
          <cell r="H9902" t="str">
            <v>SL065.0GEO001NORECC</v>
          </cell>
          <cell r="I9902" t="str">
            <v>65 GL EOW NO RECY COMM 1</v>
          </cell>
        </row>
        <row r="9903">
          <cell r="H9903" t="str">
            <v>SL065.0GEO001WRECC</v>
          </cell>
          <cell r="I9903" t="str">
            <v>65 GL EOW W/RECY COMM 1</v>
          </cell>
        </row>
        <row r="9904">
          <cell r="H9904" t="str">
            <v>SL095.0G1W001NORECC</v>
          </cell>
          <cell r="I9904" t="str">
            <v xml:space="preserve">95 GL 1X WK NO RECY COMM </v>
          </cell>
        </row>
        <row r="9905">
          <cell r="H9905" t="str">
            <v>SL095.0G1W001WRECC</v>
          </cell>
          <cell r="I9905" t="str">
            <v>95 GL 1X WK W/RECY COMM 1</v>
          </cell>
        </row>
        <row r="9906">
          <cell r="H9906" t="str">
            <v>SL095.0GEO001NORECC</v>
          </cell>
          <cell r="I9906" t="str">
            <v>95 GL EOW NO RECY COMM 1</v>
          </cell>
        </row>
        <row r="9907">
          <cell r="H9907" t="str">
            <v>SL095.0GEO001WRECC</v>
          </cell>
          <cell r="I9907" t="str">
            <v>95 GL EOW W/RECY COMM 1</v>
          </cell>
        </row>
        <row r="9908">
          <cell r="H9908" t="str">
            <v>WI1-COMM</v>
          </cell>
          <cell r="I9908" t="str">
            <v>WALK IN 6-25' - COMM</v>
          </cell>
        </row>
        <row r="9909">
          <cell r="H9909" t="str">
            <v>WI2-COMM</v>
          </cell>
          <cell r="I9909" t="str">
            <v>WALK IN 26-50' - COMM</v>
          </cell>
        </row>
        <row r="9910">
          <cell r="H9910" t="str">
            <v>ACCESS-COMM</v>
          </cell>
          <cell r="I9910" t="str">
            <v>ACCESS FEE - COMM</v>
          </cell>
        </row>
        <row r="9911">
          <cell r="H9911" t="str">
            <v>ADJ-COMM</v>
          </cell>
          <cell r="I9911" t="str">
            <v>ADJUSTMENT SERVICE - COMM</v>
          </cell>
        </row>
        <row r="9912">
          <cell r="H9912" t="str">
            <v>BULKY-COMM</v>
          </cell>
          <cell r="I9912" t="str">
            <v>BULKY ITEM PICK UP - COMM</v>
          </cell>
        </row>
        <row r="9913">
          <cell r="H9913" t="str">
            <v>CANCOUNT-COMM</v>
          </cell>
          <cell r="I9913" t="str">
            <v>CAN COUNT - COMM</v>
          </cell>
        </row>
        <row r="9914">
          <cell r="H9914" t="str">
            <v>CLEAN1.5-COMM</v>
          </cell>
          <cell r="I9914" t="str">
            <v>CLEANING FEE 1.5 YD - COM</v>
          </cell>
        </row>
        <row r="9915">
          <cell r="H9915" t="str">
            <v>CLEAN2-COMM</v>
          </cell>
          <cell r="I9915" t="str">
            <v>CLEANING FEE 2 YD - COMM</v>
          </cell>
        </row>
        <row r="9916">
          <cell r="H9916" t="str">
            <v>DEL1.5TEMP-COMM</v>
          </cell>
          <cell r="I9916" t="str">
            <v xml:space="preserve">DELIVERY FEE 1.5 YD TEMP </v>
          </cell>
        </row>
        <row r="9917">
          <cell r="H9917" t="str">
            <v>DEL1TEMP-COMM</v>
          </cell>
          <cell r="I9917" t="str">
            <v xml:space="preserve">DELIVERY FEE 1 YD TEMP - </v>
          </cell>
        </row>
        <row r="9918">
          <cell r="H9918" t="str">
            <v>DEL2TEMP-COMM</v>
          </cell>
          <cell r="I9918" t="str">
            <v xml:space="preserve">DELIVERY FEE 2 YD TEMP - </v>
          </cell>
        </row>
        <row r="9919">
          <cell r="H9919" t="str">
            <v>EXTRA-COMM</v>
          </cell>
          <cell r="I9919" t="str">
            <v>EXTRA CAN, BAG, BOX - COM</v>
          </cell>
        </row>
        <row r="9920">
          <cell r="H9920" t="str">
            <v>EXTRAGRAD1-COMM</v>
          </cell>
          <cell r="I9920" t="str">
            <v>EXTRAS GRADUATED 1-2 - COMM</v>
          </cell>
        </row>
        <row r="9921">
          <cell r="H9921" t="str">
            <v>EXTRAGRAD2-COMM</v>
          </cell>
          <cell r="I9921" t="str">
            <v>EXTRAS GRADUATED 3+ - COMM</v>
          </cell>
        </row>
        <row r="9922">
          <cell r="H9922" t="str">
            <v>EXTRAGWC-COMM</v>
          </cell>
          <cell r="I9922" t="str">
            <v>EXTRA GREENWASTE FEE - CO</v>
          </cell>
        </row>
        <row r="9923">
          <cell r="H9923" t="str">
            <v>EXTRAYDG-COM</v>
          </cell>
          <cell r="I9923" t="str">
            <v>EXTRA YARDAGE - COMM</v>
          </cell>
        </row>
        <row r="9924">
          <cell r="H9924" t="str">
            <v>FL001.0YXX001TEMPC</v>
          </cell>
          <cell r="I9924" t="str">
            <v xml:space="preserve">1 YD TEMP </v>
          </cell>
        </row>
        <row r="9925">
          <cell r="H9925" t="str">
            <v>FL001.5YXX001TEMPC</v>
          </cell>
          <cell r="I9925" t="str">
            <v xml:space="preserve">1.5 YD TEMP </v>
          </cell>
        </row>
        <row r="9926">
          <cell r="H9926" t="str">
            <v>FL002.0YXX001TEMPC</v>
          </cell>
          <cell r="I9926" t="str">
            <v xml:space="preserve">2 YD TEMP </v>
          </cell>
        </row>
        <row r="9927">
          <cell r="H9927" t="str">
            <v>FL006.0Y2W001</v>
          </cell>
          <cell r="I9927" t="str">
            <v>6 YD 2X WK 1</v>
          </cell>
        </row>
        <row r="9928">
          <cell r="H9928" t="str">
            <v>GWCOMM</v>
          </cell>
          <cell r="I9928" t="str">
            <v>GREENWASTE SERVICE - COMM</v>
          </cell>
        </row>
        <row r="9929">
          <cell r="H9929" t="str">
            <v>REDEL-COMM</v>
          </cell>
          <cell r="I9929" t="str">
            <v>REDELIVER FEE LVL 1 - COM</v>
          </cell>
        </row>
        <row r="9930">
          <cell r="H9930" t="str">
            <v>REINSTATE-COMM</v>
          </cell>
          <cell r="I9930" t="str">
            <v>REINSTATE FEE - COMM</v>
          </cell>
        </row>
        <row r="9931">
          <cell r="H9931" t="str">
            <v>RENT1.5TEMP-COMM</v>
          </cell>
          <cell r="I9931" t="str">
            <v>RENT 1.5 YD TEMP - COMM</v>
          </cell>
        </row>
        <row r="9932">
          <cell r="H9932" t="str">
            <v>RENT2TEMP-COMM</v>
          </cell>
          <cell r="I9932" t="str">
            <v>RENT 2 YD TEMP - COMM</v>
          </cell>
        </row>
        <row r="9933">
          <cell r="H9933" t="str">
            <v>RTRNTRIP-COMM</v>
          </cell>
          <cell r="I9933" t="str">
            <v>RETURN TRIP FEE - COMM</v>
          </cell>
        </row>
        <row r="9934">
          <cell r="H9934" t="str">
            <v>SP-COMM</v>
          </cell>
          <cell r="I9934" t="str">
            <v>SPECIAL HAUL - COMM</v>
          </cell>
        </row>
        <row r="9935">
          <cell r="H9935" t="str">
            <v>SP1-COMM</v>
          </cell>
          <cell r="I9935" t="str">
            <v>SPECIAL PICK UP 1 YD - CO</v>
          </cell>
        </row>
        <row r="9936">
          <cell r="H9936" t="str">
            <v>SP1.5-COMM</v>
          </cell>
          <cell r="I9936" t="str">
            <v xml:space="preserve">SPECIAL PICK UP 1.5 YD - </v>
          </cell>
        </row>
        <row r="9937">
          <cell r="H9937" t="str">
            <v>SP2-COMM</v>
          </cell>
          <cell r="I9937" t="str">
            <v>SPECIAL PICK UP 2 YD - CO</v>
          </cell>
        </row>
        <row r="9938">
          <cell r="H9938" t="str">
            <v>SP3-COMM</v>
          </cell>
          <cell r="I9938" t="str">
            <v>SPECIAL PICK UP 3 YD - CO</v>
          </cell>
        </row>
        <row r="9939">
          <cell r="H9939" t="str">
            <v>SP4-COMM</v>
          </cell>
          <cell r="I9939" t="str">
            <v>SPECIAL PICK UP 4 YD - CO</v>
          </cell>
        </row>
        <row r="9940">
          <cell r="H9940" t="str">
            <v>SP6-COMM</v>
          </cell>
          <cell r="I9940" t="str">
            <v>SPECIAL PICK UP 6 YD - CO</v>
          </cell>
        </row>
        <row r="9941">
          <cell r="H9941" t="str">
            <v>SPADD-COMM</v>
          </cell>
          <cell r="I9941" t="str">
            <v>SPECIAL ADDL UNIT - COMM</v>
          </cell>
        </row>
        <row r="9942">
          <cell r="H9942" t="str">
            <v>SPGRAD1S-COMM</v>
          </cell>
          <cell r="I9942" t="str">
            <v>SPECIAL UNIT GRAD1 SCHL - COMM</v>
          </cell>
        </row>
        <row r="9943">
          <cell r="H9943" t="str">
            <v>SPGRAD2S-COMM</v>
          </cell>
          <cell r="I9943" t="str">
            <v>SPECIAL UNIT GRAD2 SCHL - COMM</v>
          </cell>
        </row>
        <row r="9944">
          <cell r="H9944" t="str">
            <v>ACCESSCREC-COMM</v>
          </cell>
          <cell r="I9944" t="str">
            <v>ACCESS FEE COMM RECY - CO</v>
          </cell>
        </row>
        <row r="9945">
          <cell r="H9945" t="str">
            <v>FL002.0Y1W001BCMGL</v>
          </cell>
          <cell r="I9945" t="str">
            <v>2 YD 1X WK BUS CMGL 1</v>
          </cell>
        </row>
        <row r="9946">
          <cell r="H9946" t="str">
            <v>FL002.0Y1W001BOCC</v>
          </cell>
          <cell r="I9946" t="str">
            <v>2 YD 1X WK BUS OCC 1</v>
          </cell>
        </row>
        <row r="9947">
          <cell r="H9947" t="str">
            <v>FL002.0Y1W001SOCC</v>
          </cell>
          <cell r="I9947" t="str">
            <v>2 YD 1X WK SCHOOL OCC</v>
          </cell>
        </row>
        <row r="9948">
          <cell r="H9948" t="str">
            <v>FL002.0Y2W001BCMGL</v>
          </cell>
          <cell r="I9948" t="str">
            <v>2 YD 2X WK BUS CMGL 1</v>
          </cell>
        </row>
        <row r="9949">
          <cell r="H9949" t="str">
            <v>FL002.0Y2W001BOCC</v>
          </cell>
          <cell r="I9949" t="str">
            <v>2 YD 2X WK BUS OCC 1</v>
          </cell>
        </row>
        <row r="9950">
          <cell r="H9950" t="str">
            <v>FL002.0Y3W001BOCC</v>
          </cell>
          <cell r="I9950" t="str">
            <v>2 YD 3X WK BUS OCC 1</v>
          </cell>
        </row>
        <row r="9951">
          <cell r="H9951" t="str">
            <v>FL002.0Y4W001BOCC</v>
          </cell>
          <cell r="I9951" t="str">
            <v>2 YD 4X WK BUS OCC 1</v>
          </cell>
        </row>
        <row r="9952">
          <cell r="H9952" t="str">
            <v>FL004.0Y1W001CMGL</v>
          </cell>
          <cell r="I9952" t="str">
            <v>4 YD 1X WK BUS CMGL 1</v>
          </cell>
        </row>
        <row r="9953">
          <cell r="H9953" t="str">
            <v>FL004.0Y2W001CMGL</v>
          </cell>
          <cell r="I9953" t="str">
            <v>4 YD 2X WK BUS CMGL 1</v>
          </cell>
        </row>
        <row r="9954">
          <cell r="H9954" t="str">
            <v>FL004.0Y3W001BCMGL</v>
          </cell>
          <cell r="I9954" t="str">
            <v>4 YD 3X WK BUS CMGL 1</v>
          </cell>
        </row>
        <row r="9955">
          <cell r="H9955" t="str">
            <v>FL005.0Y1W001BOCC</v>
          </cell>
          <cell r="I9955" t="str">
            <v>5 YD 1X WK BUS OCC 1</v>
          </cell>
        </row>
        <row r="9956">
          <cell r="H9956" t="str">
            <v>FL005.0Y1W001SOCC</v>
          </cell>
          <cell r="I9956" t="str">
            <v>5 YD 1X WK SCHOOL OCC</v>
          </cell>
        </row>
        <row r="9957">
          <cell r="H9957" t="str">
            <v>FL005.0Y2W001BOCC</v>
          </cell>
          <cell r="I9957" t="str">
            <v>5 YD 2X WK BUS OCC 1</v>
          </cell>
        </row>
        <row r="9958">
          <cell r="H9958" t="str">
            <v>FL005.0Y3W001BOCC</v>
          </cell>
          <cell r="I9958" t="str">
            <v>5 YD 3X WK BUS OCC 1</v>
          </cell>
        </row>
        <row r="9959">
          <cell r="H9959" t="str">
            <v>FL005.0Y4W001BOCC</v>
          </cell>
          <cell r="I9959" t="str">
            <v>5 YD 4X WK BUS OCC 1</v>
          </cell>
        </row>
        <row r="9960">
          <cell r="H9960" t="str">
            <v>FL005.0Y5W001BOCC</v>
          </cell>
          <cell r="I9960" t="str">
            <v>5 YD 5X WK BUS OCC 1</v>
          </cell>
        </row>
        <row r="9961">
          <cell r="H9961" t="str">
            <v>FL006.0Y1W001BCMGL</v>
          </cell>
          <cell r="I9961" t="str">
            <v>6 YD 1X WK BUS COMINGLE 1</v>
          </cell>
        </row>
        <row r="9962">
          <cell r="H9962" t="str">
            <v>FL006.0Y2W001BCMGL</v>
          </cell>
          <cell r="I9962" t="str">
            <v>6 YD 2X WK BUS COMINGLE 1</v>
          </cell>
        </row>
        <row r="9963">
          <cell r="H9963" t="str">
            <v>FL006.0Y3W001BCMGL</v>
          </cell>
          <cell r="I9963" t="str">
            <v>6 YD 3X WK BUS CMGL 1</v>
          </cell>
        </row>
        <row r="9964">
          <cell r="H9964" t="str">
            <v>FL006.0Y4W001BCMGL</v>
          </cell>
          <cell r="I9964" t="str">
            <v>6 YD 4X WK BUS CMGL 1</v>
          </cell>
        </row>
        <row r="9965">
          <cell r="H9965" t="str">
            <v>MFNBINS</v>
          </cell>
          <cell r="I9965" t="str">
            <v>MULTI-FAMILY REC UNIT N/B</v>
          </cell>
        </row>
        <row r="9966">
          <cell r="H9966" t="str">
            <v>MFWBINS</v>
          </cell>
          <cell r="I9966" t="str">
            <v>MULTI-FAMILY REC UNIT W/B</v>
          </cell>
        </row>
        <row r="9967">
          <cell r="H9967" t="str">
            <v>RENTRECCNT-COMM</v>
          </cell>
          <cell r="I9967" t="str">
            <v>RENTAL FEE RECYCLE CONTAI</v>
          </cell>
        </row>
        <row r="9968">
          <cell r="H9968" t="str">
            <v>ROLL-REC</v>
          </cell>
          <cell r="I9968" t="str">
            <v>ROLL OUT CHARGE - RECYCLI</v>
          </cell>
        </row>
        <row r="9969">
          <cell r="H9969" t="str">
            <v>SL064.0G1W001BCMGLOUT</v>
          </cell>
          <cell r="I9969" t="str">
            <v>64 GL WKLY BUS CMGL OUT</v>
          </cell>
        </row>
        <row r="9970">
          <cell r="H9970" t="str">
            <v>SL064.0GEO001BCMGLOUT</v>
          </cell>
          <cell r="I9970" t="str">
            <v>64 GL EOW BUS CMGL OUT</v>
          </cell>
        </row>
        <row r="9971">
          <cell r="H9971" t="str">
            <v>SL096.0G1M001BCMGLOUT</v>
          </cell>
          <cell r="I9971" t="str">
            <v>96 GL MTHLY BUS CMGL OUT</v>
          </cell>
        </row>
        <row r="9972">
          <cell r="H9972" t="str">
            <v>SL096.0G1W001BCMGLIN</v>
          </cell>
          <cell r="I9972" t="str">
            <v>96 GL WKLY BUS CMGL IN</v>
          </cell>
        </row>
        <row r="9973">
          <cell r="H9973" t="str">
            <v>SL096.0G1W001BCMGLOUT</v>
          </cell>
          <cell r="I9973" t="str">
            <v>96 GL WKLY BUS CMGL OUT</v>
          </cell>
        </row>
        <row r="9974">
          <cell r="H9974" t="str">
            <v>SL096.0G1W001SCMGLOUT</v>
          </cell>
          <cell r="I9974" t="str">
            <v>96 GL WKLY SCHL CMGL OUT</v>
          </cell>
        </row>
        <row r="9975">
          <cell r="H9975" t="str">
            <v>SL096.0GEO001BCMGLIN</v>
          </cell>
          <cell r="I9975" t="str">
            <v>96 GL EOW BUS CMGL IN</v>
          </cell>
        </row>
        <row r="9976">
          <cell r="H9976" t="str">
            <v>SL096.0GEO001BCMGLOUT</v>
          </cell>
          <cell r="I9976" t="str">
            <v>96 GL EOW BUS CMGL OUT</v>
          </cell>
        </row>
        <row r="9977">
          <cell r="H9977" t="str">
            <v>SL096.0GEO001SCMGLOUT</v>
          </cell>
          <cell r="I9977" t="str">
            <v>96 GL EOW SCHL CMGL OUT</v>
          </cell>
        </row>
        <row r="9978">
          <cell r="H9978" t="str">
            <v>MFWBINS</v>
          </cell>
          <cell r="I9978" t="str">
            <v>MULTI-FAMILY REC UNIT W/B</v>
          </cell>
        </row>
        <row r="9979">
          <cell r="H9979" t="str">
            <v>SP2OCC-COMM</v>
          </cell>
          <cell r="I9979" t="str">
            <v>SPECIAL PICKUP 2 YD OCC -</v>
          </cell>
        </row>
        <row r="9980">
          <cell r="H9980" t="str">
            <v>SP2SCMGL-COMM</v>
          </cell>
          <cell r="I9980" t="str">
            <v>SPECIAL P/U 2 YD SCHL CMGL</v>
          </cell>
        </row>
        <row r="9981">
          <cell r="H9981" t="str">
            <v>SP5OCC-COMM</v>
          </cell>
          <cell r="I9981" t="str">
            <v>SPECIAL PICKUP 5 YD OCC -</v>
          </cell>
        </row>
        <row r="9982">
          <cell r="H9982" t="str">
            <v>SP6BCMGL-COMM</v>
          </cell>
          <cell r="I9982" t="str">
            <v>SPECIAL P/U 6 YD BUS CMGL</v>
          </cell>
        </row>
        <row r="9983">
          <cell r="H9983" t="str">
            <v>CC-KOL</v>
          </cell>
          <cell r="I9983" t="str">
            <v>ONLINE PAYMENT-CC</v>
          </cell>
        </row>
        <row r="9984">
          <cell r="H9984" t="str">
            <v>CCREF-KOL</v>
          </cell>
          <cell r="I9984" t="str">
            <v>CREDIT CARD REFUND</v>
          </cell>
        </row>
        <row r="9985">
          <cell r="H9985" t="str">
            <v>PAY</v>
          </cell>
          <cell r="I9985" t="str">
            <v>PAYMENT THANK YOU</v>
          </cell>
        </row>
        <row r="9986">
          <cell r="H9986" t="str">
            <v>PAY-CFREE</v>
          </cell>
          <cell r="I9986" t="str">
            <v>CHECKFREE PAYMENT</v>
          </cell>
        </row>
        <row r="9987">
          <cell r="H9987" t="str">
            <v>PAY-KOL</v>
          </cell>
          <cell r="I9987" t="str">
            <v>PAYMENT-THANK YOU - OL</v>
          </cell>
        </row>
        <row r="9988">
          <cell r="H9988" t="str">
            <v>PAY-ORCC</v>
          </cell>
          <cell r="I9988" t="str">
            <v>ORCC PAYMENT</v>
          </cell>
        </row>
        <row r="9989">
          <cell r="H9989" t="str">
            <v>PAY-RPPS</v>
          </cell>
          <cell r="I9989" t="str">
            <v>RPPS MASTERCARD PAYMENT</v>
          </cell>
        </row>
        <row r="9990">
          <cell r="H9990" t="str">
            <v>PAYMET</v>
          </cell>
          <cell r="I9990" t="str">
            <v>METAVANTE ONLINE PAYMENT</v>
          </cell>
        </row>
        <row r="9991">
          <cell r="H9991" t="str">
            <v>PAYUSBL</v>
          </cell>
          <cell r="I9991" t="str">
            <v>PAYMENT THANK YOU</v>
          </cell>
        </row>
        <row r="9992">
          <cell r="H9992" t="str">
            <v>CC-KOL</v>
          </cell>
          <cell r="I9992" t="str">
            <v>ONLINE PAYMENT-CC</v>
          </cell>
        </row>
        <row r="9993">
          <cell r="H9993" t="str">
            <v>CCREF-KOL</v>
          </cell>
          <cell r="I9993" t="str">
            <v>CREDIT CARD REFUND</v>
          </cell>
        </row>
        <row r="9994">
          <cell r="H9994" t="str">
            <v>PAY</v>
          </cell>
          <cell r="I9994" t="str">
            <v>PAYMENT THANK YOU</v>
          </cell>
        </row>
        <row r="9995">
          <cell r="H9995" t="str">
            <v>PAY-CFREE</v>
          </cell>
          <cell r="I9995" t="str">
            <v>CHECKFREE PAYMENT</v>
          </cell>
        </row>
        <row r="9996">
          <cell r="H9996" t="str">
            <v>PAY-KOL</v>
          </cell>
          <cell r="I9996" t="str">
            <v>PAYMENT-THANK YOU - OL</v>
          </cell>
        </row>
        <row r="9997">
          <cell r="H9997" t="str">
            <v>PAY-ORCC</v>
          </cell>
          <cell r="I9997" t="str">
            <v>ORCC PAYMENT</v>
          </cell>
        </row>
        <row r="9998">
          <cell r="H9998" t="str">
            <v>PAY-RPPS</v>
          </cell>
          <cell r="I9998" t="str">
            <v>RPPS MASTERCARD PAYMENT</v>
          </cell>
        </row>
        <row r="9999">
          <cell r="H9999" t="str">
            <v>PAYMET</v>
          </cell>
          <cell r="I9999" t="str">
            <v>METAVANTE ONLINE PAYMENT</v>
          </cell>
        </row>
        <row r="10000">
          <cell r="H10000" t="str">
            <v>PAYUSBL</v>
          </cell>
          <cell r="I10000" t="str">
            <v>PAYMENT THANK YOU</v>
          </cell>
        </row>
        <row r="10001">
          <cell r="H10001" t="str">
            <v>RET-KOL</v>
          </cell>
          <cell r="I10001" t="str">
            <v>ONLINE PAYMENT RETURN</v>
          </cell>
        </row>
        <row r="10002">
          <cell r="H10002" t="str">
            <v>CC</v>
          </cell>
          <cell r="I10002" t="str">
            <v>PAYMENT THANK YOU!</v>
          </cell>
        </row>
        <row r="10003">
          <cell r="H10003" t="str">
            <v>CC-KOL</v>
          </cell>
          <cell r="I10003" t="str">
            <v>ONLINE PAYMENT-CC</v>
          </cell>
        </row>
        <row r="10004">
          <cell r="H10004" t="str">
            <v>CCREF-KOL</v>
          </cell>
          <cell r="I10004" t="str">
            <v>CREDIT CARD REFUND</v>
          </cell>
        </row>
        <row r="10005">
          <cell r="H10005" t="str">
            <v>PAY</v>
          </cell>
          <cell r="I10005" t="str">
            <v>PAYMENT THANK YOU</v>
          </cell>
        </row>
        <row r="10006">
          <cell r="H10006" t="str">
            <v>PAY-CFREE</v>
          </cell>
          <cell r="I10006" t="str">
            <v>CHECKFREE PAYMENT</v>
          </cell>
        </row>
        <row r="10007">
          <cell r="H10007" t="str">
            <v>PAY-KOL</v>
          </cell>
          <cell r="I10007" t="str">
            <v>PAYMENT-THANK YOU - OL</v>
          </cell>
        </row>
        <row r="10008">
          <cell r="H10008" t="str">
            <v>PAY-NATL</v>
          </cell>
          <cell r="I10008" t="str">
            <v>PAYMENT THANK YOU</v>
          </cell>
        </row>
        <row r="10009">
          <cell r="H10009" t="str">
            <v>PAY-OAK</v>
          </cell>
          <cell r="I10009" t="str">
            <v>OAKLEAF PAYMENT</v>
          </cell>
        </row>
        <row r="10010">
          <cell r="H10010" t="str">
            <v>PAY-ORCC</v>
          </cell>
          <cell r="I10010" t="str">
            <v>ORCC PAYMENT</v>
          </cell>
        </row>
        <row r="10011">
          <cell r="H10011" t="str">
            <v>PAY-RPPS</v>
          </cell>
          <cell r="I10011" t="str">
            <v>RPPS MASTERCARD PAYMENT</v>
          </cell>
        </row>
        <row r="10012">
          <cell r="H10012" t="str">
            <v>PAYAD</v>
          </cell>
          <cell r="I10012" t="str">
            <v>ADJUST PAYMENT AD</v>
          </cell>
        </row>
        <row r="10013">
          <cell r="H10013" t="str">
            <v>PAYEFT</v>
          </cell>
          <cell r="I10013" t="str">
            <v>EFT PAYMENT</v>
          </cell>
        </row>
        <row r="10014">
          <cell r="H10014" t="str">
            <v>PAYICT</v>
          </cell>
          <cell r="I10014" t="str">
            <v>I/C PAYMENT THANK YOU</v>
          </cell>
        </row>
        <row r="10015">
          <cell r="H10015" t="str">
            <v>PAYMET</v>
          </cell>
          <cell r="I10015" t="str">
            <v>METAVANTE ONLINE PAYMENT</v>
          </cell>
        </row>
        <row r="10016">
          <cell r="H10016" t="str">
            <v>PAYUSBL</v>
          </cell>
          <cell r="I10016" t="str">
            <v>PAYMENT THANK YOU</v>
          </cell>
        </row>
        <row r="10017">
          <cell r="H10017" t="str">
            <v>RET-KOL</v>
          </cell>
          <cell r="I10017" t="str">
            <v>ONLINE PAYMENT RETURN</v>
          </cell>
        </row>
        <row r="10018">
          <cell r="H10018" t="str">
            <v>CC-KOL</v>
          </cell>
          <cell r="I10018" t="str">
            <v>ONLINE PAYMENT-CC</v>
          </cell>
        </row>
        <row r="10019">
          <cell r="H10019" t="str">
            <v>ACCESS-RES</v>
          </cell>
          <cell r="I10019" t="str">
            <v>ACCESS FEE - RES</v>
          </cell>
        </row>
        <row r="10020">
          <cell r="H10020" t="str">
            <v>DRIVEIN-RES</v>
          </cell>
          <cell r="I10020" t="str">
            <v>DRIVE IN SERVICE - RES</v>
          </cell>
        </row>
        <row r="10021">
          <cell r="H10021" t="str">
            <v>DRIVEIN1-RES</v>
          </cell>
          <cell r="I10021" t="str">
            <v>DRIVE IN 1 - RES</v>
          </cell>
        </row>
        <row r="10022">
          <cell r="H10022" t="str">
            <v>DRIVEIN2-RES</v>
          </cell>
          <cell r="I10022" t="str">
            <v>DRIVE IN 2 - RES</v>
          </cell>
        </row>
        <row r="10023">
          <cell r="H10023" t="str">
            <v>DRIVEIN3-RES</v>
          </cell>
          <cell r="I10023" t="str">
            <v>DRIVE IN 3 - RES</v>
          </cell>
        </row>
        <row r="10024">
          <cell r="H10024" t="str">
            <v>DRIVEIN7-RES</v>
          </cell>
          <cell r="I10024" t="str">
            <v>DRIVE IN 7 - RES</v>
          </cell>
        </row>
        <row r="10025">
          <cell r="H10025" t="str">
            <v>EMPLOYEER</v>
          </cell>
          <cell r="I10025" t="str">
            <v>EMPLOYEE SERVICE RES</v>
          </cell>
        </row>
        <row r="10026">
          <cell r="H10026" t="str">
            <v>GWRES</v>
          </cell>
          <cell r="I10026" t="str">
            <v>GREENWASTE SERVICE - RES</v>
          </cell>
        </row>
        <row r="10027">
          <cell r="H10027" t="str">
            <v>GWSPCL-RES</v>
          </cell>
          <cell r="I10027" t="str">
            <v>GREENWASTE SEN/DIS - RES</v>
          </cell>
        </row>
        <row r="10028">
          <cell r="H10028" t="str">
            <v>GWSPCLR-OC</v>
          </cell>
          <cell r="I10028" t="str">
            <v>GREENWASTE S/D ON CALL - RES</v>
          </cell>
        </row>
        <row r="10029">
          <cell r="H10029" t="str">
            <v>RECBINONLYR</v>
          </cell>
          <cell r="I10029" t="str">
            <v>RECYCLE SERVICE ONLY</v>
          </cell>
        </row>
        <row r="10030">
          <cell r="H10030" t="str">
            <v>RECPROGADJ-RES</v>
          </cell>
          <cell r="I10030" t="str">
            <v>RECYCLING PROGRAM ADJUSTM</v>
          </cell>
        </row>
        <row r="10031">
          <cell r="H10031" t="str">
            <v>RECVALRES</v>
          </cell>
          <cell r="I10031" t="str">
            <v>RECYCLABLES VALUE - RES</v>
          </cell>
        </row>
        <row r="10032">
          <cell r="H10032" t="str">
            <v>RL032.0G1M001WREC</v>
          </cell>
          <cell r="I10032" t="str">
            <v>32 GL 1X MO W/RECY 1</v>
          </cell>
        </row>
        <row r="10033">
          <cell r="H10033" t="str">
            <v>SL032.0G1W001WREC</v>
          </cell>
          <cell r="I10033" t="str">
            <v>32 GL 1X WK W/RECY 1</v>
          </cell>
        </row>
        <row r="10034">
          <cell r="H10034" t="str">
            <v>SL035.0G1M001NOREC</v>
          </cell>
          <cell r="I10034" t="str">
            <v>35 GL 1X MO NO RECY 1</v>
          </cell>
        </row>
        <row r="10035">
          <cell r="H10035" t="str">
            <v>SL035.0G1M001WREC</v>
          </cell>
          <cell r="I10035" t="str">
            <v>35 GL 1X MO W/RECY 1</v>
          </cell>
        </row>
        <row r="10036">
          <cell r="H10036" t="str">
            <v>SL035.0G1W001NOREC</v>
          </cell>
          <cell r="I10036" t="str">
            <v>35 GL 1X WK NO RECY 1</v>
          </cell>
        </row>
        <row r="10037">
          <cell r="H10037" t="str">
            <v>SL035.0G1W001WREC</v>
          </cell>
          <cell r="I10037" t="str">
            <v>35 GL 1X WK W/ RECY 1</v>
          </cell>
        </row>
        <row r="10038">
          <cell r="H10038" t="str">
            <v>SL035.0GEO001WREC</v>
          </cell>
          <cell r="I10038" t="str">
            <v>35 GL EOW W/RECY 1</v>
          </cell>
        </row>
        <row r="10039">
          <cell r="H10039" t="str">
            <v>SL065.0G1M001NOREC</v>
          </cell>
          <cell r="I10039" t="str">
            <v>65 GL 1X MO NO RECY 1</v>
          </cell>
        </row>
        <row r="10040">
          <cell r="H10040" t="str">
            <v>SL065.0G1M001WREC</v>
          </cell>
          <cell r="I10040" t="str">
            <v>65 GL 1X MO W/RECY 1</v>
          </cell>
        </row>
        <row r="10041">
          <cell r="H10041" t="str">
            <v>SL065.0G1M001WRECSPCL</v>
          </cell>
          <cell r="I10041" t="str">
            <v>65 GL 1X MO W/RECY S/D 1</v>
          </cell>
        </row>
        <row r="10042">
          <cell r="H10042" t="str">
            <v>SL065.0G1W001NOREC</v>
          </cell>
          <cell r="I10042" t="str">
            <v>65 GL 1X WK NO RECY 1</v>
          </cell>
        </row>
        <row r="10043">
          <cell r="H10043" t="str">
            <v>SL065.0G1W001SPCLNOREC</v>
          </cell>
          <cell r="I10043" t="str">
            <v>65 GL 1X WK S/D NO REC 1</v>
          </cell>
        </row>
        <row r="10044">
          <cell r="H10044" t="str">
            <v>SL065.0G1W001SPCLWREC</v>
          </cell>
          <cell r="I10044" t="str">
            <v>65 GL 1X WK S/D W/REC 1</v>
          </cell>
        </row>
        <row r="10045">
          <cell r="H10045" t="str">
            <v>SL065.0G1W001WREC</v>
          </cell>
          <cell r="I10045" t="str">
            <v>65 GL 1X WK W/RECY 1</v>
          </cell>
        </row>
        <row r="10046">
          <cell r="H10046" t="str">
            <v>SL065.0GEO001NOREC</v>
          </cell>
          <cell r="I10046" t="str">
            <v>65 GL EOW NO RECY 1</v>
          </cell>
        </row>
        <row r="10047">
          <cell r="H10047" t="str">
            <v>SL065.0GEO001SPCLNOREC</v>
          </cell>
          <cell r="I10047" t="str">
            <v>65 GL EOW S/D NO RECY 1</v>
          </cell>
        </row>
        <row r="10048">
          <cell r="H10048" t="str">
            <v>SL065.0GEO001SPCLWREC</v>
          </cell>
          <cell r="I10048" t="str">
            <v>65 GL EOW S/D W/RECY 1</v>
          </cell>
        </row>
        <row r="10049">
          <cell r="H10049" t="str">
            <v>SL065.0GEO001WREC</v>
          </cell>
          <cell r="I10049" t="str">
            <v>65 GL EOW W/RECY 1</v>
          </cell>
        </row>
        <row r="10050">
          <cell r="H10050" t="str">
            <v>SL095.0G1M0001WRECSPCL</v>
          </cell>
          <cell r="I10050" t="str">
            <v>95 GL 1X MO S/D W/RECY 1</v>
          </cell>
        </row>
        <row r="10051">
          <cell r="H10051" t="str">
            <v>SL095.0G1M001WREC</v>
          </cell>
          <cell r="I10051" t="str">
            <v>95 GL 1X MO W/RECY 1</v>
          </cell>
        </row>
        <row r="10052">
          <cell r="H10052" t="str">
            <v>SL095.0G1W001NOREC</v>
          </cell>
          <cell r="I10052" t="str">
            <v>95 GL 1X WK NO RECY 1</v>
          </cell>
        </row>
        <row r="10053">
          <cell r="H10053" t="str">
            <v>SL095.0G1W001WREC</v>
          </cell>
          <cell r="I10053" t="str">
            <v>95 GL 1X WK W/RECY 1</v>
          </cell>
        </row>
        <row r="10054">
          <cell r="H10054" t="str">
            <v>SL095.0GEO001NOREC</v>
          </cell>
          <cell r="I10054" t="str">
            <v>95 GL EOW NO RECY 1</v>
          </cell>
        </row>
        <row r="10055">
          <cell r="H10055" t="str">
            <v>SL095.0GEO001WREC</v>
          </cell>
          <cell r="I10055" t="str">
            <v>95 GL EOW W/RECY 1</v>
          </cell>
        </row>
        <row r="10056">
          <cell r="H10056" t="str">
            <v>WI-RES</v>
          </cell>
          <cell r="I10056" t="str">
            <v>WALK IN 6-25' - RES</v>
          </cell>
        </row>
        <row r="10057">
          <cell r="H10057" t="str">
            <v>WI1-RES</v>
          </cell>
          <cell r="I10057" t="str">
            <v>WALK IN 6-25' - RES</v>
          </cell>
        </row>
        <row r="10058">
          <cell r="H10058" t="str">
            <v>WI2-RES</v>
          </cell>
          <cell r="I10058" t="str">
            <v>WALK IN 26-50' - RES</v>
          </cell>
        </row>
        <row r="10059">
          <cell r="H10059" t="str">
            <v>WI3-RES</v>
          </cell>
          <cell r="I10059" t="str">
            <v>WALK IN 51-75' - RES</v>
          </cell>
        </row>
        <row r="10060">
          <cell r="H10060" t="str">
            <v>WI4-RES</v>
          </cell>
          <cell r="I10060" t="str">
            <v>WALK IN 76-100' - RES</v>
          </cell>
        </row>
        <row r="10061">
          <cell r="H10061" t="str">
            <v>WI5-RES</v>
          </cell>
          <cell r="I10061" t="str">
            <v>WALK IN 101-125' - RES</v>
          </cell>
        </row>
        <row r="10062">
          <cell r="H10062" t="str">
            <v>WI8-RES</v>
          </cell>
          <cell r="I10062" t="str">
            <v>WALK IN 176-200' - RES</v>
          </cell>
        </row>
        <row r="10063">
          <cell r="H10063" t="str">
            <v>BULKY-RES</v>
          </cell>
          <cell r="I10063" t="str">
            <v>BULKY ITEM PICK UP - RES</v>
          </cell>
        </row>
        <row r="10064">
          <cell r="H10064" t="str">
            <v>EP96GWC-RES</v>
          </cell>
          <cell r="I10064" t="str">
            <v>EXTRA PICK UP 96 GW - RES</v>
          </cell>
        </row>
        <row r="10065">
          <cell r="H10065" t="str">
            <v>EXTRA-RES</v>
          </cell>
          <cell r="I10065" t="str">
            <v>EXTRA CAN, BAG, BOX - RES</v>
          </cell>
        </row>
        <row r="10066">
          <cell r="H10066" t="str">
            <v>EXTRAGRAD1-RES</v>
          </cell>
          <cell r="I10066" t="str">
            <v>EXTRAS GRADUATED 1-2 - RES</v>
          </cell>
        </row>
        <row r="10067">
          <cell r="H10067" t="str">
            <v>EXTRAGRAD2-RES</v>
          </cell>
          <cell r="I10067" t="str">
            <v>EXTRAS GRADUATED 3+ - RES</v>
          </cell>
        </row>
        <row r="10068">
          <cell r="H10068" t="str">
            <v>EXTRAGWC-RES</v>
          </cell>
          <cell r="I10068" t="str">
            <v>EXTRA GREENWASTE FEE - RE</v>
          </cell>
        </row>
        <row r="10069">
          <cell r="H10069" t="str">
            <v>GWRES</v>
          </cell>
          <cell r="I10069" t="str">
            <v>GREENWASTE SERVICE - RES</v>
          </cell>
        </row>
        <row r="10070">
          <cell r="H10070" t="str">
            <v>OC-RES</v>
          </cell>
          <cell r="I10070" t="str">
            <v>ON CALL SERVICE - RES</v>
          </cell>
        </row>
        <row r="10071">
          <cell r="H10071" t="str">
            <v>OW-RES</v>
          </cell>
          <cell r="I10071" t="str">
            <v>OVERFILL / OVERWEIGHT CAN</v>
          </cell>
        </row>
        <row r="10072">
          <cell r="H10072" t="str">
            <v>REINSTATE-RES</v>
          </cell>
          <cell r="I10072" t="str">
            <v>REINSTATE FEE - RES</v>
          </cell>
        </row>
        <row r="10073">
          <cell r="H10073" t="str">
            <v>RTRNCART65-RES</v>
          </cell>
          <cell r="I10073" t="str">
            <v>RETURN TRIP 65 GL - RES</v>
          </cell>
        </row>
        <row r="10074">
          <cell r="H10074" t="str">
            <v>RTRNCART95-RES</v>
          </cell>
          <cell r="I10074" t="str">
            <v>RETURN TRIP 95 GL - RES</v>
          </cell>
        </row>
        <row r="10075">
          <cell r="H10075" t="str">
            <v>SL095.0G1W001WREC</v>
          </cell>
          <cell r="I10075" t="str">
            <v>95 GL 1X WK W/RECY 1</v>
          </cell>
        </row>
        <row r="10076">
          <cell r="H10076" t="str">
            <v>SL095.0GEO001WREC</v>
          </cell>
          <cell r="I10076" t="str">
            <v>95 GL EOW W/RECY 1</v>
          </cell>
        </row>
        <row r="10077">
          <cell r="H10077" t="str">
            <v>SPGRAD1-RES</v>
          </cell>
          <cell r="I10077" t="str">
            <v>SPECIAL GRADUATED 1-2 - R</v>
          </cell>
        </row>
        <row r="10078">
          <cell r="H10078" t="str">
            <v>SPGRAD2-RES</v>
          </cell>
          <cell r="I10078" t="str">
            <v>SPECIAL GRADUATED 3+ - RE</v>
          </cell>
        </row>
        <row r="10079">
          <cell r="H10079" t="str">
            <v>ACCESS-RES</v>
          </cell>
          <cell r="I10079" t="str">
            <v>ACCESS FEE - RES</v>
          </cell>
        </row>
        <row r="10080">
          <cell r="H10080" t="str">
            <v>GWRES</v>
          </cell>
          <cell r="I10080" t="str">
            <v>GREENWASTE SERVICE - RES</v>
          </cell>
        </row>
        <row r="10081">
          <cell r="H10081" t="str">
            <v>RECBINONLYR</v>
          </cell>
          <cell r="I10081" t="str">
            <v>RECYCLE SERVICE ONLY</v>
          </cell>
        </row>
        <row r="10082">
          <cell r="H10082" t="str">
            <v>SL035.0G1W001WREC</v>
          </cell>
          <cell r="I10082" t="str">
            <v>35 GL 1X WK W/ RECY 1</v>
          </cell>
        </row>
        <row r="10083">
          <cell r="H10083" t="str">
            <v>SL065.0G1M001WREC</v>
          </cell>
          <cell r="I10083" t="str">
            <v>65 GL 1X MO W/RECY 1</v>
          </cell>
        </row>
        <row r="10084">
          <cell r="H10084" t="str">
            <v>SL065.0G1W001WREC</v>
          </cell>
          <cell r="I10084" t="str">
            <v>65 GL 1X WK W/RECY 1</v>
          </cell>
        </row>
        <row r="10085">
          <cell r="H10085" t="str">
            <v>SL065.0GEO001WREC</v>
          </cell>
          <cell r="I10085" t="str">
            <v>65 GL EOW W/RECY 1</v>
          </cell>
        </row>
        <row r="10086">
          <cell r="H10086" t="str">
            <v>SL095.0G1M001WREC</v>
          </cell>
          <cell r="I10086" t="str">
            <v>95 GL 1X MO W/RECY 1</v>
          </cell>
        </row>
        <row r="10087">
          <cell r="H10087" t="str">
            <v>SL095.0G1W001WREC</v>
          </cell>
          <cell r="I10087" t="str">
            <v>95 GL 1X WK W/RECY 1</v>
          </cell>
        </row>
        <row r="10088">
          <cell r="H10088" t="str">
            <v>SL095.0GEO001WREC</v>
          </cell>
          <cell r="I10088" t="str">
            <v>95 GL EOW W/RECY 1</v>
          </cell>
        </row>
        <row r="10089">
          <cell r="H10089" t="str">
            <v>ADJ-RES</v>
          </cell>
          <cell r="I10089" t="str">
            <v>ADJUSTMENT SERVICE - RES</v>
          </cell>
        </row>
        <row r="10090">
          <cell r="H10090" t="str">
            <v>EP96GWC-RES</v>
          </cell>
          <cell r="I10090" t="str">
            <v>EXTRA PICK UP 96 GW - RES</v>
          </cell>
        </row>
        <row r="10091">
          <cell r="H10091" t="str">
            <v>EXTRAGRAD1-RES</v>
          </cell>
          <cell r="I10091" t="str">
            <v>EXTRAS GRADUATED 1-2 - RES</v>
          </cell>
        </row>
        <row r="10092">
          <cell r="H10092" t="str">
            <v>EXTRAGRAD2-RES</v>
          </cell>
          <cell r="I10092" t="str">
            <v>EXTRAS GRADUATED 3+ - RES</v>
          </cell>
        </row>
        <row r="10093">
          <cell r="H10093" t="str">
            <v>EXTRAGWC-RES</v>
          </cell>
          <cell r="I10093" t="str">
            <v>EXTRA GREENWASTE FEE - RE</v>
          </cell>
        </row>
        <row r="10094">
          <cell r="H10094" t="str">
            <v>GWRES</v>
          </cell>
          <cell r="I10094" t="str">
            <v>GREENWASTE SERVICE - RES</v>
          </cell>
        </row>
        <row r="10095">
          <cell r="H10095" t="str">
            <v>OC-RES</v>
          </cell>
          <cell r="I10095" t="str">
            <v>ON CALL SERVICE - RES</v>
          </cell>
        </row>
        <row r="10096">
          <cell r="H10096" t="str">
            <v>OW-RES</v>
          </cell>
          <cell r="I10096" t="str">
            <v>OVERFILL / OVERWEIGHT CAN</v>
          </cell>
        </row>
        <row r="10097">
          <cell r="H10097" t="str">
            <v>REINSTATE-RES</v>
          </cell>
          <cell r="I10097" t="str">
            <v>REINSTATE FEE - RES</v>
          </cell>
        </row>
        <row r="10098">
          <cell r="H10098" t="str">
            <v>RTRNCART65-RES</v>
          </cell>
          <cell r="I10098" t="str">
            <v>RETURN TRIP 65 GL - RES</v>
          </cell>
        </row>
        <row r="10099">
          <cell r="H10099" t="str">
            <v>RTRNCART96REC-RES</v>
          </cell>
          <cell r="I10099" t="str">
            <v>RETURN TRIP 96 GL REC - RES</v>
          </cell>
        </row>
        <row r="10100">
          <cell r="H10100" t="str">
            <v>RTRNTRIP-RES</v>
          </cell>
          <cell r="I10100" t="str">
            <v>RETURN TRIP FEE - RES</v>
          </cell>
        </row>
        <row r="10101">
          <cell r="H10101" t="str">
            <v>SL035.0G1W001WREC</v>
          </cell>
          <cell r="I10101" t="str">
            <v>35 GL 1X WK W/ RECY 1</v>
          </cell>
        </row>
        <row r="10102">
          <cell r="H10102" t="str">
            <v>SL065.0G1W001WREC</v>
          </cell>
          <cell r="I10102" t="str">
            <v>65 GL 1X WK W/RECY 1</v>
          </cell>
        </row>
        <row r="10103">
          <cell r="H10103" t="str">
            <v>SL065.0GEO001WREC</v>
          </cell>
          <cell r="I10103" t="str">
            <v>65 GL EOW W/RECY 1</v>
          </cell>
        </row>
        <row r="10104">
          <cell r="H10104" t="str">
            <v>SL095.0G1W001WREC</v>
          </cell>
          <cell r="I10104" t="str">
            <v>95 GL 1X WK W/RECY 1</v>
          </cell>
        </row>
        <row r="10105">
          <cell r="H10105" t="str">
            <v>SL095.0GEO001WREC</v>
          </cell>
          <cell r="I10105" t="str">
            <v>95 GL EOW W/RECY 1</v>
          </cell>
        </row>
        <row r="10106">
          <cell r="H10106" t="str">
            <v>SPGRAD1-RES</v>
          </cell>
          <cell r="I10106" t="str">
            <v>SPECIAL GRADUATED 1-2 - R</v>
          </cell>
        </row>
        <row r="10107">
          <cell r="H10107" t="str">
            <v>SPGRAD2-RES</v>
          </cell>
          <cell r="I10107" t="str">
            <v>SPECIAL GRADUATED 3+ - RE</v>
          </cell>
        </row>
        <row r="10108">
          <cell r="H10108" t="str">
            <v>GWRES</v>
          </cell>
          <cell r="I10108" t="str">
            <v>GREENWASTE SERVICE - RES</v>
          </cell>
        </row>
        <row r="10109">
          <cell r="H10109" t="str">
            <v>SL095.0G1W001WREC</v>
          </cell>
          <cell r="I10109" t="str">
            <v>95 GL 1X WK W/RECY 1</v>
          </cell>
        </row>
        <row r="10110">
          <cell r="H10110" t="str">
            <v>ADJ-RES</v>
          </cell>
          <cell r="I10110" t="str">
            <v>ADJUSTMENT SERVICE - RES</v>
          </cell>
        </row>
        <row r="10111">
          <cell r="H10111" t="str">
            <v>EXTRAGRAD1-RES</v>
          </cell>
          <cell r="I10111" t="str">
            <v>EXTRAS GRADUATED 1-2 - RES</v>
          </cell>
        </row>
        <row r="10112">
          <cell r="H10112" t="str">
            <v>EXTRAGRAD2-RES</v>
          </cell>
          <cell r="I10112" t="str">
            <v>EXTRAS GRADUATED 3+ - RES</v>
          </cell>
        </row>
        <row r="10113">
          <cell r="H10113" t="str">
            <v>OW-RES</v>
          </cell>
          <cell r="I10113" t="str">
            <v>OVERFILL / OVERWEIGHT CAN</v>
          </cell>
        </row>
        <row r="10114">
          <cell r="H10114" t="str">
            <v>REINSTATE-RES</v>
          </cell>
          <cell r="I10114" t="str">
            <v>REINSTATE FEE - RES</v>
          </cell>
        </row>
        <row r="10115">
          <cell r="H10115" t="str">
            <v>RTRNCART96REC-RES</v>
          </cell>
          <cell r="I10115" t="str">
            <v>RETURN TRIP 96 GL REC - RES</v>
          </cell>
        </row>
        <row r="10116">
          <cell r="H10116" t="str">
            <v>SL065.0G1W001WREC</v>
          </cell>
          <cell r="I10116" t="str">
            <v>65 GL 1X WK W/RECY 1</v>
          </cell>
        </row>
        <row r="10117">
          <cell r="H10117" t="str">
            <v>DISCO-CP</v>
          </cell>
          <cell r="I10117" t="str">
            <v xml:space="preserve">COMPACTOR DISCONNECT FEE </v>
          </cell>
        </row>
        <row r="10118">
          <cell r="H10118" t="str">
            <v>LIDRO</v>
          </cell>
          <cell r="I10118" t="str">
            <v>LID CHARGE - RO</v>
          </cell>
        </row>
        <row r="10119">
          <cell r="H10119" t="str">
            <v>RENT15MO-RO</v>
          </cell>
          <cell r="I10119" t="str">
            <v>RENTAL FEE 15 YD MONTHLY</v>
          </cell>
        </row>
        <row r="10120">
          <cell r="H10120" t="str">
            <v>RENT20MO-RO</v>
          </cell>
          <cell r="I10120" t="str">
            <v>RENTAL FEE 20 YD MONTHLY</v>
          </cell>
        </row>
        <row r="10121">
          <cell r="H10121" t="str">
            <v>RENT20TEMP-RO</v>
          </cell>
          <cell r="I10121" t="str">
            <v>RENTAL FEE 20 YD TEMP - R</v>
          </cell>
        </row>
        <row r="10122">
          <cell r="H10122" t="str">
            <v>RENT30MO-RO</v>
          </cell>
          <cell r="I10122" t="str">
            <v>RENTAL FEE 30 YD MONTHLY</v>
          </cell>
        </row>
        <row r="10123">
          <cell r="H10123" t="str">
            <v>RENT40MO-RO</v>
          </cell>
          <cell r="I10123" t="str">
            <v>RENTAL FEE 40 YD MONTHLY</v>
          </cell>
        </row>
        <row r="10124">
          <cell r="H10124" t="str">
            <v>CLEAN25-RO</v>
          </cell>
          <cell r="I10124" t="str">
            <v>CLEANING FEE 25 YD - RO</v>
          </cell>
        </row>
        <row r="10125">
          <cell r="H10125" t="str">
            <v>DEL20-RO</v>
          </cell>
          <cell r="I10125" t="str">
            <v>DELIVERY FEE 20 YD - RO</v>
          </cell>
        </row>
        <row r="10126">
          <cell r="H10126" t="str">
            <v>DEL20TEMP-RO</v>
          </cell>
          <cell r="I10126" t="str">
            <v>DELIVERY FEE 20 YD TEMP -</v>
          </cell>
        </row>
        <row r="10127">
          <cell r="H10127" t="str">
            <v>DEL30-RO</v>
          </cell>
          <cell r="I10127" t="str">
            <v>DELIVERY FEE 30 YD - RO</v>
          </cell>
        </row>
        <row r="10128">
          <cell r="H10128" t="str">
            <v>DEL30TEMP-RO</v>
          </cell>
          <cell r="I10128" t="str">
            <v>DELIVERY FEE 30 YD TEMP -</v>
          </cell>
        </row>
        <row r="10129">
          <cell r="H10129" t="str">
            <v>DEL40-RO</v>
          </cell>
          <cell r="I10129" t="str">
            <v>DELIVERY FEE 40 YD - RO</v>
          </cell>
        </row>
        <row r="10130">
          <cell r="H10130" t="str">
            <v>DEL40TEMP-RO</v>
          </cell>
          <cell r="I10130" t="str">
            <v>DELIVERY FEE 40 YD TEMP -</v>
          </cell>
        </row>
        <row r="10131">
          <cell r="H10131" t="str">
            <v>DISCO-CP</v>
          </cell>
          <cell r="I10131" t="str">
            <v xml:space="preserve">COMPACTOR DISCONNECT FEE </v>
          </cell>
        </row>
        <row r="10132">
          <cell r="H10132" t="str">
            <v>DISP-DONATION</v>
          </cell>
          <cell r="I10132" t="str">
            <v>DONATED DISPOSAL</v>
          </cell>
        </row>
        <row r="10133">
          <cell r="H10133" t="str">
            <v>DISP-RO</v>
          </cell>
          <cell r="I10133" t="str">
            <v>DISPOSAL CHARGE - RO</v>
          </cell>
        </row>
        <row r="10134">
          <cell r="H10134" t="str">
            <v>DISPTRANS-RO</v>
          </cell>
          <cell r="I10134" t="str">
            <v>DISPOSAL FEE TRANSFER HAU</v>
          </cell>
        </row>
        <row r="10135">
          <cell r="H10135" t="str">
            <v>FINAL20-RO</v>
          </cell>
          <cell r="I10135" t="str">
            <v>FINAL PULL 20 YD - RO</v>
          </cell>
        </row>
        <row r="10136">
          <cell r="H10136" t="str">
            <v>FINAL20TEMP-RO</v>
          </cell>
          <cell r="I10136" t="str">
            <v>FINAL PULL 20 YD TEMP - R</v>
          </cell>
        </row>
        <row r="10137">
          <cell r="H10137" t="str">
            <v>FINAL30-RO</v>
          </cell>
          <cell r="I10137" t="str">
            <v>FINAL PULL 30 YD - RO</v>
          </cell>
        </row>
        <row r="10138">
          <cell r="H10138" t="str">
            <v>FINAL30TEMP-RO</v>
          </cell>
          <cell r="I10138" t="str">
            <v>FINAL PULL 30 YD TEMP - R</v>
          </cell>
        </row>
        <row r="10139">
          <cell r="H10139" t="str">
            <v>FINAL40-RO</v>
          </cell>
          <cell r="I10139" t="str">
            <v>FINAL PULL 40 YD - RO</v>
          </cell>
        </row>
        <row r="10140">
          <cell r="H10140" t="str">
            <v>FINAL40TEMP-RO</v>
          </cell>
          <cell r="I10140" t="str">
            <v>FINAL PULL 40 YD TEMP - R</v>
          </cell>
        </row>
        <row r="10141">
          <cell r="H10141" t="str">
            <v>HAUL10-CP</v>
          </cell>
          <cell r="I10141" t="str">
            <v>COMPACTOR HAUL 10 YD - RO</v>
          </cell>
        </row>
        <row r="10142">
          <cell r="H10142" t="str">
            <v>HAUL15-CP</v>
          </cell>
          <cell r="I10142" t="str">
            <v>COMPACTOR HAUL 15 YD</v>
          </cell>
        </row>
        <row r="10143">
          <cell r="H10143" t="str">
            <v>HAUL15-RO</v>
          </cell>
          <cell r="I10143" t="str">
            <v>HAUL 15 YD - RO</v>
          </cell>
        </row>
        <row r="10144">
          <cell r="H10144" t="str">
            <v>HAUL20-CP</v>
          </cell>
          <cell r="I10144" t="str">
            <v>COMPACTOR HAUL 20 YD - RO</v>
          </cell>
        </row>
        <row r="10145">
          <cell r="H10145" t="str">
            <v>HAUL20-RO</v>
          </cell>
          <cell r="I10145" t="str">
            <v>HAUL 20 YD - RO</v>
          </cell>
        </row>
        <row r="10146">
          <cell r="H10146" t="str">
            <v>HAUL20TEMP-RO</v>
          </cell>
          <cell r="I10146" t="str">
            <v>HAUL 20 YD TEMP - RO</v>
          </cell>
        </row>
        <row r="10147">
          <cell r="H10147" t="str">
            <v>HAUL25-CP</v>
          </cell>
          <cell r="I10147" t="str">
            <v>COMPACTOR HAUL 25 YD - RO</v>
          </cell>
        </row>
        <row r="10148">
          <cell r="H10148" t="str">
            <v>HAUL26-CP</v>
          </cell>
          <cell r="I10148" t="str">
            <v>COMPACTOR HAUL 26 YD - RO</v>
          </cell>
        </row>
        <row r="10149">
          <cell r="H10149" t="str">
            <v>HAUL30-CP</v>
          </cell>
          <cell r="I10149" t="str">
            <v>COMPACTOR HAUL 30 YD</v>
          </cell>
        </row>
        <row r="10150">
          <cell r="H10150" t="str">
            <v>HAUL30-RO</v>
          </cell>
          <cell r="I10150" t="str">
            <v>HAUL 30 YD - RO</v>
          </cell>
        </row>
        <row r="10151">
          <cell r="H10151" t="str">
            <v>HAUL30TEMP-RO</v>
          </cell>
          <cell r="I10151" t="str">
            <v>HAUL 30 YD TEMP - RO</v>
          </cell>
        </row>
        <row r="10152">
          <cell r="H10152" t="str">
            <v>HAUL35-CP</v>
          </cell>
          <cell r="I10152" t="str">
            <v>COMPACTOR HAUL 35 YD - RO</v>
          </cell>
        </row>
        <row r="10153">
          <cell r="H10153" t="str">
            <v>HAUL40-CP</v>
          </cell>
          <cell r="I10153" t="str">
            <v>COMPACTOR HAUL 40 YD</v>
          </cell>
        </row>
        <row r="10154">
          <cell r="H10154" t="str">
            <v>HAUL40-RO</v>
          </cell>
          <cell r="I10154" t="str">
            <v>HAUL 40 YD - RO</v>
          </cell>
        </row>
        <row r="10155">
          <cell r="H10155" t="str">
            <v>HAUL40TEMP-RO</v>
          </cell>
          <cell r="I10155" t="str">
            <v>HAUL 40 YD TEMP - RO</v>
          </cell>
        </row>
        <row r="10156">
          <cell r="H10156" t="str">
            <v>RENT20TEMP-RO</v>
          </cell>
          <cell r="I10156" t="str">
            <v>RENTAL FEE 20 YD TEMP - R</v>
          </cell>
        </row>
        <row r="10157">
          <cell r="H10157" t="str">
            <v>RENT30TEMP-RO</v>
          </cell>
          <cell r="I10157" t="str">
            <v>RENTAL FEE 30 YD TEMP - R</v>
          </cell>
        </row>
        <row r="10158">
          <cell r="H10158" t="str">
            <v>RENT40TEMP-RO</v>
          </cell>
          <cell r="I10158" t="str">
            <v>RENTAL FEE 40 YD TEMP - R</v>
          </cell>
        </row>
        <row r="10159">
          <cell r="H10159" t="str">
            <v>RTRNTRIP-RO</v>
          </cell>
          <cell r="I10159" t="str">
            <v>RETURN TRIP FEE - RO</v>
          </cell>
        </row>
        <row r="10160">
          <cell r="H10160" t="str">
            <v>DEL20TEMP-RO</v>
          </cell>
          <cell r="I10160" t="str">
            <v>DELIVERY FEE 20 YD TEMP -</v>
          </cell>
        </row>
        <row r="10161">
          <cell r="H10161" t="str">
            <v>DISP-RO</v>
          </cell>
          <cell r="I10161" t="str">
            <v>DISPOSAL CHARGE - RO</v>
          </cell>
        </row>
        <row r="10162">
          <cell r="H10162" t="str">
            <v>DISPGLASS-RO</v>
          </cell>
          <cell r="I10162" t="str">
            <v>DISPOSAL FEE GLASS - RO</v>
          </cell>
        </row>
        <row r="10163">
          <cell r="H10163" t="str">
            <v>FINAL20TEMP-RO</v>
          </cell>
          <cell r="I10163" t="str">
            <v>FINAL PULL 20 YD TEMP - R</v>
          </cell>
        </row>
        <row r="10164">
          <cell r="H10164" t="str">
            <v>HAUL30-RO</v>
          </cell>
          <cell r="I10164" t="str">
            <v>HAUL 30 YD - RO</v>
          </cell>
        </row>
        <row r="10165">
          <cell r="H10165" t="str">
            <v>RENT20TEMP-RO</v>
          </cell>
          <cell r="I10165" t="str">
            <v>RENTAL FEE 20 YD TEMP - R</v>
          </cell>
        </row>
        <row r="10166">
          <cell r="H10166" t="str">
            <v>COMMODITY SURCHARGE</v>
          </cell>
          <cell r="I10166" t="str">
            <v>COMMODITY SURCHARGE</v>
          </cell>
        </row>
        <row r="10167">
          <cell r="H10167" t="str">
            <v>COMMODITY SURCHARGE</v>
          </cell>
          <cell r="I10167" t="str">
            <v>COMMODITY SURCHARGE</v>
          </cell>
        </row>
        <row r="10168">
          <cell r="H10168" t="str">
            <v>LAKEWOOD CITY ONLY</v>
          </cell>
          <cell r="I10168" t="str">
            <v>6% CITY UTILITY TAX</v>
          </cell>
        </row>
        <row r="10169">
          <cell r="H10169" t="str">
            <v>LAKEWOOD CITY UTILITY TAX</v>
          </cell>
          <cell r="I10169" t="str">
            <v>6% CITY UTILITY TAX</v>
          </cell>
        </row>
        <row r="10170">
          <cell r="H10170" t="str">
            <v>LAKEWOOD REFUSE TAX</v>
          </cell>
          <cell r="I10170" t="str">
            <v>3.6% WA STATE REFUSE TAX</v>
          </cell>
        </row>
        <row r="10171">
          <cell r="H10171" t="str">
            <v>LAKEWOOD STATE SALES TAX</v>
          </cell>
          <cell r="I10171" t="str">
            <v>9.9% WA STATE SALES TAX</v>
          </cell>
        </row>
        <row r="10172">
          <cell r="H10172" t="str">
            <v>LAKEWOOD CITY ONLY</v>
          </cell>
          <cell r="I10172" t="str">
            <v>6% CITY UTILITY TAX</v>
          </cell>
        </row>
        <row r="10173">
          <cell r="H10173" t="str">
            <v>LAKEWOOD CITY UTILITY TAX</v>
          </cell>
          <cell r="I10173" t="str">
            <v>6% CITY UTILITY TAX</v>
          </cell>
        </row>
        <row r="10174">
          <cell r="H10174" t="str">
            <v>LAKEWOOD REFUSE TAX</v>
          </cell>
          <cell r="I10174" t="str">
            <v>3.6% WA STATE REFUSE TAX</v>
          </cell>
        </row>
        <row r="10175">
          <cell r="H10175" t="str">
            <v>LAKEWOOD STATE SALES TAX</v>
          </cell>
          <cell r="I10175" t="str">
            <v>9.9% WA STATE SALES TAX</v>
          </cell>
        </row>
        <row r="10176">
          <cell r="H10176" t="str">
            <v xml:space="preserve">PIERCE COUNTY REFUSE  </v>
          </cell>
          <cell r="I10176" t="str">
            <v>3.6% PIERCE COUNTY REFUSE</v>
          </cell>
        </row>
        <row r="10177">
          <cell r="H10177" t="str">
            <v>LAKEWOOD CITY ONLY</v>
          </cell>
          <cell r="I10177" t="str">
            <v>6% CITY UTILITY TAX</v>
          </cell>
        </row>
        <row r="10178">
          <cell r="H10178" t="str">
            <v>LAKEWOOD CITY UTILITY TAX</v>
          </cell>
          <cell r="I10178" t="str">
            <v>6% CITY UTILITY TAX</v>
          </cell>
        </row>
        <row r="10179">
          <cell r="H10179" t="str">
            <v>LAKEWOOD REFUSE TAX</v>
          </cell>
          <cell r="I10179" t="str">
            <v>3.6% WA STATE REFUSE TAX</v>
          </cell>
        </row>
        <row r="10180">
          <cell r="H10180" t="str">
            <v>LAKEWOOD STATE SALES TAX</v>
          </cell>
          <cell r="I10180" t="str">
            <v>9.9% WA STATE SALES TAX</v>
          </cell>
        </row>
        <row r="10181">
          <cell r="H10181" t="str">
            <v>LAKEWOOD CITY ONLY</v>
          </cell>
          <cell r="I10181" t="str">
            <v>6% CITY UTILITY TAX</v>
          </cell>
        </row>
        <row r="10182">
          <cell r="H10182" t="str">
            <v>LAKEWOOD CITY UTILITY TAX</v>
          </cell>
          <cell r="I10182" t="str">
            <v>6% CITY UTILITY TAX</v>
          </cell>
        </row>
        <row r="10183">
          <cell r="H10183" t="str">
            <v>LAKEWOOD REFUSE TAX</v>
          </cell>
          <cell r="I10183" t="str">
            <v>3.6% WA STATE REFUSE TAX</v>
          </cell>
        </row>
        <row r="10184">
          <cell r="H10184" t="str">
            <v>LAKEWOOD CITY ONLY</v>
          </cell>
          <cell r="I10184" t="str">
            <v>6% CITY UTILITY TAX</v>
          </cell>
        </row>
        <row r="10185">
          <cell r="H10185" t="str">
            <v>LAKEWOOD CITY UTILITY TAX</v>
          </cell>
          <cell r="I10185" t="str">
            <v>6% CITY UTILITY TAX</v>
          </cell>
        </row>
        <row r="10186">
          <cell r="H10186" t="str">
            <v>LAKEWOOD REFUSE TAX</v>
          </cell>
          <cell r="I10186" t="str">
            <v>3.6% WA STATE REFUSE TAX</v>
          </cell>
        </row>
        <row r="10187">
          <cell r="H10187" t="str">
            <v>LAKEWOOD CITY UTILITY TAX</v>
          </cell>
          <cell r="I10187" t="str">
            <v>6% CITY UTILITY TAX</v>
          </cell>
        </row>
        <row r="10188">
          <cell r="H10188" t="str">
            <v>LAKEWOOD REFUSE TAX</v>
          </cell>
          <cell r="I10188" t="str">
            <v>3.6% WA STATE REFUSE TAX</v>
          </cell>
        </row>
        <row r="10189">
          <cell r="H10189" t="str">
            <v>LAKEWOOD CITY ONLY</v>
          </cell>
          <cell r="I10189" t="str">
            <v>6% CITY UTILITY TAX</v>
          </cell>
        </row>
        <row r="10190">
          <cell r="H10190" t="str">
            <v>LAKEWOOD CITY UTILITY TAX</v>
          </cell>
          <cell r="I10190" t="str">
            <v>6% CITY UTILITY TAX</v>
          </cell>
        </row>
        <row r="10191">
          <cell r="H10191" t="str">
            <v>LAKEWOOD REFUSE TAX</v>
          </cell>
          <cell r="I10191" t="str">
            <v>3.6% WA STATE REFUSE TAX</v>
          </cell>
        </row>
        <row r="10192">
          <cell r="H10192" t="str">
            <v>LAKEWOOD STATE SALES TAX</v>
          </cell>
          <cell r="I10192" t="str">
            <v>9.9% WA STATE SALES TAX</v>
          </cell>
        </row>
        <row r="10193">
          <cell r="H10193" t="str">
            <v>LAKEWOOD CITY UTILITY TAX</v>
          </cell>
          <cell r="I10193" t="str">
            <v>6% CITY UTILITY TAX</v>
          </cell>
        </row>
        <row r="10194">
          <cell r="H10194" t="str">
            <v>LAKEWOOD REFUSE TAX</v>
          </cell>
          <cell r="I10194" t="str">
            <v>3.6% WA STATE REFUSE TAX</v>
          </cell>
        </row>
        <row r="10195">
          <cell r="H10195" t="str">
            <v>LAKEWOOD STATE SALES TAX</v>
          </cell>
          <cell r="I10195" t="str">
            <v>9.9% WA STATE SALES TAX</v>
          </cell>
        </row>
        <row r="10196">
          <cell r="H10196" t="str">
            <v>FINCHG</v>
          </cell>
          <cell r="I10196" t="str">
            <v>LATE FEE</v>
          </cell>
        </row>
        <row r="10197">
          <cell r="H10197" t="str">
            <v>BD</v>
          </cell>
          <cell r="I10197" t="str">
            <v>BAD DEBT WRITE OFF</v>
          </cell>
        </row>
        <row r="10198">
          <cell r="H10198" t="str">
            <v>BDR</v>
          </cell>
          <cell r="I10198" t="str">
            <v>BAD DEBT RECOVERY</v>
          </cell>
        </row>
        <row r="10199">
          <cell r="H10199" t="str">
            <v>COLLFEE</v>
          </cell>
          <cell r="I10199" t="str">
            <v>COLLECTION AGENCY FEE</v>
          </cell>
        </row>
        <row r="10200">
          <cell r="H10200" t="str">
            <v>FINCHG</v>
          </cell>
          <cell r="I10200" t="str">
            <v>LATE FEE</v>
          </cell>
        </row>
        <row r="10201">
          <cell r="H10201" t="str">
            <v>MM</v>
          </cell>
          <cell r="I10201" t="str">
            <v>ADJUST BALANCE (MM)</v>
          </cell>
        </row>
        <row r="10202">
          <cell r="H10202" t="str">
            <v>MM</v>
          </cell>
          <cell r="I10202" t="str">
            <v>ADJUST BALANCE (MM)</v>
          </cell>
        </row>
        <row r="10203">
          <cell r="H10203" t="str">
            <v>REFUND</v>
          </cell>
          <cell r="I10203" t="str">
            <v>REFUND</v>
          </cell>
        </row>
        <row r="10204">
          <cell r="H10204" t="str">
            <v>RETCK</v>
          </cell>
          <cell r="I10204" t="str">
            <v>RETURNED CHECK</v>
          </cell>
        </row>
        <row r="10205">
          <cell r="H10205" t="str">
            <v>RETCK-LB</v>
          </cell>
          <cell r="I10205" t="str">
            <v>RETURNED CHECK - LOCKBOX</v>
          </cell>
        </row>
        <row r="10206">
          <cell r="H10206" t="str">
            <v>RETCKC</v>
          </cell>
          <cell r="I10206" t="str">
            <v>RETURN CHECK CHARGE</v>
          </cell>
        </row>
        <row r="10207">
          <cell r="H10207" t="str">
            <v>BD</v>
          </cell>
          <cell r="I10207" t="str">
            <v>BAD DEBT WRITE OFF</v>
          </cell>
        </row>
        <row r="10208">
          <cell r="H10208" t="str">
            <v>BDR</v>
          </cell>
          <cell r="I10208" t="str">
            <v>BAD DEBT RECOVERY</v>
          </cell>
        </row>
        <row r="10209">
          <cell r="H10209" t="str">
            <v>COLLFEE</v>
          </cell>
          <cell r="I10209" t="str">
            <v>COLLECTION AGENCY FEE</v>
          </cell>
        </row>
        <row r="10210">
          <cell r="H10210" t="str">
            <v>FINCHG</v>
          </cell>
          <cell r="I10210" t="str">
            <v>LATE FEE</v>
          </cell>
        </row>
        <row r="10211">
          <cell r="H10211" t="str">
            <v>MM</v>
          </cell>
          <cell r="I10211" t="str">
            <v>ADJUST BALANCE (MM)</v>
          </cell>
        </row>
        <row r="10212">
          <cell r="H10212" t="str">
            <v>MM</v>
          </cell>
          <cell r="I10212" t="str">
            <v>ADJUST BALANCE (MM)</v>
          </cell>
        </row>
        <row r="10213">
          <cell r="H10213" t="str">
            <v>REFUND</v>
          </cell>
          <cell r="I10213" t="str">
            <v>REFUND</v>
          </cell>
        </row>
        <row r="10214">
          <cell r="H10214" t="str">
            <v>RETCK</v>
          </cell>
          <cell r="I10214" t="str">
            <v>RETURNED CHECK</v>
          </cell>
        </row>
        <row r="10215">
          <cell r="H10215" t="str">
            <v>RETCK-CFREE</v>
          </cell>
          <cell r="I10215" t="str">
            <v>CHECKFREE RETURN CHECK</v>
          </cell>
        </row>
        <row r="10216">
          <cell r="H10216" t="str">
            <v>RETCKC</v>
          </cell>
          <cell r="I10216" t="str">
            <v>RETURN CHECK CHARGE</v>
          </cell>
        </row>
        <row r="10217">
          <cell r="H10217" t="str">
            <v>FINCHG</v>
          </cell>
          <cell r="I10217" t="str">
            <v>LATE FEE</v>
          </cell>
        </row>
        <row r="10218">
          <cell r="H10218" t="str">
            <v>BD</v>
          </cell>
          <cell r="I10218" t="str">
            <v>BAD DEBT WRITE OFF</v>
          </cell>
        </row>
        <row r="10219">
          <cell r="H10219" t="str">
            <v>BDR</v>
          </cell>
          <cell r="I10219" t="str">
            <v>BAD DEBT RECOVERY</v>
          </cell>
        </row>
        <row r="10220">
          <cell r="H10220" t="str">
            <v>COLLFEE</v>
          </cell>
          <cell r="I10220" t="str">
            <v>COLLECTION AGENCY FEE</v>
          </cell>
        </row>
        <row r="10221">
          <cell r="H10221" t="str">
            <v>FINCHG</v>
          </cell>
          <cell r="I10221" t="str">
            <v>LATE FEE</v>
          </cell>
        </row>
        <row r="10222">
          <cell r="H10222" t="str">
            <v>MM</v>
          </cell>
          <cell r="I10222" t="str">
            <v>ADJUST BALANCE (MM)</v>
          </cell>
        </row>
        <row r="10223">
          <cell r="H10223" t="str">
            <v>MM</v>
          </cell>
          <cell r="I10223" t="str">
            <v>ADJUST BALANCE (MM)</v>
          </cell>
        </row>
        <row r="10224">
          <cell r="H10224" t="str">
            <v>REFUND</v>
          </cell>
          <cell r="I10224" t="str">
            <v>REFUND</v>
          </cell>
        </row>
        <row r="10225">
          <cell r="H10225" t="str">
            <v>RETCK</v>
          </cell>
          <cell r="I10225" t="str">
            <v>RETURNED CHECK</v>
          </cell>
        </row>
        <row r="10226">
          <cell r="H10226" t="str">
            <v>RETCK-LB</v>
          </cell>
          <cell r="I10226" t="str">
            <v>RETURNED CHECK - LOCKBOX</v>
          </cell>
        </row>
        <row r="10227">
          <cell r="H10227" t="str">
            <v>RETCKC</v>
          </cell>
          <cell r="I10227" t="str">
            <v>RETURN CHECK CHARGE</v>
          </cell>
        </row>
        <row r="10228">
          <cell r="H10228" t="str">
            <v>FINCHG</v>
          </cell>
          <cell r="I10228" t="str">
            <v>LATE FEE</v>
          </cell>
        </row>
        <row r="10229">
          <cell r="H10229" t="str">
            <v>ACCESS-COMM</v>
          </cell>
          <cell r="I10229" t="str">
            <v>ACCESS FEE - COMM</v>
          </cell>
        </row>
        <row r="10230">
          <cell r="H10230" t="str">
            <v>SL095.0G1W001WRECC</v>
          </cell>
          <cell r="I10230" t="str">
            <v>95 GL 1X WK W/RECY COMM 1</v>
          </cell>
        </row>
        <row r="10231">
          <cell r="H10231" t="str">
            <v>RTRNCART95-COMM</v>
          </cell>
          <cell r="I10231" t="str">
            <v>RETURN TRIP 95 GL - COMM</v>
          </cell>
        </row>
        <row r="10232">
          <cell r="H10232" t="str">
            <v>REINSTATE-COMM</v>
          </cell>
          <cell r="I10232" t="str">
            <v>REINSTATE FEE - COMM</v>
          </cell>
        </row>
        <row r="10233">
          <cell r="H10233" t="str">
            <v>RTRNCART35-COMM</v>
          </cell>
          <cell r="I10233" t="str">
            <v>RETURN TRIP FEE 35 GL - COMM</v>
          </cell>
        </row>
        <row r="10234">
          <cell r="H10234" t="str">
            <v>RTRNCART65-COMM</v>
          </cell>
          <cell r="I10234" t="str">
            <v>RETURN TRIP 65 GL - COMM</v>
          </cell>
        </row>
        <row r="10235">
          <cell r="H10235" t="str">
            <v>ACCESS-COMM</v>
          </cell>
          <cell r="I10235" t="str">
            <v>ACCESS FEE - COMM</v>
          </cell>
        </row>
        <row r="10236">
          <cell r="H10236" t="str">
            <v>CLEAN1.5-COMM</v>
          </cell>
          <cell r="I10236" t="str">
            <v>CLEANING FEE 1.5 YD - COM</v>
          </cell>
        </row>
        <row r="10237">
          <cell r="H10237" t="str">
            <v>DIST4CAN-COMM</v>
          </cell>
          <cell r="I10237" t="str">
            <v>DISTRIBUTED 4 CANS - COMM</v>
          </cell>
        </row>
        <row r="10238">
          <cell r="H10238" t="str">
            <v>DONATIONC</v>
          </cell>
          <cell r="I10238" t="str">
            <v>DONATED SERVICE COMM</v>
          </cell>
        </row>
        <row r="10239">
          <cell r="H10239" t="str">
            <v>DRIVEIN-COMM</v>
          </cell>
          <cell r="I10239" t="str">
            <v>DRIVE IN SERVICE - COMM</v>
          </cell>
        </row>
        <row r="10240">
          <cell r="H10240" t="str">
            <v>DRIVEIN1-COMM</v>
          </cell>
          <cell r="I10240" t="str">
            <v>DRIVE IN 125-250' - COMM</v>
          </cell>
        </row>
        <row r="10241">
          <cell r="H10241" t="str">
            <v>FL001.0Y1W001</v>
          </cell>
          <cell r="I10241" t="str">
            <v>1 YD 1X WK 1</v>
          </cell>
        </row>
        <row r="10242">
          <cell r="H10242" t="str">
            <v>FL001.0Y2W001</v>
          </cell>
          <cell r="I10242" t="str">
            <v>1 YD 2X WK 1</v>
          </cell>
        </row>
        <row r="10243">
          <cell r="H10243" t="str">
            <v>FL001.0Y3W001</v>
          </cell>
          <cell r="I10243" t="str">
            <v>1 YD 3X WK 1</v>
          </cell>
        </row>
        <row r="10244">
          <cell r="H10244" t="str">
            <v>FL001.0YEO001</v>
          </cell>
          <cell r="I10244" t="str">
            <v>1 YD EOW 1</v>
          </cell>
        </row>
        <row r="10245">
          <cell r="H10245" t="str">
            <v>FL001.5Y1W001</v>
          </cell>
          <cell r="I10245" t="str">
            <v>1.5 YD 1X WK 1</v>
          </cell>
        </row>
        <row r="10246">
          <cell r="H10246" t="str">
            <v>FL001.5Y2W001</v>
          </cell>
          <cell r="I10246" t="str">
            <v>1.5 YD 2X WK 1</v>
          </cell>
        </row>
        <row r="10247">
          <cell r="H10247" t="str">
            <v>FL001.5Y3W001</v>
          </cell>
          <cell r="I10247" t="str">
            <v>1.5 YD 3X WK 1</v>
          </cell>
        </row>
        <row r="10248">
          <cell r="H10248" t="str">
            <v>FL001.5YXX001TEMPC</v>
          </cell>
          <cell r="I10248" t="str">
            <v xml:space="preserve">1.5 YD TEMP </v>
          </cell>
        </row>
        <row r="10249">
          <cell r="H10249" t="str">
            <v>FL002.0Y1W001</v>
          </cell>
          <cell r="I10249" t="str">
            <v>2 YD 1X WK 1</v>
          </cell>
        </row>
        <row r="10250">
          <cell r="H10250" t="str">
            <v>FL002.0Y1W001CMP</v>
          </cell>
          <cell r="I10250" t="str">
            <v>2 YD 1X WK COMP 1</v>
          </cell>
        </row>
        <row r="10251">
          <cell r="H10251" t="str">
            <v>FL002.0Y2W001</v>
          </cell>
          <cell r="I10251" t="str">
            <v>2 YD 2X WK 1</v>
          </cell>
        </row>
        <row r="10252">
          <cell r="H10252" t="str">
            <v>FL002.0Y3W001</v>
          </cell>
          <cell r="I10252" t="str">
            <v>2 YD 3X WK 1</v>
          </cell>
        </row>
        <row r="10253">
          <cell r="H10253" t="str">
            <v>FL003.0Y1W001</v>
          </cell>
          <cell r="I10253" t="str">
            <v>3 YD 1X WK 1</v>
          </cell>
        </row>
        <row r="10254">
          <cell r="H10254" t="str">
            <v>FL003.0Y2W001</v>
          </cell>
          <cell r="I10254" t="str">
            <v>3 YD 2X WK 1</v>
          </cell>
        </row>
        <row r="10255">
          <cell r="H10255" t="str">
            <v>FL003.0Y2W001CMP</v>
          </cell>
          <cell r="I10255" t="str">
            <v>3 YD 2X WK COMP 1</v>
          </cell>
        </row>
        <row r="10256">
          <cell r="H10256" t="str">
            <v>FL003.0Y3W001</v>
          </cell>
          <cell r="I10256" t="str">
            <v>3 YD 3X WK 1</v>
          </cell>
        </row>
        <row r="10257">
          <cell r="H10257" t="str">
            <v>FL003.0Y4W001</v>
          </cell>
          <cell r="I10257" t="str">
            <v>3 YD 4X WK 1</v>
          </cell>
        </row>
        <row r="10258">
          <cell r="H10258" t="str">
            <v>FL004.0Y1W001</v>
          </cell>
          <cell r="I10258" t="str">
            <v>4 YD 1X WK 1</v>
          </cell>
        </row>
        <row r="10259">
          <cell r="H10259" t="str">
            <v>FL004.0Y1W001CMP</v>
          </cell>
          <cell r="I10259" t="str">
            <v>4 YD 1X WK COMP 1</v>
          </cell>
        </row>
        <row r="10260">
          <cell r="H10260" t="str">
            <v>FL004.0Y2W001</v>
          </cell>
          <cell r="I10260" t="str">
            <v>4 YD 2X WK 1</v>
          </cell>
        </row>
        <row r="10261">
          <cell r="H10261" t="str">
            <v>FL004.0Y2W001CMP</v>
          </cell>
          <cell r="I10261" t="str">
            <v>4 YD 2X WK COMP 1</v>
          </cell>
        </row>
        <row r="10262">
          <cell r="H10262" t="str">
            <v>FL004.0Y3W001</v>
          </cell>
          <cell r="I10262" t="str">
            <v>4 YD 3X WK 1</v>
          </cell>
        </row>
        <row r="10263">
          <cell r="H10263" t="str">
            <v>FL006.0Y1W001</v>
          </cell>
          <cell r="I10263" t="str">
            <v>6 YD 1X WK 1</v>
          </cell>
        </row>
        <row r="10264">
          <cell r="H10264" t="str">
            <v>FL006.0Y2W001</v>
          </cell>
          <cell r="I10264" t="str">
            <v>6 YD 2X WK 1</v>
          </cell>
        </row>
        <row r="10265">
          <cell r="H10265" t="str">
            <v>FL006.0Y2W001CMP</v>
          </cell>
          <cell r="I10265" t="str">
            <v>6 YD 2X WK COMP 1</v>
          </cell>
        </row>
        <row r="10266">
          <cell r="H10266" t="str">
            <v>FL006.0Y3W001</v>
          </cell>
          <cell r="I10266" t="str">
            <v>6 YD 3X WK 1</v>
          </cell>
        </row>
        <row r="10267">
          <cell r="H10267" t="str">
            <v>FL006.0Y4W001</v>
          </cell>
          <cell r="I10267" t="str">
            <v>6 YD 4X WK 1</v>
          </cell>
        </row>
        <row r="10268">
          <cell r="H10268" t="str">
            <v>GWCOMM</v>
          </cell>
          <cell r="I10268" t="str">
            <v>GREENWASTE SERVICE - COMM</v>
          </cell>
        </row>
        <row r="10269">
          <cell r="H10269" t="str">
            <v>RENT1.5TEMP-COMM</v>
          </cell>
          <cell r="I10269" t="str">
            <v>RENT 1.5 YD TEMP - COMM</v>
          </cell>
        </row>
        <row r="10270">
          <cell r="H10270" t="str">
            <v>RENT2TEMP-COMM</v>
          </cell>
          <cell r="I10270" t="str">
            <v>RENT 2 YD TEMP - COMM</v>
          </cell>
        </row>
        <row r="10271">
          <cell r="H10271" t="str">
            <v>RL032.0G1W001NORECC</v>
          </cell>
          <cell r="I10271" t="str">
            <v xml:space="preserve">32 GL 1X WK NO RECY COMM </v>
          </cell>
        </row>
        <row r="10272">
          <cell r="H10272" t="str">
            <v>RL032.0G1W001WRECC</v>
          </cell>
          <cell r="I10272" t="str">
            <v>32 GL 1X WK W/RECY COMM 1</v>
          </cell>
        </row>
        <row r="10273">
          <cell r="H10273" t="str">
            <v>RL032.0G1W002NORECC</v>
          </cell>
          <cell r="I10273" t="str">
            <v xml:space="preserve">32 GL 1X WK NO RECY COMM </v>
          </cell>
        </row>
        <row r="10274">
          <cell r="H10274" t="str">
            <v>RL032.0G1W002WRECC</v>
          </cell>
          <cell r="I10274" t="str">
            <v>32 GL 1X WK W/RECY COMM 2</v>
          </cell>
        </row>
        <row r="10275">
          <cell r="H10275" t="str">
            <v>RL032.0G1W003WRECC</v>
          </cell>
          <cell r="I10275" t="str">
            <v>32 GL 1X WK W/RECY COMM 3</v>
          </cell>
        </row>
        <row r="10276">
          <cell r="H10276" t="str">
            <v>RL032.0G1W004WRECC</v>
          </cell>
          <cell r="I10276" t="str">
            <v>32 GL 1X WK W/RECY COMM 4</v>
          </cell>
        </row>
        <row r="10277">
          <cell r="H10277" t="str">
            <v>RL035.0G1W001WRECC</v>
          </cell>
          <cell r="I10277" t="str">
            <v>35 GL 1X WK W/RECY COMM 1</v>
          </cell>
        </row>
        <row r="10278">
          <cell r="H10278" t="str">
            <v>ROLL-COMM</v>
          </cell>
          <cell r="I10278" t="str">
            <v>ROLL OUT CHARGE - COMM</v>
          </cell>
        </row>
        <row r="10279">
          <cell r="H10279" t="str">
            <v>SL065.0G1W001NORECC</v>
          </cell>
          <cell r="I10279" t="str">
            <v xml:space="preserve">65 GL 1X WK NO RECY COMM </v>
          </cell>
        </row>
        <row r="10280">
          <cell r="H10280" t="str">
            <v>SL065.0G1W001WRECC</v>
          </cell>
          <cell r="I10280" t="str">
            <v>65 GL 1X WK W/RECY COMM 1</v>
          </cell>
        </row>
        <row r="10281">
          <cell r="H10281" t="str">
            <v>SL065.0GEO001NORECC</v>
          </cell>
          <cell r="I10281" t="str">
            <v>65 GL EOW NO RECY COMM 1</v>
          </cell>
        </row>
        <row r="10282">
          <cell r="H10282" t="str">
            <v>SL065.0GEO001WRECC</v>
          </cell>
          <cell r="I10282" t="str">
            <v>65 GL EOW W/RECY COMM 1</v>
          </cell>
        </row>
        <row r="10283">
          <cell r="H10283" t="str">
            <v>SL095.0G1W001NORECC</v>
          </cell>
          <cell r="I10283" t="str">
            <v xml:space="preserve">95 GL 1X WK NO RECY COMM </v>
          </cell>
        </row>
        <row r="10284">
          <cell r="H10284" t="str">
            <v>SL095.0G1W001WRECC</v>
          </cell>
          <cell r="I10284" t="str">
            <v>95 GL 1X WK W/RECY COMM 1</v>
          </cell>
        </row>
        <row r="10285">
          <cell r="H10285" t="str">
            <v>SL095.0GEO001NORECC</v>
          </cell>
          <cell r="I10285" t="str">
            <v>95 GL EOW NO RECY COMM 1</v>
          </cell>
        </row>
        <row r="10286">
          <cell r="H10286" t="str">
            <v>SL095.0GEO001WRECC</v>
          </cell>
          <cell r="I10286" t="str">
            <v>95 GL EOW W/RECY COMM 1</v>
          </cell>
        </row>
        <row r="10287">
          <cell r="H10287" t="str">
            <v>WI1-COMM</v>
          </cell>
          <cell r="I10287" t="str">
            <v>WALK IN 6-25' - COMM</v>
          </cell>
        </row>
        <row r="10288">
          <cell r="H10288" t="str">
            <v>WI2-COMM</v>
          </cell>
          <cell r="I10288" t="str">
            <v>WALK IN 26-50' - COMM</v>
          </cell>
        </row>
        <row r="10289">
          <cell r="H10289" t="str">
            <v>WI4-COMM</v>
          </cell>
          <cell r="I10289" t="str">
            <v>WALK IN 76-100' - COMM</v>
          </cell>
        </row>
        <row r="10290">
          <cell r="H10290" t="str">
            <v>ACCESS-COMM</v>
          </cell>
          <cell r="I10290" t="str">
            <v>ACCESS FEE - COMM</v>
          </cell>
        </row>
        <row r="10291">
          <cell r="H10291" t="str">
            <v>BULKY-COMM</v>
          </cell>
          <cell r="I10291" t="str">
            <v>BULKY ITEM PICK UP - COMM</v>
          </cell>
        </row>
        <row r="10292">
          <cell r="H10292" t="str">
            <v>CANCOUNT-COMM</v>
          </cell>
          <cell r="I10292" t="str">
            <v>CAN COUNT - COMM</v>
          </cell>
        </row>
        <row r="10293">
          <cell r="H10293" t="str">
            <v>CANCOUNT65-COMM</v>
          </cell>
          <cell r="I10293" t="str">
            <v>CAN COUNT 65 GL - COMM</v>
          </cell>
        </row>
        <row r="10294">
          <cell r="H10294" t="str">
            <v>CLEAN1-COMM</v>
          </cell>
          <cell r="I10294" t="str">
            <v>CLEANING FEE 1 YD - COMM</v>
          </cell>
        </row>
        <row r="10295">
          <cell r="H10295" t="str">
            <v>CLEAN1.5-COMM</v>
          </cell>
          <cell r="I10295" t="str">
            <v>CLEANING FEE 1.5 YD - COM</v>
          </cell>
        </row>
        <row r="10296">
          <cell r="H10296" t="str">
            <v>CLEAN2-COMM</v>
          </cell>
          <cell r="I10296" t="str">
            <v>CLEANING FEE 2 YD - COMM</v>
          </cell>
        </row>
        <row r="10297">
          <cell r="H10297" t="str">
            <v>CLEAN6-COMM</v>
          </cell>
          <cell r="I10297" t="str">
            <v>CLEANING FEE 6 YD - COMM</v>
          </cell>
        </row>
        <row r="10298">
          <cell r="H10298" t="str">
            <v>DEL1.5TEMP-COMM</v>
          </cell>
          <cell r="I10298" t="str">
            <v xml:space="preserve">DELIVERY FEE 1.5 YD TEMP </v>
          </cell>
        </row>
        <row r="10299">
          <cell r="H10299" t="str">
            <v>DEL1TEMP-COMM</v>
          </cell>
          <cell r="I10299" t="str">
            <v xml:space="preserve">DELIVERY FEE 1 YD TEMP - </v>
          </cell>
        </row>
        <row r="10300">
          <cell r="H10300" t="str">
            <v>DEL2TEMP-COMM</v>
          </cell>
          <cell r="I10300" t="str">
            <v xml:space="preserve">DELIVERY FEE 2 YD TEMP - </v>
          </cell>
        </row>
        <row r="10301">
          <cell r="H10301" t="str">
            <v>DEL6TEMP-COMM</v>
          </cell>
          <cell r="I10301" t="str">
            <v xml:space="preserve">DELIVERY FEE 6 YD TEMP - </v>
          </cell>
        </row>
        <row r="10302">
          <cell r="H10302" t="str">
            <v>DISP-COMM</v>
          </cell>
          <cell r="I10302" t="str">
            <v>DISPOSAL FEE - COMM</v>
          </cell>
        </row>
        <row r="10303">
          <cell r="H10303" t="str">
            <v>DISPFEDMSW-COMM</v>
          </cell>
          <cell r="I10303" t="str">
            <v>DISPOSAL FEDERAL MSW - CO</v>
          </cell>
        </row>
        <row r="10304">
          <cell r="H10304" t="str">
            <v>DISPMIX-COMM</v>
          </cell>
          <cell r="I10304" t="str">
            <v>DISPOSAL MIX CMGL OCC - COMM</v>
          </cell>
        </row>
        <row r="10305">
          <cell r="H10305" t="str">
            <v>EXTRA-COMM</v>
          </cell>
          <cell r="I10305" t="str">
            <v>EXTRA CAN, BAG, BOX - COM</v>
          </cell>
        </row>
        <row r="10306">
          <cell r="H10306" t="str">
            <v>EXTRAGWC-COMM</v>
          </cell>
          <cell r="I10306" t="str">
            <v>EXTRA GREENWASTE FEE - CO</v>
          </cell>
        </row>
        <row r="10307">
          <cell r="H10307" t="str">
            <v>EXTRAYDG-COM</v>
          </cell>
          <cell r="I10307" t="str">
            <v>EXTRA YARDAGE - COMM</v>
          </cell>
        </row>
        <row r="10308">
          <cell r="H10308" t="str">
            <v>FL001.0Y1W001</v>
          </cell>
          <cell r="I10308" t="str">
            <v>1 YD 1X WK 1</v>
          </cell>
        </row>
        <row r="10309">
          <cell r="H10309" t="str">
            <v>FL001.0YXX001TEMPC</v>
          </cell>
          <cell r="I10309" t="str">
            <v xml:space="preserve">1 YD TEMP </v>
          </cell>
        </row>
        <row r="10310">
          <cell r="H10310" t="str">
            <v>FL001.5YXX001TEMPC</v>
          </cell>
          <cell r="I10310" t="str">
            <v xml:space="preserve">1.5 YD TEMP </v>
          </cell>
        </row>
        <row r="10311">
          <cell r="H10311" t="str">
            <v>FL002.0Y1W001</v>
          </cell>
          <cell r="I10311" t="str">
            <v>2 YD 1X WK 1</v>
          </cell>
        </row>
        <row r="10312">
          <cell r="H10312" t="str">
            <v>FL002.0Y2W001</v>
          </cell>
          <cell r="I10312" t="str">
            <v>2 YD 2X WK 1</v>
          </cell>
        </row>
        <row r="10313">
          <cell r="H10313" t="str">
            <v>FL002.0YXX001TEMPC</v>
          </cell>
          <cell r="I10313" t="str">
            <v xml:space="preserve">2 YD TEMP </v>
          </cell>
        </row>
        <row r="10314">
          <cell r="H10314" t="str">
            <v>FL006.0Y1W001</v>
          </cell>
          <cell r="I10314" t="str">
            <v>6 YD 1X WK 1</v>
          </cell>
        </row>
        <row r="10315">
          <cell r="H10315" t="str">
            <v>REDEL-COMM</v>
          </cell>
          <cell r="I10315" t="str">
            <v>REDELIVER FEE LVL 1 - COM</v>
          </cell>
        </row>
        <row r="10316">
          <cell r="H10316" t="str">
            <v>REINSTATE-COMM</v>
          </cell>
          <cell r="I10316" t="str">
            <v>REINSTATE FEE - COMM</v>
          </cell>
        </row>
        <row r="10317">
          <cell r="H10317" t="str">
            <v>RENT1.5TEMP-COMM</v>
          </cell>
          <cell r="I10317" t="str">
            <v>RENT 1.5 YD TEMP - COMM</v>
          </cell>
        </row>
        <row r="10318">
          <cell r="H10318" t="str">
            <v>RENT1TEMP-COMM</v>
          </cell>
          <cell r="I10318" t="str">
            <v>RENT 1 YD TEMP - COMM</v>
          </cell>
        </row>
        <row r="10319">
          <cell r="H10319" t="str">
            <v>RENT2TEMP-COMM</v>
          </cell>
          <cell r="I10319" t="str">
            <v>RENT 2 YD TEMP - COMM</v>
          </cell>
        </row>
        <row r="10320">
          <cell r="H10320" t="str">
            <v>RENT6TEMP-COMM</v>
          </cell>
          <cell r="I10320" t="str">
            <v>RENT 6 YD TEMP - COMM</v>
          </cell>
        </row>
        <row r="10321">
          <cell r="H10321" t="str">
            <v>RL035.0G1W001WRECC</v>
          </cell>
          <cell r="I10321" t="str">
            <v>35 GL 1X WK W/RECY COMM 1</v>
          </cell>
        </row>
        <row r="10322">
          <cell r="H10322" t="str">
            <v>RTRNCART65-COMM</v>
          </cell>
          <cell r="I10322" t="str">
            <v>RETURN TRIP 65 GL - COMM</v>
          </cell>
        </row>
        <row r="10323">
          <cell r="H10323" t="str">
            <v>RTRNTRIP-COMM</v>
          </cell>
          <cell r="I10323" t="str">
            <v>RETURN TRIP FEE - COMM</v>
          </cell>
        </row>
        <row r="10324">
          <cell r="H10324" t="str">
            <v>SL065.0G1W001WRECC</v>
          </cell>
          <cell r="I10324" t="str">
            <v>65 GL 1X WK W/RECY COMM 1</v>
          </cell>
        </row>
        <row r="10325">
          <cell r="H10325" t="str">
            <v>SP1-COMM</v>
          </cell>
          <cell r="I10325" t="str">
            <v>SPECIAL PICK UP 1 YD - CO</v>
          </cell>
        </row>
        <row r="10326">
          <cell r="H10326" t="str">
            <v>SP1.5-COMM</v>
          </cell>
          <cell r="I10326" t="str">
            <v xml:space="preserve">SPECIAL PICK UP 1.5 YD - </v>
          </cell>
        </row>
        <row r="10327">
          <cell r="H10327" t="str">
            <v>SP2-COMM</v>
          </cell>
          <cell r="I10327" t="str">
            <v>SPECIAL PICK UP 2 YD - CO</v>
          </cell>
        </row>
        <row r="10328">
          <cell r="H10328" t="str">
            <v>SP2CMP-COMM</v>
          </cell>
          <cell r="I10328" t="str">
            <v>SPECIAL PICK UP 2 YD COMP</v>
          </cell>
        </row>
        <row r="10329">
          <cell r="H10329" t="str">
            <v>SP3-COMM</v>
          </cell>
          <cell r="I10329" t="str">
            <v>SPECIAL PICK UP 3 YD - CO</v>
          </cell>
        </row>
        <row r="10330">
          <cell r="H10330" t="str">
            <v>SP4-COMM</v>
          </cell>
          <cell r="I10330" t="str">
            <v>SPECIAL PICK UP 4 YD - CO</v>
          </cell>
        </row>
        <row r="10331">
          <cell r="H10331" t="str">
            <v>SP6-COMM</v>
          </cell>
          <cell r="I10331" t="str">
            <v>SPECIAL PICK UP 6 YD - CO</v>
          </cell>
        </row>
        <row r="10332">
          <cell r="H10332" t="str">
            <v>SPGRAD1-COMM</v>
          </cell>
          <cell r="I10332" t="str">
            <v>SPECIAL PICKUP GRADUATED 1 - COMM</v>
          </cell>
        </row>
        <row r="10333">
          <cell r="H10333" t="str">
            <v>SPGRAD2-COMM</v>
          </cell>
          <cell r="I10333" t="str">
            <v>SPECIAL PICKUP GRADUATED 2 - COMM</v>
          </cell>
        </row>
        <row r="10334">
          <cell r="H10334" t="str">
            <v>TIME-COMM</v>
          </cell>
          <cell r="I10334" t="str">
            <v>TIME FEE 1 - COMM</v>
          </cell>
        </row>
        <row r="10335">
          <cell r="H10335" t="str">
            <v>DEL1.5TEMP-COMM</v>
          </cell>
          <cell r="I10335" t="str">
            <v xml:space="preserve">DELIVERY FEE 1.5 YD TEMP </v>
          </cell>
        </row>
        <row r="10336">
          <cell r="H10336" t="str">
            <v>DISP-COMM</v>
          </cell>
          <cell r="I10336" t="str">
            <v>DISPOSAL FEE - COMM</v>
          </cell>
        </row>
        <row r="10337">
          <cell r="H10337" t="str">
            <v>DISPFEDMSW-COMM</v>
          </cell>
          <cell r="I10337" t="str">
            <v>DISPOSAL FEDERAL MSW - CO</v>
          </cell>
        </row>
        <row r="10338">
          <cell r="H10338" t="str">
            <v>FL001.5YXX001TEMPC</v>
          </cell>
          <cell r="I10338" t="str">
            <v xml:space="preserve">1.5 YD TEMP </v>
          </cell>
        </row>
        <row r="10339">
          <cell r="H10339" t="str">
            <v>FL002.0YXX001TEMPC</v>
          </cell>
          <cell r="I10339" t="str">
            <v xml:space="preserve">2 YD TEMP </v>
          </cell>
        </row>
        <row r="10340">
          <cell r="H10340" t="str">
            <v>ACCESSCREC-COMM</v>
          </cell>
          <cell r="I10340" t="str">
            <v>ACCESS FEE COMM RECY - CO</v>
          </cell>
        </row>
        <row r="10341">
          <cell r="H10341" t="str">
            <v>COMDESKREC</v>
          </cell>
          <cell r="I10341" t="str">
            <v>COMM DESKSIDE RECYCLING</v>
          </cell>
        </row>
        <row r="10342">
          <cell r="H10342" t="str">
            <v>FL002.0Y1M001BCMGL</v>
          </cell>
          <cell r="I10342" t="str">
            <v>2 YD 1X MO BUS CMGL 1</v>
          </cell>
        </row>
        <row r="10343">
          <cell r="H10343" t="str">
            <v>FL002.0Y1W001BCMGL</v>
          </cell>
          <cell r="I10343" t="str">
            <v>2 YD 1X WK BUS CMGL 1</v>
          </cell>
        </row>
        <row r="10344">
          <cell r="H10344" t="str">
            <v>FL002.0Y1W001BOCC</v>
          </cell>
          <cell r="I10344" t="str">
            <v>2 YD 1X WK BUS OCC 1</v>
          </cell>
        </row>
        <row r="10345">
          <cell r="H10345" t="str">
            <v>FL002.0Y1W001OCC</v>
          </cell>
          <cell r="I10345" t="str">
            <v>2 YD 1X WK OCC 1</v>
          </cell>
        </row>
        <row r="10346">
          <cell r="H10346" t="str">
            <v>FL002.0Y1W001SCMGL</v>
          </cell>
          <cell r="I10346" t="str">
            <v>2 YD 1X WK SCHL CMGL 1</v>
          </cell>
        </row>
        <row r="10347">
          <cell r="H10347" t="str">
            <v>FL002.0Y1W001SOCC</v>
          </cell>
          <cell r="I10347" t="str">
            <v>2 YD 1X WK SCHOOL OCC</v>
          </cell>
        </row>
        <row r="10348">
          <cell r="H10348" t="str">
            <v>FL002.0Y2W001BCMGL</v>
          </cell>
          <cell r="I10348" t="str">
            <v>2 YD 2X WK BUS CMGL 1</v>
          </cell>
        </row>
        <row r="10349">
          <cell r="H10349" t="str">
            <v>FL002.0Y2W001BOCC</v>
          </cell>
          <cell r="I10349" t="str">
            <v>2 YD 2X WK BUS OCC 1</v>
          </cell>
        </row>
        <row r="10350">
          <cell r="H10350" t="str">
            <v>FL002.0Y2W001SCMGL</v>
          </cell>
          <cell r="I10350" t="str">
            <v>2 YD 2X WK SCHL CMGL 1</v>
          </cell>
        </row>
        <row r="10351">
          <cell r="H10351" t="str">
            <v>FL002.0Y2W001SOCC</v>
          </cell>
          <cell r="I10351" t="str">
            <v>2 YD 2X WK SCHOOL OCC</v>
          </cell>
        </row>
        <row r="10352">
          <cell r="H10352" t="str">
            <v>FL002.0Y3W001BCMGL</v>
          </cell>
          <cell r="I10352" t="str">
            <v>2 YD 3X WK BUS CMGL 1</v>
          </cell>
        </row>
        <row r="10353">
          <cell r="H10353" t="str">
            <v>FL002.0Y4W001BCMGL</v>
          </cell>
          <cell r="I10353" t="str">
            <v>2 YD 4X WK BUS CMGL 1</v>
          </cell>
        </row>
        <row r="10354">
          <cell r="H10354" t="str">
            <v>FL002.0Y4W001BOCC</v>
          </cell>
          <cell r="I10354" t="str">
            <v>2 YD 4X WK BUS OCC 1</v>
          </cell>
        </row>
        <row r="10355">
          <cell r="H10355" t="str">
            <v>FL004.0Y1W001CMGL</v>
          </cell>
          <cell r="I10355" t="str">
            <v>4 YD 1X WK BUS CMGL 1</v>
          </cell>
        </row>
        <row r="10356">
          <cell r="H10356" t="str">
            <v>FL004.0Y2W001CMGL</v>
          </cell>
          <cell r="I10356" t="str">
            <v>4 YD 2X WK BUS CMGL 1</v>
          </cell>
        </row>
        <row r="10357">
          <cell r="H10357" t="str">
            <v>FL004.0Y4W001BCMGL</v>
          </cell>
          <cell r="I10357" t="str">
            <v>4 YD 4X WK BUS CMGL 1</v>
          </cell>
        </row>
        <row r="10358">
          <cell r="H10358" t="str">
            <v>FL004.0Y5W001BCMGL</v>
          </cell>
          <cell r="I10358" t="str">
            <v>4 YD 5X WK BUS CMGL 1</v>
          </cell>
        </row>
        <row r="10359">
          <cell r="H10359" t="str">
            <v>FL005.0Y1W001BOCC</v>
          </cell>
          <cell r="I10359" t="str">
            <v>5 YD 1X WK BUS OCC 1</v>
          </cell>
        </row>
        <row r="10360">
          <cell r="H10360" t="str">
            <v>FL005.0Y1W001SOCC</v>
          </cell>
          <cell r="I10360" t="str">
            <v>5 YD 1X WK SCHOOL OCC</v>
          </cell>
        </row>
        <row r="10361">
          <cell r="H10361" t="str">
            <v>FL005.0Y2W001BOCC</v>
          </cell>
          <cell r="I10361" t="str">
            <v>5 YD 2X WK BUS OCC 1</v>
          </cell>
        </row>
        <row r="10362">
          <cell r="H10362" t="str">
            <v>FL005.0Y2W001OCC</v>
          </cell>
          <cell r="I10362" t="str">
            <v>5 YD 2X WK OCC 1</v>
          </cell>
        </row>
        <row r="10363">
          <cell r="H10363" t="str">
            <v>FL005.0Y3W001BOCC</v>
          </cell>
          <cell r="I10363" t="str">
            <v>5 YD 3X WK BUS OCC 1</v>
          </cell>
        </row>
        <row r="10364">
          <cell r="H10364" t="str">
            <v>FL005.0Y4W001BOCC</v>
          </cell>
          <cell r="I10364" t="str">
            <v>5 YD 4X WK BUS OCC 1</v>
          </cell>
        </row>
        <row r="10365">
          <cell r="H10365" t="str">
            <v>FL006.0Y1W001BCMGL</v>
          </cell>
          <cell r="I10365" t="str">
            <v>6 YD 1X WK BUS COMINGLE 1</v>
          </cell>
        </row>
        <row r="10366">
          <cell r="H10366" t="str">
            <v>FL006.0Y1W001SCMGL</v>
          </cell>
          <cell r="I10366" t="str">
            <v>6 YD 1X WK SCHL CMGL 1</v>
          </cell>
        </row>
        <row r="10367">
          <cell r="H10367" t="str">
            <v>FL006.0Y2W001BCMGL</v>
          </cell>
          <cell r="I10367" t="str">
            <v>6 YD 2X WK BUS COMINGLE 1</v>
          </cell>
        </row>
        <row r="10368">
          <cell r="H10368" t="str">
            <v>FL006.0Y3W001BCMGL</v>
          </cell>
          <cell r="I10368" t="str">
            <v>6 YD 3X WK BUS CMGL 1</v>
          </cell>
        </row>
        <row r="10369">
          <cell r="H10369" t="str">
            <v>MFNBINS</v>
          </cell>
          <cell r="I10369" t="str">
            <v>MULTI-FAMILY REC UNIT N/B</v>
          </cell>
        </row>
        <row r="10370">
          <cell r="H10370" t="str">
            <v>MFWBINS</v>
          </cell>
          <cell r="I10370" t="str">
            <v>MULTI-FAMILY REC UNIT W/B</v>
          </cell>
        </row>
        <row r="10371">
          <cell r="H10371" t="str">
            <v>ROLL-REC</v>
          </cell>
          <cell r="I10371" t="str">
            <v>ROLL OUT CHARGE - RECYCLI</v>
          </cell>
        </row>
        <row r="10372">
          <cell r="H10372" t="str">
            <v>SL035.0G1W001RECC</v>
          </cell>
          <cell r="I10372" t="str">
            <v xml:space="preserve">35 GL 1X WK RECYCLE COMM </v>
          </cell>
        </row>
        <row r="10373">
          <cell r="H10373" t="str">
            <v>SL064.0G1M001BCMGLIN</v>
          </cell>
          <cell r="I10373" t="str">
            <v>64 GL MTHLY BUS CMGL IN</v>
          </cell>
        </row>
        <row r="10374">
          <cell r="H10374" t="str">
            <v>SL064.0G1W001BCMGLOUT</v>
          </cell>
          <cell r="I10374" t="str">
            <v>64 GL WKLY BUS CMGL OUT</v>
          </cell>
        </row>
        <row r="10375">
          <cell r="H10375" t="str">
            <v>SL064.0GEO001BCMGLOUT</v>
          </cell>
          <cell r="I10375" t="str">
            <v>64 GL EOW BUS CMGL OUT</v>
          </cell>
        </row>
        <row r="10376">
          <cell r="H10376" t="str">
            <v>SL096.0G1M001BCMGLIN</v>
          </cell>
          <cell r="I10376" t="str">
            <v>96 GL MTHLY BUS CMGL IN</v>
          </cell>
        </row>
        <row r="10377">
          <cell r="H10377" t="str">
            <v>SL096.0G1M001BCMGLOUT</v>
          </cell>
          <cell r="I10377" t="str">
            <v>96 GL MTHLY BUS CMGL OUT</v>
          </cell>
        </row>
        <row r="10378">
          <cell r="H10378" t="str">
            <v>SL096.0G1W001BCMGLIN</v>
          </cell>
          <cell r="I10378" t="str">
            <v>96 GL WKLY BUS CMGL IN</v>
          </cell>
        </row>
        <row r="10379">
          <cell r="H10379" t="str">
            <v>SL096.0G1W001BCMGLOUT</v>
          </cell>
          <cell r="I10379" t="str">
            <v>96 GL WKLY BUS CMGL OUT</v>
          </cell>
        </row>
        <row r="10380">
          <cell r="H10380" t="str">
            <v>SL096.0G1W001RECC</v>
          </cell>
          <cell r="I10380" t="str">
            <v xml:space="preserve">96 GL 1X WK RECYCLE COMM </v>
          </cell>
        </row>
        <row r="10381">
          <cell r="H10381" t="str">
            <v>SL096.0G1W001SCMGLIN</v>
          </cell>
          <cell r="I10381" t="str">
            <v>96 GL WKLY SCHL CMGL IN</v>
          </cell>
        </row>
        <row r="10382">
          <cell r="H10382" t="str">
            <v>SL096.0G1W001SCMGLOUT</v>
          </cell>
          <cell r="I10382" t="str">
            <v>96 GL WKLY SCHL CMGL OUT</v>
          </cell>
        </row>
        <row r="10383">
          <cell r="H10383" t="str">
            <v>SL096.0GEO001BCMGLIN</v>
          </cell>
          <cell r="I10383" t="str">
            <v>96 GL EOW BUS CMGL IN</v>
          </cell>
        </row>
        <row r="10384">
          <cell r="H10384" t="str">
            <v>SL096.0GEO001BCMGLOUT</v>
          </cell>
          <cell r="I10384" t="str">
            <v>96 GL EOW BUS CMGL OUT</v>
          </cell>
        </row>
        <row r="10385">
          <cell r="H10385" t="str">
            <v>SL096.0GEO001SCMGLOUT</v>
          </cell>
          <cell r="I10385" t="str">
            <v>96 GL EOW SCHL CMGL OUT</v>
          </cell>
        </row>
        <row r="10386">
          <cell r="H10386" t="str">
            <v>MFWBINS</v>
          </cell>
          <cell r="I10386" t="str">
            <v>MULTI-FAMILY REC UNIT W/B</v>
          </cell>
        </row>
        <row r="10387">
          <cell r="H10387" t="str">
            <v>RTRNCART96REC-COMM</v>
          </cell>
          <cell r="I10387" t="str">
            <v>RETURN TRIP 96 GL REC - C</v>
          </cell>
        </row>
        <row r="10388">
          <cell r="H10388" t="str">
            <v>SL096.0GEO001BCMGLOUT</v>
          </cell>
          <cell r="I10388" t="str">
            <v>96 GL EOW BUS CMGL OUT</v>
          </cell>
        </row>
        <row r="10389">
          <cell r="H10389" t="str">
            <v>SP2BCMGL-COMM</v>
          </cell>
          <cell r="I10389" t="str">
            <v>SPECIAL P/U 2 YD BUS CMGL</v>
          </cell>
        </row>
        <row r="10390">
          <cell r="H10390" t="str">
            <v>SP2OCC-COMM</v>
          </cell>
          <cell r="I10390" t="str">
            <v>SPECIAL PICKUP 2 YD OCC -</v>
          </cell>
        </row>
        <row r="10391">
          <cell r="H10391" t="str">
            <v>SP2SCMGL-COMM</v>
          </cell>
          <cell r="I10391" t="str">
            <v>SPECIAL P/U 2 YD SCHL CMGL</v>
          </cell>
        </row>
        <row r="10392">
          <cell r="H10392" t="str">
            <v>SP4CMGL-COM</v>
          </cell>
          <cell r="I10392" t="str">
            <v>SPECIAL PU 4YD BUS CMGL</v>
          </cell>
        </row>
        <row r="10393">
          <cell r="H10393" t="str">
            <v>SP4SCMGL-COM</v>
          </cell>
          <cell r="I10393" t="str">
            <v>SPECIAL PU 4 YD SCH CMGL</v>
          </cell>
        </row>
        <row r="10394">
          <cell r="H10394" t="str">
            <v>SP5OCC-COMM</v>
          </cell>
          <cell r="I10394" t="str">
            <v>SPECIAL PICKUP 5 YD OCC -</v>
          </cell>
        </row>
        <row r="10395">
          <cell r="H10395" t="str">
            <v>SP6BCMGL-COMM</v>
          </cell>
          <cell r="I10395" t="str">
            <v>SPECIAL P/U 6 YD BUS CMGL</v>
          </cell>
        </row>
        <row r="10396">
          <cell r="H10396" t="str">
            <v>SP6SCMGL-COMM</v>
          </cell>
          <cell r="I10396" t="str">
            <v>SPECIAL P/U 6 YD SCHL CMGL</v>
          </cell>
        </row>
        <row r="10397">
          <cell r="H10397" t="str">
            <v>SPGRAD1REC-COMM</v>
          </cell>
          <cell r="I10397" t="str">
            <v>SPECIAL UNIT GRAD1 REC - COMM</v>
          </cell>
        </row>
        <row r="10398">
          <cell r="H10398" t="str">
            <v>SPGRAD2REC-COMM</v>
          </cell>
          <cell r="I10398" t="str">
            <v>SPECIAL UNIT GRAD2 REC - COMM</v>
          </cell>
        </row>
        <row r="10399">
          <cell r="H10399" t="str">
            <v>CC</v>
          </cell>
          <cell r="I10399" t="str">
            <v>PAYMENT THANK YOU!</v>
          </cell>
        </row>
        <row r="10400">
          <cell r="H10400" t="str">
            <v>CC-KOL</v>
          </cell>
          <cell r="I10400" t="str">
            <v>ONLINE PAYMENT-CC</v>
          </cell>
        </row>
        <row r="10401">
          <cell r="H10401" t="str">
            <v>CCREF-KOL</v>
          </cell>
          <cell r="I10401" t="str">
            <v>CREDIT CARD REFUND</v>
          </cell>
        </row>
        <row r="10402">
          <cell r="H10402" t="str">
            <v>PAY</v>
          </cell>
          <cell r="I10402" t="str">
            <v>PAYMENT THANK YOU</v>
          </cell>
        </row>
        <row r="10403">
          <cell r="H10403" t="str">
            <v>PAY-CFREE</v>
          </cell>
          <cell r="I10403" t="str">
            <v>CHECKFREE PAYMENT</v>
          </cell>
        </row>
        <row r="10404">
          <cell r="H10404" t="str">
            <v>PAY-KOL</v>
          </cell>
          <cell r="I10404" t="str">
            <v>PAYMENT-THANK YOU - OL</v>
          </cell>
        </row>
        <row r="10405">
          <cell r="H10405" t="str">
            <v>PAY-ORCC</v>
          </cell>
          <cell r="I10405" t="str">
            <v>ORCC PAYMENT</v>
          </cell>
        </row>
        <row r="10406">
          <cell r="H10406" t="str">
            <v>PAY-RPPS</v>
          </cell>
          <cell r="I10406" t="str">
            <v>RPPS MASTERCARD PAYMENT</v>
          </cell>
        </row>
        <row r="10407">
          <cell r="H10407" t="str">
            <v>PAYAD</v>
          </cell>
          <cell r="I10407" t="str">
            <v>ADJUST PAYMENT AD</v>
          </cell>
        </row>
        <row r="10408">
          <cell r="H10408" t="str">
            <v>PAYICT</v>
          </cell>
          <cell r="I10408" t="str">
            <v>I/C PAYMENT THANK YOU</v>
          </cell>
        </row>
        <row r="10409">
          <cell r="H10409" t="str">
            <v>PAYMET</v>
          </cell>
          <cell r="I10409" t="str">
            <v>METAVANTE ONLINE PAYMENT</v>
          </cell>
        </row>
        <row r="10410">
          <cell r="H10410" t="str">
            <v>PAYUSBL</v>
          </cell>
          <cell r="I10410" t="str">
            <v>PAYMENT THANK YOU</v>
          </cell>
        </row>
        <row r="10411">
          <cell r="H10411" t="str">
            <v>RET-KOL</v>
          </cell>
          <cell r="I10411" t="str">
            <v>ONLINE PAYMENT RETURN</v>
          </cell>
        </row>
        <row r="10412">
          <cell r="H10412" t="str">
            <v>CC</v>
          </cell>
          <cell r="I10412" t="str">
            <v>PAYMENT THANK YOU!</v>
          </cell>
        </row>
        <row r="10413">
          <cell r="H10413" t="str">
            <v>CC-KOL</v>
          </cell>
          <cell r="I10413" t="str">
            <v>ONLINE PAYMENT-CC</v>
          </cell>
        </row>
        <row r="10414">
          <cell r="H10414" t="str">
            <v>CCREF-KOL</v>
          </cell>
          <cell r="I10414" t="str">
            <v>CREDIT CARD REFUND</v>
          </cell>
        </row>
        <row r="10415">
          <cell r="H10415" t="str">
            <v>PAY</v>
          </cell>
          <cell r="I10415" t="str">
            <v>PAYMENT THANK YOU</v>
          </cell>
        </row>
        <row r="10416">
          <cell r="H10416" t="str">
            <v>PAY-CFREE</v>
          </cell>
          <cell r="I10416" t="str">
            <v>CHECKFREE PAYMENT</v>
          </cell>
        </row>
        <row r="10417">
          <cell r="H10417" t="str">
            <v>PAY-KOL</v>
          </cell>
          <cell r="I10417" t="str">
            <v>PAYMENT-THANK YOU - OL</v>
          </cell>
        </row>
        <row r="10418">
          <cell r="H10418" t="str">
            <v>PAY-ORCC</v>
          </cell>
          <cell r="I10418" t="str">
            <v>ORCC PAYMENT</v>
          </cell>
        </row>
        <row r="10419">
          <cell r="H10419" t="str">
            <v>PAY-RPPS</v>
          </cell>
          <cell r="I10419" t="str">
            <v>RPPS MASTERCARD PAYMENT</v>
          </cell>
        </row>
        <row r="10420">
          <cell r="H10420" t="str">
            <v>PAYAD</v>
          </cell>
          <cell r="I10420" t="str">
            <v>ADJUST PAYMENT AD</v>
          </cell>
        </row>
        <row r="10421">
          <cell r="H10421" t="str">
            <v>PAYICT</v>
          </cell>
          <cell r="I10421" t="str">
            <v>I/C PAYMENT THANK YOU</v>
          </cell>
        </row>
        <row r="10422">
          <cell r="H10422" t="str">
            <v>PAYMET</v>
          </cell>
          <cell r="I10422" t="str">
            <v>METAVANTE ONLINE PAYMENT</v>
          </cell>
        </row>
        <row r="10423">
          <cell r="H10423" t="str">
            <v>PAYUSBL</v>
          </cell>
          <cell r="I10423" t="str">
            <v>PAYMENT THANK YOU</v>
          </cell>
        </row>
        <row r="10424">
          <cell r="H10424" t="str">
            <v>RET-KOL</v>
          </cell>
          <cell r="I10424" t="str">
            <v>ONLINE PAYMENT RETURN</v>
          </cell>
        </row>
        <row r="10425">
          <cell r="H10425" t="str">
            <v>CC</v>
          </cell>
          <cell r="I10425" t="str">
            <v>PAYMENT THANK YOU!</v>
          </cell>
        </row>
        <row r="10426">
          <cell r="H10426" t="str">
            <v>CC-KOL</v>
          </cell>
          <cell r="I10426" t="str">
            <v>ONLINE PAYMENT-CC</v>
          </cell>
        </row>
        <row r="10427">
          <cell r="H10427" t="str">
            <v>CCREF-KOL</v>
          </cell>
          <cell r="I10427" t="str">
            <v>CREDIT CARD REFUND</v>
          </cell>
        </row>
        <row r="10428">
          <cell r="H10428" t="str">
            <v>PAY</v>
          </cell>
          <cell r="I10428" t="str">
            <v>PAYMENT THANK YOU</v>
          </cell>
        </row>
        <row r="10429">
          <cell r="H10429" t="str">
            <v>PAY-CFREE</v>
          </cell>
          <cell r="I10429" t="str">
            <v>CHECKFREE PAYMENT</v>
          </cell>
        </row>
        <row r="10430">
          <cell r="H10430" t="str">
            <v>PAY-KOL</v>
          </cell>
          <cell r="I10430" t="str">
            <v>PAYMENT-THANK YOU - OL</v>
          </cell>
        </row>
        <row r="10431">
          <cell r="H10431" t="str">
            <v>PAY-NATL</v>
          </cell>
          <cell r="I10431" t="str">
            <v>PAYMENT THANK YOU</v>
          </cell>
        </row>
        <row r="10432">
          <cell r="H10432" t="str">
            <v>PAY-OAK</v>
          </cell>
          <cell r="I10432" t="str">
            <v>OAKLEAF PAYMENT</v>
          </cell>
        </row>
        <row r="10433">
          <cell r="H10433" t="str">
            <v>PAY-ORCC</v>
          </cell>
          <cell r="I10433" t="str">
            <v>ORCC PAYMENT</v>
          </cell>
        </row>
        <row r="10434">
          <cell r="H10434" t="str">
            <v>PAY-RPPS</v>
          </cell>
          <cell r="I10434" t="str">
            <v>RPPS MASTERCARD PAYMENT</v>
          </cell>
        </row>
        <row r="10435">
          <cell r="H10435" t="str">
            <v>PAYEFT</v>
          </cell>
          <cell r="I10435" t="str">
            <v>EFT PAYMENT</v>
          </cell>
        </row>
        <row r="10436">
          <cell r="H10436" t="str">
            <v>PAYICLRI</v>
          </cell>
          <cell r="I10436" t="str">
            <v>PAYMENT THANK YOU</v>
          </cell>
        </row>
        <row r="10437">
          <cell r="H10437" t="str">
            <v>PAYICT</v>
          </cell>
          <cell r="I10437" t="str">
            <v>I/C PAYMENT THANK YOU</v>
          </cell>
        </row>
        <row r="10438">
          <cell r="H10438" t="str">
            <v>PAYMET</v>
          </cell>
          <cell r="I10438" t="str">
            <v>METAVANTE ONLINE PAYMENT</v>
          </cell>
        </row>
        <row r="10439">
          <cell r="H10439" t="str">
            <v>PAYPNCL</v>
          </cell>
          <cell r="I10439" t="str">
            <v>PAYMENT THANK YOU!</v>
          </cell>
        </row>
        <row r="10440">
          <cell r="H10440" t="str">
            <v>PAYUSBL</v>
          </cell>
          <cell r="I10440" t="str">
            <v>PAYMENT THANK YOU</v>
          </cell>
        </row>
        <row r="10441">
          <cell r="H10441" t="str">
            <v>RET-KOL</v>
          </cell>
          <cell r="I10441" t="str">
            <v>ONLINE PAYMENT RETURN</v>
          </cell>
        </row>
        <row r="10442">
          <cell r="H10442" t="str">
            <v>CC-KOL</v>
          </cell>
          <cell r="I10442" t="str">
            <v>ONLINE PAYMENT-CC</v>
          </cell>
        </row>
        <row r="10443">
          <cell r="H10443" t="str">
            <v>PAY</v>
          </cell>
          <cell r="I10443" t="str">
            <v>PAYMENT THANK YOU</v>
          </cell>
        </row>
        <row r="10444">
          <cell r="H10444" t="str">
            <v>PAYUSBL</v>
          </cell>
          <cell r="I10444" t="str">
            <v>PAYMENT THANK YOU</v>
          </cell>
        </row>
        <row r="10445">
          <cell r="H10445" t="str">
            <v>ACCESS-RES</v>
          </cell>
          <cell r="I10445" t="str">
            <v>ACCESS FEE - RES</v>
          </cell>
        </row>
        <row r="10446">
          <cell r="H10446" t="str">
            <v>DRIVEIN-RES</v>
          </cell>
          <cell r="I10446" t="str">
            <v>DRIVE IN SERVICE - RES</v>
          </cell>
        </row>
        <row r="10447">
          <cell r="H10447" t="str">
            <v>DRIVEIN1-RES</v>
          </cell>
          <cell r="I10447" t="str">
            <v>DRIVE IN 1 - RES</v>
          </cell>
        </row>
        <row r="10448">
          <cell r="H10448" t="str">
            <v>DRIVEIN2-RES</v>
          </cell>
          <cell r="I10448" t="str">
            <v>DRIVE IN 2 - RES</v>
          </cell>
        </row>
        <row r="10449">
          <cell r="H10449" t="str">
            <v>DRIVEIN4-RES</v>
          </cell>
          <cell r="I10449" t="str">
            <v>DRIVE IN 4 - RES</v>
          </cell>
        </row>
        <row r="10450">
          <cell r="H10450" t="str">
            <v>DRIVEINMUL-RES</v>
          </cell>
          <cell r="I10450" t="str">
            <v>DRIVE IN SVC MULTIPLE</v>
          </cell>
        </row>
        <row r="10451">
          <cell r="H10451" t="str">
            <v>EMPLOYEER</v>
          </cell>
          <cell r="I10451" t="str">
            <v>EMPLOYEE SERVICE RES</v>
          </cell>
        </row>
        <row r="10452">
          <cell r="H10452" t="str">
            <v>GWRES</v>
          </cell>
          <cell r="I10452" t="str">
            <v>GREENWASTE SERVICE - RES</v>
          </cell>
        </row>
        <row r="10453">
          <cell r="H10453" t="str">
            <v>GWSPCL-RES</v>
          </cell>
          <cell r="I10453" t="str">
            <v>GREENWASTE SEN/DIS - RES</v>
          </cell>
        </row>
        <row r="10454">
          <cell r="H10454" t="str">
            <v>RECBINONLYR</v>
          </cell>
          <cell r="I10454" t="str">
            <v>RECYCLE SERVICE ONLY</v>
          </cell>
        </row>
        <row r="10455">
          <cell r="H10455" t="str">
            <v>RECPROGADJ-RES</v>
          </cell>
          <cell r="I10455" t="str">
            <v>RECYCLING PROGRAM ADJUSTM</v>
          </cell>
        </row>
        <row r="10456">
          <cell r="H10456" t="str">
            <v>RECVALRES</v>
          </cell>
          <cell r="I10456" t="str">
            <v>RECYCLABLES VALUE - RES</v>
          </cell>
        </row>
        <row r="10457">
          <cell r="H10457" t="str">
            <v>RL020.0G1W001</v>
          </cell>
          <cell r="I10457" t="str">
            <v>20 GL 1X WK 1</v>
          </cell>
        </row>
        <row r="10458">
          <cell r="H10458" t="str">
            <v>RL032.0G1M001NOREC</v>
          </cell>
          <cell r="I10458" t="str">
            <v>32 GL 1X MO NO RECY 1</v>
          </cell>
        </row>
        <row r="10459">
          <cell r="H10459" t="str">
            <v>RL032.0G1M001WREC</v>
          </cell>
          <cell r="I10459" t="str">
            <v>32 GL 1X MO W/RECY 1</v>
          </cell>
        </row>
        <row r="10460">
          <cell r="H10460" t="str">
            <v>RL032.0G1W001NOREC</v>
          </cell>
          <cell r="I10460" t="str">
            <v>32 GL 1X WK NO RECY 1</v>
          </cell>
        </row>
        <row r="10461">
          <cell r="H10461" t="str">
            <v>RL032.0G1W001WREC</v>
          </cell>
          <cell r="I10461" t="str">
            <v>32 GL 1X WK W/RECY 1</v>
          </cell>
        </row>
        <row r="10462">
          <cell r="H10462" t="str">
            <v>RL032.0G1W002NOREC</v>
          </cell>
          <cell r="I10462" t="str">
            <v>32 GL 1X WK NO RECY 2</v>
          </cell>
        </row>
        <row r="10463">
          <cell r="H10463" t="str">
            <v>RL032.0G1W002WREC</v>
          </cell>
          <cell r="I10463" t="str">
            <v>32 GL 1X WK W/RECY 2</v>
          </cell>
        </row>
        <row r="10464">
          <cell r="H10464" t="str">
            <v>RL032.0G1W003WREC</v>
          </cell>
          <cell r="I10464" t="str">
            <v>32 GL 1X WK W/RECY 3</v>
          </cell>
        </row>
        <row r="10465">
          <cell r="H10465" t="str">
            <v>SL035.0G1M001WREC</v>
          </cell>
          <cell r="I10465" t="str">
            <v>35 GL 1X MO W/RECY 1</v>
          </cell>
        </row>
        <row r="10466">
          <cell r="H10466" t="str">
            <v>SL035.0G1W001NOREC</v>
          </cell>
          <cell r="I10466" t="str">
            <v>35 GL 1X WK NO RECY 1</v>
          </cell>
        </row>
        <row r="10467">
          <cell r="H10467" t="str">
            <v>SL035.0G1W001WREC</v>
          </cell>
          <cell r="I10467" t="str">
            <v>35 GL 1X WK W/ RECY 1</v>
          </cell>
        </row>
        <row r="10468">
          <cell r="H10468" t="str">
            <v>SL035.0G1W002WREC</v>
          </cell>
          <cell r="I10468" t="str">
            <v>35 GL 1X WK W/RECY 2</v>
          </cell>
        </row>
        <row r="10469">
          <cell r="H10469" t="str">
            <v>SL035.0G1W003WREC</v>
          </cell>
          <cell r="I10469" t="str">
            <v>35 GL 1X WK W/RECY 3</v>
          </cell>
        </row>
        <row r="10470">
          <cell r="H10470" t="str">
            <v>SL035.0GEO001NOREC</v>
          </cell>
          <cell r="I10470" t="str">
            <v>35 GL EOW NO RECY 1</v>
          </cell>
        </row>
        <row r="10471">
          <cell r="H10471" t="str">
            <v>SL035.0GEO001WREC</v>
          </cell>
          <cell r="I10471" t="str">
            <v>35 GL EOW W/RECY 1</v>
          </cell>
        </row>
        <row r="10472">
          <cell r="H10472" t="str">
            <v>SL065.0G1M001</v>
          </cell>
          <cell r="I10472" t="str">
            <v>65 GL 1X MO 1</v>
          </cell>
        </row>
        <row r="10473">
          <cell r="H10473" t="str">
            <v>SL065.0G1M001NOREC</v>
          </cell>
          <cell r="I10473" t="str">
            <v>65 GL 1X MO NO RECY 1</v>
          </cell>
        </row>
        <row r="10474">
          <cell r="H10474" t="str">
            <v>SL065.0G1M001WREC</v>
          </cell>
          <cell r="I10474" t="str">
            <v>65 GL 1X MO W/RECY 1</v>
          </cell>
        </row>
        <row r="10475">
          <cell r="H10475" t="str">
            <v>SL065.0G1W001NOREC</v>
          </cell>
          <cell r="I10475" t="str">
            <v>65 GL 1X WK NO RECY 1</v>
          </cell>
        </row>
        <row r="10476">
          <cell r="H10476" t="str">
            <v>SL065.0G1W001WREC</v>
          </cell>
          <cell r="I10476" t="str">
            <v>65 GL 1X WK W/RECY 1</v>
          </cell>
        </row>
        <row r="10477">
          <cell r="H10477" t="str">
            <v>SL065.0GEO001NOREC</v>
          </cell>
          <cell r="I10477" t="str">
            <v>65 GL EOW NO RECY 1</v>
          </cell>
        </row>
        <row r="10478">
          <cell r="H10478" t="str">
            <v>SL065.0GEO001WREC</v>
          </cell>
          <cell r="I10478" t="str">
            <v>65 GL EOW W/RECY 1</v>
          </cell>
        </row>
        <row r="10479">
          <cell r="H10479" t="str">
            <v>SL095.0G1M001NOREC</v>
          </cell>
          <cell r="I10479" t="str">
            <v>95 GL 1X MO NO RECY 1</v>
          </cell>
        </row>
        <row r="10480">
          <cell r="H10480" t="str">
            <v>SL095.0G1M001WREC</v>
          </cell>
          <cell r="I10480" t="str">
            <v>95 GL 1X MO W/RECY 1</v>
          </cell>
        </row>
        <row r="10481">
          <cell r="H10481" t="str">
            <v>SL095.0G1W001NOREC</v>
          </cell>
          <cell r="I10481" t="str">
            <v>95 GL 1X WK NO RECY 1</v>
          </cell>
        </row>
        <row r="10482">
          <cell r="H10482" t="str">
            <v>SL095.0G1W001SPCLWREC</v>
          </cell>
          <cell r="I10482" t="str">
            <v>95 GL 1X WK S/D W/REC 1</v>
          </cell>
        </row>
        <row r="10483">
          <cell r="H10483" t="str">
            <v>SL095.0G1W001WREC</v>
          </cell>
          <cell r="I10483" t="str">
            <v>95 GL 1X WK W/RECY 1</v>
          </cell>
        </row>
        <row r="10484">
          <cell r="H10484" t="str">
            <v>SL095.0GEO001NOREC</v>
          </cell>
          <cell r="I10484" t="str">
            <v>95 GL EOW NO RECY 1</v>
          </cell>
        </row>
        <row r="10485">
          <cell r="H10485" t="str">
            <v>SL095.0GEO001WREC</v>
          </cell>
          <cell r="I10485" t="str">
            <v>95 GL EOW W/RECY 1</v>
          </cell>
        </row>
        <row r="10486">
          <cell r="H10486" t="str">
            <v>WI1-RES</v>
          </cell>
          <cell r="I10486" t="str">
            <v>WALK IN 6-25' - RES</v>
          </cell>
        </row>
        <row r="10487">
          <cell r="H10487" t="str">
            <v>WI2-RES</v>
          </cell>
          <cell r="I10487" t="str">
            <v>WALK IN 26-50' - RES</v>
          </cell>
        </row>
        <row r="10488">
          <cell r="H10488" t="str">
            <v>ADJ-RES</v>
          </cell>
          <cell r="I10488" t="str">
            <v>ADJUSTMENT SERVICE - RES</v>
          </cell>
        </row>
        <row r="10489">
          <cell r="H10489" t="str">
            <v>BULKY-RES</v>
          </cell>
          <cell r="I10489" t="str">
            <v>BULKY ITEM PICK UP - RES</v>
          </cell>
        </row>
        <row r="10490">
          <cell r="H10490" t="str">
            <v>EP96GWC-RES</v>
          </cell>
          <cell r="I10490" t="str">
            <v>EXTRA PICK UP 96 GW - RES</v>
          </cell>
        </row>
        <row r="10491">
          <cell r="H10491" t="str">
            <v>EXTRA-RES</v>
          </cell>
          <cell r="I10491" t="str">
            <v>EXTRA CAN, BAG, BOX - RES</v>
          </cell>
        </row>
        <row r="10492">
          <cell r="H10492" t="str">
            <v>EXTRA65-RES</v>
          </cell>
          <cell r="I10492" t="str">
            <v>EXTRA 65 GL RES</v>
          </cell>
        </row>
        <row r="10493">
          <cell r="H10493" t="str">
            <v>EXTRA95-RES</v>
          </cell>
          <cell r="I10493" t="str">
            <v>EXTRA 95 GL RES</v>
          </cell>
        </row>
        <row r="10494">
          <cell r="H10494" t="str">
            <v>EXTRAGWC-RES</v>
          </cell>
          <cell r="I10494" t="str">
            <v>EXTRA GREENWASTE FEE - RE</v>
          </cell>
        </row>
        <row r="10495">
          <cell r="H10495" t="str">
            <v>GWRES</v>
          </cell>
          <cell r="I10495" t="str">
            <v>GREENWASTE SERVICE - RES</v>
          </cell>
        </row>
        <row r="10496">
          <cell r="H10496" t="str">
            <v>OC-RES</v>
          </cell>
          <cell r="I10496" t="str">
            <v>ON CALL SERVICE - RES</v>
          </cell>
        </row>
        <row r="10497">
          <cell r="H10497" t="str">
            <v>OW-RES</v>
          </cell>
          <cell r="I10497" t="str">
            <v>OVERFILL / OVERWEIGHT CAN</v>
          </cell>
        </row>
        <row r="10498">
          <cell r="H10498" t="str">
            <v>RECPROGADJ-RES</v>
          </cell>
          <cell r="I10498" t="str">
            <v>RECYCLING PROGRAM ADJUSTM</v>
          </cell>
        </row>
        <row r="10499">
          <cell r="H10499" t="str">
            <v>RECVALRES</v>
          </cell>
          <cell r="I10499" t="str">
            <v>RECYCLABLES VALUE - RES</v>
          </cell>
        </row>
        <row r="10500">
          <cell r="H10500" t="str">
            <v>REDEL-RES</v>
          </cell>
          <cell r="I10500" t="str">
            <v>REDELIVER FEE - RES</v>
          </cell>
        </row>
        <row r="10501">
          <cell r="H10501" t="str">
            <v>REINSTATE-RES</v>
          </cell>
          <cell r="I10501" t="str">
            <v>REINSTATE FEE - RES</v>
          </cell>
        </row>
        <row r="10502">
          <cell r="H10502" t="str">
            <v>RTRNCART32-RES</v>
          </cell>
          <cell r="I10502" t="str">
            <v>RETURN TRIP 32 GL - RES</v>
          </cell>
        </row>
        <row r="10503">
          <cell r="H10503" t="str">
            <v>RTRNCART65-RES</v>
          </cell>
          <cell r="I10503" t="str">
            <v>RETURN TRIP 65 GL - RES</v>
          </cell>
        </row>
        <row r="10504">
          <cell r="H10504" t="str">
            <v>RTRNCART95-RES</v>
          </cell>
          <cell r="I10504" t="str">
            <v>RETURN TRIP 95 GL - RES</v>
          </cell>
        </row>
        <row r="10505">
          <cell r="H10505" t="str">
            <v>RTRNCART96REC-RES</v>
          </cell>
          <cell r="I10505" t="str">
            <v>RETURN TRIP 96 GL REC - RES</v>
          </cell>
        </row>
        <row r="10506">
          <cell r="H10506" t="str">
            <v>SL035.0G1W001WREC</v>
          </cell>
          <cell r="I10506" t="str">
            <v>35 GL 1X WK W/ RECY 1</v>
          </cell>
        </row>
        <row r="10507">
          <cell r="H10507" t="str">
            <v>SL065.0G1W001WREC</v>
          </cell>
          <cell r="I10507" t="str">
            <v>65 GL 1X WK W/RECY 1</v>
          </cell>
        </row>
        <row r="10508">
          <cell r="H10508" t="str">
            <v>SL065.0GEO001WREC</v>
          </cell>
          <cell r="I10508" t="str">
            <v>65 GL EOW W/RECY 1</v>
          </cell>
        </row>
        <row r="10509">
          <cell r="H10509" t="str">
            <v>SL095.0G1M001WREC</v>
          </cell>
          <cell r="I10509" t="str">
            <v>95 GL 1X MO W/RECY 1</v>
          </cell>
        </row>
        <row r="10510">
          <cell r="H10510" t="str">
            <v>SL095.0G1W001WREC</v>
          </cell>
          <cell r="I10510" t="str">
            <v>95 GL 1X WK W/RECY 1</v>
          </cell>
        </row>
        <row r="10511">
          <cell r="H10511" t="str">
            <v>SL095.0GEO001WREC</v>
          </cell>
          <cell r="I10511" t="str">
            <v>95 GL EOW W/RECY 1</v>
          </cell>
        </row>
        <row r="10512">
          <cell r="H10512" t="str">
            <v>TIME-RES</v>
          </cell>
          <cell r="I10512" t="str">
            <v>TIME FEE 1 - RES</v>
          </cell>
        </row>
        <row r="10513">
          <cell r="H10513" t="str">
            <v>UNRETURN-RES</v>
          </cell>
          <cell r="I10513" t="str">
            <v xml:space="preserve">CONTAINER UNRETURNED FEE </v>
          </cell>
        </row>
        <row r="10514">
          <cell r="H10514" t="str">
            <v>DRIVEIN-RES</v>
          </cell>
          <cell r="I10514" t="str">
            <v>DRIVE IN SERVICE - RES</v>
          </cell>
        </row>
        <row r="10515">
          <cell r="H10515" t="str">
            <v>GWRES</v>
          </cell>
          <cell r="I10515" t="str">
            <v>GREENWASTE SERVICE - RES</v>
          </cell>
        </row>
        <row r="10516">
          <cell r="H10516" t="str">
            <v>RECBINONLYR</v>
          </cell>
          <cell r="I10516" t="str">
            <v>RECYCLE SERVICE ONLY</v>
          </cell>
        </row>
        <row r="10517">
          <cell r="H10517" t="str">
            <v>RECPROGADJ-RES</v>
          </cell>
          <cell r="I10517" t="str">
            <v>RECYCLING PROGRAM ADJUSTM</v>
          </cell>
        </row>
        <row r="10518">
          <cell r="H10518" t="str">
            <v>RECVALRES</v>
          </cell>
          <cell r="I10518" t="str">
            <v>RECYCLABLES VALUE - RES</v>
          </cell>
        </row>
        <row r="10519">
          <cell r="H10519" t="str">
            <v>RL020.0G1W001</v>
          </cell>
          <cell r="I10519" t="str">
            <v>20 GL 1X WK 1</v>
          </cell>
        </row>
        <row r="10520">
          <cell r="H10520" t="str">
            <v>RL032.0G1W001NOREC</v>
          </cell>
          <cell r="I10520" t="str">
            <v>32 GL 1X WK NO RECY 1</v>
          </cell>
        </row>
        <row r="10521">
          <cell r="H10521" t="str">
            <v>RL032.0G1W001WREC</v>
          </cell>
          <cell r="I10521" t="str">
            <v>32 GL 1X WK W/RECY 1</v>
          </cell>
        </row>
        <row r="10522">
          <cell r="H10522" t="str">
            <v>RL032.0G1W002WREC</v>
          </cell>
          <cell r="I10522" t="str">
            <v>32 GL 1X WK W/RECY 2</v>
          </cell>
        </row>
        <row r="10523">
          <cell r="H10523" t="str">
            <v>SL035.0G1M001WREC</v>
          </cell>
          <cell r="I10523" t="str">
            <v>35 GL 1X MO W/RECY 1</v>
          </cell>
        </row>
        <row r="10524">
          <cell r="H10524" t="str">
            <v>SL035.0G1W001WREC</v>
          </cell>
          <cell r="I10524" t="str">
            <v>35 GL 1X WK W/ RECY 1</v>
          </cell>
        </row>
        <row r="10525">
          <cell r="H10525" t="str">
            <v>SL035.0GEO001WREC</v>
          </cell>
          <cell r="I10525" t="str">
            <v>35 GL EOW W/RECY 1</v>
          </cell>
        </row>
        <row r="10526">
          <cell r="H10526" t="str">
            <v>SL065.0G1M001WREC</v>
          </cell>
          <cell r="I10526" t="str">
            <v>65 GL 1X MO W/RECY 1</v>
          </cell>
        </row>
        <row r="10527">
          <cell r="H10527" t="str">
            <v>SL065.0G1W001NOREC</v>
          </cell>
          <cell r="I10527" t="str">
            <v>65 GL 1X WK NO RECY 1</v>
          </cell>
        </row>
        <row r="10528">
          <cell r="H10528" t="str">
            <v>SL065.0G1W001WREC</v>
          </cell>
          <cell r="I10528" t="str">
            <v>65 GL 1X WK W/RECY 1</v>
          </cell>
        </row>
        <row r="10529">
          <cell r="H10529" t="str">
            <v>SL065.0GEO001WREC</v>
          </cell>
          <cell r="I10529" t="str">
            <v>65 GL EOW W/RECY 1</v>
          </cell>
        </row>
        <row r="10530">
          <cell r="H10530" t="str">
            <v>SL095.0G1M001WREC</v>
          </cell>
          <cell r="I10530" t="str">
            <v>95 GL 1X MO W/RECY 1</v>
          </cell>
        </row>
        <row r="10531">
          <cell r="H10531" t="str">
            <v>SL095.0G1W001NOREC</v>
          </cell>
          <cell r="I10531" t="str">
            <v>95 GL 1X WK NO RECY 1</v>
          </cell>
        </row>
        <row r="10532">
          <cell r="H10532" t="str">
            <v>SL095.0G1W001WREC</v>
          </cell>
          <cell r="I10532" t="str">
            <v>95 GL 1X WK W/RECY 1</v>
          </cell>
        </row>
        <row r="10533">
          <cell r="H10533" t="str">
            <v>SL095.0GEO001NOREC</v>
          </cell>
          <cell r="I10533" t="str">
            <v>95 GL EOW NO RECY 1</v>
          </cell>
        </row>
        <row r="10534">
          <cell r="H10534" t="str">
            <v>SL095.0GEO001WREC</v>
          </cell>
          <cell r="I10534" t="str">
            <v>95 GL EOW W/RECY 1</v>
          </cell>
        </row>
        <row r="10535">
          <cell r="H10535" t="str">
            <v>WI1-RES</v>
          </cell>
          <cell r="I10535" t="str">
            <v>WALK IN 6-25' - RES</v>
          </cell>
        </row>
        <row r="10536">
          <cell r="H10536" t="str">
            <v>ADJ-RES</v>
          </cell>
          <cell r="I10536" t="str">
            <v>ADJUSTMENT SERVICE - RES</v>
          </cell>
        </row>
        <row r="10537">
          <cell r="H10537" t="str">
            <v>BULKY-RES</v>
          </cell>
          <cell r="I10537" t="str">
            <v>BULKY ITEM PICK UP - RES</v>
          </cell>
        </row>
        <row r="10538">
          <cell r="H10538" t="str">
            <v>DRIVEIN-RES</v>
          </cell>
          <cell r="I10538" t="str">
            <v>DRIVE IN SERVICE - RES</v>
          </cell>
        </row>
        <row r="10539">
          <cell r="H10539" t="str">
            <v>EP96GWC-RES</v>
          </cell>
          <cell r="I10539" t="str">
            <v>EXTRA PICK UP 96 GW - RES</v>
          </cell>
        </row>
        <row r="10540">
          <cell r="H10540" t="str">
            <v>EXTRA-RES</v>
          </cell>
          <cell r="I10540" t="str">
            <v>EXTRA CAN, BAG, BOX - RES</v>
          </cell>
        </row>
        <row r="10541">
          <cell r="H10541" t="str">
            <v>EXTRA65-RES</v>
          </cell>
          <cell r="I10541" t="str">
            <v>EXTRA 65 GL RES</v>
          </cell>
        </row>
        <row r="10542">
          <cell r="H10542" t="str">
            <v>EXTRA95-RES</v>
          </cell>
          <cell r="I10542" t="str">
            <v>EXTRA 95 GL RES</v>
          </cell>
        </row>
        <row r="10543">
          <cell r="H10543" t="str">
            <v>EXTRAGWC-RES</v>
          </cell>
          <cell r="I10543" t="str">
            <v>EXTRA GREENWASTE FEE - RE</v>
          </cell>
        </row>
        <row r="10544">
          <cell r="H10544" t="str">
            <v>GWRES</v>
          </cell>
          <cell r="I10544" t="str">
            <v>GREENWASTE SERVICE - RES</v>
          </cell>
        </row>
        <row r="10545">
          <cell r="H10545" t="str">
            <v>OC-RES</v>
          </cell>
          <cell r="I10545" t="str">
            <v>ON CALL SERVICE - RES</v>
          </cell>
        </row>
        <row r="10546">
          <cell r="H10546" t="str">
            <v>OS-RES</v>
          </cell>
          <cell r="I10546" t="str">
            <v>OVERSIZE CAN - RES</v>
          </cell>
        </row>
        <row r="10547">
          <cell r="H10547" t="str">
            <v>OW-RES</v>
          </cell>
          <cell r="I10547" t="str">
            <v>OVERFILL / OVERWEIGHT CAN</v>
          </cell>
        </row>
        <row r="10548">
          <cell r="H10548" t="str">
            <v>RECBINONLYR</v>
          </cell>
          <cell r="I10548" t="str">
            <v>RECYCLE SERVICE ONLY</v>
          </cell>
        </row>
        <row r="10549">
          <cell r="H10549" t="str">
            <v>RECPROGADJ-RES</v>
          </cell>
          <cell r="I10549" t="str">
            <v>RECYCLING PROGRAM ADJUSTM</v>
          </cell>
        </row>
        <row r="10550">
          <cell r="H10550" t="str">
            <v>RECVALRES</v>
          </cell>
          <cell r="I10550" t="str">
            <v>RECYCLABLES VALUE - RES</v>
          </cell>
        </row>
        <row r="10551">
          <cell r="H10551" t="str">
            <v>REDEL-RES</v>
          </cell>
          <cell r="I10551" t="str">
            <v>REDELIVER FEE - RES</v>
          </cell>
        </row>
        <row r="10552">
          <cell r="H10552" t="str">
            <v>REINSTATE-RES</v>
          </cell>
          <cell r="I10552" t="str">
            <v>REINSTATE FEE - RES</v>
          </cell>
        </row>
        <row r="10553">
          <cell r="H10553" t="str">
            <v>RTRNCART32-RES</v>
          </cell>
          <cell r="I10553" t="str">
            <v>RETURN TRIP 32 GL - RES</v>
          </cell>
        </row>
        <row r="10554">
          <cell r="H10554" t="str">
            <v>RTRNCART65-RES</v>
          </cell>
          <cell r="I10554" t="str">
            <v>RETURN TRIP 65 GL - RES</v>
          </cell>
        </row>
        <row r="10555">
          <cell r="H10555" t="str">
            <v>RTRNCART95-RES</v>
          </cell>
          <cell r="I10555" t="str">
            <v>RETURN TRIP 95 GL - RES</v>
          </cell>
        </row>
        <row r="10556">
          <cell r="H10556" t="str">
            <v>RTRNCART96REC-RES</v>
          </cell>
          <cell r="I10556" t="str">
            <v>RETURN TRIP 96 GL REC - RES</v>
          </cell>
        </row>
        <row r="10557">
          <cell r="H10557" t="str">
            <v>SL035.0G1W001WREC</v>
          </cell>
          <cell r="I10557" t="str">
            <v>35 GL 1X WK W/ RECY 1</v>
          </cell>
        </row>
        <row r="10558">
          <cell r="H10558" t="str">
            <v>SL035.0GEO001WREC</v>
          </cell>
          <cell r="I10558" t="str">
            <v>35 GL EOW W/RECY 1</v>
          </cell>
        </row>
        <row r="10559">
          <cell r="H10559" t="str">
            <v>SL065.0G1M001WREC</v>
          </cell>
          <cell r="I10559" t="str">
            <v>65 GL 1X MO W/RECY 1</v>
          </cell>
        </row>
        <row r="10560">
          <cell r="H10560" t="str">
            <v>SL065.0G1W001WREC</v>
          </cell>
          <cell r="I10560" t="str">
            <v>65 GL 1X WK W/RECY 1</v>
          </cell>
        </row>
        <row r="10561">
          <cell r="H10561" t="str">
            <v>SL065.0GEO001WREC</v>
          </cell>
          <cell r="I10561" t="str">
            <v>65 GL EOW W/RECY 1</v>
          </cell>
        </row>
        <row r="10562">
          <cell r="H10562" t="str">
            <v>SL095.0G1W001WREC</v>
          </cell>
          <cell r="I10562" t="str">
            <v>95 GL 1X WK W/RECY 1</v>
          </cell>
        </row>
        <row r="10563">
          <cell r="H10563" t="str">
            <v>SL095.0GEO001WREC</v>
          </cell>
          <cell r="I10563" t="str">
            <v>95 GL EOW W/RECY 1</v>
          </cell>
        </row>
        <row r="10564">
          <cell r="H10564" t="str">
            <v>SPCLREC-RES</v>
          </cell>
          <cell r="I10564" t="str">
            <v>SPECIAL RECYCLE - RES</v>
          </cell>
        </row>
        <row r="10565">
          <cell r="H10565" t="str">
            <v>TIME-RES</v>
          </cell>
          <cell r="I10565" t="str">
            <v>TIME FEE 1 - RES</v>
          </cell>
        </row>
        <row r="10566">
          <cell r="H10566" t="str">
            <v>UNRETURN-RES</v>
          </cell>
          <cell r="I10566" t="str">
            <v xml:space="preserve">CONTAINER UNRETURNED FEE </v>
          </cell>
        </row>
        <row r="10567">
          <cell r="H10567" t="str">
            <v>DRIVEIN-RES</v>
          </cell>
          <cell r="I10567" t="str">
            <v>DRIVE IN SERVICE - RES</v>
          </cell>
        </row>
        <row r="10568">
          <cell r="H10568" t="str">
            <v>EMPLOYEER</v>
          </cell>
          <cell r="I10568" t="str">
            <v>EMPLOYEE SERVICE RES</v>
          </cell>
        </row>
        <row r="10569">
          <cell r="H10569" t="str">
            <v>GWRES</v>
          </cell>
          <cell r="I10569" t="str">
            <v>GREENWASTE SERVICE - RES</v>
          </cell>
        </row>
        <row r="10570">
          <cell r="H10570" t="str">
            <v>SL035.0G1W001WREC</v>
          </cell>
          <cell r="I10570" t="str">
            <v>35 GL 1X WK W/ RECY 1</v>
          </cell>
        </row>
        <row r="10571">
          <cell r="H10571" t="str">
            <v>SL095.0G1W001WREC</v>
          </cell>
          <cell r="I10571" t="str">
            <v>95 GL 1X WK W/RECY 1</v>
          </cell>
        </row>
        <row r="10572">
          <cell r="H10572" t="str">
            <v>BULKY-RES</v>
          </cell>
          <cell r="I10572" t="str">
            <v>BULKY ITEM PICK UP - RES</v>
          </cell>
        </row>
        <row r="10573">
          <cell r="H10573" t="str">
            <v>DISP-RES</v>
          </cell>
          <cell r="I10573" t="str">
            <v>DISPOSAL FEE -RES</v>
          </cell>
        </row>
        <row r="10574">
          <cell r="H10574" t="str">
            <v>DISPCMGL-RES</v>
          </cell>
          <cell r="I10574" t="str">
            <v>DISPOSAL COMINGLE - RES</v>
          </cell>
        </row>
        <row r="10575">
          <cell r="H10575" t="str">
            <v>DISPFEDMSW-RES</v>
          </cell>
          <cell r="I10575" t="str">
            <v>DISPOSAL FEDERAL MSW - RE</v>
          </cell>
        </row>
        <row r="10576">
          <cell r="H10576" t="str">
            <v>DISPGW-RES</v>
          </cell>
          <cell r="I10576" t="str">
            <v>DISPOSAL FEE GREENWASTE -</v>
          </cell>
        </row>
        <row r="10577">
          <cell r="H10577" t="str">
            <v>EXTRA-RES</v>
          </cell>
          <cell r="I10577" t="str">
            <v>EXTRA CAN, BAG, BOX - RES</v>
          </cell>
        </row>
        <row r="10578">
          <cell r="H10578" t="str">
            <v>EXTRAGWC-RES</v>
          </cell>
          <cell r="I10578" t="str">
            <v>EXTRA GREENWASTE FEE - RE</v>
          </cell>
        </row>
        <row r="10579">
          <cell r="H10579" t="str">
            <v>OW-RES</v>
          </cell>
          <cell r="I10579" t="str">
            <v>OVERFILL / OVERWEIGHT CAN</v>
          </cell>
        </row>
        <row r="10580">
          <cell r="H10580" t="str">
            <v>REINSTATE-RES</v>
          </cell>
          <cell r="I10580" t="str">
            <v>REINSTATE FEE - RES</v>
          </cell>
        </row>
        <row r="10581">
          <cell r="H10581" t="str">
            <v>RTRNCART96REC-RES</v>
          </cell>
          <cell r="I10581" t="str">
            <v>RETURN TRIP 96 GL REC - RES</v>
          </cell>
        </row>
        <row r="10582">
          <cell r="H10582" t="str">
            <v>SL035.0G1W001WREC</v>
          </cell>
          <cell r="I10582" t="str">
            <v>35 GL 1X WK W/ RECY 1</v>
          </cell>
        </row>
        <row r="10583">
          <cell r="H10583" t="str">
            <v>SL065.0G1W001WREC</v>
          </cell>
          <cell r="I10583" t="str">
            <v>65 GL 1X WK W/RECY 1</v>
          </cell>
        </row>
        <row r="10584">
          <cell r="H10584" t="str">
            <v>SL095.0G1W001WREC</v>
          </cell>
          <cell r="I10584" t="str">
            <v>95 GL 1X WK W/RECY 1</v>
          </cell>
        </row>
        <row r="10585">
          <cell r="H10585" t="str">
            <v>TIME-RES</v>
          </cell>
          <cell r="I10585" t="str">
            <v>TIME FEE 1 - RES</v>
          </cell>
        </row>
        <row r="10586">
          <cell r="H10586" t="str">
            <v>DISP-RES</v>
          </cell>
          <cell r="I10586" t="str">
            <v>DISPOSAL FEE -RES</v>
          </cell>
        </row>
        <row r="10587">
          <cell r="H10587" t="str">
            <v>DISPCMGL-RES</v>
          </cell>
          <cell r="I10587" t="str">
            <v>DISPOSAL COMINGLE - RES</v>
          </cell>
        </row>
        <row r="10588">
          <cell r="H10588" t="str">
            <v>DISPGW-RES</v>
          </cell>
          <cell r="I10588" t="str">
            <v>DISPOSAL FEE GREENWASTE -</v>
          </cell>
        </row>
        <row r="10589">
          <cell r="H10589" t="str">
            <v>OW-RES</v>
          </cell>
          <cell r="I10589" t="str">
            <v>OVERFILL / OVERWEIGHT CAN</v>
          </cell>
        </row>
        <row r="10590">
          <cell r="H10590" t="str">
            <v>TIME-RES</v>
          </cell>
          <cell r="I10590" t="str">
            <v>TIME FEE 1 - RES</v>
          </cell>
        </row>
        <row r="10591">
          <cell r="H10591" t="str">
            <v>HAUL20-RO</v>
          </cell>
          <cell r="I10591" t="str">
            <v>HAUL 20 YD - RO</v>
          </cell>
        </row>
        <row r="10592">
          <cell r="H10592" t="str">
            <v>LIDRO</v>
          </cell>
          <cell r="I10592" t="str">
            <v>LID CHARGE - RO</v>
          </cell>
        </row>
        <row r="10593">
          <cell r="H10593" t="str">
            <v>RENT10MO-RO</v>
          </cell>
          <cell r="I10593" t="str">
            <v>RENTAL FEE 10 YD MONTHLY</v>
          </cell>
        </row>
        <row r="10594">
          <cell r="H10594" t="str">
            <v>RENT20MO-RO</v>
          </cell>
          <cell r="I10594" t="str">
            <v>RENTAL FEE 20 YD MONTHLY</v>
          </cell>
        </row>
        <row r="10595">
          <cell r="H10595" t="str">
            <v>RENT20TEMP-RO</v>
          </cell>
          <cell r="I10595" t="str">
            <v>RENTAL FEE 20 YD TEMP - R</v>
          </cell>
        </row>
        <row r="10596">
          <cell r="H10596" t="str">
            <v>RENT30MO-RO</v>
          </cell>
          <cell r="I10596" t="str">
            <v>RENTAL FEE 30 YD MONTHLY</v>
          </cell>
        </row>
        <row r="10597">
          <cell r="H10597" t="str">
            <v>RENT30TEMP-RO</v>
          </cell>
          <cell r="I10597" t="str">
            <v>RENTAL FEE 30 YD TEMP - R</v>
          </cell>
        </row>
        <row r="10598">
          <cell r="H10598" t="str">
            <v>RENT40MO-RO</v>
          </cell>
          <cell r="I10598" t="str">
            <v>RENTAL FEE 40 YD MONTHLY</v>
          </cell>
        </row>
        <row r="10599">
          <cell r="H10599" t="str">
            <v>RENT40TEMP-RO</v>
          </cell>
          <cell r="I10599" t="str">
            <v>RENTAL FEE 40 YD TEMP - R</v>
          </cell>
        </row>
        <row r="10600">
          <cell r="H10600" t="str">
            <v>CLEAN20-RO</v>
          </cell>
          <cell r="I10600" t="str">
            <v>CLEANING FEE 20 YD - RO</v>
          </cell>
        </row>
        <row r="10601">
          <cell r="H10601" t="str">
            <v>CLEAN30-RO</v>
          </cell>
          <cell r="I10601" t="str">
            <v>CLEANING FEE 30 YD - RO</v>
          </cell>
        </row>
        <row r="10602">
          <cell r="H10602" t="str">
            <v>DEL20-RO</v>
          </cell>
          <cell r="I10602" t="str">
            <v>DELIVERY FEE 20 YD - RO</v>
          </cell>
        </row>
        <row r="10603">
          <cell r="H10603" t="str">
            <v>DEL20TEMP-RO</v>
          </cell>
          <cell r="I10603" t="str">
            <v>DELIVERY FEE 20 YD TEMP -</v>
          </cell>
        </row>
        <row r="10604">
          <cell r="H10604" t="str">
            <v>DEL30TEMP-RO</v>
          </cell>
          <cell r="I10604" t="str">
            <v>DELIVERY FEE 30 YD TEMP -</v>
          </cell>
        </row>
        <row r="10605">
          <cell r="H10605" t="str">
            <v>DEL40-RO</v>
          </cell>
          <cell r="I10605" t="str">
            <v>DELIVERY FEE 40 YD - RO</v>
          </cell>
        </row>
        <row r="10606">
          <cell r="H10606" t="str">
            <v>DEL40TEMP-RO</v>
          </cell>
          <cell r="I10606" t="str">
            <v>DELIVERY FEE 40 YD TEMP -</v>
          </cell>
        </row>
        <row r="10607">
          <cell r="H10607" t="str">
            <v>DISCO-CP</v>
          </cell>
          <cell r="I10607" t="str">
            <v xml:space="preserve">COMPACTOR DISCONNECT FEE </v>
          </cell>
        </row>
        <row r="10608">
          <cell r="H10608" t="str">
            <v>DISP-DONATION</v>
          </cell>
          <cell r="I10608" t="str">
            <v>DONATED DISPOSAL</v>
          </cell>
        </row>
        <row r="10609">
          <cell r="H10609" t="str">
            <v>DISP-RO</v>
          </cell>
          <cell r="I10609" t="str">
            <v>DISPOSAL CHARGE - RO</v>
          </cell>
        </row>
        <row r="10610">
          <cell r="H10610" t="str">
            <v>DISPCMGL-RO</v>
          </cell>
          <cell r="I10610" t="str">
            <v xml:space="preserve">DISPOSAL FEE COMMINGLE - </v>
          </cell>
        </row>
        <row r="10611">
          <cell r="H10611" t="str">
            <v>DISPFEDMSW-RO</v>
          </cell>
          <cell r="I10611" t="str">
            <v xml:space="preserve">DISPOSAL FEE FEDERAL MSW </v>
          </cell>
        </row>
        <row r="10612">
          <cell r="H10612" t="str">
            <v>DISPMATT-RO</v>
          </cell>
          <cell r="I10612" t="str">
            <v>DISPOSAL MATTRESSES - RO</v>
          </cell>
        </row>
        <row r="10613">
          <cell r="H10613" t="str">
            <v>DISPMETAL-RO</v>
          </cell>
          <cell r="I10613" t="str">
            <v>DISPOSAL FEE METAL - RO</v>
          </cell>
        </row>
        <row r="10614">
          <cell r="H10614" t="str">
            <v>DISPTIRES-RO</v>
          </cell>
          <cell r="I10614" t="str">
            <v>DISPOSAL FEE TIRES - RO</v>
          </cell>
        </row>
        <row r="10615">
          <cell r="H10615" t="str">
            <v>DISPTOTERS-RO</v>
          </cell>
          <cell r="I10615" t="str">
            <v>DISPOSAL FEE TOTERS</v>
          </cell>
        </row>
        <row r="10616">
          <cell r="H10616" t="str">
            <v>DISPTRANS-RO</v>
          </cell>
          <cell r="I10616" t="str">
            <v>DISPOSAL FEE TRANSFER HAU</v>
          </cell>
        </row>
        <row r="10617">
          <cell r="H10617" t="str">
            <v>EXWGHT-RO</v>
          </cell>
          <cell r="I10617" t="str">
            <v>EXCESS WEIGHT - RO</v>
          </cell>
        </row>
        <row r="10618">
          <cell r="H10618" t="str">
            <v>FERRY-RO</v>
          </cell>
          <cell r="I10618" t="str">
            <v>FERRY FEE - RO</v>
          </cell>
        </row>
        <row r="10619">
          <cell r="H10619" t="str">
            <v>FINAL20-RO</v>
          </cell>
          <cell r="I10619" t="str">
            <v>FINAL PULL 20 YD - RO</v>
          </cell>
        </row>
        <row r="10620">
          <cell r="H10620" t="str">
            <v>FINAL20TEMP-RO</v>
          </cell>
          <cell r="I10620" t="str">
            <v>FINAL PULL 20 YD TEMP - R</v>
          </cell>
        </row>
        <row r="10621">
          <cell r="H10621" t="str">
            <v>FINAL30TEMP-RO</v>
          </cell>
          <cell r="I10621" t="str">
            <v>FINAL PULL 30 YD TEMP - R</v>
          </cell>
        </row>
        <row r="10622">
          <cell r="H10622" t="str">
            <v>FINAL40-RO</v>
          </cell>
          <cell r="I10622" t="str">
            <v>FINAL PULL 40 YD - RO</v>
          </cell>
        </row>
        <row r="10623">
          <cell r="H10623" t="str">
            <v>FINAL40TEMP-RO</v>
          </cell>
          <cell r="I10623" t="str">
            <v>FINAL PULL 40 YD TEMP - R</v>
          </cell>
        </row>
        <row r="10624">
          <cell r="H10624" t="str">
            <v>HAUL10-CP</v>
          </cell>
          <cell r="I10624" t="str">
            <v>COMPACTOR HAUL 10 YD - RO</v>
          </cell>
        </row>
        <row r="10625">
          <cell r="H10625" t="str">
            <v>HAUL20-CP</v>
          </cell>
          <cell r="I10625" t="str">
            <v>COMPACTOR HAUL 20 YD - RO</v>
          </cell>
        </row>
        <row r="10626">
          <cell r="H10626" t="str">
            <v>HAUL20-RO</v>
          </cell>
          <cell r="I10626" t="str">
            <v>HAUL 20 YD - RO</v>
          </cell>
        </row>
        <row r="10627">
          <cell r="H10627" t="str">
            <v>HAUL20CUST-RO</v>
          </cell>
          <cell r="I10627" t="str">
            <v>HAUL 20 YD CUST - RO</v>
          </cell>
        </row>
        <row r="10628">
          <cell r="H10628" t="str">
            <v>HAUL20TEMP-RO</v>
          </cell>
          <cell r="I10628" t="str">
            <v>HAUL 20 YD TEMP - RO</v>
          </cell>
        </row>
        <row r="10629">
          <cell r="H10629" t="str">
            <v>HAUL25-CP</v>
          </cell>
          <cell r="I10629" t="str">
            <v>COMPACTOR HAUL 25 YD - RO</v>
          </cell>
        </row>
        <row r="10630">
          <cell r="H10630" t="str">
            <v>HAUL30-CP</v>
          </cell>
          <cell r="I10630" t="str">
            <v>COMPACTOR HAUL 30 YD</v>
          </cell>
        </row>
        <row r="10631">
          <cell r="H10631" t="str">
            <v>HAUL30-RO</v>
          </cell>
          <cell r="I10631" t="str">
            <v>HAUL 30 YD - RO</v>
          </cell>
        </row>
        <row r="10632">
          <cell r="H10632" t="str">
            <v>HAUL30TEMP-RO</v>
          </cell>
          <cell r="I10632" t="str">
            <v>HAUL 30 YD TEMP - RO</v>
          </cell>
        </row>
        <row r="10633">
          <cell r="H10633" t="str">
            <v>HAUL40-CP</v>
          </cell>
          <cell r="I10633" t="str">
            <v>COMPACTOR HAUL 40 YD</v>
          </cell>
        </row>
        <row r="10634">
          <cell r="H10634" t="str">
            <v>HAUL40-RO</v>
          </cell>
          <cell r="I10634" t="str">
            <v>HAUL 40 YD - RO</v>
          </cell>
        </row>
        <row r="10635">
          <cell r="H10635" t="str">
            <v>HAUL40TEMP-RO</v>
          </cell>
          <cell r="I10635" t="str">
            <v>HAUL 40 YD TEMP - RO</v>
          </cell>
        </row>
        <row r="10636">
          <cell r="H10636" t="str">
            <v>MILE-RO</v>
          </cell>
          <cell r="I10636" t="str">
            <v>MILEAGE FEE - RO</v>
          </cell>
        </row>
        <row r="10637">
          <cell r="H10637" t="str">
            <v>RENT20MO-RO</v>
          </cell>
          <cell r="I10637" t="str">
            <v>RENTAL FEE 20 YD MONTHLY</v>
          </cell>
        </row>
        <row r="10638">
          <cell r="H10638" t="str">
            <v>RENT20TEMP-RO</v>
          </cell>
          <cell r="I10638" t="str">
            <v>RENTAL FEE 20 YD TEMP - R</v>
          </cell>
        </row>
        <row r="10639">
          <cell r="H10639" t="str">
            <v>RENT30TEMP-RO</v>
          </cell>
          <cell r="I10639" t="str">
            <v>RENTAL FEE 30 YD TEMP - R</v>
          </cell>
        </row>
        <row r="10640">
          <cell r="H10640" t="str">
            <v>RENT40TEMP-RO</v>
          </cell>
          <cell r="I10640" t="str">
            <v>RENTAL FEE 40 YD TEMP - R</v>
          </cell>
        </row>
        <row r="10641">
          <cell r="H10641" t="str">
            <v>RTRNTRIP-RO</v>
          </cell>
          <cell r="I10641" t="str">
            <v>RETURN TRIP FEE - RO</v>
          </cell>
        </row>
        <row r="10642">
          <cell r="H10642" t="str">
            <v>TIME-RO</v>
          </cell>
          <cell r="I10642" t="str">
            <v>TIME FEE - RO</v>
          </cell>
        </row>
        <row r="10643">
          <cell r="H10643" t="str">
            <v>DEL20TEMP-RO</v>
          </cell>
          <cell r="I10643" t="str">
            <v>DELIVERY FEE 20 YD TEMP -</v>
          </cell>
        </row>
        <row r="10644">
          <cell r="H10644" t="str">
            <v>DISP-RO</v>
          </cell>
          <cell r="I10644" t="str">
            <v>DISPOSAL CHARGE - RO</v>
          </cell>
        </row>
        <row r="10645">
          <cell r="H10645" t="str">
            <v>FINAL20TEMP-RO</v>
          </cell>
          <cell r="I10645" t="str">
            <v>FINAL PULL 20 YD TEMP - R</v>
          </cell>
        </row>
        <row r="10646">
          <cell r="H10646" t="str">
            <v>MILE-RO</v>
          </cell>
          <cell r="I10646" t="str">
            <v>MILEAGE FEE - RO</v>
          </cell>
        </row>
        <row r="10647">
          <cell r="H10647" t="str">
            <v>RENT20TEMP-RO</v>
          </cell>
          <cell r="I10647" t="str">
            <v>RENTAL FEE 20 YD TEMP - R</v>
          </cell>
        </row>
        <row r="10648">
          <cell r="H10648" t="str">
            <v>COMMODITY SURCHARGE</v>
          </cell>
          <cell r="I10648" t="str">
            <v>COMMODITY SURCHARGE</v>
          </cell>
        </row>
        <row r="10649">
          <cell r="H10649" t="str">
            <v>COMMODITY SURCHARGE</v>
          </cell>
          <cell r="I10649" t="str">
            <v>COMMODITY SURCHARGE</v>
          </cell>
        </row>
        <row r="10650">
          <cell r="H10650" t="str">
            <v>COMMODITY SURCHARGE</v>
          </cell>
          <cell r="I10650" t="str">
            <v>COMMODITY SURCHARGE</v>
          </cell>
        </row>
        <row r="10651">
          <cell r="H10651" t="str">
            <v xml:space="preserve">PIERCE COUNTY REFUSE </v>
          </cell>
          <cell r="I10651" t="str">
            <v>3.6% PIERCE COUNTY REFUSE</v>
          </cell>
        </row>
        <row r="10652">
          <cell r="H10652" t="str">
            <v xml:space="preserve">PIERCE COUNTY REFUSE  </v>
          </cell>
          <cell r="I10652" t="str">
            <v>3.6% PIERCE COUNTY REFUSE</v>
          </cell>
        </row>
        <row r="10653">
          <cell r="H10653" t="str">
            <v>PIERCE REFUSE TAX</v>
          </cell>
          <cell r="I10653" t="str">
            <v>3.6% WA STATE REFUSE TAX</v>
          </cell>
        </row>
        <row r="10654">
          <cell r="H10654" t="str">
            <v xml:space="preserve">PIERCE COUNTY REFUSE </v>
          </cell>
          <cell r="I10654" t="str">
            <v>3.6% PIERCE COUNTY REFUSE</v>
          </cell>
        </row>
        <row r="10655">
          <cell r="H10655" t="str">
            <v xml:space="preserve">PIERCE COUNTY REFUSE  </v>
          </cell>
          <cell r="I10655" t="str">
            <v>3.6% PIERCE COUNTY REFUSE</v>
          </cell>
        </row>
        <row r="10656">
          <cell r="H10656" t="str">
            <v>PIERCE COUNTY REFUSE</v>
          </cell>
          <cell r="I10656" t="str">
            <v>3.6% PIERCE COUNTY REFUSE</v>
          </cell>
        </row>
        <row r="10657">
          <cell r="H10657" t="str">
            <v>PIERCE COUNTY SALES 7.9%</v>
          </cell>
          <cell r="I10657" t="str">
            <v>7.9% WA STATE SALES TAX</v>
          </cell>
        </row>
        <row r="10658">
          <cell r="H10658" t="str">
            <v>PIERCE COUNTY SALES 9.3%</v>
          </cell>
          <cell r="I10658" t="str">
            <v>9.3% WA STATE SALES TAX</v>
          </cell>
        </row>
        <row r="10659">
          <cell r="H10659" t="str">
            <v>PIERCE REFUSE TAX</v>
          </cell>
          <cell r="I10659" t="str">
            <v>3.6% WA STATE REFUSE TAX</v>
          </cell>
        </row>
        <row r="10660">
          <cell r="H10660" t="str">
            <v>PIERCE STATE SALES TAX</v>
          </cell>
          <cell r="I10660" t="str">
            <v>9.9% WA STATE SALES TAX</v>
          </cell>
        </row>
        <row r="10661">
          <cell r="H10661" t="str">
            <v xml:space="preserve">PIERCE COUNTY REFUSE  </v>
          </cell>
          <cell r="I10661" t="str">
            <v>3.6% PIERCE COUNTY REFUSE</v>
          </cell>
        </row>
        <row r="10662">
          <cell r="H10662" t="str">
            <v>PIERCE REFUSE TAX</v>
          </cell>
          <cell r="I10662" t="str">
            <v>3.6% WA STATE REFUSE TAX</v>
          </cell>
        </row>
        <row r="10663">
          <cell r="H10663" t="str">
            <v>PIERCE STATE SALES TAX</v>
          </cell>
          <cell r="I10663" t="str">
            <v>9.9% WA STATE SALES TAX</v>
          </cell>
        </row>
        <row r="10664">
          <cell r="H10664" t="str">
            <v xml:space="preserve">PIERCE COUNTY REFUSE </v>
          </cell>
          <cell r="I10664" t="str">
            <v>3.6% PIERCE COUNTY REFUSE</v>
          </cell>
        </row>
        <row r="10665">
          <cell r="H10665" t="str">
            <v xml:space="preserve">PIERCE COUNTY REFUSE  </v>
          </cell>
          <cell r="I10665" t="str">
            <v>3.6% PIERCE COUNTY REFUSE</v>
          </cell>
        </row>
        <row r="10666">
          <cell r="H10666" t="str">
            <v>PIERCE COUNTY REFUSE</v>
          </cell>
          <cell r="I10666" t="str">
            <v>3.6% PIERCE COUNTY REFUSE</v>
          </cell>
        </row>
        <row r="10667">
          <cell r="H10667" t="str">
            <v>PIERCE REFUSE TAX</v>
          </cell>
          <cell r="I10667" t="str">
            <v>3.6% WA STATE REFUSE TAX</v>
          </cell>
        </row>
        <row r="10668">
          <cell r="H10668" t="str">
            <v>LAKEWOOD CITY UTILITY TAX</v>
          </cell>
          <cell r="I10668" t="str">
            <v>6% CITY UTILITY TAX</v>
          </cell>
        </row>
        <row r="10669">
          <cell r="H10669" t="str">
            <v>LAKEWOOD REFUSE TAX</v>
          </cell>
          <cell r="I10669" t="str">
            <v>3.6% WA STATE REFUSE TAX</v>
          </cell>
        </row>
        <row r="10670">
          <cell r="H10670" t="str">
            <v xml:space="preserve">PIERCE COUNTY REFUSE </v>
          </cell>
          <cell r="I10670" t="str">
            <v>3.6% PIERCE COUNTY REFUSE</v>
          </cell>
        </row>
        <row r="10671">
          <cell r="H10671" t="str">
            <v xml:space="preserve">PIERCE COUNTY REFUSE  </v>
          </cell>
          <cell r="I10671" t="str">
            <v>3.6% PIERCE COUNTY REFUSE</v>
          </cell>
        </row>
        <row r="10672">
          <cell r="H10672" t="str">
            <v>PIERCE COUNTY REFUSE</v>
          </cell>
          <cell r="I10672" t="str">
            <v>3.6% PIERCE COUNTY REFUSE</v>
          </cell>
        </row>
        <row r="10673">
          <cell r="H10673" t="str">
            <v>PIERCE COUNTY SALES 9.3%</v>
          </cell>
          <cell r="I10673" t="str">
            <v>9.3% WA STATE SALES TAX</v>
          </cell>
        </row>
        <row r="10674">
          <cell r="H10674" t="str">
            <v>PIERCE REFUSE TAX</v>
          </cell>
          <cell r="I10674" t="str">
            <v>3.6% WA STATE REFUSE TAX</v>
          </cell>
        </row>
        <row r="10675">
          <cell r="H10675" t="str">
            <v xml:space="preserve">PIERCE COUNTY REFUSE </v>
          </cell>
          <cell r="I10675" t="str">
            <v>3.6% PIERCE COUNTY REFUSE</v>
          </cell>
        </row>
        <row r="10676">
          <cell r="H10676" t="str">
            <v xml:space="preserve">PIERCE COUNTY REFUSE  </v>
          </cell>
          <cell r="I10676" t="str">
            <v>3.6% PIERCE COUNTY REFUSE</v>
          </cell>
        </row>
        <row r="10677">
          <cell r="H10677" t="str">
            <v>PIERCE COUNTY REFUSE</v>
          </cell>
          <cell r="I10677" t="str">
            <v>3.6% PIERCE COUNTY REFUSE</v>
          </cell>
        </row>
        <row r="10678">
          <cell r="H10678" t="str">
            <v>PIERCE REFUSE TAX</v>
          </cell>
          <cell r="I10678" t="str">
            <v>3.6% WA STATE REFUSE TAX</v>
          </cell>
        </row>
        <row r="10679">
          <cell r="H10679" t="str">
            <v>PIERCE REFUSE TAX</v>
          </cell>
          <cell r="I10679" t="str">
            <v>3.6% WA STATE REFUSE TAX</v>
          </cell>
        </row>
        <row r="10680">
          <cell r="H10680" t="str">
            <v>FT LEWIS REFUSE TAX</v>
          </cell>
          <cell r="I10680" t="str">
            <v>3.6% WA STATE REFUSE TAX</v>
          </cell>
        </row>
        <row r="10681">
          <cell r="H10681" t="str">
            <v xml:space="preserve">PIERCE COUNTY REFUSE  </v>
          </cell>
          <cell r="I10681" t="str">
            <v>3.6% PIERCE COUNTY REFUSE</v>
          </cell>
        </row>
        <row r="10682">
          <cell r="H10682" t="str">
            <v xml:space="preserve">PIERCE COUNTY REFUSE </v>
          </cell>
          <cell r="I10682" t="str">
            <v>3.6% PIERCE COUNTY REFUSE</v>
          </cell>
        </row>
        <row r="10683">
          <cell r="H10683" t="str">
            <v xml:space="preserve">PIERCE COUNTY REFUSE  </v>
          </cell>
          <cell r="I10683" t="str">
            <v>3.6% PIERCE COUNTY REFUSE</v>
          </cell>
        </row>
        <row r="10684">
          <cell r="H10684" t="str">
            <v>PIERCE COUNTY SALES 7.9%</v>
          </cell>
          <cell r="I10684" t="str">
            <v>7.9% WA STATE SALES TAX</v>
          </cell>
        </row>
        <row r="10685">
          <cell r="H10685" t="str">
            <v>PIERCE COUNTY SALES 9.3%</v>
          </cell>
          <cell r="I10685" t="str">
            <v>9.3% WA STATE SALES TAX</v>
          </cell>
        </row>
        <row r="10686">
          <cell r="H10686" t="str">
            <v xml:space="preserve">PIERCE COUNTY REFUSE </v>
          </cell>
          <cell r="I10686" t="str">
            <v>3.6% PIERCE COUNTY REFUSE</v>
          </cell>
        </row>
        <row r="10687">
          <cell r="H10687" t="str">
            <v xml:space="preserve">PIERCE COUNTY REFUSE  </v>
          </cell>
          <cell r="I10687" t="str">
            <v>3.6% PIERCE COUNTY REFUSE</v>
          </cell>
        </row>
        <row r="10688">
          <cell r="H10688" t="str">
            <v>PIERCE COUNTY SALES 7.9%</v>
          </cell>
          <cell r="I10688" t="str">
            <v>7.9% WA STATE SALES TAX</v>
          </cell>
        </row>
        <row r="10689">
          <cell r="H10689" t="str">
            <v>PIERCE COUNTY SALES 9.3%</v>
          </cell>
          <cell r="I10689" t="str">
            <v>9.3% WA STATE SALES TAX</v>
          </cell>
        </row>
        <row r="10690">
          <cell r="H10690" t="str">
            <v>PIERCE REFUSE TAX</v>
          </cell>
          <cell r="I10690" t="str">
            <v>3.6% WA STATE REFUSE TAX</v>
          </cell>
        </row>
        <row r="10691">
          <cell r="H10691" t="str">
            <v>PIERCE STATE SALES TAX</v>
          </cell>
          <cell r="I10691" t="str">
            <v>9.9% WA STATE SALES TAX</v>
          </cell>
        </row>
        <row r="10692">
          <cell r="H10692" t="str">
            <v>PIERCE COUNTY SALES 9.3%</v>
          </cell>
          <cell r="I10692" t="str">
            <v>9.3% WA STATE SALES TAX</v>
          </cell>
        </row>
        <row r="10693">
          <cell r="H10693" t="str">
            <v>PIERCE REFUSE TAX</v>
          </cell>
          <cell r="I10693" t="str">
            <v>3.6% WA STATE REFUSE TAX</v>
          </cell>
        </row>
        <row r="10694">
          <cell r="H10694" t="str">
            <v>PIERCE STATE SALES TAX</v>
          </cell>
          <cell r="I10694" t="str">
            <v>9.9% WA STATE SALES TAX</v>
          </cell>
        </row>
        <row r="10695">
          <cell r="H10695" t="str">
            <v>FINCHG</v>
          </cell>
          <cell r="I10695" t="str">
            <v>LATE FEE</v>
          </cell>
        </row>
        <row r="10696">
          <cell r="H10696" t="str">
            <v>BD</v>
          </cell>
          <cell r="I10696" t="str">
            <v>BAD DEBT WRITE OFF</v>
          </cell>
        </row>
        <row r="10697">
          <cell r="H10697" t="str">
            <v>BDR</v>
          </cell>
          <cell r="I10697" t="str">
            <v>BAD DEBT RECOVERY</v>
          </cell>
        </row>
        <row r="10698">
          <cell r="H10698" t="str">
            <v>MM</v>
          </cell>
          <cell r="I10698" t="str">
            <v>ADJUST BALANCE (MM)</v>
          </cell>
        </row>
        <row r="10699">
          <cell r="H10699" t="str">
            <v>RETCK</v>
          </cell>
          <cell r="I10699" t="str">
            <v>RETURNED CHECK</v>
          </cell>
        </row>
        <row r="10700">
          <cell r="H10700" t="str">
            <v>RETCKC</v>
          </cell>
          <cell r="I10700" t="str">
            <v>RETURN CHECK CHARGE</v>
          </cell>
        </row>
        <row r="10701">
          <cell r="H10701" t="str">
            <v>ACCESS-COMM</v>
          </cell>
          <cell r="I10701" t="str">
            <v>ACCESS FEE - COMM</v>
          </cell>
        </row>
        <row r="10702">
          <cell r="H10702" t="str">
            <v>DONATIONC</v>
          </cell>
          <cell r="I10702" t="str">
            <v>DONATED SERVICE COMM</v>
          </cell>
        </row>
        <row r="10703">
          <cell r="H10703" t="str">
            <v>DRIVEIN1-COMM</v>
          </cell>
          <cell r="I10703" t="str">
            <v>DRIVE IN 125-250' - COMM</v>
          </cell>
        </row>
        <row r="10704">
          <cell r="H10704" t="str">
            <v>FL001.0Y1W001</v>
          </cell>
          <cell r="I10704" t="str">
            <v>1 YD 1X WK 1</v>
          </cell>
        </row>
        <row r="10705">
          <cell r="H10705" t="str">
            <v>FL001.0Y1W001MF</v>
          </cell>
          <cell r="I10705" t="str">
            <v>1 YD 1X WK MULTI-FAMILY 1</v>
          </cell>
        </row>
        <row r="10706">
          <cell r="H10706" t="str">
            <v>FL001.5Y1W001</v>
          </cell>
          <cell r="I10706" t="str">
            <v>1.5 YD 1X WK 1</v>
          </cell>
        </row>
        <row r="10707">
          <cell r="H10707" t="str">
            <v>FL001.5Y1W001MF</v>
          </cell>
          <cell r="I10707" t="str">
            <v>1.5 YD 1X WK MULTI-FAMILY 1</v>
          </cell>
        </row>
        <row r="10708">
          <cell r="H10708" t="str">
            <v>FL001.5Y2W001</v>
          </cell>
          <cell r="I10708" t="str">
            <v>1.5 YD 2X WK 1</v>
          </cell>
        </row>
        <row r="10709">
          <cell r="H10709" t="str">
            <v>FL001.5Y2W001MF</v>
          </cell>
          <cell r="I10709" t="str">
            <v>1.5 YD 2X WK MULTI-FAMILY 1</v>
          </cell>
        </row>
        <row r="10710">
          <cell r="H10710" t="str">
            <v>FL002.0Y1W001</v>
          </cell>
          <cell r="I10710" t="str">
            <v>2 YD 1X WK 1</v>
          </cell>
        </row>
        <row r="10711">
          <cell r="H10711" t="str">
            <v>FL002.0Y1W001MF</v>
          </cell>
          <cell r="I10711" t="str">
            <v>2 YD 1X WK MULTI-FAMILY 1</v>
          </cell>
        </row>
        <row r="10712">
          <cell r="H10712" t="str">
            <v>FL002.0Y2W001</v>
          </cell>
          <cell r="I10712" t="str">
            <v>2 YD 2X WK 1</v>
          </cell>
        </row>
        <row r="10713">
          <cell r="H10713" t="str">
            <v>FL002.0Y2W001MF</v>
          </cell>
          <cell r="I10713" t="str">
            <v>2 YD 2X WK MULTI-FAMILY 1</v>
          </cell>
        </row>
        <row r="10714">
          <cell r="H10714" t="str">
            <v>FL003.0Y1W001MF</v>
          </cell>
          <cell r="I10714" t="str">
            <v>3 YD 1X WK MULTI-FAMILY 1</v>
          </cell>
        </row>
        <row r="10715">
          <cell r="H10715" t="str">
            <v>FL004.0Y1W001</v>
          </cell>
          <cell r="I10715" t="str">
            <v>4 YD 1X WK 1</v>
          </cell>
        </row>
        <row r="10716">
          <cell r="H10716" t="str">
            <v>FL004.0Y1W001MF</v>
          </cell>
          <cell r="I10716" t="str">
            <v>4 YD 1X WK MULTI-FAMILY 1</v>
          </cell>
        </row>
        <row r="10717">
          <cell r="H10717" t="str">
            <v>FL004.0Y2W001MF</v>
          </cell>
          <cell r="I10717" t="str">
            <v>4 YD 2X WK MULTI-FAMILY 1</v>
          </cell>
        </row>
        <row r="10718">
          <cell r="H10718" t="str">
            <v>FL006.0Y1W001</v>
          </cell>
          <cell r="I10718" t="str">
            <v>6 YD 1X WK 1</v>
          </cell>
        </row>
        <row r="10719">
          <cell r="H10719" t="str">
            <v>FL006.0Y1W001MF</v>
          </cell>
          <cell r="I10719" t="str">
            <v>6 YD 1X WK MULTI-FAMILY 1</v>
          </cell>
        </row>
        <row r="10720">
          <cell r="H10720" t="str">
            <v>FL006.0Y2W001</v>
          </cell>
          <cell r="I10720" t="str">
            <v>6 YD 2X WK 1</v>
          </cell>
        </row>
        <row r="10721">
          <cell r="H10721" t="str">
            <v>GWCOMM</v>
          </cell>
          <cell r="I10721" t="str">
            <v>GREENWASTE SERVICE - COMM</v>
          </cell>
        </row>
        <row r="10722">
          <cell r="H10722" t="str">
            <v>RL032.0G1W002WRECC</v>
          </cell>
          <cell r="I10722" t="str">
            <v>32 GL 1X WK W/RECY COMM 2</v>
          </cell>
        </row>
        <row r="10723">
          <cell r="H10723" t="str">
            <v>RL032.0G1W006WRECC</v>
          </cell>
          <cell r="I10723" t="str">
            <v>32 GL 1X WK W/RECY COMM 6</v>
          </cell>
        </row>
        <row r="10724">
          <cell r="H10724" t="str">
            <v>SL035.0G1W001WRECC</v>
          </cell>
          <cell r="I10724" t="str">
            <v>35 GL 1X WK W/RECY COMM 1</v>
          </cell>
        </row>
        <row r="10725">
          <cell r="H10725" t="str">
            <v>SL065.0G1W001WRECC</v>
          </cell>
          <cell r="I10725" t="str">
            <v>65 GL 1X WK W/RECY COMM 1</v>
          </cell>
        </row>
        <row r="10726">
          <cell r="H10726" t="str">
            <v>SL065.0GEO001WRECC</v>
          </cell>
          <cell r="I10726" t="str">
            <v>65 GL EOW W/RECY COMM 1</v>
          </cell>
        </row>
        <row r="10727">
          <cell r="H10727" t="str">
            <v>SL095.0G1W001WRECC</v>
          </cell>
          <cell r="I10727" t="str">
            <v>95 GL 1X WK W/RECY COMM 1</v>
          </cell>
        </row>
        <row r="10728">
          <cell r="H10728" t="str">
            <v>SL095.0GEO001WRECC</v>
          </cell>
          <cell r="I10728" t="str">
            <v>95 GL EOW W/RECY COMM 1</v>
          </cell>
        </row>
        <row r="10729">
          <cell r="H10729" t="str">
            <v>WI1-COMM</v>
          </cell>
          <cell r="I10729" t="str">
            <v>WALK IN 6-25' - COMM</v>
          </cell>
        </row>
        <row r="10730">
          <cell r="H10730" t="str">
            <v>CLEAN1.5-COMM</v>
          </cell>
          <cell r="I10730" t="str">
            <v>CLEANING FEE 1.5 YD - COM</v>
          </cell>
        </row>
        <row r="10731">
          <cell r="H10731" t="str">
            <v>DEL-COMM</v>
          </cell>
          <cell r="I10731" t="str">
            <v>DELIVERY FEE - COMM</v>
          </cell>
        </row>
        <row r="10732">
          <cell r="H10732" t="str">
            <v>DEL1.5TEMP-COMM</v>
          </cell>
          <cell r="I10732" t="str">
            <v xml:space="preserve">DELIVERY FEE 1.5 YD TEMP </v>
          </cell>
        </row>
        <row r="10733">
          <cell r="H10733" t="str">
            <v>EXTRA-COMM</v>
          </cell>
          <cell r="I10733" t="str">
            <v>EXTRA CAN, BAG, BOX - COM</v>
          </cell>
        </row>
        <row r="10734">
          <cell r="H10734" t="str">
            <v>EXTRAYDG-COM</v>
          </cell>
          <cell r="I10734" t="str">
            <v>EXTRA YARDAGE - COMM</v>
          </cell>
        </row>
        <row r="10735">
          <cell r="H10735" t="str">
            <v>FL001.5YXX001TEMPC</v>
          </cell>
          <cell r="I10735" t="str">
            <v xml:space="preserve">1.5 YD TEMP </v>
          </cell>
        </row>
        <row r="10736">
          <cell r="H10736" t="str">
            <v>RENT1.5TEMP-COMM</v>
          </cell>
          <cell r="I10736" t="str">
            <v>RENT 1.5 YD TEMP - COMM</v>
          </cell>
        </row>
        <row r="10737">
          <cell r="H10737" t="str">
            <v>SP2-COMM</v>
          </cell>
          <cell r="I10737" t="str">
            <v>SPECIAL PICK UP 2 YD - CO</v>
          </cell>
        </row>
        <row r="10738">
          <cell r="H10738" t="str">
            <v>SPCL65-COMM</v>
          </cell>
          <cell r="I10738" t="str">
            <v>SPECIAL 65 GL - COMM</v>
          </cell>
        </row>
        <row r="10739">
          <cell r="H10739" t="str">
            <v>FL002.0Y1W001BCMGL</v>
          </cell>
          <cell r="I10739" t="str">
            <v>2 YD 1X WK BUS CMGL 1</v>
          </cell>
        </row>
        <row r="10740">
          <cell r="H10740" t="str">
            <v>FL002.0Y1W001BOCC</v>
          </cell>
          <cell r="I10740" t="str">
            <v>2 YD 1X WK BUS OCC 1</v>
          </cell>
        </row>
        <row r="10741">
          <cell r="H10741" t="str">
            <v>FL002.0Y1W001SCMGL</v>
          </cell>
          <cell r="I10741" t="str">
            <v>2 YD 1X WK SCHL CMGL 1</v>
          </cell>
        </row>
        <row r="10742">
          <cell r="H10742" t="str">
            <v>FL002.0Y2W001BCMGL</v>
          </cell>
          <cell r="I10742" t="str">
            <v>2 YD 2X WK BUS CMGL 1</v>
          </cell>
        </row>
        <row r="10743">
          <cell r="H10743" t="str">
            <v>FL004.0Y2W001CMGL</v>
          </cell>
          <cell r="I10743" t="str">
            <v>4 YD 2X WK BUS CMGL 1</v>
          </cell>
        </row>
        <row r="10744">
          <cell r="H10744" t="str">
            <v>FL006.0Y2W001BCMGL</v>
          </cell>
          <cell r="I10744" t="str">
            <v>6 YD 2X WK BUS COMINGLE 1</v>
          </cell>
        </row>
        <row r="10745">
          <cell r="H10745" t="str">
            <v>MFWBINS</v>
          </cell>
          <cell r="I10745" t="str">
            <v>MULTI-FAMILY REC UNIT W/B</v>
          </cell>
        </row>
        <row r="10746">
          <cell r="H10746" t="str">
            <v>SL096.0G1W001BCMGLOUT</v>
          </cell>
          <cell r="I10746" t="str">
            <v>96 GL WKLY BUS CMGL OUT</v>
          </cell>
        </row>
        <row r="10747">
          <cell r="H10747" t="str">
            <v>SL096.0G1W001SCMGLOUT</v>
          </cell>
          <cell r="I10747" t="str">
            <v>96 GL WKLY SCHL CMGL OUT</v>
          </cell>
        </row>
        <row r="10748">
          <cell r="H10748" t="str">
            <v>SL096.0GEO001BCMGLOUT</v>
          </cell>
          <cell r="I10748" t="str">
            <v>96 GL EOW BUS CMGL OUT</v>
          </cell>
        </row>
        <row r="10749">
          <cell r="H10749" t="str">
            <v>SL096.0GEO001SCMGLOUT</v>
          </cell>
          <cell r="I10749" t="str">
            <v>96 GL EOW SCHL CMGL OUT</v>
          </cell>
        </row>
        <row r="10750">
          <cell r="H10750" t="str">
            <v>CC-KOL</v>
          </cell>
          <cell r="I10750" t="str">
            <v>ONLINE PAYMENT-CC</v>
          </cell>
        </row>
        <row r="10751">
          <cell r="H10751" t="str">
            <v>CCREF-KOL</v>
          </cell>
          <cell r="I10751" t="str">
            <v>CREDIT CARD REFUND</v>
          </cell>
        </row>
        <row r="10752">
          <cell r="H10752" t="str">
            <v>PAY</v>
          </cell>
          <cell r="I10752" t="str">
            <v>PAYMENT THANK YOU</v>
          </cell>
        </row>
        <row r="10753">
          <cell r="H10753" t="str">
            <v>PAY-CFREE</v>
          </cell>
          <cell r="I10753" t="str">
            <v>CHECKFREE PAYMENT</v>
          </cell>
        </row>
        <row r="10754">
          <cell r="H10754" t="str">
            <v>PAY-KOL</v>
          </cell>
          <cell r="I10754" t="str">
            <v>PAYMENT-THANK YOU - OL</v>
          </cell>
        </row>
        <row r="10755">
          <cell r="H10755" t="str">
            <v>PAY-ORCC</v>
          </cell>
          <cell r="I10755" t="str">
            <v>ORCC PAYMENT</v>
          </cell>
        </row>
        <row r="10756">
          <cell r="H10756" t="str">
            <v>PAY-RPPS</v>
          </cell>
          <cell r="I10756" t="str">
            <v>RPPS MASTERCARD PAYMENT</v>
          </cell>
        </row>
        <row r="10757">
          <cell r="H10757" t="str">
            <v>PAYMET</v>
          </cell>
          <cell r="I10757" t="str">
            <v>METAVANTE ONLINE PAYMENT</v>
          </cell>
        </row>
        <row r="10758">
          <cell r="H10758" t="str">
            <v>PAYUSBL</v>
          </cell>
          <cell r="I10758" t="str">
            <v>PAYMENT THANK YOU</v>
          </cell>
        </row>
        <row r="10759">
          <cell r="H10759" t="str">
            <v>RET-KOL</v>
          </cell>
          <cell r="I10759" t="str">
            <v>ONLINE PAYMENT RETURN</v>
          </cell>
        </row>
        <row r="10760">
          <cell r="H10760" t="str">
            <v>DRIVEIN1-RES</v>
          </cell>
          <cell r="I10760" t="str">
            <v>DRIVE IN 1 - RES</v>
          </cell>
        </row>
        <row r="10761">
          <cell r="H10761" t="str">
            <v>EMPLOYEER</v>
          </cell>
          <cell r="I10761" t="str">
            <v>EMPLOYEE SERVICE RES</v>
          </cell>
        </row>
        <row r="10762">
          <cell r="H10762" t="str">
            <v>GW3RES</v>
          </cell>
          <cell r="I10762" t="str">
            <v>GREENWASTE SVC 3 - RES</v>
          </cell>
        </row>
        <row r="10763">
          <cell r="H10763" t="str">
            <v>GWRES</v>
          </cell>
          <cell r="I10763" t="str">
            <v>GREENWASTE SERVICE - RES</v>
          </cell>
        </row>
        <row r="10764">
          <cell r="H10764" t="str">
            <v>RECBINONLYR</v>
          </cell>
          <cell r="I10764" t="str">
            <v>RECYCLE SERVICE ONLY</v>
          </cell>
        </row>
        <row r="10765">
          <cell r="H10765" t="str">
            <v>RL032.0G1W001WREC</v>
          </cell>
          <cell r="I10765" t="str">
            <v>32 GL 1X WK W/RECY 1</v>
          </cell>
        </row>
        <row r="10766">
          <cell r="H10766" t="str">
            <v>RL032.0G1W002WREC</v>
          </cell>
          <cell r="I10766" t="str">
            <v>32 GL 1X WK W/RECY 2</v>
          </cell>
        </row>
        <row r="10767">
          <cell r="H10767" t="str">
            <v>RL032.0G1W003WREC</v>
          </cell>
          <cell r="I10767" t="str">
            <v>32 GL 1X WK W/RECY 3</v>
          </cell>
        </row>
        <row r="10768">
          <cell r="H10768" t="str">
            <v>SL035.0G1M001WREC</v>
          </cell>
          <cell r="I10768" t="str">
            <v>35 GL 1X MO W/RECY 1</v>
          </cell>
        </row>
        <row r="10769">
          <cell r="H10769" t="str">
            <v>SL035.0G1W001WREC</v>
          </cell>
          <cell r="I10769" t="str">
            <v>35 GL 1X WK W/ RECY 1</v>
          </cell>
        </row>
        <row r="10770">
          <cell r="H10770" t="str">
            <v>SL035.0G1W002WREC</v>
          </cell>
          <cell r="I10770" t="str">
            <v>35 GL 1X WK W/RECY 2</v>
          </cell>
        </row>
        <row r="10771">
          <cell r="H10771" t="str">
            <v>SL035.0GEO001WREC</v>
          </cell>
          <cell r="I10771" t="str">
            <v>35 GL EOW W/RECY 1</v>
          </cell>
        </row>
        <row r="10772">
          <cell r="H10772" t="str">
            <v>SL065.0G1M001WREC</v>
          </cell>
          <cell r="I10772" t="str">
            <v>65 GL 1X MO W/RECY 1</v>
          </cell>
        </row>
        <row r="10773">
          <cell r="H10773" t="str">
            <v>SL065.0G1W001WREC</v>
          </cell>
          <cell r="I10773" t="str">
            <v>65 GL 1X WK W/RECY 1</v>
          </cell>
        </row>
        <row r="10774">
          <cell r="H10774" t="str">
            <v>SL065.0GEO001WREC</v>
          </cell>
          <cell r="I10774" t="str">
            <v>65 GL EOW W/RECY 1</v>
          </cell>
        </row>
        <row r="10775">
          <cell r="H10775" t="str">
            <v>SL095.0G1M0001WRECSPCL</v>
          </cell>
          <cell r="I10775" t="str">
            <v>95 GL 1X MO S/D W/RECY 1</v>
          </cell>
        </row>
        <row r="10776">
          <cell r="H10776" t="str">
            <v>SL095.0G1W001WREC</v>
          </cell>
          <cell r="I10776" t="str">
            <v>95 GL 1X WK W/RECY 1</v>
          </cell>
        </row>
        <row r="10777">
          <cell r="H10777" t="str">
            <v>SL095.0GEO001WREC</v>
          </cell>
          <cell r="I10777" t="str">
            <v>95 GL EOW W/RECY 1</v>
          </cell>
        </row>
        <row r="10778">
          <cell r="H10778" t="str">
            <v>WI1-RES</v>
          </cell>
          <cell r="I10778" t="str">
            <v>WALK IN 6-25' - RES</v>
          </cell>
        </row>
        <row r="10779">
          <cell r="H10779" t="str">
            <v>BULKY-RES</v>
          </cell>
          <cell r="I10779" t="str">
            <v>BULKY ITEM PICK UP - RES</v>
          </cell>
        </row>
        <row r="10780">
          <cell r="H10780" t="str">
            <v>EP96GWC-RES</v>
          </cell>
          <cell r="I10780" t="str">
            <v>EXTRA PICK UP 96 GW - RES</v>
          </cell>
        </row>
        <row r="10781">
          <cell r="H10781" t="str">
            <v>EXTRA-RES</v>
          </cell>
          <cell r="I10781" t="str">
            <v>EXTRA CAN, BAG, BOX - RES</v>
          </cell>
        </row>
        <row r="10782">
          <cell r="H10782" t="str">
            <v>EXTRAGWC-RES</v>
          </cell>
          <cell r="I10782" t="str">
            <v>EXTRA GREENWASTE FEE - RE</v>
          </cell>
        </row>
        <row r="10783">
          <cell r="H10783" t="str">
            <v>OC-RES</v>
          </cell>
          <cell r="I10783" t="str">
            <v>ON CALL SERVICE - RES</v>
          </cell>
        </row>
        <row r="10784">
          <cell r="H10784" t="str">
            <v>OW-RES</v>
          </cell>
          <cell r="I10784" t="str">
            <v>OVERFILL / OVERWEIGHT CAN</v>
          </cell>
        </row>
        <row r="10785">
          <cell r="H10785" t="str">
            <v>REINSTATE-RES</v>
          </cell>
          <cell r="I10785" t="str">
            <v>REINSTATE FEE - RES</v>
          </cell>
        </row>
        <row r="10786">
          <cell r="H10786" t="str">
            <v>RTRNCART32-RES</v>
          </cell>
          <cell r="I10786" t="str">
            <v>RETURN TRIP 32 GL - RES</v>
          </cell>
        </row>
        <row r="10787">
          <cell r="H10787" t="str">
            <v>RTRNCART65-RES</v>
          </cell>
          <cell r="I10787" t="str">
            <v>RETURN TRIP 65 GL - RES</v>
          </cell>
        </row>
        <row r="10788">
          <cell r="H10788" t="str">
            <v>RTRNCART95-RES</v>
          </cell>
          <cell r="I10788" t="str">
            <v>RETURN TRIP 95 GL - RES</v>
          </cell>
        </row>
        <row r="10789">
          <cell r="H10789" t="str">
            <v>RTRNCART96REC-RES</v>
          </cell>
          <cell r="I10789" t="str">
            <v>RETURN TRIP 96 GL REC - RES</v>
          </cell>
        </row>
        <row r="10790">
          <cell r="H10790" t="str">
            <v>SP32-RES</v>
          </cell>
          <cell r="I10790" t="str">
            <v>SPECIAL PICK UP 32 GL - RES</v>
          </cell>
        </row>
        <row r="10791">
          <cell r="H10791" t="str">
            <v>SP65-RES</v>
          </cell>
          <cell r="I10791" t="str">
            <v>SPECIAL PICK UP 65 GL - R</v>
          </cell>
        </row>
        <row r="10792">
          <cell r="H10792" t="str">
            <v>LIDRO</v>
          </cell>
          <cell r="I10792" t="str">
            <v>LID CHARGE - RO</v>
          </cell>
        </row>
        <row r="10793">
          <cell r="H10793" t="str">
            <v>RENT20MO-RO</v>
          </cell>
          <cell r="I10793" t="str">
            <v>RENTAL FEE 20 YD MONTHLY</v>
          </cell>
        </row>
        <row r="10794">
          <cell r="H10794" t="str">
            <v>DEL20TEMP-RO</v>
          </cell>
          <cell r="I10794" t="str">
            <v>DELIVERY FEE 20 YD TEMP -</v>
          </cell>
        </row>
        <row r="10795">
          <cell r="H10795" t="str">
            <v>DEL30TEMP-RO</v>
          </cell>
          <cell r="I10795" t="str">
            <v>DELIVERY FEE 30 YD TEMP -</v>
          </cell>
        </row>
        <row r="10796">
          <cell r="H10796" t="str">
            <v>DISCO-CP</v>
          </cell>
          <cell r="I10796" t="str">
            <v xml:space="preserve">COMPACTOR DISCONNECT FEE </v>
          </cell>
        </row>
        <row r="10797">
          <cell r="H10797" t="str">
            <v>DISP-RO</v>
          </cell>
          <cell r="I10797" t="str">
            <v>DISPOSAL CHARGE - RO</v>
          </cell>
        </row>
        <row r="10798">
          <cell r="H10798" t="str">
            <v>DISPGLASS-RO</v>
          </cell>
          <cell r="I10798" t="str">
            <v>DISPOSAL FEE GLASS - RO</v>
          </cell>
        </row>
        <row r="10799">
          <cell r="H10799" t="str">
            <v>DISPOCC-RO</v>
          </cell>
          <cell r="I10799" t="str">
            <v xml:space="preserve">DISPOSAL FEE CARDBOARD - </v>
          </cell>
        </row>
        <row r="10800">
          <cell r="H10800" t="str">
            <v>DISPTRANS-RO</v>
          </cell>
          <cell r="I10800" t="str">
            <v>DISPOSAL FEE TRANSFER HAU</v>
          </cell>
        </row>
        <row r="10801">
          <cell r="H10801" t="str">
            <v>FINAL20TEMP-RO</v>
          </cell>
          <cell r="I10801" t="str">
            <v>FINAL PULL 20 YD TEMP - R</v>
          </cell>
        </row>
        <row r="10802">
          <cell r="H10802" t="str">
            <v>HAUL20-RO</v>
          </cell>
          <cell r="I10802" t="str">
            <v>HAUL 20 YD - RO</v>
          </cell>
        </row>
        <row r="10803">
          <cell r="H10803" t="str">
            <v>HAUL25-CP</v>
          </cell>
          <cell r="I10803" t="str">
            <v>COMPACTOR HAUL 25 YD - RO</v>
          </cell>
        </row>
        <row r="10804">
          <cell r="H10804" t="str">
            <v>HAUL30-RO</v>
          </cell>
          <cell r="I10804" t="str">
            <v>HAUL 30 YD - RO</v>
          </cell>
        </row>
        <row r="10805">
          <cell r="H10805" t="str">
            <v>MILE-RO</v>
          </cell>
          <cell r="I10805" t="str">
            <v>MILEAGE FEE - RO</v>
          </cell>
        </row>
        <row r="10806">
          <cell r="H10806" t="str">
            <v>RENT20TEMP-RO</v>
          </cell>
          <cell r="I10806" t="str">
            <v>RENTAL FEE 20 YD TEMP - R</v>
          </cell>
        </row>
        <row r="10807">
          <cell r="H10807" t="str">
            <v>RENT30TEMP-RO</v>
          </cell>
          <cell r="I10807" t="str">
            <v>RENTAL FEE 30 YD TEMP - R</v>
          </cell>
        </row>
        <row r="10808">
          <cell r="H10808" t="str">
            <v>COMMODITY SURCHARGE</v>
          </cell>
          <cell r="I10808" t="str">
            <v>COMMODITY SURCHARGE</v>
          </cell>
        </row>
        <row r="10809">
          <cell r="H10809" t="str">
            <v>COMMODITY SURCHARGE</v>
          </cell>
          <cell r="I10809" t="str">
            <v>COMMODITY SURCHARGE</v>
          </cell>
        </row>
        <row r="10810">
          <cell r="H10810" t="str">
            <v>STEILACOOM CITY  TAX</v>
          </cell>
          <cell r="I10810" t="str">
            <v>6% CITY UTILITY TAX</v>
          </cell>
        </row>
        <row r="10811">
          <cell r="H10811" t="str">
            <v>STEILACOOM REFUSE TAX</v>
          </cell>
          <cell r="I10811" t="str">
            <v>3.6% WA STATE REFUSE TAX</v>
          </cell>
        </row>
        <row r="10812">
          <cell r="H10812" t="str">
            <v>DUPONT CITY UTILITY TAX</v>
          </cell>
          <cell r="I10812" t="str">
            <v>8% CITY UTILITY TAX</v>
          </cell>
        </row>
        <row r="10813">
          <cell r="H10813" t="str">
            <v>DUPONT REFUSE TAX</v>
          </cell>
          <cell r="I10813" t="str">
            <v>3.6% WA STATE REFUSE TAX</v>
          </cell>
        </row>
        <row r="10814">
          <cell r="H10814" t="str">
            <v xml:space="preserve">PIERCE COUNTY REFUSE </v>
          </cell>
          <cell r="I10814" t="str">
            <v>3.6% PIERCE COUNTY REFUSE</v>
          </cell>
        </row>
        <row r="10815">
          <cell r="H10815" t="str">
            <v>STEILACOOM CITY  TAX</v>
          </cell>
          <cell r="I10815" t="str">
            <v>6% CITY UTILITY TAX</v>
          </cell>
        </row>
        <row r="10816">
          <cell r="H10816" t="str">
            <v>STEILACOOM REFUSE TAX</v>
          </cell>
          <cell r="I10816" t="str">
            <v>3.6% WA STATE REFUSE TAX</v>
          </cell>
        </row>
        <row r="10817">
          <cell r="H10817" t="str">
            <v>STEILACOOM ST SALES TAX</v>
          </cell>
          <cell r="I10817" t="str">
            <v>9.9% WA STATE SALES TAX</v>
          </cell>
        </row>
        <row r="10818">
          <cell r="H10818" t="str">
            <v>STEILACOOM CITY  TAX</v>
          </cell>
          <cell r="I10818" t="str">
            <v>6% CITY UTILITY TAX</v>
          </cell>
        </row>
        <row r="10819">
          <cell r="H10819" t="str">
            <v>STEILACOOM REFUSE TAX</v>
          </cell>
          <cell r="I10819" t="str">
            <v>3.6% WA STATE REFUSE TAX</v>
          </cell>
        </row>
        <row r="10820">
          <cell r="H10820" t="str">
            <v>STEILACOOM CITY  TAX</v>
          </cell>
          <cell r="I10820" t="str">
            <v>6% CITY UTILITY TAX</v>
          </cell>
        </row>
        <row r="10821">
          <cell r="H10821" t="str">
            <v>STEILACOOM REFUSE TAX</v>
          </cell>
          <cell r="I10821" t="str">
            <v>3.6% WA STATE REFUSE TAX</v>
          </cell>
        </row>
        <row r="10822">
          <cell r="H10822" t="str">
            <v>STEILACOOM CITY  TAX</v>
          </cell>
          <cell r="I10822" t="str">
            <v>6% CITY UTILITY TAX</v>
          </cell>
        </row>
        <row r="10823">
          <cell r="H10823" t="str">
            <v>STEILACOOM REFUSE TAX</v>
          </cell>
          <cell r="I10823" t="str">
            <v>3.6% WA STATE REFUSE TAX</v>
          </cell>
        </row>
        <row r="10824">
          <cell r="H10824" t="str">
            <v>STEILACOOM ST SALES TAX</v>
          </cell>
          <cell r="I10824" t="str">
            <v>9.9% WA STATE SALES TAX</v>
          </cell>
        </row>
        <row r="10825">
          <cell r="H10825" t="str">
            <v>FINCHG</v>
          </cell>
          <cell r="I10825" t="str">
            <v>LATE FEE</v>
          </cell>
        </row>
        <row r="10826">
          <cell r="H10826" t="str">
            <v>BD</v>
          </cell>
          <cell r="I10826" t="str">
            <v>BAD DEBT WRITE OFF</v>
          </cell>
        </row>
        <row r="10827">
          <cell r="H10827" t="str">
            <v>FINCHG</v>
          </cell>
          <cell r="I10827" t="str">
            <v>LATE FEE</v>
          </cell>
        </row>
        <row r="10828">
          <cell r="H10828" t="str">
            <v>ACCESS-COMM</v>
          </cell>
          <cell r="I10828" t="str">
            <v>ACCESS FEE - COMM</v>
          </cell>
        </row>
        <row r="10829">
          <cell r="H10829" t="str">
            <v>FL001.5Y1W001</v>
          </cell>
          <cell r="I10829" t="str">
            <v>1.5 YD 1X WK 1</v>
          </cell>
        </row>
        <row r="10830">
          <cell r="H10830" t="str">
            <v>FL002.0Y1W001</v>
          </cell>
          <cell r="I10830" t="str">
            <v>2 YD 1X WK 1</v>
          </cell>
        </row>
        <row r="10831">
          <cell r="H10831" t="str">
            <v>FL002.0Y2W001</v>
          </cell>
          <cell r="I10831" t="str">
            <v>2 YD 2X WK 1</v>
          </cell>
        </row>
        <row r="10832">
          <cell r="H10832" t="str">
            <v>FL002.0Y4W001</v>
          </cell>
          <cell r="I10832" t="str">
            <v>2 YD 4X WK 1</v>
          </cell>
        </row>
        <row r="10833">
          <cell r="H10833" t="str">
            <v>FL003.0Y2W001</v>
          </cell>
          <cell r="I10833" t="str">
            <v>3 YD 2X WK 1</v>
          </cell>
        </row>
        <row r="10834">
          <cell r="H10834" t="str">
            <v>FL006.0Y1W001</v>
          </cell>
          <cell r="I10834" t="str">
            <v>6 YD 1X WK 1</v>
          </cell>
        </row>
        <row r="10835">
          <cell r="H10835" t="str">
            <v>FL006.0Y2W001</v>
          </cell>
          <cell r="I10835" t="str">
            <v>6 YD 2X WK 1</v>
          </cell>
        </row>
        <row r="10836">
          <cell r="H10836" t="str">
            <v>SL065.0G1W001NORECC</v>
          </cell>
          <cell r="I10836" t="str">
            <v xml:space="preserve">65 GL 1X WK NO RECY COMM </v>
          </cell>
        </row>
        <row r="10837">
          <cell r="H10837" t="str">
            <v>SL065.0G1W001WRECC</v>
          </cell>
          <cell r="I10837" t="str">
            <v>65 GL 1X WK W/RECY COMM 1</v>
          </cell>
        </row>
        <row r="10838">
          <cell r="H10838" t="str">
            <v>SL065.0GEO001WRECC</v>
          </cell>
          <cell r="I10838" t="str">
            <v>65 GL EOW W/RECY COMM 1</v>
          </cell>
        </row>
        <row r="10839">
          <cell r="H10839" t="str">
            <v>EXTRA-COMM</v>
          </cell>
          <cell r="I10839" t="str">
            <v>EXTRA CAN, BAG, BOX - COM</v>
          </cell>
        </row>
        <row r="10840">
          <cell r="H10840" t="str">
            <v>EXTRAYDG-COM</v>
          </cell>
          <cell r="I10840" t="str">
            <v>EXTRA YARDAGE - COMM</v>
          </cell>
        </row>
        <row r="10841">
          <cell r="H10841" t="str">
            <v>FL002.0Y1W001BOCC</v>
          </cell>
          <cell r="I10841" t="str">
            <v>2 YD 1X WK BUS OCC 1</v>
          </cell>
        </row>
        <row r="10842">
          <cell r="H10842" t="str">
            <v>FL004.0Y1W001CMGL</v>
          </cell>
          <cell r="I10842" t="str">
            <v>4 YD 1X WK BUS CMGL 1</v>
          </cell>
        </row>
        <row r="10843">
          <cell r="H10843" t="str">
            <v>FL005.0Y1W001BOCC</v>
          </cell>
          <cell r="I10843" t="str">
            <v>5 YD 1X WK BUS OCC 1</v>
          </cell>
        </row>
        <row r="10844">
          <cell r="H10844" t="str">
            <v>FL006.0Y3W001BCMGL</v>
          </cell>
          <cell r="I10844" t="str">
            <v>6 YD 3X WK BUS CMGL 1</v>
          </cell>
        </row>
        <row r="10845">
          <cell r="H10845" t="str">
            <v>MFWBINS</v>
          </cell>
          <cell r="I10845" t="str">
            <v>MULTI-FAMILY REC UNIT W/B</v>
          </cell>
        </row>
        <row r="10846">
          <cell r="H10846" t="str">
            <v>SL096.0GEO001BCMGLOUT</v>
          </cell>
          <cell r="I10846" t="str">
            <v>96 GL EOW BUS CMGL OUT</v>
          </cell>
        </row>
        <row r="10847">
          <cell r="H10847" t="str">
            <v>CC-KOL</v>
          </cell>
          <cell r="I10847" t="str">
            <v>ONLINE PAYMENT-CC</v>
          </cell>
        </row>
        <row r="10848">
          <cell r="H10848" t="str">
            <v>PAY</v>
          </cell>
          <cell r="I10848" t="str">
            <v>PAYMENT THANK YOU</v>
          </cell>
        </row>
        <row r="10849">
          <cell r="H10849" t="str">
            <v>PAY-CFREE</v>
          </cell>
          <cell r="I10849" t="str">
            <v>CHECKFREE PAYMENT</v>
          </cell>
        </row>
        <row r="10850">
          <cell r="H10850" t="str">
            <v>PAY-KOL</v>
          </cell>
          <cell r="I10850" t="str">
            <v>PAYMENT-THANK YOU - OL</v>
          </cell>
        </row>
        <row r="10851">
          <cell r="H10851" t="str">
            <v>PAY-ORCC</v>
          </cell>
          <cell r="I10851" t="str">
            <v>ORCC PAYMENT</v>
          </cell>
        </row>
        <row r="10852">
          <cell r="H10852" t="str">
            <v>PAY-RPPS</v>
          </cell>
          <cell r="I10852" t="str">
            <v>RPPS MASTERCARD PAYMENT</v>
          </cell>
        </row>
        <row r="10853">
          <cell r="H10853" t="str">
            <v>PAYMET</v>
          </cell>
          <cell r="I10853" t="str">
            <v>METAVANTE ONLINE PAYMENT</v>
          </cell>
        </row>
        <row r="10854">
          <cell r="H10854" t="str">
            <v>PAYUSBL</v>
          </cell>
          <cell r="I10854" t="str">
            <v>PAYMENT THANK YOU</v>
          </cell>
        </row>
        <row r="10855">
          <cell r="H10855" t="str">
            <v>CC-KOL</v>
          </cell>
          <cell r="I10855" t="str">
            <v>ONLINE PAYMENT-CC</v>
          </cell>
        </row>
        <row r="10856">
          <cell r="H10856" t="str">
            <v>PAY</v>
          </cell>
          <cell r="I10856" t="str">
            <v>PAYMENT THANK YOU</v>
          </cell>
        </row>
        <row r="10857">
          <cell r="H10857" t="str">
            <v>PAY-CFREE</v>
          </cell>
          <cell r="I10857" t="str">
            <v>CHECKFREE PAYMENT</v>
          </cell>
        </row>
        <row r="10858">
          <cell r="H10858" t="str">
            <v>PAY-KOL</v>
          </cell>
          <cell r="I10858" t="str">
            <v>PAYMENT-THANK YOU - OL</v>
          </cell>
        </row>
        <row r="10859">
          <cell r="H10859" t="str">
            <v>PAYMET</v>
          </cell>
          <cell r="I10859" t="str">
            <v>METAVANTE ONLINE PAYMENT</v>
          </cell>
        </row>
        <row r="10860">
          <cell r="H10860" t="str">
            <v>PAYUSBL</v>
          </cell>
          <cell r="I10860" t="str">
            <v>PAYMENT THANK YOU</v>
          </cell>
        </row>
        <row r="10861">
          <cell r="H10861" t="str">
            <v>CC-KOL</v>
          </cell>
          <cell r="I10861" t="str">
            <v>ONLINE PAYMENT-CC</v>
          </cell>
        </row>
        <row r="10862">
          <cell r="H10862" t="str">
            <v>PAY-CFREE</v>
          </cell>
          <cell r="I10862" t="str">
            <v>CHECKFREE PAYMENT</v>
          </cell>
        </row>
        <row r="10863">
          <cell r="H10863" t="str">
            <v>PAY-KOL</v>
          </cell>
          <cell r="I10863" t="str">
            <v>PAYMENT-THANK YOU - OL</v>
          </cell>
        </row>
        <row r="10864">
          <cell r="H10864" t="str">
            <v>PAY-OAK</v>
          </cell>
          <cell r="I10864" t="str">
            <v>OAKLEAF PAYMENT</v>
          </cell>
        </row>
        <row r="10865">
          <cell r="H10865" t="str">
            <v>PAY-RPPS</v>
          </cell>
          <cell r="I10865" t="str">
            <v>RPPS MASTERCARD PAYMENT</v>
          </cell>
        </row>
        <row r="10866">
          <cell r="H10866" t="str">
            <v>PAYMET</v>
          </cell>
          <cell r="I10866" t="str">
            <v>METAVANTE ONLINE PAYMENT</v>
          </cell>
        </row>
        <row r="10867">
          <cell r="H10867" t="str">
            <v>PAYUSBL</v>
          </cell>
          <cell r="I10867" t="str">
            <v>PAYMENT THANK YOU</v>
          </cell>
        </row>
        <row r="10868">
          <cell r="H10868" t="str">
            <v>GWRES</v>
          </cell>
          <cell r="I10868" t="str">
            <v>GREENWASTE SERVICE - RES</v>
          </cell>
        </row>
        <row r="10869">
          <cell r="H10869" t="str">
            <v>RECBINONLYR</v>
          </cell>
          <cell r="I10869" t="str">
            <v>RECYCLE SERVICE ONLY</v>
          </cell>
        </row>
        <row r="10870">
          <cell r="H10870" t="str">
            <v>SL035.0GEO001WREC</v>
          </cell>
          <cell r="I10870" t="str">
            <v>35 GL EOW W/RECY 1</v>
          </cell>
        </row>
        <row r="10871">
          <cell r="H10871" t="str">
            <v>SL065.0G1W001WREC</v>
          </cell>
          <cell r="I10871" t="str">
            <v>65 GL 1X WK W/RECY 1</v>
          </cell>
        </row>
        <row r="10872">
          <cell r="H10872" t="str">
            <v>SL065.0GEO001NOREC</v>
          </cell>
          <cell r="I10872" t="str">
            <v>65 GL EOW NO RECY 1</v>
          </cell>
        </row>
        <row r="10873">
          <cell r="H10873" t="str">
            <v>SL065.0GEO001WREC</v>
          </cell>
          <cell r="I10873" t="str">
            <v>65 GL EOW W/RECY 1</v>
          </cell>
        </row>
        <row r="10874">
          <cell r="H10874" t="str">
            <v>SL095.0G1W001WREC</v>
          </cell>
          <cell r="I10874" t="str">
            <v>95 GL 1X WK W/RECY 1</v>
          </cell>
        </row>
        <row r="10875">
          <cell r="H10875" t="str">
            <v>OW-RES</v>
          </cell>
          <cell r="I10875" t="str">
            <v>OVERFILL / OVERWEIGHT CAN</v>
          </cell>
        </row>
        <row r="10876">
          <cell r="H10876" t="str">
            <v>REINSTATE-RES</v>
          </cell>
          <cell r="I10876" t="str">
            <v>REINSTATE FEE - RES</v>
          </cell>
        </row>
        <row r="10877">
          <cell r="H10877" t="str">
            <v>GWRES</v>
          </cell>
          <cell r="I10877" t="str">
            <v>GREENWASTE SERVICE - RES</v>
          </cell>
        </row>
        <row r="10878">
          <cell r="H10878" t="str">
            <v>SL035.0GEO001WREC</v>
          </cell>
          <cell r="I10878" t="str">
            <v>35 GL EOW W/RECY 1</v>
          </cell>
        </row>
        <row r="10879">
          <cell r="H10879" t="str">
            <v>SL065.0G1W001WREC</v>
          </cell>
          <cell r="I10879" t="str">
            <v>65 GL 1X WK W/RECY 1</v>
          </cell>
        </row>
        <row r="10880">
          <cell r="H10880" t="str">
            <v>SL065.0GEO001WREC</v>
          </cell>
          <cell r="I10880" t="str">
            <v>65 GL EOW W/RECY 1</v>
          </cell>
        </row>
        <row r="10881">
          <cell r="H10881" t="str">
            <v>SL095.0G1W001WREC</v>
          </cell>
          <cell r="I10881" t="str">
            <v>95 GL 1X WK W/RECY 1</v>
          </cell>
        </row>
        <row r="10882">
          <cell r="H10882" t="str">
            <v>EXTRA-RES</v>
          </cell>
          <cell r="I10882" t="str">
            <v>EXTRA CAN, BAG, BOX - RES</v>
          </cell>
        </row>
        <row r="10883">
          <cell r="H10883" t="str">
            <v>OW-RES</v>
          </cell>
          <cell r="I10883" t="str">
            <v>OVERFILL / OVERWEIGHT CAN</v>
          </cell>
        </row>
        <row r="10884">
          <cell r="H10884" t="str">
            <v>REINSTATE-RES</v>
          </cell>
          <cell r="I10884" t="str">
            <v>REINSTATE FEE - RES</v>
          </cell>
        </row>
        <row r="10885">
          <cell r="H10885" t="str">
            <v>RENT20MO-RO</v>
          </cell>
          <cell r="I10885" t="str">
            <v>RENTAL FEE 20 YD MONTHLY</v>
          </cell>
        </row>
        <row r="10886">
          <cell r="H10886" t="str">
            <v>CLEAN30-RO</v>
          </cell>
          <cell r="I10886" t="str">
            <v>CLEANING FEE 30 YD - RO</v>
          </cell>
        </row>
        <row r="10887">
          <cell r="H10887" t="str">
            <v>DISCO-CP</v>
          </cell>
          <cell r="I10887" t="str">
            <v xml:space="preserve">COMPACTOR DISCONNECT FEE </v>
          </cell>
        </row>
        <row r="10888">
          <cell r="H10888" t="str">
            <v>DISP-RO</v>
          </cell>
          <cell r="I10888" t="str">
            <v>DISPOSAL CHARGE - RO</v>
          </cell>
        </row>
        <row r="10889">
          <cell r="H10889" t="str">
            <v>HAUL20-RO</v>
          </cell>
          <cell r="I10889" t="str">
            <v>HAUL 20 YD - RO</v>
          </cell>
        </row>
        <row r="10890">
          <cell r="H10890" t="str">
            <v>HAUL25-CP</v>
          </cell>
          <cell r="I10890" t="str">
            <v>COMPACTOR HAUL 25 YD - RO</v>
          </cell>
        </row>
        <row r="10891">
          <cell r="H10891" t="str">
            <v>HAUL30-CP</v>
          </cell>
          <cell r="I10891" t="str">
            <v>COMPACTOR HAUL 30 YD</v>
          </cell>
        </row>
        <row r="10892">
          <cell r="H10892" t="str">
            <v>RTRNTRIP-RO</v>
          </cell>
          <cell r="I10892" t="str">
            <v>RETURN TRIP FEE - RO</v>
          </cell>
        </row>
        <row r="10893">
          <cell r="H10893" t="str">
            <v>COMMODITY SURCHARGE</v>
          </cell>
          <cell r="I10893" t="str">
            <v>COMMODITY SURCHARGE</v>
          </cell>
        </row>
        <row r="10894">
          <cell r="H10894" t="str">
            <v>UNIV PLACE SURCHARGE</v>
          </cell>
          <cell r="I10894" t="str">
            <v>UNIVERSITY PLACE SURCHARGE</v>
          </cell>
        </row>
        <row r="10895">
          <cell r="H10895" t="str">
            <v>UNIV PLACE SURCHARGE</v>
          </cell>
          <cell r="I10895" t="str">
            <v>UNIVERSITY PLACE SURCHARGE</v>
          </cell>
        </row>
        <row r="10896">
          <cell r="H10896" t="str">
            <v>UNIV PLACE SURCHARGE</v>
          </cell>
          <cell r="I10896" t="str">
            <v>UNIVERSITY PLACE SURCHARGE</v>
          </cell>
        </row>
        <row r="10897">
          <cell r="H10897" t="str">
            <v>UNIV PLACE SURCHARGE</v>
          </cell>
          <cell r="I10897" t="str">
            <v>UNIVERSITY PLACE SURCHARGE</v>
          </cell>
        </row>
        <row r="10898">
          <cell r="H10898" t="str">
            <v>UNIV PLACE SURCHARGE</v>
          </cell>
          <cell r="I10898" t="str">
            <v>UNIVERSITY PLACE SURCHARGE</v>
          </cell>
        </row>
        <row r="10899">
          <cell r="H10899" t="str">
            <v>UP CITY UTILITY TAX</v>
          </cell>
          <cell r="I10899" t="str">
            <v>6% CITY UTILITY TAX</v>
          </cell>
        </row>
        <row r="10900">
          <cell r="H10900" t="str">
            <v>UP CITY ONLY</v>
          </cell>
          <cell r="I10900" t="str">
            <v>6% CITY UTILITY TAX</v>
          </cell>
        </row>
        <row r="10901">
          <cell r="H10901" t="str">
            <v>UP CITY UTILITY TAX</v>
          </cell>
          <cell r="I10901" t="str">
            <v>6% CITY UTILITY TAX</v>
          </cell>
        </row>
        <row r="10902">
          <cell r="H10902" t="str">
            <v>UP REFUSE TAX</v>
          </cell>
          <cell r="I10902" t="str">
            <v>3.6% WA STATE REFUSE TAX</v>
          </cell>
        </row>
        <row r="10903">
          <cell r="H10903" t="str">
            <v>UP CITY UTILITY TAX</v>
          </cell>
          <cell r="I10903" t="str">
            <v>6% CITY UTILITY TAX</v>
          </cell>
        </row>
        <row r="10904">
          <cell r="H10904" t="str">
            <v>UP REFUSE TAX</v>
          </cell>
          <cell r="I10904" t="str">
            <v>3.6% WA STATE REFUSE TAX</v>
          </cell>
        </row>
        <row r="10905">
          <cell r="H10905" t="str">
            <v>UP STATE SALES TAX</v>
          </cell>
          <cell r="I10905" t="str">
            <v>9.9% WA STATE SALES TAX</v>
          </cell>
        </row>
        <row r="10906">
          <cell r="H10906" t="str">
            <v>UP CITY UTILITY TAX</v>
          </cell>
          <cell r="I10906" t="str">
            <v>6% CITY UTILITY TAX</v>
          </cell>
        </row>
        <row r="10907">
          <cell r="H10907" t="str">
            <v>UP REFUSE TAX</v>
          </cell>
          <cell r="I10907" t="str">
            <v>3.6% WA STATE REFUSE TAX</v>
          </cell>
        </row>
        <row r="10908">
          <cell r="H10908" t="str">
            <v>UP CITY UTILITY TAX</v>
          </cell>
          <cell r="I10908" t="str">
            <v>6% CITY UTILITY TAX</v>
          </cell>
        </row>
        <row r="10909">
          <cell r="H10909" t="str">
            <v>UP REFUSE TAX</v>
          </cell>
          <cell r="I10909" t="str">
            <v>3.6% WA STATE REFUSE TAX</v>
          </cell>
        </row>
        <row r="10910">
          <cell r="H10910" t="str">
            <v>UP CITY UTILITY TAX</v>
          </cell>
          <cell r="I10910" t="str">
            <v>6% CITY UTILITY TAX</v>
          </cell>
        </row>
        <row r="10911">
          <cell r="H10911" t="str">
            <v>UP REFUSE TAX</v>
          </cell>
          <cell r="I10911" t="str">
            <v>3.6% WA STATE REFUSE TAX</v>
          </cell>
        </row>
        <row r="10912">
          <cell r="H10912" t="str">
            <v>UP STATE SALES TAX</v>
          </cell>
          <cell r="I10912" t="str">
            <v>9.9% WA STATE SALES TAX</v>
          </cell>
        </row>
        <row r="10913">
          <cell r="H10913" t="str">
            <v>DISPFEDMSW-COMM</v>
          </cell>
          <cell r="I10913" t="str">
            <v>DISPOSAL FEDERAL MSW - CO</v>
          </cell>
        </row>
        <row r="10914">
          <cell r="H10914" t="str">
            <v>FL001.5Y1W001</v>
          </cell>
          <cell r="I10914" t="str">
            <v>1.5 YD 1X WK 1</v>
          </cell>
        </row>
        <row r="10915">
          <cell r="H10915" t="str">
            <v>CONTRACTEDC</v>
          </cell>
          <cell r="I10915" t="str">
            <v>CONTRACTED SERVICE - COMM</v>
          </cell>
        </row>
        <row r="10916">
          <cell r="H10916" t="str">
            <v>DISPTONER-COMM</v>
          </cell>
          <cell r="I10916" t="str">
            <v>DISPOSAL TONER - COMM</v>
          </cell>
        </row>
        <row r="10917">
          <cell r="H10917" t="str">
            <v>PAYEFT</v>
          </cell>
          <cell r="I10917" t="str">
            <v>EFT PAYMENT</v>
          </cell>
        </row>
        <row r="10918">
          <cell r="H10918" t="str">
            <v>DISPBATT-RO</v>
          </cell>
          <cell r="I10918" t="str">
            <v>DISPOSAL BATTERIES - RO</v>
          </cell>
        </row>
        <row r="10919">
          <cell r="H10919" t="str">
            <v>DISPCMGL-RO</v>
          </cell>
          <cell r="I10919" t="str">
            <v xml:space="preserve">DISPOSAL FEE COMMINGLE - </v>
          </cell>
        </row>
        <row r="10920">
          <cell r="H10920" t="str">
            <v>DISPEWASTE-RO</v>
          </cell>
          <cell r="I10920" t="str">
            <v>DISPOSAL FEE EWASTE - RO</v>
          </cell>
        </row>
        <row r="10921">
          <cell r="H10921" t="str">
            <v>DISPFEDMSW-RO</v>
          </cell>
          <cell r="I10921" t="str">
            <v xml:space="preserve">DISPOSAL FEE FEDERAL MSW </v>
          </cell>
        </row>
        <row r="10922">
          <cell r="H10922" t="str">
            <v>DISPFOOD-RO</v>
          </cell>
          <cell r="I10922" t="str">
            <v>DISPOSAL FEE FOOD WASTE -</v>
          </cell>
        </row>
        <row r="10923">
          <cell r="H10923" t="str">
            <v>DISPGLASS-RO</v>
          </cell>
          <cell r="I10923" t="str">
            <v>DISPOSAL FEE GLASS - RO</v>
          </cell>
        </row>
        <row r="10924">
          <cell r="H10924" t="str">
            <v>DISPGW-RO</v>
          </cell>
          <cell r="I10924" t="str">
            <v>DISPOSAL FEE GREENWASTE -</v>
          </cell>
        </row>
        <row r="10925">
          <cell r="H10925" t="str">
            <v>DISPMETAL-RO</v>
          </cell>
          <cell r="I10925" t="str">
            <v>DISPOSAL FEE METAL - RO</v>
          </cell>
        </row>
        <row r="10926">
          <cell r="H10926" t="str">
            <v>DISPOCC-RO</v>
          </cell>
          <cell r="I10926" t="str">
            <v xml:space="preserve">DISPOSAL FEE CARDBOARD - </v>
          </cell>
        </row>
        <row r="10927">
          <cell r="H10927" t="str">
            <v>DISPSLUDGE-RO</v>
          </cell>
          <cell r="I10927" t="str">
            <v>DISPOSAL FEE SLUDGE - RO</v>
          </cell>
        </row>
        <row r="10928">
          <cell r="H10928" t="str">
            <v>DISPTEX-RO</v>
          </cell>
          <cell r="I10928" t="str">
            <v>DISPOSAL TEXTILE - RO</v>
          </cell>
        </row>
        <row r="10929">
          <cell r="H10929" t="str">
            <v>DISPWD-RO</v>
          </cell>
          <cell r="I10929" t="str">
            <v>DISPOSAL FEE WOOD - RO</v>
          </cell>
        </row>
        <row r="10930">
          <cell r="H10930" t="str">
            <v>HAUL20-RO</v>
          </cell>
          <cell r="I10930" t="str">
            <v>HAUL 20 YD - RO</v>
          </cell>
        </row>
        <row r="10931">
          <cell r="H10931" t="str">
            <v>HAUL30-RO</v>
          </cell>
          <cell r="I10931" t="str">
            <v>HAUL 30 YD - RO</v>
          </cell>
        </row>
        <row r="10932">
          <cell r="H10932" t="str">
            <v>HAUL50-RO</v>
          </cell>
          <cell r="I10932" t="str">
            <v>HAUL 50 YD - RO</v>
          </cell>
        </row>
        <row r="10933">
          <cell r="H10933" t="str">
            <v>S124</v>
          </cell>
          <cell r="I10933" t="str">
            <v>AC SPECIAL TRIPS</v>
          </cell>
        </row>
        <row r="10934">
          <cell r="H10934" t="str">
            <v>BD</v>
          </cell>
          <cell r="I10934" t="str">
            <v>BAD DEBT WRITE OFF</v>
          </cell>
        </row>
        <row r="10935">
          <cell r="H10935" t="str">
            <v>FINCHG</v>
          </cell>
          <cell r="I10935" t="str">
            <v>LATE FEE</v>
          </cell>
        </row>
        <row r="10936">
          <cell r="H10936" t="str">
            <v>MM</v>
          </cell>
          <cell r="I10936" t="str">
            <v>ADJUST BALANCE (MM)</v>
          </cell>
        </row>
        <row r="10937">
          <cell r="H10937" t="str">
            <v>MM</v>
          </cell>
          <cell r="I10937" t="str">
            <v>ADJUST BALANCE (MM)</v>
          </cell>
        </row>
        <row r="10938">
          <cell r="H10938" t="str">
            <v>REFUND</v>
          </cell>
          <cell r="I10938" t="str">
            <v>REFUND</v>
          </cell>
        </row>
        <row r="10939">
          <cell r="H10939" t="str">
            <v>FINCHG</v>
          </cell>
          <cell r="I10939" t="str">
            <v>LATE FEE</v>
          </cell>
        </row>
        <row r="10940">
          <cell r="H10940" t="str">
            <v>BDR</v>
          </cell>
          <cell r="I10940" t="str">
            <v>BAD DEBT RECOVERY</v>
          </cell>
        </row>
        <row r="10941">
          <cell r="H10941" t="str">
            <v>MM</v>
          </cell>
          <cell r="I10941" t="str">
            <v>ADJUST BALANCE (MM)</v>
          </cell>
        </row>
        <row r="10942">
          <cell r="H10942" t="str">
            <v>FINCHG</v>
          </cell>
          <cell r="I10942" t="str">
            <v>LATE FEE</v>
          </cell>
        </row>
        <row r="10943">
          <cell r="H10943" t="str">
            <v>CANCOUNT95-COMM</v>
          </cell>
          <cell r="I10943" t="str">
            <v>CAN COUNT 95 GL - COMM</v>
          </cell>
        </row>
        <row r="10944">
          <cell r="H10944" t="str">
            <v>ACCESS-COMM</v>
          </cell>
          <cell r="I10944" t="str">
            <v>ACCESS FEE - COMM</v>
          </cell>
        </row>
        <row r="10945">
          <cell r="H10945" t="str">
            <v>DONATIONC</v>
          </cell>
          <cell r="I10945" t="str">
            <v>DONATED SERVICE COMM</v>
          </cell>
        </row>
        <row r="10946">
          <cell r="H10946" t="str">
            <v>DRIVEIN1-COMM</v>
          </cell>
          <cell r="I10946" t="str">
            <v>DRIVE IN 125-250' - COMM</v>
          </cell>
        </row>
        <row r="10947">
          <cell r="H10947" t="str">
            <v>FL001.0Y1W001</v>
          </cell>
          <cell r="I10947" t="str">
            <v>1 YD 1X WK 1</v>
          </cell>
        </row>
        <row r="10948">
          <cell r="H10948" t="str">
            <v>FL001.5Y1W001</v>
          </cell>
          <cell r="I10948" t="str">
            <v>1.5 YD 1X WK 1</v>
          </cell>
        </row>
        <row r="10949">
          <cell r="H10949" t="str">
            <v>FL001.5Y2W001</v>
          </cell>
          <cell r="I10949" t="str">
            <v>1.5 YD 2X WK 1</v>
          </cell>
        </row>
        <row r="10950">
          <cell r="H10950" t="str">
            <v>FL002.0Y1W001</v>
          </cell>
          <cell r="I10950" t="str">
            <v>2 YD 1X WK 1</v>
          </cell>
        </row>
        <row r="10951">
          <cell r="H10951" t="str">
            <v>FL002.0Y2W001</v>
          </cell>
          <cell r="I10951" t="str">
            <v>2 YD 2X WK 1</v>
          </cell>
        </row>
        <row r="10952">
          <cell r="H10952" t="str">
            <v>FL002.0Y3W001</v>
          </cell>
          <cell r="I10952" t="str">
            <v>2 YD 3X WK 1</v>
          </cell>
        </row>
        <row r="10953">
          <cell r="H10953" t="str">
            <v>FL003.0Y1W001</v>
          </cell>
          <cell r="I10953" t="str">
            <v>3 YD 1X WK 1</v>
          </cell>
        </row>
        <row r="10954">
          <cell r="H10954" t="str">
            <v>FL003.0Y2W001</v>
          </cell>
          <cell r="I10954" t="str">
            <v>3 YD 2X WK 1</v>
          </cell>
        </row>
        <row r="10955">
          <cell r="H10955" t="str">
            <v>FL003.0Y3W001</v>
          </cell>
          <cell r="I10955" t="str">
            <v>3 YD 3X WK 1</v>
          </cell>
        </row>
        <row r="10956">
          <cell r="H10956" t="str">
            <v>FL004.0Y1W001</v>
          </cell>
          <cell r="I10956" t="str">
            <v>4 YD 1X WK 1</v>
          </cell>
        </row>
        <row r="10957">
          <cell r="H10957" t="str">
            <v>FL004.0Y2W001</v>
          </cell>
          <cell r="I10957" t="str">
            <v>4 YD 2X WK 1</v>
          </cell>
        </row>
        <row r="10958">
          <cell r="H10958" t="str">
            <v>FL004.0Y3W001</v>
          </cell>
          <cell r="I10958" t="str">
            <v>4 YD 3X WK 1</v>
          </cell>
        </row>
        <row r="10959">
          <cell r="H10959" t="str">
            <v>FL006.0Y1W001</v>
          </cell>
          <cell r="I10959" t="str">
            <v>6 YD 1X WK 1</v>
          </cell>
        </row>
        <row r="10960">
          <cell r="H10960" t="str">
            <v>FL006.0Y2W001</v>
          </cell>
          <cell r="I10960" t="str">
            <v>6 YD 2X WK 1</v>
          </cell>
        </row>
        <row r="10961">
          <cell r="H10961" t="str">
            <v>FL006.0Y4W001</v>
          </cell>
          <cell r="I10961" t="str">
            <v>6 YD 4X WK 1</v>
          </cell>
        </row>
        <row r="10962">
          <cell r="H10962" t="str">
            <v>ROLL-COMM</v>
          </cell>
          <cell r="I10962" t="str">
            <v>ROLL OUT CHARGE - COMM</v>
          </cell>
        </row>
        <row r="10963">
          <cell r="H10963" t="str">
            <v>SL065.0G1W001NORECC</v>
          </cell>
          <cell r="I10963" t="str">
            <v xml:space="preserve">65 GL 1X WK NO RECY COMM </v>
          </cell>
        </row>
        <row r="10964">
          <cell r="H10964" t="str">
            <v>SL065.0G1W001WRECC</v>
          </cell>
          <cell r="I10964" t="str">
            <v>65 GL 1X WK W/RECY COMM 1</v>
          </cell>
        </row>
        <row r="10965">
          <cell r="H10965" t="str">
            <v>SL065.0GEO001WRECC</v>
          </cell>
          <cell r="I10965" t="str">
            <v>65 GL EOW W/RECY COMM 1</v>
          </cell>
        </row>
        <row r="10966">
          <cell r="H10966" t="str">
            <v>SL095.0G1W001NORECC</v>
          </cell>
          <cell r="I10966" t="str">
            <v xml:space="preserve">95 GL 1X WK NO RECY COMM </v>
          </cell>
        </row>
        <row r="10967">
          <cell r="H10967" t="str">
            <v>SL095.0G1W001WRECC</v>
          </cell>
          <cell r="I10967" t="str">
            <v>95 GL 1X WK W/RECY COMM 1</v>
          </cell>
        </row>
        <row r="10968">
          <cell r="H10968" t="str">
            <v>CLEAN-COMM</v>
          </cell>
          <cell r="I10968" t="str">
            <v xml:space="preserve">CONTAINER CLEANING FEE - </v>
          </cell>
        </row>
        <row r="10969">
          <cell r="H10969" t="str">
            <v>CLEAN2-COMM</v>
          </cell>
          <cell r="I10969" t="str">
            <v>CLEANING FEE 2 YD - COMM</v>
          </cell>
        </row>
        <row r="10970">
          <cell r="H10970" t="str">
            <v>EXTRA-COMM</v>
          </cell>
          <cell r="I10970" t="str">
            <v>EXTRA CAN, BAG, BOX - COM</v>
          </cell>
        </row>
        <row r="10971">
          <cell r="H10971" t="str">
            <v>FL002.0YXX001TEMPC</v>
          </cell>
          <cell r="I10971" t="str">
            <v xml:space="preserve">2 YD TEMP </v>
          </cell>
        </row>
        <row r="10972">
          <cell r="H10972" t="str">
            <v>FL006.0YXX001TEMPC</v>
          </cell>
          <cell r="I10972" t="str">
            <v>6 YD TEMP 1</v>
          </cell>
        </row>
        <row r="10973">
          <cell r="H10973" t="str">
            <v>RENT2TEMP-COMM</v>
          </cell>
          <cell r="I10973" t="str">
            <v>RENT 2 YD TEMP - COMM</v>
          </cell>
        </row>
        <row r="10974">
          <cell r="H10974" t="str">
            <v>RENT6TEMP-COMM</v>
          </cell>
          <cell r="I10974" t="str">
            <v>RENT 6 YD TEMP - COMM</v>
          </cell>
        </row>
        <row r="10975">
          <cell r="H10975" t="str">
            <v>ACCESSCREC-COMM</v>
          </cell>
          <cell r="I10975" t="str">
            <v>ACCESS FEE COMM RECY - CO</v>
          </cell>
        </row>
        <row r="10976">
          <cell r="H10976" t="str">
            <v>FL002.0Y1W001BCMGL</v>
          </cell>
          <cell r="I10976" t="str">
            <v>2 YD 1X WK BUS CMGL 1</v>
          </cell>
        </row>
        <row r="10977">
          <cell r="H10977" t="str">
            <v>FL002.0Y1W001BOCC</v>
          </cell>
          <cell r="I10977" t="str">
            <v>2 YD 1X WK BUS OCC 1</v>
          </cell>
        </row>
        <row r="10978">
          <cell r="H10978" t="str">
            <v>FL004.0Y2W001CMGL</v>
          </cell>
          <cell r="I10978" t="str">
            <v>4 YD 2X WK BUS CMGL 1</v>
          </cell>
        </row>
        <row r="10979">
          <cell r="H10979" t="str">
            <v>FL005.0Y1W001BOCC</v>
          </cell>
          <cell r="I10979" t="str">
            <v>5 YD 1X WK BUS OCC 1</v>
          </cell>
        </row>
        <row r="10980">
          <cell r="H10980" t="str">
            <v>FL005.0Y2W001BOCC</v>
          </cell>
          <cell r="I10980" t="str">
            <v>5 YD 2X WK BUS OCC 1</v>
          </cell>
        </row>
        <row r="10981">
          <cell r="H10981" t="str">
            <v>FL005.0Y3W001BOCC</v>
          </cell>
          <cell r="I10981" t="str">
            <v>5 YD 3X WK BUS OCC 1</v>
          </cell>
        </row>
        <row r="10982">
          <cell r="H10982" t="str">
            <v>FL006.0Y1W001BCMGL</v>
          </cell>
          <cell r="I10982" t="str">
            <v>6 YD 1X WK BUS COMINGLE 1</v>
          </cell>
        </row>
        <row r="10983">
          <cell r="H10983" t="str">
            <v>FL006.0Y2W001BCMGL</v>
          </cell>
          <cell r="I10983" t="str">
            <v>6 YD 2X WK BUS COMINGLE 1</v>
          </cell>
        </row>
        <row r="10984">
          <cell r="H10984" t="str">
            <v>FL006.0Y4W001OCC</v>
          </cell>
          <cell r="I10984" t="str">
            <v>6 YD 4X WK OCC 1</v>
          </cell>
        </row>
        <row r="10985">
          <cell r="H10985" t="str">
            <v>MFWBINS</v>
          </cell>
          <cell r="I10985" t="str">
            <v>MULTI-FAMILY REC UNIT W/B</v>
          </cell>
        </row>
        <row r="10986">
          <cell r="H10986" t="str">
            <v>SL096.0G1W001BCMGLOUT</v>
          </cell>
          <cell r="I10986" t="str">
            <v>96 GL WKLY BUS CMGL OUT</v>
          </cell>
        </row>
        <row r="10987">
          <cell r="H10987" t="str">
            <v>SL096.0GEO001BCMGLOUT</v>
          </cell>
          <cell r="I10987" t="str">
            <v>96 GL EOW BUS CMGL OUT</v>
          </cell>
        </row>
        <row r="10988">
          <cell r="H10988" t="str">
            <v>CC-KOL</v>
          </cell>
          <cell r="I10988" t="str">
            <v>ONLINE PAYMENT-CC</v>
          </cell>
        </row>
        <row r="10989">
          <cell r="H10989" t="str">
            <v>CCREF-KOL</v>
          </cell>
          <cell r="I10989" t="str">
            <v>CREDIT CARD REFUND</v>
          </cell>
        </row>
        <row r="10990">
          <cell r="H10990" t="str">
            <v>PAY</v>
          </cell>
          <cell r="I10990" t="str">
            <v>PAYMENT THANK YOU</v>
          </cell>
        </row>
        <row r="10991">
          <cell r="H10991" t="str">
            <v>PAY-CFREE</v>
          </cell>
          <cell r="I10991" t="str">
            <v>CHECKFREE PAYMENT</v>
          </cell>
        </row>
        <row r="10992">
          <cell r="H10992" t="str">
            <v>PAY-KOL</v>
          </cell>
          <cell r="I10992" t="str">
            <v>PAYMENT-THANK YOU - OL</v>
          </cell>
        </row>
        <row r="10993">
          <cell r="H10993" t="str">
            <v>PAY-ORCC</v>
          </cell>
          <cell r="I10993" t="str">
            <v>ORCC PAYMENT</v>
          </cell>
        </row>
        <row r="10994">
          <cell r="H10994" t="str">
            <v>PAY-RPPS</v>
          </cell>
          <cell r="I10994" t="str">
            <v>RPPS MASTERCARD PAYMENT</v>
          </cell>
        </row>
        <row r="10995">
          <cell r="H10995" t="str">
            <v>PAYAD</v>
          </cell>
          <cell r="I10995" t="str">
            <v>ADJUST PAYMENT AD</v>
          </cell>
        </row>
        <row r="10996">
          <cell r="H10996" t="str">
            <v>PAYMET</v>
          </cell>
          <cell r="I10996" t="str">
            <v>METAVANTE ONLINE PAYMENT</v>
          </cell>
        </row>
        <row r="10997">
          <cell r="H10997" t="str">
            <v>PAYPNCL</v>
          </cell>
          <cell r="I10997" t="str">
            <v>PAYMENT THANK YOU!</v>
          </cell>
        </row>
        <row r="10998">
          <cell r="H10998" t="str">
            <v>PAYUSBL</v>
          </cell>
          <cell r="I10998" t="str">
            <v>PAYMENT THANK YOU</v>
          </cell>
        </row>
        <row r="10999">
          <cell r="H10999" t="str">
            <v>RET-KOL</v>
          </cell>
          <cell r="I10999" t="str">
            <v>ONLINE PAYMENT RETURN</v>
          </cell>
        </row>
        <row r="11000">
          <cell r="H11000" t="str">
            <v>CC-KOL</v>
          </cell>
          <cell r="I11000" t="str">
            <v>ONLINE PAYMENT-CC</v>
          </cell>
        </row>
        <row r="11001">
          <cell r="H11001" t="str">
            <v>PAY</v>
          </cell>
          <cell r="I11001" t="str">
            <v>PAYMENT THANK YOU</v>
          </cell>
        </row>
        <row r="11002">
          <cell r="H11002" t="str">
            <v>PAY-CFREE</v>
          </cell>
          <cell r="I11002" t="str">
            <v>CHECKFREE PAYMENT</v>
          </cell>
        </row>
        <row r="11003">
          <cell r="H11003" t="str">
            <v>PAY-KOL</v>
          </cell>
          <cell r="I11003" t="str">
            <v>PAYMENT-THANK YOU - OL</v>
          </cell>
        </row>
        <row r="11004">
          <cell r="H11004" t="str">
            <v>PAY-ORCC</v>
          </cell>
          <cell r="I11004" t="str">
            <v>ORCC PAYMENT</v>
          </cell>
        </row>
        <row r="11005">
          <cell r="H11005" t="str">
            <v>PAY-RPPS</v>
          </cell>
          <cell r="I11005" t="str">
            <v>RPPS MASTERCARD PAYMENT</v>
          </cell>
        </row>
        <row r="11006">
          <cell r="H11006" t="str">
            <v>PAYMET</v>
          </cell>
          <cell r="I11006" t="str">
            <v>METAVANTE ONLINE PAYMENT</v>
          </cell>
        </row>
        <row r="11007">
          <cell r="H11007" t="str">
            <v>PAYUSBL</v>
          </cell>
          <cell r="I11007" t="str">
            <v>PAYMENT THANK YOU</v>
          </cell>
        </row>
        <row r="11008">
          <cell r="H11008" t="str">
            <v>RET-KOL</v>
          </cell>
          <cell r="I11008" t="str">
            <v>ONLINE PAYMENT RETURN</v>
          </cell>
        </row>
        <row r="11009">
          <cell r="H11009" t="str">
            <v>CC-KOL</v>
          </cell>
          <cell r="I11009" t="str">
            <v>ONLINE PAYMENT-CC</v>
          </cell>
        </row>
        <row r="11010">
          <cell r="H11010" t="str">
            <v>PAY</v>
          </cell>
          <cell r="I11010" t="str">
            <v>PAYMENT THANK YOU</v>
          </cell>
        </row>
        <row r="11011">
          <cell r="H11011" t="str">
            <v>PAY-CFREE</v>
          </cell>
          <cell r="I11011" t="str">
            <v>CHECKFREE PAYMENT</v>
          </cell>
        </row>
        <row r="11012">
          <cell r="H11012" t="str">
            <v>PAY-KOL</v>
          </cell>
          <cell r="I11012" t="str">
            <v>PAYMENT-THANK YOU - OL</v>
          </cell>
        </row>
        <row r="11013">
          <cell r="H11013" t="str">
            <v>PAY-NATL</v>
          </cell>
          <cell r="I11013" t="str">
            <v>PAYMENT THANK YOU</v>
          </cell>
        </row>
        <row r="11014">
          <cell r="H11014" t="str">
            <v>PAY-OAK</v>
          </cell>
          <cell r="I11014" t="str">
            <v>OAKLEAF PAYMENT</v>
          </cell>
        </row>
        <row r="11015">
          <cell r="H11015" t="str">
            <v>PAY-ORCC</v>
          </cell>
          <cell r="I11015" t="str">
            <v>ORCC PAYMENT</v>
          </cell>
        </row>
        <row r="11016">
          <cell r="H11016" t="str">
            <v>PAY-RPPS</v>
          </cell>
          <cell r="I11016" t="str">
            <v>RPPS MASTERCARD PAYMENT</v>
          </cell>
        </row>
        <row r="11017">
          <cell r="H11017" t="str">
            <v>PAYICT</v>
          </cell>
          <cell r="I11017" t="str">
            <v>I/C PAYMENT THANK YOU</v>
          </cell>
        </row>
        <row r="11018">
          <cell r="H11018" t="str">
            <v>PAYMET</v>
          </cell>
          <cell r="I11018" t="str">
            <v>METAVANTE ONLINE PAYMENT</v>
          </cell>
        </row>
        <row r="11019">
          <cell r="H11019" t="str">
            <v>PAYPNCL</v>
          </cell>
          <cell r="I11019" t="str">
            <v>PAYMENT THANK YOU!</v>
          </cell>
        </row>
        <row r="11020">
          <cell r="H11020" t="str">
            <v>PAYUSBL</v>
          </cell>
          <cell r="I11020" t="str">
            <v>PAYMENT THANK YOU</v>
          </cell>
        </row>
        <row r="11021">
          <cell r="H11021" t="str">
            <v>GWRES</v>
          </cell>
          <cell r="I11021" t="str">
            <v>GREENWASTE SERVICE - RES</v>
          </cell>
        </row>
        <row r="11022">
          <cell r="H11022" t="str">
            <v>S45G1W1</v>
          </cell>
          <cell r="I11022" t="str">
            <v>45 GL 1X WK 1</v>
          </cell>
        </row>
        <row r="11023">
          <cell r="H11023" t="str">
            <v>S45G1W2</v>
          </cell>
          <cell r="I11023" t="str">
            <v>45 GL 1X WK 2</v>
          </cell>
        </row>
        <row r="11024">
          <cell r="H11024" t="str">
            <v>S45G1W3</v>
          </cell>
          <cell r="I11024" t="str">
            <v>45 GL 1X WK 3</v>
          </cell>
        </row>
        <row r="11025">
          <cell r="H11025" t="str">
            <v>S45GEO1</v>
          </cell>
          <cell r="I11025" t="str">
            <v>45 GL EOW 1</v>
          </cell>
        </row>
        <row r="11026">
          <cell r="H11026" t="str">
            <v>SL065.0G1W001WREC</v>
          </cell>
          <cell r="I11026" t="str">
            <v>65 GL 1X WK W/RECY 1</v>
          </cell>
        </row>
        <row r="11027">
          <cell r="H11027" t="str">
            <v>SL095.0G1W001WREC</v>
          </cell>
          <cell r="I11027" t="str">
            <v>95 GL 1X WK W/RECY 1</v>
          </cell>
        </row>
        <row r="11028">
          <cell r="H11028" t="str">
            <v>EXTRA-RES</v>
          </cell>
          <cell r="I11028" t="str">
            <v>EXTRA CAN, BAG, BOX - RES</v>
          </cell>
        </row>
        <row r="11029">
          <cell r="H11029" t="str">
            <v>EXTRAGWC-RES</v>
          </cell>
          <cell r="I11029" t="str">
            <v>EXTRA GREENWASTE FEE - RE</v>
          </cell>
        </row>
        <row r="11030">
          <cell r="H11030" t="str">
            <v>OW-RES</v>
          </cell>
          <cell r="I11030" t="str">
            <v>OVERFILL / OVERWEIGHT CAN</v>
          </cell>
        </row>
        <row r="11031">
          <cell r="H11031" t="str">
            <v>REINSTATE-RES</v>
          </cell>
          <cell r="I11031" t="str">
            <v>REINSTATE FEE - RES</v>
          </cell>
        </row>
        <row r="11032">
          <cell r="H11032" t="str">
            <v>RTRNCART45-RES</v>
          </cell>
          <cell r="I11032" t="str">
            <v>RETURN TRIP 45 GL - RES</v>
          </cell>
        </row>
        <row r="11033">
          <cell r="H11033" t="str">
            <v>S45G1W1</v>
          </cell>
          <cell r="I11033" t="str">
            <v>45 GL 1X WK 1</v>
          </cell>
        </row>
        <row r="11034">
          <cell r="H11034" t="str">
            <v>S45GEO1</v>
          </cell>
          <cell r="I11034" t="str">
            <v>45 GL EOW 1</v>
          </cell>
        </row>
        <row r="11035">
          <cell r="H11035" t="str">
            <v>GWRES</v>
          </cell>
          <cell r="I11035" t="str">
            <v>GREENWASTE SERVICE - RES</v>
          </cell>
        </row>
        <row r="11036">
          <cell r="H11036" t="str">
            <v>RECBINONLYR</v>
          </cell>
          <cell r="I11036" t="str">
            <v>RECYCLE SERVICE ONLY</v>
          </cell>
        </row>
        <row r="11037">
          <cell r="H11037" t="str">
            <v>S45G1W1</v>
          </cell>
          <cell r="I11037" t="str">
            <v>45 GL 1X WK 1</v>
          </cell>
        </row>
        <row r="11038">
          <cell r="H11038" t="str">
            <v>S45G1W2</v>
          </cell>
          <cell r="I11038" t="str">
            <v>45 GL 1X WK 2</v>
          </cell>
        </row>
        <row r="11039">
          <cell r="H11039" t="str">
            <v>S45G1W3</v>
          </cell>
          <cell r="I11039" t="str">
            <v>45 GL 1X WK 3</v>
          </cell>
        </row>
        <row r="11040">
          <cell r="H11040" t="str">
            <v>S45GEO1</v>
          </cell>
          <cell r="I11040" t="str">
            <v>45 GL EOW 1</v>
          </cell>
        </row>
        <row r="11041">
          <cell r="H11041" t="str">
            <v>SL020.0G1W001</v>
          </cell>
          <cell r="I11041" t="str">
            <v>20 GL 1X WK 1</v>
          </cell>
        </row>
        <row r="11042">
          <cell r="H11042" t="str">
            <v>SL045.0G1W001REC</v>
          </cell>
          <cell r="I11042" t="str">
            <v>45 GL 1X WK RECYCLE 1</v>
          </cell>
        </row>
        <row r="11043">
          <cell r="H11043" t="str">
            <v>SL065.0G1W001WREC</v>
          </cell>
          <cell r="I11043" t="str">
            <v>65 GL 1X WK W/RECY 1</v>
          </cell>
        </row>
        <row r="11044">
          <cell r="H11044" t="str">
            <v>SL095.0G1W001WREC</v>
          </cell>
          <cell r="I11044" t="str">
            <v>95 GL 1X WK W/RECY 1</v>
          </cell>
        </row>
        <row r="11045">
          <cell r="H11045" t="str">
            <v>BULKY-RES</v>
          </cell>
          <cell r="I11045" t="str">
            <v>BULKY ITEM PICK UP - RES</v>
          </cell>
        </row>
        <row r="11046">
          <cell r="H11046" t="str">
            <v>EXTRA-RES</v>
          </cell>
          <cell r="I11046" t="str">
            <v>EXTRA CAN, BAG, BOX - RES</v>
          </cell>
        </row>
        <row r="11047">
          <cell r="H11047" t="str">
            <v>EXTRAGWC-RES</v>
          </cell>
          <cell r="I11047" t="str">
            <v>EXTRA GREENWASTE FEE - RE</v>
          </cell>
        </row>
        <row r="11048">
          <cell r="H11048" t="str">
            <v>OW-RES</v>
          </cell>
          <cell r="I11048" t="str">
            <v>OVERFILL / OVERWEIGHT CAN</v>
          </cell>
        </row>
        <row r="11049">
          <cell r="H11049" t="str">
            <v>REINSTATE-RES</v>
          </cell>
          <cell r="I11049" t="str">
            <v>REINSTATE FEE - RES</v>
          </cell>
        </row>
        <row r="11050">
          <cell r="H11050" t="str">
            <v>RTRNCART45-RES</v>
          </cell>
          <cell r="I11050" t="str">
            <v>RETURN TRIP 45 GL - RES</v>
          </cell>
        </row>
        <row r="11051">
          <cell r="H11051" t="str">
            <v>RTRNCART65-RES</v>
          </cell>
          <cell r="I11051" t="str">
            <v>RETURN TRIP 65 GL - RES</v>
          </cell>
        </row>
        <row r="11052">
          <cell r="H11052" t="str">
            <v>S45G1W1</v>
          </cell>
          <cell r="I11052" t="str">
            <v>45 GL 1X WK 1</v>
          </cell>
        </row>
        <row r="11053">
          <cell r="H11053" t="str">
            <v>SL065.0G1W001WREC</v>
          </cell>
          <cell r="I11053" t="str">
            <v>65 GL 1X WK W/RECY 1</v>
          </cell>
        </row>
        <row r="11054">
          <cell r="H11054" t="str">
            <v>TIME-RES</v>
          </cell>
          <cell r="I11054" t="str">
            <v>TIME FEE 1 - RES</v>
          </cell>
        </row>
        <row r="11055">
          <cell r="H11055" t="str">
            <v>OW-RES</v>
          </cell>
          <cell r="I11055" t="str">
            <v>OVERFILL / OVERWEIGHT CAN</v>
          </cell>
        </row>
        <row r="11056">
          <cell r="H11056" t="str">
            <v>LIDRO</v>
          </cell>
          <cell r="I11056" t="str">
            <v>LID CHARGE - RO</v>
          </cell>
        </row>
        <row r="11057">
          <cell r="H11057" t="str">
            <v>RENT20MO-RO</v>
          </cell>
          <cell r="I11057" t="str">
            <v>RENTAL FEE 20 YD MONTHLY</v>
          </cell>
        </row>
        <row r="11058">
          <cell r="H11058" t="str">
            <v>RENT30MO-RO</v>
          </cell>
          <cell r="I11058" t="str">
            <v>RENTAL FEE 30 YD MONTHLY</v>
          </cell>
        </row>
        <row r="11059">
          <cell r="H11059" t="str">
            <v>RENT40MO-RO</v>
          </cell>
          <cell r="I11059" t="str">
            <v>RENTAL FEE 40 YD MONTHLY</v>
          </cell>
        </row>
        <row r="11060">
          <cell r="H11060" t="str">
            <v>CLEAN25-RO</v>
          </cell>
          <cell r="I11060" t="str">
            <v>CLEANING FEE 25 YD - RO</v>
          </cell>
        </row>
        <row r="11061">
          <cell r="H11061" t="str">
            <v>DEL20TEMP-RO</v>
          </cell>
          <cell r="I11061" t="str">
            <v>DELIVERY FEE 20 YD TEMP -</v>
          </cell>
        </row>
        <row r="11062">
          <cell r="H11062" t="str">
            <v>DEL30-RO</v>
          </cell>
          <cell r="I11062" t="str">
            <v>DELIVERY FEE 30 YD - RO</v>
          </cell>
        </row>
        <row r="11063">
          <cell r="H11063" t="str">
            <v>DISCO-CP</v>
          </cell>
          <cell r="I11063" t="str">
            <v xml:space="preserve">COMPACTOR DISCONNECT FEE </v>
          </cell>
        </row>
        <row r="11064">
          <cell r="H11064" t="str">
            <v>DISP-DONATION</v>
          </cell>
          <cell r="I11064" t="str">
            <v>DONATED DISPOSAL</v>
          </cell>
        </row>
        <row r="11065">
          <cell r="H11065" t="str">
            <v>DISP-RO</v>
          </cell>
          <cell r="I11065" t="str">
            <v>DISPOSAL CHARGE - RO</v>
          </cell>
        </row>
        <row r="11066">
          <cell r="H11066" t="str">
            <v>DISPTRANS-RO</v>
          </cell>
          <cell r="I11066" t="str">
            <v>DISPOSAL FEE TRANSFER HAU</v>
          </cell>
        </row>
        <row r="11067">
          <cell r="H11067" t="str">
            <v>FINAL20TEMP-RO</v>
          </cell>
          <cell r="I11067" t="str">
            <v>FINAL PULL 20 YD TEMP - R</v>
          </cell>
        </row>
        <row r="11068">
          <cell r="H11068" t="str">
            <v>HAUL20-RO</v>
          </cell>
          <cell r="I11068" t="str">
            <v>HAUL 20 YD - RO</v>
          </cell>
        </row>
        <row r="11069">
          <cell r="H11069" t="str">
            <v>HAUL25-CP</v>
          </cell>
          <cell r="I11069" t="str">
            <v>COMPACTOR HAUL 25 YD - RO</v>
          </cell>
        </row>
        <row r="11070">
          <cell r="H11070" t="str">
            <v>HAUL30-RO</v>
          </cell>
          <cell r="I11070" t="str">
            <v>HAUL 30 YD - RO</v>
          </cell>
        </row>
        <row r="11071">
          <cell r="H11071" t="str">
            <v>HAUL40-CP</v>
          </cell>
          <cell r="I11071" t="str">
            <v>COMPACTOR HAUL 40 YD</v>
          </cell>
        </row>
        <row r="11072">
          <cell r="H11072" t="str">
            <v>HAUL40-RO</v>
          </cell>
          <cell r="I11072" t="str">
            <v>HAUL 40 YD - RO</v>
          </cell>
        </row>
        <row r="11073">
          <cell r="H11073" t="str">
            <v>MILE-RO</v>
          </cell>
          <cell r="I11073" t="str">
            <v>MILEAGE FEE - RO</v>
          </cell>
        </row>
        <row r="11074">
          <cell r="H11074" t="str">
            <v>RENT20TEMP-RO</v>
          </cell>
          <cell r="I11074" t="str">
            <v>RENTAL FEE 20 YD TEMP - R</v>
          </cell>
        </row>
        <row r="11075">
          <cell r="H11075" t="str">
            <v>RTRNTRIP-RO</v>
          </cell>
          <cell r="I11075" t="str">
            <v>RETURN TRIP FEE - RO</v>
          </cell>
        </row>
        <row r="11076">
          <cell r="H11076" t="str">
            <v>DISPGLASS-RO</v>
          </cell>
          <cell r="I11076" t="str">
            <v>DISPOSAL FEE GLASS - RO</v>
          </cell>
        </row>
        <row r="11077">
          <cell r="H11077" t="str">
            <v>DISPOCC-RO</v>
          </cell>
          <cell r="I11077" t="str">
            <v xml:space="preserve">DISPOSAL FEE CARDBOARD - </v>
          </cell>
        </row>
        <row r="11078">
          <cell r="H11078" t="str">
            <v>HAUL30-RO</v>
          </cell>
          <cell r="I11078" t="str">
            <v>HAUL 30 YD - RO</v>
          </cell>
        </row>
        <row r="11079">
          <cell r="H11079" t="str">
            <v>COMMODITY SURCHARGE</v>
          </cell>
          <cell r="I11079" t="str">
            <v>COMMODITY SURCHARGE</v>
          </cell>
        </row>
        <row r="11080">
          <cell r="H11080" t="str">
            <v>COMMODITY SURCHARGE</v>
          </cell>
          <cell r="I11080" t="str">
            <v>COMMODITY SURCHARGE</v>
          </cell>
        </row>
        <row r="11081">
          <cell r="H11081" t="str">
            <v>DUPONT CITY UTILITY TAX</v>
          </cell>
          <cell r="I11081" t="str">
            <v>8% CITY UTILITY TAX</v>
          </cell>
        </row>
        <row r="11082">
          <cell r="H11082" t="str">
            <v>DUPONT REFUSE TAX</v>
          </cell>
          <cell r="I11082" t="str">
            <v>3.6% WA STATE REFUSE TAX</v>
          </cell>
        </row>
        <row r="11083">
          <cell r="H11083" t="str">
            <v>DUPONT CITY ONLY</v>
          </cell>
          <cell r="I11083" t="str">
            <v>8% CITY UTILITY TAX</v>
          </cell>
        </row>
        <row r="11084">
          <cell r="H11084" t="str">
            <v>DUPONT CITY UTILITY TAX</v>
          </cell>
          <cell r="I11084" t="str">
            <v>8% CITY UTILITY TAX</v>
          </cell>
        </row>
        <row r="11085">
          <cell r="H11085" t="str">
            <v>DUPONT REFUSE TAX</v>
          </cell>
          <cell r="I11085" t="str">
            <v>3.6% WA STATE REFUSE TAX</v>
          </cell>
        </row>
        <row r="11086">
          <cell r="H11086" t="str">
            <v>DUPONT STATE SALES TAX</v>
          </cell>
          <cell r="I11086" t="str">
            <v>9.3% WA STATE SALES TAX</v>
          </cell>
        </row>
        <row r="11087">
          <cell r="H11087" t="str">
            <v>DUPONT CITY UTILITY TAX</v>
          </cell>
          <cell r="I11087" t="str">
            <v>8% CITY UTILITY TAX</v>
          </cell>
        </row>
        <row r="11088">
          <cell r="H11088" t="str">
            <v>DUPONT REFUSE TAX</v>
          </cell>
          <cell r="I11088" t="str">
            <v>3.6% WA STATE REFUSE TAX</v>
          </cell>
        </row>
        <row r="11089">
          <cell r="H11089" t="str">
            <v>DUPONT STATE SALES TAX</v>
          </cell>
          <cell r="I11089" t="str">
            <v>9.3% WA STATE SALES TAX</v>
          </cell>
        </row>
        <row r="11090">
          <cell r="H11090" t="str">
            <v>DUPONT CITY UTILITY TAX</v>
          </cell>
          <cell r="I11090" t="str">
            <v>8% CITY UTILITY TAX</v>
          </cell>
        </row>
        <row r="11091">
          <cell r="H11091" t="str">
            <v>DUPONT REFUSE TAX</v>
          </cell>
          <cell r="I11091" t="str">
            <v>3.6% WA STATE REFUSE TAX</v>
          </cell>
        </row>
        <row r="11092">
          <cell r="H11092" t="str">
            <v>DUPONT CITY ONLY</v>
          </cell>
          <cell r="I11092" t="str">
            <v>8% CITY UTILITY TAX</v>
          </cell>
        </row>
        <row r="11093">
          <cell r="H11093" t="str">
            <v>DUPONT CITY UTILITY TAX</v>
          </cell>
          <cell r="I11093" t="str">
            <v>8% CITY UTILITY TAX</v>
          </cell>
        </row>
        <row r="11094">
          <cell r="H11094" t="str">
            <v>DUPONT REFUSE TAX</v>
          </cell>
          <cell r="I11094" t="str">
            <v>3.6% WA STATE REFUSE TAX</v>
          </cell>
        </row>
        <row r="11095">
          <cell r="H11095" t="str">
            <v>DUPONT CITY ONLY</v>
          </cell>
          <cell r="I11095" t="str">
            <v>8% CITY UTILITY TAX</v>
          </cell>
        </row>
        <row r="11096">
          <cell r="H11096" t="str">
            <v>DUPONT CITY UTILITY TAX</v>
          </cell>
          <cell r="I11096" t="str">
            <v>8% CITY UTILITY TAX</v>
          </cell>
        </row>
        <row r="11097">
          <cell r="H11097" t="str">
            <v>DUPONT REFUSE TAX</v>
          </cell>
          <cell r="I11097" t="str">
            <v>3.6% WA STATE REFUSE TAX</v>
          </cell>
        </row>
        <row r="11098">
          <cell r="H11098" t="str">
            <v>DUPONT STATE SALES TAX</v>
          </cell>
          <cell r="I11098" t="str">
            <v>9.3% WA STATE SALES TAX</v>
          </cell>
        </row>
        <row r="11099">
          <cell r="H11099" t="str">
            <v>DUPONT CITY UTILITY TAX</v>
          </cell>
          <cell r="I11099" t="str">
            <v>8% CITY UTILITY TAX</v>
          </cell>
        </row>
        <row r="11100">
          <cell r="H11100" t="str">
            <v>DUPONT REFUSE TAX</v>
          </cell>
          <cell r="I11100" t="str">
            <v>3.6% WA STATE REFUSE TAX</v>
          </cell>
        </row>
        <row r="11101">
          <cell r="H11101" t="str">
            <v>FINCHG</v>
          </cell>
          <cell r="I11101" t="str">
            <v>LATE FEE</v>
          </cell>
        </row>
        <row r="11102">
          <cell r="H11102" t="str">
            <v>ACCESS-COMM</v>
          </cell>
          <cell r="I11102" t="str">
            <v>ACCESS FEE - COMM</v>
          </cell>
        </row>
        <row r="11103">
          <cell r="H11103" t="str">
            <v>DONATIONC</v>
          </cell>
          <cell r="I11103" t="str">
            <v>DONATED SERVICE COMM</v>
          </cell>
        </row>
        <row r="11104">
          <cell r="H11104" t="str">
            <v>FL001.0Y1W001</v>
          </cell>
          <cell r="I11104" t="str">
            <v>1 YD 1X WK 1</v>
          </cell>
        </row>
        <row r="11105">
          <cell r="H11105" t="str">
            <v>FL001.0Y2W001</v>
          </cell>
          <cell r="I11105" t="str">
            <v>1 YD 2X WK 1</v>
          </cell>
        </row>
        <row r="11106">
          <cell r="H11106" t="str">
            <v>FL001.5Y1W001</v>
          </cell>
          <cell r="I11106" t="str">
            <v>1.5 YD 1X WK 1</v>
          </cell>
        </row>
        <row r="11107">
          <cell r="H11107" t="str">
            <v>FL001.5Y2W001</v>
          </cell>
          <cell r="I11107" t="str">
            <v>1.5 YD 2X WK 1</v>
          </cell>
        </row>
        <row r="11108">
          <cell r="H11108" t="str">
            <v>FL002.0Y1W001</v>
          </cell>
          <cell r="I11108" t="str">
            <v>2 YD 1X WK 1</v>
          </cell>
        </row>
        <row r="11109">
          <cell r="H11109" t="str">
            <v>FL002.0Y2W001</v>
          </cell>
          <cell r="I11109" t="str">
            <v>2 YD 2X WK 1</v>
          </cell>
        </row>
        <row r="11110">
          <cell r="H11110" t="str">
            <v>GWCOMM</v>
          </cell>
          <cell r="I11110" t="str">
            <v>GREENWASTE SERVICE - COMM</v>
          </cell>
        </row>
        <row r="11111">
          <cell r="H11111" t="str">
            <v>RL001.0Y1W001</v>
          </cell>
          <cell r="I11111" t="str">
            <v>1 YD 1X WK 1</v>
          </cell>
        </row>
        <row r="11112">
          <cell r="H11112" t="str">
            <v>RL002.0Y1W001</v>
          </cell>
          <cell r="I11112" t="str">
            <v>2 YD 1X WK 1</v>
          </cell>
        </row>
        <row r="11113">
          <cell r="H11113" t="str">
            <v>SL035.0G1M001WRECC</v>
          </cell>
          <cell r="I11113" t="str">
            <v>35 GL 1X MO W/RECY COMM 1</v>
          </cell>
        </row>
        <row r="11114">
          <cell r="H11114" t="str">
            <v>SL065.0G1M001WRECC</v>
          </cell>
          <cell r="I11114" t="str">
            <v>65 GL 1X MO W/RECY COMM 1</v>
          </cell>
        </row>
        <row r="11115">
          <cell r="H11115" t="str">
            <v>SL065.0G1W001WRECC</v>
          </cell>
          <cell r="I11115" t="str">
            <v>65 GL 1X WK W/RECY COMM 1</v>
          </cell>
        </row>
        <row r="11116">
          <cell r="H11116" t="str">
            <v>SL065.0GEO001WRECC</v>
          </cell>
          <cell r="I11116" t="str">
            <v>65 GL EOW W/RECY COMM 1</v>
          </cell>
        </row>
        <row r="11117">
          <cell r="H11117" t="str">
            <v>SL095.0G1W001NORECC</v>
          </cell>
          <cell r="I11117" t="str">
            <v xml:space="preserve">95 GL 1X WK NO RECY COMM </v>
          </cell>
        </row>
        <row r="11118">
          <cell r="H11118" t="str">
            <v>SL095.0G1W001WRECC</v>
          </cell>
          <cell r="I11118" t="str">
            <v>95 GL 1X WK W/RECY COMM 1</v>
          </cell>
        </row>
        <row r="11119">
          <cell r="H11119" t="str">
            <v>SL095.0GEO001WRECC</v>
          </cell>
          <cell r="I11119" t="str">
            <v>95 GL EOW W/RECY COMM 1</v>
          </cell>
        </row>
        <row r="11120">
          <cell r="H11120" t="str">
            <v>CLEAN-COMM</v>
          </cell>
          <cell r="I11120" t="str">
            <v xml:space="preserve">CONTAINER CLEANING FEE - </v>
          </cell>
        </row>
        <row r="11121">
          <cell r="H11121" t="str">
            <v>EXTRA-COMM</v>
          </cell>
          <cell r="I11121" t="str">
            <v>EXTRA CAN, BAG, BOX - COM</v>
          </cell>
        </row>
        <row r="11122">
          <cell r="H11122" t="str">
            <v>ACCESSCREC-COMM</v>
          </cell>
          <cell r="I11122" t="str">
            <v>ACCESS FEE COMM RECY - CO</v>
          </cell>
        </row>
        <row r="11123">
          <cell r="H11123" t="str">
            <v>FL002.0Y1W001BCMGL</v>
          </cell>
          <cell r="I11123" t="str">
            <v>2 YD 1X WK BUS CMGL 1</v>
          </cell>
        </row>
        <row r="11124">
          <cell r="H11124" t="str">
            <v>FL002.0Y1W001BOCC</v>
          </cell>
          <cell r="I11124" t="str">
            <v>2 YD 1X WK BUS OCC 1</v>
          </cell>
        </row>
        <row r="11125">
          <cell r="H11125" t="str">
            <v>FL002.0Y2W001SCMGL</v>
          </cell>
          <cell r="I11125" t="str">
            <v>2 YD 2X WK SCHL CMGL 1</v>
          </cell>
        </row>
        <row r="11126">
          <cell r="H11126" t="str">
            <v>FL005.0Y1W001BOCC</v>
          </cell>
          <cell r="I11126" t="str">
            <v>5 YD 1X WK BUS OCC 1</v>
          </cell>
        </row>
        <row r="11127">
          <cell r="H11127" t="str">
            <v>FL006.0Y1W001SCMGL</v>
          </cell>
          <cell r="I11127" t="str">
            <v>6 YD 1X WK SCHL CMGL 1</v>
          </cell>
        </row>
        <row r="11128">
          <cell r="H11128" t="str">
            <v>SL096.0GEO001BCMGLIN</v>
          </cell>
          <cell r="I11128" t="str">
            <v>96 GL EOW BUS CMGL IN</v>
          </cell>
        </row>
        <row r="11129">
          <cell r="H11129" t="str">
            <v>SL096.0GEO001BCMGLOUT</v>
          </cell>
          <cell r="I11129" t="str">
            <v>96 GL EOW BUS CMGL OUT</v>
          </cell>
        </row>
        <row r="11130">
          <cell r="H11130" t="str">
            <v>SL096.0GEO001SCMGLOUT</v>
          </cell>
          <cell r="I11130" t="str">
            <v>96 GL EOW SCHL CMGL OUT</v>
          </cell>
        </row>
        <row r="11131">
          <cell r="H11131" t="str">
            <v>CC-KOL</v>
          </cell>
          <cell r="I11131" t="str">
            <v>ONLINE PAYMENT-CC</v>
          </cell>
        </row>
        <row r="11132">
          <cell r="H11132" t="str">
            <v>PAY</v>
          </cell>
          <cell r="I11132" t="str">
            <v>PAYMENT THANK YOU</v>
          </cell>
        </row>
        <row r="11133">
          <cell r="H11133" t="str">
            <v>PAYPNCL</v>
          </cell>
          <cell r="I11133" t="str">
            <v>PAYMENT THANK YOU!</v>
          </cell>
        </row>
        <row r="11134">
          <cell r="H11134" t="str">
            <v>GWRES</v>
          </cell>
          <cell r="I11134" t="str">
            <v>GREENWASTE SERVICE - RES</v>
          </cell>
        </row>
        <row r="11135">
          <cell r="H11135" t="str">
            <v>SL035.0G1M001WREC</v>
          </cell>
          <cell r="I11135" t="str">
            <v>35 GL 1X MO W/RECY 1</v>
          </cell>
        </row>
        <row r="11136">
          <cell r="H11136" t="str">
            <v>SL065.0G1M001NOREC</v>
          </cell>
          <cell r="I11136" t="str">
            <v>65 GL 1X MO NO RECY 1</v>
          </cell>
        </row>
        <row r="11137">
          <cell r="H11137" t="str">
            <v>SL065.0G1M001WREC</v>
          </cell>
          <cell r="I11137" t="str">
            <v>65 GL 1X MO W/RECY 1</v>
          </cell>
        </row>
        <row r="11138">
          <cell r="H11138" t="str">
            <v>SL065.0G1W001WREC</v>
          </cell>
          <cell r="I11138" t="str">
            <v>65 GL 1X WK W/RECY 1</v>
          </cell>
        </row>
        <row r="11139">
          <cell r="H11139" t="str">
            <v>SL065.0GEO001</v>
          </cell>
          <cell r="I11139" t="str">
            <v>65 GL EOW 1</v>
          </cell>
        </row>
        <row r="11140">
          <cell r="H11140" t="str">
            <v>SL065.0GEO001WREC</v>
          </cell>
          <cell r="I11140" t="str">
            <v>65 GL EOW W/RECY 1</v>
          </cell>
        </row>
        <row r="11141">
          <cell r="H11141" t="str">
            <v>SL095.0G1W001WREC</v>
          </cell>
          <cell r="I11141" t="str">
            <v>95 GL 1X WK W/RECY 1</v>
          </cell>
        </row>
        <row r="11142">
          <cell r="H11142" t="str">
            <v>SL095.0GEO001</v>
          </cell>
          <cell r="I11142" t="str">
            <v>95 GL EOW 1</v>
          </cell>
        </row>
        <row r="11143">
          <cell r="H11143" t="str">
            <v>SL095.0GEO001WREC</v>
          </cell>
          <cell r="I11143" t="str">
            <v>95 GL EOW W/RECY 1</v>
          </cell>
        </row>
        <row r="11144">
          <cell r="H11144" t="str">
            <v>EXTRA-RES</v>
          </cell>
          <cell r="I11144" t="str">
            <v>EXTRA CAN, BAG, BOX - RES</v>
          </cell>
        </row>
        <row r="11145">
          <cell r="H11145" t="str">
            <v>EXTRAGWC-RES</v>
          </cell>
          <cell r="I11145" t="str">
            <v>EXTRA GREENWASTE FEE - RE</v>
          </cell>
        </row>
        <row r="11146">
          <cell r="H11146" t="str">
            <v>OC-RES</v>
          </cell>
          <cell r="I11146" t="str">
            <v>ON CALL SERVICE - RES</v>
          </cell>
        </row>
        <row r="11147">
          <cell r="H11147" t="str">
            <v>OW-RES</v>
          </cell>
          <cell r="I11147" t="str">
            <v>OVERFILL / OVERWEIGHT CAN</v>
          </cell>
        </row>
        <row r="11148">
          <cell r="H11148" t="str">
            <v>REDEL-RES</v>
          </cell>
          <cell r="I11148" t="str">
            <v>REDELIVER FEE - RES</v>
          </cell>
        </row>
        <row r="11149">
          <cell r="H11149" t="str">
            <v>DONATIONRO</v>
          </cell>
          <cell r="I11149" t="str">
            <v>DONATED SERVICE ROLL OFF</v>
          </cell>
        </row>
        <row r="11150">
          <cell r="H11150" t="str">
            <v>LIDRO</v>
          </cell>
          <cell r="I11150" t="str">
            <v>LID CHARGE - RO</v>
          </cell>
        </row>
        <row r="11151">
          <cell r="H11151" t="str">
            <v>RENT20MO-RO</v>
          </cell>
          <cell r="I11151" t="str">
            <v>RENTAL FEE 20 YD MONTHLY</v>
          </cell>
        </row>
        <row r="11152">
          <cell r="H11152" t="str">
            <v>RENT30MO-RO</v>
          </cell>
          <cell r="I11152" t="str">
            <v>RENTAL FEE 30 YD MONTHLY</v>
          </cell>
        </row>
        <row r="11153">
          <cell r="H11153" t="str">
            <v>DISCO-CP</v>
          </cell>
          <cell r="I11153" t="str">
            <v xml:space="preserve">COMPACTOR DISCONNECT FEE </v>
          </cell>
        </row>
        <row r="11154">
          <cell r="H11154" t="str">
            <v>DISP-RO</v>
          </cell>
          <cell r="I11154" t="str">
            <v>DISPOSAL CHARGE - RO</v>
          </cell>
        </row>
        <row r="11155">
          <cell r="H11155" t="str">
            <v>DISPOCC-RO</v>
          </cell>
          <cell r="I11155" t="str">
            <v xml:space="preserve">DISPOSAL FEE CARDBOARD - </v>
          </cell>
        </row>
        <row r="11156">
          <cell r="H11156" t="str">
            <v>FINAL20TEMP-RO</v>
          </cell>
          <cell r="I11156" t="str">
            <v>FINAL PULL 20 YD TEMP - R</v>
          </cell>
        </row>
        <row r="11157">
          <cell r="H11157" t="str">
            <v>HAUL20-RO</v>
          </cell>
          <cell r="I11157" t="str">
            <v>HAUL 20 YD - RO</v>
          </cell>
        </row>
        <row r="11158">
          <cell r="H11158" t="str">
            <v>HAUL30-CP</v>
          </cell>
          <cell r="I11158" t="str">
            <v>COMPACTOR HAUL 30 YD</v>
          </cell>
        </row>
        <row r="11159">
          <cell r="H11159" t="str">
            <v>HAUL30-RO</v>
          </cell>
          <cell r="I11159" t="str">
            <v>HAUL 30 YD - RO</v>
          </cell>
        </row>
        <row r="11160">
          <cell r="H11160" t="str">
            <v>MILE-RO</v>
          </cell>
          <cell r="I11160" t="str">
            <v>MILEAGE FEE - RO</v>
          </cell>
        </row>
        <row r="11161">
          <cell r="H11161" t="str">
            <v>COMMODITY SURCHARGE</v>
          </cell>
          <cell r="I11161" t="str">
            <v>COMMODITY SURCHARGE</v>
          </cell>
        </row>
        <row r="11162">
          <cell r="H11162" t="str">
            <v>PIERCE COUNTY REFUSE TAX</v>
          </cell>
          <cell r="I11162" t="str">
            <v>3.6% PIERCE COUNTY REFUSE</v>
          </cell>
        </row>
        <row r="11163">
          <cell r="H11163" t="str">
            <v>PIERCE COUNTY SALES TAX</v>
          </cell>
          <cell r="I11163" t="str">
            <v>7.9% WA STATE SALES TAX</v>
          </cell>
        </row>
        <row r="11164">
          <cell r="H11164" t="str">
            <v>FINCHG</v>
          </cell>
          <cell r="I11164" t="str">
            <v>LATE FEE</v>
          </cell>
        </row>
        <row r="11165">
          <cell r="H11165" t="str">
            <v>BD</v>
          </cell>
          <cell r="I11165" t="str">
            <v>BAD DEBT WRITE OFF</v>
          </cell>
        </row>
        <row r="11166">
          <cell r="H11166" t="str">
            <v>FINCHG</v>
          </cell>
          <cell r="I11166" t="str">
            <v>LATE FEE</v>
          </cell>
        </row>
        <row r="11167">
          <cell r="H11167" t="str">
            <v>MM</v>
          </cell>
          <cell r="I11167" t="str">
            <v>ADJUST BALANCE (MM)</v>
          </cell>
        </row>
        <row r="11168">
          <cell r="H11168" t="str">
            <v>MM</v>
          </cell>
          <cell r="I11168" t="str">
            <v>ADJUST BALANCE (MM)</v>
          </cell>
        </row>
        <row r="11169">
          <cell r="H11169" t="str">
            <v>ACCESS-COMM</v>
          </cell>
          <cell r="I11169" t="str">
            <v>ACCESS FEE - COMM</v>
          </cell>
        </row>
        <row r="11170">
          <cell r="H11170" t="str">
            <v>FL001.0Y1W001</v>
          </cell>
          <cell r="I11170" t="str">
            <v>1 YD 1X WK 1</v>
          </cell>
        </row>
        <row r="11171">
          <cell r="H11171" t="str">
            <v>FL001.5Y1W001</v>
          </cell>
          <cell r="I11171" t="str">
            <v>1.5 YD 1X WK 1</v>
          </cell>
        </row>
        <row r="11172">
          <cell r="H11172" t="str">
            <v>FL001.5Y2W001</v>
          </cell>
          <cell r="I11172" t="str">
            <v>1.5 YD 2X WK 1</v>
          </cell>
        </row>
        <row r="11173">
          <cell r="H11173" t="str">
            <v>FL001.5Y3W001</v>
          </cell>
          <cell r="I11173" t="str">
            <v>1.5 YD 3X WK 1</v>
          </cell>
        </row>
        <row r="11174">
          <cell r="H11174" t="str">
            <v>FL001.5Y4W001</v>
          </cell>
          <cell r="I11174" t="str">
            <v>1.5 YD 4X WK 1</v>
          </cell>
        </row>
        <row r="11175">
          <cell r="H11175" t="str">
            <v>FL001.5Y5W001</v>
          </cell>
          <cell r="I11175" t="str">
            <v>1.5 YD 5X WK 1</v>
          </cell>
        </row>
        <row r="11176">
          <cell r="H11176" t="str">
            <v>FL002.0Y1W001</v>
          </cell>
          <cell r="I11176" t="str">
            <v>2 YD 1X WK 1</v>
          </cell>
        </row>
        <row r="11177">
          <cell r="H11177" t="str">
            <v>FL002.0Y3W001</v>
          </cell>
          <cell r="I11177" t="str">
            <v>2 YD 3X WK 1</v>
          </cell>
        </row>
        <row r="11178">
          <cell r="H11178" t="str">
            <v>FL002.0Y5W001</v>
          </cell>
          <cell r="I11178" t="str">
            <v>2 YD 5X WK 1</v>
          </cell>
        </row>
        <row r="11179">
          <cell r="H11179" t="str">
            <v>FL003.0Y1W001</v>
          </cell>
          <cell r="I11179" t="str">
            <v>3 YD 1X WK 1</v>
          </cell>
        </row>
        <row r="11180">
          <cell r="H11180" t="str">
            <v>FL003.0Y2W001</v>
          </cell>
          <cell r="I11180" t="str">
            <v>3 YD 2X WK 1</v>
          </cell>
        </row>
        <row r="11181">
          <cell r="H11181" t="str">
            <v>FL004.0Y1W001</v>
          </cell>
          <cell r="I11181" t="str">
            <v>4 YD 1X WK 1</v>
          </cell>
        </row>
        <row r="11182">
          <cell r="H11182" t="str">
            <v>FL006.0Y1W001</v>
          </cell>
          <cell r="I11182" t="str">
            <v>6 YD 1X WK 1</v>
          </cell>
        </row>
        <row r="11183">
          <cell r="H11183" t="str">
            <v>FL006.0Y2W001</v>
          </cell>
          <cell r="I11183" t="str">
            <v>6 YD 2X WK 1</v>
          </cell>
        </row>
        <row r="11184">
          <cell r="H11184" t="str">
            <v>FL006.0Y3W001</v>
          </cell>
          <cell r="I11184" t="str">
            <v>6 YD 3X WK 1</v>
          </cell>
        </row>
        <row r="11185">
          <cell r="H11185" t="str">
            <v>SL065.0G1W001NORECC</v>
          </cell>
          <cell r="I11185" t="str">
            <v xml:space="preserve">65 GL 1X WK NO RECY COMM </v>
          </cell>
        </row>
        <row r="11186">
          <cell r="H11186" t="str">
            <v>SL065.0G1W001WRECC</v>
          </cell>
          <cell r="I11186" t="str">
            <v>65 GL 1X WK W/RECY COMM 1</v>
          </cell>
        </row>
        <row r="11187">
          <cell r="H11187" t="str">
            <v>SL095.0G1W001NORECC</v>
          </cell>
          <cell r="I11187" t="str">
            <v xml:space="preserve">95 GL 1X WK NO RECY COMM </v>
          </cell>
        </row>
        <row r="11188">
          <cell r="H11188" t="str">
            <v>EXTRA-COMM</v>
          </cell>
          <cell r="I11188" t="str">
            <v>EXTRA CAN, BAG, BOX - COM</v>
          </cell>
        </row>
        <row r="11189">
          <cell r="H11189" t="str">
            <v>SP6-COMM</v>
          </cell>
          <cell r="I11189" t="str">
            <v>SPECIAL PICK UP 6 YD - CO</v>
          </cell>
        </row>
        <row r="11190">
          <cell r="H11190" t="str">
            <v>FL002.0Y1W001BCMGL</v>
          </cell>
          <cell r="I11190" t="str">
            <v>2 YD 1X WK BUS CMGL 1</v>
          </cell>
        </row>
        <row r="11191">
          <cell r="H11191" t="str">
            <v>FL002.0Y1W001BOCC</v>
          </cell>
          <cell r="I11191" t="str">
            <v>2 YD 1X WK BUS OCC 1</v>
          </cell>
        </row>
        <row r="11192">
          <cell r="H11192" t="str">
            <v>FL002.0Y2W001BCMGL</v>
          </cell>
          <cell r="I11192" t="str">
            <v>2 YD 2X WK BUS CMGL 1</v>
          </cell>
        </row>
        <row r="11193">
          <cell r="H11193" t="str">
            <v>FL004.0Y1W001CMGL</v>
          </cell>
          <cell r="I11193" t="str">
            <v>4 YD 1X WK BUS CMGL 1</v>
          </cell>
        </row>
        <row r="11194">
          <cell r="H11194" t="str">
            <v>FL004.0Y2W001CMGL</v>
          </cell>
          <cell r="I11194" t="str">
            <v>4 YD 2X WK BUS CMGL 1</v>
          </cell>
        </row>
        <row r="11195">
          <cell r="H11195" t="str">
            <v>FL005.0Y1W001BOCC</v>
          </cell>
          <cell r="I11195" t="str">
            <v>5 YD 1X WK BUS OCC 1</v>
          </cell>
        </row>
        <row r="11196">
          <cell r="H11196" t="str">
            <v>FL005.0Y2W001BOCC</v>
          </cell>
          <cell r="I11196" t="str">
            <v>5 YD 2X WK BUS OCC 1</v>
          </cell>
        </row>
        <row r="11197">
          <cell r="H11197" t="str">
            <v>FL006.0Y1W001BCMGL</v>
          </cell>
          <cell r="I11197" t="str">
            <v>6 YD 1X WK BUS COMINGLE 1</v>
          </cell>
        </row>
        <row r="11198">
          <cell r="H11198" t="str">
            <v>SL096.0GEO001BCMGLOUT</v>
          </cell>
          <cell r="I11198" t="str">
            <v>96 GL EOW BUS CMGL OUT</v>
          </cell>
        </row>
        <row r="11199">
          <cell r="H11199" t="str">
            <v>CC-KOL</v>
          </cell>
          <cell r="I11199" t="str">
            <v>ONLINE PAYMENT-CC</v>
          </cell>
        </row>
        <row r="11200">
          <cell r="H11200" t="str">
            <v>PAY</v>
          </cell>
          <cell r="I11200" t="str">
            <v>PAYMENT THANK YOU</v>
          </cell>
        </row>
        <row r="11201">
          <cell r="H11201" t="str">
            <v>PAY-KOL</v>
          </cell>
          <cell r="I11201" t="str">
            <v>PAYMENT-THANK YOU - OL</v>
          </cell>
        </row>
        <row r="11202">
          <cell r="H11202" t="str">
            <v>PAY-NATL</v>
          </cell>
          <cell r="I11202" t="str">
            <v>PAYMENT THANK YOU</v>
          </cell>
        </row>
        <row r="11203">
          <cell r="H11203" t="str">
            <v>PAYPNCL</v>
          </cell>
          <cell r="I11203" t="str">
            <v>PAYMENT THANK YOU!</v>
          </cell>
        </row>
        <row r="11204">
          <cell r="H11204" t="str">
            <v>PAYUSBL</v>
          </cell>
          <cell r="I11204" t="str">
            <v>PAYMENT THANK YOU</v>
          </cell>
        </row>
        <row r="11205">
          <cell r="H11205" t="str">
            <v>EXTRA-RES</v>
          </cell>
          <cell r="I11205" t="str">
            <v>EXTRA CAN, BAG, BOX - RES</v>
          </cell>
        </row>
        <row r="11206">
          <cell r="H11206" t="str">
            <v>OW-RES</v>
          </cell>
          <cell r="I11206" t="str">
            <v>OVERFILL / OVERWEIGHT CAN</v>
          </cell>
        </row>
        <row r="11207">
          <cell r="H11207" t="str">
            <v>LIDRO</v>
          </cell>
          <cell r="I11207" t="str">
            <v>LID CHARGE - RO</v>
          </cell>
        </row>
        <row r="11208">
          <cell r="H11208" t="str">
            <v>RENT20MO-RO</v>
          </cell>
          <cell r="I11208" t="str">
            <v>RENTAL FEE 20 YD MONTHLY</v>
          </cell>
        </row>
        <row r="11209">
          <cell r="H11209" t="str">
            <v>RENT30MO-RO</v>
          </cell>
          <cell r="I11209" t="str">
            <v>RENTAL FEE 30 YD MONTHLY</v>
          </cell>
        </row>
        <row r="11210">
          <cell r="H11210" t="str">
            <v>RENT40MO-RO</v>
          </cell>
          <cell r="I11210" t="str">
            <v>RENTAL FEE 40 YD MONTHLY</v>
          </cell>
        </row>
        <row r="11211">
          <cell r="H11211" t="str">
            <v>CLEAN20-RO</v>
          </cell>
          <cell r="I11211" t="str">
            <v>CLEANING FEE 20 YD - RO</v>
          </cell>
        </row>
        <row r="11212">
          <cell r="H11212" t="str">
            <v>DEL20-RO</v>
          </cell>
          <cell r="I11212" t="str">
            <v>DELIVERY FEE 20 YD - RO</v>
          </cell>
        </row>
        <row r="11213">
          <cell r="H11213" t="str">
            <v>DEL20TEMP-RO</v>
          </cell>
          <cell r="I11213" t="str">
            <v>DELIVERY FEE 20 YD TEMP -</v>
          </cell>
        </row>
        <row r="11214">
          <cell r="H11214" t="str">
            <v>DEL30-RO</v>
          </cell>
          <cell r="I11214" t="str">
            <v>DELIVERY FEE 30 YD - RO</v>
          </cell>
        </row>
        <row r="11215">
          <cell r="H11215" t="str">
            <v>DEL40TEMP-RO</v>
          </cell>
          <cell r="I11215" t="str">
            <v>DELIVERY FEE 40 YD TEMP -</v>
          </cell>
        </row>
        <row r="11216">
          <cell r="H11216" t="str">
            <v>DISCO-CP</v>
          </cell>
          <cell r="I11216" t="str">
            <v xml:space="preserve">COMPACTOR DISCONNECT FEE </v>
          </cell>
        </row>
        <row r="11217">
          <cell r="H11217" t="str">
            <v>DISPFEDMSW-RO</v>
          </cell>
          <cell r="I11217" t="str">
            <v xml:space="preserve">DISPOSAL FEE FEDERAL MSW </v>
          </cell>
        </row>
        <row r="11218">
          <cell r="H11218" t="str">
            <v>FINAL20-RO</v>
          </cell>
          <cell r="I11218" t="str">
            <v>FINAL PULL 20 YD - RO</v>
          </cell>
        </row>
        <row r="11219">
          <cell r="H11219" t="str">
            <v>FINAL20TEMP-RO</v>
          </cell>
          <cell r="I11219" t="str">
            <v>FINAL PULL 20 YD TEMP - R</v>
          </cell>
        </row>
        <row r="11220">
          <cell r="H11220" t="str">
            <v>HAUL20-CP</v>
          </cell>
          <cell r="I11220" t="str">
            <v>COMPACTOR HAUL 20 YD - RO</v>
          </cell>
        </row>
        <row r="11221">
          <cell r="H11221" t="str">
            <v>HAUL20-RO</v>
          </cell>
          <cell r="I11221" t="str">
            <v>HAUL 20 YD - RO</v>
          </cell>
        </row>
        <row r="11222">
          <cell r="H11222" t="str">
            <v>HAUL20TEMP-RO</v>
          </cell>
          <cell r="I11222" t="str">
            <v>HAUL 20 YD TEMP - RO</v>
          </cell>
        </row>
        <row r="11223">
          <cell r="H11223" t="str">
            <v>HAUL30-RO</v>
          </cell>
          <cell r="I11223" t="str">
            <v>HAUL 30 YD - RO</v>
          </cell>
        </row>
        <row r="11224">
          <cell r="H11224" t="str">
            <v>HAUL40-RO</v>
          </cell>
          <cell r="I11224" t="str">
            <v>HAUL 40 YD - RO</v>
          </cell>
        </row>
        <row r="11225">
          <cell r="H11225" t="str">
            <v>LIDRO</v>
          </cell>
          <cell r="I11225" t="str">
            <v>LID CHARGE - RO</v>
          </cell>
        </row>
        <row r="11226">
          <cell r="H11226" t="str">
            <v>MILE-RO</v>
          </cell>
          <cell r="I11226" t="str">
            <v>MILEAGE FEE - RO</v>
          </cell>
        </row>
        <row r="11227">
          <cell r="H11227" t="str">
            <v>RENT20TEMP-RO</v>
          </cell>
          <cell r="I11227" t="str">
            <v>RENTAL FEE 20 YD TEMP - R</v>
          </cell>
        </row>
        <row r="11228">
          <cell r="H11228" t="str">
            <v>RENT40TEMP-RO</v>
          </cell>
          <cell r="I11228" t="str">
            <v>RENTAL FEE 40 YD TEMP - R</v>
          </cell>
        </row>
        <row r="11229">
          <cell r="H11229" t="str">
            <v>RTRNTRIP-RO</v>
          </cell>
          <cell r="I11229" t="str">
            <v>RETURN TRIP FEE - RO</v>
          </cell>
        </row>
        <row r="11230">
          <cell r="H11230" t="str">
            <v>COMMODITY SURCHARGE</v>
          </cell>
          <cell r="I11230" t="str">
            <v>COMMODITY SURCHARGE</v>
          </cell>
        </row>
        <row r="11231">
          <cell r="H11231" t="str">
            <v>FT LEWIS REFUSE TAX</v>
          </cell>
          <cell r="I11231" t="str">
            <v>3.6% WA STATE REFUSE TAX</v>
          </cell>
        </row>
        <row r="11232">
          <cell r="H11232" t="str">
            <v xml:space="preserve">PIERCE COUNTY REFUSE  </v>
          </cell>
          <cell r="I11232" t="str">
            <v>3.6% PIERCE COUNTY REFUSE</v>
          </cell>
        </row>
        <row r="11233">
          <cell r="H11233" t="str">
            <v>FT LEWIS REFUSE TAX</v>
          </cell>
          <cell r="I11233" t="str">
            <v>3.6% WA STATE REFUSE TAX</v>
          </cell>
        </row>
        <row r="11234">
          <cell r="H11234" t="str">
            <v>FT LEWIS STATE SALES TAX</v>
          </cell>
          <cell r="I11234" t="str">
            <v>9.3% WA STATE SALES TAX</v>
          </cell>
        </row>
        <row r="11235">
          <cell r="H11235" t="str">
            <v>FT LEWIS REFUSE TAX</v>
          </cell>
          <cell r="I11235" t="str">
            <v>3.6% WA STATE REFUSE TAX</v>
          </cell>
        </row>
        <row r="11236">
          <cell r="H11236" t="str">
            <v>FT LEWIS STATE SALES TAX</v>
          </cell>
          <cell r="I11236" t="str">
            <v>9.3% WA STATE SALES TAX</v>
          </cell>
        </row>
        <row r="11237">
          <cell r="H11237" t="str">
            <v>FINCHG</v>
          </cell>
          <cell r="I11237" t="str">
            <v>LATE FEE</v>
          </cell>
        </row>
        <row r="11238">
          <cell r="H11238" t="str">
            <v>FL004.0Y2W001MF</v>
          </cell>
          <cell r="I11238" t="str">
            <v>4 YD 2X WK MULTI-FAMILY 1</v>
          </cell>
        </row>
        <row r="11239">
          <cell r="H11239" t="str">
            <v>FL006.0Y1W001MF</v>
          </cell>
          <cell r="I11239" t="str">
            <v>6 YD 1X WK MULTI-FAMILY 1</v>
          </cell>
        </row>
        <row r="11240">
          <cell r="H11240" t="str">
            <v>FL006.0Y2W001MF</v>
          </cell>
          <cell r="I11240" t="str">
            <v>6 YD 2X WK MULTI-FAMILY 1</v>
          </cell>
        </row>
        <row r="11241">
          <cell r="H11241" t="str">
            <v>MFWBINS</v>
          </cell>
          <cell r="I11241" t="str">
            <v>MULTI-FAMILY REC UNIT W/B</v>
          </cell>
        </row>
        <row r="11242">
          <cell r="H11242" t="str">
            <v>SL096.0G1M001BCMGLOUT</v>
          </cell>
          <cell r="I11242" t="str">
            <v>96 GL MTHLY BUS CMGL OUT</v>
          </cell>
        </row>
        <row r="11243">
          <cell r="H11243" t="str">
            <v>CC-KOL</v>
          </cell>
          <cell r="I11243" t="str">
            <v>ONLINE PAYMENT-CC</v>
          </cell>
        </row>
        <row r="11244">
          <cell r="H11244" t="str">
            <v>PAY-KOL</v>
          </cell>
          <cell r="I11244" t="str">
            <v>PAYMENT-THANK YOU - OL</v>
          </cell>
        </row>
        <row r="11245">
          <cell r="H11245" t="str">
            <v>GWRES</v>
          </cell>
          <cell r="I11245" t="str">
            <v>GREENWASTE SERVICE - RES</v>
          </cell>
        </row>
        <row r="11246">
          <cell r="H11246" t="str">
            <v>RECBINONLYR</v>
          </cell>
          <cell r="I11246" t="str">
            <v>RECYCLE SERVICE ONLY</v>
          </cell>
        </row>
        <row r="11247">
          <cell r="H11247" t="str">
            <v>RECPROGADJ-RES</v>
          </cell>
          <cell r="I11247" t="str">
            <v>RECYCLING PROGRAM ADJUSTM</v>
          </cell>
        </row>
        <row r="11248">
          <cell r="H11248" t="str">
            <v>RECVALRES</v>
          </cell>
          <cell r="I11248" t="str">
            <v>RECYCLABLES VALUE - RES</v>
          </cell>
        </row>
        <row r="11249">
          <cell r="H11249" t="str">
            <v>SL065.0G1W001WREC</v>
          </cell>
          <cell r="I11249" t="str">
            <v>65 GL 1X WK W/RECY 1</v>
          </cell>
        </row>
        <row r="11250">
          <cell r="H11250" t="str">
            <v>SL095.0G1W001</v>
          </cell>
          <cell r="I11250" t="str">
            <v>95 GL 1X WK 1</v>
          </cell>
        </row>
        <row r="11251">
          <cell r="H11251" t="str">
            <v>SL095.0G1W001WREC</v>
          </cell>
          <cell r="I11251" t="str">
            <v>95 GL 1X WK W/RECY 1</v>
          </cell>
        </row>
        <row r="11252">
          <cell r="H11252" t="str">
            <v>BULKY-RES</v>
          </cell>
          <cell r="I11252" t="str">
            <v>BULKY ITEM PICK UP - RES</v>
          </cell>
        </row>
        <row r="11253">
          <cell r="H11253" t="str">
            <v>DISPFEDMSW-RES</v>
          </cell>
          <cell r="I11253" t="str">
            <v>DISPOSAL FEDERAL MSW - RE</v>
          </cell>
        </row>
        <row r="11254">
          <cell r="H11254" t="str">
            <v>OW-RES</v>
          </cell>
          <cell r="I11254" t="str">
            <v>OVERFILL / OVERWEIGHT CAN</v>
          </cell>
        </row>
        <row r="11255">
          <cell r="H11255" t="str">
            <v>TIME-RES</v>
          </cell>
          <cell r="I11255" t="str">
            <v>TIME FEE 1 - RES</v>
          </cell>
        </row>
        <row r="11256">
          <cell r="H11256" t="str">
            <v>RENT20MO-RO</v>
          </cell>
          <cell r="I11256" t="str">
            <v>RENTAL FEE 20 YD MONTHLY</v>
          </cell>
        </row>
        <row r="11257">
          <cell r="H11257" t="str">
            <v>RENT30MO-RO</v>
          </cell>
          <cell r="I11257" t="str">
            <v>RENTAL FEE 30 YD MONTHLY</v>
          </cell>
        </row>
        <row r="11258">
          <cell r="H11258" t="str">
            <v>RENT40MO-RO</v>
          </cell>
          <cell r="I11258" t="str">
            <v>RENTAL FEE 40 YD MONTHLY</v>
          </cell>
        </row>
        <row r="11259">
          <cell r="H11259" t="str">
            <v>DISPDEMO-RO</v>
          </cell>
          <cell r="I11259" t="str">
            <v>DISPOSAL FEE DEMO - RO</v>
          </cell>
        </row>
        <row r="11260">
          <cell r="H11260" t="str">
            <v>DISPFEDMSW-RO</v>
          </cell>
          <cell r="I11260" t="str">
            <v xml:space="preserve">DISPOSAL FEE FEDERAL MSW </v>
          </cell>
        </row>
        <row r="11261">
          <cell r="H11261" t="str">
            <v>HAUL20-RO</v>
          </cell>
          <cell r="I11261" t="str">
            <v>HAUL 20 YD - RO</v>
          </cell>
        </row>
        <row r="11262">
          <cell r="H11262" t="str">
            <v>HAUL30-RO</v>
          </cell>
          <cell r="I11262" t="str">
            <v>HAUL 30 YD - RO</v>
          </cell>
        </row>
        <row r="11263">
          <cell r="H11263" t="str">
            <v>HAUL40-RO</v>
          </cell>
          <cell r="I11263" t="str">
            <v>HAUL 40 YD - RO</v>
          </cell>
        </row>
        <row r="11264">
          <cell r="H11264" t="str">
            <v>MILE-RO</v>
          </cell>
          <cell r="I11264" t="str">
            <v>MILEAGE FEE - RO</v>
          </cell>
        </row>
        <row r="11265">
          <cell r="H11265" t="str">
            <v>FT LEWIS REFUSE TAX</v>
          </cell>
          <cell r="I11265" t="str">
            <v>3.6% WA STATE REFUSE TAX</v>
          </cell>
        </row>
        <row r="11266">
          <cell r="H11266" t="str">
            <v>FT LEWIS STATE SALES TAX</v>
          </cell>
          <cell r="I11266" t="str">
            <v>9.3% WA STATE SALES TAX</v>
          </cell>
        </row>
        <row r="11267">
          <cell r="H11267" t="str">
            <v>FT LEWIS REFUSE TAX</v>
          </cell>
          <cell r="I11267" t="str">
            <v>3.6% WA STATE REFUSE TAX</v>
          </cell>
        </row>
        <row r="11268">
          <cell r="H11268" t="str">
            <v>BD</v>
          </cell>
          <cell r="I11268" t="str">
            <v>BAD DEBT WRITE OFF</v>
          </cell>
        </row>
        <row r="11269">
          <cell r="H11269" t="str">
            <v>BDR</v>
          </cell>
          <cell r="I11269" t="str">
            <v>BAD DEBT RECOVERY</v>
          </cell>
        </row>
        <row r="11270">
          <cell r="H11270" t="str">
            <v>COLLFEE</v>
          </cell>
          <cell r="I11270" t="str">
            <v>COLLECTION AGENCY FEE</v>
          </cell>
        </row>
        <row r="11271">
          <cell r="H11271" t="str">
            <v>FINCHG</v>
          </cell>
          <cell r="I11271" t="str">
            <v>LATE FEE</v>
          </cell>
        </row>
        <row r="11272">
          <cell r="H11272" t="str">
            <v>MM</v>
          </cell>
          <cell r="I11272" t="str">
            <v>ADJUST BALANCE (MM)</v>
          </cell>
        </row>
        <row r="11273">
          <cell r="H11273" t="str">
            <v>MM</v>
          </cell>
          <cell r="I11273" t="str">
            <v>ADJUST BALANCE (MM)</v>
          </cell>
        </row>
        <row r="11274">
          <cell r="H11274" t="str">
            <v>REFUND</v>
          </cell>
          <cell r="I11274" t="str">
            <v>REFUND</v>
          </cell>
        </row>
        <row r="11275">
          <cell r="H11275" t="str">
            <v>RETCK</v>
          </cell>
          <cell r="I11275" t="str">
            <v>RETURNED CHECK</v>
          </cell>
        </row>
        <row r="11276">
          <cell r="H11276" t="str">
            <v>RETCKC</v>
          </cell>
          <cell r="I11276" t="str">
            <v>RETURN CHECK CHARGE</v>
          </cell>
        </row>
        <row r="11277">
          <cell r="H11277" t="str">
            <v>FINCHG</v>
          </cell>
          <cell r="I11277" t="str">
            <v>LATE FEE</v>
          </cell>
        </row>
        <row r="11278">
          <cell r="H11278" t="str">
            <v>BD</v>
          </cell>
          <cell r="I11278" t="str">
            <v>BAD DEBT WRITE OFF</v>
          </cell>
        </row>
        <row r="11279">
          <cell r="H11279" t="str">
            <v>BDR</v>
          </cell>
          <cell r="I11279" t="str">
            <v>BAD DEBT RECOVERY</v>
          </cell>
        </row>
        <row r="11280">
          <cell r="H11280" t="str">
            <v>COLLFEE</v>
          </cell>
          <cell r="I11280" t="str">
            <v>COLLECTION AGENCY FEE</v>
          </cell>
        </row>
        <row r="11281">
          <cell r="H11281" t="str">
            <v>MM</v>
          </cell>
          <cell r="I11281" t="str">
            <v>ADJUST BALANCE (MM)</v>
          </cell>
        </row>
        <row r="11282">
          <cell r="H11282" t="str">
            <v>REFUND</v>
          </cell>
          <cell r="I11282" t="str">
            <v>REFUND</v>
          </cell>
        </row>
        <row r="11283">
          <cell r="H11283" t="str">
            <v>RETCK-LB</v>
          </cell>
          <cell r="I11283" t="str">
            <v>RETURNED CHECK - LOCKBOX</v>
          </cell>
        </row>
        <row r="11284">
          <cell r="H11284" t="str">
            <v>RETCKC</v>
          </cell>
          <cell r="I11284" t="str">
            <v>RETURN CHECK CHARGE</v>
          </cell>
        </row>
        <row r="11285">
          <cell r="H11285" t="str">
            <v>FINCHG</v>
          </cell>
          <cell r="I11285" t="str">
            <v>LATE FEE</v>
          </cell>
        </row>
        <row r="11286">
          <cell r="H11286" t="str">
            <v>BD</v>
          </cell>
          <cell r="I11286" t="str">
            <v>BAD DEBT WRITE OFF</v>
          </cell>
        </row>
        <row r="11287">
          <cell r="H11287" t="str">
            <v>BDR</v>
          </cell>
          <cell r="I11287" t="str">
            <v>BAD DEBT RECOVERY</v>
          </cell>
        </row>
        <row r="11288">
          <cell r="H11288" t="str">
            <v>FINCHG</v>
          </cell>
          <cell r="I11288" t="str">
            <v>LATE FEE</v>
          </cell>
        </row>
        <row r="11289">
          <cell r="H11289" t="str">
            <v>MM</v>
          </cell>
          <cell r="I11289" t="str">
            <v>ADJUST BALANCE (MM)</v>
          </cell>
        </row>
        <row r="11290">
          <cell r="H11290" t="str">
            <v>MM</v>
          </cell>
          <cell r="I11290" t="str">
            <v>ADJUST BALANCE (MM)</v>
          </cell>
        </row>
        <row r="11291">
          <cell r="H11291" t="str">
            <v>REFUND</v>
          </cell>
          <cell r="I11291" t="str">
            <v>REFUND</v>
          </cell>
        </row>
        <row r="11292">
          <cell r="H11292" t="str">
            <v>RETCK-LB</v>
          </cell>
          <cell r="I11292" t="str">
            <v>RETURNED CHECK - LOCKBOX</v>
          </cell>
        </row>
        <row r="11293">
          <cell r="H11293" t="str">
            <v>RTRNCART65-COMM</v>
          </cell>
          <cell r="I11293" t="str">
            <v>RETURN TRIP 65 GL - COMM</v>
          </cell>
        </row>
        <row r="11294">
          <cell r="H11294" t="str">
            <v>RTRNCART95-COMM</v>
          </cell>
          <cell r="I11294" t="str">
            <v>RETURN TRIP 95 GL - COMM</v>
          </cell>
        </row>
        <row r="11295">
          <cell r="H11295" t="str">
            <v>ACCESS-COMM</v>
          </cell>
          <cell r="I11295" t="str">
            <v>ACCESS FEE - COMM</v>
          </cell>
        </row>
        <row r="11296">
          <cell r="H11296" t="str">
            <v>ACCESS-MF</v>
          </cell>
          <cell r="I11296" t="str">
            <v>ACCESS FEE - MF</v>
          </cell>
        </row>
        <row r="11297">
          <cell r="H11297" t="str">
            <v>DONATIONC</v>
          </cell>
          <cell r="I11297" t="str">
            <v>DONATED SERVICE COMM</v>
          </cell>
        </row>
        <row r="11298">
          <cell r="H11298" t="str">
            <v>DRIVEIN1-COMM</v>
          </cell>
          <cell r="I11298" t="str">
            <v>DRIVE IN 125-250' - COMM</v>
          </cell>
        </row>
        <row r="11299">
          <cell r="H11299" t="str">
            <v>DRIVEIN3-COMM</v>
          </cell>
          <cell r="I11299" t="str">
            <v>DRIVE IN 779-1306' - COMM</v>
          </cell>
        </row>
        <row r="11300">
          <cell r="H11300" t="str">
            <v>FL001.0Y1W001</v>
          </cell>
          <cell r="I11300" t="str">
            <v>1 YD 1X WK 1</v>
          </cell>
        </row>
        <row r="11301">
          <cell r="H11301" t="str">
            <v>FL001.0Y2W001</v>
          </cell>
          <cell r="I11301" t="str">
            <v>1 YD 2X WK 1</v>
          </cell>
        </row>
        <row r="11302">
          <cell r="H11302" t="str">
            <v>FL001.0Y3W001</v>
          </cell>
          <cell r="I11302" t="str">
            <v>1 YD 3X WK 1</v>
          </cell>
        </row>
        <row r="11303">
          <cell r="H11303" t="str">
            <v>FL001.5Y1W001</v>
          </cell>
          <cell r="I11303" t="str">
            <v>1.5 YD 1X WK 1</v>
          </cell>
        </row>
        <row r="11304">
          <cell r="H11304" t="str">
            <v>FL001.5Y2W001</v>
          </cell>
          <cell r="I11304" t="str">
            <v>1.5 YD 2X WK 1</v>
          </cell>
        </row>
        <row r="11305">
          <cell r="H11305" t="str">
            <v>FL001.5Y3W001</v>
          </cell>
          <cell r="I11305" t="str">
            <v>1.5 YD 3X WK 1</v>
          </cell>
        </row>
        <row r="11306">
          <cell r="H11306" t="str">
            <v>FL002.0Y1W001</v>
          </cell>
          <cell r="I11306" t="str">
            <v>2 YD 1X WK 1</v>
          </cell>
        </row>
        <row r="11307">
          <cell r="H11307" t="str">
            <v>FL002.0Y2W001</v>
          </cell>
          <cell r="I11307" t="str">
            <v>2 YD 2X WK 1</v>
          </cell>
        </row>
        <row r="11308">
          <cell r="H11308" t="str">
            <v>FL002.0Y3W001</v>
          </cell>
          <cell r="I11308" t="str">
            <v>2 YD 3X WK 1</v>
          </cell>
        </row>
        <row r="11309">
          <cell r="H11309" t="str">
            <v>FL002.0Y4W001</v>
          </cell>
          <cell r="I11309" t="str">
            <v>2 YD 4X WK 1</v>
          </cell>
        </row>
        <row r="11310">
          <cell r="H11310" t="str">
            <v>FL002.0Y5W001</v>
          </cell>
          <cell r="I11310" t="str">
            <v>2 YD 5X WK 1</v>
          </cell>
        </row>
        <row r="11311">
          <cell r="H11311" t="str">
            <v>FL003.0Y1W001</v>
          </cell>
          <cell r="I11311" t="str">
            <v>3 YD 1X WK 1</v>
          </cell>
        </row>
        <row r="11312">
          <cell r="H11312" t="str">
            <v>FL003.0Y2W001</v>
          </cell>
          <cell r="I11312" t="str">
            <v>3 YD 2X WK 1</v>
          </cell>
        </row>
        <row r="11313">
          <cell r="H11313" t="str">
            <v>FL003.0Y3W001</v>
          </cell>
          <cell r="I11313" t="str">
            <v>3 YD 3X WK 1</v>
          </cell>
        </row>
        <row r="11314">
          <cell r="H11314" t="str">
            <v>FL003.0Y5W001</v>
          </cell>
          <cell r="I11314" t="str">
            <v>3 YD 5X WK 1</v>
          </cell>
        </row>
        <row r="11315">
          <cell r="H11315" t="str">
            <v>FL004.0Y1W001</v>
          </cell>
          <cell r="I11315" t="str">
            <v>4 YD 1X WK 1</v>
          </cell>
        </row>
        <row r="11316">
          <cell r="H11316" t="str">
            <v>FL004.0Y2W001</v>
          </cell>
          <cell r="I11316" t="str">
            <v>4 YD 2X WK 1</v>
          </cell>
        </row>
        <row r="11317">
          <cell r="H11317" t="str">
            <v>FL004.0Y2W001CMP</v>
          </cell>
          <cell r="I11317" t="str">
            <v>4 YD 2X WK COMP 1</v>
          </cell>
        </row>
        <row r="11318">
          <cell r="H11318" t="str">
            <v>FL004.0Y3W001</v>
          </cell>
          <cell r="I11318" t="str">
            <v>4 YD 3X WK 1</v>
          </cell>
        </row>
        <row r="11319">
          <cell r="H11319" t="str">
            <v>FL004.0Y4W001</v>
          </cell>
          <cell r="I11319" t="str">
            <v>4 YD 4X WK 1</v>
          </cell>
        </row>
        <row r="11320">
          <cell r="H11320" t="str">
            <v>FL004.0Y5W001</v>
          </cell>
          <cell r="I11320" t="str">
            <v>4 YD 5X WK 1</v>
          </cell>
        </row>
        <row r="11321">
          <cell r="H11321" t="str">
            <v>FL006.0Y1W001</v>
          </cell>
          <cell r="I11321" t="str">
            <v>6 YD 1X WK 1</v>
          </cell>
        </row>
        <row r="11322">
          <cell r="H11322" t="str">
            <v>FL006.0Y2W001</v>
          </cell>
          <cell r="I11322" t="str">
            <v>6 YD 2X WK 1</v>
          </cell>
        </row>
        <row r="11323">
          <cell r="H11323" t="str">
            <v>FL006.0Y2W001CMP</v>
          </cell>
          <cell r="I11323" t="str">
            <v>6 YD 2X WK COMP 1</v>
          </cell>
        </row>
        <row r="11324">
          <cell r="H11324" t="str">
            <v>FL006.0Y3W001</v>
          </cell>
          <cell r="I11324" t="str">
            <v>6 YD 3X WK 1</v>
          </cell>
        </row>
        <row r="11325">
          <cell r="H11325" t="str">
            <v>FL006.0Y4W001</v>
          </cell>
          <cell r="I11325" t="str">
            <v>6 YD 4X WK 1</v>
          </cell>
        </row>
        <row r="11326">
          <cell r="H11326" t="str">
            <v>FL006.0Y5W001</v>
          </cell>
          <cell r="I11326" t="str">
            <v>6 YD 5X WK 1</v>
          </cell>
        </row>
        <row r="11327">
          <cell r="H11327" t="str">
            <v>GWCOMM</v>
          </cell>
          <cell r="I11327" t="str">
            <v>GREENWASTE SERVICE - COMM</v>
          </cell>
        </row>
        <row r="11328">
          <cell r="H11328" t="str">
            <v>RL032.0G1W001WRECC</v>
          </cell>
          <cell r="I11328" t="str">
            <v>32 GL 1X WK W/RECY COMM 1</v>
          </cell>
        </row>
        <row r="11329">
          <cell r="H11329" t="str">
            <v>ROLL-COMM</v>
          </cell>
          <cell r="I11329" t="str">
            <v>ROLL OUT CHARGE - COMM</v>
          </cell>
        </row>
        <row r="11330">
          <cell r="H11330" t="str">
            <v>SL065.0G1M001NORECC</v>
          </cell>
          <cell r="I11330" t="str">
            <v xml:space="preserve">65 GL 1X MO NO RECY COMM </v>
          </cell>
        </row>
        <row r="11331">
          <cell r="H11331" t="str">
            <v>SL065.0G1W001NORECC</v>
          </cell>
          <cell r="I11331" t="str">
            <v xml:space="preserve">65 GL 1X WK NO RECY COMM </v>
          </cell>
        </row>
        <row r="11332">
          <cell r="H11332" t="str">
            <v>SL065.0G1W001WRECC</v>
          </cell>
          <cell r="I11332" t="str">
            <v>65 GL 1X WK W/RECY COMM 1</v>
          </cell>
        </row>
        <row r="11333">
          <cell r="H11333" t="str">
            <v>SL065.0GEO001NORECC</v>
          </cell>
          <cell r="I11333" t="str">
            <v>65 GL EOW NO RECY COMM 1</v>
          </cell>
        </row>
        <row r="11334">
          <cell r="H11334" t="str">
            <v>SL065.0GEO001WRECC</v>
          </cell>
          <cell r="I11334" t="str">
            <v>65 GL EOW W/RECY COMM 1</v>
          </cell>
        </row>
        <row r="11335">
          <cell r="H11335" t="str">
            <v>SL095.0G1W001NORECC</v>
          </cell>
          <cell r="I11335" t="str">
            <v xml:space="preserve">95 GL 1X WK NO RECY COMM </v>
          </cell>
        </row>
        <row r="11336">
          <cell r="H11336" t="str">
            <v>SL095.0G1W001WRECC</v>
          </cell>
          <cell r="I11336" t="str">
            <v>95 GL 1X WK W/RECY COMM 1</v>
          </cell>
        </row>
        <row r="11337">
          <cell r="H11337" t="str">
            <v>SL095.0GEO001NORECC</v>
          </cell>
          <cell r="I11337" t="str">
            <v>95 GL EOW NO RECY COMM 1</v>
          </cell>
        </row>
        <row r="11338">
          <cell r="H11338" t="str">
            <v>SL095.0GEO001WRECC</v>
          </cell>
          <cell r="I11338" t="str">
            <v>95 GL EOW W/RECY COMM 1</v>
          </cell>
        </row>
        <row r="11339">
          <cell r="H11339" t="str">
            <v>WI1-COMM</v>
          </cell>
          <cell r="I11339" t="str">
            <v>WALK IN 6-25' - COMM</v>
          </cell>
        </row>
        <row r="11340">
          <cell r="H11340" t="str">
            <v>WI2-COMM</v>
          </cell>
          <cell r="I11340" t="str">
            <v>WALK IN 26-50' - COMM</v>
          </cell>
        </row>
        <row r="11341">
          <cell r="H11341" t="str">
            <v>ACCESS-COMM</v>
          </cell>
          <cell r="I11341" t="str">
            <v>ACCESS FEE - COMM</v>
          </cell>
        </row>
        <row r="11342">
          <cell r="H11342" t="str">
            <v>CANCOUNT-COMM</v>
          </cell>
          <cell r="I11342" t="str">
            <v>CAN COUNT - COMM</v>
          </cell>
        </row>
        <row r="11343">
          <cell r="H11343" t="str">
            <v>CLEAN1.5-COMM</v>
          </cell>
          <cell r="I11343" t="str">
            <v>CLEANING FEE 1.5 YD - COM</v>
          </cell>
        </row>
        <row r="11344">
          <cell r="H11344" t="str">
            <v>CLEAN2-COMM</v>
          </cell>
          <cell r="I11344" t="str">
            <v>CLEANING FEE 2 YD - COMM</v>
          </cell>
        </row>
        <row r="11345">
          <cell r="H11345" t="str">
            <v>CLEAN4-COMM</v>
          </cell>
          <cell r="I11345" t="str">
            <v>CLEANING FEE 4 YD - COMM</v>
          </cell>
        </row>
        <row r="11346">
          <cell r="H11346" t="str">
            <v>CLEAN6-COMM</v>
          </cell>
          <cell r="I11346" t="str">
            <v>CLEANING FEE 6 YD - COMM</v>
          </cell>
        </row>
        <row r="11347">
          <cell r="H11347" t="str">
            <v>DEL6TEMP-COMM</v>
          </cell>
          <cell r="I11347" t="str">
            <v xml:space="preserve">DELIVERY FEE 6 YD TEMP - </v>
          </cell>
        </row>
        <row r="11348">
          <cell r="H11348" t="str">
            <v>EXTRAGRAD1-COMM</v>
          </cell>
          <cell r="I11348" t="str">
            <v>EXTRAS GRADUATED 1-2 - COMM</v>
          </cell>
        </row>
        <row r="11349">
          <cell r="H11349" t="str">
            <v>EXTRAGRAD2-COMM</v>
          </cell>
          <cell r="I11349" t="str">
            <v>EXTRAS GRADUATED 3+ - COMM</v>
          </cell>
        </row>
        <row r="11350">
          <cell r="H11350" t="str">
            <v>EXTRAGWC-COMM</v>
          </cell>
          <cell r="I11350" t="str">
            <v>EXTRA GREENWASTE FEE - CO</v>
          </cell>
        </row>
        <row r="11351">
          <cell r="H11351" t="str">
            <v>EXTRAYDG-COM</v>
          </cell>
          <cell r="I11351" t="str">
            <v>EXTRA YARDAGE - COMM</v>
          </cell>
        </row>
        <row r="11352">
          <cell r="H11352" t="str">
            <v>FL001.0Y1W001</v>
          </cell>
          <cell r="I11352" t="str">
            <v>1 YD 1X WK 1</v>
          </cell>
        </row>
        <row r="11353">
          <cell r="H11353" t="str">
            <v>FL001.0YXX001TEMPC</v>
          </cell>
          <cell r="I11353" t="str">
            <v xml:space="preserve">1 YD TEMP </v>
          </cell>
        </row>
        <row r="11354">
          <cell r="H11354" t="str">
            <v>FL001.5YXX001TEMPC</v>
          </cell>
          <cell r="I11354" t="str">
            <v xml:space="preserve">1.5 YD TEMP </v>
          </cell>
        </row>
        <row r="11355">
          <cell r="H11355" t="str">
            <v>FL002.0Y1W001</v>
          </cell>
          <cell r="I11355" t="str">
            <v>2 YD 1X WK 1</v>
          </cell>
        </row>
        <row r="11356">
          <cell r="H11356" t="str">
            <v>FL002.0Y2W001</v>
          </cell>
          <cell r="I11356" t="str">
            <v>2 YD 2X WK 1</v>
          </cell>
        </row>
        <row r="11357">
          <cell r="H11357" t="str">
            <v>FL002.0YXX001TEMPC</v>
          </cell>
          <cell r="I11357" t="str">
            <v xml:space="preserve">2 YD TEMP </v>
          </cell>
        </row>
        <row r="11358">
          <cell r="H11358" t="str">
            <v>FL006.0Y2W001</v>
          </cell>
          <cell r="I11358" t="str">
            <v>6 YD 2X WK 1</v>
          </cell>
        </row>
        <row r="11359">
          <cell r="H11359" t="str">
            <v>FL006.0YXX001TEMPC</v>
          </cell>
          <cell r="I11359" t="str">
            <v>6 YD TEMP 1</v>
          </cell>
        </row>
        <row r="11360">
          <cell r="H11360" t="str">
            <v>GWCOMM</v>
          </cell>
          <cell r="I11360" t="str">
            <v>GREENWASTE SERVICE - COMM</v>
          </cell>
        </row>
        <row r="11361">
          <cell r="H11361" t="str">
            <v>REDEL-COMM</v>
          </cell>
          <cell r="I11361" t="str">
            <v>REDELIVER FEE LVL 1 - COM</v>
          </cell>
        </row>
        <row r="11362">
          <cell r="H11362" t="str">
            <v>REINSTATE-COMM</v>
          </cell>
          <cell r="I11362" t="str">
            <v>REINSTATE FEE - COMM</v>
          </cell>
        </row>
        <row r="11363">
          <cell r="H11363" t="str">
            <v>RENT1.5TEMP-COMM</v>
          </cell>
          <cell r="I11363" t="str">
            <v>RENT 1.5 YD TEMP - COMM</v>
          </cell>
        </row>
        <row r="11364">
          <cell r="H11364" t="str">
            <v>RENT1TEMP-COMM</v>
          </cell>
          <cell r="I11364" t="str">
            <v>RENT 1 YD TEMP - COMM</v>
          </cell>
        </row>
        <row r="11365">
          <cell r="H11365" t="str">
            <v>RENT2TEMP-COMM</v>
          </cell>
          <cell r="I11365" t="str">
            <v>RENT 2 YD TEMP - COMM</v>
          </cell>
        </row>
        <row r="11366">
          <cell r="H11366" t="str">
            <v>RENT6TEMP-COMM</v>
          </cell>
          <cell r="I11366" t="str">
            <v>RENT 6 YD TEMP - COMM</v>
          </cell>
        </row>
        <row r="11367">
          <cell r="H11367" t="str">
            <v>RTRNTRIP-COMM</v>
          </cell>
          <cell r="I11367" t="str">
            <v>RETURN TRIP FEE - COMM</v>
          </cell>
        </row>
        <row r="11368">
          <cell r="H11368" t="str">
            <v>SP1-COMM</v>
          </cell>
          <cell r="I11368" t="str">
            <v>SPECIAL PICK UP 1 YD - CO</v>
          </cell>
        </row>
        <row r="11369">
          <cell r="H11369" t="str">
            <v>SP1.5-COMM</v>
          </cell>
          <cell r="I11369" t="str">
            <v xml:space="preserve">SPECIAL PICK UP 1.5 YD - </v>
          </cell>
        </row>
        <row r="11370">
          <cell r="H11370" t="str">
            <v>SP2-COMM</v>
          </cell>
          <cell r="I11370" t="str">
            <v>SPECIAL PICK UP 2 YD - CO</v>
          </cell>
        </row>
        <row r="11371">
          <cell r="H11371" t="str">
            <v>SP3-COMM</v>
          </cell>
          <cell r="I11371" t="str">
            <v>SPECIAL PICK UP 3 YD - CO</v>
          </cell>
        </row>
        <row r="11372">
          <cell r="H11372" t="str">
            <v>SP4-COMM</v>
          </cell>
          <cell r="I11372" t="str">
            <v>SPECIAL PICK UP 4 YD - CO</v>
          </cell>
        </row>
        <row r="11373">
          <cell r="H11373" t="str">
            <v>SP6-COMM</v>
          </cell>
          <cell r="I11373" t="str">
            <v>SPECIAL PICK UP 6 YD - CO</v>
          </cell>
        </row>
        <row r="11374">
          <cell r="H11374" t="str">
            <v>SPGRAD1S-COMM</v>
          </cell>
          <cell r="I11374" t="str">
            <v>SPECIAL UNIT GRAD1 SCHL - COMM</v>
          </cell>
        </row>
        <row r="11375">
          <cell r="H11375" t="str">
            <v>SPGRAD2S-COMM</v>
          </cell>
          <cell r="I11375" t="str">
            <v>SPECIAL UNIT GRAD2 SCHL - COMM</v>
          </cell>
        </row>
        <row r="11376">
          <cell r="H11376" t="str">
            <v>ACCESSCREC-COMM</v>
          </cell>
          <cell r="I11376" t="str">
            <v>ACCESS FEE COMM RECY - CO</v>
          </cell>
        </row>
        <row r="11377">
          <cell r="H11377" t="str">
            <v>FL002.0Y1W001BCMGL</v>
          </cell>
          <cell r="I11377" t="str">
            <v>2 YD 1X WK BUS CMGL 1</v>
          </cell>
        </row>
        <row r="11378">
          <cell r="H11378" t="str">
            <v>FL002.0Y1W001BOCC</v>
          </cell>
          <cell r="I11378" t="str">
            <v>2 YD 1X WK BUS OCC 1</v>
          </cell>
        </row>
        <row r="11379">
          <cell r="H11379" t="str">
            <v>FL002.0Y1W001SCMGL</v>
          </cell>
          <cell r="I11379" t="str">
            <v>2 YD 1X WK SCHL CMGL 1</v>
          </cell>
        </row>
        <row r="11380">
          <cell r="H11380" t="str">
            <v>FL002.0Y1W001SOCC</v>
          </cell>
          <cell r="I11380" t="str">
            <v>2 YD 1X WK SCHOOL OCC</v>
          </cell>
        </row>
        <row r="11381">
          <cell r="H11381" t="str">
            <v>FL002.0Y2W001BCMGL</v>
          </cell>
          <cell r="I11381" t="str">
            <v>2 YD 2X WK BUS CMGL 1</v>
          </cell>
        </row>
        <row r="11382">
          <cell r="H11382" t="str">
            <v>FL002.0Y2W001BOCC</v>
          </cell>
          <cell r="I11382" t="str">
            <v>2 YD 2X WK BUS OCC 1</v>
          </cell>
        </row>
        <row r="11383">
          <cell r="H11383" t="str">
            <v>FL002.0Y2W001SOCC</v>
          </cell>
          <cell r="I11383" t="str">
            <v>2 YD 2X WK SCHOOL OCC</v>
          </cell>
        </row>
        <row r="11384">
          <cell r="H11384" t="str">
            <v>FL002.0Y3W001BOCC</v>
          </cell>
          <cell r="I11384" t="str">
            <v>2 YD 3X WK BUS OCC 1</v>
          </cell>
        </row>
        <row r="11385">
          <cell r="H11385" t="str">
            <v>FL002.0Y4W001BOCC</v>
          </cell>
          <cell r="I11385" t="str">
            <v>2 YD 4X WK BUS OCC 1</v>
          </cell>
        </row>
        <row r="11386">
          <cell r="H11386" t="str">
            <v>FL004.0Y1W001CMGL</v>
          </cell>
          <cell r="I11386" t="str">
            <v>4 YD 1X WK BUS CMGL 1</v>
          </cell>
        </row>
        <row r="11387">
          <cell r="H11387" t="str">
            <v>FL004.0Y2W001CMGL</v>
          </cell>
          <cell r="I11387" t="str">
            <v>4 YD 2X WK BUS CMGL 1</v>
          </cell>
        </row>
        <row r="11388">
          <cell r="H11388" t="str">
            <v>FL004.0Y3W001BCMGL</v>
          </cell>
          <cell r="I11388" t="str">
            <v>4 YD 3X WK BUS CMGL 1</v>
          </cell>
        </row>
        <row r="11389">
          <cell r="H11389" t="str">
            <v>FL005.0Y1W001BOCC</v>
          </cell>
          <cell r="I11389" t="str">
            <v>5 YD 1X WK BUS OCC 1</v>
          </cell>
        </row>
        <row r="11390">
          <cell r="H11390" t="str">
            <v>FL005.0Y1W001SOCC</v>
          </cell>
          <cell r="I11390" t="str">
            <v>5 YD 1X WK SCHOOL OCC</v>
          </cell>
        </row>
        <row r="11391">
          <cell r="H11391" t="str">
            <v>FL005.0Y2W001BOCC</v>
          </cell>
          <cell r="I11391" t="str">
            <v>5 YD 2X WK BUS OCC 1</v>
          </cell>
        </row>
        <row r="11392">
          <cell r="H11392" t="str">
            <v>FL005.0Y2W001SOCC</v>
          </cell>
          <cell r="I11392" t="str">
            <v>5 YD 2X WK SCHOOL OCC</v>
          </cell>
        </row>
        <row r="11393">
          <cell r="H11393" t="str">
            <v>FL005.0Y3W001BOCC</v>
          </cell>
          <cell r="I11393" t="str">
            <v>5 YD 3X WK BUS OCC 1</v>
          </cell>
        </row>
        <row r="11394">
          <cell r="H11394" t="str">
            <v>FL005.0Y4W001BOCC</v>
          </cell>
          <cell r="I11394" t="str">
            <v>5 YD 4X WK BUS OCC 1</v>
          </cell>
        </row>
        <row r="11395">
          <cell r="H11395" t="str">
            <v>FL005.0Y5W001BOCC</v>
          </cell>
          <cell r="I11395" t="str">
            <v>5 YD 5X WK BUS OCC 1</v>
          </cell>
        </row>
        <row r="11396">
          <cell r="H11396" t="str">
            <v>FL006.0Y1W001BCMGL</v>
          </cell>
          <cell r="I11396" t="str">
            <v>6 YD 1X WK BUS COMINGLE 1</v>
          </cell>
        </row>
        <row r="11397">
          <cell r="H11397" t="str">
            <v>FL006.0Y2W001BCMGL</v>
          </cell>
          <cell r="I11397" t="str">
            <v>6 YD 2X WK BUS COMINGLE 1</v>
          </cell>
        </row>
        <row r="11398">
          <cell r="H11398" t="str">
            <v>FL006.0Y3W001BCMGL</v>
          </cell>
          <cell r="I11398" t="str">
            <v>6 YD 3X WK BUS CMGL 1</v>
          </cell>
        </row>
        <row r="11399">
          <cell r="H11399" t="str">
            <v>FL006.0Y4W001BCMGL</v>
          </cell>
          <cell r="I11399" t="str">
            <v>6 YD 4X WK BUS CMGL 1</v>
          </cell>
        </row>
        <row r="11400">
          <cell r="H11400" t="str">
            <v>MFNBINS</v>
          </cell>
          <cell r="I11400" t="str">
            <v>MULTI-FAMILY REC UNIT N/B</v>
          </cell>
        </row>
        <row r="11401">
          <cell r="H11401" t="str">
            <v>MFWBINS</v>
          </cell>
          <cell r="I11401" t="str">
            <v>MULTI-FAMILY REC UNIT W/B</v>
          </cell>
        </row>
        <row r="11402">
          <cell r="H11402" t="str">
            <v>RENTRECCNT-COMM</v>
          </cell>
          <cell r="I11402" t="str">
            <v>RENTAL FEE RECYCLE CONTAI</v>
          </cell>
        </row>
        <row r="11403">
          <cell r="H11403" t="str">
            <v>ROLL-REC</v>
          </cell>
          <cell r="I11403" t="str">
            <v>ROLL OUT CHARGE - RECYCLI</v>
          </cell>
        </row>
        <row r="11404">
          <cell r="H11404" t="str">
            <v>SL064.0G1W001BCMGLOUT</v>
          </cell>
          <cell r="I11404" t="str">
            <v>64 GL WKLY BUS CMGL OUT</v>
          </cell>
        </row>
        <row r="11405">
          <cell r="H11405" t="str">
            <v>SL064.0GEO001BCMGLOUT</v>
          </cell>
          <cell r="I11405" t="str">
            <v>64 GL EOW BUS CMGL OUT</v>
          </cell>
        </row>
        <row r="11406">
          <cell r="H11406" t="str">
            <v>SL096.0G1M001BCMGLOUT</v>
          </cell>
          <cell r="I11406" t="str">
            <v>96 GL MTHLY BUS CMGL OUT</v>
          </cell>
        </row>
        <row r="11407">
          <cell r="H11407" t="str">
            <v>SL096.0G1W001BCMGLIN</v>
          </cell>
          <cell r="I11407" t="str">
            <v>96 GL WKLY BUS CMGL IN</v>
          </cell>
        </row>
        <row r="11408">
          <cell r="H11408" t="str">
            <v>SL096.0G1W001BCMGLOUT</v>
          </cell>
          <cell r="I11408" t="str">
            <v>96 GL WKLY BUS CMGL OUT</v>
          </cell>
        </row>
        <row r="11409">
          <cell r="H11409" t="str">
            <v>SL096.0G1W001SCMGLOUT</v>
          </cell>
          <cell r="I11409" t="str">
            <v>96 GL WKLY SCHL CMGL OUT</v>
          </cell>
        </row>
        <row r="11410">
          <cell r="H11410" t="str">
            <v>SL096.0GEO001BCMGLIN</v>
          </cell>
          <cell r="I11410" t="str">
            <v>96 GL EOW BUS CMGL IN</v>
          </cell>
        </row>
        <row r="11411">
          <cell r="H11411" t="str">
            <v>SL096.0GEO001BCMGLOUT</v>
          </cell>
          <cell r="I11411" t="str">
            <v>96 GL EOW BUS CMGL OUT</v>
          </cell>
        </row>
        <row r="11412">
          <cell r="H11412" t="str">
            <v>SL096.0GEO001SCMGLOUT</v>
          </cell>
          <cell r="I11412" t="str">
            <v>96 GL EOW SCHL CMGL OUT</v>
          </cell>
        </row>
        <row r="11413">
          <cell r="H11413" t="str">
            <v>FL002.0Y1W001BCMGL</v>
          </cell>
          <cell r="I11413" t="str">
            <v>2 YD 1X WK BUS CMGL 1</v>
          </cell>
        </row>
        <row r="11414">
          <cell r="H11414" t="str">
            <v>FL006.0Y3W001BCMGL</v>
          </cell>
          <cell r="I11414" t="str">
            <v>6 YD 3X WK BUS CMGL 1</v>
          </cell>
        </row>
        <row r="11415">
          <cell r="H11415" t="str">
            <v>MFWBINS</v>
          </cell>
          <cell r="I11415" t="str">
            <v>MULTI-FAMILY REC UNIT W/B</v>
          </cell>
        </row>
        <row r="11416">
          <cell r="H11416" t="str">
            <v>SP2BCMGL-COMM</v>
          </cell>
          <cell r="I11416" t="str">
            <v>SPECIAL P/U 2 YD BUS CMGL</v>
          </cell>
        </row>
        <row r="11417">
          <cell r="H11417" t="str">
            <v>SP2SCMGL-COMM</v>
          </cell>
          <cell r="I11417" t="str">
            <v>SPECIAL P/U 2 YD SCHL CMGL</v>
          </cell>
        </row>
        <row r="11418">
          <cell r="H11418" t="str">
            <v>SP5OCC-COMM</v>
          </cell>
          <cell r="I11418" t="str">
            <v>SPECIAL PICKUP 5 YD OCC -</v>
          </cell>
        </row>
        <row r="11419">
          <cell r="H11419" t="str">
            <v>SPGRAD1REC-COMM</v>
          </cell>
          <cell r="I11419" t="str">
            <v>SPECIAL UNIT GRAD1 REC - COMM</v>
          </cell>
        </row>
        <row r="11420">
          <cell r="H11420" t="str">
            <v>SPGRAD2REC-COMM</v>
          </cell>
          <cell r="I11420" t="str">
            <v>SPECIAL UNIT GRAD2 REC - COMM</v>
          </cell>
        </row>
        <row r="11421">
          <cell r="H11421" t="str">
            <v>RETCK-PNCL</v>
          </cell>
          <cell r="I11421" t="str">
            <v>RETURNED CHECK - PNC LOCKBOX</v>
          </cell>
        </row>
        <row r="11422">
          <cell r="H11422" t="str">
            <v>CC-KOL</v>
          </cell>
          <cell r="I11422" t="str">
            <v>ONLINE PAYMENT-CC</v>
          </cell>
        </row>
        <row r="11423">
          <cell r="H11423" t="str">
            <v>CCREF-KOL</v>
          </cell>
          <cell r="I11423" t="str">
            <v>CREDIT CARD REFUND</v>
          </cell>
        </row>
        <row r="11424">
          <cell r="H11424" t="str">
            <v>PAY</v>
          </cell>
          <cell r="I11424" t="str">
            <v>PAYMENT THANK YOU</v>
          </cell>
        </row>
        <row r="11425">
          <cell r="H11425" t="str">
            <v>PAY-CFREE</v>
          </cell>
          <cell r="I11425" t="str">
            <v>CHECKFREE PAYMENT</v>
          </cell>
        </row>
        <row r="11426">
          <cell r="H11426" t="str">
            <v>PAY-KOL</v>
          </cell>
          <cell r="I11426" t="str">
            <v>PAYMENT-THANK YOU - OL</v>
          </cell>
        </row>
        <row r="11427">
          <cell r="H11427" t="str">
            <v>PAY-ORCC</v>
          </cell>
          <cell r="I11427" t="str">
            <v>ORCC PAYMENT</v>
          </cell>
        </row>
        <row r="11428">
          <cell r="H11428" t="str">
            <v>PAY-RPPS</v>
          </cell>
          <cell r="I11428" t="str">
            <v>RPPS MASTERCARD PAYMENT</v>
          </cell>
        </row>
        <row r="11429">
          <cell r="H11429" t="str">
            <v>PAYMET</v>
          </cell>
          <cell r="I11429" t="str">
            <v>METAVANTE ONLINE PAYMENT</v>
          </cell>
        </row>
        <row r="11430">
          <cell r="H11430" t="str">
            <v>PAYPNCL</v>
          </cell>
          <cell r="I11430" t="str">
            <v>PAYMENT THANK YOU!</v>
          </cell>
        </row>
        <row r="11431">
          <cell r="H11431" t="str">
            <v>PAYUSBL</v>
          </cell>
          <cell r="I11431" t="str">
            <v>PAYMENT THANK YOU</v>
          </cell>
        </row>
        <row r="11432">
          <cell r="H11432" t="str">
            <v>RET-KOL</v>
          </cell>
          <cell r="I11432" t="str">
            <v>ONLINE PAYMENT RETURN</v>
          </cell>
        </row>
        <row r="11433">
          <cell r="H11433" t="str">
            <v>CC-KOL</v>
          </cell>
          <cell r="I11433" t="str">
            <v>ONLINE PAYMENT-CC</v>
          </cell>
        </row>
        <row r="11434">
          <cell r="H11434" t="str">
            <v>CCREF-KOL</v>
          </cell>
          <cell r="I11434" t="str">
            <v>CREDIT CARD REFUND</v>
          </cell>
        </row>
        <row r="11435">
          <cell r="H11435" t="str">
            <v>PAY</v>
          </cell>
          <cell r="I11435" t="str">
            <v>PAYMENT THANK YOU</v>
          </cell>
        </row>
        <row r="11436">
          <cell r="H11436" t="str">
            <v>PAY-CFREE</v>
          </cell>
          <cell r="I11436" t="str">
            <v>CHECKFREE PAYMENT</v>
          </cell>
        </row>
        <row r="11437">
          <cell r="H11437" t="str">
            <v>PAY-KOL</v>
          </cell>
          <cell r="I11437" t="str">
            <v>PAYMENT-THANK YOU - OL</v>
          </cell>
        </row>
        <row r="11438">
          <cell r="H11438" t="str">
            <v>PAY-ORCC</v>
          </cell>
          <cell r="I11438" t="str">
            <v>ORCC PAYMENT</v>
          </cell>
        </row>
        <row r="11439">
          <cell r="H11439" t="str">
            <v>PAY-RPPS</v>
          </cell>
          <cell r="I11439" t="str">
            <v>RPPS MASTERCARD PAYMENT</v>
          </cell>
        </row>
        <row r="11440">
          <cell r="H11440" t="str">
            <v>PAYMET</v>
          </cell>
          <cell r="I11440" t="str">
            <v>METAVANTE ONLINE PAYMENT</v>
          </cell>
        </row>
        <row r="11441">
          <cell r="H11441" t="str">
            <v>PAYUSBL</v>
          </cell>
          <cell r="I11441" t="str">
            <v>PAYMENT THANK YOU</v>
          </cell>
        </row>
        <row r="11442">
          <cell r="H11442" t="str">
            <v>RET-KOL</v>
          </cell>
          <cell r="I11442" t="str">
            <v>ONLINE PAYMENT RETURN</v>
          </cell>
        </row>
        <row r="11443">
          <cell r="H11443" t="str">
            <v>CC-KOL</v>
          </cell>
          <cell r="I11443" t="str">
            <v>ONLINE PAYMENT-CC</v>
          </cell>
        </row>
        <row r="11444">
          <cell r="H11444" t="str">
            <v>CCREF-KOL</v>
          </cell>
          <cell r="I11444" t="str">
            <v>CREDIT CARD REFUND</v>
          </cell>
        </row>
        <row r="11445">
          <cell r="H11445" t="str">
            <v>PAY</v>
          </cell>
          <cell r="I11445" t="str">
            <v>PAYMENT THANK YOU</v>
          </cell>
        </row>
        <row r="11446">
          <cell r="H11446" t="str">
            <v>PAY-CFREE</v>
          </cell>
          <cell r="I11446" t="str">
            <v>CHECKFREE PAYMENT</v>
          </cell>
        </row>
        <row r="11447">
          <cell r="H11447" t="str">
            <v>PAY-KOL</v>
          </cell>
          <cell r="I11447" t="str">
            <v>PAYMENT-THANK YOU - OL</v>
          </cell>
        </row>
        <row r="11448">
          <cell r="H11448" t="str">
            <v>PAY-NATL</v>
          </cell>
          <cell r="I11448" t="str">
            <v>PAYMENT THANK YOU</v>
          </cell>
        </row>
        <row r="11449">
          <cell r="H11449" t="str">
            <v>PAY-OAK</v>
          </cell>
          <cell r="I11449" t="str">
            <v>OAKLEAF PAYMENT</v>
          </cell>
        </row>
        <row r="11450">
          <cell r="H11450" t="str">
            <v>PAY-ORCC</v>
          </cell>
          <cell r="I11450" t="str">
            <v>ORCC PAYMENT</v>
          </cell>
        </row>
        <row r="11451">
          <cell r="H11451" t="str">
            <v>PAY-RPPS</v>
          </cell>
          <cell r="I11451" t="str">
            <v>RPPS MASTERCARD PAYMENT</v>
          </cell>
        </row>
        <row r="11452">
          <cell r="H11452" t="str">
            <v>PAYEFT</v>
          </cell>
          <cell r="I11452" t="str">
            <v>EFT PAYMENT</v>
          </cell>
        </row>
        <row r="11453">
          <cell r="H11453" t="str">
            <v>PAYICLRI</v>
          </cell>
          <cell r="I11453" t="str">
            <v>PAYMENT THANK YOU</v>
          </cell>
        </row>
        <row r="11454">
          <cell r="H11454" t="str">
            <v>PAYMET</v>
          </cell>
          <cell r="I11454" t="str">
            <v>METAVANTE ONLINE PAYMENT</v>
          </cell>
        </row>
        <row r="11455">
          <cell r="H11455" t="str">
            <v>PAYPNCL</v>
          </cell>
          <cell r="I11455" t="str">
            <v>PAYMENT THANK YOU!</v>
          </cell>
        </row>
        <row r="11456">
          <cell r="H11456" t="str">
            <v>PAYUSBL</v>
          </cell>
          <cell r="I11456" t="str">
            <v>PAYMENT THANK YOU</v>
          </cell>
        </row>
        <row r="11457">
          <cell r="H11457" t="str">
            <v>RET-KOL</v>
          </cell>
          <cell r="I11457" t="str">
            <v>ONLINE PAYMENT RETURN</v>
          </cell>
        </row>
        <row r="11458">
          <cell r="H11458" t="str">
            <v>CC-KOL</v>
          </cell>
          <cell r="I11458" t="str">
            <v>ONLINE PAYMENT-CC</v>
          </cell>
        </row>
        <row r="11459">
          <cell r="H11459" t="str">
            <v>PAY-RPPS</v>
          </cell>
          <cell r="I11459" t="str">
            <v>RPPS MASTERCARD PAYMENT</v>
          </cell>
        </row>
        <row r="11460">
          <cell r="H11460" t="str">
            <v>GWRES</v>
          </cell>
          <cell r="I11460" t="str">
            <v>GREENWASTE SERVICE - RES</v>
          </cell>
        </row>
        <row r="11461">
          <cell r="H11461" t="str">
            <v>RECPROGADJ-RES</v>
          </cell>
          <cell r="I11461" t="str">
            <v>RECYCLING PROGRAM ADJUSTM</v>
          </cell>
        </row>
        <row r="11462">
          <cell r="H11462" t="str">
            <v>RECVALRES</v>
          </cell>
          <cell r="I11462" t="str">
            <v>RECYCLABLES VALUE - RES</v>
          </cell>
        </row>
        <row r="11463">
          <cell r="H11463" t="str">
            <v>SL035.0G1M001WREC</v>
          </cell>
          <cell r="I11463" t="str">
            <v>35 GL 1X MO W/RECY 1</v>
          </cell>
        </row>
        <row r="11464">
          <cell r="H11464" t="str">
            <v>SL035.0G1W001WREC</v>
          </cell>
          <cell r="I11464" t="str">
            <v>35 GL 1X WK W/ RECY 1</v>
          </cell>
        </row>
        <row r="11465">
          <cell r="H11465" t="str">
            <v>SL065.0G1M001WREC</v>
          </cell>
          <cell r="I11465" t="str">
            <v>65 GL 1X MO W/RECY 1</v>
          </cell>
        </row>
        <row r="11466">
          <cell r="H11466" t="str">
            <v>SL065.0G1W001WREC</v>
          </cell>
          <cell r="I11466" t="str">
            <v>65 GL 1X WK W/RECY 1</v>
          </cell>
        </row>
        <row r="11467">
          <cell r="H11467" t="str">
            <v>SL065.0GEO001WREC</v>
          </cell>
          <cell r="I11467" t="str">
            <v>65 GL EOW W/RECY 1</v>
          </cell>
        </row>
        <row r="11468">
          <cell r="H11468" t="str">
            <v>SL095.0G1W001NOREC</v>
          </cell>
          <cell r="I11468" t="str">
            <v>95 GL 1X WK NO RECY 1</v>
          </cell>
        </row>
        <row r="11469">
          <cell r="H11469" t="str">
            <v>SL095.0G1W001WREC</v>
          </cell>
          <cell r="I11469" t="str">
            <v>95 GL 1X WK W/RECY 1</v>
          </cell>
        </row>
        <row r="11470">
          <cell r="H11470" t="str">
            <v>SL095.0GEO001WREC</v>
          </cell>
          <cell r="I11470" t="str">
            <v>95 GL EOW W/RECY 1</v>
          </cell>
        </row>
        <row r="11471">
          <cell r="H11471" t="str">
            <v>BULKY-RES</v>
          </cell>
          <cell r="I11471" t="str">
            <v>BULKY ITEM PICK UP - RES</v>
          </cell>
        </row>
        <row r="11472">
          <cell r="H11472" t="str">
            <v>EP96GWC-RES</v>
          </cell>
          <cell r="I11472" t="str">
            <v>EXTRA PICK UP 96 GW - RES</v>
          </cell>
        </row>
        <row r="11473">
          <cell r="H11473" t="str">
            <v>EXTRAGRAD1-RES</v>
          </cell>
          <cell r="I11473" t="str">
            <v>EXTRAS GRADUATED 1-2 - RES</v>
          </cell>
        </row>
        <row r="11474">
          <cell r="H11474" t="str">
            <v>EXTRAGRAD2-RES</v>
          </cell>
          <cell r="I11474" t="str">
            <v>EXTRAS GRADUATED 3+ - RES</v>
          </cell>
        </row>
        <row r="11475">
          <cell r="H11475" t="str">
            <v>EXTRAGWC-RES</v>
          </cell>
          <cell r="I11475" t="str">
            <v>EXTRA GREENWASTE FEE - RE</v>
          </cell>
        </row>
        <row r="11476">
          <cell r="H11476" t="str">
            <v>GWRES</v>
          </cell>
          <cell r="I11476" t="str">
            <v>GREENWASTE SERVICE - RES</v>
          </cell>
        </row>
        <row r="11477">
          <cell r="H11477" t="str">
            <v>OC-RES</v>
          </cell>
          <cell r="I11477" t="str">
            <v>ON CALL SERVICE - RES</v>
          </cell>
        </row>
        <row r="11478">
          <cell r="H11478" t="str">
            <v>OW-RES</v>
          </cell>
          <cell r="I11478" t="str">
            <v>OVERFILL / OVERWEIGHT CAN</v>
          </cell>
        </row>
        <row r="11479">
          <cell r="H11479" t="str">
            <v>RECPROGADJ-RES</v>
          </cell>
          <cell r="I11479" t="str">
            <v>RECYCLING PROGRAM ADJUSTM</v>
          </cell>
        </row>
        <row r="11480">
          <cell r="H11480" t="str">
            <v>RECVALRES</v>
          </cell>
          <cell r="I11480" t="str">
            <v>RECYCLABLES VALUE - RES</v>
          </cell>
        </row>
        <row r="11481">
          <cell r="H11481" t="str">
            <v>REDEL-RES</v>
          </cell>
          <cell r="I11481" t="str">
            <v>REDELIVER FEE - RES</v>
          </cell>
        </row>
        <row r="11482">
          <cell r="H11482" t="str">
            <v>REINSTATE-RES</v>
          </cell>
          <cell r="I11482" t="str">
            <v>REINSTATE FEE - RES</v>
          </cell>
        </row>
        <row r="11483">
          <cell r="H11483" t="str">
            <v>RTRNCART65-RES</v>
          </cell>
          <cell r="I11483" t="str">
            <v>RETURN TRIP 65 GL - RES</v>
          </cell>
        </row>
        <row r="11484">
          <cell r="H11484" t="str">
            <v>RTRNCART95-RES</v>
          </cell>
          <cell r="I11484" t="str">
            <v>RETURN TRIP 95 GL - RES</v>
          </cell>
        </row>
        <row r="11485">
          <cell r="H11485" t="str">
            <v>RTRNCART96REC-RES</v>
          </cell>
          <cell r="I11485" t="str">
            <v>RETURN TRIP 96 GL REC - RES</v>
          </cell>
        </row>
        <row r="11486">
          <cell r="H11486" t="str">
            <v>SL035.0G1W001WREC</v>
          </cell>
          <cell r="I11486" t="str">
            <v>35 GL 1X WK W/ RECY 1</v>
          </cell>
        </row>
        <row r="11487">
          <cell r="H11487" t="str">
            <v>SL065.0G1M001WREC</v>
          </cell>
          <cell r="I11487" t="str">
            <v>65 GL 1X MO W/RECY 1</v>
          </cell>
        </row>
        <row r="11488">
          <cell r="H11488" t="str">
            <v>SL065.0G1W001WREC</v>
          </cell>
          <cell r="I11488" t="str">
            <v>65 GL 1X WK W/RECY 1</v>
          </cell>
        </row>
        <row r="11489">
          <cell r="H11489" t="str">
            <v>SL065.0GEO001WREC</v>
          </cell>
          <cell r="I11489" t="str">
            <v>65 GL EOW W/RECY 1</v>
          </cell>
        </row>
        <row r="11490">
          <cell r="H11490" t="str">
            <v>SL095.0G1W001WREC</v>
          </cell>
          <cell r="I11490" t="str">
            <v>95 GL 1X WK W/RECY 1</v>
          </cell>
        </row>
        <row r="11491">
          <cell r="H11491" t="str">
            <v>SPGRAD1-RES</v>
          </cell>
          <cell r="I11491" t="str">
            <v>SPECIAL GRADUATED 1-2 - R</v>
          </cell>
        </row>
        <row r="11492">
          <cell r="H11492" t="str">
            <v>SPGRAD2-RES</v>
          </cell>
          <cell r="I11492" t="str">
            <v>SPECIAL GRADUATED 3+ - RE</v>
          </cell>
        </row>
        <row r="11493">
          <cell r="H11493" t="str">
            <v>TIME-RES</v>
          </cell>
          <cell r="I11493" t="str">
            <v>TIME FEE 1 - RES</v>
          </cell>
        </row>
        <row r="11494">
          <cell r="H11494" t="str">
            <v>WI4-RES</v>
          </cell>
          <cell r="I11494" t="str">
            <v>WALK IN 76-100' - RES</v>
          </cell>
        </row>
        <row r="11495">
          <cell r="H11495" t="str">
            <v>ACCESS-RES</v>
          </cell>
          <cell r="I11495" t="str">
            <v>ACCESS FEE - RES</v>
          </cell>
        </row>
        <row r="11496">
          <cell r="H11496" t="str">
            <v>DRIVEIN-RES</v>
          </cell>
          <cell r="I11496" t="str">
            <v>DRIVE IN SERVICE - RES</v>
          </cell>
        </row>
        <row r="11497">
          <cell r="H11497" t="str">
            <v>DRIVEIN1-RES</v>
          </cell>
          <cell r="I11497" t="str">
            <v>DRIVE IN 1 - RES</v>
          </cell>
        </row>
        <row r="11498">
          <cell r="H11498" t="str">
            <v>DRIVEIN2-RES</v>
          </cell>
          <cell r="I11498" t="str">
            <v>DRIVE IN 2 - RES</v>
          </cell>
        </row>
        <row r="11499">
          <cell r="H11499" t="str">
            <v>DRIVEIN3-RES</v>
          </cell>
          <cell r="I11499" t="str">
            <v>DRIVE IN 3 - RES</v>
          </cell>
        </row>
        <row r="11500">
          <cell r="H11500" t="str">
            <v>DRIVEIN4-RES</v>
          </cell>
          <cell r="I11500" t="str">
            <v>DRIVE IN 4 - RES</v>
          </cell>
        </row>
        <row r="11501">
          <cell r="H11501" t="str">
            <v>EMPLOYEER</v>
          </cell>
          <cell r="I11501" t="str">
            <v>EMPLOYEE SERVICE RES</v>
          </cell>
        </row>
        <row r="11502">
          <cell r="H11502" t="str">
            <v>GWRES</v>
          </cell>
          <cell r="I11502" t="str">
            <v>GREENWASTE SERVICE - RES</v>
          </cell>
        </row>
        <row r="11503">
          <cell r="H11503" t="str">
            <v>GWSPCL-RES</v>
          </cell>
          <cell r="I11503" t="str">
            <v>GREENWASTE SEN/DIS - RES</v>
          </cell>
        </row>
        <row r="11504">
          <cell r="H11504" t="str">
            <v>RECBINONLYR</v>
          </cell>
          <cell r="I11504" t="str">
            <v>RECYCLE SERVICE ONLY</v>
          </cell>
        </row>
        <row r="11505">
          <cell r="H11505" t="str">
            <v>RECPROGADJ-RES</v>
          </cell>
          <cell r="I11505" t="str">
            <v>RECYCLING PROGRAM ADJUSTM</v>
          </cell>
        </row>
        <row r="11506">
          <cell r="H11506" t="str">
            <v>RECVALRES</v>
          </cell>
          <cell r="I11506" t="str">
            <v>RECYCLABLES VALUE - RES</v>
          </cell>
        </row>
        <row r="11507">
          <cell r="H11507" t="str">
            <v>RL020.0G1W001</v>
          </cell>
          <cell r="I11507" t="str">
            <v>20 GL 1X WK 1</v>
          </cell>
        </row>
        <row r="11508">
          <cell r="H11508" t="str">
            <v>RL032.0G1M001WRECSPCL</v>
          </cell>
          <cell r="I11508" t="str">
            <v>32 GL 1X MO S/D W/RECY</v>
          </cell>
        </row>
        <row r="11509">
          <cell r="H11509" t="str">
            <v>SL032.0G1W001WREC</v>
          </cell>
          <cell r="I11509" t="str">
            <v>32 GL 1X WK W/RECY 1</v>
          </cell>
        </row>
        <row r="11510">
          <cell r="H11510" t="str">
            <v>SL035.0G1M001WREC</v>
          </cell>
          <cell r="I11510" t="str">
            <v>35 GL 1X MO W/RECY 1</v>
          </cell>
        </row>
        <row r="11511">
          <cell r="H11511" t="str">
            <v>SL035.0G1W001NOREC</v>
          </cell>
          <cell r="I11511" t="str">
            <v>35 GL 1X WK NO RECY 1</v>
          </cell>
        </row>
        <row r="11512">
          <cell r="H11512" t="str">
            <v>SL035.0G1W001WREC</v>
          </cell>
          <cell r="I11512" t="str">
            <v>35 GL 1X WK W/ RECY 1</v>
          </cell>
        </row>
        <row r="11513">
          <cell r="H11513" t="str">
            <v>SL065.0G1M001NOREC</v>
          </cell>
          <cell r="I11513" t="str">
            <v>65 GL 1X MO NO RECY 1</v>
          </cell>
        </row>
        <row r="11514">
          <cell r="H11514" t="str">
            <v>SL065.0G1M001SPCLNOREC</v>
          </cell>
          <cell r="I11514" t="str">
            <v>65 GL 1X MO S/D NO REC 1</v>
          </cell>
        </row>
        <row r="11515">
          <cell r="H11515" t="str">
            <v>SL065.0G1M001WREC</v>
          </cell>
          <cell r="I11515" t="str">
            <v>65 GL 1X MO W/RECY 1</v>
          </cell>
        </row>
        <row r="11516">
          <cell r="H11516" t="str">
            <v>SL065.0G1M001WRECSPCL</v>
          </cell>
          <cell r="I11516" t="str">
            <v>65 GL 1X MO W/RECY S/D 1</v>
          </cell>
        </row>
        <row r="11517">
          <cell r="H11517" t="str">
            <v>SL065.0G1W001NOREC</v>
          </cell>
          <cell r="I11517" t="str">
            <v>65 GL 1X WK NO RECY 1</v>
          </cell>
        </row>
        <row r="11518">
          <cell r="H11518" t="str">
            <v>SL065.0G1W001SPCLWREC</v>
          </cell>
          <cell r="I11518" t="str">
            <v>65 GL 1X WK S/D W/REC 1</v>
          </cell>
        </row>
        <row r="11519">
          <cell r="H11519" t="str">
            <v>SL065.0G1W001WREC</v>
          </cell>
          <cell r="I11519" t="str">
            <v>65 GL 1X WK W/RECY 1</v>
          </cell>
        </row>
        <row r="11520">
          <cell r="H11520" t="str">
            <v>SL065.0GEO001NOREC</v>
          </cell>
          <cell r="I11520" t="str">
            <v>65 GL EOW NO RECY 1</v>
          </cell>
        </row>
        <row r="11521">
          <cell r="H11521" t="str">
            <v>SL065.0GEO001SPCLWREC</v>
          </cell>
          <cell r="I11521" t="str">
            <v>65 GL EOW S/D W/RECY 1</v>
          </cell>
        </row>
        <row r="11522">
          <cell r="H11522" t="str">
            <v>SL065.0GEO001WREC</v>
          </cell>
          <cell r="I11522" t="str">
            <v>65 GL EOW W/RECY 1</v>
          </cell>
        </row>
        <row r="11523">
          <cell r="H11523" t="str">
            <v>SL095.0G1M001WREC</v>
          </cell>
          <cell r="I11523" t="str">
            <v>95 GL 1X MO W/RECY 1</v>
          </cell>
        </row>
        <row r="11524">
          <cell r="H11524" t="str">
            <v>SL095.0G1W001NOREC</v>
          </cell>
          <cell r="I11524" t="str">
            <v>95 GL 1X WK NO RECY 1</v>
          </cell>
        </row>
        <row r="11525">
          <cell r="H11525" t="str">
            <v>SL095.0G1W001WREC</v>
          </cell>
          <cell r="I11525" t="str">
            <v>95 GL 1X WK W/RECY 1</v>
          </cell>
        </row>
        <row r="11526">
          <cell r="H11526" t="str">
            <v>SL095.0GEO001NOREC</v>
          </cell>
          <cell r="I11526" t="str">
            <v>95 GL EOW NO RECY 1</v>
          </cell>
        </row>
        <row r="11527">
          <cell r="H11527" t="str">
            <v>SL095.0GEO001SPCLWREC</v>
          </cell>
          <cell r="I11527" t="str">
            <v>95 GL EOW S/D W/RECY 1</v>
          </cell>
        </row>
        <row r="11528">
          <cell r="H11528" t="str">
            <v>SL095.0GEO001WREC</v>
          </cell>
          <cell r="I11528" t="str">
            <v>95 GL EOW W/RECY 1</v>
          </cell>
        </row>
        <row r="11529">
          <cell r="H11529" t="str">
            <v>WI1-RES</v>
          </cell>
          <cell r="I11529" t="str">
            <v>WALK IN 6-25' - RES</v>
          </cell>
        </row>
        <row r="11530">
          <cell r="H11530" t="str">
            <v>WI2-RES</v>
          </cell>
          <cell r="I11530" t="str">
            <v>WALK IN 26-50' - RES</v>
          </cell>
        </row>
        <row r="11531">
          <cell r="H11531" t="str">
            <v>ADJ-RES</v>
          </cell>
          <cell r="I11531" t="str">
            <v>ADJUSTMENT SERVICE - RES</v>
          </cell>
        </row>
        <row r="11532">
          <cell r="H11532" t="str">
            <v>BULKY-RES</v>
          </cell>
          <cell r="I11532" t="str">
            <v>BULKY ITEM PICK UP - RES</v>
          </cell>
        </row>
        <row r="11533">
          <cell r="H11533" t="str">
            <v>EP96GWC-RES</v>
          </cell>
          <cell r="I11533" t="str">
            <v>EXTRA PICK UP 96 GW - RES</v>
          </cell>
        </row>
        <row r="11534">
          <cell r="H11534" t="str">
            <v>EXTRAGRAD1-RES</v>
          </cell>
          <cell r="I11534" t="str">
            <v>EXTRAS GRADUATED 1-2 - RES</v>
          </cell>
        </row>
        <row r="11535">
          <cell r="H11535" t="str">
            <v>EXTRAGRAD2-RES</v>
          </cell>
          <cell r="I11535" t="str">
            <v>EXTRAS GRADUATED 3+ - RES</v>
          </cell>
        </row>
        <row r="11536">
          <cell r="H11536" t="str">
            <v>GWRES</v>
          </cell>
          <cell r="I11536" t="str">
            <v>GREENWASTE SERVICE - RES</v>
          </cell>
        </row>
        <row r="11537">
          <cell r="H11537" t="str">
            <v>OW-RES</v>
          </cell>
          <cell r="I11537" t="str">
            <v>OVERFILL / OVERWEIGHT CAN</v>
          </cell>
        </row>
        <row r="11538">
          <cell r="H11538" t="str">
            <v>REINSTATE-RES</v>
          </cell>
          <cell r="I11538" t="str">
            <v>REINSTATE FEE - RES</v>
          </cell>
        </row>
        <row r="11539">
          <cell r="H11539" t="str">
            <v>RTRNCART65-RES</v>
          </cell>
          <cell r="I11539" t="str">
            <v>RETURN TRIP 65 GL - RES</v>
          </cell>
        </row>
        <row r="11540">
          <cell r="H11540" t="str">
            <v>RTRNCART95-RES</v>
          </cell>
          <cell r="I11540" t="str">
            <v>RETURN TRIP 95 GL - RES</v>
          </cell>
        </row>
        <row r="11541">
          <cell r="H11541" t="str">
            <v>RTRNCART96REC-RES</v>
          </cell>
          <cell r="I11541" t="str">
            <v>RETURN TRIP 96 GL REC - RES</v>
          </cell>
        </row>
        <row r="11542">
          <cell r="H11542" t="str">
            <v>SL065.0GEO001WREC</v>
          </cell>
          <cell r="I11542" t="str">
            <v>65 GL EOW W/RECY 1</v>
          </cell>
        </row>
        <row r="11543">
          <cell r="H11543" t="str">
            <v>SPGRAD1-RES</v>
          </cell>
          <cell r="I11543" t="str">
            <v>SPECIAL GRADUATED 1-2 - R</v>
          </cell>
        </row>
        <row r="11544">
          <cell r="H11544" t="str">
            <v>GWRES</v>
          </cell>
          <cell r="I11544" t="str">
            <v>GREENWASTE SERVICE - RES</v>
          </cell>
        </row>
        <row r="11545">
          <cell r="H11545" t="str">
            <v>SL095.0G1W001WREC</v>
          </cell>
          <cell r="I11545" t="str">
            <v>95 GL 1X WK W/RECY 1</v>
          </cell>
        </row>
        <row r="11546">
          <cell r="H11546" t="str">
            <v>WI-RES</v>
          </cell>
          <cell r="I11546" t="str">
            <v>WALK IN 6-25' - RES</v>
          </cell>
        </row>
        <row r="11547">
          <cell r="H11547" t="str">
            <v>OW-RES</v>
          </cell>
          <cell r="I11547" t="str">
            <v>OVERFILL / OVERWEIGHT CAN</v>
          </cell>
        </row>
        <row r="11548">
          <cell r="H11548" t="str">
            <v>REINSTATE-RES</v>
          </cell>
          <cell r="I11548" t="str">
            <v>REINSTATE FEE - RES</v>
          </cell>
        </row>
        <row r="11549">
          <cell r="H11549" t="str">
            <v>SL095.0G1W001WREC</v>
          </cell>
          <cell r="I11549" t="str">
            <v>95 GL 1X WK W/RECY 1</v>
          </cell>
        </row>
        <row r="11550">
          <cell r="H11550" t="str">
            <v>SPGRAD1-RES</v>
          </cell>
          <cell r="I11550" t="str">
            <v>SPECIAL GRADUATED 1-2 - R</v>
          </cell>
        </row>
        <row r="11551">
          <cell r="H11551" t="str">
            <v>DISCO-CP</v>
          </cell>
          <cell r="I11551" t="str">
            <v xml:space="preserve">COMPACTOR DISCONNECT FEE </v>
          </cell>
        </row>
        <row r="11552">
          <cell r="H11552" t="str">
            <v>LIDRO</v>
          </cell>
          <cell r="I11552" t="str">
            <v>LID CHARGE - RO</v>
          </cell>
        </row>
        <row r="11553">
          <cell r="H11553" t="str">
            <v>RENT15MO-RO</v>
          </cell>
          <cell r="I11553" t="str">
            <v>RENTAL FEE 15 YD MONTHLY</v>
          </cell>
        </row>
        <row r="11554">
          <cell r="H11554" t="str">
            <v>RENT20MO-RO</v>
          </cell>
          <cell r="I11554" t="str">
            <v>RENTAL FEE 20 YD MONTHLY</v>
          </cell>
        </row>
        <row r="11555">
          <cell r="H11555" t="str">
            <v>RENT30MO-RO</v>
          </cell>
          <cell r="I11555" t="str">
            <v>RENTAL FEE 30 YD MONTHLY</v>
          </cell>
        </row>
        <row r="11556">
          <cell r="H11556" t="str">
            <v>RENT40MO-RO</v>
          </cell>
          <cell r="I11556" t="str">
            <v>RENTAL FEE 40 YD MONTHLY</v>
          </cell>
        </row>
        <row r="11557">
          <cell r="H11557" t="str">
            <v>CLEAN20-RO</v>
          </cell>
          <cell r="I11557" t="str">
            <v>CLEANING FEE 20 YD - RO</v>
          </cell>
        </row>
        <row r="11558">
          <cell r="H11558" t="str">
            <v>CLEAN25-RO</v>
          </cell>
          <cell r="I11558" t="str">
            <v>CLEANING FEE 25 YD - RO</v>
          </cell>
        </row>
        <row r="11559">
          <cell r="H11559" t="str">
            <v>DEL20TEMP-RO</v>
          </cell>
          <cell r="I11559" t="str">
            <v>DELIVERY FEE 20 YD TEMP -</v>
          </cell>
        </row>
        <row r="11560">
          <cell r="H11560" t="str">
            <v>DEL30TEMP-RO</v>
          </cell>
          <cell r="I11560" t="str">
            <v>DELIVERY FEE 30 YD TEMP -</v>
          </cell>
        </row>
        <row r="11561">
          <cell r="H11561" t="str">
            <v>DEL35TEMP-RO</v>
          </cell>
          <cell r="I11561" t="str">
            <v>DELIVERY FEE 35 YD TEMP - RO</v>
          </cell>
        </row>
        <row r="11562">
          <cell r="H11562" t="str">
            <v>DEL40TEMP-RO</v>
          </cell>
          <cell r="I11562" t="str">
            <v>DELIVERY FEE 40 YD TEMP -</v>
          </cell>
        </row>
        <row r="11563">
          <cell r="H11563" t="str">
            <v>DISCO-CP</v>
          </cell>
          <cell r="I11563" t="str">
            <v xml:space="preserve">COMPACTOR DISCONNECT FEE </v>
          </cell>
        </row>
        <row r="11564">
          <cell r="H11564" t="str">
            <v>DISP-RO</v>
          </cell>
          <cell r="I11564" t="str">
            <v>DISPOSAL CHARGE - RO</v>
          </cell>
        </row>
        <row r="11565">
          <cell r="H11565" t="str">
            <v>DISPTRANS-RO</v>
          </cell>
          <cell r="I11565" t="str">
            <v>DISPOSAL FEE TRANSFER HAU</v>
          </cell>
        </row>
        <row r="11566">
          <cell r="H11566" t="str">
            <v>EXWGHT-RO</v>
          </cell>
          <cell r="I11566" t="str">
            <v>EXCESS WEIGHT - RO</v>
          </cell>
        </row>
        <row r="11567">
          <cell r="H11567" t="str">
            <v>FINAL20-RO</v>
          </cell>
          <cell r="I11567" t="str">
            <v>FINAL PULL 20 YD - RO</v>
          </cell>
        </row>
        <row r="11568">
          <cell r="H11568" t="str">
            <v>FINAL20TEMP-RO</v>
          </cell>
          <cell r="I11568" t="str">
            <v>FINAL PULL 20 YD TEMP - R</v>
          </cell>
        </row>
        <row r="11569">
          <cell r="H11569" t="str">
            <v>FINAL30TEMP-RO</v>
          </cell>
          <cell r="I11569" t="str">
            <v>FINAL PULL 30 YD TEMP - R</v>
          </cell>
        </row>
        <row r="11570">
          <cell r="H11570" t="str">
            <v>FINAL40TEMP-RO</v>
          </cell>
          <cell r="I11570" t="str">
            <v>FINAL PULL 40 YD TEMP - R</v>
          </cell>
        </row>
        <row r="11571">
          <cell r="H11571" t="str">
            <v>HAUL10-CP</v>
          </cell>
          <cell r="I11571" t="str">
            <v>COMPACTOR HAUL 10 YD - RO</v>
          </cell>
        </row>
        <row r="11572">
          <cell r="H11572" t="str">
            <v>HAUL15-CP</v>
          </cell>
          <cell r="I11572" t="str">
            <v>COMPACTOR HAUL 15 YD</v>
          </cell>
        </row>
        <row r="11573">
          <cell r="H11573" t="str">
            <v>HAUL20-CP</v>
          </cell>
          <cell r="I11573" t="str">
            <v>COMPACTOR HAUL 20 YD - RO</v>
          </cell>
        </row>
        <row r="11574">
          <cell r="H11574" t="str">
            <v>HAUL20-RO</v>
          </cell>
          <cell r="I11574" t="str">
            <v>HAUL 20 YD - RO</v>
          </cell>
        </row>
        <row r="11575">
          <cell r="H11575" t="str">
            <v>HAUL20TEMP-RO</v>
          </cell>
          <cell r="I11575" t="str">
            <v>HAUL 20 YD TEMP - RO</v>
          </cell>
        </row>
        <row r="11576">
          <cell r="H11576" t="str">
            <v>HAUL25-CP</v>
          </cell>
          <cell r="I11576" t="str">
            <v>COMPACTOR HAUL 25 YD - RO</v>
          </cell>
        </row>
        <row r="11577">
          <cell r="H11577" t="str">
            <v>HAUL26-CP</v>
          </cell>
          <cell r="I11577" t="str">
            <v>COMPACTOR HAUL 26 YD - RO</v>
          </cell>
        </row>
        <row r="11578">
          <cell r="H11578" t="str">
            <v>HAUL30-CP</v>
          </cell>
          <cell r="I11578" t="str">
            <v>COMPACTOR HAUL 30 YD</v>
          </cell>
        </row>
        <row r="11579">
          <cell r="H11579" t="str">
            <v>HAUL30-RO</v>
          </cell>
          <cell r="I11579" t="str">
            <v>HAUL 30 YD - RO</v>
          </cell>
        </row>
        <row r="11580">
          <cell r="H11580" t="str">
            <v>HAUL30TEMP-RO</v>
          </cell>
          <cell r="I11580" t="str">
            <v>HAUL 30 YD TEMP - RO</v>
          </cell>
        </row>
        <row r="11581">
          <cell r="H11581" t="str">
            <v>HAUL35-CP</v>
          </cell>
          <cell r="I11581" t="str">
            <v>COMPACTOR HAUL 35 YD - RO</v>
          </cell>
        </row>
        <row r="11582">
          <cell r="H11582" t="str">
            <v>HAUL40-CP</v>
          </cell>
          <cell r="I11582" t="str">
            <v>COMPACTOR HAUL 40 YD</v>
          </cell>
        </row>
        <row r="11583">
          <cell r="H11583" t="str">
            <v>HAUL40-RO</v>
          </cell>
          <cell r="I11583" t="str">
            <v>HAUL 40 YD - RO</v>
          </cell>
        </row>
        <row r="11584">
          <cell r="H11584" t="str">
            <v>HAUL40TEMP-RO</v>
          </cell>
          <cell r="I11584" t="str">
            <v>HAUL 40 YD TEMP - RO</v>
          </cell>
        </row>
        <row r="11585">
          <cell r="H11585" t="str">
            <v>RENT20TEMP-RO</v>
          </cell>
          <cell r="I11585" t="str">
            <v>RENTAL FEE 20 YD TEMP - R</v>
          </cell>
        </row>
        <row r="11586">
          <cell r="H11586" t="str">
            <v>RENT30MO-RO</v>
          </cell>
          <cell r="I11586" t="str">
            <v>RENTAL FEE 30 YD MONTHLY</v>
          </cell>
        </row>
        <row r="11587">
          <cell r="H11587" t="str">
            <v>RENT30TEMP-RO</v>
          </cell>
          <cell r="I11587" t="str">
            <v>RENTAL FEE 30 YD TEMP - R</v>
          </cell>
        </row>
        <row r="11588">
          <cell r="H11588" t="str">
            <v>RENT40TEMP-RO</v>
          </cell>
          <cell r="I11588" t="str">
            <v>RENTAL FEE 40 YD TEMP - R</v>
          </cell>
        </row>
        <row r="11589">
          <cell r="H11589" t="str">
            <v>RTRNTRIP-RO</v>
          </cell>
          <cell r="I11589" t="str">
            <v>RETURN TRIP FEE - RO</v>
          </cell>
        </row>
        <row r="11590">
          <cell r="H11590" t="str">
            <v>TIME-RO</v>
          </cell>
          <cell r="I11590" t="str">
            <v>TIME FEE - RO</v>
          </cell>
        </row>
        <row r="11591">
          <cell r="H11591" t="str">
            <v>DEL30TEMP-RO</v>
          </cell>
          <cell r="I11591" t="str">
            <v>DELIVERY FEE 30 YD TEMP -</v>
          </cell>
        </row>
        <row r="11592">
          <cell r="H11592" t="str">
            <v>DISP-RO</v>
          </cell>
          <cell r="I11592" t="str">
            <v>DISPOSAL CHARGE - RO</v>
          </cell>
        </row>
        <row r="11593">
          <cell r="H11593" t="str">
            <v>FINAL30TEMP-RO</v>
          </cell>
          <cell r="I11593" t="str">
            <v>FINAL PULL 30 YD TEMP - R</v>
          </cell>
        </row>
        <row r="11594">
          <cell r="H11594" t="str">
            <v>RENT30TEMP-RO</v>
          </cell>
          <cell r="I11594" t="str">
            <v>RENTAL FEE 30 YD TEMP - R</v>
          </cell>
        </row>
        <row r="11595">
          <cell r="H11595" t="str">
            <v>COMMODITY SURCHARGE</v>
          </cell>
          <cell r="I11595" t="str">
            <v>COMMODITY SURCHARGE</v>
          </cell>
        </row>
        <row r="11596">
          <cell r="H11596" t="str">
            <v>COMMODITY SURCHARGE</v>
          </cell>
          <cell r="I11596" t="str">
            <v>COMMODITY SURCHARGE</v>
          </cell>
        </row>
        <row r="11597">
          <cell r="H11597" t="str">
            <v>UNIV PLACE SURCHARGE</v>
          </cell>
          <cell r="I11597" t="str">
            <v>UNIVERSITY PLACE SURCHARGE</v>
          </cell>
        </row>
        <row r="11598">
          <cell r="H11598" t="str">
            <v>LAKEWOOD CITY ONLY</v>
          </cell>
          <cell r="I11598" t="str">
            <v>6% CITY UTILITY TAX</v>
          </cell>
        </row>
        <row r="11599">
          <cell r="H11599" t="str">
            <v>LAKEWOOD CITY UTILITY TAX</v>
          </cell>
          <cell r="I11599" t="str">
            <v>6% CITY UTILITY TAX</v>
          </cell>
        </row>
        <row r="11600">
          <cell r="H11600" t="str">
            <v>LAKEWOOD REFUSE TAX</v>
          </cell>
          <cell r="I11600" t="str">
            <v>3.6% WA STATE REFUSE TAX</v>
          </cell>
        </row>
        <row r="11601">
          <cell r="H11601" t="str">
            <v>LAKEWOOD STATE SALES TAX</v>
          </cell>
          <cell r="I11601" t="str">
            <v>9.9% WA STATE SALES TAX</v>
          </cell>
        </row>
        <row r="11602">
          <cell r="H11602" t="str">
            <v>LAKEWOOD CITY ONLY</v>
          </cell>
          <cell r="I11602" t="str">
            <v>6% CITY UTILITY TAX</v>
          </cell>
        </row>
        <row r="11603">
          <cell r="H11603" t="str">
            <v>LAKEWOOD CITY UTILITY TAX</v>
          </cell>
          <cell r="I11603" t="str">
            <v>6% CITY UTILITY TAX</v>
          </cell>
        </row>
        <row r="11604">
          <cell r="H11604" t="str">
            <v>LAKEWOOD REFUSE TAX</v>
          </cell>
          <cell r="I11604" t="str">
            <v>3.6% WA STATE REFUSE TAX</v>
          </cell>
        </row>
        <row r="11605">
          <cell r="H11605" t="str">
            <v>LAKEWOOD STATE SALES TAX</v>
          </cell>
          <cell r="I11605" t="str">
            <v>9.9% WA STATE SALES TAX</v>
          </cell>
        </row>
        <row r="11606">
          <cell r="H11606" t="str">
            <v xml:space="preserve">PIERCE COUNTY REFUSE  </v>
          </cell>
          <cell r="I11606" t="str">
            <v>3.6% PIERCE COUNTY REFUSE</v>
          </cell>
        </row>
        <row r="11607">
          <cell r="H11607" t="str">
            <v>LAKEWOOD CITY ONLY</v>
          </cell>
          <cell r="I11607" t="str">
            <v>6% CITY UTILITY TAX</v>
          </cell>
        </row>
        <row r="11608">
          <cell r="H11608" t="str">
            <v>LAKEWOOD CITY UTILITY TAX</v>
          </cell>
          <cell r="I11608" t="str">
            <v>6% CITY UTILITY TAX</v>
          </cell>
        </row>
        <row r="11609">
          <cell r="H11609" t="str">
            <v>LAKEWOOD REFUSE TAX</v>
          </cell>
          <cell r="I11609" t="str">
            <v>3.6% WA STATE REFUSE TAX</v>
          </cell>
        </row>
        <row r="11610">
          <cell r="H11610" t="str">
            <v>LAKEWOOD STATE SALES TAX</v>
          </cell>
          <cell r="I11610" t="str">
            <v>9.9% WA STATE SALES TAX</v>
          </cell>
        </row>
        <row r="11611">
          <cell r="H11611" t="str">
            <v>LAKEWOOD CITY UTILITY TAX</v>
          </cell>
          <cell r="I11611" t="str">
            <v>6% CITY UTILITY TAX</v>
          </cell>
        </row>
        <row r="11612">
          <cell r="H11612" t="str">
            <v>LAKEWOOD REFUSE TAX</v>
          </cell>
          <cell r="I11612" t="str">
            <v>3.6% WA STATE REFUSE TAX</v>
          </cell>
        </row>
        <row r="11613">
          <cell r="H11613" t="str">
            <v>LAKEWOOD CITY ONLY</v>
          </cell>
          <cell r="I11613" t="str">
            <v>6% CITY UTILITY TAX</v>
          </cell>
        </row>
        <row r="11614">
          <cell r="H11614" t="str">
            <v>LAKEWOOD CITY UTILITY TAX</v>
          </cell>
          <cell r="I11614" t="str">
            <v>6% CITY UTILITY TAX</v>
          </cell>
        </row>
        <row r="11615">
          <cell r="H11615" t="str">
            <v>LAKEWOOD REFUSE TAX</v>
          </cell>
          <cell r="I11615" t="str">
            <v>3.6% WA STATE REFUSE TAX</v>
          </cell>
        </row>
        <row r="11616">
          <cell r="H11616" t="str">
            <v>PIERCE REFUSE TAX</v>
          </cell>
          <cell r="I11616" t="str">
            <v>3.6% WA STATE REFUSE TAX</v>
          </cell>
        </row>
        <row r="11617">
          <cell r="H11617" t="str">
            <v>LAKEWOOD CITY ONLY</v>
          </cell>
          <cell r="I11617" t="str">
            <v>6% CITY UTILITY TAX</v>
          </cell>
        </row>
        <row r="11618">
          <cell r="H11618" t="str">
            <v>LAKEWOOD CITY UTILITY TAX</v>
          </cell>
          <cell r="I11618" t="str">
            <v>6% CITY UTILITY TAX</v>
          </cell>
        </row>
        <row r="11619">
          <cell r="H11619" t="str">
            <v>LAKEWOOD REFUSE TAX</v>
          </cell>
          <cell r="I11619" t="str">
            <v>3.6% WA STATE REFUSE TAX</v>
          </cell>
        </row>
        <row r="11620">
          <cell r="H11620" t="str">
            <v>LAKEWOOD STATE SALES TAX</v>
          </cell>
          <cell r="I11620" t="str">
            <v>9.9% WA STATE SALES TAX</v>
          </cell>
        </row>
        <row r="11621">
          <cell r="H11621" t="str">
            <v>LAKEWOOD CITY UTILITY TAX</v>
          </cell>
          <cell r="I11621" t="str">
            <v>6% CITY UTILITY TAX</v>
          </cell>
        </row>
        <row r="11622">
          <cell r="H11622" t="str">
            <v>LAKEWOOD REFUSE TAX</v>
          </cell>
          <cell r="I11622" t="str">
            <v>3.6% WA STATE REFUSE TAX</v>
          </cell>
        </row>
        <row r="11623">
          <cell r="H11623" t="str">
            <v>LAKEWOOD STATE SALES TAX</v>
          </cell>
          <cell r="I11623" t="str">
            <v>9.9% WA STATE SALES TAX</v>
          </cell>
        </row>
        <row r="11624">
          <cell r="H11624" t="str">
            <v>BD</v>
          </cell>
          <cell r="I11624" t="str">
            <v>BAD DEBT WRITE OFF</v>
          </cell>
        </row>
        <row r="11625">
          <cell r="H11625" t="str">
            <v>BDR</v>
          </cell>
          <cell r="I11625" t="str">
            <v>BAD DEBT RECOVERY</v>
          </cell>
        </row>
        <row r="11626">
          <cell r="H11626" t="str">
            <v>COLLFEE</v>
          </cell>
          <cell r="I11626" t="str">
            <v>COLLECTION AGENCY FEE</v>
          </cell>
        </row>
        <row r="11627">
          <cell r="H11627" t="str">
            <v>FINCHG</v>
          </cell>
          <cell r="I11627" t="str">
            <v>LATE FEE</v>
          </cell>
        </row>
        <row r="11628">
          <cell r="H11628" t="str">
            <v>MM</v>
          </cell>
          <cell r="I11628" t="str">
            <v>ADJUST BALANCE (MM)</v>
          </cell>
        </row>
        <row r="11629">
          <cell r="H11629" t="str">
            <v>MM</v>
          </cell>
          <cell r="I11629" t="str">
            <v>ADJUST BALANCE (MM)</v>
          </cell>
        </row>
        <row r="11630">
          <cell r="H11630" t="str">
            <v>REFUND</v>
          </cell>
          <cell r="I11630" t="str">
            <v>REFUND</v>
          </cell>
        </row>
        <row r="11631">
          <cell r="H11631" t="str">
            <v>RETCK-CFREE</v>
          </cell>
          <cell r="I11631" t="str">
            <v>CHECKFREE RETURN CHECK</v>
          </cell>
        </row>
        <row r="11632">
          <cell r="H11632" t="str">
            <v>RETCKC</v>
          </cell>
          <cell r="I11632" t="str">
            <v>RETURN CHECK CHARGE</v>
          </cell>
        </row>
        <row r="11633">
          <cell r="H11633" t="str">
            <v>FINCHG</v>
          </cell>
          <cell r="I11633" t="str">
            <v>LATE FEE</v>
          </cell>
        </row>
        <row r="11634">
          <cell r="H11634" t="str">
            <v>BD</v>
          </cell>
          <cell r="I11634" t="str">
            <v>BAD DEBT WRITE OFF</v>
          </cell>
        </row>
        <row r="11635">
          <cell r="H11635" t="str">
            <v>BDR</v>
          </cell>
          <cell r="I11635" t="str">
            <v>BAD DEBT RECOVERY</v>
          </cell>
        </row>
        <row r="11636">
          <cell r="H11636" t="str">
            <v>COLLFEE</v>
          </cell>
          <cell r="I11636" t="str">
            <v>COLLECTION AGENCY FEE</v>
          </cell>
        </row>
        <row r="11637">
          <cell r="H11637" t="str">
            <v>FINCHG</v>
          </cell>
          <cell r="I11637" t="str">
            <v>LATE FEE</v>
          </cell>
        </row>
        <row r="11638">
          <cell r="H11638" t="str">
            <v>MM</v>
          </cell>
          <cell r="I11638" t="str">
            <v>ADJUST BALANCE (MM)</v>
          </cell>
        </row>
        <row r="11639">
          <cell r="H11639" t="str">
            <v>MM</v>
          </cell>
          <cell r="I11639" t="str">
            <v>ADJUST BALANCE (MM)</v>
          </cell>
        </row>
        <row r="11640">
          <cell r="H11640" t="str">
            <v>REFUND</v>
          </cell>
          <cell r="I11640" t="str">
            <v>REFUND</v>
          </cell>
        </row>
        <row r="11641">
          <cell r="H11641" t="str">
            <v>RETCK</v>
          </cell>
          <cell r="I11641" t="str">
            <v>RETURNED CHECK</v>
          </cell>
        </row>
        <row r="11642">
          <cell r="H11642" t="str">
            <v>RETCK-LB</v>
          </cell>
          <cell r="I11642" t="str">
            <v>RETURNED CHECK - LOCKBOX</v>
          </cell>
        </row>
        <row r="11643">
          <cell r="H11643" t="str">
            <v>RETCKC</v>
          </cell>
          <cell r="I11643" t="str">
            <v>RETURN CHECK CHARGE</v>
          </cell>
        </row>
        <row r="11644">
          <cell r="H11644" t="str">
            <v>FINCHG</v>
          </cell>
          <cell r="I11644" t="str">
            <v>LATE FEE</v>
          </cell>
        </row>
        <row r="11645">
          <cell r="H11645" t="str">
            <v>BD</v>
          </cell>
          <cell r="I11645" t="str">
            <v>BAD DEBT WRITE OFF</v>
          </cell>
        </row>
        <row r="11646">
          <cell r="H11646" t="str">
            <v>BDR</v>
          </cell>
          <cell r="I11646" t="str">
            <v>BAD DEBT RECOVERY</v>
          </cell>
        </row>
        <row r="11647">
          <cell r="H11647" t="str">
            <v>COLLFEE</v>
          </cell>
          <cell r="I11647" t="str">
            <v>COLLECTION AGENCY FEE</v>
          </cell>
        </row>
        <row r="11648">
          <cell r="H11648" t="str">
            <v>FINCHG</v>
          </cell>
          <cell r="I11648" t="str">
            <v>LATE FEE</v>
          </cell>
        </row>
        <row r="11649">
          <cell r="H11649" t="str">
            <v>MM</v>
          </cell>
          <cell r="I11649" t="str">
            <v>ADJUST BALANCE (MM)</v>
          </cell>
        </row>
        <row r="11650">
          <cell r="H11650" t="str">
            <v>MM</v>
          </cell>
          <cell r="I11650" t="str">
            <v>ADJUST BALANCE (MM)</v>
          </cell>
        </row>
        <row r="11651">
          <cell r="H11651" t="str">
            <v>RETCK</v>
          </cell>
          <cell r="I11651" t="str">
            <v>RETURNED CHECK</v>
          </cell>
        </row>
        <row r="11652">
          <cell r="H11652" t="str">
            <v>RETCKC</v>
          </cell>
          <cell r="I11652" t="str">
            <v>RETURN CHECK CHARGE</v>
          </cell>
        </row>
        <row r="11653">
          <cell r="H11653" t="str">
            <v>FINCHG</v>
          </cell>
          <cell r="I11653" t="str">
            <v>LATE FEE</v>
          </cell>
        </row>
        <row r="11654">
          <cell r="H11654" t="str">
            <v>ACCESS-COMM</v>
          </cell>
          <cell r="I11654" t="str">
            <v>ACCESS FEE - COMM</v>
          </cell>
        </row>
        <row r="11655">
          <cell r="H11655" t="str">
            <v>CANCOUNT-COMM</v>
          </cell>
          <cell r="I11655" t="str">
            <v>CAN COUNT - COMM</v>
          </cell>
        </row>
        <row r="11656">
          <cell r="H11656" t="str">
            <v>RTRNCART95-COMM</v>
          </cell>
          <cell r="I11656" t="str">
            <v>RETURN TRIP 95 GL - COMM</v>
          </cell>
        </row>
        <row r="11657">
          <cell r="H11657" t="str">
            <v>TIME-COMM</v>
          </cell>
          <cell r="I11657" t="str">
            <v>TIME FEE 1 - COMM</v>
          </cell>
        </row>
        <row r="11658">
          <cell r="H11658" t="str">
            <v>ACCESS-COMM</v>
          </cell>
          <cell r="I11658" t="str">
            <v>ACCESS FEE - COMM</v>
          </cell>
        </row>
        <row r="11659">
          <cell r="H11659" t="str">
            <v>DIST4CAN-COMM</v>
          </cell>
          <cell r="I11659" t="str">
            <v>DISTRIBUTED 4 CANS - COMM</v>
          </cell>
        </row>
        <row r="11660">
          <cell r="H11660" t="str">
            <v>DONATIONC</v>
          </cell>
          <cell r="I11660" t="str">
            <v>DONATED SERVICE COMM</v>
          </cell>
        </row>
        <row r="11661">
          <cell r="H11661" t="str">
            <v>DRIVEIN-COMM</v>
          </cell>
          <cell r="I11661" t="str">
            <v>DRIVE IN SERVICE - COMM</v>
          </cell>
        </row>
        <row r="11662">
          <cell r="H11662" t="str">
            <v>DRIVEIN1-COMM</v>
          </cell>
          <cell r="I11662" t="str">
            <v>DRIVE IN 125-250' - COMM</v>
          </cell>
        </row>
        <row r="11663">
          <cell r="H11663" t="str">
            <v>FL001.0Y1W001</v>
          </cell>
          <cell r="I11663" t="str">
            <v>1 YD 1X WK 1</v>
          </cell>
        </row>
        <row r="11664">
          <cell r="H11664" t="str">
            <v>FL001.0Y2W001</v>
          </cell>
          <cell r="I11664" t="str">
            <v>1 YD 2X WK 1</v>
          </cell>
        </row>
        <row r="11665">
          <cell r="H11665" t="str">
            <v>FL001.0Y3W001</v>
          </cell>
          <cell r="I11665" t="str">
            <v>1 YD 3X WK 1</v>
          </cell>
        </row>
        <row r="11666">
          <cell r="H11666" t="str">
            <v>FL001.0YEO001</v>
          </cell>
          <cell r="I11666" t="str">
            <v>1 YD EOW 1</v>
          </cell>
        </row>
        <row r="11667">
          <cell r="H11667" t="str">
            <v>FL001.5Y1W001</v>
          </cell>
          <cell r="I11667" t="str">
            <v>1.5 YD 1X WK 1</v>
          </cell>
        </row>
        <row r="11668">
          <cell r="H11668" t="str">
            <v>FL001.5Y2W001</v>
          </cell>
          <cell r="I11668" t="str">
            <v>1.5 YD 2X WK 1</v>
          </cell>
        </row>
        <row r="11669">
          <cell r="H11669" t="str">
            <v>FL001.5Y3W001</v>
          </cell>
          <cell r="I11669" t="str">
            <v>1.5 YD 3X WK 1</v>
          </cell>
        </row>
        <row r="11670">
          <cell r="H11670" t="str">
            <v>FL002.0Y1W001</v>
          </cell>
          <cell r="I11670" t="str">
            <v>2 YD 1X WK 1</v>
          </cell>
        </row>
        <row r="11671">
          <cell r="H11671" t="str">
            <v>FL002.0Y1W001CMP</v>
          </cell>
          <cell r="I11671" t="str">
            <v>2 YD 1X WK COMP 1</v>
          </cell>
        </row>
        <row r="11672">
          <cell r="H11672" t="str">
            <v>FL002.0Y2W001</v>
          </cell>
          <cell r="I11672" t="str">
            <v>2 YD 2X WK 1</v>
          </cell>
        </row>
        <row r="11673">
          <cell r="H11673" t="str">
            <v>FL002.0Y3W001</v>
          </cell>
          <cell r="I11673" t="str">
            <v>2 YD 3X WK 1</v>
          </cell>
        </row>
        <row r="11674">
          <cell r="H11674" t="str">
            <v>FL003.0Y1W001</v>
          </cell>
          <cell r="I11674" t="str">
            <v>3 YD 1X WK 1</v>
          </cell>
        </row>
        <row r="11675">
          <cell r="H11675" t="str">
            <v>FL003.0Y2W001</v>
          </cell>
          <cell r="I11675" t="str">
            <v>3 YD 2X WK 1</v>
          </cell>
        </row>
        <row r="11676">
          <cell r="H11676" t="str">
            <v>FL003.0Y2W001CMP</v>
          </cell>
          <cell r="I11676" t="str">
            <v>3 YD 2X WK COMP 1</v>
          </cell>
        </row>
        <row r="11677">
          <cell r="H11677" t="str">
            <v>FL003.0Y3W001</v>
          </cell>
          <cell r="I11677" t="str">
            <v>3 YD 3X WK 1</v>
          </cell>
        </row>
        <row r="11678">
          <cell r="H11678" t="str">
            <v>FL004.0Y1W001</v>
          </cell>
          <cell r="I11678" t="str">
            <v>4 YD 1X WK 1</v>
          </cell>
        </row>
        <row r="11679">
          <cell r="H11679" t="str">
            <v>FL004.0Y1W001CMP</v>
          </cell>
          <cell r="I11679" t="str">
            <v>4 YD 1X WK COMP 1</v>
          </cell>
        </row>
        <row r="11680">
          <cell r="H11680" t="str">
            <v>FL004.0Y2W001</v>
          </cell>
          <cell r="I11680" t="str">
            <v>4 YD 2X WK 1</v>
          </cell>
        </row>
        <row r="11681">
          <cell r="H11681" t="str">
            <v>FL004.0Y2W001CMP</v>
          </cell>
          <cell r="I11681" t="str">
            <v>4 YD 2X WK COMP 1</v>
          </cell>
        </row>
        <row r="11682">
          <cell r="H11682" t="str">
            <v>FL004.0Y3W001</v>
          </cell>
          <cell r="I11682" t="str">
            <v>4 YD 3X WK 1</v>
          </cell>
        </row>
        <row r="11683">
          <cell r="H11683" t="str">
            <v>FL004.0Y4W001</v>
          </cell>
          <cell r="I11683" t="str">
            <v>4 YD 4X WK 1</v>
          </cell>
        </row>
        <row r="11684">
          <cell r="H11684" t="str">
            <v>FL006.0Y1W001</v>
          </cell>
          <cell r="I11684" t="str">
            <v>6 YD 1X WK 1</v>
          </cell>
        </row>
        <row r="11685">
          <cell r="H11685" t="str">
            <v>FL006.0Y2W001</v>
          </cell>
          <cell r="I11685" t="str">
            <v>6 YD 2X WK 1</v>
          </cell>
        </row>
        <row r="11686">
          <cell r="H11686" t="str">
            <v>FL006.0Y2W001CMP</v>
          </cell>
          <cell r="I11686" t="str">
            <v>6 YD 2X WK COMP 1</v>
          </cell>
        </row>
        <row r="11687">
          <cell r="H11687" t="str">
            <v>FL006.0Y3W001</v>
          </cell>
          <cell r="I11687" t="str">
            <v>6 YD 3X WK 1</v>
          </cell>
        </row>
        <row r="11688">
          <cell r="H11688" t="str">
            <v>FL006.0Y4W001</v>
          </cell>
          <cell r="I11688" t="str">
            <v>6 YD 4X WK 1</v>
          </cell>
        </row>
        <row r="11689">
          <cell r="H11689" t="str">
            <v>GWCOMM</v>
          </cell>
          <cell r="I11689" t="str">
            <v>GREENWASTE SERVICE - COMM</v>
          </cell>
        </row>
        <row r="11690">
          <cell r="H11690" t="str">
            <v>RENT2TEMP-COMM</v>
          </cell>
          <cell r="I11690" t="str">
            <v>RENT 2 YD TEMP - COMM</v>
          </cell>
        </row>
        <row r="11691">
          <cell r="H11691" t="str">
            <v>RL032.0G1W001NORECC</v>
          </cell>
          <cell r="I11691" t="str">
            <v xml:space="preserve">32 GL 1X WK NO RECY COMM </v>
          </cell>
        </row>
        <row r="11692">
          <cell r="H11692" t="str">
            <v>RL032.0G1W001WRECC</v>
          </cell>
          <cell r="I11692" t="str">
            <v>32 GL 1X WK W/RECY COMM 1</v>
          </cell>
        </row>
        <row r="11693">
          <cell r="H11693" t="str">
            <v>RL032.0G1W002NORECC</v>
          </cell>
          <cell r="I11693" t="str">
            <v xml:space="preserve">32 GL 1X WK NO RECY COMM </v>
          </cell>
        </row>
        <row r="11694">
          <cell r="H11694" t="str">
            <v>RL032.0G1W002WRECC</v>
          </cell>
          <cell r="I11694" t="str">
            <v>32 GL 1X WK W/RECY COMM 2</v>
          </cell>
        </row>
        <row r="11695">
          <cell r="H11695" t="str">
            <v>RL032.0G1W003WRECC</v>
          </cell>
          <cell r="I11695" t="str">
            <v>32 GL 1X WK W/RECY COMM 3</v>
          </cell>
        </row>
        <row r="11696">
          <cell r="H11696" t="str">
            <v>RL032.0G1W004WRECC</v>
          </cell>
          <cell r="I11696" t="str">
            <v>32 GL 1X WK W/RECY COMM 4</v>
          </cell>
        </row>
        <row r="11697">
          <cell r="H11697" t="str">
            <v>RL035.0G1W001WRECC</v>
          </cell>
          <cell r="I11697" t="str">
            <v>35 GL 1X WK W/RECY COMM 1</v>
          </cell>
        </row>
        <row r="11698">
          <cell r="H11698" t="str">
            <v>ROLL-COMM</v>
          </cell>
          <cell r="I11698" t="str">
            <v>ROLL OUT CHARGE - COMM</v>
          </cell>
        </row>
        <row r="11699">
          <cell r="H11699" t="str">
            <v>SL065.0G1W001NORECC</v>
          </cell>
          <cell r="I11699" t="str">
            <v xml:space="preserve">65 GL 1X WK NO RECY COMM </v>
          </cell>
        </row>
        <row r="11700">
          <cell r="H11700" t="str">
            <v>SL065.0G1W001WRECC</v>
          </cell>
          <cell r="I11700" t="str">
            <v>65 GL 1X WK W/RECY COMM 1</v>
          </cell>
        </row>
        <row r="11701">
          <cell r="H11701" t="str">
            <v>SL065.0GEO001NORECC</v>
          </cell>
          <cell r="I11701" t="str">
            <v>65 GL EOW NO RECY COMM 1</v>
          </cell>
        </row>
        <row r="11702">
          <cell r="H11702" t="str">
            <v>SL065.0GEO001WRECC</v>
          </cell>
          <cell r="I11702" t="str">
            <v>65 GL EOW W/RECY COMM 1</v>
          </cell>
        </row>
        <row r="11703">
          <cell r="H11703" t="str">
            <v>SL095.0G1W001NORECC</v>
          </cell>
          <cell r="I11703" t="str">
            <v xml:space="preserve">95 GL 1X WK NO RECY COMM </v>
          </cell>
        </row>
        <row r="11704">
          <cell r="H11704" t="str">
            <v>SL095.0G1W001WRECC</v>
          </cell>
          <cell r="I11704" t="str">
            <v>95 GL 1X WK W/RECY COMM 1</v>
          </cell>
        </row>
        <row r="11705">
          <cell r="H11705" t="str">
            <v>SL095.0GEO001NORECC</v>
          </cell>
          <cell r="I11705" t="str">
            <v>95 GL EOW NO RECY COMM 1</v>
          </cell>
        </row>
        <row r="11706">
          <cell r="H11706" t="str">
            <v>SL095.0GEO001WRECC</v>
          </cell>
          <cell r="I11706" t="str">
            <v>95 GL EOW W/RECY COMM 1</v>
          </cell>
        </row>
        <row r="11707">
          <cell r="H11707" t="str">
            <v>WI1-COMM</v>
          </cell>
          <cell r="I11707" t="str">
            <v>WALK IN 6-25' - COMM</v>
          </cell>
        </row>
        <row r="11708">
          <cell r="H11708" t="str">
            <v>WI2-COMM</v>
          </cell>
          <cell r="I11708" t="str">
            <v>WALK IN 26-50' - COMM</v>
          </cell>
        </row>
        <row r="11709">
          <cell r="H11709" t="str">
            <v>WI4-COMM</v>
          </cell>
          <cell r="I11709" t="str">
            <v>WALK IN 76-100' - COMM</v>
          </cell>
        </row>
        <row r="11710">
          <cell r="H11710" t="str">
            <v>BULKY-COMM</v>
          </cell>
          <cell r="I11710" t="str">
            <v>BULKY ITEM PICK UP - COMM</v>
          </cell>
        </row>
        <row r="11711">
          <cell r="H11711" t="str">
            <v>CANCOUNT-COMM</v>
          </cell>
          <cell r="I11711" t="str">
            <v>CAN COUNT - COMM</v>
          </cell>
        </row>
        <row r="11712">
          <cell r="H11712" t="str">
            <v>CANCOUNT65-COMM</v>
          </cell>
          <cell r="I11712" t="str">
            <v>CAN COUNT 65 GL - COMM</v>
          </cell>
        </row>
        <row r="11713">
          <cell r="H11713" t="str">
            <v>CLEAN1-COMM</v>
          </cell>
          <cell r="I11713" t="str">
            <v>CLEANING FEE 1 YD - COMM</v>
          </cell>
        </row>
        <row r="11714">
          <cell r="H11714" t="str">
            <v>CLEAN1.5-COMM</v>
          </cell>
          <cell r="I11714" t="str">
            <v>CLEANING FEE 1.5 YD - COM</v>
          </cell>
        </row>
        <row r="11715">
          <cell r="H11715" t="str">
            <v>CLEAN2-COMM</v>
          </cell>
          <cell r="I11715" t="str">
            <v>CLEANING FEE 2 YD - COMM</v>
          </cell>
        </row>
        <row r="11716">
          <cell r="H11716" t="str">
            <v>CLEAN3-COMM</v>
          </cell>
          <cell r="I11716" t="str">
            <v>CLEANING FEE 3 YD - COMM</v>
          </cell>
        </row>
        <row r="11717">
          <cell r="H11717" t="str">
            <v>CLEAN4-COMM</v>
          </cell>
          <cell r="I11717" t="str">
            <v>CLEANING FEE 4 YD - COMM</v>
          </cell>
        </row>
        <row r="11718">
          <cell r="H11718" t="str">
            <v>CLEAN6-COMM</v>
          </cell>
          <cell r="I11718" t="str">
            <v>CLEANING FEE 6 YD - COMM</v>
          </cell>
        </row>
        <row r="11719">
          <cell r="H11719" t="str">
            <v>DEL1.5TEMP-COMM</v>
          </cell>
          <cell r="I11719" t="str">
            <v xml:space="preserve">DELIVERY FEE 1.5 YD TEMP </v>
          </cell>
        </row>
        <row r="11720">
          <cell r="H11720" t="str">
            <v>DEL1TEMP-COMM</v>
          </cell>
          <cell r="I11720" t="str">
            <v xml:space="preserve">DELIVERY FEE 1 YD TEMP - </v>
          </cell>
        </row>
        <row r="11721">
          <cell r="H11721" t="str">
            <v>DEL2TEMP-COMM</v>
          </cell>
          <cell r="I11721" t="str">
            <v xml:space="preserve">DELIVERY FEE 2 YD TEMP - </v>
          </cell>
        </row>
        <row r="11722">
          <cell r="H11722" t="str">
            <v>DEL3TEMP-COMM</v>
          </cell>
          <cell r="I11722" t="str">
            <v xml:space="preserve">DELIVERY FEE 3 YD TEMP - </v>
          </cell>
        </row>
        <row r="11723">
          <cell r="H11723" t="str">
            <v>DEL4TEMP-COMM</v>
          </cell>
          <cell r="I11723" t="str">
            <v xml:space="preserve">DELIVERY FEE 4 YD TEMP - </v>
          </cell>
        </row>
        <row r="11724">
          <cell r="H11724" t="str">
            <v>DISP-COMM</v>
          </cell>
          <cell r="I11724" t="str">
            <v>DISPOSAL FEE - COMM</v>
          </cell>
        </row>
        <row r="11725">
          <cell r="H11725" t="str">
            <v>DISPFEDMSW-COMM</v>
          </cell>
          <cell r="I11725" t="str">
            <v>DISPOSAL FEDERAL MSW - CO</v>
          </cell>
        </row>
        <row r="11726">
          <cell r="H11726" t="str">
            <v>DISPMIX-COMM</v>
          </cell>
          <cell r="I11726" t="str">
            <v>DISPOSAL MIX CMGL OCC - COMM</v>
          </cell>
        </row>
        <row r="11727">
          <cell r="H11727" t="str">
            <v>EXTRA-COMM</v>
          </cell>
          <cell r="I11727" t="str">
            <v>EXTRA CAN, BAG, BOX - COM</v>
          </cell>
        </row>
        <row r="11728">
          <cell r="H11728" t="str">
            <v>EXTRAGWC-COMM</v>
          </cell>
          <cell r="I11728" t="str">
            <v>EXTRA GREENWASTE FEE - CO</v>
          </cell>
        </row>
        <row r="11729">
          <cell r="H11729" t="str">
            <v>EXTRAYDG-COM</v>
          </cell>
          <cell r="I11729" t="str">
            <v>EXTRA YARDAGE - COMM</v>
          </cell>
        </row>
        <row r="11730">
          <cell r="H11730" t="str">
            <v>FL001.0Y1W001</v>
          </cell>
          <cell r="I11730" t="str">
            <v>1 YD 1X WK 1</v>
          </cell>
        </row>
        <row r="11731">
          <cell r="H11731" t="str">
            <v>FL001.0YXX001TEMPC</v>
          </cell>
          <cell r="I11731" t="str">
            <v xml:space="preserve">1 YD TEMP </v>
          </cell>
        </row>
        <row r="11732">
          <cell r="H11732" t="str">
            <v>FL001.5YXX001TEMPC</v>
          </cell>
          <cell r="I11732" t="str">
            <v xml:space="preserve">1.5 YD TEMP </v>
          </cell>
        </row>
        <row r="11733">
          <cell r="H11733" t="str">
            <v>FL002.0Y1W001</v>
          </cell>
          <cell r="I11733" t="str">
            <v>2 YD 1X WK 1</v>
          </cell>
        </row>
        <row r="11734">
          <cell r="H11734" t="str">
            <v>FL002.0YXX001TEMPC</v>
          </cell>
          <cell r="I11734" t="str">
            <v xml:space="preserve">2 YD TEMP </v>
          </cell>
        </row>
        <row r="11735">
          <cell r="H11735" t="str">
            <v>FL003.0YXX001TEMPC</v>
          </cell>
          <cell r="I11735" t="str">
            <v xml:space="preserve">3 YD TEMP </v>
          </cell>
        </row>
        <row r="11736">
          <cell r="H11736" t="str">
            <v>FL004.0YXX001TEMPC</v>
          </cell>
          <cell r="I11736" t="str">
            <v>4 YD TEMP 1</v>
          </cell>
        </row>
        <row r="11737">
          <cell r="H11737" t="str">
            <v>REDEL-COMM</v>
          </cell>
          <cell r="I11737" t="str">
            <v>REDELIVER FEE LVL 1 - COM</v>
          </cell>
        </row>
        <row r="11738">
          <cell r="H11738" t="str">
            <v>REINSTATE-COMM</v>
          </cell>
          <cell r="I11738" t="str">
            <v>REINSTATE FEE - COMM</v>
          </cell>
        </row>
        <row r="11739">
          <cell r="H11739" t="str">
            <v>RENT1.5TEMP-COMM</v>
          </cell>
          <cell r="I11739" t="str">
            <v>RENT 1.5 YD TEMP - COMM</v>
          </cell>
        </row>
        <row r="11740">
          <cell r="H11740" t="str">
            <v>RENT1TEMP-COMM</v>
          </cell>
          <cell r="I11740" t="str">
            <v>RENT 1 YD TEMP - COMM</v>
          </cell>
        </row>
        <row r="11741">
          <cell r="H11741" t="str">
            <v>RENT2TEMP-COMM</v>
          </cell>
          <cell r="I11741" t="str">
            <v>RENT 2 YD TEMP - COMM</v>
          </cell>
        </row>
        <row r="11742">
          <cell r="H11742" t="str">
            <v>RENT3TEMP-COMM</v>
          </cell>
          <cell r="I11742" t="str">
            <v>RENT 3 YD TEMP - COMM</v>
          </cell>
        </row>
        <row r="11743">
          <cell r="H11743" t="str">
            <v>RENT4TEMP-COMM</v>
          </cell>
          <cell r="I11743" t="str">
            <v>RENT 4 YD TEMP - COMM</v>
          </cell>
        </row>
        <row r="11744">
          <cell r="H11744" t="str">
            <v>RTRNCART95-COMM</v>
          </cell>
          <cell r="I11744" t="str">
            <v>RETURN TRIP 95 GL - COMM</v>
          </cell>
        </row>
        <row r="11745">
          <cell r="H11745" t="str">
            <v>RTRNTRIP-COMM</v>
          </cell>
          <cell r="I11745" t="str">
            <v>RETURN TRIP FEE - COMM</v>
          </cell>
        </row>
        <row r="11746">
          <cell r="H11746" t="str">
            <v>SP1-COMM</v>
          </cell>
          <cell r="I11746" t="str">
            <v>SPECIAL PICK UP 1 YD - CO</v>
          </cell>
        </row>
        <row r="11747">
          <cell r="H11747" t="str">
            <v>SP1.5-COMM</v>
          </cell>
          <cell r="I11747" t="str">
            <v xml:space="preserve">SPECIAL PICK UP 1.5 YD - </v>
          </cell>
        </row>
        <row r="11748">
          <cell r="H11748" t="str">
            <v>SP2-COMM</v>
          </cell>
          <cell r="I11748" t="str">
            <v>SPECIAL PICK UP 2 YD - CO</v>
          </cell>
        </row>
        <row r="11749">
          <cell r="H11749" t="str">
            <v>SP3-COMM</v>
          </cell>
          <cell r="I11749" t="str">
            <v>SPECIAL PICK UP 3 YD - CO</v>
          </cell>
        </row>
        <row r="11750">
          <cell r="H11750" t="str">
            <v>SP4-COMM</v>
          </cell>
          <cell r="I11750" t="str">
            <v>SPECIAL PICK UP 4 YD - CO</v>
          </cell>
        </row>
        <row r="11751">
          <cell r="H11751" t="str">
            <v>SP5CMP-COMM</v>
          </cell>
          <cell r="I11751" t="str">
            <v>SPECIAL PICK UP 5 YD COMP</v>
          </cell>
        </row>
        <row r="11752">
          <cell r="H11752" t="str">
            <v>SP6-COMM</v>
          </cell>
          <cell r="I11752" t="str">
            <v>SPECIAL PICK UP 6 YD - CO</v>
          </cell>
        </row>
        <row r="11753">
          <cell r="H11753" t="str">
            <v>SPGRAD1-COMM</v>
          </cell>
          <cell r="I11753" t="str">
            <v>SPECIAL PICKUP GRADUATED 1 - COMM</v>
          </cell>
        </row>
        <row r="11754">
          <cell r="H11754" t="str">
            <v>SPGRAD1S-COMM</v>
          </cell>
          <cell r="I11754" t="str">
            <v>SPECIAL UNIT GRAD1 SCHL - COMM</v>
          </cell>
        </row>
        <row r="11755">
          <cell r="H11755" t="str">
            <v>SPGRAD2-COMM</v>
          </cell>
          <cell r="I11755" t="str">
            <v>SPECIAL PICKUP GRADUATED 2 - COMM</v>
          </cell>
        </row>
        <row r="11756">
          <cell r="H11756" t="str">
            <v>SPGRAD2S-COMM</v>
          </cell>
          <cell r="I11756" t="str">
            <v>SPECIAL UNIT GRAD2 SCHL - COMM</v>
          </cell>
        </row>
        <row r="11757">
          <cell r="H11757" t="str">
            <v>TIME-COMM</v>
          </cell>
          <cell r="I11757" t="str">
            <v>TIME FEE 1 - COMM</v>
          </cell>
        </row>
        <row r="11758">
          <cell r="H11758" t="str">
            <v>DEL1.5TEMP-COMM</v>
          </cell>
          <cell r="I11758" t="str">
            <v xml:space="preserve">DELIVERY FEE 1.5 YD TEMP </v>
          </cell>
        </row>
        <row r="11759">
          <cell r="H11759" t="str">
            <v>DISP-COMM</v>
          </cell>
          <cell r="I11759" t="str">
            <v>DISPOSAL FEE - COMM</v>
          </cell>
        </row>
        <row r="11760">
          <cell r="H11760" t="str">
            <v>DISPFEDMSW-COMM</v>
          </cell>
          <cell r="I11760" t="str">
            <v>DISPOSAL FEDERAL MSW - CO</v>
          </cell>
        </row>
        <row r="11761">
          <cell r="H11761" t="str">
            <v>EXTRA-COMM</v>
          </cell>
          <cell r="I11761" t="str">
            <v>EXTRA CAN, BAG, BOX - COM</v>
          </cell>
        </row>
        <row r="11762">
          <cell r="H11762" t="str">
            <v>FL001.5YXX001TEMPC</v>
          </cell>
          <cell r="I11762" t="str">
            <v xml:space="preserve">1.5 YD TEMP </v>
          </cell>
        </row>
        <row r="11763">
          <cell r="H11763" t="str">
            <v>ACCESSCREC-COMM</v>
          </cell>
          <cell r="I11763" t="str">
            <v>ACCESS FEE COMM RECY - CO</v>
          </cell>
        </row>
        <row r="11764">
          <cell r="H11764" t="str">
            <v>FL002.0Y1M001BCMGL</v>
          </cell>
          <cell r="I11764" t="str">
            <v>2 YD 1X MO BUS CMGL 1</v>
          </cell>
        </row>
        <row r="11765">
          <cell r="H11765" t="str">
            <v>FL002.0Y1W001BCMGL</v>
          </cell>
          <cell r="I11765" t="str">
            <v>2 YD 1X WK BUS CMGL 1</v>
          </cell>
        </row>
        <row r="11766">
          <cell r="H11766" t="str">
            <v>FL002.0Y1W001BOCC</v>
          </cell>
          <cell r="I11766" t="str">
            <v>2 YD 1X WK BUS OCC 1</v>
          </cell>
        </row>
        <row r="11767">
          <cell r="H11767" t="str">
            <v>FL002.0Y1W001OCC</v>
          </cell>
          <cell r="I11767" t="str">
            <v>2 YD 1X WK OCC 1</v>
          </cell>
        </row>
        <row r="11768">
          <cell r="H11768" t="str">
            <v>FL002.0Y1W001SCMGL</v>
          </cell>
          <cell r="I11768" t="str">
            <v>2 YD 1X WK SCHL CMGL 1</v>
          </cell>
        </row>
        <row r="11769">
          <cell r="H11769" t="str">
            <v>FL002.0Y1W001SOCC</v>
          </cell>
          <cell r="I11769" t="str">
            <v>2 YD 1X WK SCHOOL OCC</v>
          </cell>
        </row>
        <row r="11770">
          <cell r="H11770" t="str">
            <v>FL002.0Y2W001BCMGL</v>
          </cell>
          <cell r="I11770" t="str">
            <v>2 YD 2X WK BUS CMGL 1</v>
          </cell>
        </row>
        <row r="11771">
          <cell r="H11771" t="str">
            <v>FL002.0Y2W001BOCC</v>
          </cell>
          <cell r="I11771" t="str">
            <v>2 YD 2X WK BUS OCC 1</v>
          </cell>
        </row>
        <row r="11772">
          <cell r="H11772" t="str">
            <v>FL002.0Y2W001SCMGL</v>
          </cell>
          <cell r="I11772" t="str">
            <v>2 YD 2X WK SCHL CMGL 1</v>
          </cell>
        </row>
        <row r="11773">
          <cell r="H11773" t="str">
            <v>FL002.0Y2W001SOCC</v>
          </cell>
          <cell r="I11773" t="str">
            <v>2 YD 2X WK SCHOOL OCC</v>
          </cell>
        </row>
        <row r="11774">
          <cell r="H11774" t="str">
            <v>FL002.0Y3W001BCMGL</v>
          </cell>
          <cell r="I11774" t="str">
            <v>2 YD 3X WK BUS CMGL 1</v>
          </cell>
        </row>
        <row r="11775">
          <cell r="H11775" t="str">
            <v>FL002.0Y3W001SOCC</v>
          </cell>
          <cell r="I11775" t="str">
            <v>2 YD 3X WK SCHOOL OCC</v>
          </cell>
        </row>
        <row r="11776">
          <cell r="H11776" t="str">
            <v>FL002.0Y4W001BCMGL</v>
          </cell>
          <cell r="I11776" t="str">
            <v>2 YD 4X WK BUS CMGL 1</v>
          </cell>
        </row>
        <row r="11777">
          <cell r="H11777" t="str">
            <v>FL002.0Y4W001BOCC</v>
          </cell>
          <cell r="I11777" t="str">
            <v>2 YD 4X WK BUS OCC 1</v>
          </cell>
        </row>
        <row r="11778">
          <cell r="H11778" t="str">
            <v>FL004.0Y1W001CMGL</v>
          </cell>
          <cell r="I11778" t="str">
            <v>4 YD 1X WK BUS CMGL 1</v>
          </cell>
        </row>
        <row r="11779">
          <cell r="H11779" t="str">
            <v>FL004.0Y2W001CMGL</v>
          </cell>
          <cell r="I11779" t="str">
            <v>4 YD 2X WK BUS CMGL 1</v>
          </cell>
        </row>
        <row r="11780">
          <cell r="H11780" t="str">
            <v>FL004.0Y3W001BCMGL</v>
          </cell>
          <cell r="I11780" t="str">
            <v>4 YD 3X WK BUS CMGL 1</v>
          </cell>
        </row>
        <row r="11781">
          <cell r="H11781" t="str">
            <v>FL004.0Y4W001BCMGL</v>
          </cell>
          <cell r="I11781" t="str">
            <v>4 YD 4X WK BUS CMGL 1</v>
          </cell>
        </row>
        <row r="11782">
          <cell r="H11782" t="str">
            <v>FL004.0Y5W001BCMGL</v>
          </cell>
          <cell r="I11782" t="str">
            <v>4 YD 5X WK BUS CMGL 1</v>
          </cell>
        </row>
        <row r="11783">
          <cell r="H11783" t="str">
            <v>FL005.0Y1W001BOCC</v>
          </cell>
          <cell r="I11783" t="str">
            <v>5 YD 1X WK BUS OCC 1</v>
          </cell>
        </row>
        <row r="11784">
          <cell r="H11784" t="str">
            <v>FL005.0Y1W001SOCC</v>
          </cell>
          <cell r="I11784" t="str">
            <v>5 YD 1X WK SCHOOL OCC</v>
          </cell>
        </row>
        <row r="11785">
          <cell r="H11785" t="str">
            <v>FL005.0Y2W001BOCC</v>
          </cell>
          <cell r="I11785" t="str">
            <v>5 YD 2X WK BUS OCC 1</v>
          </cell>
        </row>
        <row r="11786">
          <cell r="H11786" t="str">
            <v>FL005.0Y2W001OCC</v>
          </cell>
          <cell r="I11786" t="str">
            <v>5 YD 2X WK OCC 1</v>
          </cell>
        </row>
        <row r="11787">
          <cell r="H11787" t="str">
            <v>FL005.0Y2W001SOCC</v>
          </cell>
          <cell r="I11787" t="str">
            <v>5 YD 2X WK SCHOOL OCC</v>
          </cell>
        </row>
        <row r="11788">
          <cell r="H11788" t="str">
            <v>FL005.0Y3W001BOCC</v>
          </cell>
          <cell r="I11788" t="str">
            <v>5 YD 3X WK BUS OCC 1</v>
          </cell>
        </row>
        <row r="11789">
          <cell r="H11789" t="str">
            <v>FL005.0Y4W001BOCC</v>
          </cell>
          <cell r="I11789" t="str">
            <v>5 YD 4X WK BUS OCC 1</v>
          </cell>
        </row>
        <row r="11790">
          <cell r="H11790" t="str">
            <v>FL006.0Y1W001BCMGL</v>
          </cell>
          <cell r="I11790" t="str">
            <v>6 YD 1X WK BUS COMINGLE 1</v>
          </cell>
        </row>
        <row r="11791">
          <cell r="H11791" t="str">
            <v>FL006.0Y1W001SCMGL</v>
          </cell>
          <cell r="I11791" t="str">
            <v>6 YD 1X WK SCHL CMGL 1</v>
          </cell>
        </row>
        <row r="11792">
          <cell r="H11792" t="str">
            <v>FL006.0Y2W001BCMGL</v>
          </cell>
          <cell r="I11792" t="str">
            <v>6 YD 2X WK BUS COMINGLE 1</v>
          </cell>
        </row>
        <row r="11793">
          <cell r="H11793" t="str">
            <v>FL006.0Y2W001SCMGL</v>
          </cell>
          <cell r="I11793" t="str">
            <v>6 YD 2X WK SCHL CMGL 1</v>
          </cell>
        </row>
        <row r="11794">
          <cell r="H11794" t="str">
            <v>FL006.0Y3W001BCMGL</v>
          </cell>
          <cell r="I11794" t="str">
            <v>6 YD 3X WK BUS CMGL 1</v>
          </cell>
        </row>
        <row r="11795">
          <cell r="H11795" t="str">
            <v>MFNBINS</v>
          </cell>
          <cell r="I11795" t="str">
            <v>MULTI-FAMILY REC UNIT N/B</v>
          </cell>
        </row>
        <row r="11796">
          <cell r="H11796" t="str">
            <v>MFWBINS</v>
          </cell>
          <cell r="I11796" t="str">
            <v>MULTI-FAMILY REC UNIT W/B</v>
          </cell>
        </row>
        <row r="11797">
          <cell r="H11797" t="str">
            <v>ROLL-REC</v>
          </cell>
          <cell r="I11797" t="str">
            <v>ROLL OUT CHARGE - RECYCLI</v>
          </cell>
        </row>
        <row r="11798">
          <cell r="H11798" t="str">
            <v>SL064.0G1M001BCMGLIN</v>
          </cell>
          <cell r="I11798" t="str">
            <v>64 GL MTHLY BUS CMGL IN</v>
          </cell>
        </row>
        <row r="11799">
          <cell r="H11799" t="str">
            <v>SL064.0G1W001BCMGLOUT</v>
          </cell>
          <cell r="I11799" t="str">
            <v>64 GL WKLY BUS CMGL OUT</v>
          </cell>
        </row>
        <row r="11800">
          <cell r="H11800" t="str">
            <v>SL064.0GEO001BCMGLOUT</v>
          </cell>
          <cell r="I11800" t="str">
            <v>64 GL EOW BUS CMGL OUT</v>
          </cell>
        </row>
        <row r="11801">
          <cell r="H11801" t="str">
            <v>SL096.0G1M001BCMGLIN</v>
          </cell>
          <cell r="I11801" t="str">
            <v>96 GL MTHLY BUS CMGL IN</v>
          </cell>
        </row>
        <row r="11802">
          <cell r="H11802" t="str">
            <v>SL096.0G1M001BCMGLOUT</v>
          </cell>
          <cell r="I11802" t="str">
            <v>96 GL MTHLY BUS CMGL OUT</v>
          </cell>
        </row>
        <row r="11803">
          <cell r="H11803" t="str">
            <v>SL096.0G1M001SCMGLOUT</v>
          </cell>
          <cell r="I11803" t="str">
            <v>96 GL MTHLY SCHL CMGL OUT</v>
          </cell>
        </row>
        <row r="11804">
          <cell r="H11804" t="str">
            <v>SL096.0G1W001BCMGLIN</v>
          </cell>
          <cell r="I11804" t="str">
            <v>96 GL WKLY BUS CMGL IN</v>
          </cell>
        </row>
        <row r="11805">
          <cell r="H11805" t="str">
            <v>SL096.0G1W001BCMGLOUT</v>
          </cell>
          <cell r="I11805" t="str">
            <v>96 GL WKLY BUS CMGL OUT</v>
          </cell>
        </row>
        <row r="11806">
          <cell r="H11806" t="str">
            <v>SL096.0G1W001RECC</v>
          </cell>
          <cell r="I11806" t="str">
            <v xml:space="preserve">96 GL 1X WK RECYCLE COMM </v>
          </cell>
        </row>
        <row r="11807">
          <cell r="H11807" t="str">
            <v>SL096.0G1W001SCMGLIN</v>
          </cell>
          <cell r="I11807" t="str">
            <v>96 GL WKLY SCHL CMGL IN</v>
          </cell>
        </row>
        <row r="11808">
          <cell r="H11808" t="str">
            <v>SL096.0G1W001SCMGLOUT</v>
          </cell>
          <cell r="I11808" t="str">
            <v>96 GL WKLY SCHL CMGL OUT</v>
          </cell>
        </row>
        <row r="11809">
          <cell r="H11809" t="str">
            <v>SL096.0GEO001BCMGLIN</v>
          </cell>
          <cell r="I11809" t="str">
            <v>96 GL EOW BUS CMGL IN</v>
          </cell>
        </row>
        <row r="11810">
          <cell r="H11810" t="str">
            <v>SL096.0GEO001BCMGLOUT</v>
          </cell>
          <cell r="I11810" t="str">
            <v>96 GL EOW BUS CMGL OUT</v>
          </cell>
        </row>
        <row r="11811">
          <cell r="H11811" t="str">
            <v>SL096.0GEO001SCMGLOUT</v>
          </cell>
          <cell r="I11811" t="str">
            <v>96 GL EOW SCHL CMGL OUT</v>
          </cell>
        </row>
        <row r="11812">
          <cell r="H11812" t="str">
            <v>SP2BCMGL-COMM</v>
          </cell>
          <cell r="I11812" t="str">
            <v>SPECIAL P/U 2 YD BUS CMGL</v>
          </cell>
        </row>
        <row r="11813">
          <cell r="H11813" t="str">
            <v>SP2SCMGL-COMM</v>
          </cell>
          <cell r="I11813" t="str">
            <v>SPECIAL P/U 2 YD SCHL CMGL</v>
          </cell>
        </row>
        <row r="11814">
          <cell r="H11814" t="str">
            <v>SP2SOCC-COMM</v>
          </cell>
          <cell r="I11814" t="str">
            <v>SPECIAL PU 2 YD SCHOOL OC</v>
          </cell>
        </row>
        <row r="11815">
          <cell r="H11815" t="str">
            <v>SP5OCC-COMM</v>
          </cell>
          <cell r="I11815" t="str">
            <v>SPECIAL PICKUP 5 YD OCC -</v>
          </cell>
        </row>
        <row r="11816">
          <cell r="H11816" t="str">
            <v>SP6BCMGL-COMM</v>
          </cell>
          <cell r="I11816" t="str">
            <v>SPECIAL P/U 6 YD BUS CMGL</v>
          </cell>
        </row>
        <row r="11817">
          <cell r="H11817" t="str">
            <v>SP6SCMGL-COMM</v>
          </cell>
          <cell r="I11817" t="str">
            <v>SPECIAL P/U 6 YD SCHL CMGL</v>
          </cell>
        </row>
        <row r="11818">
          <cell r="H11818" t="str">
            <v>SPGRAD1REC-COMM</v>
          </cell>
          <cell r="I11818" t="str">
            <v>SPECIAL UNIT GRAD1 REC - COMM</v>
          </cell>
        </row>
        <row r="11819">
          <cell r="H11819" t="str">
            <v>SPGRAD2REC-COMM</v>
          </cell>
          <cell r="I11819" t="str">
            <v>SPECIAL UNIT GRAD2 REC - COMM</v>
          </cell>
        </row>
        <row r="11820">
          <cell r="H11820" t="str">
            <v>RETCK-PNCL</v>
          </cell>
          <cell r="I11820" t="str">
            <v>RETURNED CHECK - PNC LOCKBOX</v>
          </cell>
        </row>
        <row r="11821">
          <cell r="H11821" t="str">
            <v>CC-KOL</v>
          </cell>
          <cell r="I11821" t="str">
            <v>ONLINE PAYMENT-CC</v>
          </cell>
        </row>
        <row r="11822">
          <cell r="H11822" t="str">
            <v>CCREF-KOL</v>
          </cell>
          <cell r="I11822" t="str">
            <v>CREDIT CARD REFUND</v>
          </cell>
        </row>
        <row r="11823">
          <cell r="H11823" t="str">
            <v>PAY</v>
          </cell>
          <cell r="I11823" t="str">
            <v>PAYMENT THANK YOU</v>
          </cell>
        </row>
        <row r="11824">
          <cell r="H11824" t="str">
            <v>PAY-CFREE</v>
          </cell>
          <cell r="I11824" t="str">
            <v>CHECKFREE PAYMENT</v>
          </cell>
        </row>
        <row r="11825">
          <cell r="H11825" t="str">
            <v>PAY-KOL</v>
          </cell>
          <cell r="I11825" t="str">
            <v>PAYMENT-THANK YOU - OL</v>
          </cell>
        </row>
        <row r="11826">
          <cell r="H11826" t="str">
            <v>PAY-ORCC</v>
          </cell>
          <cell r="I11826" t="str">
            <v>ORCC PAYMENT</v>
          </cell>
        </row>
        <row r="11827">
          <cell r="H11827" t="str">
            <v>PAY-RPPS</v>
          </cell>
          <cell r="I11827" t="str">
            <v>RPPS MASTERCARD PAYMENT</v>
          </cell>
        </row>
        <row r="11828">
          <cell r="H11828" t="str">
            <v>PAYICT</v>
          </cell>
          <cell r="I11828" t="str">
            <v>I/C PAYMENT THANK YOU</v>
          </cell>
        </row>
        <row r="11829">
          <cell r="H11829" t="str">
            <v>PAYMET</v>
          </cell>
          <cell r="I11829" t="str">
            <v>METAVANTE ONLINE PAYMENT</v>
          </cell>
        </row>
        <row r="11830">
          <cell r="H11830" t="str">
            <v>PAYPNCL</v>
          </cell>
          <cell r="I11830" t="str">
            <v>PAYMENT THANK YOU!</v>
          </cell>
        </row>
        <row r="11831">
          <cell r="H11831" t="str">
            <v>PAYUSBL</v>
          </cell>
          <cell r="I11831" t="str">
            <v>PAYMENT THANK YOU</v>
          </cell>
        </row>
        <row r="11832">
          <cell r="H11832" t="str">
            <v>RET-KOL</v>
          </cell>
          <cell r="I11832" t="str">
            <v>ONLINE PAYMENT RETURN</v>
          </cell>
        </row>
        <row r="11833">
          <cell r="H11833" t="str">
            <v>RETCK-PNCL</v>
          </cell>
          <cell r="I11833" t="str">
            <v>RETURNED CHECK - PNC LOCKBOX</v>
          </cell>
        </row>
        <row r="11834">
          <cell r="H11834" t="str">
            <v>CC-KOL</v>
          </cell>
          <cell r="I11834" t="str">
            <v>ONLINE PAYMENT-CC</v>
          </cell>
        </row>
        <row r="11835">
          <cell r="H11835" t="str">
            <v>CCREF-KOL</v>
          </cell>
          <cell r="I11835" t="str">
            <v>CREDIT CARD REFUND</v>
          </cell>
        </row>
        <row r="11836">
          <cell r="H11836" t="str">
            <v>PAY</v>
          </cell>
          <cell r="I11836" t="str">
            <v>PAYMENT THANK YOU</v>
          </cell>
        </row>
        <row r="11837">
          <cell r="H11837" t="str">
            <v>PAY-CFREE</v>
          </cell>
          <cell r="I11837" t="str">
            <v>CHECKFREE PAYMENT</v>
          </cell>
        </row>
        <row r="11838">
          <cell r="H11838" t="str">
            <v>PAY-KOL</v>
          </cell>
          <cell r="I11838" t="str">
            <v>PAYMENT-THANK YOU - OL</v>
          </cell>
        </row>
        <row r="11839">
          <cell r="H11839" t="str">
            <v>PAY-ORCC</v>
          </cell>
          <cell r="I11839" t="str">
            <v>ORCC PAYMENT</v>
          </cell>
        </row>
        <row r="11840">
          <cell r="H11840" t="str">
            <v>PAY-RPPS</v>
          </cell>
          <cell r="I11840" t="str">
            <v>RPPS MASTERCARD PAYMENT</v>
          </cell>
        </row>
        <row r="11841">
          <cell r="H11841" t="str">
            <v>PAYICT</v>
          </cell>
          <cell r="I11841" t="str">
            <v>I/C PAYMENT THANK YOU</v>
          </cell>
        </row>
        <row r="11842">
          <cell r="H11842" t="str">
            <v>PAYL</v>
          </cell>
          <cell r="I11842" t="str">
            <v>PAYMENT THANK YOU</v>
          </cell>
        </row>
        <row r="11843">
          <cell r="H11843" t="str">
            <v>PAYMET</v>
          </cell>
          <cell r="I11843" t="str">
            <v>METAVANTE ONLINE PAYMENT</v>
          </cell>
        </row>
        <row r="11844">
          <cell r="H11844" t="str">
            <v>PAYPNCL</v>
          </cell>
          <cell r="I11844" t="str">
            <v>PAYMENT THANK YOU!</v>
          </cell>
        </row>
        <row r="11845">
          <cell r="H11845" t="str">
            <v>PAYUSBL</v>
          </cell>
          <cell r="I11845" t="str">
            <v>PAYMENT THANK YOU</v>
          </cell>
        </row>
        <row r="11846">
          <cell r="H11846" t="str">
            <v>RET-KOL</v>
          </cell>
          <cell r="I11846" t="str">
            <v>ONLINE PAYMENT RETURN</v>
          </cell>
        </row>
        <row r="11847">
          <cell r="H11847" t="str">
            <v>RETCK-PNCL</v>
          </cell>
          <cell r="I11847" t="str">
            <v>RETURNED CHECK - PNC LOCKBOX</v>
          </cell>
        </row>
        <row r="11848">
          <cell r="H11848" t="str">
            <v>CC-KOL</v>
          </cell>
          <cell r="I11848" t="str">
            <v>ONLINE PAYMENT-CC</v>
          </cell>
        </row>
        <row r="11849">
          <cell r="H11849" t="str">
            <v>CCREF-KOL</v>
          </cell>
          <cell r="I11849" t="str">
            <v>CREDIT CARD REFUND</v>
          </cell>
        </row>
        <row r="11850">
          <cell r="H11850" t="str">
            <v>PAY</v>
          </cell>
          <cell r="I11850" t="str">
            <v>PAYMENT THANK YOU</v>
          </cell>
        </row>
        <row r="11851">
          <cell r="H11851" t="str">
            <v>PAY-CFREE</v>
          </cell>
          <cell r="I11851" t="str">
            <v>CHECKFREE PAYMENT</v>
          </cell>
        </row>
        <row r="11852">
          <cell r="H11852" t="str">
            <v>PAY-KOL</v>
          </cell>
          <cell r="I11852" t="str">
            <v>PAYMENT-THANK YOU - OL</v>
          </cell>
        </row>
        <row r="11853">
          <cell r="H11853" t="str">
            <v>PAY-NATL</v>
          </cell>
          <cell r="I11853" t="str">
            <v>PAYMENT THANK YOU</v>
          </cell>
        </row>
        <row r="11854">
          <cell r="H11854" t="str">
            <v>PAY-OAK</v>
          </cell>
          <cell r="I11854" t="str">
            <v>OAKLEAF PAYMENT</v>
          </cell>
        </row>
        <row r="11855">
          <cell r="H11855" t="str">
            <v>PAY-ORCC</v>
          </cell>
          <cell r="I11855" t="str">
            <v>ORCC PAYMENT</v>
          </cell>
        </row>
        <row r="11856">
          <cell r="H11856" t="str">
            <v>PAY-RPPS</v>
          </cell>
          <cell r="I11856" t="str">
            <v>RPPS MASTERCARD PAYMENT</v>
          </cell>
        </row>
        <row r="11857">
          <cell r="H11857" t="str">
            <v>PAYAD</v>
          </cell>
          <cell r="I11857" t="str">
            <v>ADJUST PAYMENT AD</v>
          </cell>
        </row>
        <row r="11858">
          <cell r="H11858" t="str">
            <v>PAYEFT</v>
          </cell>
          <cell r="I11858" t="str">
            <v>EFT PAYMENT</v>
          </cell>
        </row>
        <row r="11859">
          <cell r="H11859" t="str">
            <v>PAYICLRI</v>
          </cell>
          <cell r="I11859" t="str">
            <v>PAYMENT THANK YOU</v>
          </cell>
        </row>
        <row r="11860">
          <cell r="H11860" t="str">
            <v>PAYICT</v>
          </cell>
          <cell r="I11860" t="str">
            <v>I/C PAYMENT THANK YOU</v>
          </cell>
        </row>
        <row r="11861">
          <cell r="H11861" t="str">
            <v>PAYMET</v>
          </cell>
          <cell r="I11861" t="str">
            <v>METAVANTE ONLINE PAYMENT</v>
          </cell>
        </row>
        <row r="11862">
          <cell r="H11862" t="str">
            <v>PAYPNCL</v>
          </cell>
          <cell r="I11862" t="str">
            <v>PAYMENT THANK YOU!</v>
          </cell>
        </row>
        <row r="11863">
          <cell r="H11863" t="str">
            <v>PAYUSBL</v>
          </cell>
          <cell r="I11863" t="str">
            <v>PAYMENT THANK YOU</v>
          </cell>
        </row>
        <row r="11864">
          <cell r="H11864" t="str">
            <v>RET-KOL</v>
          </cell>
          <cell r="I11864" t="str">
            <v>ONLINE PAYMENT RETURN</v>
          </cell>
        </row>
        <row r="11865">
          <cell r="H11865" t="str">
            <v>CC-KOL</v>
          </cell>
          <cell r="I11865" t="str">
            <v>ONLINE PAYMENT-CC</v>
          </cell>
        </row>
        <row r="11866">
          <cell r="H11866" t="str">
            <v>PAY</v>
          </cell>
          <cell r="I11866" t="str">
            <v>PAYMENT THANK YOU</v>
          </cell>
        </row>
        <row r="11867">
          <cell r="H11867" t="str">
            <v>DRIVEIN-RES</v>
          </cell>
          <cell r="I11867" t="str">
            <v>DRIVE IN SERVICE - RES</v>
          </cell>
        </row>
        <row r="11868">
          <cell r="H11868" t="str">
            <v>GWRES</v>
          </cell>
          <cell r="I11868" t="str">
            <v>GREENWASTE SERVICE - RES</v>
          </cell>
        </row>
        <row r="11869">
          <cell r="H11869" t="str">
            <v>GWSPCL-RES</v>
          </cell>
          <cell r="I11869" t="str">
            <v>GREENWASTE SEN/DIS - RES</v>
          </cell>
        </row>
        <row r="11870">
          <cell r="H11870" t="str">
            <v>RECBINONLYR</v>
          </cell>
          <cell r="I11870" t="str">
            <v>RECYCLE SERVICE ONLY</v>
          </cell>
        </row>
        <row r="11871">
          <cell r="H11871" t="str">
            <v>RECPROGADJ-RES</v>
          </cell>
          <cell r="I11871" t="str">
            <v>RECYCLING PROGRAM ADJUSTM</v>
          </cell>
        </row>
        <row r="11872">
          <cell r="H11872" t="str">
            <v>RECVALRES</v>
          </cell>
          <cell r="I11872" t="str">
            <v>RECYCLABLES VALUE - RES</v>
          </cell>
        </row>
        <row r="11873">
          <cell r="H11873" t="str">
            <v>RL032.0G1W001WREC</v>
          </cell>
          <cell r="I11873" t="str">
            <v>32 GL 1X WK W/RECY 1</v>
          </cell>
        </row>
        <row r="11874">
          <cell r="H11874" t="str">
            <v>SL035.0G1W001WREC</v>
          </cell>
          <cell r="I11874" t="str">
            <v>35 GL 1X WK W/ RECY 1</v>
          </cell>
        </row>
        <row r="11875">
          <cell r="H11875" t="str">
            <v>SL035.0GEO001WREC</v>
          </cell>
          <cell r="I11875" t="str">
            <v>35 GL EOW W/RECY 1</v>
          </cell>
        </row>
        <row r="11876">
          <cell r="H11876" t="str">
            <v>SL065.0G1M001WREC</v>
          </cell>
          <cell r="I11876" t="str">
            <v>65 GL 1X MO W/RECY 1</v>
          </cell>
        </row>
        <row r="11877">
          <cell r="H11877" t="str">
            <v>SL065.0G1W001NOREC</v>
          </cell>
          <cell r="I11877" t="str">
            <v>65 GL 1X WK NO RECY 1</v>
          </cell>
        </row>
        <row r="11878">
          <cell r="H11878" t="str">
            <v>SL065.0G1W001WREC</v>
          </cell>
          <cell r="I11878" t="str">
            <v>65 GL 1X WK W/RECY 1</v>
          </cell>
        </row>
        <row r="11879">
          <cell r="H11879" t="str">
            <v>SL065.0GEO001NOREC</v>
          </cell>
          <cell r="I11879" t="str">
            <v>65 GL EOW NO RECY 1</v>
          </cell>
        </row>
        <row r="11880">
          <cell r="H11880" t="str">
            <v>SL065.0GEO001WREC</v>
          </cell>
          <cell r="I11880" t="str">
            <v>65 GL EOW W/RECY 1</v>
          </cell>
        </row>
        <row r="11881">
          <cell r="H11881" t="str">
            <v>SL095.0G1W001WREC</v>
          </cell>
          <cell r="I11881" t="str">
            <v>95 GL 1X WK W/RECY 1</v>
          </cell>
        </row>
        <row r="11882">
          <cell r="H11882" t="str">
            <v>SL095.0GEO001NOREC</v>
          </cell>
          <cell r="I11882" t="str">
            <v>95 GL EOW NO RECY 1</v>
          </cell>
        </row>
        <row r="11883">
          <cell r="H11883" t="str">
            <v>SL095.0GEO001WREC</v>
          </cell>
          <cell r="I11883" t="str">
            <v>95 GL EOW W/RECY 1</v>
          </cell>
        </row>
        <row r="11884">
          <cell r="H11884" t="str">
            <v>WI1-RES</v>
          </cell>
          <cell r="I11884" t="str">
            <v>WALK IN 6-25' - RES</v>
          </cell>
        </row>
        <row r="11885">
          <cell r="H11885" t="str">
            <v>ADJ-RES</v>
          </cell>
          <cell r="I11885" t="str">
            <v>ADJUSTMENT SERVICE - RES</v>
          </cell>
        </row>
        <row r="11886">
          <cell r="H11886" t="str">
            <v>BULKY-RES</v>
          </cell>
          <cell r="I11886" t="str">
            <v>BULKY ITEM PICK UP - RES</v>
          </cell>
        </row>
        <row r="11887">
          <cell r="H11887" t="str">
            <v>EP96GWC-RES</v>
          </cell>
          <cell r="I11887" t="str">
            <v>EXTRA PICK UP 96 GW - RES</v>
          </cell>
        </row>
        <row r="11888">
          <cell r="H11888" t="str">
            <v>EXTRA-RES</v>
          </cell>
          <cell r="I11888" t="str">
            <v>EXTRA CAN, BAG, BOX - RES</v>
          </cell>
        </row>
        <row r="11889">
          <cell r="H11889" t="str">
            <v>EXTRA65-RES</v>
          </cell>
          <cell r="I11889" t="str">
            <v>EXTRA 65 GL RES</v>
          </cell>
        </row>
        <row r="11890">
          <cell r="H11890" t="str">
            <v>EXTRA95-RES</v>
          </cell>
          <cell r="I11890" t="str">
            <v>EXTRA 95 GL RES</v>
          </cell>
        </row>
        <row r="11891">
          <cell r="H11891" t="str">
            <v>EXTRAGWC-RES</v>
          </cell>
          <cell r="I11891" t="str">
            <v>EXTRA GREENWASTE FEE - RE</v>
          </cell>
        </row>
        <row r="11892">
          <cell r="H11892" t="str">
            <v>GWRES</v>
          </cell>
          <cell r="I11892" t="str">
            <v>GREENWASTE SERVICE - RES</v>
          </cell>
        </row>
        <row r="11893">
          <cell r="H11893" t="str">
            <v>OC-RES</v>
          </cell>
          <cell r="I11893" t="str">
            <v>ON CALL SERVICE - RES</v>
          </cell>
        </row>
        <row r="11894">
          <cell r="H11894" t="str">
            <v>OW-RES</v>
          </cell>
          <cell r="I11894" t="str">
            <v>OVERFILL / OVERWEIGHT CAN</v>
          </cell>
        </row>
        <row r="11895">
          <cell r="H11895" t="str">
            <v>RECPROGADJ-RES</v>
          </cell>
          <cell r="I11895" t="str">
            <v>RECYCLING PROGRAM ADJUSTM</v>
          </cell>
        </row>
        <row r="11896">
          <cell r="H11896" t="str">
            <v>RECVALRES</v>
          </cell>
          <cell r="I11896" t="str">
            <v>RECYCLABLES VALUE - RES</v>
          </cell>
        </row>
        <row r="11897">
          <cell r="H11897" t="str">
            <v>REDEL-RES</v>
          </cell>
          <cell r="I11897" t="str">
            <v>REDELIVER FEE - RES</v>
          </cell>
        </row>
        <row r="11898">
          <cell r="H11898" t="str">
            <v>REINSTATE-RES</v>
          </cell>
          <cell r="I11898" t="str">
            <v>REINSTATE FEE - RES</v>
          </cell>
        </row>
        <row r="11899">
          <cell r="H11899" t="str">
            <v>RL032.0G1W001WREC</v>
          </cell>
          <cell r="I11899" t="str">
            <v>32 GL 1X WK W/RECY 1</v>
          </cell>
        </row>
        <row r="11900">
          <cell r="H11900" t="str">
            <v>RTRNCART32-RES</v>
          </cell>
          <cell r="I11900" t="str">
            <v>RETURN TRIP 32 GL - RES</v>
          </cell>
        </row>
        <row r="11901">
          <cell r="H11901" t="str">
            <v>RTRNCART64REC-RES</v>
          </cell>
          <cell r="I11901" t="str">
            <v>RETURN TRIP 64 GL REC - RES</v>
          </cell>
        </row>
        <row r="11902">
          <cell r="H11902" t="str">
            <v>RTRNCART65-RES</v>
          </cell>
          <cell r="I11902" t="str">
            <v>RETURN TRIP 65 GL - RES</v>
          </cell>
        </row>
        <row r="11903">
          <cell r="H11903" t="str">
            <v>RTRNCART95-RES</v>
          </cell>
          <cell r="I11903" t="str">
            <v>RETURN TRIP 95 GL - RES</v>
          </cell>
        </row>
        <row r="11904">
          <cell r="H11904" t="str">
            <v>RTRNCART96REC-RES</v>
          </cell>
          <cell r="I11904" t="str">
            <v>RETURN TRIP 96 GL REC - RES</v>
          </cell>
        </row>
        <row r="11905">
          <cell r="H11905" t="str">
            <v>SL035.0G1W001WREC</v>
          </cell>
          <cell r="I11905" t="str">
            <v>35 GL 1X WK W/ RECY 1</v>
          </cell>
        </row>
        <row r="11906">
          <cell r="H11906" t="str">
            <v>SL035.0G1W002WREC</v>
          </cell>
          <cell r="I11906" t="str">
            <v>35 GL 1X WK W/RECY 2</v>
          </cell>
        </row>
        <row r="11907">
          <cell r="H11907" t="str">
            <v>SL035.0GEO001WREC</v>
          </cell>
          <cell r="I11907" t="str">
            <v>35 GL EOW W/RECY 1</v>
          </cell>
        </row>
        <row r="11908">
          <cell r="H11908" t="str">
            <v>SL065.0G1W001WREC</v>
          </cell>
          <cell r="I11908" t="str">
            <v>65 GL 1X WK W/RECY 1</v>
          </cell>
        </row>
        <row r="11909">
          <cell r="H11909" t="str">
            <v>SL065.0GEO001WREC</v>
          </cell>
          <cell r="I11909" t="str">
            <v>65 GL EOW W/RECY 1</v>
          </cell>
        </row>
        <row r="11910">
          <cell r="H11910" t="str">
            <v>SL095.0G1M001WREC</v>
          </cell>
          <cell r="I11910" t="str">
            <v>95 GL 1X MO W/RECY 1</v>
          </cell>
        </row>
        <row r="11911">
          <cell r="H11911" t="str">
            <v>SL095.0G1W001WREC</v>
          </cell>
          <cell r="I11911" t="str">
            <v>95 GL 1X WK W/RECY 1</v>
          </cell>
        </row>
        <row r="11912">
          <cell r="H11912" t="str">
            <v>SL095.0GEO001WREC</v>
          </cell>
          <cell r="I11912" t="str">
            <v>95 GL EOW W/RECY 1</v>
          </cell>
        </row>
        <row r="11913">
          <cell r="H11913" t="str">
            <v>TIME-RES</v>
          </cell>
          <cell r="I11913" t="str">
            <v>TIME FEE 1 - RES</v>
          </cell>
        </row>
        <row r="11914">
          <cell r="H11914" t="str">
            <v>ACCESS-RES</v>
          </cell>
          <cell r="I11914" t="str">
            <v>ACCESS FEE - RES</v>
          </cell>
        </row>
        <row r="11915">
          <cell r="H11915" t="str">
            <v>DRIVEIN-RES</v>
          </cell>
          <cell r="I11915" t="str">
            <v>DRIVE IN SERVICE - RES</v>
          </cell>
        </row>
        <row r="11916">
          <cell r="H11916" t="str">
            <v>DRIVEINMUL-RES</v>
          </cell>
          <cell r="I11916" t="str">
            <v>DRIVE IN SVC MULTIPLE</v>
          </cell>
        </row>
        <row r="11917">
          <cell r="H11917" t="str">
            <v>EMPLOYEER</v>
          </cell>
          <cell r="I11917" t="str">
            <v>EMPLOYEE SERVICE RES</v>
          </cell>
        </row>
        <row r="11918">
          <cell r="H11918" t="str">
            <v>GWRES</v>
          </cell>
          <cell r="I11918" t="str">
            <v>GREENWASTE SERVICE - RES</v>
          </cell>
        </row>
        <row r="11919">
          <cell r="H11919" t="str">
            <v>GWSPCL-RES</v>
          </cell>
          <cell r="I11919" t="str">
            <v>GREENWASTE SEN/DIS - RES</v>
          </cell>
        </row>
        <row r="11920">
          <cell r="H11920" t="str">
            <v>RECBINONLYR</v>
          </cell>
          <cell r="I11920" t="str">
            <v>RECYCLE SERVICE ONLY</v>
          </cell>
        </row>
        <row r="11921">
          <cell r="H11921" t="str">
            <v>RECPROGADJ-RES</v>
          </cell>
          <cell r="I11921" t="str">
            <v>RECYCLING PROGRAM ADJUSTM</v>
          </cell>
        </row>
        <row r="11922">
          <cell r="H11922" t="str">
            <v>RECVALRES</v>
          </cell>
          <cell r="I11922" t="str">
            <v>RECYCLABLES VALUE - RES</v>
          </cell>
        </row>
        <row r="11923">
          <cell r="H11923" t="str">
            <v>REDEL-RES</v>
          </cell>
          <cell r="I11923" t="str">
            <v>REDELIVER FEE - RES</v>
          </cell>
        </row>
        <row r="11924">
          <cell r="H11924" t="str">
            <v>RL020.0G1W001</v>
          </cell>
          <cell r="I11924" t="str">
            <v>20 GL 1X WK 1</v>
          </cell>
        </row>
        <row r="11925">
          <cell r="H11925" t="str">
            <v>RL032.0G1M001NOREC</v>
          </cell>
          <cell r="I11925" t="str">
            <v>32 GL 1X MO NO RECY 1</v>
          </cell>
        </row>
        <row r="11926">
          <cell r="H11926" t="str">
            <v>RL032.0G1M001WREC</v>
          </cell>
          <cell r="I11926" t="str">
            <v>32 GL 1X MO W/RECY 1</v>
          </cell>
        </row>
        <row r="11927">
          <cell r="H11927" t="str">
            <v>RL032.0G1W001NOREC</v>
          </cell>
          <cell r="I11927" t="str">
            <v>32 GL 1X WK NO RECY 1</v>
          </cell>
        </row>
        <row r="11928">
          <cell r="H11928" t="str">
            <v>RL032.0G1W001WREC</v>
          </cell>
          <cell r="I11928" t="str">
            <v>32 GL 1X WK W/RECY 1</v>
          </cell>
        </row>
        <row r="11929">
          <cell r="H11929" t="str">
            <v>RL032.0G1W002NOREC</v>
          </cell>
          <cell r="I11929" t="str">
            <v>32 GL 1X WK NO RECY 2</v>
          </cell>
        </row>
        <row r="11930">
          <cell r="H11930" t="str">
            <v>RL032.0G1W002WREC</v>
          </cell>
          <cell r="I11930" t="str">
            <v>32 GL 1X WK W/RECY 2</v>
          </cell>
        </row>
        <row r="11931">
          <cell r="H11931" t="str">
            <v>RL032.0G1W003WREC</v>
          </cell>
          <cell r="I11931" t="str">
            <v>32 GL 1X WK W/RECY 3</v>
          </cell>
        </row>
        <row r="11932">
          <cell r="H11932" t="str">
            <v>RL032.0G1W004NOREC</v>
          </cell>
          <cell r="I11932" t="str">
            <v>32 GL 1X WK NO RECY 4</v>
          </cell>
        </row>
        <row r="11933">
          <cell r="H11933" t="str">
            <v>RL032.0G1W004WREC</v>
          </cell>
          <cell r="I11933" t="str">
            <v>32 GL 1X WK W/RECY 4</v>
          </cell>
        </row>
        <row r="11934">
          <cell r="H11934" t="str">
            <v>SL035.0G1M001WREC</v>
          </cell>
          <cell r="I11934" t="str">
            <v>35 GL 1X MO W/RECY 1</v>
          </cell>
        </row>
        <row r="11935">
          <cell r="H11935" t="str">
            <v>SL035.0G1W001NOREC</v>
          </cell>
          <cell r="I11935" t="str">
            <v>35 GL 1X WK NO RECY 1</v>
          </cell>
        </row>
        <row r="11936">
          <cell r="H11936" t="str">
            <v>SL035.0G1W001WREC</v>
          </cell>
          <cell r="I11936" t="str">
            <v>35 GL 1X WK W/ RECY 1</v>
          </cell>
        </row>
        <row r="11937">
          <cell r="H11937" t="str">
            <v>SL035.0G1W002WREC</v>
          </cell>
          <cell r="I11937" t="str">
            <v>35 GL 1X WK W/RECY 2</v>
          </cell>
        </row>
        <row r="11938">
          <cell r="H11938" t="str">
            <v>SL035.0G1W004WREC</v>
          </cell>
          <cell r="I11938" t="str">
            <v>35 GL 1X WK W/RECY 4</v>
          </cell>
        </row>
        <row r="11939">
          <cell r="H11939" t="str">
            <v>SL035.0GEO001NOREC</v>
          </cell>
          <cell r="I11939" t="str">
            <v>35 GL EOW NO RECY 1</v>
          </cell>
        </row>
        <row r="11940">
          <cell r="H11940" t="str">
            <v>SL035.0GEO001WREC</v>
          </cell>
          <cell r="I11940" t="str">
            <v>35 GL EOW W/RECY 1</v>
          </cell>
        </row>
        <row r="11941">
          <cell r="H11941" t="str">
            <v>SL065.0G1M001NOREC</v>
          </cell>
          <cell r="I11941" t="str">
            <v>65 GL 1X MO NO RECY 1</v>
          </cell>
        </row>
        <row r="11942">
          <cell r="H11942" t="str">
            <v>SL065.0G1M001WREC</v>
          </cell>
          <cell r="I11942" t="str">
            <v>65 GL 1X MO W/RECY 1</v>
          </cell>
        </row>
        <row r="11943">
          <cell r="H11943" t="str">
            <v>SL065.0G1M002NOREC</v>
          </cell>
          <cell r="I11943" t="str">
            <v>65 GL 1X MO NO RECY 2</v>
          </cell>
        </row>
        <row r="11944">
          <cell r="H11944" t="str">
            <v>SL065.0G1W001NOREC</v>
          </cell>
          <cell r="I11944" t="str">
            <v>65 GL 1X WK NO RECY 1</v>
          </cell>
        </row>
        <row r="11945">
          <cell r="H11945" t="str">
            <v>SL065.0G1W001SPCLWREC</v>
          </cell>
          <cell r="I11945" t="str">
            <v>65 GL 1X WK S/D W/REC 1</v>
          </cell>
        </row>
        <row r="11946">
          <cell r="H11946" t="str">
            <v>SL065.0G1W001WREC</v>
          </cell>
          <cell r="I11946" t="str">
            <v>65 GL 1X WK W/RECY 1</v>
          </cell>
        </row>
        <row r="11947">
          <cell r="H11947" t="str">
            <v>SL065.0GEO001NOREC</v>
          </cell>
          <cell r="I11947" t="str">
            <v>65 GL EOW NO RECY 1</v>
          </cell>
        </row>
        <row r="11948">
          <cell r="H11948" t="str">
            <v>SL065.0GEO001WREC</v>
          </cell>
          <cell r="I11948" t="str">
            <v>65 GL EOW W/RECY 1</v>
          </cell>
        </row>
        <row r="11949">
          <cell r="H11949" t="str">
            <v>SL095.0G1M001NOREC</v>
          </cell>
          <cell r="I11949" t="str">
            <v>95 GL 1X MO NO RECY 1</v>
          </cell>
        </row>
        <row r="11950">
          <cell r="H11950" t="str">
            <v>SL095.0G1M001WREC</v>
          </cell>
          <cell r="I11950" t="str">
            <v>95 GL 1X MO W/RECY 1</v>
          </cell>
        </row>
        <row r="11951">
          <cell r="H11951" t="str">
            <v>SL095.0G1W001NOREC</v>
          </cell>
          <cell r="I11951" t="str">
            <v>95 GL 1X WK NO RECY 1</v>
          </cell>
        </row>
        <row r="11952">
          <cell r="H11952" t="str">
            <v>SL095.0G1W001WREC</v>
          </cell>
          <cell r="I11952" t="str">
            <v>95 GL 1X WK W/RECY 1</v>
          </cell>
        </row>
        <row r="11953">
          <cell r="H11953" t="str">
            <v>SL095.0GEO001NOREC</v>
          </cell>
          <cell r="I11953" t="str">
            <v>95 GL EOW NO RECY 1</v>
          </cell>
        </row>
        <row r="11954">
          <cell r="H11954" t="str">
            <v>SL095.0GEO001WREC</v>
          </cell>
          <cell r="I11954" t="str">
            <v>95 GL EOW W/RECY 1</v>
          </cell>
        </row>
        <row r="11955">
          <cell r="H11955" t="str">
            <v>WI-RES</v>
          </cell>
          <cell r="I11955" t="str">
            <v>WALK IN 6-25' - RES</v>
          </cell>
        </row>
        <row r="11956">
          <cell r="H11956" t="str">
            <v>WI1-RES</v>
          </cell>
          <cell r="I11956" t="str">
            <v>WALK IN 6-25' - RES</v>
          </cell>
        </row>
        <row r="11957">
          <cell r="H11957" t="str">
            <v>WI2-RES</v>
          </cell>
          <cell r="I11957" t="str">
            <v>WALK IN 26-50' - RES</v>
          </cell>
        </row>
        <row r="11958">
          <cell r="H11958" t="str">
            <v>ADJ-RES</v>
          </cell>
          <cell r="I11958" t="str">
            <v>ADJUSTMENT SERVICE - RES</v>
          </cell>
        </row>
        <row r="11959">
          <cell r="H11959" t="str">
            <v>BULKY-RES</v>
          </cell>
          <cell r="I11959" t="str">
            <v>BULKY ITEM PICK UP - RES</v>
          </cell>
        </row>
        <row r="11960">
          <cell r="H11960" t="str">
            <v>EP96GWC-RES</v>
          </cell>
          <cell r="I11960" t="str">
            <v>EXTRA PICK UP 96 GW - RES</v>
          </cell>
        </row>
        <row r="11961">
          <cell r="H11961" t="str">
            <v>EXTRA-RES</v>
          </cell>
          <cell r="I11961" t="str">
            <v>EXTRA CAN, BAG, BOX - RES</v>
          </cell>
        </row>
        <row r="11962">
          <cell r="H11962" t="str">
            <v>EXTRA65-RES</v>
          </cell>
          <cell r="I11962" t="str">
            <v>EXTRA 65 GL RES</v>
          </cell>
        </row>
        <row r="11963">
          <cell r="H11963" t="str">
            <v>EXTRA95-RES</v>
          </cell>
          <cell r="I11963" t="str">
            <v>EXTRA 95 GL RES</v>
          </cell>
        </row>
        <row r="11964">
          <cell r="H11964" t="str">
            <v>EXTRAGWC-RES</v>
          </cell>
          <cell r="I11964" t="str">
            <v>EXTRA GREENWASTE FEE - RE</v>
          </cell>
        </row>
        <row r="11965">
          <cell r="H11965" t="str">
            <v>GWRES</v>
          </cell>
          <cell r="I11965" t="str">
            <v>GREENWASTE SERVICE - RES</v>
          </cell>
        </row>
        <row r="11966">
          <cell r="H11966" t="str">
            <v>OC-RES</v>
          </cell>
          <cell r="I11966" t="str">
            <v>ON CALL SERVICE - RES</v>
          </cell>
        </row>
        <row r="11967">
          <cell r="H11967" t="str">
            <v>OW-RES</v>
          </cell>
          <cell r="I11967" t="str">
            <v>OVERFILL / OVERWEIGHT CAN</v>
          </cell>
        </row>
        <row r="11968">
          <cell r="H11968" t="str">
            <v>RECPROGADJ-RES</v>
          </cell>
          <cell r="I11968" t="str">
            <v>RECYCLING PROGRAM ADJUSTM</v>
          </cell>
        </row>
        <row r="11969">
          <cell r="H11969" t="str">
            <v>RECVALRES</v>
          </cell>
          <cell r="I11969" t="str">
            <v>RECYCLABLES VALUE - RES</v>
          </cell>
        </row>
        <row r="11970">
          <cell r="H11970" t="str">
            <v>REDEL-RES</v>
          </cell>
          <cell r="I11970" t="str">
            <v>REDELIVER FEE - RES</v>
          </cell>
        </row>
        <row r="11971">
          <cell r="H11971" t="str">
            <v>REINSTATE-RES</v>
          </cell>
          <cell r="I11971" t="str">
            <v>REINSTATE FEE - RES</v>
          </cell>
        </row>
        <row r="11972">
          <cell r="H11972" t="str">
            <v>RTRNCART32-RES</v>
          </cell>
          <cell r="I11972" t="str">
            <v>RETURN TRIP 32 GL - RES</v>
          </cell>
        </row>
        <row r="11973">
          <cell r="H11973" t="str">
            <v>RTRNCART65-RES</v>
          </cell>
          <cell r="I11973" t="str">
            <v>RETURN TRIP 65 GL - RES</v>
          </cell>
        </row>
        <row r="11974">
          <cell r="H11974" t="str">
            <v>RTRNCART95-RES</v>
          </cell>
          <cell r="I11974" t="str">
            <v>RETURN TRIP 95 GL - RES</v>
          </cell>
        </row>
        <row r="11975">
          <cell r="H11975" t="str">
            <v>RTRNCART96REC-RES</v>
          </cell>
          <cell r="I11975" t="str">
            <v>RETURN TRIP 96 GL REC - RES</v>
          </cell>
        </row>
        <row r="11976">
          <cell r="H11976" t="str">
            <v>SL035.0G1W001WREC</v>
          </cell>
          <cell r="I11976" t="str">
            <v>35 GL 1X WK W/ RECY 1</v>
          </cell>
        </row>
        <row r="11977">
          <cell r="H11977" t="str">
            <v>SL065.0G1M001WREC</v>
          </cell>
          <cell r="I11977" t="str">
            <v>65 GL 1X MO W/RECY 1</v>
          </cell>
        </row>
        <row r="11978">
          <cell r="H11978" t="str">
            <v>SL065.0G1W001WREC</v>
          </cell>
          <cell r="I11978" t="str">
            <v>65 GL 1X WK W/RECY 1</v>
          </cell>
        </row>
        <row r="11979">
          <cell r="H11979" t="str">
            <v>SL065.0GEO001WREC</v>
          </cell>
          <cell r="I11979" t="str">
            <v>65 GL EOW W/RECY 1</v>
          </cell>
        </row>
        <row r="11980">
          <cell r="H11980" t="str">
            <v>SL095.0G1M001WREC</v>
          </cell>
          <cell r="I11980" t="str">
            <v>95 GL 1X MO W/RECY 1</v>
          </cell>
        </row>
        <row r="11981">
          <cell r="H11981" t="str">
            <v>SL095.0G1W001WREC</v>
          </cell>
          <cell r="I11981" t="str">
            <v>95 GL 1X WK W/RECY 1</v>
          </cell>
        </row>
        <row r="11982">
          <cell r="H11982" t="str">
            <v>TIME-RES</v>
          </cell>
          <cell r="I11982" t="str">
            <v>TIME FEE 1 - RES</v>
          </cell>
        </row>
        <row r="11983">
          <cell r="H11983" t="str">
            <v>UNRETURN-RES</v>
          </cell>
          <cell r="I11983" t="str">
            <v xml:space="preserve">CONTAINER UNRETURNED FEE </v>
          </cell>
        </row>
        <row r="11984">
          <cell r="H11984" t="str">
            <v>DRIVEIN-RES</v>
          </cell>
          <cell r="I11984" t="str">
            <v>DRIVE IN SERVICE - RES</v>
          </cell>
        </row>
        <row r="11985">
          <cell r="H11985" t="str">
            <v>EMPLOYEER</v>
          </cell>
          <cell r="I11985" t="str">
            <v>EMPLOYEE SERVICE RES</v>
          </cell>
        </row>
        <row r="11986">
          <cell r="H11986" t="str">
            <v>GWRES</v>
          </cell>
          <cell r="I11986" t="str">
            <v>GREENWASTE SERVICE - RES</v>
          </cell>
        </row>
        <row r="11987">
          <cell r="H11987" t="str">
            <v>SL035.0G1W001WREC</v>
          </cell>
          <cell r="I11987" t="str">
            <v>35 GL 1X WK W/ RECY 1</v>
          </cell>
        </row>
        <row r="11988">
          <cell r="H11988" t="str">
            <v>SL095.0G1W001WREC</v>
          </cell>
          <cell r="I11988" t="str">
            <v>95 GL 1X WK W/RECY 1</v>
          </cell>
        </row>
        <row r="11989">
          <cell r="H11989" t="str">
            <v>BULKY-RES</v>
          </cell>
          <cell r="I11989" t="str">
            <v>BULKY ITEM PICK UP - RES</v>
          </cell>
        </row>
        <row r="11990">
          <cell r="H11990" t="str">
            <v>DISP-RES</v>
          </cell>
          <cell r="I11990" t="str">
            <v>DISPOSAL FEE -RES</v>
          </cell>
        </row>
        <row r="11991">
          <cell r="H11991" t="str">
            <v>DISPCMGL-RES</v>
          </cell>
          <cell r="I11991" t="str">
            <v>DISPOSAL COMINGLE - RES</v>
          </cell>
        </row>
        <row r="11992">
          <cell r="H11992" t="str">
            <v>DISPFEDMSW-RES</v>
          </cell>
          <cell r="I11992" t="str">
            <v>DISPOSAL FEDERAL MSW - RE</v>
          </cell>
        </row>
        <row r="11993">
          <cell r="H11993" t="str">
            <v>DISPGW-RES</v>
          </cell>
          <cell r="I11993" t="str">
            <v>DISPOSAL FEE GREENWASTE -</v>
          </cell>
        </row>
        <row r="11994">
          <cell r="H11994" t="str">
            <v>EP96GWC-RES</v>
          </cell>
          <cell r="I11994" t="str">
            <v>EXTRA PICK UP 96 GW - RES</v>
          </cell>
        </row>
        <row r="11995">
          <cell r="H11995" t="str">
            <v>EXTRAGWC-RES</v>
          </cell>
          <cell r="I11995" t="str">
            <v>EXTRA GREENWASTE FEE - RE</v>
          </cell>
        </row>
        <row r="11996">
          <cell r="H11996" t="str">
            <v>OW-RES</v>
          </cell>
          <cell r="I11996" t="str">
            <v>OVERFILL / OVERWEIGHT CAN</v>
          </cell>
        </row>
        <row r="11997">
          <cell r="H11997" t="str">
            <v>RECPROGADJ-RES</v>
          </cell>
          <cell r="I11997" t="str">
            <v>RECYCLING PROGRAM ADJUSTM</v>
          </cell>
        </row>
        <row r="11998">
          <cell r="H11998" t="str">
            <v>RECVALRES</v>
          </cell>
          <cell r="I11998" t="str">
            <v>RECYCLABLES VALUE - RES</v>
          </cell>
        </row>
        <row r="11999">
          <cell r="H11999" t="str">
            <v>REINSTATE-RES</v>
          </cell>
          <cell r="I11999" t="str">
            <v>REINSTATE FEE - RES</v>
          </cell>
        </row>
        <row r="12000">
          <cell r="H12000" t="str">
            <v>SL035.0G1W001WREC</v>
          </cell>
          <cell r="I12000" t="str">
            <v>35 GL 1X WK W/ RECY 1</v>
          </cell>
        </row>
        <row r="12001">
          <cell r="H12001" t="str">
            <v>DISP-RES</v>
          </cell>
          <cell r="I12001" t="str">
            <v>DISPOSAL FEE -RES</v>
          </cell>
        </row>
        <row r="12002">
          <cell r="H12002" t="str">
            <v>DISPCMGL-RES</v>
          </cell>
          <cell r="I12002" t="str">
            <v>DISPOSAL COMINGLE - RES</v>
          </cell>
        </row>
        <row r="12003">
          <cell r="H12003" t="str">
            <v>DISPGW-RES</v>
          </cell>
          <cell r="I12003" t="str">
            <v>DISPOSAL FEE GREENWASTE -</v>
          </cell>
        </row>
        <row r="12004">
          <cell r="H12004" t="str">
            <v>HAUL20-RO</v>
          </cell>
          <cell r="I12004" t="str">
            <v>HAUL 20 YD - RO</v>
          </cell>
        </row>
        <row r="12005">
          <cell r="H12005" t="str">
            <v>HAUL20TEMP-RO</v>
          </cell>
          <cell r="I12005" t="str">
            <v>HAUL 20 YD TEMP - RO</v>
          </cell>
        </row>
        <row r="12006">
          <cell r="H12006" t="str">
            <v>LIDRO</v>
          </cell>
          <cell r="I12006" t="str">
            <v>LID CHARGE - RO</v>
          </cell>
        </row>
        <row r="12007">
          <cell r="H12007" t="str">
            <v>RENT10MO-RO</v>
          </cell>
          <cell r="I12007" t="str">
            <v>RENTAL FEE 10 YD MONTHLY</v>
          </cell>
        </row>
        <row r="12008">
          <cell r="H12008" t="str">
            <v>RENT20MO-RO</v>
          </cell>
          <cell r="I12008" t="str">
            <v>RENTAL FEE 20 YD MONTHLY</v>
          </cell>
        </row>
        <row r="12009">
          <cell r="H12009" t="str">
            <v>RENT20TEMP-RO</v>
          </cell>
          <cell r="I12009" t="str">
            <v>RENTAL FEE 20 YD TEMP - R</v>
          </cell>
        </row>
        <row r="12010">
          <cell r="H12010" t="str">
            <v>RENT30MO-RO</v>
          </cell>
          <cell r="I12010" t="str">
            <v>RENTAL FEE 30 YD MONTHLY</v>
          </cell>
        </row>
        <row r="12011">
          <cell r="H12011" t="str">
            <v>RENT40MO-RO</v>
          </cell>
          <cell r="I12011" t="str">
            <v>RENTAL FEE 40 YD MONTHLY</v>
          </cell>
        </row>
        <row r="12012">
          <cell r="H12012" t="str">
            <v>ADJTAX-RO</v>
          </cell>
          <cell r="I12012" t="str">
            <v>ADJUSTMENT TAX - RO</v>
          </cell>
        </row>
        <row r="12013">
          <cell r="H12013" t="str">
            <v>DEL20-RO</v>
          </cell>
          <cell r="I12013" t="str">
            <v>DELIVERY FEE 20 YD - RO</v>
          </cell>
        </row>
        <row r="12014">
          <cell r="H12014" t="str">
            <v>DEL20TEMP-RO</v>
          </cell>
          <cell r="I12014" t="str">
            <v>DELIVERY FEE 20 YD TEMP -</v>
          </cell>
        </row>
        <row r="12015">
          <cell r="H12015" t="str">
            <v>DEL30-RO</v>
          </cell>
          <cell r="I12015" t="str">
            <v>DELIVERY FEE 30 YD - RO</v>
          </cell>
        </row>
        <row r="12016">
          <cell r="H12016" t="str">
            <v>DEL30TEMP-RO</v>
          </cell>
          <cell r="I12016" t="str">
            <v>DELIVERY FEE 30 YD TEMP -</v>
          </cell>
        </row>
        <row r="12017">
          <cell r="H12017" t="str">
            <v>DEL40-RO</v>
          </cell>
          <cell r="I12017" t="str">
            <v>DELIVERY FEE 40 YD - RO</v>
          </cell>
        </row>
        <row r="12018">
          <cell r="H12018" t="str">
            <v>DEL40TEMP-RO</v>
          </cell>
          <cell r="I12018" t="str">
            <v>DELIVERY FEE 40 YD TEMP -</v>
          </cell>
        </row>
        <row r="12019">
          <cell r="H12019" t="str">
            <v>DISCO-CP</v>
          </cell>
          <cell r="I12019" t="str">
            <v xml:space="preserve">COMPACTOR DISCONNECT FEE </v>
          </cell>
        </row>
        <row r="12020">
          <cell r="H12020" t="str">
            <v>DISP-DONATION</v>
          </cell>
          <cell r="I12020" t="str">
            <v>DONATED DISPOSAL</v>
          </cell>
        </row>
        <row r="12021">
          <cell r="H12021" t="str">
            <v>DISP-RO</v>
          </cell>
          <cell r="I12021" t="str">
            <v>DISPOSAL CHARGE - RO</v>
          </cell>
        </row>
        <row r="12022">
          <cell r="H12022" t="str">
            <v>DISPCMGL-RO</v>
          </cell>
          <cell r="I12022" t="str">
            <v xml:space="preserve">DISPOSAL FEE COMMINGLE - </v>
          </cell>
        </row>
        <row r="12023">
          <cell r="H12023" t="str">
            <v>DISPTOTERS-RO</v>
          </cell>
          <cell r="I12023" t="str">
            <v>DISPOSAL FEE TOTERS</v>
          </cell>
        </row>
        <row r="12024">
          <cell r="H12024" t="str">
            <v>DISPTRANS-RO</v>
          </cell>
          <cell r="I12024" t="str">
            <v>DISPOSAL FEE TRANSFER HAU</v>
          </cell>
        </row>
        <row r="12025">
          <cell r="H12025" t="str">
            <v>EXWGHT-RO</v>
          </cell>
          <cell r="I12025" t="str">
            <v>EXCESS WEIGHT - RO</v>
          </cell>
        </row>
        <row r="12026">
          <cell r="H12026" t="str">
            <v>FERRY-RO</v>
          </cell>
          <cell r="I12026" t="str">
            <v>FERRY FEE - RO</v>
          </cell>
        </row>
        <row r="12027">
          <cell r="H12027" t="str">
            <v>FINAL20-RO</v>
          </cell>
          <cell r="I12027" t="str">
            <v>FINAL PULL 20 YD - RO</v>
          </cell>
        </row>
        <row r="12028">
          <cell r="H12028" t="str">
            <v>FINAL20TEMP-RO</v>
          </cell>
          <cell r="I12028" t="str">
            <v>FINAL PULL 20 YD TEMP - R</v>
          </cell>
        </row>
        <row r="12029">
          <cell r="H12029" t="str">
            <v>FINAL30-RO</v>
          </cell>
          <cell r="I12029" t="str">
            <v>FINAL PULL 30 YD - RO</v>
          </cell>
        </row>
        <row r="12030">
          <cell r="H12030" t="str">
            <v>FINAL30TEMP-RO</v>
          </cell>
          <cell r="I12030" t="str">
            <v>FINAL PULL 30 YD TEMP - R</v>
          </cell>
        </row>
        <row r="12031">
          <cell r="H12031" t="str">
            <v>FINAL40-RO</v>
          </cell>
          <cell r="I12031" t="str">
            <v>FINAL PULL 40 YD - RO</v>
          </cell>
        </row>
        <row r="12032">
          <cell r="H12032" t="str">
            <v>FINAL40TEMP-RO</v>
          </cell>
          <cell r="I12032" t="str">
            <v>FINAL PULL 40 YD TEMP - R</v>
          </cell>
        </row>
        <row r="12033">
          <cell r="H12033" t="str">
            <v>HAUL10-CP</v>
          </cell>
          <cell r="I12033" t="str">
            <v>COMPACTOR HAUL 10 YD - RO</v>
          </cell>
        </row>
        <row r="12034">
          <cell r="H12034" t="str">
            <v>HAUL10-RO</v>
          </cell>
          <cell r="I12034" t="str">
            <v>HAUL 10 YD - RO</v>
          </cell>
        </row>
        <row r="12035">
          <cell r="H12035" t="str">
            <v>HAUL20-CP</v>
          </cell>
          <cell r="I12035" t="str">
            <v>COMPACTOR HAUL 20 YD - RO</v>
          </cell>
        </row>
        <row r="12036">
          <cell r="H12036" t="str">
            <v>HAUL20-RO</v>
          </cell>
          <cell r="I12036" t="str">
            <v>HAUL 20 YD - RO</v>
          </cell>
        </row>
        <row r="12037">
          <cell r="H12037" t="str">
            <v>HAUL20CUST-RO</v>
          </cell>
          <cell r="I12037" t="str">
            <v>HAUL 20 YD CUST - RO</v>
          </cell>
        </row>
        <row r="12038">
          <cell r="H12038" t="str">
            <v>HAUL20TEMP-RO</v>
          </cell>
          <cell r="I12038" t="str">
            <v>HAUL 20 YD TEMP - RO</v>
          </cell>
        </row>
        <row r="12039">
          <cell r="H12039" t="str">
            <v>HAUL25-CP</v>
          </cell>
          <cell r="I12039" t="str">
            <v>COMPACTOR HAUL 25 YD - RO</v>
          </cell>
        </row>
        <row r="12040">
          <cell r="H12040" t="str">
            <v>HAUL30-CP</v>
          </cell>
          <cell r="I12040" t="str">
            <v>COMPACTOR HAUL 30 YD</v>
          </cell>
        </row>
        <row r="12041">
          <cell r="H12041" t="str">
            <v>HAUL30-RO</v>
          </cell>
          <cell r="I12041" t="str">
            <v>HAUL 30 YD - RO</v>
          </cell>
        </row>
        <row r="12042">
          <cell r="H12042" t="str">
            <v>HAUL30TEMP-RO</v>
          </cell>
          <cell r="I12042" t="str">
            <v>HAUL 30 YD TEMP - RO</v>
          </cell>
        </row>
        <row r="12043">
          <cell r="H12043" t="str">
            <v>HAUL40-CP</v>
          </cell>
          <cell r="I12043" t="str">
            <v>COMPACTOR HAUL 40 YD</v>
          </cell>
        </row>
        <row r="12044">
          <cell r="H12044" t="str">
            <v>HAUL40-RO</v>
          </cell>
          <cell r="I12044" t="str">
            <v>HAUL 40 YD - RO</v>
          </cell>
        </row>
        <row r="12045">
          <cell r="H12045" t="str">
            <v>HAUL40TEMP-RO</v>
          </cell>
          <cell r="I12045" t="str">
            <v>HAUL 40 YD TEMP - RO</v>
          </cell>
        </row>
        <row r="12046">
          <cell r="H12046" t="str">
            <v>MILE-RO</v>
          </cell>
          <cell r="I12046" t="str">
            <v>MILEAGE FEE - RO</v>
          </cell>
        </row>
        <row r="12047">
          <cell r="H12047" t="str">
            <v>RENT20TEMP-RO</v>
          </cell>
          <cell r="I12047" t="str">
            <v>RENTAL FEE 20 YD TEMP - R</v>
          </cell>
        </row>
        <row r="12048">
          <cell r="H12048" t="str">
            <v>RENT30TEMP-RO</v>
          </cell>
          <cell r="I12048" t="str">
            <v>RENTAL FEE 30 YD TEMP - R</v>
          </cell>
        </row>
        <row r="12049">
          <cell r="H12049" t="str">
            <v>RENT40TEMP-RO</v>
          </cell>
          <cell r="I12049" t="str">
            <v>RENTAL FEE 40 YD TEMP - R</v>
          </cell>
        </row>
        <row r="12050">
          <cell r="H12050" t="str">
            <v>RTRNTRIP-RO</v>
          </cell>
          <cell r="I12050" t="str">
            <v>RETURN TRIP FEE - RO</v>
          </cell>
        </row>
        <row r="12051">
          <cell r="H12051" t="str">
            <v>TIME-RO</v>
          </cell>
          <cell r="I12051" t="str">
            <v>TIME FEE - RO</v>
          </cell>
        </row>
        <row r="12052">
          <cell r="H12052" t="str">
            <v>DEL20TEMP-RO</v>
          </cell>
          <cell r="I12052" t="str">
            <v>DELIVERY FEE 20 YD TEMP -</v>
          </cell>
        </row>
        <row r="12053">
          <cell r="H12053" t="str">
            <v>DEL30TEMP-RO</v>
          </cell>
          <cell r="I12053" t="str">
            <v>DELIVERY FEE 30 YD TEMP -</v>
          </cell>
        </row>
        <row r="12054">
          <cell r="H12054" t="str">
            <v>DISP-RO</v>
          </cell>
          <cell r="I12054" t="str">
            <v>DISPOSAL CHARGE - RO</v>
          </cell>
        </row>
        <row r="12055">
          <cell r="H12055" t="str">
            <v>FINAL20TEMP-RO</v>
          </cell>
          <cell r="I12055" t="str">
            <v>FINAL PULL 20 YD TEMP - R</v>
          </cell>
        </row>
        <row r="12056">
          <cell r="H12056" t="str">
            <v>RENT20TEMP-RO</v>
          </cell>
          <cell r="I12056" t="str">
            <v>RENTAL FEE 20 YD TEMP - R</v>
          </cell>
        </row>
        <row r="12057">
          <cell r="H12057" t="str">
            <v>RENT30TEMP-RO</v>
          </cell>
          <cell r="I12057" t="str">
            <v>RENTAL FEE 30 YD TEMP - R</v>
          </cell>
        </row>
        <row r="12058">
          <cell r="H12058" t="str">
            <v>COMMODITY SURCHARGE</v>
          </cell>
          <cell r="I12058" t="str">
            <v>COMMODITY SURCHARGE</v>
          </cell>
        </row>
        <row r="12059">
          <cell r="H12059" t="str">
            <v>COMMODITY SURCHARGE</v>
          </cell>
          <cell r="I12059" t="str">
            <v>COMMODITY SURCHARGE</v>
          </cell>
        </row>
        <row r="12060">
          <cell r="H12060" t="str">
            <v>COMMODITY SURCHARGE</v>
          </cell>
          <cell r="I12060" t="str">
            <v>COMMODITY SURCHARGE</v>
          </cell>
        </row>
        <row r="12061">
          <cell r="H12061" t="str">
            <v xml:space="preserve">PIERCE COUNTY REFUSE </v>
          </cell>
          <cell r="I12061" t="str">
            <v>3.6% PIERCE COUNTY REFUSE</v>
          </cell>
        </row>
        <row r="12062">
          <cell r="H12062" t="str">
            <v xml:space="preserve">PIERCE COUNTY REFUSE  </v>
          </cell>
          <cell r="I12062" t="str">
            <v>3.6% PIERCE COUNTY REFUSE</v>
          </cell>
        </row>
        <row r="12063">
          <cell r="H12063" t="str">
            <v>PIERCE REFUSE TAX</v>
          </cell>
          <cell r="I12063" t="str">
            <v>3.6% WA STATE REFUSE TAX</v>
          </cell>
        </row>
        <row r="12064">
          <cell r="H12064" t="str">
            <v xml:space="preserve">PIERCE COUNTY REFUSE </v>
          </cell>
          <cell r="I12064" t="str">
            <v>3.6% PIERCE COUNTY REFUSE</v>
          </cell>
        </row>
        <row r="12065">
          <cell r="H12065" t="str">
            <v xml:space="preserve">PIERCE COUNTY REFUSE  </v>
          </cell>
          <cell r="I12065" t="str">
            <v>3.6% PIERCE COUNTY REFUSE</v>
          </cell>
        </row>
        <row r="12066">
          <cell r="H12066" t="str">
            <v>PIERCE COUNTY REFUSE</v>
          </cell>
          <cell r="I12066" t="str">
            <v>3.6% PIERCE COUNTY REFUSE</v>
          </cell>
        </row>
        <row r="12067">
          <cell r="H12067" t="str">
            <v>PIERCE COUNTY SALES 7.9%</v>
          </cell>
          <cell r="I12067" t="str">
            <v>7.9% WA STATE SALES TAX</v>
          </cell>
        </row>
        <row r="12068">
          <cell r="H12068" t="str">
            <v>PIERCE COUNTY SALES 9.3%</v>
          </cell>
          <cell r="I12068" t="str">
            <v>9.3% WA STATE SALES TAX</v>
          </cell>
        </row>
        <row r="12069">
          <cell r="H12069" t="str">
            <v>PIERCE REFUSE TAX</v>
          </cell>
          <cell r="I12069" t="str">
            <v>3.6% WA STATE REFUSE TAX</v>
          </cell>
        </row>
        <row r="12070">
          <cell r="H12070" t="str">
            <v>PIERCE STATE SALES TAX</v>
          </cell>
          <cell r="I12070" t="str">
            <v>9.9% WA STATE SALES TAX</v>
          </cell>
        </row>
        <row r="12071">
          <cell r="H12071" t="str">
            <v>PIERCE REFUSE TAX</v>
          </cell>
          <cell r="I12071" t="str">
            <v>3.6% WA STATE REFUSE TAX</v>
          </cell>
        </row>
        <row r="12072">
          <cell r="H12072" t="str">
            <v>PIERCE STATE SALES TAX</v>
          </cell>
          <cell r="I12072" t="str">
            <v>9.9% WA STATE SALES TAX</v>
          </cell>
        </row>
        <row r="12073">
          <cell r="H12073" t="str">
            <v xml:space="preserve">PIERCE COUNTY REFUSE </v>
          </cell>
          <cell r="I12073" t="str">
            <v>3.6% PIERCE COUNTY REFUSE</v>
          </cell>
        </row>
        <row r="12074">
          <cell r="H12074" t="str">
            <v>PIERCE COUNTY REFUSE</v>
          </cell>
          <cell r="I12074" t="str">
            <v>3.6% PIERCE COUNTY REFUSE</v>
          </cell>
        </row>
        <row r="12075">
          <cell r="H12075" t="str">
            <v xml:space="preserve">PIERCE COUNTY REFUSE  </v>
          </cell>
          <cell r="I12075" t="str">
            <v>3.6% PIERCE COUNTY REFUSE</v>
          </cell>
        </row>
        <row r="12076">
          <cell r="H12076" t="str">
            <v>PIERCE REFUSE TAX</v>
          </cell>
          <cell r="I12076" t="str">
            <v>3.6% WA STATE REFUSE TAX</v>
          </cell>
        </row>
        <row r="12077">
          <cell r="H12077" t="str">
            <v xml:space="preserve">PIERCE COUNTY REFUSE  </v>
          </cell>
          <cell r="I12077" t="str">
            <v>3.6% PIERCE COUNTY REFUSE</v>
          </cell>
        </row>
        <row r="12078">
          <cell r="H12078" t="str">
            <v>FT LEWIS REFUSE TAX</v>
          </cell>
          <cell r="I12078" t="str">
            <v>3.6% WA STATE REFUSE TAX</v>
          </cell>
        </row>
        <row r="12079">
          <cell r="H12079" t="str">
            <v>LAKEWOOD CITY UTILITY TAX</v>
          </cell>
          <cell r="I12079" t="str">
            <v>6% CITY UTILITY TAX</v>
          </cell>
        </row>
        <row r="12080">
          <cell r="H12080" t="str">
            <v>LAKEWOOD REFUSE TAX</v>
          </cell>
          <cell r="I12080" t="str">
            <v>3.6% WA STATE REFUSE TAX</v>
          </cell>
        </row>
        <row r="12081">
          <cell r="H12081" t="str">
            <v>PIERCE COUNTY REFUSE</v>
          </cell>
          <cell r="I12081" t="str">
            <v>3.6% PIERCE COUNTY REFUSE</v>
          </cell>
        </row>
        <row r="12082">
          <cell r="H12082" t="str">
            <v xml:space="preserve">PIERCE COUNTY REFUSE  </v>
          </cell>
          <cell r="I12082" t="str">
            <v>3.6% PIERCE COUNTY REFUSE</v>
          </cell>
        </row>
        <row r="12083">
          <cell r="H12083" t="str">
            <v xml:space="preserve">PIERCE COUNTY REFUSE </v>
          </cell>
          <cell r="I12083" t="str">
            <v>3.6% PIERCE COUNTY REFUSE</v>
          </cell>
        </row>
        <row r="12084">
          <cell r="H12084" t="str">
            <v>PIERCE REFUSE TAX</v>
          </cell>
          <cell r="I12084" t="str">
            <v>3.6% WA STATE REFUSE TAX</v>
          </cell>
        </row>
        <row r="12085">
          <cell r="H12085" t="str">
            <v xml:space="preserve">PIERCE COUNTY REFUSE  </v>
          </cell>
          <cell r="I12085" t="str">
            <v>3.6% PIERCE COUNTY REFUSE</v>
          </cell>
        </row>
        <row r="12086">
          <cell r="H12086" t="str">
            <v>PIERCE COUNTY REFUSE</v>
          </cell>
          <cell r="I12086" t="str">
            <v>3.6% PIERCE COUNTY REFUSE</v>
          </cell>
        </row>
        <row r="12087">
          <cell r="H12087" t="str">
            <v xml:space="preserve">PIERCE COUNTY REFUSE </v>
          </cell>
          <cell r="I12087" t="str">
            <v>3.6% PIERCE COUNTY REFUSE</v>
          </cell>
        </row>
        <row r="12088">
          <cell r="H12088" t="str">
            <v>PIERCE REFUSE TAX</v>
          </cell>
          <cell r="I12088" t="str">
            <v>3.6% WA STATE REFUSE TAX</v>
          </cell>
        </row>
        <row r="12089">
          <cell r="H12089" t="str">
            <v xml:space="preserve">PIERCE COUNTY REFUSE  </v>
          </cell>
          <cell r="I12089" t="str">
            <v>3.6% PIERCE COUNTY REFUSE</v>
          </cell>
        </row>
        <row r="12090">
          <cell r="H12090" t="str">
            <v xml:space="preserve">PIERCE COUNTY REFUSE </v>
          </cell>
          <cell r="I12090" t="str">
            <v>3.6% PIERCE COUNTY REFUSE</v>
          </cell>
        </row>
        <row r="12091">
          <cell r="H12091" t="str">
            <v>PIERCE COUNTY SALES 7.9%</v>
          </cell>
          <cell r="I12091" t="str">
            <v>7.9% WA STATE SALES TAX</v>
          </cell>
        </row>
        <row r="12092">
          <cell r="H12092" t="str">
            <v>PIERCE COUNTY SALES 8.0%</v>
          </cell>
          <cell r="I12092" t="str">
            <v>8.0% WA STATE SALES TAX</v>
          </cell>
        </row>
        <row r="12093">
          <cell r="H12093" t="str">
            <v>PIERCE COUNTY SALES 9.3%</v>
          </cell>
          <cell r="I12093" t="str">
            <v>9.3% WA STATE SALES TAX</v>
          </cell>
        </row>
        <row r="12094">
          <cell r="H12094" t="str">
            <v>PIERCE REFUSE TAX</v>
          </cell>
          <cell r="I12094" t="str">
            <v>3.6% WA STATE REFUSE TAX</v>
          </cell>
        </row>
        <row r="12095">
          <cell r="H12095" t="str">
            <v>PIERCE STATE SALES TAX</v>
          </cell>
          <cell r="I12095" t="str">
            <v>9.9% WA STATE SALES TAX</v>
          </cell>
        </row>
        <row r="12096">
          <cell r="H12096" t="str">
            <v xml:space="preserve">PIERCE COUNTY REFUSE  </v>
          </cell>
          <cell r="I12096" t="str">
            <v>3.6% PIERCE COUNTY REFUSE</v>
          </cell>
        </row>
        <row r="12097">
          <cell r="H12097" t="str">
            <v>PIERCE COUNTY SALES 7.9%</v>
          </cell>
          <cell r="I12097" t="str">
            <v>7.9% WA STATE SALES TAX</v>
          </cell>
        </row>
        <row r="12098">
          <cell r="H12098" t="str">
            <v>PIERCE COUNTY SALES 9.3%</v>
          </cell>
          <cell r="I12098" t="str">
            <v>9.3% WA STATE SALES TAX</v>
          </cell>
        </row>
        <row r="12099">
          <cell r="H12099" t="str">
            <v>PIERCE REFUSE TAX</v>
          </cell>
          <cell r="I12099" t="str">
            <v>3.6% WA STATE REFUSE TAX</v>
          </cell>
        </row>
        <row r="12100">
          <cell r="H12100" t="str">
            <v>PIERCE STATE SALES TAX</v>
          </cell>
          <cell r="I12100" t="str">
            <v>9.9% WA STATE SALES TAX</v>
          </cell>
        </row>
        <row r="12101">
          <cell r="H12101" t="str">
            <v>FINCHG</v>
          </cell>
          <cell r="I12101" t="str">
            <v>LATE FEE</v>
          </cell>
        </row>
        <row r="12102">
          <cell r="H12102" t="str">
            <v>BD</v>
          </cell>
          <cell r="I12102" t="str">
            <v>BAD DEBT WRITE OFF</v>
          </cell>
        </row>
        <row r="12103">
          <cell r="H12103" t="str">
            <v>BDR</v>
          </cell>
          <cell r="I12103" t="str">
            <v>BAD DEBT RECOVERY</v>
          </cell>
        </row>
        <row r="12104">
          <cell r="H12104" t="str">
            <v>COLLFEE</v>
          </cell>
          <cell r="I12104" t="str">
            <v>COLLECTION AGENCY FEE</v>
          </cell>
        </row>
        <row r="12105">
          <cell r="H12105" t="str">
            <v>FINCHG</v>
          </cell>
          <cell r="I12105" t="str">
            <v>LATE FEE</v>
          </cell>
        </row>
        <row r="12106">
          <cell r="H12106" t="str">
            <v>MM</v>
          </cell>
          <cell r="I12106" t="str">
            <v>ADJUST BALANCE (MM)</v>
          </cell>
        </row>
        <row r="12107">
          <cell r="H12107" t="str">
            <v>REFUND</v>
          </cell>
          <cell r="I12107" t="str">
            <v>REFUND</v>
          </cell>
        </row>
        <row r="12108">
          <cell r="H12108" t="str">
            <v>RETCKC</v>
          </cell>
          <cell r="I12108" t="str">
            <v>RETURN CHECK CHARGE</v>
          </cell>
        </row>
        <row r="12109">
          <cell r="H12109" t="str">
            <v>ACCESS-COMM</v>
          </cell>
          <cell r="I12109" t="str">
            <v>ACCESS FEE - COMM</v>
          </cell>
        </row>
        <row r="12110">
          <cell r="H12110" t="str">
            <v>DONATIONC</v>
          </cell>
          <cell r="I12110" t="str">
            <v>DONATED SERVICE COMM</v>
          </cell>
        </row>
        <row r="12111">
          <cell r="H12111" t="str">
            <v>DRIVEIN1-COMM</v>
          </cell>
          <cell r="I12111" t="str">
            <v>DRIVE IN 125-250' - COMM</v>
          </cell>
        </row>
        <row r="12112">
          <cell r="H12112" t="str">
            <v>FL001.0Y1W001</v>
          </cell>
          <cell r="I12112" t="str">
            <v>1 YD 1X WK 1</v>
          </cell>
        </row>
        <row r="12113">
          <cell r="H12113" t="str">
            <v>FL001.0Y1W001MF</v>
          </cell>
          <cell r="I12113" t="str">
            <v>1 YD 1X WK MULTI-FAMILY 1</v>
          </cell>
        </row>
        <row r="12114">
          <cell r="H12114" t="str">
            <v>FL001.5Y1W001</v>
          </cell>
          <cell r="I12114" t="str">
            <v>1.5 YD 1X WK 1</v>
          </cell>
        </row>
        <row r="12115">
          <cell r="H12115" t="str">
            <v>FL001.5Y1W001MF</v>
          </cell>
          <cell r="I12115" t="str">
            <v>1.5 YD 1X WK MULTI-FAMILY 1</v>
          </cell>
        </row>
        <row r="12116">
          <cell r="H12116" t="str">
            <v>FL001.5Y2W001</v>
          </cell>
          <cell r="I12116" t="str">
            <v>1.5 YD 2X WK 1</v>
          </cell>
        </row>
        <row r="12117">
          <cell r="H12117" t="str">
            <v>FL001.5Y2W001MF</v>
          </cell>
          <cell r="I12117" t="str">
            <v>1.5 YD 2X WK MULTI-FAMILY 1</v>
          </cell>
        </row>
        <row r="12118">
          <cell r="H12118" t="str">
            <v>FL002.0Y1W001</v>
          </cell>
          <cell r="I12118" t="str">
            <v>2 YD 1X WK 1</v>
          </cell>
        </row>
        <row r="12119">
          <cell r="H12119" t="str">
            <v>FL002.0Y1W001MF</v>
          </cell>
          <cell r="I12119" t="str">
            <v>2 YD 1X WK MULTI-FAMILY 1</v>
          </cell>
        </row>
        <row r="12120">
          <cell r="H12120" t="str">
            <v>FL002.0Y2W001</v>
          </cell>
          <cell r="I12120" t="str">
            <v>2 YD 2X WK 1</v>
          </cell>
        </row>
        <row r="12121">
          <cell r="H12121" t="str">
            <v>FL002.0Y2W001MF</v>
          </cell>
          <cell r="I12121" t="str">
            <v>2 YD 2X WK MULTI-FAMILY 1</v>
          </cell>
        </row>
        <row r="12122">
          <cell r="H12122" t="str">
            <v>FL003.0Y1W001MF</v>
          </cell>
          <cell r="I12122" t="str">
            <v>3 YD 1X WK MULTI-FAMILY 1</v>
          </cell>
        </row>
        <row r="12123">
          <cell r="H12123" t="str">
            <v>FL004.0Y1W001</v>
          </cell>
          <cell r="I12123" t="str">
            <v>4 YD 1X WK 1</v>
          </cell>
        </row>
        <row r="12124">
          <cell r="H12124" t="str">
            <v>FL004.0Y1W001MF</v>
          </cell>
          <cell r="I12124" t="str">
            <v>4 YD 1X WK MULTI-FAMILY 1</v>
          </cell>
        </row>
        <row r="12125">
          <cell r="H12125" t="str">
            <v>FL004.0Y2W001MF</v>
          </cell>
          <cell r="I12125" t="str">
            <v>4 YD 2X WK MULTI-FAMILY 1</v>
          </cell>
        </row>
        <row r="12126">
          <cell r="H12126" t="str">
            <v>FL006.0Y1W001</v>
          </cell>
          <cell r="I12126" t="str">
            <v>6 YD 1X WK 1</v>
          </cell>
        </row>
        <row r="12127">
          <cell r="H12127" t="str">
            <v>FL006.0Y1W001MF</v>
          </cell>
          <cell r="I12127" t="str">
            <v>6 YD 1X WK MULTI-FAMILY 1</v>
          </cell>
        </row>
        <row r="12128">
          <cell r="H12128" t="str">
            <v>FL006.0Y2W001</v>
          </cell>
          <cell r="I12128" t="str">
            <v>6 YD 2X WK 1</v>
          </cell>
        </row>
        <row r="12129">
          <cell r="H12129" t="str">
            <v>GWCOMM</v>
          </cell>
          <cell r="I12129" t="str">
            <v>GREENWASTE SERVICE - COMM</v>
          </cell>
        </row>
        <row r="12130">
          <cell r="H12130" t="str">
            <v>RL032.0G1W002WRECC</v>
          </cell>
          <cell r="I12130" t="str">
            <v>32 GL 1X WK W/RECY COMM 2</v>
          </cell>
        </row>
        <row r="12131">
          <cell r="H12131" t="str">
            <v>RL032.0G1W006WRECC</v>
          </cell>
          <cell r="I12131" t="str">
            <v>32 GL 1X WK W/RECY COMM 6</v>
          </cell>
        </row>
        <row r="12132">
          <cell r="H12132" t="str">
            <v>RL035.0G1W001WRECC</v>
          </cell>
          <cell r="I12132" t="str">
            <v>35 GL 1X WK W/RECY COMM 1</v>
          </cell>
        </row>
        <row r="12133">
          <cell r="H12133" t="str">
            <v>SL035.0G1W001WRECC</v>
          </cell>
          <cell r="I12133" t="str">
            <v>35 GL 1X WK W/RECY COMM 1</v>
          </cell>
        </row>
        <row r="12134">
          <cell r="H12134" t="str">
            <v>SL065.0G1W001WRECC</v>
          </cell>
          <cell r="I12134" t="str">
            <v>65 GL 1X WK W/RECY COMM 1</v>
          </cell>
        </row>
        <row r="12135">
          <cell r="H12135" t="str">
            <v>SL065.0GEO001WRECC</v>
          </cell>
          <cell r="I12135" t="str">
            <v>65 GL EOW W/RECY COMM 1</v>
          </cell>
        </row>
        <row r="12136">
          <cell r="H12136" t="str">
            <v>SL095.0G1W001WRECC</v>
          </cell>
          <cell r="I12136" t="str">
            <v>95 GL 1X WK W/RECY COMM 1</v>
          </cell>
        </row>
        <row r="12137">
          <cell r="H12137" t="str">
            <v>SL095.0GEO001WRECC</v>
          </cell>
          <cell r="I12137" t="str">
            <v>95 GL EOW W/RECY COMM 1</v>
          </cell>
        </row>
        <row r="12138">
          <cell r="H12138" t="str">
            <v>WI1-COMM</v>
          </cell>
          <cell r="I12138" t="str">
            <v>WALK IN 6-25' - COMM</v>
          </cell>
        </row>
        <row r="12139">
          <cell r="H12139" t="str">
            <v>ACCESS-COMM</v>
          </cell>
          <cell r="I12139" t="str">
            <v>ACCESS FEE - COMM</v>
          </cell>
        </row>
        <row r="12140">
          <cell r="H12140" t="str">
            <v>BULKY-COMM</v>
          </cell>
          <cell r="I12140" t="str">
            <v>BULKY ITEM PICK UP - COMM</v>
          </cell>
        </row>
        <row r="12141">
          <cell r="H12141" t="str">
            <v>DEL2TEMP-COMM</v>
          </cell>
          <cell r="I12141" t="str">
            <v xml:space="preserve">DELIVERY FEE 2 YD TEMP - </v>
          </cell>
        </row>
        <row r="12142">
          <cell r="H12142" t="str">
            <v>EXTRA-COMM</v>
          </cell>
          <cell r="I12142" t="str">
            <v>EXTRA CAN, BAG, BOX - COM</v>
          </cell>
        </row>
        <row r="12143">
          <cell r="H12143" t="str">
            <v>FL001.5Y1W001MF</v>
          </cell>
          <cell r="I12143" t="str">
            <v>1.5 YD 1X WK MULTI-FAMILY 1</v>
          </cell>
        </row>
        <row r="12144">
          <cell r="H12144" t="str">
            <v>GWCOMM</v>
          </cell>
          <cell r="I12144" t="str">
            <v>GREENWASTE SERVICE - COMM</v>
          </cell>
        </row>
        <row r="12145">
          <cell r="H12145" t="str">
            <v>RENT1.5TEMP-COMM</v>
          </cell>
          <cell r="I12145" t="str">
            <v>RENT 1.5 YD TEMP - COMM</v>
          </cell>
        </row>
        <row r="12146">
          <cell r="H12146" t="str">
            <v>RENT2TEMP-COMM</v>
          </cell>
          <cell r="I12146" t="str">
            <v>RENT 2 YD TEMP - COMM</v>
          </cell>
        </row>
        <row r="12147">
          <cell r="H12147" t="str">
            <v>SP2-COMM</v>
          </cell>
          <cell r="I12147" t="str">
            <v>SPECIAL PICK UP 2 YD - CO</v>
          </cell>
        </row>
        <row r="12148">
          <cell r="H12148" t="str">
            <v>FL002.0Y1W001BCMGL</v>
          </cell>
          <cell r="I12148" t="str">
            <v>2 YD 1X WK BUS CMGL 1</v>
          </cell>
        </row>
        <row r="12149">
          <cell r="H12149" t="str">
            <v>FL002.0Y1W001BOCC</v>
          </cell>
          <cell r="I12149" t="str">
            <v>2 YD 1X WK BUS OCC 1</v>
          </cell>
        </row>
        <row r="12150">
          <cell r="H12150" t="str">
            <v>FL002.0Y1W001SCMGL</v>
          </cell>
          <cell r="I12150" t="str">
            <v>2 YD 1X WK SCHL CMGL 1</v>
          </cell>
        </row>
        <row r="12151">
          <cell r="H12151" t="str">
            <v>FL002.0Y2W001BCMGL</v>
          </cell>
          <cell r="I12151" t="str">
            <v>2 YD 2X WK BUS CMGL 1</v>
          </cell>
        </row>
        <row r="12152">
          <cell r="H12152" t="str">
            <v>FL004.0Y2W001CMGL</v>
          </cell>
          <cell r="I12152" t="str">
            <v>4 YD 2X WK BUS CMGL 1</v>
          </cell>
        </row>
        <row r="12153">
          <cell r="H12153" t="str">
            <v>FL006.0Y2W001BCMGL</v>
          </cell>
          <cell r="I12153" t="str">
            <v>6 YD 2X WK BUS COMINGLE 1</v>
          </cell>
        </row>
        <row r="12154">
          <cell r="H12154" t="str">
            <v>MFWBINS</v>
          </cell>
          <cell r="I12154" t="str">
            <v>MULTI-FAMILY REC UNIT W/B</v>
          </cell>
        </row>
        <row r="12155">
          <cell r="H12155" t="str">
            <v>SL096.0G1W001BCMGLOUT</v>
          </cell>
          <cell r="I12155" t="str">
            <v>96 GL WKLY BUS CMGL OUT</v>
          </cell>
        </row>
        <row r="12156">
          <cell r="H12156" t="str">
            <v>SL096.0G1W001SCMGLOUT</v>
          </cell>
          <cell r="I12156" t="str">
            <v>96 GL WKLY SCHL CMGL OUT</v>
          </cell>
        </row>
        <row r="12157">
          <cell r="H12157" t="str">
            <v>SL096.0GEO001BCMGLOUT</v>
          </cell>
          <cell r="I12157" t="str">
            <v>96 GL EOW BUS CMGL OUT</v>
          </cell>
        </row>
        <row r="12158">
          <cell r="H12158" t="str">
            <v>SL096.0GEO001SCMGLOUT</v>
          </cell>
          <cell r="I12158" t="str">
            <v>96 GL EOW SCHL CMGL OUT</v>
          </cell>
        </row>
        <row r="12159">
          <cell r="H12159" t="str">
            <v>MFWBINS</v>
          </cell>
          <cell r="I12159" t="str">
            <v>MULTI-FAMILY REC UNIT W/B</v>
          </cell>
        </row>
        <row r="12160">
          <cell r="H12160" t="str">
            <v>RETCK-PNCL</v>
          </cell>
          <cell r="I12160" t="str">
            <v>RETURNED CHECK - PNC LOCKBOX</v>
          </cell>
        </row>
        <row r="12161">
          <cell r="H12161" t="str">
            <v>CC-KOL</v>
          </cell>
          <cell r="I12161" t="str">
            <v>ONLINE PAYMENT-CC</v>
          </cell>
        </row>
        <row r="12162">
          <cell r="H12162" t="str">
            <v>PAY</v>
          </cell>
          <cell r="I12162" t="str">
            <v>PAYMENT THANK YOU</v>
          </cell>
        </row>
        <row r="12163">
          <cell r="H12163" t="str">
            <v>PAY-CFREE</v>
          </cell>
          <cell r="I12163" t="str">
            <v>CHECKFREE PAYMENT</v>
          </cell>
        </row>
        <row r="12164">
          <cell r="H12164" t="str">
            <v>PAY-KOL</v>
          </cell>
          <cell r="I12164" t="str">
            <v>PAYMENT-THANK YOU - OL</v>
          </cell>
        </row>
        <row r="12165">
          <cell r="H12165" t="str">
            <v>PAY-ORCC</v>
          </cell>
          <cell r="I12165" t="str">
            <v>ORCC PAYMENT</v>
          </cell>
        </row>
        <row r="12166">
          <cell r="H12166" t="str">
            <v>PAY-RPPS</v>
          </cell>
          <cell r="I12166" t="str">
            <v>RPPS MASTERCARD PAYMENT</v>
          </cell>
        </row>
        <row r="12167">
          <cell r="H12167" t="str">
            <v>PAYMET</v>
          </cell>
          <cell r="I12167" t="str">
            <v>METAVANTE ONLINE PAYMENT</v>
          </cell>
        </row>
        <row r="12168">
          <cell r="H12168" t="str">
            <v>PAYPNCL</v>
          </cell>
          <cell r="I12168" t="str">
            <v>PAYMENT THANK YOU!</v>
          </cell>
        </row>
        <row r="12169">
          <cell r="H12169" t="str">
            <v>PAYUSBL</v>
          </cell>
          <cell r="I12169" t="str">
            <v>PAYMENT THANK YOU</v>
          </cell>
        </row>
        <row r="12170">
          <cell r="H12170" t="str">
            <v>DRIVEIN1-RES</v>
          </cell>
          <cell r="I12170" t="str">
            <v>DRIVE IN 1 - RES</v>
          </cell>
        </row>
        <row r="12171">
          <cell r="H12171" t="str">
            <v>EMPLOYEER</v>
          </cell>
          <cell r="I12171" t="str">
            <v>EMPLOYEE SERVICE RES</v>
          </cell>
        </row>
        <row r="12172">
          <cell r="H12172" t="str">
            <v>GW3RES</v>
          </cell>
          <cell r="I12172" t="str">
            <v>GREENWASTE SVC 3 - RES</v>
          </cell>
        </row>
        <row r="12173">
          <cell r="H12173" t="str">
            <v>GWRES</v>
          </cell>
          <cell r="I12173" t="str">
            <v>GREENWASTE SERVICE - RES</v>
          </cell>
        </row>
        <row r="12174">
          <cell r="H12174" t="str">
            <v>RECBINONLYR</v>
          </cell>
          <cell r="I12174" t="str">
            <v>RECYCLE SERVICE ONLY</v>
          </cell>
        </row>
        <row r="12175">
          <cell r="H12175" t="str">
            <v>RL032.0G1W002WREC</v>
          </cell>
          <cell r="I12175" t="str">
            <v>32 GL 1X WK W/RECY 2</v>
          </cell>
        </row>
        <row r="12176">
          <cell r="H12176" t="str">
            <v>RL032.0G1W003WREC</v>
          </cell>
          <cell r="I12176" t="str">
            <v>32 GL 1X WK W/RECY 3</v>
          </cell>
        </row>
        <row r="12177">
          <cell r="H12177" t="str">
            <v>SL035.0G1M001WREC</v>
          </cell>
          <cell r="I12177" t="str">
            <v>35 GL 1X MO W/RECY 1</v>
          </cell>
        </row>
        <row r="12178">
          <cell r="H12178" t="str">
            <v>SL035.0G1W001WREC</v>
          </cell>
          <cell r="I12178" t="str">
            <v>35 GL 1X WK W/ RECY 1</v>
          </cell>
        </row>
        <row r="12179">
          <cell r="H12179" t="str">
            <v>SL035.0G1W002WREC</v>
          </cell>
          <cell r="I12179" t="str">
            <v>35 GL 1X WK W/RECY 2</v>
          </cell>
        </row>
        <row r="12180">
          <cell r="H12180" t="str">
            <v>SL035.0GEO001WREC</v>
          </cell>
          <cell r="I12180" t="str">
            <v>35 GL EOW W/RECY 1</v>
          </cell>
        </row>
        <row r="12181">
          <cell r="H12181" t="str">
            <v>SL065.0G1M001WREC</v>
          </cell>
          <cell r="I12181" t="str">
            <v>65 GL 1X MO W/RECY 1</v>
          </cell>
        </row>
        <row r="12182">
          <cell r="H12182" t="str">
            <v>SL065.0G1W001WREC</v>
          </cell>
          <cell r="I12182" t="str">
            <v>65 GL 1X WK W/RECY 1</v>
          </cell>
        </row>
        <row r="12183">
          <cell r="H12183" t="str">
            <v>SL065.0GEO001WREC</v>
          </cell>
          <cell r="I12183" t="str">
            <v>65 GL EOW W/RECY 1</v>
          </cell>
        </row>
        <row r="12184">
          <cell r="H12184" t="str">
            <v>SL095.0G1M0001WRECSPCL</v>
          </cell>
          <cell r="I12184" t="str">
            <v>95 GL 1X MO S/D W/RECY 1</v>
          </cell>
        </row>
        <row r="12185">
          <cell r="H12185" t="str">
            <v>SL095.0G1W001WREC</v>
          </cell>
          <cell r="I12185" t="str">
            <v>95 GL 1X WK W/RECY 1</v>
          </cell>
        </row>
        <row r="12186">
          <cell r="H12186" t="str">
            <v>SL095.0GEO001WREC</v>
          </cell>
          <cell r="I12186" t="str">
            <v>95 GL EOW W/RECY 1</v>
          </cell>
        </row>
        <row r="12187">
          <cell r="H12187" t="str">
            <v>WI1-RES</v>
          </cell>
          <cell r="I12187" t="str">
            <v>WALK IN 6-25' - RES</v>
          </cell>
        </row>
        <row r="12188">
          <cell r="H12188" t="str">
            <v>BULKY-RES</v>
          </cell>
          <cell r="I12188" t="str">
            <v>BULKY ITEM PICK UP - RES</v>
          </cell>
        </row>
        <row r="12189">
          <cell r="H12189" t="str">
            <v>EP96GWC-RES</v>
          </cell>
          <cell r="I12189" t="str">
            <v>EXTRA PICK UP 96 GW - RES</v>
          </cell>
        </row>
        <row r="12190">
          <cell r="H12190" t="str">
            <v>EXTRA-RES</v>
          </cell>
          <cell r="I12190" t="str">
            <v>EXTRA CAN, BAG, BOX - RES</v>
          </cell>
        </row>
        <row r="12191">
          <cell r="H12191" t="str">
            <v>EXTRAGWC-RES</v>
          </cell>
          <cell r="I12191" t="str">
            <v>EXTRA GREENWASTE FEE - RE</v>
          </cell>
        </row>
        <row r="12192">
          <cell r="H12192" t="str">
            <v>GWRES</v>
          </cell>
          <cell r="I12192" t="str">
            <v>GREENWASTE SERVICE - RES</v>
          </cell>
        </row>
        <row r="12193">
          <cell r="H12193" t="str">
            <v>OW-RES</v>
          </cell>
          <cell r="I12193" t="str">
            <v>OVERFILL / OVERWEIGHT CAN</v>
          </cell>
        </row>
        <row r="12194">
          <cell r="H12194" t="str">
            <v>REDEL-RES</v>
          </cell>
          <cell r="I12194" t="str">
            <v>REDELIVER FEE - RES</v>
          </cell>
        </row>
        <row r="12195">
          <cell r="H12195" t="str">
            <v>REINSTATE-RES</v>
          </cell>
          <cell r="I12195" t="str">
            <v>REINSTATE FEE - RES</v>
          </cell>
        </row>
        <row r="12196">
          <cell r="H12196" t="str">
            <v>RTRNCART65-RES</v>
          </cell>
          <cell r="I12196" t="str">
            <v>RETURN TRIP 65 GL - RES</v>
          </cell>
        </row>
        <row r="12197">
          <cell r="H12197" t="str">
            <v>SL065.0G1W001WREC</v>
          </cell>
          <cell r="I12197" t="str">
            <v>65 GL 1X WK W/RECY 1</v>
          </cell>
        </row>
        <row r="12198">
          <cell r="H12198" t="str">
            <v>SP65-RES</v>
          </cell>
          <cell r="I12198" t="str">
            <v>SPECIAL PICK UP 65 GL - R</v>
          </cell>
        </row>
        <row r="12199">
          <cell r="H12199" t="str">
            <v>TIME-RES</v>
          </cell>
          <cell r="I12199" t="str">
            <v>TIME FEE 1 - RES</v>
          </cell>
        </row>
        <row r="12200">
          <cell r="H12200" t="str">
            <v>LIDRO</v>
          </cell>
          <cell r="I12200" t="str">
            <v>LID CHARGE - RO</v>
          </cell>
        </row>
        <row r="12201">
          <cell r="H12201" t="str">
            <v>RENT20MO-RO</v>
          </cell>
          <cell r="I12201" t="str">
            <v>RENTAL FEE 20 YD MONTHLY</v>
          </cell>
        </row>
        <row r="12202">
          <cell r="H12202" t="str">
            <v>DEL20TEMP-RO</v>
          </cell>
          <cell r="I12202" t="str">
            <v>DELIVERY FEE 20 YD TEMP -</v>
          </cell>
        </row>
        <row r="12203">
          <cell r="H12203" t="str">
            <v>DEL30TEMP-RO</v>
          </cell>
          <cell r="I12203" t="str">
            <v>DELIVERY FEE 30 YD TEMP -</v>
          </cell>
        </row>
        <row r="12204">
          <cell r="H12204" t="str">
            <v>DISCO-CP</v>
          </cell>
          <cell r="I12204" t="str">
            <v xml:space="preserve">COMPACTOR DISCONNECT FEE </v>
          </cell>
        </row>
        <row r="12205">
          <cell r="H12205" t="str">
            <v>DISP-RO</v>
          </cell>
          <cell r="I12205" t="str">
            <v>DISPOSAL CHARGE - RO</v>
          </cell>
        </row>
        <row r="12206">
          <cell r="H12206" t="str">
            <v>DISPCMGL-RO</v>
          </cell>
          <cell r="I12206" t="str">
            <v xml:space="preserve">DISPOSAL FEE COMMINGLE - </v>
          </cell>
        </row>
        <row r="12207">
          <cell r="H12207" t="str">
            <v>DISPGLASS-RO</v>
          </cell>
          <cell r="I12207" t="str">
            <v>DISPOSAL FEE GLASS - RO</v>
          </cell>
        </row>
        <row r="12208">
          <cell r="H12208" t="str">
            <v>DISPOCC-RO</v>
          </cell>
          <cell r="I12208" t="str">
            <v xml:space="preserve">DISPOSAL FEE CARDBOARD - </v>
          </cell>
        </row>
        <row r="12209">
          <cell r="H12209" t="str">
            <v>DISPTRANS-RO</v>
          </cell>
          <cell r="I12209" t="str">
            <v>DISPOSAL FEE TRANSFER HAU</v>
          </cell>
        </row>
        <row r="12210">
          <cell r="H12210" t="str">
            <v>FINAL20TEMP-RO</v>
          </cell>
          <cell r="I12210" t="str">
            <v>FINAL PULL 20 YD TEMP - R</v>
          </cell>
        </row>
        <row r="12211">
          <cell r="H12211" t="str">
            <v>FINAL30TEMP-RO</v>
          </cell>
          <cell r="I12211" t="str">
            <v>FINAL PULL 30 YD TEMP - R</v>
          </cell>
        </row>
        <row r="12212">
          <cell r="H12212" t="str">
            <v>HAUL20-CP</v>
          </cell>
          <cell r="I12212" t="str">
            <v>COMPACTOR HAUL 20 YD - RO</v>
          </cell>
        </row>
        <row r="12213">
          <cell r="H12213" t="str">
            <v>HAUL20-RO</v>
          </cell>
          <cell r="I12213" t="str">
            <v>HAUL 20 YD - RO</v>
          </cell>
        </row>
        <row r="12214">
          <cell r="H12214" t="str">
            <v>HAUL25-CP</v>
          </cell>
          <cell r="I12214" t="str">
            <v>COMPACTOR HAUL 25 YD - RO</v>
          </cell>
        </row>
        <row r="12215">
          <cell r="H12215" t="str">
            <v>HAUL30-RO</v>
          </cell>
          <cell r="I12215" t="str">
            <v>HAUL 30 YD - RO</v>
          </cell>
        </row>
        <row r="12216">
          <cell r="H12216" t="str">
            <v>MILE-RO</v>
          </cell>
          <cell r="I12216" t="str">
            <v>MILEAGE FEE - RO</v>
          </cell>
        </row>
        <row r="12217">
          <cell r="H12217" t="str">
            <v>RENT20TEMP-RO</v>
          </cell>
          <cell r="I12217" t="str">
            <v>RENTAL FEE 20 YD TEMP - R</v>
          </cell>
        </row>
        <row r="12218">
          <cell r="H12218" t="str">
            <v>RENT30TEMP-RO</v>
          </cell>
          <cell r="I12218" t="str">
            <v>RENTAL FEE 30 YD TEMP - R</v>
          </cell>
        </row>
        <row r="12219">
          <cell r="H12219" t="str">
            <v>COMMODITY SURCHARGE</v>
          </cell>
          <cell r="I12219" t="str">
            <v>COMMODITY SURCHARGE</v>
          </cell>
        </row>
        <row r="12220">
          <cell r="H12220" t="str">
            <v>COMMODITY SURCHARGE</v>
          </cell>
          <cell r="I12220" t="str">
            <v>COMMODITY SURCHARGE</v>
          </cell>
        </row>
        <row r="12221">
          <cell r="H12221" t="str">
            <v>DUPONT CITY UTILITY TAX</v>
          </cell>
          <cell r="I12221" t="str">
            <v>8% CITY UTILITY TAX</v>
          </cell>
        </row>
        <row r="12222">
          <cell r="H12222" t="str">
            <v>DUPONT REFUSE TAX</v>
          </cell>
          <cell r="I12222" t="str">
            <v>3.6% WA STATE REFUSE TAX</v>
          </cell>
        </row>
        <row r="12223">
          <cell r="H12223" t="str">
            <v xml:space="preserve">PIERCE COUNTY REFUSE </v>
          </cell>
          <cell r="I12223" t="str">
            <v>3.6% PIERCE COUNTY REFUSE</v>
          </cell>
        </row>
        <row r="12224">
          <cell r="H12224" t="str">
            <v>STEILACOOM CITY  TAX</v>
          </cell>
          <cell r="I12224" t="str">
            <v>6% CITY UTILITY TAX</v>
          </cell>
        </row>
        <row r="12225">
          <cell r="H12225" t="str">
            <v>STEILACOOM REFUSE TAX</v>
          </cell>
          <cell r="I12225" t="str">
            <v>3.6% WA STATE REFUSE TAX</v>
          </cell>
        </row>
        <row r="12226">
          <cell r="H12226" t="str">
            <v>STEILACOOM ST SALES TAX</v>
          </cell>
          <cell r="I12226" t="str">
            <v>9.9% WA STATE SALES TAX</v>
          </cell>
        </row>
        <row r="12227">
          <cell r="H12227" t="str">
            <v>STEILACOOM CITY  TAX</v>
          </cell>
          <cell r="I12227" t="str">
            <v>6% CITY UTILITY TAX</v>
          </cell>
        </row>
        <row r="12228">
          <cell r="H12228" t="str">
            <v>STEILACOOM REFUSE TAX</v>
          </cell>
          <cell r="I12228" t="str">
            <v>3.6% WA STATE REFUSE TAX</v>
          </cell>
        </row>
        <row r="12229">
          <cell r="H12229" t="str">
            <v>STEILACOOM CITY  TAX</v>
          </cell>
          <cell r="I12229" t="str">
            <v>6% CITY UTILITY TAX</v>
          </cell>
        </row>
        <row r="12230">
          <cell r="H12230" t="str">
            <v>STEILACOOM REFUSE TAX</v>
          </cell>
          <cell r="I12230" t="str">
            <v>3.6% WA STATE REFUSE TAX</v>
          </cell>
        </row>
        <row r="12231">
          <cell r="H12231" t="str">
            <v>STEILACOOM CITY  TAX</v>
          </cell>
          <cell r="I12231" t="str">
            <v>6% CITY UTILITY TAX</v>
          </cell>
        </row>
        <row r="12232">
          <cell r="H12232" t="str">
            <v>STEILACOOM REFUSE TAX</v>
          </cell>
          <cell r="I12232" t="str">
            <v>3.6% WA STATE REFUSE TAX</v>
          </cell>
        </row>
        <row r="12233">
          <cell r="H12233" t="str">
            <v>STEILACOOM ST SALES TAX</v>
          </cell>
          <cell r="I12233" t="str">
            <v>9.9% WA STATE SALES TAX</v>
          </cell>
        </row>
        <row r="12234">
          <cell r="H12234" t="str">
            <v>BD</v>
          </cell>
          <cell r="I12234" t="str">
            <v>BAD DEBT WRITE OFF</v>
          </cell>
        </row>
        <row r="12235">
          <cell r="H12235" t="str">
            <v>MM</v>
          </cell>
          <cell r="I12235" t="str">
            <v>ADJUST BALANCE (MM)</v>
          </cell>
        </row>
        <row r="12236">
          <cell r="H12236" t="str">
            <v>FINCHG</v>
          </cell>
          <cell r="I12236" t="str">
            <v>LATE FEE</v>
          </cell>
        </row>
        <row r="12237">
          <cell r="H12237" t="str">
            <v>ACCESS-COMM</v>
          </cell>
          <cell r="I12237" t="str">
            <v>ACCESS FEE - COMM</v>
          </cell>
        </row>
        <row r="12238">
          <cell r="H12238" t="str">
            <v>FL001.5Y1W001</v>
          </cell>
          <cell r="I12238" t="str">
            <v>1.5 YD 1X WK 1</v>
          </cell>
        </row>
        <row r="12239">
          <cell r="H12239" t="str">
            <v>FL002.0Y1W001</v>
          </cell>
          <cell r="I12239" t="str">
            <v>2 YD 1X WK 1</v>
          </cell>
        </row>
        <row r="12240">
          <cell r="H12240" t="str">
            <v>FL002.0Y2W001</v>
          </cell>
          <cell r="I12240" t="str">
            <v>2 YD 2X WK 1</v>
          </cell>
        </row>
        <row r="12241">
          <cell r="H12241" t="str">
            <v>FL002.0Y4W001</v>
          </cell>
          <cell r="I12241" t="str">
            <v>2 YD 4X WK 1</v>
          </cell>
        </row>
        <row r="12242">
          <cell r="H12242" t="str">
            <v>FL003.0Y2W001</v>
          </cell>
          <cell r="I12242" t="str">
            <v>3 YD 2X WK 1</v>
          </cell>
        </row>
        <row r="12243">
          <cell r="H12243" t="str">
            <v>FL006.0Y1W001</v>
          </cell>
          <cell r="I12243" t="str">
            <v>6 YD 1X WK 1</v>
          </cell>
        </row>
        <row r="12244">
          <cell r="H12244" t="str">
            <v>FL006.0Y2W001</v>
          </cell>
          <cell r="I12244" t="str">
            <v>6 YD 2X WK 1</v>
          </cell>
        </row>
        <row r="12245">
          <cell r="H12245" t="str">
            <v>SL065.0G1W001NORECC</v>
          </cell>
          <cell r="I12245" t="str">
            <v xml:space="preserve">65 GL 1X WK NO RECY COMM </v>
          </cell>
        </row>
        <row r="12246">
          <cell r="H12246" t="str">
            <v>SL065.0G1W001WRECC</v>
          </cell>
          <cell r="I12246" t="str">
            <v>65 GL 1X WK W/RECY COMM 1</v>
          </cell>
        </row>
        <row r="12247">
          <cell r="H12247" t="str">
            <v>SL065.0GEO001WRECC</v>
          </cell>
          <cell r="I12247" t="str">
            <v>65 GL EOW W/RECY COMM 1</v>
          </cell>
        </row>
        <row r="12248">
          <cell r="H12248" t="str">
            <v>SL095.0G1W001WRECC</v>
          </cell>
          <cell r="I12248" t="str">
            <v>95 GL 1X WK W/RECY COMM 1</v>
          </cell>
        </row>
        <row r="12249">
          <cell r="H12249" t="str">
            <v>EXTRA-COMM</v>
          </cell>
          <cell r="I12249" t="str">
            <v>EXTRA CAN, BAG, BOX - COM</v>
          </cell>
        </row>
        <row r="12250">
          <cell r="H12250" t="str">
            <v>EXTRAYDG-COM</v>
          </cell>
          <cell r="I12250" t="str">
            <v>EXTRA YARDAGE - COMM</v>
          </cell>
        </row>
        <row r="12251">
          <cell r="H12251" t="str">
            <v>SP6-COMM</v>
          </cell>
          <cell r="I12251" t="str">
            <v>SPECIAL PICK UP 6 YD - CO</v>
          </cell>
        </row>
        <row r="12252">
          <cell r="H12252" t="str">
            <v>FL002.0Y1W001BOCC</v>
          </cell>
          <cell r="I12252" t="str">
            <v>2 YD 1X WK BUS OCC 1</v>
          </cell>
        </row>
        <row r="12253">
          <cell r="H12253" t="str">
            <v>FL004.0Y1W001CMGL</v>
          </cell>
          <cell r="I12253" t="str">
            <v>4 YD 1X WK BUS CMGL 1</v>
          </cell>
        </row>
        <row r="12254">
          <cell r="H12254" t="str">
            <v>FL005.0Y1W001BOCC</v>
          </cell>
          <cell r="I12254" t="str">
            <v>5 YD 1X WK BUS OCC 1</v>
          </cell>
        </row>
        <row r="12255">
          <cell r="H12255" t="str">
            <v>FL006.0Y3W001BCMGL</v>
          </cell>
          <cell r="I12255" t="str">
            <v>6 YD 3X WK BUS CMGL 1</v>
          </cell>
        </row>
        <row r="12256">
          <cell r="H12256" t="str">
            <v>MFWBINS</v>
          </cell>
          <cell r="I12256" t="str">
            <v>MULTI-FAMILY REC UNIT W/B</v>
          </cell>
        </row>
        <row r="12257">
          <cell r="H12257" t="str">
            <v>SL096.0GEO001BCMGLOUT</v>
          </cell>
          <cell r="I12257" t="str">
            <v>96 GL EOW BUS CMGL OUT</v>
          </cell>
        </row>
        <row r="12258">
          <cell r="H12258" t="str">
            <v>CC-KOL</v>
          </cell>
          <cell r="I12258" t="str">
            <v>ONLINE PAYMENT-CC</v>
          </cell>
        </row>
        <row r="12259">
          <cell r="H12259" t="str">
            <v>PAY</v>
          </cell>
          <cell r="I12259" t="str">
            <v>PAYMENT THANK YOU</v>
          </cell>
        </row>
        <row r="12260">
          <cell r="H12260" t="str">
            <v>PAY-CFREE</v>
          </cell>
          <cell r="I12260" t="str">
            <v>CHECKFREE PAYMENT</v>
          </cell>
        </row>
        <row r="12261">
          <cell r="H12261" t="str">
            <v>PAY-KOL</v>
          </cell>
          <cell r="I12261" t="str">
            <v>PAYMENT-THANK YOU - OL</v>
          </cell>
        </row>
        <row r="12262">
          <cell r="H12262" t="str">
            <v>PAY-ORCC</v>
          </cell>
          <cell r="I12262" t="str">
            <v>ORCC PAYMENT</v>
          </cell>
        </row>
        <row r="12263">
          <cell r="H12263" t="str">
            <v>PAY-RPPS</v>
          </cell>
          <cell r="I12263" t="str">
            <v>RPPS MASTERCARD PAYMENT</v>
          </cell>
        </row>
        <row r="12264">
          <cell r="H12264" t="str">
            <v>PAYMET</v>
          </cell>
          <cell r="I12264" t="str">
            <v>METAVANTE ONLINE PAYMENT</v>
          </cell>
        </row>
        <row r="12265">
          <cell r="H12265" t="str">
            <v>PAYPNCL</v>
          </cell>
          <cell r="I12265" t="str">
            <v>PAYMENT THANK YOU!</v>
          </cell>
        </row>
        <row r="12266">
          <cell r="H12266" t="str">
            <v>PAYUSBL</v>
          </cell>
          <cell r="I12266" t="str">
            <v>PAYMENT THANK YOU</v>
          </cell>
        </row>
        <row r="12267">
          <cell r="H12267" t="str">
            <v>CC-KOL</v>
          </cell>
          <cell r="I12267" t="str">
            <v>ONLINE PAYMENT-CC</v>
          </cell>
        </row>
        <row r="12268">
          <cell r="H12268" t="str">
            <v>PAY</v>
          </cell>
          <cell r="I12268" t="str">
            <v>PAYMENT THANK YOU</v>
          </cell>
        </row>
        <row r="12269">
          <cell r="H12269" t="str">
            <v>PAY-CFREE</v>
          </cell>
          <cell r="I12269" t="str">
            <v>CHECKFREE PAYMENT</v>
          </cell>
        </row>
        <row r="12270">
          <cell r="H12270" t="str">
            <v>PAY-KOL</v>
          </cell>
          <cell r="I12270" t="str">
            <v>PAYMENT-THANK YOU - OL</v>
          </cell>
        </row>
        <row r="12271">
          <cell r="H12271" t="str">
            <v>PAYMET</v>
          </cell>
          <cell r="I12271" t="str">
            <v>METAVANTE ONLINE PAYMENT</v>
          </cell>
        </row>
        <row r="12272">
          <cell r="H12272" t="str">
            <v>PAYUSBL</v>
          </cell>
          <cell r="I12272" t="str">
            <v>PAYMENT THANK YOU</v>
          </cell>
        </row>
        <row r="12273">
          <cell r="H12273" t="str">
            <v>CC-KOL</v>
          </cell>
          <cell r="I12273" t="str">
            <v>ONLINE PAYMENT-CC</v>
          </cell>
        </row>
        <row r="12274">
          <cell r="H12274" t="str">
            <v>PAY-CFREE</v>
          </cell>
          <cell r="I12274" t="str">
            <v>CHECKFREE PAYMENT</v>
          </cell>
        </row>
        <row r="12275">
          <cell r="H12275" t="str">
            <v>PAY-KOL</v>
          </cell>
          <cell r="I12275" t="str">
            <v>PAYMENT-THANK YOU - OL</v>
          </cell>
        </row>
        <row r="12276">
          <cell r="H12276" t="str">
            <v>PAY-OAK</v>
          </cell>
          <cell r="I12276" t="str">
            <v>OAKLEAF PAYMENT</v>
          </cell>
        </row>
        <row r="12277">
          <cell r="H12277" t="str">
            <v>PAY-RPPS</v>
          </cell>
          <cell r="I12277" t="str">
            <v>RPPS MASTERCARD PAYMENT</v>
          </cell>
        </row>
        <row r="12278">
          <cell r="H12278" t="str">
            <v>PAYMET</v>
          </cell>
          <cell r="I12278" t="str">
            <v>METAVANTE ONLINE PAYMENT</v>
          </cell>
        </row>
        <row r="12279">
          <cell r="H12279" t="str">
            <v>PAYPNCL</v>
          </cell>
          <cell r="I12279" t="str">
            <v>PAYMENT THANK YOU!</v>
          </cell>
        </row>
        <row r="12280">
          <cell r="H12280" t="str">
            <v>PAYUSBL</v>
          </cell>
          <cell r="I12280" t="str">
            <v>PAYMENT THANK YOU</v>
          </cell>
        </row>
        <row r="12281">
          <cell r="H12281" t="str">
            <v>GWRES</v>
          </cell>
          <cell r="I12281" t="str">
            <v>GREENWASTE SERVICE - RES</v>
          </cell>
        </row>
        <row r="12282">
          <cell r="H12282" t="str">
            <v>SL065.0G1W001WREC</v>
          </cell>
          <cell r="I12282" t="str">
            <v>65 GL 1X WK W/RECY 1</v>
          </cell>
        </row>
        <row r="12283">
          <cell r="H12283" t="str">
            <v>SL095.0G1W001WREC</v>
          </cell>
          <cell r="I12283" t="str">
            <v>95 GL 1X WK W/RECY 1</v>
          </cell>
        </row>
        <row r="12284">
          <cell r="H12284" t="str">
            <v>REINSTATE-RES</v>
          </cell>
          <cell r="I12284" t="str">
            <v>REINSTATE FEE - RES</v>
          </cell>
        </row>
        <row r="12285">
          <cell r="H12285" t="str">
            <v>SPCL65-RES</v>
          </cell>
          <cell r="I12285" t="str">
            <v>SPECIAL 65 GL - RES</v>
          </cell>
        </row>
        <row r="12286">
          <cell r="H12286" t="str">
            <v>GWRES</v>
          </cell>
          <cell r="I12286" t="str">
            <v>GREENWASTE SERVICE - RES</v>
          </cell>
        </row>
        <row r="12287">
          <cell r="H12287" t="str">
            <v>RECBINONLYR</v>
          </cell>
          <cell r="I12287" t="str">
            <v>RECYCLE SERVICE ONLY</v>
          </cell>
        </row>
        <row r="12288">
          <cell r="H12288" t="str">
            <v>SL035.0GEO001WREC</v>
          </cell>
          <cell r="I12288" t="str">
            <v>35 GL EOW W/RECY 1</v>
          </cell>
        </row>
        <row r="12289">
          <cell r="H12289" t="str">
            <v>SL065.0G1W001WREC</v>
          </cell>
          <cell r="I12289" t="str">
            <v>65 GL 1X WK W/RECY 1</v>
          </cell>
        </row>
        <row r="12290">
          <cell r="H12290" t="str">
            <v>SL065.0GEO001NOREC</v>
          </cell>
          <cell r="I12290" t="str">
            <v>65 GL EOW NO RECY 1</v>
          </cell>
        </row>
        <row r="12291">
          <cell r="H12291" t="str">
            <v>SL065.0GEO001WREC</v>
          </cell>
          <cell r="I12291" t="str">
            <v>65 GL EOW W/RECY 1</v>
          </cell>
        </row>
        <row r="12292">
          <cell r="H12292" t="str">
            <v>SL095.0G1W001WREC</v>
          </cell>
          <cell r="I12292" t="str">
            <v>95 GL 1X WK W/RECY 1</v>
          </cell>
        </row>
        <row r="12293">
          <cell r="H12293" t="str">
            <v>OW-RES</v>
          </cell>
          <cell r="I12293" t="str">
            <v>OVERFILL / OVERWEIGHT CAN</v>
          </cell>
        </row>
        <row r="12294">
          <cell r="H12294" t="str">
            <v>RENT20MO-RO</v>
          </cell>
          <cell r="I12294" t="str">
            <v>RENTAL FEE 20 YD MONTHLY</v>
          </cell>
        </row>
        <row r="12295">
          <cell r="H12295" t="str">
            <v>DISCO-CP</v>
          </cell>
          <cell r="I12295" t="str">
            <v xml:space="preserve">COMPACTOR DISCONNECT FEE </v>
          </cell>
        </row>
        <row r="12296">
          <cell r="H12296" t="str">
            <v>DISP-RO</v>
          </cell>
          <cell r="I12296" t="str">
            <v>DISPOSAL CHARGE - RO</v>
          </cell>
        </row>
        <row r="12297">
          <cell r="H12297" t="str">
            <v>HAUL20-RO</v>
          </cell>
          <cell r="I12297" t="str">
            <v>HAUL 20 YD - RO</v>
          </cell>
        </row>
        <row r="12298">
          <cell r="H12298" t="str">
            <v>HAUL25-CP</v>
          </cell>
          <cell r="I12298" t="str">
            <v>COMPACTOR HAUL 25 YD - RO</v>
          </cell>
        </row>
        <row r="12299">
          <cell r="H12299" t="str">
            <v>HAUL30-CP</v>
          </cell>
          <cell r="I12299" t="str">
            <v>COMPACTOR HAUL 30 YD</v>
          </cell>
        </row>
        <row r="12300">
          <cell r="H12300" t="str">
            <v>COMMODITY SURCHARGE</v>
          </cell>
          <cell r="I12300" t="str">
            <v>COMMODITY SURCHARGE</v>
          </cell>
        </row>
        <row r="12301">
          <cell r="H12301" t="str">
            <v>UNIV PLACE SURCHARGE</v>
          </cell>
          <cell r="I12301" t="str">
            <v>UNIVERSITY PLACE SURCHARGE</v>
          </cell>
        </row>
        <row r="12302">
          <cell r="H12302" t="str">
            <v>UNIV PLACE SURCHARGE</v>
          </cell>
          <cell r="I12302" t="str">
            <v>UNIVERSITY PLACE SURCHARGE</v>
          </cell>
        </row>
        <row r="12303">
          <cell r="H12303" t="str">
            <v>UNIV PLACE SURCHARGE</v>
          </cell>
          <cell r="I12303" t="str">
            <v>UNIVERSITY PLACE SURCHARGE</v>
          </cell>
        </row>
        <row r="12304">
          <cell r="H12304" t="str">
            <v>UNIV PLACE SURCHARGE</v>
          </cell>
          <cell r="I12304" t="str">
            <v>UNIVERSITY PLACE SURCHARGE</v>
          </cell>
        </row>
        <row r="12305">
          <cell r="H12305" t="str">
            <v>UNIV PLACE SURCHARGE</v>
          </cell>
          <cell r="I12305" t="str">
            <v>UNIVERSITY PLACE SURCHARGE</v>
          </cell>
        </row>
        <row r="12306">
          <cell r="H12306" t="str">
            <v>UP CITY UTILITY TAX</v>
          </cell>
          <cell r="I12306" t="str">
            <v>6% CITY UTILITY TAX</v>
          </cell>
        </row>
        <row r="12307">
          <cell r="H12307" t="str">
            <v>UP CITY ONLY</v>
          </cell>
          <cell r="I12307" t="str">
            <v>6% CITY UTILITY TAX</v>
          </cell>
        </row>
        <row r="12308">
          <cell r="H12308" t="str">
            <v>UP CITY UTILITY TAX</v>
          </cell>
          <cell r="I12308" t="str">
            <v>6% CITY UTILITY TAX</v>
          </cell>
        </row>
        <row r="12309">
          <cell r="H12309" t="str">
            <v>UP REFUSE TAX</v>
          </cell>
          <cell r="I12309" t="str">
            <v>3.6% WA STATE REFUSE TAX</v>
          </cell>
        </row>
        <row r="12310">
          <cell r="H12310" t="str">
            <v>UP CITY UTILITY TAX</v>
          </cell>
          <cell r="I12310" t="str">
            <v>6% CITY UTILITY TAX</v>
          </cell>
        </row>
        <row r="12311">
          <cell r="H12311" t="str">
            <v>UP REFUSE TAX</v>
          </cell>
          <cell r="I12311" t="str">
            <v>3.6% WA STATE REFUSE TAX</v>
          </cell>
        </row>
        <row r="12312">
          <cell r="H12312" t="str">
            <v>UP CITY UTILITY TAX</v>
          </cell>
          <cell r="I12312" t="str">
            <v>6% CITY UTILITY TAX</v>
          </cell>
        </row>
        <row r="12313">
          <cell r="H12313" t="str">
            <v>UP REFUSE TAX</v>
          </cell>
          <cell r="I12313" t="str">
            <v>3.6% WA STATE REFUSE TAX</v>
          </cell>
        </row>
        <row r="12314">
          <cell r="H12314" t="str">
            <v>PIERCE REFUSE TAX</v>
          </cell>
          <cell r="I12314" t="str">
            <v>3.6% WA STATE REFUSE TAX</v>
          </cell>
        </row>
        <row r="12315">
          <cell r="H12315" t="str">
            <v>UP CITY UTILITY TAX</v>
          </cell>
          <cell r="I12315" t="str">
            <v>6% CITY UTILITY TAX</v>
          </cell>
        </row>
        <row r="12316">
          <cell r="H12316" t="str">
            <v>UP REFUSE TAX</v>
          </cell>
          <cell r="I12316" t="str">
            <v>3.6% WA STATE REFUSE TAX</v>
          </cell>
        </row>
        <row r="12317">
          <cell r="H12317" t="str">
            <v>UP CITY UTILITY TAX</v>
          </cell>
          <cell r="I12317" t="str">
            <v>6% CITY UTILITY TAX</v>
          </cell>
        </row>
        <row r="12318">
          <cell r="H12318" t="str">
            <v>UP REFUSE TAX</v>
          </cell>
          <cell r="I12318" t="str">
            <v>3.6% WA STATE REFUSE TAX</v>
          </cell>
        </row>
        <row r="12319">
          <cell r="H12319" t="str">
            <v>UP STATE SALES TAX</v>
          </cell>
          <cell r="I12319" t="str">
            <v>9.9% WA STATE SALES TAX</v>
          </cell>
        </row>
        <row r="12320">
          <cell r="H12320" t="str">
            <v>DISPFEDMSW-COMM</v>
          </cell>
          <cell r="I12320" t="str">
            <v>DISPOSAL FEDERAL MSW - CO</v>
          </cell>
        </row>
        <row r="12321">
          <cell r="H12321" t="str">
            <v>FL001.5Y1W001</v>
          </cell>
          <cell r="I12321" t="str">
            <v>1.5 YD 1X WK 1</v>
          </cell>
        </row>
        <row r="12322">
          <cell r="H12322" t="str">
            <v>CONTRACTEDC</v>
          </cell>
          <cell r="I12322" t="str">
            <v>CONTRACTED SERVICE - COMM</v>
          </cell>
        </row>
        <row r="12323">
          <cell r="H12323" t="str">
            <v>DISPTONER-COMM</v>
          </cell>
          <cell r="I12323" t="str">
            <v>DISPOSAL TONER - COMM</v>
          </cell>
        </row>
        <row r="12324">
          <cell r="H12324" t="str">
            <v>PAYEFT</v>
          </cell>
          <cell r="I12324" t="str">
            <v>EFT PAYMENT</v>
          </cell>
        </row>
        <row r="12325">
          <cell r="H12325" t="str">
            <v>DISPASB-RO</v>
          </cell>
          <cell r="I12325" t="str">
            <v>DISPOSAL FEE ASBESTOS - R</v>
          </cell>
        </row>
        <row r="12326">
          <cell r="H12326" t="str">
            <v>DISPBATT-RO</v>
          </cell>
          <cell r="I12326" t="str">
            <v>DISPOSAL BATTERIES - RO</v>
          </cell>
        </row>
        <row r="12327">
          <cell r="H12327" t="str">
            <v>DISPBOOKS-RO</v>
          </cell>
          <cell r="I12327" t="str">
            <v>DISPOSAL BOOKS - RO</v>
          </cell>
        </row>
        <row r="12328">
          <cell r="H12328" t="str">
            <v>DISPCMGL-RO</v>
          </cell>
          <cell r="I12328" t="str">
            <v xml:space="preserve">DISPOSAL FEE COMMINGLE - </v>
          </cell>
        </row>
        <row r="12329">
          <cell r="H12329" t="str">
            <v>DISPEWASTE-RO</v>
          </cell>
          <cell r="I12329" t="str">
            <v>DISPOSAL FEE EWASTE - RO</v>
          </cell>
        </row>
        <row r="12330">
          <cell r="H12330" t="str">
            <v>DISPFEDMSW-RO</v>
          </cell>
          <cell r="I12330" t="str">
            <v xml:space="preserve">DISPOSAL FEE FEDERAL MSW </v>
          </cell>
        </row>
        <row r="12331">
          <cell r="H12331" t="str">
            <v>DISPFOOD-RO</v>
          </cell>
          <cell r="I12331" t="str">
            <v>DISPOSAL FEE FOOD WASTE -</v>
          </cell>
        </row>
        <row r="12332">
          <cell r="H12332" t="str">
            <v>DISPGLASS-RO</v>
          </cell>
          <cell r="I12332" t="str">
            <v>DISPOSAL FEE GLASS - RO</v>
          </cell>
        </row>
        <row r="12333">
          <cell r="H12333" t="str">
            <v>DISPGW-RO</v>
          </cell>
          <cell r="I12333" t="str">
            <v>DISPOSAL FEE GREENWASTE -</v>
          </cell>
        </row>
        <row r="12334">
          <cell r="H12334" t="str">
            <v>DISPMANURE-RO</v>
          </cell>
          <cell r="I12334" t="str">
            <v>DISPOSAL FEE MANURE - RO</v>
          </cell>
        </row>
        <row r="12335">
          <cell r="H12335" t="str">
            <v>DISPMETAL-RO</v>
          </cell>
          <cell r="I12335" t="str">
            <v>DISPOSAL FEE METAL - RO</v>
          </cell>
        </row>
        <row r="12336">
          <cell r="H12336" t="str">
            <v>DISPOCC-RO</v>
          </cell>
          <cell r="I12336" t="str">
            <v xml:space="preserve">DISPOSAL FEE CARDBOARD - </v>
          </cell>
        </row>
        <row r="12337">
          <cell r="H12337" t="str">
            <v>DISPTEX-RO</v>
          </cell>
          <cell r="I12337" t="str">
            <v>DISPOSAL TEXTILE - RO</v>
          </cell>
        </row>
        <row r="12338">
          <cell r="H12338" t="str">
            <v>DISPWD-RO</v>
          </cell>
          <cell r="I12338" t="str">
            <v>DISPOSAL FEE WOOD - RO</v>
          </cell>
        </row>
        <row r="12339">
          <cell r="H12339" t="str">
            <v>HAUL30-RO</v>
          </cell>
          <cell r="I12339" t="str">
            <v>HAUL 30 YD - RO</v>
          </cell>
        </row>
        <row r="12340">
          <cell r="H12340" t="str">
            <v>HAUL50-RO</v>
          </cell>
          <cell r="I12340" t="str">
            <v>HAUL 50 YD - RO</v>
          </cell>
        </row>
        <row r="12341">
          <cell r="H12341" t="str">
            <v>FINCHG</v>
          </cell>
          <cell r="I12341" t="str">
            <v>LATE FEE</v>
          </cell>
        </row>
        <row r="12342">
          <cell r="H12342" t="str">
            <v>BD</v>
          </cell>
          <cell r="I12342" t="str">
            <v>BAD DEBT WRITE OFF</v>
          </cell>
        </row>
        <row r="12343">
          <cell r="H12343" t="str">
            <v>BDR</v>
          </cell>
          <cell r="I12343" t="str">
            <v>BAD DEBT RECOVERY</v>
          </cell>
        </row>
        <row r="12344">
          <cell r="H12344" t="str">
            <v>COLLFEE</v>
          </cell>
          <cell r="I12344" t="str">
            <v>COLLECTION AGENCY FEE</v>
          </cell>
        </row>
        <row r="12345">
          <cell r="H12345" t="str">
            <v>MM</v>
          </cell>
          <cell r="I12345" t="str">
            <v>ADJUST BALANCE (MM)</v>
          </cell>
        </row>
        <row r="12346">
          <cell r="H12346" t="str">
            <v>MM</v>
          </cell>
          <cell r="I12346" t="str">
            <v>ADJUST BALANCE (MM)</v>
          </cell>
        </row>
        <row r="12347">
          <cell r="H12347" t="str">
            <v>BD</v>
          </cell>
          <cell r="I12347" t="str">
            <v>BAD DEBT WRITE OFF</v>
          </cell>
        </row>
        <row r="12348">
          <cell r="H12348" t="str">
            <v>FINCHG</v>
          </cell>
          <cell r="I12348" t="str">
            <v>LATE FEE</v>
          </cell>
        </row>
        <row r="12349">
          <cell r="H12349" t="str">
            <v>MM</v>
          </cell>
          <cell r="I12349" t="str">
            <v>ADJUST BALANCE (MM)</v>
          </cell>
        </row>
        <row r="12350">
          <cell r="H12350" t="str">
            <v>MM</v>
          </cell>
          <cell r="I12350" t="str">
            <v>ADJUST BALANCE (MM)</v>
          </cell>
        </row>
        <row r="12351">
          <cell r="H12351" t="str">
            <v>REFUND</v>
          </cell>
          <cell r="I12351" t="str">
            <v>REFUND</v>
          </cell>
        </row>
        <row r="12352">
          <cell r="H12352" t="str">
            <v>FINCHG</v>
          </cell>
          <cell r="I12352" t="str">
            <v>LATE FEE</v>
          </cell>
        </row>
        <row r="12353">
          <cell r="H12353" t="str">
            <v>ACCESS-COMM</v>
          </cell>
          <cell r="I12353" t="str">
            <v>ACCESS FEE - COMM</v>
          </cell>
        </row>
        <row r="12354">
          <cell r="H12354" t="str">
            <v>DONATIONC</v>
          </cell>
          <cell r="I12354" t="str">
            <v>DONATED SERVICE COMM</v>
          </cell>
        </row>
        <row r="12355">
          <cell r="H12355" t="str">
            <v>DRIVEIN1-COMM</v>
          </cell>
          <cell r="I12355" t="str">
            <v>DRIVE IN 125-250' - COMM</v>
          </cell>
        </row>
        <row r="12356">
          <cell r="H12356" t="str">
            <v>FL001.0Y1W001</v>
          </cell>
          <cell r="I12356" t="str">
            <v>1 YD 1X WK 1</v>
          </cell>
        </row>
        <row r="12357">
          <cell r="H12357" t="str">
            <v>FL001.5Y1W001</v>
          </cell>
          <cell r="I12357" t="str">
            <v>1.5 YD 1X WK 1</v>
          </cell>
        </row>
        <row r="12358">
          <cell r="H12358" t="str">
            <v>FL001.5Y2W001</v>
          </cell>
          <cell r="I12358" t="str">
            <v>1.5 YD 2X WK 1</v>
          </cell>
        </row>
        <row r="12359">
          <cell r="H12359" t="str">
            <v>FL002.0Y1W001</v>
          </cell>
          <cell r="I12359" t="str">
            <v>2 YD 1X WK 1</v>
          </cell>
        </row>
        <row r="12360">
          <cell r="H12360" t="str">
            <v>FL002.0Y2W001</v>
          </cell>
          <cell r="I12360" t="str">
            <v>2 YD 2X WK 1</v>
          </cell>
        </row>
        <row r="12361">
          <cell r="H12361" t="str">
            <v>FL002.0Y3W001</v>
          </cell>
          <cell r="I12361" t="str">
            <v>2 YD 3X WK 1</v>
          </cell>
        </row>
        <row r="12362">
          <cell r="H12362" t="str">
            <v>FL003.0Y1W001</v>
          </cell>
          <cell r="I12362" t="str">
            <v>3 YD 1X WK 1</v>
          </cell>
        </row>
        <row r="12363">
          <cell r="H12363" t="str">
            <v>FL003.0Y2W001</v>
          </cell>
          <cell r="I12363" t="str">
            <v>3 YD 2X WK 1</v>
          </cell>
        </row>
        <row r="12364">
          <cell r="H12364" t="str">
            <v>FL003.0Y3W001</v>
          </cell>
          <cell r="I12364" t="str">
            <v>3 YD 3X WK 1</v>
          </cell>
        </row>
        <row r="12365">
          <cell r="H12365" t="str">
            <v>FL004.0Y1W001</v>
          </cell>
          <cell r="I12365" t="str">
            <v>4 YD 1X WK 1</v>
          </cell>
        </row>
        <row r="12366">
          <cell r="H12366" t="str">
            <v>FL004.0Y2W001</v>
          </cell>
          <cell r="I12366" t="str">
            <v>4 YD 2X WK 1</v>
          </cell>
        </row>
        <row r="12367">
          <cell r="H12367" t="str">
            <v>FL004.0Y3W001</v>
          </cell>
          <cell r="I12367" t="str">
            <v>4 YD 3X WK 1</v>
          </cell>
        </row>
        <row r="12368">
          <cell r="H12368" t="str">
            <v>FL006.0Y1W001</v>
          </cell>
          <cell r="I12368" t="str">
            <v>6 YD 1X WK 1</v>
          </cell>
        </row>
        <row r="12369">
          <cell r="H12369" t="str">
            <v>FL006.0Y2W001</v>
          </cell>
          <cell r="I12369" t="str">
            <v>6 YD 2X WK 1</v>
          </cell>
        </row>
        <row r="12370">
          <cell r="H12370" t="str">
            <v>FL006.0Y4W001</v>
          </cell>
          <cell r="I12370" t="str">
            <v>6 YD 4X WK 1</v>
          </cell>
        </row>
        <row r="12371">
          <cell r="H12371" t="str">
            <v>ROLL-COMM</v>
          </cell>
          <cell r="I12371" t="str">
            <v>ROLL OUT CHARGE - COMM</v>
          </cell>
        </row>
        <row r="12372">
          <cell r="H12372" t="str">
            <v>SL065.0G1W001NORECC</v>
          </cell>
          <cell r="I12372" t="str">
            <v xml:space="preserve">65 GL 1X WK NO RECY COMM </v>
          </cell>
        </row>
        <row r="12373">
          <cell r="H12373" t="str">
            <v>SL065.0G1W001WRECC</v>
          </cell>
          <cell r="I12373" t="str">
            <v>65 GL 1X WK W/RECY COMM 1</v>
          </cell>
        </row>
        <row r="12374">
          <cell r="H12374" t="str">
            <v>SL065.0GEO001WRECC</v>
          </cell>
          <cell r="I12374" t="str">
            <v>65 GL EOW W/RECY COMM 1</v>
          </cell>
        </row>
        <row r="12375">
          <cell r="H12375" t="str">
            <v>SL095.0G1W001WRECC</v>
          </cell>
          <cell r="I12375" t="str">
            <v>95 GL 1X WK W/RECY COMM 1</v>
          </cell>
        </row>
        <row r="12376">
          <cell r="H12376" t="str">
            <v>CLEAN2-COMM</v>
          </cell>
          <cell r="I12376" t="str">
            <v>CLEANING FEE 2 YD - COMM</v>
          </cell>
        </row>
        <row r="12377">
          <cell r="H12377" t="str">
            <v>DEL2TEMP-COMM</v>
          </cell>
          <cell r="I12377" t="str">
            <v xml:space="preserve">DELIVERY FEE 2 YD TEMP - </v>
          </cell>
        </row>
        <row r="12378">
          <cell r="H12378" t="str">
            <v>EXTRA-COMM</v>
          </cell>
          <cell r="I12378" t="str">
            <v>EXTRA CAN, BAG, BOX - COM</v>
          </cell>
        </row>
        <row r="12379">
          <cell r="H12379" t="str">
            <v>EXTRAYDG-COM</v>
          </cell>
          <cell r="I12379" t="str">
            <v>EXTRA YARDAGE - COMM</v>
          </cell>
        </row>
        <row r="12380">
          <cell r="H12380" t="str">
            <v>FL002.0YXX001TEMPC</v>
          </cell>
          <cell r="I12380" t="str">
            <v xml:space="preserve">2 YD TEMP </v>
          </cell>
        </row>
        <row r="12381">
          <cell r="H12381" t="str">
            <v>RENT2TEMP-COMM</v>
          </cell>
          <cell r="I12381" t="str">
            <v>RENT 2 YD TEMP - COMM</v>
          </cell>
        </row>
        <row r="12382">
          <cell r="H12382" t="str">
            <v>ACCESSCREC-COMM</v>
          </cell>
          <cell r="I12382" t="str">
            <v>ACCESS FEE COMM RECY - CO</v>
          </cell>
        </row>
        <row r="12383">
          <cell r="H12383" t="str">
            <v>FL002.0Y1W001BCMGL</v>
          </cell>
          <cell r="I12383" t="str">
            <v>2 YD 1X WK BUS CMGL 1</v>
          </cell>
        </row>
        <row r="12384">
          <cell r="H12384" t="str">
            <v>FL002.0Y1W001BOCC</v>
          </cell>
          <cell r="I12384" t="str">
            <v>2 YD 1X WK BUS OCC 1</v>
          </cell>
        </row>
        <row r="12385">
          <cell r="H12385" t="str">
            <v>FL004.0Y2W001CMGL</v>
          </cell>
          <cell r="I12385" t="str">
            <v>4 YD 2X WK BUS CMGL 1</v>
          </cell>
        </row>
        <row r="12386">
          <cell r="H12386" t="str">
            <v>FL005.0Y1W001BOCC</v>
          </cell>
          <cell r="I12386" t="str">
            <v>5 YD 1X WK BUS OCC 1</v>
          </cell>
        </row>
        <row r="12387">
          <cell r="H12387" t="str">
            <v>FL005.0Y2W001BOCC</v>
          </cell>
          <cell r="I12387" t="str">
            <v>5 YD 2X WK BUS OCC 1</v>
          </cell>
        </row>
        <row r="12388">
          <cell r="H12388" t="str">
            <v>FL005.0Y3W001BOCC</v>
          </cell>
          <cell r="I12388" t="str">
            <v>5 YD 3X WK BUS OCC 1</v>
          </cell>
        </row>
        <row r="12389">
          <cell r="H12389" t="str">
            <v>FL006.0Y1W001BCMGL</v>
          </cell>
          <cell r="I12389" t="str">
            <v>6 YD 1X WK BUS COMINGLE 1</v>
          </cell>
        </row>
        <row r="12390">
          <cell r="H12390" t="str">
            <v>FL006.0Y2W001BCMGL</v>
          </cell>
          <cell r="I12390" t="str">
            <v>6 YD 2X WK BUS COMINGLE 1</v>
          </cell>
        </row>
        <row r="12391">
          <cell r="H12391" t="str">
            <v>FL006.0Y4W001OCC</v>
          </cell>
          <cell r="I12391" t="str">
            <v>6 YD 4X WK OCC 1</v>
          </cell>
        </row>
        <row r="12392">
          <cell r="H12392" t="str">
            <v>MFWBINS</v>
          </cell>
          <cell r="I12392" t="str">
            <v>MULTI-FAMILY REC UNIT W/B</v>
          </cell>
        </row>
        <row r="12393">
          <cell r="H12393" t="str">
            <v>SL096.0G1W001BCMGLOUT</v>
          </cell>
          <cell r="I12393" t="str">
            <v>96 GL WKLY BUS CMGL OUT</v>
          </cell>
        </row>
        <row r="12394">
          <cell r="H12394" t="str">
            <v>SL096.0GEO001BCMGLOUT</v>
          </cell>
          <cell r="I12394" t="str">
            <v>96 GL EOW BUS CMGL OUT</v>
          </cell>
        </row>
        <row r="12395">
          <cell r="H12395" t="str">
            <v>CC-KOL</v>
          </cell>
          <cell r="I12395" t="str">
            <v>ONLINE PAYMENT-CC</v>
          </cell>
        </row>
        <row r="12396">
          <cell r="H12396" t="str">
            <v>CCREF-KOL</v>
          </cell>
          <cell r="I12396" t="str">
            <v>CREDIT CARD REFUND</v>
          </cell>
        </row>
        <row r="12397">
          <cell r="H12397" t="str">
            <v>PAY</v>
          </cell>
          <cell r="I12397" t="str">
            <v>PAYMENT THANK YOU</v>
          </cell>
        </row>
        <row r="12398">
          <cell r="H12398" t="str">
            <v>PAY-CFREE</v>
          </cell>
          <cell r="I12398" t="str">
            <v>CHECKFREE PAYMENT</v>
          </cell>
        </row>
        <row r="12399">
          <cell r="H12399" t="str">
            <v>PAY-KOL</v>
          </cell>
          <cell r="I12399" t="str">
            <v>PAYMENT-THANK YOU - OL</v>
          </cell>
        </row>
        <row r="12400">
          <cell r="H12400" t="str">
            <v>PAY-ORCC</v>
          </cell>
          <cell r="I12400" t="str">
            <v>ORCC PAYMENT</v>
          </cell>
        </row>
        <row r="12401">
          <cell r="H12401" t="str">
            <v>PAY-RPPS</v>
          </cell>
          <cell r="I12401" t="str">
            <v>RPPS MASTERCARD PAYMENT</v>
          </cell>
        </row>
        <row r="12402">
          <cell r="H12402" t="str">
            <v>PAYAD</v>
          </cell>
          <cell r="I12402" t="str">
            <v>ADJUST PAYMENT AD</v>
          </cell>
        </row>
        <row r="12403">
          <cell r="H12403" t="str">
            <v>PAYMET</v>
          </cell>
          <cell r="I12403" t="str">
            <v>METAVANTE ONLINE PAYMENT</v>
          </cell>
        </row>
        <row r="12404">
          <cell r="H12404" t="str">
            <v>PAYPNCL</v>
          </cell>
          <cell r="I12404" t="str">
            <v>PAYMENT THANK YOU!</v>
          </cell>
        </row>
        <row r="12405">
          <cell r="H12405" t="str">
            <v>PAYUSBL</v>
          </cell>
          <cell r="I12405" t="str">
            <v>PAYMENT THANK YOU</v>
          </cell>
        </row>
        <row r="12406">
          <cell r="H12406" t="str">
            <v>RET-KOL</v>
          </cell>
          <cell r="I12406" t="str">
            <v>ONLINE PAYMENT RETURN</v>
          </cell>
        </row>
        <row r="12407">
          <cell r="H12407" t="str">
            <v>CC-KOL</v>
          </cell>
          <cell r="I12407" t="str">
            <v>ONLINE PAYMENT-CC</v>
          </cell>
        </row>
        <row r="12408">
          <cell r="H12408" t="str">
            <v>CCREF-KOL</v>
          </cell>
          <cell r="I12408" t="str">
            <v>CREDIT CARD REFUND</v>
          </cell>
        </row>
        <row r="12409">
          <cell r="H12409" t="str">
            <v>PAY</v>
          </cell>
          <cell r="I12409" t="str">
            <v>PAYMENT THANK YOU</v>
          </cell>
        </row>
        <row r="12410">
          <cell r="H12410" t="str">
            <v>PAY-CFREE</v>
          </cell>
          <cell r="I12410" t="str">
            <v>CHECKFREE PAYMENT</v>
          </cell>
        </row>
        <row r="12411">
          <cell r="H12411" t="str">
            <v>PAY-KOL</v>
          </cell>
          <cell r="I12411" t="str">
            <v>PAYMENT-THANK YOU - OL</v>
          </cell>
        </row>
        <row r="12412">
          <cell r="H12412" t="str">
            <v>PAY-ORCC</v>
          </cell>
          <cell r="I12412" t="str">
            <v>ORCC PAYMENT</v>
          </cell>
        </row>
        <row r="12413">
          <cell r="H12413" t="str">
            <v>PAY-RPPS</v>
          </cell>
          <cell r="I12413" t="str">
            <v>RPPS MASTERCARD PAYMENT</v>
          </cell>
        </row>
        <row r="12414">
          <cell r="H12414" t="str">
            <v>PAYMET</v>
          </cell>
          <cell r="I12414" t="str">
            <v>METAVANTE ONLINE PAYMENT</v>
          </cell>
        </row>
        <row r="12415">
          <cell r="H12415" t="str">
            <v>PAYPNCL</v>
          </cell>
          <cell r="I12415" t="str">
            <v>PAYMENT THANK YOU!</v>
          </cell>
        </row>
        <row r="12416">
          <cell r="H12416" t="str">
            <v>PAYUSBL</v>
          </cell>
          <cell r="I12416" t="str">
            <v>PAYMENT THANK YOU</v>
          </cell>
        </row>
        <row r="12417">
          <cell r="H12417" t="str">
            <v>RET-KOL</v>
          </cell>
          <cell r="I12417" t="str">
            <v>ONLINE PAYMENT RETURN</v>
          </cell>
        </row>
        <row r="12418">
          <cell r="H12418" t="str">
            <v>CC-KOL</v>
          </cell>
          <cell r="I12418" t="str">
            <v>ONLINE PAYMENT-CC</v>
          </cell>
        </row>
        <row r="12419">
          <cell r="H12419" t="str">
            <v>CCREF-KOL</v>
          </cell>
          <cell r="I12419" t="str">
            <v>CREDIT CARD REFUND</v>
          </cell>
        </row>
        <row r="12420">
          <cell r="H12420" t="str">
            <v>PAY</v>
          </cell>
          <cell r="I12420" t="str">
            <v>PAYMENT THANK YOU</v>
          </cell>
        </row>
        <row r="12421">
          <cell r="H12421" t="str">
            <v>PAY-CFREE</v>
          </cell>
          <cell r="I12421" t="str">
            <v>CHECKFREE PAYMENT</v>
          </cell>
        </row>
        <row r="12422">
          <cell r="H12422" t="str">
            <v>PAY-KOL</v>
          </cell>
          <cell r="I12422" t="str">
            <v>PAYMENT-THANK YOU - OL</v>
          </cell>
        </row>
        <row r="12423">
          <cell r="H12423" t="str">
            <v>PAY-NATL</v>
          </cell>
          <cell r="I12423" t="str">
            <v>PAYMENT THANK YOU</v>
          </cell>
        </row>
        <row r="12424">
          <cell r="H12424" t="str">
            <v>PAY-OAK</v>
          </cell>
          <cell r="I12424" t="str">
            <v>OAKLEAF PAYMENT</v>
          </cell>
        </row>
        <row r="12425">
          <cell r="H12425" t="str">
            <v>PAY-ORCC</v>
          </cell>
          <cell r="I12425" t="str">
            <v>ORCC PAYMENT</v>
          </cell>
        </row>
        <row r="12426">
          <cell r="H12426" t="str">
            <v>PAY-RPPS</v>
          </cell>
          <cell r="I12426" t="str">
            <v>RPPS MASTERCARD PAYMENT</v>
          </cell>
        </row>
        <row r="12427">
          <cell r="H12427" t="str">
            <v>PAYMET</v>
          </cell>
          <cell r="I12427" t="str">
            <v>METAVANTE ONLINE PAYMENT</v>
          </cell>
        </row>
        <row r="12428">
          <cell r="H12428" t="str">
            <v>PAYPNCL</v>
          </cell>
          <cell r="I12428" t="str">
            <v>PAYMENT THANK YOU!</v>
          </cell>
        </row>
        <row r="12429">
          <cell r="H12429" t="str">
            <v>PAYUSBL</v>
          </cell>
          <cell r="I12429" t="str">
            <v>PAYMENT THANK YOU</v>
          </cell>
        </row>
        <row r="12430">
          <cell r="H12430" t="str">
            <v>GWRES</v>
          </cell>
          <cell r="I12430" t="str">
            <v>GREENWASTE SERVICE - RES</v>
          </cell>
        </row>
        <row r="12431">
          <cell r="H12431" t="str">
            <v>GWSPCL-RES</v>
          </cell>
          <cell r="I12431" t="str">
            <v>GREENWASTE SEN/DIS - RES</v>
          </cell>
        </row>
        <row r="12432">
          <cell r="H12432" t="str">
            <v>RECBINONLYR</v>
          </cell>
          <cell r="I12432" t="str">
            <v>RECYCLE SERVICE ONLY</v>
          </cell>
        </row>
        <row r="12433">
          <cell r="H12433" t="str">
            <v>RECPROGADJ-RES</v>
          </cell>
          <cell r="I12433" t="str">
            <v>RECYCLING PROGRAM ADJUSTM</v>
          </cell>
        </row>
        <row r="12434">
          <cell r="H12434" t="str">
            <v>RECVALRES</v>
          </cell>
          <cell r="I12434" t="str">
            <v>RECYCLABLES VALUE - RES</v>
          </cell>
        </row>
        <row r="12435">
          <cell r="H12435" t="str">
            <v>S45G1W1</v>
          </cell>
          <cell r="I12435" t="str">
            <v>45 GL 1X WK 1</v>
          </cell>
        </row>
        <row r="12436">
          <cell r="H12436" t="str">
            <v>S45G1W2</v>
          </cell>
          <cell r="I12436" t="str">
            <v>45 GL 1X WK 2</v>
          </cell>
        </row>
        <row r="12437">
          <cell r="H12437" t="str">
            <v>S45G1W3</v>
          </cell>
          <cell r="I12437" t="str">
            <v>45 GL 1X WK 3</v>
          </cell>
        </row>
        <row r="12438">
          <cell r="H12438" t="str">
            <v>S45GEO1</v>
          </cell>
          <cell r="I12438" t="str">
            <v>45 GL EOW 1</v>
          </cell>
        </row>
        <row r="12439">
          <cell r="H12439" t="str">
            <v>SL045.0G1W001REC</v>
          </cell>
          <cell r="I12439" t="str">
            <v>45 GL 1X WK RECYCLE 1</v>
          </cell>
        </row>
        <row r="12440">
          <cell r="H12440" t="str">
            <v>SL065.0G1W001WREC</v>
          </cell>
          <cell r="I12440" t="str">
            <v>65 GL 1X WK W/RECY 1</v>
          </cell>
        </row>
        <row r="12441">
          <cell r="H12441" t="str">
            <v>SL095.0G1W001WREC</v>
          </cell>
          <cell r="I12441" t="str">
            <v>95 GL 1X WK W/RECY 1</v>
          </cell>
        </row>
        <row r="12442">
          <cell r="H12442" t="str">
            <v>WI1-RES</v>
          </cell>
          <cell r="I12442" t="str">
            <v>WALK IN 6-25' - RES</v>
          </cell>
        </row>
        <row r="12443">
          <cell r="H12443" t="str">
            <v>BULKY-RES</v>
          </cell>
          <cell r="I12443" t="str">
            <v>BULKY ITEM PICK UP - RES</v>
          </cell>
        </row>
        <row r="12444">
          <cell r="H12444" t="str">
            <v>EXTRA-RES</v>
          </cell>
          <cell r="I12444" t="str">
            <v>EXTRA CAN, BAG, BOX - RES</v>
          </cell>
        </row>
        <row r="12445">
          <cell r="H12445" t="str">
            <v>GWRES</v>
          </cell>
          <cell r="I12445" t="str">
            <v>GREENWASTE SERVICE - RES</v>
          </cell>
        </row>
        <row r="12446">
          <cell r="H12446" t="str">
            <v>OW-RES</v>
          </cell>
          <cell r="I12446" t="str">
            <v>OVERFILL / OVERWEIGHT CAN</v>
          </cell>
        </row>
        <row r="12447">
          <cell r="H12447" t="str">
            <v>RTRNCART45-RES</v>
          </cell>
          <cell r="I12447" t="str">
            <v>RETURN TRIP 45 GL - RES</v>
          </cell>
        </row>
        <row r="12448">
          <cell r="H12448" t="str">
            <v>GWRES</v>
          </cell>
          <cell r="I12448" t="str">
            <v>GREENWASTE SERVICE - RES</v>
          </cell>
        </row>
        <row r="12449">
          <cell r="H12449" t="str">
            <v>S45G1W1</v>
          </cell>
          <cell r="I12449" t="str">
            <v>45 GL 1X WK 1</v>
          </cell>
        </row>
        <row r="12450">
          <cell r="H12450" t="str">
            <v>S45G1W2</v>
          </cell>
          <cell r="I12450" t="str">
            <v>45 GL 1X WK 2</v>
          </cell>
        </row>
        <row r="12451">
          <cell r="H12451" t="str">
            <v>S45GEO1</v>
          </cell>
          <cell r="I12451" t="str">
            <v>45 GL EOW 1</v>
          </cell>
        </row>
        <row r="12452">
          <cell r="H12452" t="str">
            <v>SL045.0G1W001REC</v>
          </cell>
          <cell r="I12452" t="str">
            <v>45 GL 1X WK RECYCLE 1</v>
          </cell>
        </row>
        <row r="12453">
          <cell r="H12453" t="str">
            <v>SL065.0G1W001WREC</v>
          </cell>
          <cell r="I12453" t="str">
            <v>65 GL 1X WK W/RECY 1</v>
          </cell>
        </row>
        <row r="12454">
          <cell r="H12454" t="str">
            <v>SL095.0G1W001WREC</v>
          </cell>
          <cell r="I12454" t="str">
            <v>95 GL 1X WK W/RECY 1</v>
          </cell>
        </row>
        <row r="12455">
          <cell r="H12455" t="str">
            <v>BULKY-RES</v>
          </cell>
          <cell r="I12455" t="str">
            <v>BULKY ITEM PICK UP - RES</v>
          </cell>
        </row>
        <row r="12456">
          <cell r="H12456" t="str">
            <v>EXTRA-RES</v>
          </cell>
          <cell r="I12456" t="str">
            <v>EXTRA CAN, BAG, BOX - RES</v>
          </cell>
        </row>
        <row r="12457">
          <cell r="H12457" t="str">
            <v>OC-RES</v>
          </cell>
          <cell r="I12457" t="str">
            <v>ON CALL SERVICE - RES</v>
          </cell>
        </row>
        <row r="12458">
          <cell r="H12458" t="str">
            <v>OW-RES</v>
          </cell>
          <cell r="I12458" t="str">
            <v>OVERFILL / OVERWEIGHT CAN</v>
          </cell>
        </row>
        <row r="12459">
          <cell r="H12459" t="str">
            <v>REINSTATE-RES</v>
          </cell>
          <cell r="I12459" t="str">
            <v>REINSTATE FEE - RES</v>
          </cell>
        </row>
        <row r="12460">
          <cell r="H12460" t="str">
            <v>RTRNCART45-RES</v>
          </cell>
          <cell r="I12460" t="str">
            <v>RETURN TRIP 45 GL - RES</v>
          </cell>
        </row>
        <row r="12461">
          <cell r="H12461" t="str">
            <v>S45G1W1</v>
          </cell>
          <cell r="I12461" t="str">
            <v>45 GL 1X WK 1</v>
          </cell>
        </row>
        <row r="12462">
          <cell r="H12462" t="str">
            <v>S45G1W2</v>
          </cell>
          <cell r="I12462" t="str">
            <v>45 GL 1X WK 2</v>
          </cell>
        </row>
        <row r="12463">
          <cell r="H12463" t="str">
            <v>SL095.0G1W001WREC</v>
          </cell>
          <cell r="I12463" t="str">
            <v>95 GL 1X WK W/RECY 1</v>
          </cell>
        </row>
        <row r="12464">
          <cell r="H12464" t="str">
            <v>OW-RES</v>
          </cell>
          <cell r="I12464" t="str">
            <v>OVERFILL / OVERWEIGHT CAN</v>
          </cell>
        </row>
        <row r="12465">
          <cell r="H12465" t="str">
            <v>LIDRO</v>
          </cell>
          <cell r="I12465" t="str">
            <v>LID CHARGE - RO</v>
          </cell>
        </row>
        <row r="12466">
          <cell r="H12466" t="str">
            <v>RENT30MO-RO</v>
          </cell>
          <cell r="I12466" t="str">
            <v>RENTAL FEE 30 YD MONTHLY</v>
          </cell>
        </row>
        <row r="12467">
          <cell r="H12467" t="str">
            <v>RENT40MO-RO</v>
          </cell>
          <cell r="I12467" t="str">
            <v>RENTAL FEE 40 YD MONTHLY</v>
          </cell>
        </row>
        <row r="12468">
          <cell r="H12468" t="str">
            <v>CLEAN25-RO</v>
          </cell>
          <cell r="I12468" t="str">
            <v>CLEANING FEE 25 YD - RO</v>
          </cell>
        </row>
        <row r="12469">
          <cell r="H12469" t="str">
            <v>DEL30TEMP-RO</v>
          </cell>
          <cell r="I12469" t="str">
            <v>DELIVERY FEE 30 YD TEMP -</v>
          </cell>
        </row>
        <row r="12470">
          <cell r="H12470" t="str">
            <v>DISCO-CP</v>
          </cell>
          <cell r="I12470" t="str">
            <v xml:space="preserve">COMPACTOR DISCONNECT FEE </v>
          </cell>
        </row>
        <row r="12471">
          <cell r="H12471" t="str">
            <v>DISP-RO</v>
          </cell>
          <cell r="I12471" t="str">
            <v>DISPOSAL CHARGE - RO</v>
          </cell>
        </row>
        <row r="12472">
          <cell r="H12472" t="str">
            <v>DISPTRANS-RO</v>
          </cell>
          <cell r="I12472" t="str">
            <v>DISPOSAL FEE TRANSFER HAU</v>
          </cell>
        </row>
        <row r="12473">
          <cell r="H12473" t="str">
            <v>FINAL30TEMP-RO</v>
          </cell>
          <cell r="I12473" t="str">
            <v>FINAL PULL 30 YD TEMP - R</v>
          </cell>
        </row>
        <row r="12474">
          <cell r="H12474" t="str">
            <v>HAUL25-CP</v>
          </cell>
          <cell r="I12474" t="str">
            <v>COMPACTOR HAUL 25 YD - RO</v>
          </cell>
        </row>
        <row r="12475">
          <cell r="H12475" t="str">
            <v>HAUL30-RO</v>
          </cell>
          <cell r="I12475" t="str">
            <v>HAUL 30 YD - RO</v>
          </cell>
        </row>
        <row r="12476">
          <cell r="H12476" t="str">
            <v>HAUL30TEMP-RO</v>
          </cell>
          <cell r="I12476" t="str">
            <v>HAUL 30 YD TEMP - RO</v>
          </cell>
        </row>
        <row r="12477">
          <cell r="H12477" t="str">
            <v>HAUL40-CP</v>
          </cell>
          <cell r="I12477" t="str">
            <v>COMPACTOR HAUL 40 YD</v>
          </cell>
        </row>
        <row r="12478">
          <cell r="H12478" t="str">
            <v>HAUL40-RO</v>
          </cell>
          <cell r="I12478" t="str">
            <v>HAUL 40 YD - RO</v>
          </cell>
        </row>
        <row r="12479">
          <cell r="H12479" t="str">
            <v>MILE-RO</v>
          </cell>
          <cell r="I12479" t="str">
            <v>MILEAGE FEE - RO</v>
          </cell>
        </row>
        <row r="12480">
          <cell r="H12480" t="str">
            <v>RENT30TEMP-RO</v>
          </cell>
          <cell r="I12480" t="str">
            <v>RENTAL FEE 30 YD TEMP - R</v>
          </cell>
        </row>
        <row r="12481">
          <cell r="H12481" t="str">
            <v>RTRNTRIP-RO</v>
          </cell>
          <cell r="I12481" t="str">
            <v>RETURN TRIP FEE - RO</v>
          </cell>
        </row>
        <row r="12482">
          <cell r="H12482" t="str">
            <v>DISPGLASS-RO</v>
          </cell>
          <cell r="I12482" t="str">
            <v>DISPOSAL FEE GLASS - RO</v>
          </cell>
        </row>
        <row r="12483">
          <cell r="H12483" t="str">
            <v>DISPOCC-RO</v>
          </cell>
          <cell r="I12483" t="str">
            <v xml:space="preserve">DISPOSAL FEE CARDBOARD - </v>
          </cell>
        </row>
        <row r="12484">
          <cell r="H12484" t="str">
            <v>HAUL30-RO</v>
          </cell>
          <cell r="I12484" t="str">
            <v>HAUL 30 YD - RO</v>
          </cell>
        </row>
        <row r="12485">
          <cell r="H12485" t="str">
            <v>COMMODITY SURCHARGE</v>
          </cell>
          <cell r="I12485" t="str">
            <v>COMMODITY SURCHARGE</v>
          </cell>
        </row>
        <row r="12486">
          <cell r="H12486" t="str">
            <v>COMMODITY SURCHARGE</v>
          </cell>
          <cell r="I12486" t="str">
            <v>COMMODITY SURCHARGE</v>
          </cell>
        </row>
        <row r="12487">
          <cell r="H12487" t="str">
            <v>DUPONT CITY UTILITY TAX</v>
          </cell>
          <cell r="I12487" t="str">
            <v>8% CITY UTILITY TAX</v>
          </cell>
        </row>
        <row r="12488">
          <cell r="H12488" t="str">
            <v>DUPONT REFUSE TAX</v>
          </cell>
          <cell r="I12488" t="str">
            <v>3.6% WA STATE REFUSE TAX</v>
          </cell>
        </row>
        <row r="12489">
          <cell r="H12489" t="str">
            <v>DUPONT CITY ONLY</v>
          </cell>
          <cell r="I12489" t="str">
            <v>8% CITY UTILITY TAX</v>
          </cell>
        </row>
        <row r="12490">
          <cell r="H12490" t="str">
            <v>DUPONT CITY UTILITY TAX</v>
          </cell>
          <cell r="I12490" t="str">
            <v>8% CITY UTILITY TAX</v>
          </cell>
        </row>
        <row r="12491">
          <cell r="H12491" t="str">
            <v>DUPONT REFUSE TAX</v>
          </cell>
          <cell r="I12491" t="str">
            <v>3.6% WA STATE REFUSE TAX</v>
          </cell>
        </row>
        <row r="12492">
          <cell r="H12492" t="str">
            <v>DUPONT STATE SALES TAX</v>
          </cell>
          <cell r="I12492" t="str">
            <v>9.3% WA STATE SALES TAX</v>
          </cell>
        </row>
        <row r="12493">
          <cell r="H12493" t="str">
            <v>DUPONT CITY UTILITY TAX</v>
          </cell>
          <cell r="I12493" t="str">
            <v>8% CITY UTILITY TAX</v>
          </cell>
        </row>
        <row r="12494">
          <cell r="H12494" t="str">
            <v>DUPONT REFUSE TAX</v>
          </cell>
          <cell r="I12494" t="str">
            <v>3.6% WA STATE REFUSE TAX</v>
          </cell>
        </row>
        <row r="12495">
          <cell r="H12495" t="str">
            <v>DUPONT STATE SALES TAX</v>
          </cell>
          <cell r="I12495" t="str">
            <v>9.3% WA STATE SALES TAX</v>
          </cell>
        </row>
        <row r="12496">
          <cell r="H12496" t="str">
            <v>DUPONT CITY UTILITY TAX</v>
          </cell>
          <cell r="I12496" t="str">
            <v>8% CITY UTILITY TAX</v>
          </cell>
        </row>
        <row r="12497">
          <cell r="H12497" t="str">
            <v>DUPONT REFUSE TAX</v>
          </cell>
          <cell r="I12497" t="str">
            <v>3.6% WA STATE REFUSE TAX</v>
          </cell>
        </row>
        <row r="12498">
          <cell r="H12498" t="str">
            <v>DUPONT CITY UTILITY TAX</v>
          </cell>
          <cell r="I12498" t="str">
            <v>8% CITY UTILITY TAX</v>
          </cell>
        </row>
        <row r="12499">
          <cell r="H12499" t="str">
            <v>DUPONT REFUSE TAX</v>
          </cell>
          <cell r="I12499" t="str">
            <v>3.6% WA STATE REFUSE TAX</v>
          </cell>
        </row>
        <row r="12500">
          <cell r="H12500" t="str">
            <v>DUPONT CITY ONLY</v>
          </cell>
          <cell r="I12500" t="str">
            <v>8% CITY UTILITY TAX</v>
          </cell>
        </row>
        <row r="12501">
          <cell r="H12501" t="str">
            <v>DUPONT CITY UTILITY TAX</v>
          </cell>
          <cell r="I12501" t="str">
            <v>8% CITY UTILITY TAX</v>
          </cell>
        </row>
        <row r="12502">
          <cell r="H12502" t="str">
            <v>DUPONT REFUSE TAX</v>
          </cell>
          <cell r="I12502" t="str">
            <v>3.6% WA STATE REFUSE TAX</v>
          </cell>
        </row>
        <row r="12503">
          <cell r="H12503" t="str">
            <v>DUPONT STATE SALES TAX</v>
          </cell>
          <cell r="I12503" t="str">
            <v>9.3% WA STATE SALES TAX</v>
          </cell>
        </row>
        <row r="12504">
          <cell r="H12504" t="str">
            <v>DUPONT CITY UTILITY TAX</v>
          </cell>
          <cell r="I12504" t="str">
            <v>8% CITY UTILITY TAX</v>
          </cell>
        </row>
        <row r="12505">
          <cell r="H12505" t="str">
            <v>DUPONT REFUSE TAX</v>
          </cell>
          <cell r="I12505" t="str">
            <v>3.6% WA STATE REFUSE TAX</v>
          </cell>
        </row>
        <row r="12506">
          <cell r="H12506" t="str">
            <v>FINCHG</v>
          </cell>
          <cell r="I12506" t="str">
            <v>LATE FEE</v>
          </cell>
        </row>
        <row r="12507">
          <cell r="H12507" t="str">
            <v>ACCESS-COMM</v>
          </cell>
          <cell r="I12507" t="str">
            <v>ACCESS FEE - COMM</v>
          </cell>
        </row>
        <row r="12508">
          <cell r="H12508" t="str">
            <v>DONATIONC</v>
          </cell>
          <cell r="I12508" t="str">
            <v>DONATED SERVICE COMM</v>
          </cell>
        </row>
        <row r="12509">
          <cell r="H12509" t="str">
            <v>FL001.0Y1W001</v>
          </cell>
          <cell r="I12509" t="str">
            <v>1 YD 1X WK 1</v>
          </cell>
        </row>
        <row r="12510">
          <cell r="H12510" t="str">
            <v>FL001.0Y2W001</v>
          </cell>
          <cell r="I12510" t="str">
            <v>1 YD 2X WK 1</v>
          </cell>
        </row>
        <row r="12511">
          <cell r="H12511" t="str">
            <v>FL001.5Y1W001</v>
          </cell>
          <cell r="I12511" t="str">
            <v>1.5 YD 1X WK 1</v>
          </cell>
        </row>
        <row r="12512">
          <cell r="H12512" t="str">
            <v>FL001.5Y2W001</v>
          </cell>
          <cell r="I12512" t="str">
            <v>1.5 YD 2X WK 1</v>
          </cell>
        </row>
        <row r="12513">
          <cell r="H12513" t="str">
            <v>FL002.0Y1W001</v>
          </cell>
          <cell r="I12513" t="str">
            <v>2 YD 1X WK 1</v>
          </cell>
        </row>
        <row r="12514">
          <cell r="H12514" t="str">
            <v>FL002.0Y2W001</v>
          </cell>
          <cell r="I12514" t="str">
            <v>2 YD 2X WK 1</v>
          </cell>
        </row>
        <row r="12515">
          <cell r="H12515" t="str">
            <v>GWCOMM</v>
          </cell>
          <cell r="I12515" t="str">
            <v>GREENWASTE SERVICE - COMM</v>
          </cell>
        </row>
        <row r="12516">
          <cell r="H12516" t="str">
            <v>RL001.0Y1W001</v>
          </cell>
          <cell r="I12516" t="str">
            <v>1 YD 1X WK 1</v>
          </cell>
        </row>
        <row r="12517">
          <cell r="H12517" t="str">
            <v>RL002.0Y1W001</v>
          </cell>
          <cell r="I12517" t="str">
            <v>2 YD 1X WK 1</v>
          </cell>
        </row>
        <row r="12518">
          <cell r="H12518" t="str">
            <v>SL035.0G1M001WRECC</v>
          </cell>
          <cell r="I12518" t="str">
            <v>35 GL 1X MO W/RECY COMM 1</v>
          </cell>
        </row>
        <row r="12519">
          <cell r="H12519" t="str">
            <v>SL065.0G1M001WRECC</v>
          </cell>
          <cell r="I12519" t="str">
            <v>65 GL 1X MO W/RECY COMM 1</v>
          </cell>
        </row>
        <row r="12520">
          <cell r="H12520" t="str">
            <v>SL065.0G1W001WRECC</v>
          </cell>
          <cell r="I12520" t="str">
            <v>65 GL 1X WK W/RECY COMM 1</v>
          </cell>
        </row>
        <row r="12521">
          <cell r="H12521" t="str">
            <v>SL065.0GEO001WRECC</v>
          </cell>
          <cell r="I12521" t="str">
            <v>65 GL EOW W/RECY COMM 1</v>
          </cell>
        </row>
        <row r="12522">
          <cell r="H12522" t="str">
            <v>SL095.0G1W001NORECC</v>
          </cell>
          <cell r="I12522" t="str">
            <v xml:space="preserve">95 GL 1X WK NO RECY COMM </v>
          </cell>
        </row>
        <row r="12523">
          <cell r="H12523" t="str">
            <v>SL095.0G1W001WRECC</v>
          </cell>
          <cell r="I12523" t="str">
            <v>95 GL 1X WK W/RECY COMM 1</v>
          </cell>
        </row>
        <row r="12524">
          <cell r="H12524" t="str">
            <v>SL095.0GEO001WRECC</v>
          </cell>
          <cell r="I12524" t="str">
            <v>95 GL EOW W/RECY COMM 1</v>
          </cell>
        </row>
        <row r="12525">
          <cell r="H12525" t="str">
            <v>EXTRA-COMM</v>
          </cell>
          <cell r="I12525" t="str">
            <v>EXTRA CAN, BAG, BOX - COM</v>
          </cell>
        </row>
        <row r="12526">
          <cell r="H12526" t="str">
            <v>ACCESSCREC-COMM</v>
          </cell>
          <cell r="I12526" t="str">
            <v>ACCESS FEE COMM RECY - CO</v>
          </cell>
        </row>
        <row r="12527">
          <cell r="H12527" t="str">
            <v>FL002.0Y1W001BCMGL</v>
          </cell>
          <cell r="I12527" t="str">
            <v>2 YD 1X WK BUS CMGL 1</v>
          </cell>
        </row>
        <row r="12528">
          <cell r="H12528" t="str">
            <v>FL002.0Y1W001BOCC</v>
          </cell>
          <cell r="I12528" t="str">
            <v>2 YD 1X WK BUS OCC 1</v>
          </cell>
        </row>
        <row r="12529">
          <cell r="H12529" t="str">
            <v>FL002.0Y2W001SCMGL</v>
          </cell>
          <cell r="I12529" t="str">
            <v>2 YD 2X WK SCHL CMGL 1</v>
          </cell>
        </row>
        <row r="12530">
          <cell r="H12530" t="str">
            <v>FL005.0Y1W001BOCC</v>
          </cell>
          <cell r="I12530" t="str">
            <v>5 YD 1X WK BUS OCC 1</v>
          </cell>
        </row>
        <row r="12531">
          <cell r="H12531" t="str">
            <v>FL006.0Y1W001SCMGL</v>
          </cell>
          <cell r="I12531" t="str">
            <v>6 YD 1X WK SCHL CMGL 1</v>
          </cell>
        </row>
        <row r="12532">
          <cell r="H12532" t="str">
            <v>SL096.0GEO001BCMGLIN</v>
          </cell>
          <cell r="I12532" t="str">
            <v>96 GL EOW BUS CMGL IN</v>
          </cell>
        </row>
        <row r="12533">
          <cell r="H12533" t="str">
            <v>SL096.0GEO001BCMGLOUT</v>
          </cell>
          <cell r="I12533" t="str">
            <v>96 GL EOW BUS CMGL OUT</v>
          </cell>
        </row>
        <row r="12534">
          <cell r="H12534" t="str">
            <v>SL096.0GEO001SCMGLOUT</v>
          </cell>
          <cell r="I12534" t="str">
            <v>96 GL EOW SCHL CMGL OUT</v>
          </cell>
        </row>
        <row r="12535">
          <cell r="H12535" t="str">
            <v>FL002.0Y1W001BOCC</v>
          </cell>
          <cell r="I12535" t="str">
            <v>2 YD 1X WK BUS OCC 1</v>
          </cell>
        </row>
        <row r="12536">
          <cell r="H12536" t="str">
            <v>CC-KOL</v>
          </cell>
          <cell r="I12536" t="str">
            <v>ONLINE PAYMENT-CC</v>
          </cell>
        </row>
        <row r="12537">
          <cell r="H12537" t="str">
            <v>PAYPNCL</v>
          </cell>
          <cell r="I12537" t="str">
            <v>PAYMENT THANK YOU!</v>
          </cell>
        </row>
        <row r="12538">
          <cell r="H12538" t="str">
            <v>GWRES</v>
          </cell>
          <cell r="I12538" t="str">
            <v>GREENWASTE SERVICE - RES</v>
          </cell>
        </row>
        <row r="12539">
          <cell r="H12539" t="str">
            <v>RECBINONLYR</v>
          </cell>
          <cell r="I12539" t="str">
            <v>RECYCLE SERVICE ONLY</v>
          </cell>
        </row>
        <row r="12540">
          <cell r="H12540" t="str">
            <v>SL035.0G1M001WREC</v>
          </cell>
          <cell r="I12540" t="str">
            <v>35 GL 1X MO W/RECY 1</v>
          </cell>
        </row>
        <row r="12541">
          <cell r="H12541" t="str">
            <v>SL065.0G1M001NOREC</v>
          </cell>
          <cell r="I12541" t="str">
            <v>65 GL 1X MO NO RECY 1</v>
          </cell>
        </row>
        <row r="12542">
          <cell r="H12542" t="str">
            <v>SL065.0G1M001WREC</v>
          </cell>
          <cell r="I12542" t="str">
            <v>65 GL 1X MO W/RECY 1</v>
          </cell>
        </row>
        <row r="12543">
          <cell r="H12543" t="str">
            <v>SL065.0G1W001WREC</v>
          </cell>
          <cell r="I12543" t="str">
            <v>65 GL 1X WK W/RECY 1</v>
          </cell>
        </row>
        <row r="12544">
          <cell r="H12544" t="str">
            <v>SL065.0GEO001</v>
          </cell>
          <cell r="I12544" t="str">
            <v>65 GL EOW 1</v>
          </cell>
        </row>
        <row r="12545">
          <cell r="H12545" t="str">
            <v>SL065.0GEO001WREC</v>
          </cell>
          <cell r="I12545" t="str">
            <v>65 GL EOW W/RECY 1</v>
          </cell>
        </row>
        <row r="12546">
          <cell r="H12546" t="str">
            <v>SL095.0G1W001WREC</v>
          </cell>
          <cell r="I12546" t="str">
            <v>95 GL 1X WK W/RECY 1</v>
          </cell>
        </row>
        <row r="12547">
          <cell r="H12547" t="str">
            <v>SL095.0GEO001</v>
          </cell>
          <cell r="I12547" t="str">
            <v>95 GL EOW 1</v>
          </cell>
        </row>
        <row r="12548">
          <cell r="H12548" t="str">
            <v>SL095.0GEO001WREC</v>
          </cell>
          <cell r="I12548" t="str">
            <v>95 GL EOW W/RECY 1</v>
          </cell>
        </row>
        <row r="12549">
          <cell r="H12549" t="str">
            <v>EXTRA-RES</v>
          </cell>
          <cell r="I12549" t="str">
            <v>EXTRA CAN, BAG, BOX - RES</v>
          </cell>
        </row>
        <row r="12550">
          <cell r="H12550" t="str">
            <v>EXTRA65-RES</v>
          </cell>
          <cell r="I12550" t="str">
            <v>EXTRA 65 GL RES</v>
          </cell>
        </row>
        <row r="12551">
          <cell r="H12551" t="str">
            <v>EXTRAGWC-RES</v>
          </cell>
          <cell r="I12551" t="str">
            <v>EXTRA GREENWASTE FEE - RE</v>
          </cell>
        </row>
        <row r="12552">
          <cell r="H12552" t="str">
            <v>DONATIONRO</v>
          </cell>
          <cell r="I12552" t="str">
            <v>DONATED SERVICE ROLL OFF</v>
          </cell>
        </row>
        <row r="12553">
          <cell r="H12553" t="str">
            <v>LIDRO</v>
          </cell>
          <cell r="I12553" t="str">
            <v>LID CHARGE - RO</v>
          </cell>
        </row>
        <row r="12554">
          <cell r="H12554" t="str">
            <v>RENT20MO-RO</v>
          </cell>
          <cell r="I12554" t="str">
            <v>RENTAL FEE 20 YD MONTHLY</v>
          </cell>
        </row>
        <row r="12555">
          <cell r="H12555" t="str">
            <v>RENT30MO-RO</v>
          </cell>
          <cell r="I12555" t="str">
            <v>RENTAL FEE 30 YD MONTHLY</v>
          </cell>
        </row>
        <row r="12556">
          <cell r="H12556" t="str">
            <v>DEL40TEMP-RO</v>
          </cell>
          <cell r="I12556" t="str">
            <v>DELIVERY FEE 40 YD TEMP -</v>
          </cell>
        </row>
        <row r="12557">
          <cell r="H12557" t="str">
            <v>DISCO-CP</v>
          </cell>
          <cell r="I12557" t="str">
            <v xml:space="preserve">COMPACTOR DISCONNECT FEE </v>
          </cell>
        </row>
        <row r="12558">
          <cell r="H12558" t="str">
            <v>DISP-RO</v>
          </cell>
          <cell r="I12558" t="str">
            <v>DISPOSAL CHARGE - RO</v>
          </cell>
        </row>
        <row r="12559">
          <cell r="H12559" t="str">
            <v>DISPGLASS-RO</v>
          </cell>
          <cell r="I12559" t="str">
            <v>DISPOSAL FEE GLASS - RO</v>
          </cell>
        </row>
        <row r="12560">
          <cell r="H12560" t="str">
            <v>DISPOCC-RO</v>
          </cell>
          <cell r="I12560" t="str">
            <v xml:space="preserve">DISPOSAL FEE CARDBOARD - </v>
          </cell>
        </row>
        <row r="12561">
          <cell r="H12561" t="str">
            <v>FINAL40TEMP-RO</v>
          </cell>
          <cell r="I12561" t="str">
            <v>FINAL PULL 40 YD TEMP - R</v>
          </cell>
        </row>
        <row r="12562">
          <cell r="H12562" t="str">
            <v>HAUL20-RO</v>
          </cell>
          <cell r="I12562" t="str">
            <v>HAUL 20 YD - RO</v>
          </cell>
        </row>
        <row r="12563">
          <cell r="H12563" t="str">
            <v>HAUL30-CP</v>
          </cell>
          <cell r="I12563" t="str">
            <v>COMPACTOR HAUL 30 YD</v>
          </cell>
        </row>
        <row r="12564">
          <cell r="H12564" t="str">
            <v>HAUL30-RO</v>
          </cell>
          <cell r="I12564" t="str">
            <v>HAUL 30 YD - RO</v>
          </cell>
        </row>
        <row r="12565">
          <cell r="H12565" t="str">
            <v>MILE-RO</v>
          </cell>
          <cell r="I12565" t="str">
            <v>MILEAGE FEE - RO</v>
          </cell>
        </row>
        <row r="12566">
          <cell r="H12566" t="str">
            <v>RENT20MO-RO</v>
          </cell>
          <cell r="I12566" t="str">
            <v>RENTAL FEE 20 YD MONTHLY</v>
          </cell>
        </row>
        <row r="12567">
          <cell r="H12567" t="str">
            <v>RENT40TEMP-RO</v>
          </cell>
          <cell r="I12567" t="str">
            <v>RENTAL FEE 40 YD TEMP - R</v>
          </cell>
        </row>
        <row r="12568">
          <cell r="H12568" t="str">
            <v>COMMODITY SURCHARGE</v>
          </cell>
          <cell r="I12568" t="str">
            <v>COMMODITY SURCHARGE</v>
          </cell>
        </row>
        <row r="12569">
          <cell r="H12569" t="str">
            <v>PIERCE COUNTY REFUSE TAX</v>
          </cell>
          <cell r="I12569" t="str">
            <v>3.6% PIERCE COUNTY REFUSE</v>
          </cell>
        </row>
        <row r="12570">
          <cell r="H12570" t="str">
            <v>PIERCE COUNTY SALES TAX</v>
          </cell>
          <cell r="I12570" t="str">
            <v>7.9% WA STATE SALES TAX</v>
          </cell>
        </row>
        <row r="12571">
          <cell r="H12571" t="str">
            <v>FINCHG</v>
          </cell>
          <cell r="I12571" t="str">
            <v>LATE FEE</v>
          </cell>
        </row>
        <row r="12572">
          <cell r="H12572" t="str">
            <v>BDR</v>
          </cell>
          <cell r="I12572" t="str">
            <v>BAD DEBT RECOVERY</v>
          </cell>
        </row>
        <row r="12573">
          <cell r="H12573" t="str">
            <v>FINCHG</v>
          </cell>
          <cell r="I12573" t="str">
            <v>LATE FEE</v>
          </cell>
        </row>
        <row r="12574">
          <cell r="H12574" t="str">
            <v>ACCESS-COMM</v>
          </cell>
          <cell r="I12574" t="str">
            <v>ACCESS FEE - COMM</v>
          </cell>
        </row>
        <row r="12575">
          <cell r="H12575" t="str">
            <v>FL001.0Y1W001</v>
          </cell>
          <cell r="I12575" t="str">
            <v>1 YD 1X WK 1</v>
          </cell>
        </row>
        <row r="12576">
          <cell r="H12576" t="str">
            <v>FL001.5Y1W001</v>
          </cell>
          <cell r="I12576" t="str">
            <v>1.5 YD 1X WK 1</v>
          </cell>
        </row>
        <row r="12577">
          <cell r="H12577" t="str">
            <v>FL001.5Y2W001</v>
          </cell>
          <cell r="I12577" t="str">
            <v>1.5 YD 2X WK 1</v>
          </cell>
        </row>
        <row r="12578">
          <cell r="H12578" t="str">
            <v>FL001.5Y3W001</v>
          </cell>
          <cell r="I12578" t="str">
            <v>1.5 YD 3X WK 1</v>
          </cell>
        </row>
        <row r="12579">
          <cell r="H12579" t="str">
            <v>FL001.5Y4W001</v>
          </cell>
          <cell r="I12579" t="str">
            <v>1.5 YD 4X WK 1</v>
          </cell>
        </row>
        <row r="12580">
          <cell r="H12580" t="str">
            <v>FL001.5Y5W001</v>
          </cell>
          <cell r="I12580" t="str">
            <v>1.5 YD 5X WK 1</v>
          </cell>
        </row>
        <row r="12581">
          <cell r="H12581" t="str">
            <v>FL002.0Y1W001</v>
          </cell>
          <cell r="I12581" t="str">
            <v>2 YD 1X WK 1</v>
          </cell>
        </row>
        <row r="12582">
          <cell r="H12582" t="str">
            <v>FL002.0Y3W001</v>
          </cell>
          <cell r="I12582" t="str">
            <v>2 YD 3X WK 1</v>
          </cell>
        </row>
        <row r="12583">
          <cell r="H12583" t="str">
            <v>FL002.0Y5W001</v>
          </cell>
          <cell r="I12583" t="str">
            <v>2 YD 5X WK 1</v>
          </cell>
        </row>
        <row r="12584">
          <cell r="H12584" t="str">
            <v>FL003.0Y1W001</v>
          </cell>
          <cell r="I12584" t="str">
            <v>3 YD 1X WK 1</v>
          </cell>
        </row>
        <row r="12585">
          <cell r="H12585" t="str">
            <v>FL003.0Y2W001</v>
          </cell>
          <cell r="I12585" t="str">
            <v>3 YD 2X WK 1</v>
          </cell>
        </row>
        <row r="12586">
          <cell r="H12586" t="str">
            <v>FL004.0Y1W001</v>
          </cell>
          <cell r="I12586" t="str">
            <v>4 YD 1X WK 1</v>
          </cell>
        </row>
        <row r="12587">
          <cell r="H12587" t="str">
            <v>FL006.0Y1W001</v>
          </cell>
          <cell r="I12587" t="str">
            <v>6 YD 1X WK 1</v>
          </cell>
        </row>
        <row r="12588">
          <cell r="H12588" t="str">
            <v>FL006.0Y2W001</v>
          </cell>
          <cell r="I12588" t="str">
            <v>6 YD 2X WK 1</v>
          </cell>
        </row>
        <row r="12589">
          <cell r="H12589" t="str">
            <v>FL006.0Y3W001</v>
          </cell>
          <cell r="I12589" t="str">
            <v>6 YD 3X WK 1</v>
          </cell>
        </row>
        <row r="12590">
          <cell r="H12590" t="str">
            <v>SL065.0G1W001NORECC</v>
          </cell>
          <cell r="I12590" t="str">
            <v xml:space="preserve">65 GL 1X WK NO RECY COMM </v>
          </cell>
        </row>
        <row r="12591">
          <cell r="H12591" t="str">
            <v>SL065.0G1W001WRECC</v>
          </cell>
          <cell r="I12591" t="str">
            <v>65 GL 1X WK W/RECY COMM 1</v>
          </cell>
        </row>
        <row r="12592">
          <cell r="H12592" t="str">
            <v>SL095.0G1W001NORECC</v>
          </cell>
          <cell r="I12592" t="str">
            <v xml:space="preserve">95 GL 1X WK NO RECY COMM </v>
          </cell>
        </row>
        <row r="12593">
          <cell r="H12593" t="str">
            <v>CLEAN2-COMM</v>
          </cell>
          <cell r="I12593" t="str">
            <v>CLEANING FEE 2 YD - COMM</v>
          </cell>
        </row>
        <row r="12594">
          <cell r="H12594" t="str">
            <v>DEL2TEMP-COMM</v>
          </cell>
          <cell r="I12594" t="str">
            <v xml:space="preserve">DELIVERY FEE 2 YD TEMP - </v>
          </cell>
        </row>
        <row r="12595">
          <cell r="H12595" t="str">
            <v>EXTRA-COMM</v>
          </cell>
          <cell r="I12595" t="str">
            <v>EXTRA CAN, BAG, BOX - COM</v>
          </cell>
        </row>
        <row r="12596">
          <cell r="H12596" t="str">
            <v>FL002.0YXX001TEMPC</v>
          </cell>
          <cell r="I12596" t="str">
            <v xml:space="preserve">2 YD TEMP </v>
          </cell>
        </row>
        <row r="12597">
          <cell r="H12597" t="str">
            <v>RENT2TEMP-COMM</v>
          </cell>
          <cell r="I12597" t="str">
            <v>RENT 2 YD TEMP - COMM</v>
          </cell>
        </row>
        <row r="12598">
          <cell r="H12598" t="str">
            <v>FL002.0Y1W001BCMGL</v>
          </cell>
          <cell r="I12598" t="str">
            <v>2 YD 1X WK BUS CMGL 1</v>
          </cell>
        </row>
        <row r="12599">
          <cell r="H12599" t="str">
            <v>FL002.0Y1W001BOCC</v>
          </cell>
          <cell r="I12599" t="str">
            <v>2 YD 1X WK BUS OCC 1</v>
          </cell>
        </row>
        <row r="12600">
          <cell r="H12600" t="str">
            <v>FL002.0Y2W001BCMGL</v>
          </cell>
          <cell r="I12600" t="str">
            <v>2 YD 2X WK BUS CMGL 1</v>
          </cell>
        </row>
        <row r="12601">
          <cell r="H12601" t="str">
            <v>FL004.0Y1W001CMGL</v>
          </cell>
          <cell r="I12601" t="str">
            <v>4 YD 1X WK BUS CMGL 1</v>
          </cell>
        </row>
        <row r="12602">
          <cell r="H12602" t="str">
            <v>FL004.0Y2W001CMGL</v>
          </cell>
          <cell r="I12602" t="str">
            <v>4 YD 2X WK BUS CMGL 1</v>
          </cell>
        </row>
        <row r="12603">
          <cell r="H12603" t="str">
            <v>FL005.0Y1W001BOCC</v>
          </cell>
          <cell r="I12603" t="str">
            <v>5 YD 1X WK BUS OCC 1</v>
          </cell>
        </row>
        <row r="12604">
          <cell r="H12604" t="str">
            <v>FL005.0Y2W001BOCC</v>
          </cell>
          <cell r="I12604" t="str">
            <v>5 YD 2X WK BUS OCC 1</v>
          </cell>
        </row>
        <row r="12605">
          <cell r="H12605" t="str">
            <v>FL006.0Y1W001BCMGL</v>
          </cell>
          <cell r="I12605" t="str">
            <v>6 YD 1X WK BUS COMINGLE 1</v>
          </cell>
        </row>
        <row r="12606">
          <cell r="H12606" t="str">
            <v>SL096.0GEO001BCMGLOUT</v>
          </cell>
          <cell r="I12606" t="str">
            <v>96 GL EOW BUS CMGL OUT</v>
          </cell>
        </row>
        <row r="12607">
          <cell r="H12607" t="str">
            <v>SP2BCMGL-COMM</v>
          </cell>
          <cell r="I12607" t="str">
            <v>SPECIAL P/U 2 YD BUS CMGL</v>
          </cell>
        </row>
        <row r="12608">
          <cell r="H12608" t="str">
            <v>CC-KOL</v>
          </cell>
          <cell r="I12608" t="str">
            <v>ONLINE PAYMENT-CC</v>
          </cell>
        </row>
        <row r="12609">
          <cell r="H12609" t="str">
            <v>CCREF-KOL</v>
          </cell>
          <cell r="I12609" t="str">
            <v>CREDIT CARD REFUND</v>
          </cell>
        </row>
        <row r="12610">
          <cell r="H12610" t="str">
            <v>PAY</v>
          </cell>
          <cell r="I12610" t="str">
            <v>PAYMENT THANK YOU</v>
          </cell>
        </row>
        <row r="12611">
          <cell r="H12611" t="str">
            <v>PAY-KOL</v>
          </cell>
          <cell r="I12611" t="str">
            <v>PAYMENT-THANK YOU - OL</v>
          </cell>
        </row>
        <row r="12612">
          <cell r="H12612" t="str">
            <v>PAY-NATL</v>
          </cell>
          <cell r="I12612" t="str">
            <v>PAYMENT THANK YOU</v>
          </cell>
        </row>
        <row r="12613">
          <cell r="H12613" t="str">
            <v>PAYEFT</v>
          </cell>
          <cell r="I12613" t="str">
            <v>EFT PAYMENT</v>
          </cell>
        </row>
        <row r="12614">
          <cell r="H12614" t="str">
            <v>PAYPNCL</v>
          </cell>
          <cell r="I12614" t="str">
            <v>PAYMENT THANK YOU!</v>
          </cell>
        </row>
        <row r="12615">
          <cell r="H12615" t="str">
            <v>PAYUSBL</v>
          </cell>
          <cell r="I12615" t="str">
            <v>PAYMENT THANK YOU</v>
          </cell>
        </row>
        <row r="12616">
          <cell r="H12616" t="str">
            <v>OW-RES</v>
          </cell>
          <cell r="I12616" t="str">
            <v>OVERFILL / OVERWEIGHT CAN</v>
          </cell>
        </row>
        <row r="12617">
          <cell r="H12617" t="str">
            <v>LIDRO</v>
          </cell>
          <cell r="I12617" t="str">
            <v>LID CHARGE - RO</v>
          </cell>
        </row>
        <row r="12618">
          <cell r="H12618" t="str">
            <v>RENT20MO-RO</v>
          </cell>
          <cell r="I12618" t="str">
            <v>RENTAL FEE 20 YD MONTHLY</v>
          </cell>
        </row>
        <row r="12619">
          <cell r="H12619" t="str">
            <v>RENT30MO-RO</v>
          </cell>
          <cell r="I12619" t="str">
            <v>RENTAL FEE 30 YD MONTHLY</v>
          </cell>
        </row>
        <row r="12620">
          <cell r="H12620" t="str">
            <v>RENT40MO-RO</v>
          </cell>
          <cell r="I12620" t="str">
            <v>RENTAL FEE 40 YD MONTHLY</v>
          </cell>
        </row>
        <row r="12621">
          <cell r="H12621" t="str">
            <v>CLEAN20-RO</v>
          </cell>
          <cell r="I12621" t="str">
            <v>CLEANING FEE 20 YD - RO</v>
          </cell>
        </row>
        <row r="12622">
          <cell r="H12622" t="str">
            <v>DEL20-RO</v>
          </cell>
          <cell r="I12622" t="str">
            <v>DELIVERY FEE 20 YD - RO</v>
          </cell>
        </row>
        <row r="12623">
          <cell r="H12623" t="str">
            <v>DEL40TEMP-RO</v>
          </cell>
          <cell r="I12623" t="str">
            <v>DELIVERY FEE 40 YD TEMP -</v>
          </cell>
        </row>
        <row r="12624">
          <cell r="H12624" t="str">
            <v>DISCO-CP</v>
          </cell>
          <cell r="I12624" t="str">
            <v xml:space="preserve">COMPACTOR DISCONNECT FEE </v>
          </cell>
        </row>
        <row r="12625">
          <cell r="H12625" t="str">
            <v>DISPFEDMSW-RO</v>
          </cell>
          <cell r="I12625" t="str">
            <v xml:space="preserve">DISPOSAL FEE FEDERAL MSW </v>
          </cell>
        </row>
        <row r="12626">
          <cell r="H12626" t="str">
            <v>FINAL20TEMP-RO</v>
          </cell>
          <cell r="I12626" t="str">
            <v>FINAL PULL 20 YD TEMP - R</v>
          </cell>
        </row>
        <row r="12627">
          <cell r="H12627" t="str">
            <v>FINAL40-RO</v>
          </cell>
          <cell r="I12627" t="str">
            <v>FINAL PULL 40 YD - RO</v>
          </cell>
        </row>
        <row r="12628">
          <cell r="H12628" t="str">
            <v>FINAL40TEMP-RO</v>
          </cell>
          <cell r="I12628" t="str">
            <v>FINAL PULL 40 YD TEMP - R</v>
          </cell>
        </row>
        <row r="12629">
          <cell r="H12629" t="str">
            <v>HAUL20-CP</v>
          </cell>
          <cell r="I12629" t="str">
            <v>COMPACTOR HAUL 20 YD - RO</v>
          </cell>
        </row>
        <row r="12630">
          <cell r="H12630" t="str">
            <v>HAUL20-RO</v>
          </cell>
          <cell r="I12630" t="str">
            <v>HAUL 20 YD - RO</v>
          </cell>
        </row>
        <row r="12631">
          <cell r="H12631" t="str">
            <v>HAUL30-RO</v>
          </cell>
          <cell r="I12631" t="str">
            <v>HAUL 30 YD - RO</v>
          </cell>
        </row>
        <row r="12632">
          <cell r="H12632" t="str">
            <v>HAUL40-RO</v>
          </cell>
          <cell r="I12632" t="str">
            <v>HAUL 40 YD - RO</v>
          </cell>
        </row>
        <row r="12633">
          <cell r="H12633" t="str">
            <v>HAUL40TEMP-RO</v>
          </cell>
          <cell r="I12633" t="str">
            <v>HAUL 40 YD TEMP - RO</v>
          </cell>
        </row>
        <row r="12634">
          <cell r="H12634" t="str">
            <v>MILE-RO</v>
          </cell>
          <cell r="I12634" t="str">
            <v>MILEAGE FEE - RO</v>
          </cell>
        </row>
        <row r="12635">
          <cell r="H12635" t="str">
            <v>RENT20TEMP-RO</v>
          </cell>
          <cell r="I12635" t="str">
            <v>RENTAL FEE 20 YD TEMP - R</v>
          </cell>
        </row>
        <row r="12636">
          <cell r="H12636" t="str">
            <v>RENT40TEMP-RO</v>
          </cell>
          <cell r="I12636" t="str">
            <v>RENTAL FEE 40 YD TEMP - R</v>
          </cell>
        </row>
        <row r="12637">
          <cell r="H12637" t="str">
            <v>COMMODITY SURCHARGE</v>
          </cell>
          <cell r="I12637" t="str">
            <v>COMMODITY SURCHARGE</v>
          </cell>
        </row>
        <row r="12638">
          <cell r="H12638" t="str">
            <v>FT LEWIS REFUSE TAX</v>
          </cell>
          <cell r="I12638" t="str">
            <v>3.6% WA STATE REFUSE TAX</v>
          </cell>
        </row>
        <row r="12639">
          <cell r="H12639" t="str">
            <v>FT LEWIS STATE SALES TAX</v>
          </cell>
          <cell r="I12639" t="str">
            <v>9.3% WA STATE SALES TAX</v>
          </cell>
        </row>
        <row r="12640">
          <cell r="H12640" t="str">
            <v xml:space="preserve">PIERCE COUNTY REFUSE  </v>
          </cell>
          <cell r="I12640" t="str">
            <v>3.6% PIERCE COUNTY REFUSE</v>
          </cell>
        </row>
        <row r="12641">
          <cell r="H12641" t="str">
            <v>FT LEWIS REFUSE TAX</v>
          </cell>
          <cell r="I12641" t="str">
            <v>3.6% WA STATE REFUSE TAX</v>
          </cell>
        </row>
        <row r="12642">
          <cell r="H12642" t="str">
            <v>FT LEWIS STATE SALES TAX</v>
          </cell>
          <cell r="I12642" t="str">
            <v>9.3% WA STATE SALES TAX</v>
          </cell>
        </row>
        <row r="12643">
          <cell r="H12643" t="str">
            <v>FT LEWIS REFUSE TAX</v>
          </cell>
          <cell r="I12643" t="str">
            <v>3.6% WA STATE REFUSE TAX</v>
          </cell>
        </row>
        <row r="12644">
          <cell r="H12644" t="str">
            <v>FT LEWIS STATE SALES TAX</v>
          </cell>
          <cell r="I12644" t="str">
            <v>9.3% WA STATE SALES TAX</v>
          </cell>
        </row>
        <row r="12645">
          <cell r="H12645" t="str">
            <v>FINCHG</v>
          </cell>
          <cell r="I12645" t="str">
            <v>LATE FEE</v>
          </cell>
        </row>
        <row r="12646">
          <cell r="H12646" t="str">
            <v>FL004.0Y2W001MF</v>
          </cell>
          <cell r="I12646" t="str">
            <v>4 YD 2X WK MULTI-FAMILY 1</v>
          </cell>
        </row>
        <row r="12647">
          <cell r="H12647" t="str">
            <v>FL006.0Y1W001MF</v>
          </cell>
          <cell r="I12647" t="str">
            <v>6 YD 1X WK MULTI-FAMILY 1</v>
          </cell>
        </row>
        <row r="12648">
          <cell r="H12648" t="str">
            <v>FL006.0Y2W001MF</v>
          </cell>
          <cell r="I12648" t="str">
            <v>6 YD 2X WK MULTI-FAMILY 1</v>
          </cell>
        </row>
        <row r="12649">
          <cell r="H12649" t="str">
            <v>MFWBINS</v>
          </cell>
          <cell r="I12649" t="str">
            <v>MULTI-FAMILY REC UNIT W/B</v>
          </cell>
        </row>
        <row r="12650">
          <cell r="H12650" t="str">
            <v>SL096.0G1M001BCMGLOUT</v>
          </cell>
          <cell r="I12650" t="str">
            <v>96 GL MTHLY BUS CMGL OUT</v>
          </cell>
        </row>
        <row r="12651">
          <cell r="H12651" t="str">
            <v>CC-KOL</v>
          </cell>
          <cell r="I12651" t="str">
            <v>ONLINE PAYMENT-CC</v>
          </cell>
        </row>
        <row r="12652">
          <cell r="H12652" t="str">
            <v>CCREF-KOL</v>
          </cell>
          <cell r="I12652" t="str">
            <v>CREDIT CARD REFUND</v>
          </cell>
        </row>
        <row r="12653">
          <cell r="H12653" t="str">
            <v>PAY</v>
          </cell>
          <cell r="I12653" t="str">
            <v>PAYMENT THANK YOU</v>
          </cell>
        </row>
        <row r="12654">
          <cell r="H12654" t="str">
            <v>PAY-KOL</v>
          </cell>
          <cell r="I12654" t="str">
            <v>PAYMENT-THANK YOU - OL</v>
          </cell>
        </row>
        <row r="12655">
          <cell r="H12655" t="str">
            <v>GWRES</v>
          </cell>
          <cell r="I12655" t="str">
            <v>GREENWASTE SERVICE - RES</v>
          </cell>
        </row>
        <row r="12656">
          <cell r="H12656" t="str">
            <v>RECBINONLYR</v>
          </cell>
          <cell r="I12656" t="str">
            <v>RECYCLE SERVICE ONLY</v>
          </cell>
        </row>
        <row r="12657">
          <cell r="H12657" t="str">
            <v>RECPROGADJ-RES</v>
          </cell>
          <cell r="I12657" t="str">
            <v>RECYCLING PROGRAM ADJUSTM</v>
          </cell>
        </row>
        <row r="12658">
          <cell r="H12658" t="str">
            <v>RECVALRES</v>
          </cell>
          <cell r="I12658" t="str">
            <v>RECYCLABLES VALUE - RES</v>
          </cell>
        </row>
        <row r="12659">
          <cell r="H12659" t="str">
            <v>SL065.0G1W001WREC</v>
          </cell>
          <cell r="I12659" t="str">
            <v>65 GL 1X WK W/RECY 1</v>
          </cell>
        </row>
        <row r="12660">
          <cell r="H12660" t="str">
            <v>SL095.0G1W001</v>
          </cell>
          <cell r="I12660" t="str">
            <v>95 GL 1X WK 1</v>
          </cell>
        </row>
        <row r="12661">
          <cell r="H12661" t="str">
            <v>SL095.0G1W001WREC</v>
          </cell>
          <cell r="I12661" t="str">
            <v>95 GL 1X WK W/RECY 1</v>
          </cell>
        </row>
        <row r="12662">
          <cell r="H12662" t="str">
            <v>DISPFEDMSW-RES</v>
          </cell>
          <cell r="I12662" t="str">
            <v>DISPOSAL FEDERAL MSW - RE</v>
          </cell>
        </row>
        <row r="12663">
          <cell r="H12663" t="str">
            <v>EXTRA-RES</v>
          </cell>
          <cell r="I12663" t="str">
            <v>EXTRA CAN, BAG, BOX - RES</v>
          </cell>
        </row>
        <row r="12664">
          <cell r="H12664" t="str">
            <v>OW-RES</v>
          </cell>
          <cell r="I12664" t="str">
            <v>OVERFILL / OVERWEIGHT CAN</v>
          </cell>
        </row>
        <row r="12665">
          <cell r="H12665" t="str">
            <v>RECPROGADJ-RES</v>
          </cell>
          <cell r="I12665" t="str">
            <v>RECYCLING PROGRAM ADJUSTM</v>
          </cell>
        </row>
        <row r="12666">
          <cell r="H12666" t="str">
            <v>RECVALRES</v>
          </cell>
          <cell r="I12666" t="str">
            <v>RECYCLABLES VALUE - RES</v>
          </cell>
        </row>
        <row r="12667">
          <cell r="H12667" t="str">
            <v>REINSTATE-RES</v>
          </cell>
          <cell r="I12667" t="str">
            <v>REINSTATE FEE - RES</v>
          </cell>
        </row>
        <row r="12668">
          <cell r="H12668" t="str">
            <v>TIME-RES</v>
          </cell>
          <cell r="I12668" t="str">
            <v>TIME FEE 1 - RES</v>
          </cell>
        </row>
        <row r="12669">
          <cell r="H12669" t="str">
            <v>RENT20MO-RO</v>
          </cell>
          <cell r="I12669" t="str">
            <v>RENTAL FEE 20 YD MONTHLY</v>
          </cell>
        </row>
        <row r="12670">
          <cell r="H12670" t="str">
            <v>RENT30MO-RO</v>
          </cell>
          <cell r="I12670" t="str">
            <v>RENTAL FEE 30 YD MONTHLY</v>
          </cell>
        </row>
        <row r="12671">
          <cell r="H12671" t="str">
            <v>RENT40MO-RO</v>
          </cell>
          <cell r="I12671" t="str">
            <v>RENTAL FEE 40 YD MONTHLY</v>
          </cell>
        </row>
        <row r="12672">
          <cell r="H12672" t="str">
            <v>DISPFEDMSW-RO</v>
          </cell>
          <cell r="I12672" t="str">
            <v xml:space="preserve">DISPOSAL FEE FEDERAL MSW </v>
          </cell>
        </row>
        <row r="12673">
          <cell r="H12673" t="str">
            <v>HAUL20-RO</v>
          </cell>
          <cell r="I12673" t="str">
            <v>HAUL 20 YD - RO</v>
          </cell>
        </row>
        <row r="12674">
          <cell r="H12674" t="str">
            <v>HAUL30-RO</v>
          </cell>
          <cell r="I12674" t="str">
            <v>HAUL 30 YD - RO</v>
          </cell>
        </row>
        <row r="12675">
          <cell r="H12675" t="str">
            <v>HAUL40-RO</v>
          </cell>
          <cell r="I12675" t="str">
            <v>HAUL 40 YD - RO</v>
          </cell>
        </row>
        <row r="12676">
          <cell r="H12676" t="str">
            <v>MILE-RO</v>
          </cell>
          <cell r="I12676" t="str">
            <v>MILEAGE FEE - RO</v>
          </cell>
        </row>
        <row r="12677">
          <cell r="H12677" t="str">
            <v>RTRNTRIP-RO</v>
          </cell>
          <cell r="I12677" t="str">
            <v>RETURN TRIP FEE - RO</v>
          </cell>
        </row>
        <row r="12678">
          <cell r="H12678" t="str">
            <v>FT LEWIS REFUSE TAX</v>
          </cell>
          <cell r="I12678" t="str">
            <v>3.6% WA STATE REFUSE TAX</v>
          </cell>
        </row>
        <row r="12679">
          <cell r="H12679" t="str">
            <v>FT LEWIS STATE SALES TAX</v>
          </cell>
          <cell r="I12679" t="str">
            <v>9.3% WA STATE SALES TAX</v>
          </cell>
        </row>
        <row r="12680">
          <cell r="H12680" t="str">
            <v>FT LEWIS REFUSE TAX</v>
          </cell>
          <cell r="I12680" t="str">
            <v>3.6% WA STATE REFUSE TAX</v>
          </cell>
        </row>
        <row r="12681">
          <cell r="H12681" t="str">
            <v>FINCHG</v>
          </cell>
          <cell r="I12681" t="str">
            <v>LATE FEE</v>
          </cell>
        </row>
        <row r="12682">
          <cell r="H12682" t="str">
            <v>BD</v>
          </cell>
          <cell r="I12682" t="str">
            <v>BAD DEBT WRITE OFF</v>
          </cell>
        </row>
        <row r="12683">
          <cell r="H12683" t="str">
            <v>BDR</v>
          </cell>
          <cell r="I12683" t="str">
            <v>BAD DEBT RECOVERY</v>
          </cell>
        </row>
        <row r="12684">
          <cell r="H12684" t="str">
            <v>COLLFEE</v>
          </cell>
          <cell r="I12684" t="str">
            <v>COLLECTION AGENCY FEE</v>
          </cell>
        </row>
        <row r="12685">
          <cell r="H12685" t="str">
            <v>MM</v>
          </cell>
          <cell r="I12685" t="str">
            <v>ADJUST BALANCE (MM)</v>
          </cell>
        </row>
        <row r="12686">
          <cell r="H12686" t="str">
            <v>MM</v>
          </cell>
          <cell r="I12686" t="str">
            <v>ADJUST BALANCE (MM)</v>
          </cell>
        </row>
        <row r="12687">
          <cell r="H12687" t="str">
            <v>REFUND</v>
          </cell>
          <cell r="I12687" t="str">
            <v>REFUND</v>
          </cell>
        </row>
        <row r="12688">
          <cell r="H12688" t="str">
            <v>RETCK</v>
          </cell>
          <cell r="I12688" t="str">
            <v>RETURNED CHECK</v>
          </cell>
        </row>
        <row r="12689">
          <cell r="H12689" t="str">
            <v>RETCKC</v>
          </cell>
          <cell r="I12689" t="str">
            <v>RETURN CHECK CHARGE</v>
          </cell>
        </row>
        <row r="12690">
          <cell r="H12690" t="str">
            <v>BD</v>
          </cell>
          <cell r="I12690" t="str">
            <v>BAD DEBT WRITE OFF</v>
          </cell>
        </row>
        <row r="12691">
          <cell r="H12691" t="str">
            <v>BDR</v>
          </cell>
          <cell r="I12691" t="str">
            <v>BAD DEBT RECOVERY</v>
          </cell>
        </row>
        <row r="12692">
          <cell r="H12692" t="str">
            <v>COLLFEE</v>
          </cell>
          <cell r="I12692" t="str">
            <v>COLLECTION AGENCY FEE</v>
          </cell>
        </row>
        <row r="12693">
          <cell r="H12693" t="str">
            <v>FINCHG</v>
          </cell>
          <cell r="I12693" t="str">
            <v>LATE FEE</v>
          </cell>
        </row>
        <row r="12694">
          <cell r="H12694" t="str">
            <v>MM</v>
          </cell>
          <cell r="I12694" t="str">
            <v>ADJUST BALANCE (MM)</v>
          </cell>
        </row>
        <row r="12695">
          <cell r="H12695" t="str">
            <v>MM</v>
          </cell>
          <cell r="I12695" t="str">
            <v>ADJUST BALANCE (MM)</v>
          </cell>
        </row>
        <row r="12696">
          <cell r="H12696" t="str">
            <v>REFUND</v>
          </cell>
          <cell r="I12696" t="str">
            <v>REFUND</v>
          </cell>
        </row>
        <row r="12697">
          <cell r="H12697" t="str">
            <v>FINCHG</v>
          </cell>
          <cell r="I12697" t="str">
            <v>LATE FEE</v>
          </cell>
        </row>
        <row r="12698">
          <cell r="H12698" t="str">
            <v>BD</v>
          </cell>
          <cell r="I12698" t="str">
            <v>BAD DEBT WRITE OFF</v>
          </cell>
        </row>
        <row r="12699">
          <cell r="H12699" t="str">
            <v>BDR</v>
          </cell>
          <cell r="I12699" t="str">
            <v>BAD DEBT RECOVERY</v>
          </cell>
        </row>
        <row r="12700">
          <cell r="H12700" t="str">
            <v>FINCHG</v>
          </cell>
          <cell r="I12700" t="str">
            <v>LATE FEE</v>
          </cell>
        </row>
        <row r="12701">
          <cell r="H12701" t="str">
            <v>MM</v>
          </cell>
          <cell r="I12701" t="str">
            <v>ADJUST BALANCE (MM)</v>
          </cell>
        </row>
        <row r="12702">
          <cell r="H12702" t="str">
            <v>MM</v>
          </cell>
          <cell r="I12702" t="str">
            <v>ADJUST BALANCE (MM)</v>
          </cell>
        </row>
        <row r="12703">
          <cell r="H12703" t="str">
            <v>REFUND</v>
          </cell>
          <cell r="I12703" t="str">
            <v>REFUND</v>
          </cell>
        </row>
        <row r="12704">
          <cell r="H12704" t="str">
            <v>RTRNCART64S-COMM</v>
          </cell>
          <cell r="I12704" t="str">
            <v>RETURN TRIP 64 GL SCHL - COMM</v>
          </cell>
        </row>
        <row r="12705">
          <cell r="H12705" t="str">
            <v>RTRNCART32-COMM</v>
          </cell>
          <cell r="I12705" t="str">
            <v>RETURN TRIP 32 GL - COMM</v>
          </cell>
        </row>
        <row r="12706">
          <cell r="H12706" t="str">
            <v>SURCHGC</v>
          </cell>
          <cell r="I12706" t="str">
            <v>SURCHARGE - COMM</v>
          </cell>
        </row>
        <row r="12707">
          <cell r="H12707" t="str">
            <v>ACCESS-COMM</v>
          </cell>
          <cell r="I12707" t="str">
            <v>ACCESS FEE - COMM</v>
          </cell>
        </row>
        <row r="12708">
          <cell r="H12708" t="str">
            <v>ACCESS-MF</v>
          </cell>
          <cell r="I12708" t="str">
            <v>ACCESS FEE - MF</v>
          </cell>
        </row>
        <row r="12709">
          <cell r="H12709" t="str">
            <v>DONATIONC</v>
          </cell>
          <cell r="I12709" t="str">
            <v>DONATED SERVICE COMM</v>
          </cell>
        </row>
        <row r="12710">
          <cell r="H12710" t="str">
            <v>DRIVEIN1-COMM</v>
          </cell>
          <cell r="I12710" t="str">
            <v>DRIVE IN 125-250' - COMM</v>
          </cell>
        </row>
        <row r="12711">
          <cell r="H12711" t="str">
            <v>DRIVEIN3-COMM</v>
          </cell>
          <cell r="I12711" t="str">
            <v>DRIVE IN 779-1306' - COMM</v>
          </cell>
        </row>
        <row r="12712">
          <cell r="H12712" t="str">
            <v>FL001.0Y1W001</v>
          </cell>
          <cell r="I12712" t="str">
            <v>1 YD 1X WK 1</v>
          </cell>
        </row>
        <row r="12713">
          <cell r="H12713" t="str">
            <v>FL001.0Y2W001</v>
          </cell>
          <cell r="I12713" t="str">
            <v>1 YD 2X WK 1</v>
          </cell>
        </row>
        <row r="12714">
          <cell r="H12714" t="str">
            <v>FL001.0Y3W001</v>
          </cell>
          <cell r="I12714" t="str">
            <v>1 YD 3X WK 1</v>
          </cell>
        </row>
        <row r="12715">
          <cell r="H12715" t="str">
            <v>FL001.5Y1W001</v>
          </cell>
          <cell r="I12715" t="str">
            <v>1.5 YD 1X WK 1</v>
          </cell>
        </row>
        <row r="12716">
          <cell r="H12716" t="str">
            <v>FL001.5Y2W001</v>
          </cell>
          <cell r="I12716" t="str">
            <v>1.5 YD 2X WK 1</v>
          </cell>
        </row>
        <row r="12717">
          <cell r="H12717" t="str">
            <v>FL001.5Y3W001</v>
          </cell>
          <cell r="I12717" t="str">
            <v>1.5 YD 3X WK 1</v>
          </cell>
        </row>
        <row r="12718">
          <cell r="H12718" t="str">
            <v>FL002.0Y1W001</v>
          </cell>
          <cell r="I12718" t="str">
            <v>2 YD 1X WK 1</v>
          </cell>
        </row>
        <row r="12719">
          <cell r="H12719" t="str">
            <v>FL002.0Y2W001</v>
          </cell>
          <cell r="I12719" t="str">
            <v>2 YD 2X WK 1</v>
          </cell>
        </row>
        <row r="12720">
          <cell r="H12720" t="str">
            <v>FL002.0Y3W001</v>
          </cell>
          <cell r="I12720" t="str">
            <v>2 YD 3X WK 1</v>
          </cell>
        </row>
        <row r="12721">
          <cell r="H12721" t="str">
            <v>FL002.0Y4W001</v>
          </cell>
          <cell r="I12721" t="str">
            <v>2 YD 4X WK 1</v>
          </cell>
        </row>
        <row r="12722">
          <cell r="H12722" t="str">
            <v>FL002.0Y5W001</v>
          </cell>
          <cell r="I12722" t="str">
            <v>2 YD 5X WK 1</v>
          </cell>
        </row>
        <row r="12723">
          <cell r="H12723" t="str">
            <v>FL003.0Y1W001</v>
          </cell>
          <cell r="I12723" t="str">
            <v>3 YD 1X WK 1</v>
          </cell>
        </row>
        <row r="12724">
          <cell r="H12724" t="str">
            <v>FL003.0Y2W001</v>
          </cell>
          <cell r="I12724" t="str">
            <v>3 YD 2X WK 1</v>
          </cell>
        </row>
        <row r="12725">
          <cell r="H12725" t="str">
            <v>FL003.0Y3W001</v>
          </cell>
          <cell r="I12725" t="str">
            <v>3 YD 3X WK 1</v>
          </cell>
        </row>
        <row r="12726">
          <cell r="H12726" t="str">
            <v>FL003.0Y5W001</v>
          </cell>
          <cell r="I12726" t="str">
            <v>3 YD 5X WK 1</v>
          </cell>
        </row>
        <row r="12727">
          <cell r="H12727" t="str">
            <v>FL004.0Y1W001</v>
          </cell>
          <cell r="I12727" t="str">
            <v>4 YD 1X WK 1</v>
          </cell>
        </row>
        <row r="12728">
          <cell r="H12728" t="str">
            <v>FL004.0Y2W001</v>
          </cell>
          <cell r="I12728" t="str">
            <v>4 YD 2X WK 1</v>
          </cell>
        </row>
        <row r="12729">
          <cell r="H12729" t="str">
            <v>FL004.0Y2W001CMP</v>
          </cell>
          <cell r="I12729" t="str">
            <v>4 YD 2X WK COMP 1</v>
          </cell>
        </row>
        <row r="12730">
          <cell r="H12730" t="str">
            <v>FL004.0Y3W001</v>
          </cell>
          <cell r="I12730" t="str">
            <v>4 YD 3X WK 1</v>
          </cell>
        </row>
        <row r="12731">
          <cell r="H12731" t="str">
            <v>FL004.0Y4W001</v>
          </cell>
          <cell r="I12731" t="str">
            <v>4 YD 4X WK 1</v>
          </cell>
        </row>
        <row r="12732">
          <cell r="H12732" t="str">
            <v>FL004.0Y5W001</v>
          </cell>
          <cell r="I12732" t="str">
            <v>4 YD 5X WK 1</v>
          </cell>
        </row>
        <row r="12733">
          <cell r="H12733" t="str">
            <v>FL006.0Y1W001</v>
          </cell>
          <cell r="I12733" t="str">
            <v>6 YD 1X WK 1</v>
          </cell>
        </row>
        <row r="12734">
          <cell r="H12734" t="str">
            <v>FL006.0Y2W001</v>
          </cell>
          <cell r="I12734" t="str">
            <v>6 YD 2X WK 1</v>
          </cell>
        </row>
        <row r="12735">
          <cell r="H12735" t="str">
            <v>FL006.0Y2W001CMP</v>
          </cell>
          <cell r="I12735" t="str">
            <v>6 YD 2X WK COMP 1</v>
          </cell>
        </row>
        <row r="12736">
          <cell r="H12736" t="str">
            <v>FL006.0Y3W001</v>
          </cell>
          <cell r="I12736" t="str">
            <v>6 YD 3X WK 1</v>
          </cell>
        </row>
        <row r="12737">
          <cell r="H12737" t="str">
            <v>FL006.0Y4W001</v>
          </cell>
          <cell r="I12737" t="str">
            <v>6 YD 4X WK 1</v>
          </cell>
        </row>
        <row r="12738">
          <cell r="H12738" t="str">
            <v>FL006.0Y5W001</v>
          </cell>
          <cell r="I12738" t="str">
            <v>6 YD 5X WK 1</v>
          </cell>
        </row>
        <row r="12739">
          <cell r="H12739" t="str">
            <v>GWCOMM</v>
          </cell>
          <cell r="I12739" t="str">
            <v>GREENWASTE SERVICE - COMM</v>
          </cell>
        </row>
        <row r="12740">
          <cell r="H12740" t="str">
            <v>RL032.0G1W001WRECC</v>
          </cell>
          <cell r="I12740" t="str">
            <v>32 GL 1X WK W/RECY COMM 1</v>
          </cell>
        </row>
        <row r="12741">
          <cell r="H12741" t="str">
            <v>ROLL-COMM</v>
          </cell>
          <cell r="I12741" t="str">
            <v>ROLL OUT CHARGE - COMM</v>
          </cell>
        </row>
        <row r="12742">
          <cell r="H12742" t="str">
            <v>SL065.0G1M001NORECC</v>
          </cell>
          <cell r="I12742" t="str">
            <v xml:space="preserve">65 GL 1X MO NO RECY COMM </v>
          </cell>
        </row>
        <row r="12743">
          <cell r="H12743" t="str">
            <v>SL065.0G1W001NORECC</v>
          </cell>
          <cell r="I12743" t="str">
            <v xml:space="preserve">65 GL 1X WK NO RECY COMM </v>
          </cell>
        </row>
        <row r="12744">
          <cell r="H12744" t="str">
            <v>SL065.0G1W001WRECC</v>
          </cell>
          <cell r="I12744" t="str">
            <v>65 GL 1X WK W/RECY COMM 1</v>
          </cell>
        </row>
        <row r="12745">
          <cell r="H12745" t="str">
            <v>SL065.0GEO001NORECC</v>
          </cell>
          <cell r="I12745" t="str">
            <v>65 GL EOW NO RECY COMM 1</v>
          </cell>
        </row>
        <row r="12746">
          <cell r="H12746" t="str">
            <v>SL065.0GEO001WRECC</v>
          </cell>
          <cell r="I12746" t="str">
            <v>65 GL EOW W/RECY COMM 1</v>
          </cell>
        </row>
        <row r="12747">
          <cell r="H12747" t="str">
            <v>SL095.0G1W001NORECC</v>
          </cell>
          <cell r="I12747" t="str">
            <v xml:space="preserve">95 GL 1X WK NO RECY COMM </v>
          </cell>
        </row>
        <row r="12748">
          <cell r="H12748" t="str">
            <v>SL095.0G1W001WRECC</v>
          </cell>
          <cell r="I12748" t="str">
            <v>95 GL 1X WK W/RECY COMM 1</v>
          </cell>
        </row>
        <row r="12749">
          <cell r="H12749" t="str">
            <v>SL095.0GEO001NORECC</v>
          </cell>
          <cell r="I12749" t="str">
            <v>95 GL EOW NO RECY COMM 1</v>
          </cell>
        </row>
        <row r="12750">
          <cell r="H12750" t="str">
            <v>SL095.0GEO001WRECC</v>
          </cell>
          <cell r="I12750" t="str">
            <v>95 GL EOW W/RECY COMM 1</v>
          </cell>
        </row>
        <row r="12751">
          <cell r="H12751" t="str">
            <v>WI1-COMM</v>
          </cell>
          <cell r="I12751" t="str">
            <v>WALK IN 6-25' - COMM</v>
          </cell>
        </row>
        <row r="12752">
          <cell r="H12752" t="str">
            <v>WI2-COMM</v>
          </cell>
          <cell r="I12752" t="str">
            <v>WALK IN 26-50' - COMM</v>
          </cell>
        </row>
        <row r="12753">
          <cell r="H12753" t="str">
            <v>ACCESS-COMM</v>
          </cell>
          <cell r="I12753" t="str">
            <v>ACCESS FEE - COMM</v>
          </cell>
        </row>
        <row r="12754">
          <cell r="H12754" t="str">
            <v>CANCOUNT-COMM</v>
          </cell>
          <cell r="I12754" t="str">
            <v>CAN COUNT - COMM</v>
          </cell>
        </row>
        <row r="12755">
          <cell r="H12755" t="str">
            <v>CLEAN1-COMM</v>
          </cell>
          <cell r="I12755" t="str">
            <v>CLEANING FEE 1 YD - COMM</v>
          </cell>
        </row>
        <row r="12756">
          <cell r="H12756" t="str">
            <v>CLEAN1.5-COMM</v>
          </cell>
          <cell r="I12756" t="str">
            <v>CLEANING FEE 1.5 YD - COM</v>
          </cell>
        </row>
        <row r="12757">
          <cell r="H12757" t="str">
            <v>CLEAN2-COMM</v>
          </cell>
          <cell r="I12757" t="str">
            <v>CLEANING FEE 2 YD - COMM</v>
          </cell>
        </row>
        <row r="12758">
          <cell r="H12758" t="str">
            <v>DEL1.5TEMP-COMM</v>
          </cell>
          <cell r="I12758" t="str">
            <v xml:space="preserve">DELIVERY FEE 1.5 YD TEMP </v>
          </cell>
        </row>
        <row r="12759">
          <cell r="H12759" t="str">
            <v>EXTRA-COMM</v>
          </cell>
          <cell r="I12759" t="str">
            <v>EXTRA CAN, BAG, BOX - COM</v>
          </cell>
        </row>
        <row r="12760">
          <cell r="H12760" t="str">
            <v>EXTRAGRAD1-COMM</v>
          </cell>
          <cell r="I12760" t="str">
            <v>EXTRAS GRADUATED 1-2 - COMM</v>
          </cell>
        </row>
        <row r="12761">
          <cell r="H12761" t="str">
            <v>EXTRAGRAD2-COMM</v>
          </cell>
          <cell r="I12761" t="str">
            <v>EXTRAS GRADUATED 3+ - COMM</v>
          </cell>
        </row>
        <row r="12762">
          <cell r="H12762" t="str">
            <v>EXTRAYDG-COM</v>
          </cell>
          <cell r="I12762" t="str">
            <v>EXTRA YARDAGE - COMM</v>
          </cell>
        </row>
        <row r="12763">
          <cell r="H12763" t="str">
            <v>FL001.0Y1W001</v>
          </cell>
          <cell r="I12763" t="str">
            <v>1 YD 1X WK 1</v>
          </cell>
        </row>
        <row r="12764">
          <cell r="H12764" t="str">
            <v>FL001.0YXX001TEMPC</v>
          </cell>
          <cell r="I12764" t="str">
            <v xml:space="preserve">1 YD TEMP </v>
          </cell>
        </row>
        <row r="12765">
          <cell r="H12765" t="str">
            <v>FL001.5YXX001TEMPC</v>
          </cell>
          <cell r="I12765" t="str">
            <v xml:space="preserve">1.5 YD TEMP </v>
          </cell>
        </row>
        <row r="12766">
          <cell r="H12766" t="str">
            <v>FL002.0YXX001TEMPC</v>
          </cell>
          <cell r="I12766" t="str">
            <v xml:space="preserve">2 YD TEMP </v>
          </cell>
        </row>
        <row r="12767">
          <cell r="H12767" t="str">
            <v>FL003.0Y1W001</v>
          </cell>
          <cell r="I12767" t="str">
            <v>3 YD 1X WK 1</v>
          </cell>
        </row>
        <row r="12768">
          <cell r="H12768" t="str">
            <v>FL006.0Y2W001</v>
          </cell>
          <cell r="I12768" t="str">
            <v>6 YD 2X WK 1</v>
          </cell>
        </row>
        <row r="12769">
          <cell r="H12769" t="str">
            <v>REDEL-COMM</v>
          </cell>
          <cell r="I12769" t="str">
            <v>REDELIVER FEE LVL 1 - COM</v>
          </cell>
        </row>
        <row r="12770">
          <cell r="H12770" t="str">
            <v>REINSTATE-COMM</v>
          </cell>
          <cell r="I12770" t="str">
            <v>REINSTATE FEE - COMM</v>
          </cell>
        </row>
        <row r="12771">
          <cell r="H12771" t="str">
            <v>RENT1.5TEMP-COMM</v>
          </cell>
          <cell r="I12771" t="str">
            <v>RENT 1.5 YD TEMP - COMM</v>
          </cell>
        </row>
        <row r="12772">
          <cell r="H12772" t="str">
            <v>RENT1TEMP-COMM</v>
          </cell>
          <cell r="I12772" t="str">
            <v>RENT 1 YD TEMP - COMM</v>
          </cell>
        </row>
        <row r="12773">
          <cell r="H12773" t="str">
            <v>RENT2TEMP-COMM</v>
          </cell>
          <cell r="I12773" t="str">
            <v>RENT 2 YD TEMP - COMM</v>
          </cell>
        </row>
        <row r="12774">
          <cell r="H12774" t="str">
            <v>RENT4TEMP-COMM</v>
          </cell>
          <cell r="I12774" t="str">
            <v>RENT 4 YD TEMP - COMM</v>
          </cell>
        </row>
        <row r="12775">
          <cell r="H12775" t="str">
            <v>RTRNTRIP-COMM</v>
          </cell>
          <cell r="I12775" t="str">
            <v>RETURN TRIP FEE - COMM</v>
          </cell>
        </row>
        <row r="12776">
          <cell r="H12776" t="str">
            <v>SP1-COMM</v>
          </cell>
          <cell r="I12776" t="str">
            <v>SPECIAL PICK UP 1 YD - CO</v>
          </cell>
        </row>
        <row r="12777">
          <cell r="H12777" t="str">
            <v>SP2-COMM</v>
          </cell>
          <cell r="I12777" t="str">
            <v>SPECIAL PICK UP 2 YD - CO</v>
          </cell>
        </row>
        <row r="12778">
          <cell r="H12778" t="str">
            <v>SP3-COMM</v>
          </cell>
          <cell r="I12778" t="str">
            <v>SPECIAL PICK UP 3 YD - CO</v>
          </cell>
        </row>
        <row r="12779">
          <cell r="H12779" t="str">
            <v>SP4-COMM</v>
          </cell>
          <cell r="I12779" t="str">
            <v>SPECIAL PICK UP 4 YD - CO</v>
          </cell>
        </row>
        <row r="12780">
          <cell r="H12780" t="str">
            <v>SP6-COMM</v>
          </cell>
          <cell r="I12780" t="str">
            <v>SPECIAL PICK UP 6 YD - CO</v>
          </cell>
        </row>
        <row r="12781">
          <cell r="H12781" t="str">
            <v>SPADD-COMM</v>
          </cell>
          <cell r="I12781" t="str">
            <v>SPECIAL ADDL UNIT - COMM</v>
          </cell>
        </row>
        <row r="12782">
          <cell r="H12782" t="str">
            <v>SPGRAD1S-COMM</v>
          </cell>
          <cell r="I12782" t="str">
            <v>SPECIAL UNIT GRAD1 SCHL - COMM</v>
          </cell>
        </row>
        <row r="12783">
          <cell r="H12783" t="str">
            <v>SPGRAD2S-COMM</v>
          </cell>
          <cell r="I12783" t="str">
            <v>SPECIAL UNIT GRAD2 SCHL - COMM</v>
          </cell>
        </row>
        <row r="12784">
          <cell r="H12784" t="str">
            <v>ACCESSCREC-COMM</v>
          </cell>
          <cell r="I12784" t="str">
            <v>ACCESS FEE COMM RECY - CO</v>
          </cell>
        </row>
        <row r="12785">
          <cell r="H12785" t="str">
            <v>FL002.0Y1W001BCMGL</v>
          </cell>
          <cell r="I12785" t="str">
            <v>2 YD 1X WK BUS CMGL 1</v>
          </cell>
        </row>
        <row r="12786">
          <cell r="H12786" t="str">
            <v>FL002.0Y1W001BOCC</v>
          </cell>
          <cell r="I12786" t="str">
            <v>2 YD 1X WK BUS OCC 1</v>
          </cell>
        </row>
        <row r="12787">
          <cell r="H12787" t="str">
            <v>FL002.0Y1W001SCMGL</v>
          </cell>
          <cell r="I12787" t="str">
            <v>2 YD 1X WK SCHL CMGL 1</v>
          </cell>
        </row>
        <row r="12788">
          <cell r="H12788" t="str">
            <v>FL002.0Y1W001SOCC</v>
          </cell>
          <cell r="I12788" t="str">
            <v>2 YD 1X WK SCHOOL OCC</v>
          </cell>
        </row>
        <row r="12789">
          <cell r="H12789" t="str">
            <v>FL002.0Y2W001BCMGL</v>
          </cell>
          <cell r="I12789" t="str">
            <v>2 YD 2X WK BUS CMGL 1</v>
          </cell>
        </row>
        <row r="12790">
          <cell r="H12790" t="str">
            <v>FL002.0Y2W001BOCC</v>
          </cell>
          <cell r="I12790" t="str">
            <v>2 YD 2X WK BUS OCC 1</v>
          </cell>
        </row>
        <row r="12791">
          <cell r="H12791" t="str">
            <v>FL002.0Y2W001SOCC</v>
          </cell>
          <cell r="I12791" t="str">
            <v>2 YD 2X WK SCHOOL OCC</v>
          </cell>
        </row>
        <row r="12792">
          <cell r="H12792" t="str">
            <v>FL002.0Y3W001BOCC</v>
          </cell>
          <cell r="I12792" t="str">
            <v>2 YD 3X WK BUS OCC 1</v>
          </cell>
        </row>
        <row r="12793">
          <cell r="H12793" t="str">
            <v>FL002.0Y4W001BOCC</v>
          </cell>
          <cell r="I12793" t="str">
            <v>2 YD 4X WK BUS OCC 1</v>
          </cell>
        </row>
        <row r="12794">
          <cell r="H12794" t="str">
            <v>FL004.0Y1W001CMGL</v>
          </cell>
          <cell r="I12794" t="str">
            <v>4 YD 1X WK BUS CMGL 1</v>
          </cell>
        </row>
        <row r="12795">
          <cell r="H12795" t="str">
            <v>FL004.0Y2W001CMGL</v>
          </cell>
          <cell r="I12795" t="str">
            <v>4 YD 2X WK BUS CMGL 1</v>
          </cell>
        </row>
        <row r="12796">
          <cell r="H12796" t="str">
            <v>FL004.0Y3W001BCMGL</v>
          </cell>
          <cell r="I12796" t="str">
            <v>4 YD 3X WK BUS CMGL 1</v>
          </cell>
        </row>
        <row r="12797">
          <cell r="H12797" t="str">
            <v>FL005.0Y1W001BOCC</v>
          </cell>
          <cell r="I12797" t="str">
            <v>5 YD 1X WK BUS OCC 1</v>
          </cell>
        </row>
        <row r="12798">
          <cell r="H12798" t="str">
            <v>FL005.0Y1W001SOCC</v>
          </cell>
          <cell r="I12798" t="str">
            <v>5 YD 1X WK SCHOOL OCC</v>
          </cell>
        </row>
        <row r="12799">
          <cell r="H12799" t="str">
            <v>FL005.0Y2W001BOCC</v>
          </cell>
          <cell r="I12799" t="str">
            <v>5 YD 2X WK BUS OCC 1</v>
          </cell>
        </row>
        <row r="12800">
          <cell r="H12800" t="str">
            <v>FL005.0Y2W001SOCC</v>
          </cell>
          <cell r="I12800" t="str">
            <v>5 YD 2X WK SCHOOL OCC</v>
          </cell>
        </row>
        <row r="12801">
          <cell r="H12801" t="str">
            <v>FL005.0Y3W001BOCC</v>
          </cell>
          <cell r="I12801" t="str">
            <v>5 YD 3X WK BUS OCC 1</v>
          </cell>
        </row>
        <row r="12802">
          <cell r="H12802" t="str">
            <v>FL005.0Y4W001BOCC</v>
          </cell>
          <cell r="I12802" t="str">
            <v>5 YD 4X WK BUS OCC 1</v>
          </cell>
        </row>
        <row r="12803">
          <cell r="H12803" t="str">
            <v>FL005.0Y5W001BOCC</v>
          </cell>
          <cell r="I12803" t="str">
            <v>5 YD 5X WK BUS OCC 1</v>
          </cell>
        </row>
        <row r="12804">
          <cell r="H12804" t="str">
            <v>FL006.0Y1W001BCMGL</v>
          </cell>
          <cell r="I12804" t="str">
            <v>6 YD 1X WK BUS COMINGLE 1</v>
          </cell>
        </row>
        <row r="12805">
          <cell r="H12805" t="str">
            <v>FL006.0Y2W001BCMGL</v>
          </cell>
          <cell r="I12805" t="str">
            <v>6 YD 2X WK BUS COMINGLE 1</v>
          </cell>
        </row>
        <row r="12806">
          <cell r="H12806" t="str">
            <v>FL006.0Y3W001BCMGL</v>
          </cell>
          <cell r="I12806" t="str">
            <v>6 YD 3X WK BUS CMGL 1</v>
          </cell>
        </row>
        <row r="12807">
          <cell r="H12807" t="str">
            <v>FL006.0Y4W001BCMGL</v>
          </cell>
          <cell r="I12807" t="str">
            <v>6 YD 4X WK BUS CMGL 1</v>
          </cell>
        </row>
        <row r="12808">
          <cell r="H12808" t="str">
            <v>MFNBINS</v>
          </cell>
          <cell r="I12808" t="str">
            <v>MULTI-FAMILY REC UNIT N/B</v>
          </cell>
        </row>
        <row r="12809">
          <cell r="H12809" t="str">
            <v>MFWBINS</v>
          </cell>
          <cell r="I12809" t="str">
            <v>MULTI-FAMILY REC UNIT W/B</v>
          </cell>
        </row>
        <row r="12810">
          <cell r="H12810" t="str">
            <v>RENTRECCNT-COMM</v>
          </cell>
          <cell r="I12810" t="str">
            <v>RENTAL FEE RECYCLE CONTAI</v>
          </cell>
        </row>
        <row r="12811">
          <cell r="H12811" t="str">
            <v>ROLL-REC</v>
          </cell>
          <cell r="I12811" t="str">
            <v>ROLL OUT CHARGE - RECYCLI</v>
          </cell>
        </row>
        <row r="12812">
          <cell r="H12812" t="str">
            <v>SL064.0G1W001BCMGLOUT</v>
          </cell>
          <cell r="I12812" t="str">
            <v>64 GL WKLY BUS CMGL OUT</v>
          </cell>
        </row>
        <row r="12813">
          <cell r="H12813" t="str">
            <v>SL064.0GEO001BCMGLOUT</v>
          </cell>
          <cell r="I12813" t="str">
            <v>64 GL EOW BUS CMGL OUT</v>
          </cell>
        </row>
        <row r="12814">
          <cell r="H12814" t="str">
            <v>SL096.0G1M001BCMGLOUT</v>
          </cell>
          <cell r="I12814" t="str">
            <v>96 GL MTHLY BUS CMGL OUT</v>
          </cell>
        </row>
        <row r="12815">
          <cell r="H12815" t="str">
            <v>SL096.0G1W001BCMGLIN</v>
          </cell>
          <cell r="I12815" t="str">
            <v>96 GL WKLY BUS CMGL IN</v>
          </cell>
        </row>
        <row r="12816">
          <cell r="H12816" t="str">
            <v>SL096.0G1W001BCMGLOUT</v>
          </cell>
          <cell r="I12816" t="str">
            <v>96 GL WKLY BUS CMGL OUT</v>
          </cell>
        </row>
        <row r="12817">
          <cell r="H12817" t="str">
            <v>SL096.0G1W001SCMGLIN</v>
          </cell>
          <cell r="I12817" t="str">
            <v>96 GL WKLY SCHL CMGL IN</v>
          </cell>
        </row>
        <row r="12818">
          <cell r="H12818" t="str">
            <v>SL096.0G1W001SCMGLOUT</v>
          </cell>
          <cell r="I12818" t="str">
            <v>96 GL WKLY SCHL CMGL OUT</v>
          </cell>
        </row>
        <row r="12819">
          <cell r="H12819" t="str">
            <v>SL096.0GEO001BCMGLIN</v>
          </cell>
          <cell r="I12819" t="str">
            <v>96 GL EOW BUS CMGL IN</v>
          </cell>
        </row>
        <row r="12820">
          <cell r="H12820" t="str">
            <v>SL096.0GEO001BCMGLOUT</v>
          </cell>
          <cell r="I12820" t="str">
            <v>96 GL EOW BUS CMGL OUT</v>
          </cell>
        </row>
        <row r="12821">
          <cell r="H12821" t="str">
            <v>SL096.0GEO001SCMGLOUT</v>
          </cell>
          <cell r="I12821" t="str">
            <v>96 GL EOW SCHL CMGL OUT</v>
          </cell>
        </row>
        <row r="12822">
          <cell r="H12822" t="str">
            <v>SL096.0GEO001BCMGLOUT</v>
          </cell>
          <cell r="I12822" t="str">
            <v>96 GL EOW BUS CMGL OUT</v>
          </cell>
        </row>
        <row r="12823">
          <cell r="H12823" t="str">
            <v>SP5OCC-COMM</v>
          </cell>
          <cell r="I12823" t="str">
            <v>SPECIAL PICKUP 5 YD OCC -</v>
          </cell>
        </row>
        <row r="12824">
          <cell r="H12824" t="str">
            <v>SPGRAD1REC-COMM</v>
          </cell>
          <cell r="I12824" t="str">
            <v>SPECIAL UNIT GRAD1 REC - COMM</v>
          </cell>
        </row>
        <row r="12825">
          <cell r="H12825" t="str">
            <v>SPGRAD2REC-COMM</v>
          </cell>
          <cell r="I12825" t="str">
            <v>SPECIAL UNIT GRAD2 REC - COMM</v>
          </cell>
        </row>
        <row r="12826">
          <cell r="H12826" t="str">
            <v>CC-KOL</v>
          </cell>
          <cell r="I12826" t="str">
            <v>ONLINE PAYMENT-CC</v>
          </cell>
        </row>
        <row r="12827">
          <cell r="H12827" t="str">
            <v>CCREF-KOL</v>
          </cell>
          <cell r="I12827" t="str">
            <v>CREDIT CARD REFUND</v>
          </cell>
        </row>
        <row r="12828">
          <cell r="H12828" t="str">
            <v>PAY</v>
          </cell>
          <cell r="I12828" t="str">
            <v>PAYMENT THANK YOU</v>
          </cell>
        </row>
        <row r="12829">
          <cell r="H12829" t="str">
            <v>PAY-CFREE</v>
          </cell>
          <cell r="I12829" t="str">
            <v>CHECKFREE PAYMENT</v>
          </cell>
        </row>
        <row r="12830">
          <cell r="H12830" t="str">
            <v>PAY-KOL</v>
          </cell>
          <cell r="I12830" t="str">
            <v>PAYMENT-THANK YOU - OL</v>
          </cell>
        </row>
        <row r="12831">
          <cell r="H12831" t="str">
            <v>PAY-ORCC</v>
          </cell>
          <cell r="I12831" t="str">
            <v>ORCC PAYMENT</v>
          </cell>
        </row>
        <row r="12832">
          <cell r="H12832" t="str">
            <v>PAY-RPPS</v>
          </cell>
          <cell r="I12832" t="str">
            <v>RPPS MASTERCARD PAYMENT</v>
          </cell>
        </row>
        <row r="12833">
          <cell r="H12833" t="str">
            <v>PAYAD</v>
          </cell>
          <cell r="I12833" t="str">
            <v>ADJUST PAYMENT AD</v>
          </cell>
        </row>
        <row r="12834">
          <cell r="H12834" t="str">
            <v>PAYMET</v>
          </cell>
          <cell r="I12834" t="str">
            <v>METAVANTE ONLINE PAYMENT</v>
          </cell>
        </row>
        <row r="12835">
          <cell r="H12835" t="str">
            <v>PAYPNCL</v>
          </cell>
          <cell r="I12835" t="str">
            <v>PAYMENT THANK YOU!</v>
          </cell>
        </row>
        <row r="12836">
          <cell r="H12836" t="str">
            <v>PAYUSBL</v>
          </cell>
          <cell r="I12836" t="str">
            <v>PAYMENT THANK YOU</v>
          </cell>
        </row>
        <row r="12837">
          <cell r="H12837" t="str">
            <v>RET-KOL</v>
          </cell>
          <cell r="I12837" t="str">
            <v>ONLINE PAYMENT RETURN</v>
          </cell>
        </row>
        <row r="12838">
          <cell r="H12838" t="str">
            <v>RETCK-PNCL</v>
          </cell>
          <cell r="I12838" t="str">
            <v>RETURNED CHECK - PNC LOCKBOX</v>
          </cell>
        </row>
        <row r="12839">
          <cell r="H12839" t="str">
            <v>CC-KOL</v>
          </cell>
          <cell r="I12839" t="str">
            <v>ONLINE PAYMENT-CC</v>
          </cell>
        </row>
        <row r="12840">
          <cell r="H12840" t="str">
            <v>CCREF-KOL</v>
          </cell>
          <cell r="I12840" t="str">
            <v>CREDIT CARD REFUND</v>
          </cell>
        </row>
        <row r="12841">
          <cell r="H12841" t="str">
            <v>PAY</v>
          </cell>
          <cell r="I12841" t="str">
            <v>PAYMENT THANK YOU</v>
          </cell>
        </row>
        <row r="12842">
          <cell r="H12842" t="str">
            <v>PAY-CFREE</v>
          </cell>
          <cell r="I12842" t="str">
            <v>CHECKFREE PAYMENT</v>
          </cell>
        </row>
        <row r="12843">
          <cell r="H12843" t="str">
            <v>PAY-KOL</v>
          </cell>
          <cell r="I12843" t="str">
            <v>PAYMENT-THANK YOU - OL</v>
          </cell>
        </row>
        <row r="12844">
          <cell r="H12844" t="str">
            <v>PAY-ORCC</v>
          </cell>
          <cell r="I12844" t="str">
            <v>ORCC PAYMENT</v>
          </cell>
        </row>
        <row r="12845">
          <cell r="H12845" t="str">
            <v>PAY-RPPS</v>
          </cell>
          <cell r="I12845" t="str">
            <v>RPPS MASTERCARD PAYMENT</v>
          </cell>
        </row>
        <row r="12846">
          <cell r="H12846" t="str">
            <v>PAYAD</v>
          </cell>
          <cell r="I12846" t="str">
            <v>ADJUST PAYMENT AD</v>
          </cell>
        </row>
        <row r="12847">
          <cell r="H12847" t="str">
            <v>PAYMET</v>
          </cell>
          <cell r="I12847" t="str">
            <v>METAVANTE ONLINE PAYMENT</v>
          </cell>
        </row>
        <row r="12848">
          <cell r="H12848" t="str">
            <v>PAYPNCL</v>
          </cell>
          <cell r="I12848" t="str">
            <v>PAYMENT THANK YOU!</v>
          </cell>
        </row>
        <row r="12849">
          <cell r="H12849" t="str">
            <v>PAYUSBL</v>
          </cell>
          <cell r="I12849" t="str">
            <v>PAYMENT THANK YOU</v>
          </cell>
        </row>
        <row r="12850">
          <cell r="H12850" t="str">
            <v>RET-KOL</v>
          </cell>
          <cell r="I12850" t="str">
            <v>ONLINE PAYMENT RETURN</v>
          </cell>
        </row>
        <row r="12851">
          <cell r="H12851" t="str">
            <v>RETCK-PNCL</v>
          </cell>
          <cell r="I12851" t="str">
            <v>RETURNED CHECK - PNC LOCKBOX</v>
          </cell>
        </row>
        <row r="12852">
          <cell r="H12852" t="str">
            <v>CC-KOL</v>
          </cell>
          <cell r="I12852" t="str">
            <v>ONLINE PAYMENT-CC</v>
          </cell>
        </row>
        <row r="12853">
          <cell r="H12853" t="str">
            <v>CCREF-KOL</v>
          </cell>
          <cell r="I12853" t="str">
            <v>CREDIT CARD REFUND</v>
          </cell>
        </row>
        <row r="12854">
          <cell r="H12854" t="str">
            <v>PAY</v>
          </cell>
          <cell r="I12854" t="str">
            <v>PAYMENT THANK YOU</v>
          </cell>
        </row>
        <row r="12855">
          <cell r="H12855" t="str">
            <v>PAY-CFREE</v>
          </cell>
          <cell r="I12855" t="str">
            <v>CHECKFREE PAYMENT</v>
          </cell>
        </row>
        <row r="12856">
          <cell r="H12856" t="str">
            <v>PAY-KOL</v>
          </cell>
          <cell r="I12856" t="str">
            <v>PAYMENT-THANK YOU - OL</v>
          </cell>
        </row>
        <row r="12857">
          <cell r="H12857" t="str">
            <v>PAY-NATL</v>
          </cell>
          <cell r="I12857" t="str">
            <v>PAYMENT THANK YOU</v>
          </cell>
        </row>
        <row r="12858">
          <cell r="H12858" t="str">
            <v>PAY-OAK</v>
          </cell>
          <cell r="I12858" t="str">
            <v>OAKLEAF PAYMENT</v>
          </cell>
        </row>
        <row r="12859">
          <cell r="H12859" t="str">
            <v>PAY-ORCC</v>
          </cell>
          <cell r="I12859" t="str">
            <v>ORCC PAYMENT</v>
          </cell>
        </row>
        <row r="12860">
          <cell r="H12860" t="str">
            <v>PAY-RPPS</v>
          </cell>
          <cell r="I12860" t="str">
            <v>RPPS MASTERCARD PAYMENT</v>
          </cell>
        </row>
        <row r="12861">
          <cell r="H12861" t="str">
            <v>PAYEFT</v>
          </cell>
          <cell r="I12861" t="str">
            <v>EFT PAYMENT</v>
          </cell>
        </row>
        <row r="12862">
          <cell r="H12862" t="str">
            <v>PAYICLRI</v>
          </cell>
          <cell r="I12862" t="str">
            <v>PAYMENT THANK YOU</v>
          </cell>
        </row>
        <row r="12863">
          <cell r="H12863" t="str">
            <v>PAYMET</v>
          </cell>
          <cell r="I12863" t="str">
            <v>METAVANTE ONLINE PAYMENT</v>
          </cell>
        </row>
        <row r="12864">
          <cell r="H12864" t="str">
            <v>PAYPNCL</v>
          </cell>
          <cell r="I12864" t="str">
            <v>PAYMENT THANK YOU!</v>
          </cell>
        </row>
        <row r="12865">
          <cell r="H12865" t="str">
            <v>PAYUSBL</v>
          </cell>
          <cell r="I12865" t="str">
            <v>PAYMENT THANK YOU</v>
          </cell>
        </row>
        <row r="12866">
          <cell r="H12866" t="str">
            <v>RET-KOL</v>
          </cell>
          <cell r="I12866" t="str">
            <v>ONLINE PAYMENT RETURN</v>
          </cell>
        </row>
        <row r="12867">
          <cell r="H12867" t="str">
            <v>PAY-RPPS</v>
          </cell>
          <cell r="I12867" t="str">
            <v>RPPS MASTERCARD PAYMENT</v>
          </cell>
        </row>
        <row r="12868">
          <cell r="H12868" t="str">
            <v>ACCESS-RES</v>
          </cell>
          <cell r="I12868" t="str">
            <v>ACCESS FEE - RES</v>
          </cell>
        </row>
        <row r="12869">
          <cell r="H12869" t="str">
            <v>DRIVEIN-RES</v>
          </cell>
          <cell r="I12869" t="str">
            <v>DRIVE IN SERVICE - RES</v>
          </cell>
        </row>
        <row r="12870">
          <cell r="H12870" t="str">
            <v>DRIVEIN1-RES</v>
          </cell>
          <cell r="I12870" t="str">
            <v>DRIVE IN 1 - RES</v>
          </cell>
        </row>
        <row r="12871">
          <cell r="H12871" t="str">
            <v>DRIVEIN2-RES</v>
          </cell>
          <cell r="I12871" t="str">
            <v>DRIVE IN 2 - RES</v>
          </cell>
        </row>
        <row r="12872">
          <cell r="H12872" t="str">
            <v>DRIVEIN3-RES</v>
          </cell>
          <cell r="I12872" t="str">
            <v>DRIVE IN 3 - RES</v>
          </cell>
        </row>
        <row r="12873">
          <cell r="H12873" t="str">
            <v>DRIVEIN7-RES</v>
          </cell>
          <cell r="I12873" t="str">
            <v>DRIVE IN 7 - RES</v>
          </cell>
        </row>
        <row r="12874">
          <cell r="H12874" t="str">
            <v>EMPLOYEER</v>
          </cell>
          <cell r="I12874" t="str">
            <v>EMPLOYEE SERVICE RES</v>
          </cell>
        </row>
        <row r="12875">
          <cell r="H12875" t="str">
            <v>GWRES</v>
          </cell>
          <cell r="I12875" t="str">
            <v>GREENWASTE SERVICE - RES</v>
          </cell>
        </row>
        <row r="12876">
          <cell r="H12876" t="str">
            <v>GWSPCL-RES</v>
          </cell>
          <cell r="I12876" t="str">
            <v>GREENWASTE SEN/DIS - RES</v>
          </cell>
        </row>
        <row r="12877">
          <cell r="H12877" t="str">
            <v>RECBINONLYR</v>
          </cell>
          <cell r="I12877" t="str">
            <v>RECYCLE SERVICE ONLY</v>
          </cell>
        </row>
        <row r="12878">
          <cell r="H12878" t="str">
            <v>RECPROGADJ-RES</v>
          </cell>
          <cell r="I12878" t="str">
            <v>RECYCLING PROGRAM ADJUSTM</v>
          </cell>
        </row>
        <row r="12879">
          <cell r="H12879" t="str">
            <v>RECVALRES</v>
          </cell>
          <cell r="I12879" t="str">
            <v>RECYCLABLES VALUE - RES</v>
          </cell>
        </row>
        <row r="12880">
          <cell r="H12880" t="str">
            <v>RL032.0G1M001WREC</v>
          </cell>
          <cell r="I12880" t="str">
            <v>32 GL 1X MO W/RECY 1</v>
          </cell>
        </row>
        <row r="12881">
          <cell r="H12881" t="str">
            <v>SL032.0G1W001WREC</v>
          </cell>
          <cell r="I12881" t="str">
            <v>32 GL 1X WK W/RECY 1</v>
          </cell>
        </row>
        <row r="12882">
          <cell r="H12882" t="str">
            <v>SL035.0G1M001WREC</v>
          </cell>
          <cell r="I12882" t="str">
            <v>35 GL 1X MO W/RECY 1</v>
          </cell>
        </row>
        <row r="12883">
          <cell r="H12883" t="str">
            <v>SL035.0G1W001WREC</v>
          </cell>
          <cell r="I12883" t="str">
            <v>35 GL 1X WK W/ RECY 1</v>
          </cell>
        </row>
        <row r="12884">
          <cell r="H12884" t="str">
            <v>SL035.0GEO001WREC</v>
          </cell>
          <cell r="I12884" t="str">
            <v>35 GL EOW W/RECY 1</v>
          </cell>
        </row>
        <row r="12885">
          <cell r="H12885" t="str">
            <v>SL065.0G1M001NOREC</v>
          </cell>
          <cell r="I12885" t="str">
            <v>65 GL 1X MO NO RECY 1</v>
          </cell>
        </row>
        <row r="12886">
          <cell r="H12886" t="str">
            <v>SL065.0G1M001WREC</v>
          </cell>
          <cell r="I12886" t="str">
            <v>65 GL 1X MO W/RECY 1</v>
          </cell>
        </row>
        <row r="12887">
          <cell r="H12887" t="str">
            <v>SL065.0G1M001WRECSPCL</v>
          </cell>
          <cell r="I12887" t="str">
            <v>65 GL 1X MO W/RECY S/D 1</v>
          </cell>
        </row>
        <row r="12888">
          <cell r="H12888" t="str">
            <v>SL065.0G1W001NOREC</v>
          </cell>
          <cell r="I12888" t="str">
            <v>65 GL 1X WK NO RECY 1</v>
          </cell>
        </row>
        <row r="12889">
          <cell r="H12889" t="str">
            <v>SL065.0G1W001SPCLNOREC</v>
          </cell>
          <cell r="I12889" t="str">
            <v>65 GL 1X WK S/D NO REC 1</v>
          </cell>
        </row>
        <row r="12890">
          <cell r="H12890" t="str">
            <v>SL065.0G1W001SPCLWREC</v>
          </cell>
          <cell r="I12890" t="str">
            <v>65 GL 1X WK S/D W/REC 1</v>
          </cell>
        </row>
        <row r="12891">
          <cell r="H12891" t="str">
            <v>SL065.0G1W001WREC</v>
          </cell>
          <cell r="I12891" t="str">
            <v>65 GL 1X WK W/RECY 1</v>
          </cell>
        </row>
        <row r="12892">
          <cell r="H12892" t="str">
            <v>SL065.0GEO001NOREC</v>
          </cell>
          <cell r="I12892" t="str">
            <v>65 GL EOW NO RECY 1</v>
          </cell>
        </row>
        <row r="12893">
          <cell r="H12893" t="str">
            <v>SL065.0GEO001SPCLNOREC</v>
          </cell>
          <cell r="I12893" t="str">
            <v>65 GL EOW S/D NO RECY 1</v>
          </cell>
        </row>
        <row r="12894">
          <cell r="H12894" t="str">
            <v>SL065.0GEO001SPCLWREC</v>
          </cell>
          <cell r="I12894" t="str">
            <v>65 GL EOW S/D W/RECY 1</v>
          </cell>
        </row>
        <row r="12895">
          <cell r="H12895" t="str">
            <v>SL065.0GEO001WREC</v>
          </cell>
          <cell r="I12895" t="str">
            <v>65 GL EOW W/RECY 1</v>
          </cell>
        </row>
        <row r="12896">
          <cell r="H12896" t="str">
            <v>SL095.0G1M0001WRECSPCL</v>
          </cell>
          <cell r="I12896" t="str">
            <v>95 GL 1X MO S/D W/RECY 1</v>
          </cell>
        </row>
        <row r="12897">
          <cell r="H12897" t="str">
            <v>SL095.0G1M001WREC</v>
          </cell>
          <cell r="I12897" t="str">
            <v>95 GL 1X MO W/RECY 1</v>
          </cell>
        </row>
        <row r="12898">
          <cell r="H12898" t="str">
            <v>SL095.0G1W001NOREC</v>
          </cell>
          <cell r="I12898" t="str">
            <v>95 GL 1X WK NO RECY 1</v>
          </cell>
        </row>
        <row r="12899">
          <cell r="H12899" t="str">
            <v>SL095.0G1W001SPCLWREC</v>
          </cell>
          <cell r="I12899" t="str">
            <v>95 GL 1X WK S/D W/REC 1</v>
          </cell>
        </row>
        <row r="12900">
          <cell r="H12900" t="str">
            <v>SL095.0G1W001WREC</v>
          </cell>
          <cell r="I12900" t="str">
            <v>95 GL 1X WK W/RECY 1</v>
          </cell>
        </row>
        <row r="12901">
          <cell r="H12901" t="str">
            <v>SL095.0GEO001NOREC</v>
          </cell>
          <cell r="I12901" t="str">
            <v>95 GL EOW NO RECY 1</v>
          </cell>
        </row>
        <row r="12902">
          <cell r="H12902" t="str">
            <v>SL095.0GEO001WREC</v>
          </cell>
          <cell r="I12902" t="str">
            <v>95 GL EOW W/RECY 1</v>
          </cell>
        </row>
        <row r="12903">
          <cell r="H12903" t="str">
            <v>WI-RES</v>
          </cell>
          <cell r="I12903" t="str">
            <v>WALK IN 6-25' - RES</v>
          </cell>
        </row>
        <row r="12904">
          <cell r="H12904" t="str">
            <v>WI1-RES</v>
          </cell>
          <cell r="I12904" t="str">
            <v>WALK IN 6-25' - RES</v>
          </cell>
        </row>
        <row r="12905">
          <cell r="H12905" t="str">
            <v>WI2-RES</v>
          </cell>
          <cell r="I12905" t="str">
            <v>WALK IN 26-50' - RES</v>
          </cell>
        </row>
        <row r="12906">
          <cell r="H12906" t="str">
            <v>WI3-RES</v>
          </cell>
          <cell r="I12906" t="str">
            <v>WALK IN 51-75' - RES</v>
          </cell>
        </row>
        <row r="12907">
          <cell r="H12907" t="str">
            <v>WI4-RES</v>
          </cell>
          <cell r="I12907" t="str">
            <v>WALK IN 76-100' - RES</v>
          </cell>
        </row>
        <row r="12908">
          <cell r="H12908" t="str">
            <v>WI5-RES</v>
          </cell>
          <cell r="I12908" t="str">
            <v>WALK IN 101-125' - RES</v>
          </cell>
        </row>
        <row r="12909">
          <cell r="H12909" t="str">
            <v>WI8-RES</v>
          </cell>
          <cell r="I12909" t="str">
            <v>WALK IN 176-200' - RES</v>
          </cell>
        </row>
        <row r="12910">
          <cell r="H12910" t="str">
            <v>BULKY-RES</v>
          </cell>
          <cell r="I12910" t="str">
            <v>BULKY ITEM PICK UP - RES</v>
          </cell>
        </row>
        <row r="12911">
          <cell r="H12911" t="str">
            <v>EP96GWC-RES</v>
          </cell>
          <cell r="I12911" t="str">
            <v>EXTRA PICK UP 96 GW - RES</v>
          </cell>
        </row>
        <row r="12912">
          <cell r="H12912" t="str">
            <v>EXTRAGRAD1-RES</v>
          </cell>
          <cell r="I12912" t="str">
            <v>EXTRAS GRADUATED 1-2 - RES</v>
          </cell>
        </row>
        <row r="12913">
          <cell r="H12913" t="str">
            <v>EXTRAGRAD2-RES</v>
          </cell>
          <cell r="I12913" t="str">
            <v>EXTRAS GRADUATED 3+ - RES</v>
          </cell>
        </row>
        <row r="12914">
          <cell r="H12914" t="str">
            <v>EXTRAGWC-RES</v>
          </cell>
          <cell r="I12914" t="str">
            <v>EXTRA GREENWASTE FEE - RE</v>
          </cell>
        </row>
        <row r="12915">
          <cell r="H12915" t="str">
            <v>GWRES</v>
          </cell>
          <cell r="I12915" t="str">
            <v>GREENWASTE SERVICE - RES</v>
          </cell>
        </row>
        <row r="12916">
          <cell r="H12916" t="str">
            <v>OW-RES</v>
          </cell>
          <cell r="I12916" t="str">
            <v>OVERFILL / OVERWEIGHT CAN</v>
          </cell>
        </row>
        <row r="12917">
          <cell r="H12917" t="str">
            <v>REINSTATE-RES</v>
          </cell>
          <cell r="I12917" t="str">
            <v>REINSTATE FEE - RES</v>
          </cell>
        </row>
        <row r="12918">
          <cell r="H12918" t="str">
            <v>RTRNCART65-RES</v>
          </cell>
          <cell r="I12918" t="str">
            <v>RETURN TRIP 65 GL - RES</v>
          </cell>
        </row>
        <row r="12919">
          <cell r="H12919" t="str">
            <v>RTRNCART95-RES</v>
          </cell>
          <cell r="I12919" t="str">
            <v>RETURN TRIP 95 GL - RES</v>
          </cell>
        </row>
        <row r="12920">
          <cell r="H12920" t="str">
            <v>SL065.0G1W001WREC</v>
          </cell>
          <cell r="I12920" t="str">
            <v>65 GL 1X WK W/RECY 1</v>
          </cell>
        </row>
        <row r="12921">
          <cell r="H12921" t="str">
            <v>SL095.0G1W001WREC</v>
          </cell>
          <cell r="I12921" t="str">
            <v>95 GL 1X WK W/RECY 1</v>
          </cell>
        </row>
        <row r="12922">
          <cell r="H12922" t="str">
            <v>SPGRAD1-RES</v>
          </cell>
          <cell r="I12922" t="str">
            <v>SPECIAL GRADUATED 1-2 - R</v>
          </cell>
        </row>
        <row r="12923">
          <cell r="H12923" t="str">
            <v>ACCESS-RES</v>
          </cell>
          <cell r="I12923" t="str">
            <v>ACCESS FEE - RES</v>
          </cell>
        </row>
        <row r="12924">
          <cell r="H12924" t="str">
            <v>GWRES</v>
          </cell>
          <cell r="I12924" t="str">
            <v>GREENWASTE SERVICE - RES</v>
          </cell>
        </row>
        <row r="12925">
          <cell r="H12925" t="str">
            <v>GWSPCL-RES</v>
          </cell>
          <cell r="I12925" t="str">
            <v>GREENWASTE SEN/DIS - RES</v>
          </cell>
        </row>
        <row r="12926">
          <cell r="H12926" t="str">
            <v>RECBINONLYR</v>
          </cell>
          <cell r="I12926" t="str">
            <v>RECYCLE SERVICE ONLY</v>
          </cell>
        </row>
        <row r="12927">
          <cell r="H12927" t="str">
            <v>SL035.0G1M001WREC</v>
          </cell>
          <cell r="I12927" t="str">
            <v>35 GL 1X MO W/RECY 1</v>
          </cell>
        </row>
        <row r="12928">
          <cell r="H12928" t="str">
            <v>SL035.0G1W001WREC</v>
          </cell>
          <cell r="I12928" t="str">
            <v>35 GL 1X WK W/ RECY 1</v>
          </cell>
        </row>
        <row r="12929">
          <cell r="H12929" t="str">
            <v>SL065.0G1M001WREC</v>
          </cell>
          <cell r="I12929" t="str">
            <v>65 GL 1X MO W/RECY 1</v>
          </cell>
        </row>
        <row r="12930">
          <cell r="H12930" t="str">
            <v>SL065.0G1W001WREC</v>
          </cell>
          <cell r="I12930" t="str">
            <v>65 GL 1X WK W/RECY 1</v>
          </cell>
        </row>
        <row r="12931">
          <cell r="H12931" t="str">
            <v>SL065.0GEO001WREC</v>
          </cell>
          <cell r="I12931" t="str">
            <v>65 GL EOW W/RECY 1</v>
          </cell>
        </row>
        <row r="12932">
          <cell r="H12932" t="str">
            <v>SL095.0G1M001WREC</v>
          </cell>
          <cell r="I12932" t="str">
            <v>95 GL 1X MO W/RECY 1</v>
          </cell>
        </row>
        <row r="12933">
          <cell r="H12933" t="str">
            <v>SL095.0G1W001WREC</v>
          </cell>
          <cell r="I12933" t="str">
            <v>95 GL 1X WK W/RECY 1</v>
          </cell>
        </row>
        <row r="12934">
          <cell r="H12934" t="str">
            <v>SL095.0GEO001WREC</v>
          </cell>
          <cell r="I12934" t="str">
            <v>95 GL EOW W/RECY 1</v>
          </cell>
        </row>
        <row r="12935">
          <cell r="H12935" t="str">
            <v>ADJ-RES</v>
          </cell>
          <cell r="I12935" t="str">
            <v>ADJUSTMENT SERVICE - RES</v>
          </cell>
        </row>
        <row r="12936">
          <cell r="H12936" t="str">
            <v>BULKY-RES</v>
          </cell>
          <cell r="I12936" t="str">
            <v>BULKY ITEM PICK UP - RES</v>
          </cell>
        </row>
        <row r="12937">
          <cell r="H12937" t="str">
            <v>EP96GWC-RES</v>
          </cell>
          <cell r="I12937" t="str">
            <v>EXTRA PICK UP 96 GW - RES</v>
          </cell>
        </row>
        <row r="12938">
          <cell r="H12938" t="str">
            <v>EXTRAGRAD1-RES</v>
          </cell>
          <cell r="I12938" t="str">
            <v>EXTRAS GRADUATED 1-2 - RES</v>
          </cell>
        </row>
        <row r="12939">
          <cell r="H12939" t="str">
            <v>EXTRAGRAD2-RES</v>
          </cell>
          <cell r="I12939" t="str">
            <v>EXTRAS GRADUATED 3+ - RES</v>
          </cell>
        </row>
        <row r="12940">
          <cell r="H12940" t="str">
            <v>EXTRAGWC-RES</v>
          </cell>
          <cell r="I12940" t="str">
            <v>EXTRA GREENWASTE FEE - RE</v>
          </cell>
        </row>
        <row r="12941">
          <cell r="H12941" t="str">
            <v>GWRES</v>
          </cell>
          <cell r="I12941" t="str">
            <v>GREENWASTE SERVICE - RES</v>
          </cell>
        </row>
        <row r="12942">
          <cell r="H12942" t="str">
            <v>OC-RES</v>
          </cell>
          <cell r="I12942" t="str">
            <v>ON CALL SERVICE - RES</v>
          </cell>
        </row>
        <row r="12943">
          <cell r="H12943" t="str">
            <v>OW-RES</v>
          </cell>
          <cell r="I12943" t="str">
            <v>OVERFILL / OVERWEIGHT CAN</v>
          </cell>
        </row>
        <row r="12944">
          <cell r="H12944" t="str">
            <v>REDEL-RES</v>
          </cell>
          <cell r="I12944" t="str">
            <v>REDELIVER FEE - RES</v>
          </cell>
        </row>
        <row r="12945">
          <cell r="H12945" t="str">
            <v>REINSTATE-RES</v>
          </cell>
          <cell r="I12945" t="str">
            <v>REINSTATE FEE - RES</v>
          </cell>
        </row>
        <row r="12946">
          <cell r="H12946" t="str">
            <v>RTRNCART32-RES</v>
          </cell>
          <cell r="I12946" t="str">
            <v>RETURN TRIP 32 GL - RES</v>
          </cell>
        </row>
        <row r="12947">
          <cell r="H12947" t="str">
            <v>RTRNCART65-RES</v>
          </cell>
          <cell r="I12947" t="str">
            <v>RETURN TRIP 65 GL - RES</v>
          </cell>
        </row>
        <row r="12948">
          <cell r="H12948" t="str">
            <v>RTRNCART95-RES</v>
          </cell>
          <cell r="I12948" t="str">
            <v>RETURN TRIP 95 GL - RES</v>
          </cell>
        </row>
        <row r="12949">
          <cell r="H12949" t="str">
            <v>RTRNCART96REC-RES</v>
          </cell>
          <cell r="I12949" t="str">
            <v>RETURN TRIP 96 GL REC - RES</v>
          </cell>
        </row>
        <row r="12950">
          <cell r="H12950" t="str">
            <v>SL065.0G1M001WREC</v>
          </cell>
          <cell r="I12950" t="str">
            <v>65 GL 1X MO W/RECY 1</v>
          </cell>
        </row>
        <row r="12951">
          <cell r="H12951" t="str">
            <v>SL065.0G1W001WREC</v>
          </cell>
          <cell r="I12951" t="str">
            <v>65 GL 1X WK W/RECY 1</v>
          </cell>
        </row>
        <row r="12952">
          <cell r="H12952" t="str">
            <v>SL065.0GEO001WREC</v>
          </cell>
          <cell r="I12952" t="str">
            <v>65 GL EOW W/RECY 1</v>
          </cell>
        </row>
        <row r="12953">
          <cell r="H12953" t="str">
            <v>SL095.0G1W001WREC</v>
          </cell>
          <cell r="I12953" t="str">
            <v>95 GL 1X WK W/RECY 1</v>
          </cell>
        </row>
        <row r="12954">
          <cell r="H12954" t="str">
            <v>SPGRAD1-RES</v>
          </cell>
          <cell r="I12954" t="str">
            <v>SPECIAL GRADUATED 1-2 - R</v>
          </cell>
        </row>
        <row r="12955">
          <cell r="H12955" t="str">
            <v>SPGRAD2-RES</v>
          </cell>
          <cell r="I12955" t="str">
            <v>SPECIAL GRADUATED 3+ - RE</v>
          </cell>
        </row>
        <row r="12956">
          <cell r="H12956" t="str">
            <v>UNRETURN-RES</v>
          </cell>
          <cell r="I12956" t="str">
            <v xml:space="preserve">CONTAINER UNRETURNED FEE </v>
          </cell>
        </row>
        <row r="12957">
          <cell r="H12957" t="str">
            <v>SL095.0G1W001WREC</v>
          </cell>
          <cell r="I12957" t="str">
            <v>95 GL 1X WK W/RECY 1</v>
          </cell>
        </row>
        <row r="12958">
          <cell r="H12958" t="str">
            <v>BULKY-RES</v>
          </cell>
          <cell r="I12958" t="str">
            <v>BULKY ITEM PICK UP - RES</v>
          </cell>
        </row>
        <row r="12959">
          <cell r="H12959" t="str">
            <v>OW-RES</v>
          </cell>
          <cell r="I12959" t="str">
            <v>OVERFILL / OVERWEIGHT CAN</v>
          </cell>
        </row>
        <row r="12960">
          <cell r="H12960" t="str">
            <v>SPGRAD1-RES</v>
          </cell>
          <cell r="I12960" t="str">
            <v>SPECIAL GRADUATED 1-2 - R</v>
          </cell>
        </row>
        <row r="12961">
          <cell r="H12961" t="str">
            <v>DISCO-CP</v>
          </cell>
          <cell r="I12961" t="str">
            <v xml:space="preserve">COMPACTOR DISCONNECT FEE </v>
          </cell>
        </row>
        <row r="12962">
          <cell r="H12962" t="str">
            <v>HAUL30-RO</v>
          </cell>
          <cell r="I12962" t="str">
            <v>HAUL 30 YD - RO</v>
          </cell>
        </row>
        <row r="12963">
          <cell r="H12963" t="str">
            <v>LIDRO</v>
          </cell>
          <cell r="I12963" t="str">
            <v>LID CHARGE - RO</v>
          </cell>
        </row>
        <row r="12964">
          <cell r="H12964" t="str">
            <v>RENT15MO-RO</v>
          </cell>
          <cell r="I12964" t="str">
            <v>RENTAL FEE 15 YD MONTHLY</v>
          </cell>
        </row>
        <row r="12965">
          <cell r="H12965" t="str">
            <v>RENT20MO-RO</v>
          </cell>
          <cell r="I12965" t="str">
            <v>RENTAL FEE 20 YD MONTHLY</v>
          </cell>
        </row>
        <row r="12966">
          <cell r="H12966" t="str">
            <v>RENT30MO-RO</v>
          </cell>
          <cell r="I12966" t="str">
            <v>RENTAL FEE 30 YD MONTHLY</v>
          </cell>
        </row>
        <row r="12967">
          <cell r="H12967" t="str">
            <v>RENT40MO-RO</v>
          </cell>
          <cell r="I12967" t="str">
            <v>RENTAL FEE 40 YD MONTHLY</v>
          </cell>
        </row>
        <row r="12968">
          <cell r="H12968" t="str">
            <v>RENT40TEMP-RO</v>
          </cell>
          <cell r="I12968" t="str">
            <v>RENTAL FEE 40 YD TEMP - R</v>
          </cell>
        </row>
        <row r="12969">
          <cell r="H12969" t="str">
            <v>CLEAN40-RO</v>
          </cell>
          <cell r="I12969" t="str">
            <v>CLEANING FEE 40 YD - RO</v>
          </cell>
        </row>
        <row r="12970">
          <cell r="H12970" t="str">
            <v>DEL20-RO</v>
          </cell>
          <cell r="I12970" t="str">
            <v>DELIVERY FEE 20 YD - RO</v>
          </cell>
        </row>
        <row r="12971">
          <cell r="H12971" t="str">
            <v>DEL20TEMP-RO</v>
          </cell>
          <cell r="I12971" t="str">
            <v>DELIVERY FEE 20 YD TEMP -</v>
          </cell>
        </row>
        <row r="12972">
          <cell r="H12972" t="str">
            <v>DEL30-RO</v>
          </cell>
          <cell r="I12972" t="str">
            <v>DELIVERY FEE 30 YD - RO</v>
          </cell>
        </row>
        <row r="12973">
          <cell r="H12973" t="str">
            <v>DEL30TEMP-RO</v>
          </cell>
          <cell r="I12973" t="str">
            <v>DELIVERY FEE 30 YD TEMP -</v>
          </cell>
        </row>
        <row r="12974">
          <cell r="H12974" t="str">
            <v>DEL40TEMP-RO</v>
          </cell>
          <cell r="I12974" t="str">
            <v>DELIVERY FEE 40 YD TEMP -</v>
          </cell>
        </row>
        <row r="12975">
          <cell r="H12975" t="str">
            <v>DISCO-CP</v>
          </cell>
          <cell r="I12975" t="str">
            <v xml:space="preserve">COMPACTOR DISCONNECT FEE </v>
          </cell>
        </row>
        <row r="12976">
          <cell r="H12976" t="str">
            <v>DISP-RO</v>
          </cell>
          <cell r="I12976" t="str">
            <v>DISPOSAL CHARGE - RO</v>
          </cell>
        </row>
        <row r="12977">
          <cell r="H12977" t="str">
            <v>DISPTRANS-RO</v>
          </cell>
          <cell r="I12977" t="str">
            <v>DISPOSAL FEE TRANSFER HAU</v>
          </cell>
        </row>
        <row r="12978">
          <cell r="H12978" t="str">
            <v>EXWGHT-RO</v>
          </cell>
          <cell r="I12978" t="str">
            <v>EXCESS WEIGHT - RO</v>
          </cell>
        </row>
        <row r="12979">
          <cell r="H12979" t="str">
            <v>FINAL20-RO</v>
          </cell>
          <cell r="I12979" t="str">
            <v>FINAL PULL 20 YD - RO</v>
          </cell>
        </row>
        <row r="12980">
          <cell r="H12980" t="str">
            <v>FINAL20TEMP-RO</v>
          </cell>
          <cell r="I12980" t="str">
            <v>FINAL PULL 20 YD TEMP - R</v>
          </cell>
        </row>
        <row r="12981">
          <cell r="H12981" t="str">
            <v>FINAL30-RO</v>
          </cell>
          <cell r="I12981" t="str">
            <v>FINAL PULL 30 YD - RO</v>
          </cell>
        </row>
        <row r="12982">
          <cell r="H12982" t="str">
            <v>FINAL30TEMP-RO</v>
          </cell>
          <cell r="I12982" t="str">
            <v>FINAL PULL 30 YD TEMP - R</v>
          </cell>
        </row>
        <row r="12983">
          <cell r="H12983" t="str">
            <v>FINAL40-RO</v>
          </cell>
          <cell r="I12983" t="str">
            <v>FINAL PULL 40 YD - RO</v>
          </cell>
        </row>
        <row r="12984">
          <cell r="H12984" t="str">
            <v>FINAL40TEMP-RO</v>
          </cell>
          <cell r="I12984" t="str">
            <v>FINAL PULL 40 YD TEMP - R</v>
          </cell>
        </row>
        <row r="12985">
          <cell r="H12985" t="str">
            <v>HAUL10-CP</v>
          </cell>
          <cell r="I12985" t="str">
            <v>COMPACTOR HAUL 10 YD - RO</v>
          </cell>
        </row>
        <row r="12986">
          <cell r="H12986" t="str">
            <v>HAUL15-CP</v>
          </cell>
          <cell r="I12986" t="str">
            <v>COMPACTOR HAUL 15 YD</v>
          </cell>
        </row>
        <row r="12987">
          <cell r="H12987" t="str">
            <v>HAUL20-CP</v>
          </cell>
          <cell r="I12987" t="str">
            <v>COMPACTOR HAUL 20 YD - RO</v>
          </cell>
        </row>
        <row r="12988">
          <cell r="H12988" t="str">
            <v>HAUL20-RO</v>
          </cell>
          <cell r="I12988" t="str">
            <v>HAUL 20 YD - RO</v>
          </cell>
        </row>
        <row r="12989">
          <cell r="H12989" t="str">
            <v>HAUL20TEMP-RO</v>
          </cell>
          <cell r="I12989" t="str">
            <v>HAUL 20 YD TEMP - RO</v>
          </cell>
        </row>
        <row r="12990">
          <cell r="H12990" t="str">
            <v>HAUL25-CP</v>
          </cell>
          <cell r="I12990" t="str">
            <v>COMPACTOR HAUL 25 YD - RO</v>
          </cell>
        </row>
        <row r="12991">
          <cell r="H12991" t="str">
            <v>HAUL26-CP</v>
          </cell>
          <cell r="I12991" t="str">
            <v>COMPACTOR HAUL 26 YD - RO</v>
          </cell>
        </row>
        <row r="12992">
          <cell r="H12992" t="str">
            <v>HAUL30-CP</v>
          </cell>
          <cell r="I12992" t="str">
            <v>COMPACTOR HAUL 30 YD</v>
          </cell>
        </row>
        <row r="12993">
          <cell r="H12993" t="str">
            <v>HAUL30-RO</v>
          </cell>
          <cell r="I12993" t="str">
            <v>HAUL 30 YD - RO</v>
          </cell>
        </row>
        <row r="12994">
          <cell r="H12994" t="str">
            <v>HAUL30TEMP-RO</v>
          </cell>
          <cell r="I12994" t="str">
            <v>HAUL 30 YD TEMP - RO</v>
          </cell>
        </row>
        <row r="12995">
          <cell r="H12995" t="str">
            <v>HAUL35-CP</v>
          </cell>
          <cell r="I12995" t="str">
            <v>COMPACTOR HAUL 35 YD - RO</v>
          </cell>
        </row>
        <row r="12996">
          <cell r="H12996" t="str">
            <v>HAUL40-CP</v>
          </cell>
          <cell r="I12996" t="str">
            <v>COMPACTOR HAUL 40 YD</v>
          </cell>
        </row>
        <row r="12997">
          <cell r="H12997" t="str">
            <v>HAUL40-RO</v>
          </cell>
          <cell r="I12997" t="str">
            <v>HAUL 40 YD - RO</v>
          </cell>
        </row>
        <row r="12998">
          <cell r="H12998" t="str">
            <v>HAUL40TEMP-RO</v>
          </cell>
          <cell r="I12998" t="str">
            <v>HAUL 40 YD TEMP - RO</v>
          </cell>
        </row>
        <row r="12999">
          <cell r="H12999" t="str">
            <v>RENT20TEMP-RO</v>
          </cell>
          <cell r="I12999" t="str">
            <v>RENTAL FEE 20 YD TEMP - R</v>
          </cell>
        </row>
        <row r="13000">
          <cell r="H13000" t="str">
            <v>RENT30TEMP-RO</v>
          </cell>
          <cell r="I13000" t="str">
            <v>RENTAL FEE 30 YD TEMP - R</v>
          </cell>
        </row>
        <row r="13001">
          <cell r="H13001" t="str">
            <v>RENT40TEMP-RO</v>
          </cell>
          <cell r="I13001" t="str">
            <v>RENTAL FEE 40 YD TEMP - R</v>
          </cell>
        </row>
        <row r="13002">
          <cell r="H13002" t="str">
            <v>RTRNTRIP-RO</v>
          </cell>
          <cell r="I13002" t="str">
            <v>RETURN TRIP FEE - RO</v>
          </cell>
        </row>
        <row r="13003">
          <cell r="H13003" t="str">
            <v>TIME-RO</v>
          </cell>
          <cell r="I13003" t="str">
            <v>TIME FEE - RO</v>
          </cell>
        </row>
        <row r="13004">
          <cell r="H13004" t="str">
            <v>DISPGLASS-RO</v>
          </cell>
          <cell r="I13004" t="str">
            <v>DISPOSAL FEE GLASS - RO</v>
          </cell>
        </row>
        <row r="13005">
          <cell r="H13005" t="str">
            <v>HAUL30-RO</v>
          </cell>
          <cell r="I13005" t="str">
            <v>HAUL 30 YD - RO</v>
          </cell>
        </row>
        <row r="13006">
          <cell r="H13006" t="str">
            <v>COMMODITY SURCHARGE</v>
          </cell>
          <cell r="I13006" t="str">
            <v>COMMODITY SURCHARGE</v>
          </cell>
        </row>
        <row r="13007">
          <cell r="H13007" t="str">
            <v>COMMODITY SURCHARGE</v>
          </cell>
          <cell r="I13007" t="str">
            <v>COMMODITY SURCHARGE</v>
          </cell>
        </row>
        <row r="13008">
          <cell r="H13008" t="str">
            <v>LAKEWOOD CITY ONLY</v>
          </cell>
          <cell r="I13008" t="str">
            <v>6% CITY UTILITY TAX</v>
          </cell>
        </row>
        <row r="13009">
          <cell r="H13009" t="str">
            <v>LAKEWOOD CITY UTILITY TAX</v>
          </cell>
          <cell r="I13009" t="str">
            <v>6% CITY UTILITY TAX</v>
          </cell>
        </row>
        <row r="13010">
          <cell r="H13010" t="str">
            <v>LAKEWOOD REFUSE TAX</v>
          </cell>
          <cell r="I13010" t="str">
            <v>3.6% WA STATE REFUSE TAX</v>
          </cell>
        </row>
        <row r="13011">
          <cell r="H13011" t="str">
            <v>LAKEWOOD STATE SALES TAX</v>
          </cell>
          <cell r="I13011" t="str">
            <v>9.9% WA STATE SALES TAX</v>
          </cell>
        </row>
        <row r="13012">
          <cell r="H13012" t="str">
            <v>LAKEWOOD CITY ONLY</v>
          </cell>
          <cell r="I13012" t="str">
            <v>6% CITY UTILITY TAX</v>
          </cell>
        </row>
        <row r="13013">
          <cell r="H13013" t="str">
            <v>LAKEWOOD CITY UTILITY TAX</v>
          </cell>
          <cell r="I13013" t="str">
            <v>6% CITY UTILITY TAX</v>
          </cell>
        </row>
        <row r="13014">
          <cell r="H13014" t="str">
            <v>LAKEWOOD REFUSE TAX</v>
          </cell>
          <cell r="I13014" t="str">
            <v>3.6% WA STATE REFUSE TAX</v>
          </cell>
        </row>
        <row r="13015">
          <cell r="H13015" t="str">
            <v>LAKEWOOD STATE SALES TAX</v>
          </cell>
          <cell r="I13015" t="str">
            <v>9.9% WA STATE SALES TAX</v>
          </cell>
        </row>
        <row r="13016">
          <cell r="H13016" t="str">
            <v xml:space="preserve">PIERCE COUNTY REFUSE  </v>
          </cell>
          <cell r="I13016" t="str">
            <v>3.6% PIERCE COUNTY REFUSE</v>
          </cell>
        </row>
        <row r="13017">
          <cell r="H13017" t="str">
            <v>LAKEWOOD CITY ONLY</v>
          </cell>
          <cell r="I13017" t="str">
            <v>6% CITY UTILITY TAX</v>
          </cell>
        </row>
        <row r="13018">
          <cell r="H13018" t="str">
            <v>LAKEWOOD CITY UTILITY TAX</v>
          </cell>
          <cell r="I13018" t="str">
            <v>6% CITY UTILITY TAX</v>
          </cell>
        </row>
        <row r="13019">
          <cell r="H13019" t="str">
            <v>LAKEWOOD REFUSE TAX</v>
          </cell>
          <cell r="I13019" t="str">
            <v>3.6% WA STATE REFUSE TAX</v>
          </cell>
        </row>
        <row r="13020">
          <cell r="H13020" t="str">
            <v>LAKEWOOD STATE SALES TAX</v>
          </cell>
          <cell r="I13020" t="str">
            <v>9.9% WA STATE SALES TAX</v>
          </cell>
        </row>
        <row r="13021">
          <cell r="H13021" t="str">
            <v>LAKEWOOD CITY UTILITY TAX</v>
          </cell>
          <cell r="I13021" t="str">
            <v>6% CITY UTILITY TAX</v>
          </cell>
        </row>
        <row r="13022">
          <cell r="H13022" t="str">
            <v>LAKEWOOD REFUSE TAX</v>
          </cell>
          <cell r="I13022" t="str">
            <v>3.6% WA STATE REFUSE TAX</v>
          </cell>
        </row>
        <row r="13023">
          <cell r="H13023" t="str">
            <v>LAKEWOOD CITY UTILITY TAX</v>
          </cell>
          <cell r="I13023" t="str">
            <v>6% CITY UTILITY TAX</v>
          </cell>
        </row>
        <row r="13024">
          <cell r="H13024" t="str">
            <v>LAKEWOOD REFUSE TAX</v>
          </cell>
          <cell r="I13024" t="str">
            <v>3.6% WA STATE REFUSE TAX</v>
          </cell>
        </row>
        <row r="13025">
          <cell r="H13025" t="str">
            <v>LAKEWOOD CITY ONLY</v>
          </cell>
          <cell r="I13025" t="str">
            <v>6% CITY UTILITY TAX</v>
          </cell>
        </row>
        <row r="13026">
          <cell r="H13026" t="str">
            <v>LAKEWOOD CITY UTILITY TAX</v>
          </cell>
          <cell r="I13026" t="str">
            <v>6% CITY UTILITY TAX</v>
          </cell>
        </row>
        <row r="13027">
          <cell r="H13027" t="str">
            <v>LAKEWOOD REFUSE TAX</v>
          </cell>
          <cell r="I13027" t="str">
            <v>3.6% WA STATE REFUSE TAX</v>
          </cell>
        </row>
        <row r="13028">
          <cell r="H13028" t="str">
            <v>LAKEWOOD STATE SALES TAX</v>
          </cell>
          <cell r="I13028" t="str">
            <v>9.9% WA STATE SALES TAX</v>
          </cell>
        </row>
        <row r="13029">
          <cell r="H13029" t="str">
            <v>LAKEWOOD CITY UTILITY TAX</v>
          </cell>
          <cell r="I13029" t="str">
            <v>6% CITY UTILITY TAX</v>
          </cell>
        </row>
        <row r="13030">
          <cell r="H13030" t="str">
            <v>LAKEWOOD REFUSE TAX</v>
          </cell>
          <cell r="I13030" t="str">
            <v>3.6% WA STATE REFUSE TAX</v>
          </cell>
        </row>
        <row r="13031">
          <cell r="H13031" t="str">
            <v>LAKEWOOD CITY ONLY</v>
          </cell>
          <cell r="I13031" t="str">
            <v>6% CITY UTILITY TAX</v>
          </cell>
        </row>
        <row r="13032">
          <cell r="H13032" t="str">
            <v>FINCHG</v>
          </cell>
          <cell r="I13032" t="str">
            <v>LATE FEE</v>
          </cell>
        </row>
        <row r="13033">
          <cell r="H13033" t="str">
            <v>BD</v>
          </cell>
          <cell r="I13033" t="str">
            <v>BAD DEBT WRITE OFF</v>
          </cell>
        </row>
        <row r="13034">
          <cell r="H13034" t="str">
            <v>BDR</v>
          </cell>
          <cell r="I13034" t="str">
            <v>BAD DEBT RECOVERY</v>
          </cell>
        </row>
        <row r="13035">
          <cell r="H13035" t="str">
            <v>COLLFEE</v>
          </cell>
          <cell r="I13035" t="str">
            <v>COLLECTION AGENCY FEE</v>
          </cell>
        </row>
        <row r="13036">
          <cell r="H13036" t="str">
            <v>FINCHG</v>
          </cell>
          <cell r="I13036" t="str">
            <v>LATE FEE</v>
          </cell>
        </row>
        <row r="13037">
          <cell r="H13037" t="str">
            <v>MM</v>
          </cell>
          <cell r="I13037" t="str">
            <v>ADJUST BALANCE (MM)</v>
          </cell>
        </row>
        <row r="13038">
          <cell r="H13038" t="str">
            <v>MM</v>
          </cell>
          <cell r="I13038" t="str">
            <v>ADJUST BALANCE (MM)</v>
          </cell>
        </row>
        <row r="13039">
          <cell r="H13039" t="str">
            <v>REFUND</v>
          </cell>
          <cell r="I13039" t="str">
            <v>REFUND</v>
          </cell>
        </row>
        <row r="13040">
          <cell r="H13040" t="str">
            <v>RETCKC</v>
          </cell>
          <cell r="I13040" t="str">
            <v>RETURN CHECK CHARGE</v>
          </cell>
        </row>
        <row r="13041">
          <cell r="H13041" t="str">
            <v>BD</v>
          </cell>
          <cell r="I13041" t="str">
            <v>BAD DEBT WRITE OFF</v>
          </cell>
        </row>
        <row r="13042">
          <cell r="H13042" t="str">
            <v>BDR</v>
          </cell>
          <cell r="I13042" t="str">
            <v>BAD DEBT RECOVERY</v>
          </cell>
        </row>
        <row r="13043">
          <cell r="H13043" t="str">
            <v>COLLFEE</v>
          </cell>
          <cell r="I13043" t="str">
            <v>COLLECTION AGENCY FEE</v>
          </cell>
        </row>
        <row r="13044">
          <cell r="H13044" t="str">
            <v>FINCHG</v>
          </cell>
          <cell r="I13044" t="str">
            <v>LATE FEE</v>
          </cell>
        </row>
        <row r="13045">
          <cell r="H13045" t="str">
            <v>MM</v>
          </cell>
          <cell r="I13045" t="str">
            <v>ADJUST BALANCE (MM)</v>
          </cell>
        </row>
        <row r="13046">
          <cell r="H13046" t="str">
            <v>MM</v>
          </cell>
          <cell r="I13046" t="str">
            <v>ADJUST BALANCE (MM)</v>
          </cell>
        </row>
        <row r="13047">
          <cell r="H13047" t="str">
            <v>REFUND</v>
          </cell>
          <cell r="I13047" t="str">
            <v>REFUND</v>
          </cell>
        </row>
        <row r="13048">
          <cell r="H13048" t="str">
            <v>RETCK</v>
          </cell>
          <cell r="I13048" t="str">
            <v>RETURNED CHECK</v>
          </cell>
        </row>
        <row r="13049">
          <cell r="H13049" t="str">
            <v>RETCK-CFREE</v>
          </cell>
          <cell r="I13049" t="str">
            <v>CHECKFREE RETURN CHECK</v>
          </cell>
        </row>
        <row r="13050">
          <cell r="H13050" t="str">
            <v>RETCK-LB</v>
          </cell>
          <cell r="I13050" t="str">
            <v>RETURNED CHECK - LOCKBOX</v>
          </cell>
        </row>
        <row r="13051">
          <cell r="H13051" t="str">
            <v>RETCKC</v>
          </cell>
          <cell r="I13051" t="str">
            <v>RETURN CHECK CHARGE</v>
          </cell>
        </row>
        <row r="13052">
          <cell r="H13052" t="str">
            <v>FINCHG</v>
          </cell>
          <cell r="I13052" t="str">
            <v>LATE FEE</v>
          </cell>
        </row>
        <row r="13053">
          <cell r="H13053" t="str">
            <v>BD</v>
          </cell>
          <cell r="I13053" t="str">
            <v>BAD DEBT WRITE OFF</v>
          </cell>
        </row>
        <row r="13054">
          <cell r="H13054" t="str">
            <v>BDR</v>
          </cell>
          <cell r="I13054" t="str">
            <v>BAD DEBT RECOVERY</v>
          </cell>
        </row>
        <row r="13055">
          <cell r="H13055" t="str">
            <v>COLLFEE</v>
          </cell>
          <cell r="I13055" t="str">
            <v>COLLECTION AGENCY FEE</v>
          </cell>
        </row>
        <row r="13056">
          <cell r="H13056" t="str">
            <v>FINCHG</v>
          </cell>
          <cell r="I13056" t="str">
            <v>LATE FEE</v>
          </cell>
        </row>
        <row r="13057">
          <cell r="H13057" t="str">
            <v>MM</v>
          </cell>
          <cell r="I13057" t="str">
            <v>ADJUST BALANCE (MM)</v>
          </cell>
        </row>
        <row r="13058">
          <cell r="H13058" t="str">
            <v>MM</v>
          </cell>
          <cell r="I13058" t="str">
            <v>ADJUST BALANCE (MM)</v>
          </cell>
        </row>
        <row r="13059">
          <cell r="H13059" t="str">
            <v>REFUND</v>
          </cell>
          <cell r="I13059" t="str">
            <v>REFUND</v>
          </cell>
        </row>
        <row r="13060">
          <cell r="H13060" t="str">
            <v>FINCHG</v>
          </cell>
          <cell r="I13060" t="str">
            <v>LATE FEE</v>
          </cell>
        </row>
        <row r="13061">
          <cell r="H13061" t="str">
            <v>ACCESS-COMM</v>
          </cell>
          <cell r="I13061" t="str">
            <v>ACCESS FEE - COMM</v>
          </cell>
        </row>
        <row r="13062">
          <cell r="H13062" t="str">
            <v>SL095.0G1W001WRECC</v>
          </cell>
          <cell r="I13062" t="str">
            <v>95 GL 1X WK W/RECY COMM 1</v>
          </cell>
        </row>
        <row r="13063">
          <cell r="H13063" t="str">
            <v>RTRNCART95-COMM</v>
          </cell>
          <cell r="I13063" t="str">
            <v>RETURN TRIP 95 GL - COMM</v>
          </cell>
        </row>
        <row r="13064">
          <cell r="H13064" t="str">
            <v>ACCESS-COMM</v>
          </cell>
          <cell r="I13064" t="str">
            <v>ACCESS FEE - COMM</v>
          </cell>
        </row>
        <row r="13065">
          <cell r="H13065" t="str">
            <v>DIST4CAN-COMM</v>
          </cell>
          <cell r="I13065" t="str">
            <v>DISTRIBUTED 4 CANS - COMM</v>
          </cell>
        </row>
        <row r="13066">
          <cell r="H13066" t="str">
            <v>DONATIONC</v>
          </cell>
          <cell r="I13066" t="str">
            <v>DONATED SERVICE COMM</v>
          </cell>
        </row>
        <row r="13067">
          <cell r="H13067" t="str">
            <v>DRIVEIN-COMM</v>
          </cell>
          <cell r="I13067" t="str">
            <v>DRIVE IN SERVICE - COMM</v>
          </cell>
        </row>
        <row r="13068">
          <cell r="H13068" t="str">
            <v>DRIVEIN1-COMM</v>
          </cell>
          <cell r="I13068" t="str">
            <v>DRIVE IN 125-250' - COMM</v>
          </cell>
        </row>
        <row r="13069">
          <cell r="H13069" t="str">
            <v>FL001.0Y1W001</v>
          </cell>
          <cell r="I13069" t="str">
            <v>1 YD 1X WK 1</v>
          </cell>
        </row>
        <row r="13070">
          <cell r="H13070" t="str">
            <v>FL001.0Y2W001</v>
          </cell>
          <cell r="I13070" t="str">
            <v>1 YD 2X WK 1</v>
          </cell>
        </row>
        <row r="13071">
          <cell r="H13071" t="str">
            <v>FL001.0Y3W001</v>
          </cell>
          <cell r="I13071" t="str">
            <v>1 YD 3X WK 1</v>
          </cell>
        </row>
        <row r="13072">
          <cell r="H13072" t="str">
            <v>FL001.0YEO001</v>
          </cell>
          <cell r="I13072" t="str">
            <v>1 YD EOW 1</v>
          </cell>
        </row>
        <row r="13073">
          <cell r="H13073" t="str">
            <v>FL001.5Y1W001</v>
          </cell>
          <cell r="I13073" t="str">
            <v>1.5 YD 1X WK 1</v>
          </cell>
        </row>
        <row r="13074">
          <cell r="H13074" t="str">
            <v>FL001.5Y2W001</v>
          </cell>
          <cell r="I13074" t="str">
            <v>1.5 YD 2X WK 1</v>
          </cell>
        </row>
        <row r="13075">
          <cell r="H13075" t="str">
            <v>FL001.5Y3W001</v>
          </cell>
          <cell r="I13075" t="str">
            <v>1.5 YD 3X WK 1</v>
          </cell>
        </row>
        <row r="13076">
          <cell r="H13076" t="str">
            <v>FL002.0Y1W001</v>
          </cell>
          <cell r="I13076" t="str">
            <v>2 YD 1X WK 1</v>
          </cell>
        </row>
        <row r="13077">
          <cell r="H13077" t="str">
            <v>FL002.0Y1W001CMP</v>
          </cell>
          <cell r="I13077" t="str">
            <v>2 YD 1X WK COMP 1</v>
          </cell>
        </row>
        <row r="13078">
          <cell r="H13078" t="str">
            <v>FL002.0Y2W001</v>
          </cell>
          <cell r="I13078" t="str">
            <v>2 YD 2X WK 1</v>
          </cell>
        </row>
        <row r="13079">
          <cell r="H13079" t="str">
            <v>FL002.0Y3W001</v>
          </cell>
          <cell r="I13079" t="str">
            <v>2 YD 3X WK 1</v>
          </cell>
        </row>
        <row r="13080">
          <cell r="H13080" t="str">
            <v>FL003.0Y1W001</v>
          </cell>
          <cell r="I13080" t="str">
            <v>3 YD 1X WK 1</v>
          </cell>
        </row>
        <row r="13081">
          <cell r="H13081" t="str">
            <v>FL003.0Y2W001</v>
          </cell>
          <cell r="I13081" t="str">
            <v>3 YD 2X WK 1</v>
          </cell>
        </row>
        <row r="13082">
          <cell r="H13082" t="str">
            <v>FL003.0Y2W001CMP</v>
          </cell>
          <cell r="I13082" t="str">
            <v>3 YD 2X WK COMP 1</v>
          </cell>
        </row>
        <row r="13083">
          <cell r="H13083" t="str">
            <v>FL003.0Y3W001</v>
          </cell>
          <cell r="I13083" t="str">
            <v>3 YD 3X WK 1</v>
          </cell>
        </row>
        <row r="13084">
          <cell r="H13084" t="str">
            <v>FL004.0Y1W001</v>
          </cell>
          <cell r="I13084" t="str">
            <v>4 YD 1X WK 1</v>
          </cell>
        </row>
        <row r="13085">
          <cell r="H13085" t="str">
            <v>FL004.0Y1W001CMP</v>
          </cell>
          <cell r="I13085" t="str">
            <v>4 YD 1X WK COMP 1</v>
          </cell>
        </row>
        <row r="13086">
          <cell r="H13086" t="str">
            <v>FL004.0Y2W001</v>
          </cell>
          <cell r="I13086" t="str">
            <v>4 YD 2X WK 1</v>
          </cell>
        </row>
        <row r="13087">
          <cell r="H13087" t="str">
            <v>FL004.0Y2W001CMP</v>
          </cell>
          <cell r="I13087" t="str">
            <v>4 YD 2X WK COMP 1</v>
          </cell>
        </row>
        <row r="13088">
          <cell r="H13088" t="str">
            <v>FL004.0Y3W001</v>
          </cell>
          <cell r="I13088" t="str">
            <v>4 YD 3X WK 1</v>
          </cell>
        </row>
        <row r="13089">
          <cell r="H13089" t="str">
            <v>FL006.0Y1W001</v>
          </cell>
          <cell r="I13089" t="str">
            <v>6 YD 1X WK 1</v>
          </cell>
        </row>
        <row r="13090">
          <cell r="H13090" t="str">
            <v>FL006.0Y2W001</v>
          </cell>
          <cell r="I13090" t="str">
            <v>6 YD 2X WK 1</v>
          </cell>
        </row>
        <row r="13091">
          <cell r="H13091" t="str">
            <v>FL006.0Y2W001CMP</v>
          </cell>
          <cell r="I13091" t="str">
            <v>6 YD 2X WK COMP 1</v>
          </cell>
        </row>
        <row r="13092">
          <cell r="H13092" t="str">
            <v>FL006.0Y3W001</v>
          </cell>
          <cell r="I13092" t="str">
            <v>6 YD 3X WK 1</v>
          </cell>
        </row>
        <row r="13093">
          <cell r="H13093" t="str">
            <v>FL006.0Y4W001</v>
          </cell>
          <cell r="I13093" t="str">
            <v>6 YD 4X WK 1</v>
          </cell>
        </row>
        <row r="13094">
          <cell r="H13094" t="str">
            <v>GWCOMM</v>
          </cell>
          <cell r="I13094" t="str">
            <v>GREENWASTE SERVICE - COMM</v>
          </cell>
        </row>
        <row r="13095">
          <cell r="H13095" t="str">
            <v>RENT2TEMP-COMM</v>
          </cell>
          <cell r="I13095" t="str">
            <v>RENT 2 YD TEMP - COMM</v>
          </cell>
        </row>
        <row r="13096">
          <cell r="H13096" t="str">
            <v>RL032.0G1W001NORECC</v>
          </cell>
          <cell r="I13096" t="str">
            <v xml:space="preserve">32 GL 1X WK NO RECY COMM </v>
          </cell>
        </row>
        <row r="13097">
          <cell r="H13097" t="str">
            <v>RL032.0G1W001WRECC</v>
          </cell>
          <cell r="I13097" t="str">
            <v>32 GL 1X WK W/RECY COMM 1</v>
          </cell>
        </row>
        <row r="13098">
          <cell r="H13098" t="str">
            <v>RL032.0G1W002NORECC</v>
          </cell>
          <cell r="I13098" t="str">
            <v xml:space="preserve">32 GL 1X WK NO RECY COMM </v>
          </cell>
        </row>
        <row r="13099">
          <cell r="H13099" t="str">
            <v>RL032.0G1W002WRECC</v>
          </cell>
          <cell r="I13099" t="str">
            <v>32 GL 1X WK W/RECY COMM 2</v>
          </cell>
        </row>
        <row r="13100">
          <cell r="H13100" t="str">
            <v>RL032.0G1W003WRECC</v>
          </cell>
          <cell r="I13100" t="str">
            <v>32 GL 1X WK W/RECY COMM 3</v>
          </cell>
        </row>
        <row r="13101">
          <cell r="H13101" t="str">
            <v>RL032.0G1W004WRECC</v>
          </cell>
          <cell r="I13101" t="str">
            <v>32 GL 1X WK W/RECY COMM 4</v>
          </cell>
        </row>
        <row r="13102">
          <cell r="H13102" t="str">
            <v>RL035.0G1W001WRECC</v>
          </cell>
          <cell r="I13102" t="str">
            <v>35 GL 1X WK W/RECY COMM 1</v>
          </cell>
        </row>
        <row r="13103">
          <cell r="H13103" t="str">
            <v>ROLL-COMM</v>
          </cell>
          <cell r="I13103" t="str">
            <v>ROLL OUT CHARGE - COMM</v>
          </cell>
        </row>
        <row r="13104">
          <cell r="H13104" t="str">
            <v>SL065.0G1W001NORECC</v>
          </cell>
          <cell r="I13104" t="str">
            <v xml:space="preserve">65 GL 1X WK NO RECY COMM </v>
          </cell>
        </row>
        <row r="13105">
          <cell r="H13105" t="str">
            <v>SL065.0G1W001WRECC</v>
          </cell>
          <cell r="I13105" t="str">
            <v>65 GL 1X WK W/RECY COMM 1</v>
          </cell>
        </row>
        <row r="13106">
          <cell r="H13106" t="str">
            <v>SL065.0GEO001NORECC</v>
          </cell>
          <cell r="I13106" t="str">
            <v>65 GL EOW NO RECY COMM 1</v>
          </cell>
        </row>
        <row r="13107">
          <cell r="H13107" t="str">
            <v>SL065.0GEO001WRECC</v>
          </cell>
          <cell r="I13107" t="str">
            <v>65 GL EOW W/RECY COMM 1</v>
          </cell>
        </row>
        <row r="13108">
          <cell r="H13108" t="str">
            <v>SL095.0G1W001NORECC</v>
          </cell>
          <cell r="I13108" t="str">
            <v xml:space="preserve">95 GL 1X WK NO RECY COMM </v>
          </cell>
        </row>
        <row r="13109">
          <cell r="H13109" t="str">
            <v>SL095.0G1W001WRECC</v>
          </cell>
          <cell r="I13109" t="str">
            <v>95 GL 1X WK W/RECY COMM 1</v>
          </cell>
        </row>
        <row r="13110">
          <cell r="H13110" t="str">
            <v>SL095.0GEO001NORECC</v>
          </cell>
          <cell r="I13110" t="str">
            <v>95 GL EOW NO RECY COMM 1</v>
          </cell>
        </row>
        <row r="13111">
          <cell r="H13111" t="str">
            <v>SL095.0GEO001WRECC</v>
          </cell>
          <cell r="I13111" t="str">
            <v>95 GL EOW W/RECY COMM 1</v>
          </cell>
        </row>
        <row r="13112">
          <cell r="H13112" t="str">
            <v>WI1-COMM</v>
          </cell>
          <cell r="I13112" t="str">
            <v>WALK IN 6-25' - COMM</v>
          </cell>
        </row>
        <row r="13113">
          <cell r="H13113" t="str">
            <v>WI2-COMM</v>
          </cell>
          <cell r="I13113" t="str">
            <v>WALK IN 26-50' - COMM</v>
          </cell>
        </row>
        <row r="13114">
          <cell r="H13114" t="str">
            <v>WI4-COMM</v>
          </cell>
          <cell r="I13114" t="str">
            <v>WALK IN 76-100' - COMM</v>
          </cell>
        </row>
        <row r="13115">
          <cell r="H13115" t="str">
            <v>ADJ-COMM</v>
          </cell>
          <cell r="I13115" t="str">
            <v>ADJUSTMENT SERVICE - COMM</v>
          </cell>
        </row>
        <row r="13116">
          <cell r="H13116" t="str">
            <v>BULKY-COMM</v>
          </cell>
          <cell r="I13116" t="str">
            <v>BULKY ITEM PICK UP - COMM</v>
          </cell>
        </row>
        <row r="13117">
          <cell r="H13117" t="str">
            <v>CANCOUNT-COMM</v>
          </cell>
          <cell r="I13117" t="str">
            <v>CAN COUNT - COMM</v>
          </cell>
        </row>
        <row r="13118">
          <cell r="H13118" t="str">
            <v>CANCOUNT65-COMM</v>
          </cell>
          <cell r="I13118" t="str">
            <v>CAN COUNT 65 GL - COMM</v>
          </cell>
        </row>
        <row r="13119">
          <cell r="H13119" t="str">
            <v>CLEAN1-COMM</v>
          </cell>
          <cell r="I13119" t="str">
            <v>CLEANING FEE 1 YD - COMM</v>
          </cell>
        </row>
        <row r="13120">
          <cell r="H13120" t="str">
            <v>CLEAN1.5-COMM</v>
          </cell>
          <cell r="I13120" t="str">
            <v>CLEANING FEE 1.5 YD - COM</v>
          </cell>
        </row>
        <row r="13121">
          <cell r="H13121" t="str">
            <v>CLEAN2-COMM</v>
          </cell>
          <cell r="I13121" t="str">
            <v>CLEANING FEE 2 YD - COMM</v>
          </cell>
        </row>
        <row r="13122">
          <cell r="H13122" t="str">
            <v>CLEAN4-COMM</v>
          </cell>
          <cell r="I13122" t="str">
            <v>CLEANING FEE 4 YD - COMM</v>
          </cell>
        </row>
        <row r="13123">
          <cell r="H13123" t="str">
            <v>CLEAN6-COMM</v>
          </cell>
          <cell r="I13123" t="str">
            <v>CLEANING FEE 6 YD - COMM</v>
          </cell>
        </row>
        <row r="13124">
          <cell r="H13124" t="str">
            <v>DEL1.5TEMP-COMM</v>
          </cell>
          <cell r="I13124" t="str">
            <v xml:space="preserve">DELIVERY FEE 1.5 YD TEMP </v>
          </cell>
        </row>
        <row r="13125">
          <cell r="H13125" t="str">
            <v>DEL1TEMP-COMM</v>
          </cell>
          <cell r="I13125" t="str">
            <v xml:space="preserve">DELIVERY FEE 1 YD TEMP - </v>
          </cell>
        </row>
        <row r="13126">
          <cell r="H13126" t="str">
            <v>DEL2TEMP-COMM</v>
          </cell>
          <cell r="I13126" t="str">
            <v xml:space="preserve">DELIVERY FEE 2 YD TEMP - </v>
          </cell>
        </row>
        <row r="13127">
          <cell r="H13127" t="str">
            <v>DISP-COMM</v>
          </cell>
          <cell r="I13127" t="str">
            <v>DISPOSAL FEE - COMM</v>
          </cell>
        </row>
        <row r="13128">
          <cell r="H13128" t="str">
            <v>DISPFEDMSW-COMM</v>
          </cell>
          <cell r="I13128" t="str">
            <v>DISPOSAL FEDERAL MSW - CO</v>
          </cell>
        </row>
        <row r="13129">
          <cell r="H13129" t="str">
            <v>DISPMIX-COMM</v>
          </cell>
          <cell r="I13129" t="str">
            <v>DISPOSAL MIX CMGL OCC - COMM</v>
          </cell>
        </row>
        <row r="13130">
          <cell r="H13130" t="str">
            <v>EXTRA-COMM</v>
          </cell>
          <cell r="I13130" t="str">
            <v>EXTRA CAN, BAG, BOX - COM</v>
          </cell>
        </row>
        <row r="13131">
          <cell r="H13131" t="str">
            <v>EXTRAYDG-COM</v>
          </cell>
          <cell r="I13131" t="str">
            <v>EXTRA YARDAGE - COMM</v>
          </cell>
        </row>
        <row r="13132">
          <cell r="H13132" t="str">
            <v>FL001.0Y1W001</v>
          </cell>
          <cell r="I13132" t="str">
            <v>1 YD 1X WK 1</v>
          </cell>
        </row>
        <row r="13133">
          <cell r="H13133" t="str">
            <v>FL001.0YXX001TEMPC</v>
          </cell>
          <cell r="I13133" t="str">
            <v xml:space="preserve">1 YD TEMP </v>
          </cell>
        </row>
        <row r="13134">
          <cell r="H13134" t="str">
            <v>FL001.5YXX001TEMPC</v>
          </cell>
          <cell r="I13134" t="str">
            <v xml:space="preserve">1.5 YD TEMP </v>
          </cell>
        </row>
        <row r="13135">
          <cell r="H13135" t="str">
            <v>FL002.0YXX001TEMPC</v>
          </cell>
          <cell r="I13135" t="str">
            <v xml:space="preserve">2 YD TEMP </v>
          </cell>
        </row>
        <row r="13136">
          <cell r="H13136" t="str">
            <v>FL004.0YXX001TEMPC</v>
          </cell>
          <cell r="I13136" t="str">
            <v>4 YD TEMP 1</v>
          </cell>
        </row>
        <row r="13137">
          <cell r="H13137" t="str">
            <v>REDEL-COMM</v>
          </cell>
          <cell r="I13137" t="str">
            <v>REDELIVER FEE LVL 1 - COM</v>
          </cell>
        </row>
        <row r="13138">
          <cell r="H13138" t="str">
            <v>REINSTATE-COMM</v>
          </cell>
          <cell r="I13138" t="str">
            <v>REINSTATE FEE - COMM</v>
          </cell>
        </row>
        <row r="13139">
          <cell r="H13139" t="str">
            <v>RENT1.5TEMP-COMM</v>
          </cell>
          <cell r="I13139" t="str">
            <v>RENT 1.5 YD TEMP - COMM</v>
          </cell>
        </row>
        <row r="13140">
          <cell r="H13140" t="str">
            <v>RENT1TEMP-COMM</v>
          </cell>
          <cell r="I13140" t="str">
            <v>RENT 1 YD TEMP - COMM</v>
          </cell>
        </row>
        <row r="13141">
          <cell r="H13141" t="str">
            <v>RENT2TEMP-COMM</v>
          </cell>
          <cell r="I13141" t="str">
            <v>RENT 2 YD TEMP - COMM</v>
          </cell>
        </row>
        <row r="13142">
          <cell r="H13142" t="str">
            <v>RENT3TEMP-COMM</v>
          </cell>
          <cell r="I13142" t="str">
            <v>RENT 3 YD TEMP - COMM</v>
          </cell>
        </row>
        <row r="13143">
          <cell r="H13143" t="str">
            <v>RTRNTRIP-COMM</v>
          </cell>
          <cell r="I13143" t="str">
            <v>RETURN TRIP FEE - COMM</v>
          </cell>
        </row>
        <row r="13144">
          <cell r="H13144" t="str">
            <v>SP1-COMM</v>
          </cell>
          <cell r="I13144" t="str">
            <v>SPECIAL PICK UP 1 YD - CO</v>
          </cell>
        </row>
        <row r="13145">
          <cell r="H13145" t="str">
            <v>SP1.5-COMM</v>
          </cell>
          <cell r="I13145" t="str">
            <v xml:space="preserve">SPECIAL PICK UP 1.5 YD - </v>
          </cell>
        </row>
        <row r="13146">
          <cell r="H13146" t="str">
            <v>SP2-COMM</v>
          </cell>
          <cell r="I13146" t="str">
            <v>SPECIAL PICK UP 2 YD - CO</v>
          </cell>
        </row>
        <row r="13147">
          <cell r="H13147" t="str">
            <v>SP4-COMM</v>
          </cell>
          <cell r="I13147" t="str">
            <v>SPECIAL PICK UP 4 YD - CO</v>
          </cell>
        </row>
        <row r="13148">
          <cell r="H13148" t="str">
            <v>SP4CMP-COMM</v>
          </cell>
          <cell r="I13148" t="str">
            <v>SPECIAL PICK UP 4 YD COMP</v>
          </cell>
        </row>
        <row r="13149">
          <cell r="H13149" t="str">
            <v>SP6-COMM</v>
          </cell>
          <cell r="I13149" t="str">
            <v>SPECIAL PICK UP 6 YD - CO</v>
          </cell>
        </row>
        <row r="13150">
          <cell r="H13150" t="str">
            <v>SPGRAD1-COMM</v>
          </cell>
          <cell r="I13150" t="str">
            <v>SPECIAL PICKUP GRADUATED 1 - COMM</v>
          </cell>
        </row>
        <row r="13151">
          <cell r="H13151" t="str">
            <v>TIME-COMM</v>
          </cell>
          <cell r="I13151" t="str">
            <v>TIME FEE 1 - COMM</v>
          </cell>
        </row>
        <row r="13152">
          <cell r="H13152" t="str">
            <v>CLEAN-COMM</v>
          </cell>
          <cell r="I13152" t="str">
            <v xml:space="preserve">CONTAINER CLEANING FEE - </v>
          </cell>
        </row>
        <row r="13153">
          <cell r="H13153" t="str">
            <v>CLEAN2-COMM</v>
          </cell>
          <cell r="I13153" t="str">
            <v>CLEANING FEE 2 YD - COMM</v>
          </cell>
        </row>
        <row r="13154">
          <cell r="H13154" t="str">
            <v>DEL1.5TEMP-COMM</v>
          </cell>
          <cell r="I13154" t="str">
            <v xml:space="preserve">DELIVERY FEE 1.5 YD TEMP </v>
          </cell>
        </row>
        <row r="13155">
          <cell r="H13155" t="str">
            <v>DEL2TEMP-COMM</v>
          </cell>
          <cell r="I13155" t="str">
            <v xml:space="preserve">DELIVERY FEE 2 YD TEMP - </v>
          </cell>
        </row>
        <row r="13156">
          <cell r="H13156" t="str">
            <v>DISP-COMM</v>
          </cell>
          <cell r="I13156" t="str">
            <v>DISPOSAL FEE - COMM</v>
          </cell>
        </row>
        <row r="13157">
          <cell r="H13157" t="str">
            <v>DISPFEDMSW-COMM</v>
          </cell>
          <cell r="I13157" t="str">
            <v>DISPOSAL FEDERAL MSW - CO</v>
          </cell>
        </row>
        <row r="13158">
          <cell r="H13158" t="str">
            <v>FL001.5YXX001TEMPC</v>
          </cell>
          <cell r="I13158" t="str">
            <v xml:space="preserve">1.5 YD TEMP </v>
          </cell>
        </row>
        <row r="13159">
          <cell r="H13159" t="str">
            <v>FL002.0YXX001TEMPC</v>
          </cell>
          <cell r="I13159" t="str">
            <v xml:space="preserve">2 YD TEMP </v>
          </cell>
        </row>
        <row r="13160">
          <cell r="H13160" t="str">
            <v>RENT1.5TEMP-COMM</v>
          </cell>
          <cell r="I13160" t="str">
            <v>RENT 1.5 YD TEMP - COMM</v>
          </cell>
        </row>
        <row r="13161">
          <cell r="H13161" t="str">
            <v>RENT2TEMP-COMM</v>
          </cell>
          <cell r="I13161" t="str">
            <v>RENT 2 YD TEMP - COMM</v>
          </cell>
        </row>
        <row r="13162">
          <cell r="H13162" t="str">
            <v>ACCESSCREC-COMM</v>
          </cell>
          <cell r="I13162" t="str">
            <v>ACCESS FEE COMM RECY - CO</v>
          </cell>
        </row>
        <row r="13163">
          <cell r="H13163" t="str">
            <v>FL002.0Y1M001BCMGL</v>
          </cell>
          <cell r="I13163" t="str">
            <v>2 YD 1X MO BUS CMGL 1</v>
          </cell>
        </row>
        <row r="13164">
          <cell r="H13164" t="str">
            <v>FL002.0Y1W001BCMGL</v>
          </cell>
          <cell r="I13164" t="str">
            <v>2 YD 1X WK BUS CMGL 1</v>
          </cell>
        </row>
        <row r="13165">
          <cell r="H13165" t="str">
            <v>FL002.0Y1W001BOCC</v>
          </cell>
          <cell r="I13165" t="str">
            <v>2 YD 1X WK BUS OCC 1</v>
          </cell>
        </row>
        <row r="13166">
          <cell r="H13166" t="str">
            <v>FL002.0Y1W001OCC</v>
          </cell>
          <cell r="I13166" t="str">
            <v>2 YD 1X WK OCC 1</v>
          </cell>
        </row>
        <row r="13167">
          <cell r="H13167" t="str">
            <v>FL002.0Y1W001SCMGL</v>
          </cell>
          <cell r="I13167" t="str">
            <v>2 YD 1X WK SCHL CMGL 1</v>
          </cell>
        </row>
        <row r="13168">
          <cell r="H13168" t="str">
            <v>FL002.0Y1W001SOCC</v>
          </cell>
          <cell r="I13168" t="str">
            <v>2 YD 1X WK SCHOOL OCC</v>
          </cell>
        </row>
        <row r="13169">
          <cell r="H13169" t="str">
            <v>FL002.0Y2W001BCMGL</v>
          </cell>
          <cell r="I13169" t="str">
            <v>2 YD 2X WK BUS CMGL 1</v>
          </cell>
        </row>
        <row r="13170">
          <cell r="H13170" t="str">
            <v>FL002.0Y2W001BOCC</v>
          </cell>
          <cell r="I13170" t="str">
            <v>2 YD 2X WK BUS OCC 1</v>
          </cell>
        </row>
        <row r="13171">
          <cell r="H13171" t="str">
            <v>FL002.0Y2W001SCMGL</v>
          </cell>
          <cell r="I13171" t="str">
            <v>2 YD 2X WK SCHL CMGL 1</v>
          </cell>
        </row>
        <row r="13172">
          <cell r="H13172" t="str">
            <v>FL002.0Y2W001SOCC</v>
          </cell>
          <cell r="I13172" t="str">
            <v>2 YD 2X WK SCHOOL OCC</v>
          </cell>
        </row>
        <row r="13173">
          <cell r="H13173" t="str">
            <v>FL002.0Y3W001BCMGL</v>
          </cell>
          <cell r="I13173" t="str">
            <v>2 YD 3X WK BUS CMGL 1</v>
          </cell>
        </row>
        <row r="13174">
          <cell r="H13174" t="str">
            <v>FL002.0Y3W001SOCC</v>
          </cell>
          <cell r="I13174" t="str">
            <v>2 YD 3X WK SCHOOL OCC</v>
          </cell>
        </row>
        <row r="13175">
          <cell r="H13175" t="str">
            <v>FL002.0Y4W001BCMGL</v>
          </cell>
          <cell r="I13175" t="str">
            <v>2 YD 4X WK BUS CMGL 1</v>
          </cell>
        </row>
        <row r="13176">
          <cell r="H13176" t="str">
            <v>FL002.0Y4W001BOCC</v>
          </cell>
          <cell r="I13176" t="str">
            <v>2 YD 4X WK BUS OCC 1</v>
          </cell>
        </row>
        <row r="13177">
          <cell r="H13177" t="str">
            <v>FL004.0Y1W001CMGL</v>
          </cell>
          <cell r="I13177" t="str">
            <v>4 YD 1X WK BUS CMGL 1</v>
          </cell>
        </row>
        <row r="13178">
          <cell r="H13178" t="str">
            <v>FL004.0Y1W001SCMGL</v>
          </cell>
          <cell r="I13178" t="str">
            <v>4 YD 1X WK SCH CMGL 1</v>
          </cell>
        </row>
        <row r="13179">
          <cell r="H13179" t="str">
            <v>FL004.0Y2W001CMGL</v>
          </cell>
          <cell r="I13179" t="str">
            <v>4 YD 2X WK BUS CMGL 1</v>
          </cell>
        </row>
        <row r="13180">
          <cell r="H13180" t="str">
            <v>FL004.0Y3W001BCMGL</v>
          </cell>
          <cell r="I13180" t="str">
            <v>4 YD 3X WK BUS CMGL 1</v>
          </cell>
        </row>
        <row r="13181">
          <cell r="H13181" t="str">
            <v>FL004.0Y4W001BCMGL</v>
          </cell>
          <cell r="I13181" t="str">
            <v>4 YD 4X WK BUS CMGL 1</v>
          </cell>
        </row>
        <row r="13182">
          <cell r="H13182" t="str">
            <v>FL004.0Y5W001BCMGL</v>
          </cell>
          <cell r="I13182" t="str">
            <v>4 YD 5X WK BUS CMGL 1</v>
          </cell>
        </row>
        <row r="13183">
          <cell r="H13183" t="str">
            <v>FL005.0Y1W001BOCC</v>
          </cell>
          <cell r="I13183" t="str">
            <v>5 YD 1X WK BUS OCC 1</v>
          </cell>
        </row>
        <row r="13184">
          <cell r="H13184" t="str">
            <v>FL005.0Y1W001OCC</v>
          </cell>
          <cell r="I13184" t="str">
            <v>5 YD 1X WK OCC  1</v>
          </cell>
        </row>
        <row r="13185">
          <cell r="H13185" t="str">
            <v>FL005.0Y1W001SOCC</v>
          </cell>
          <cell r="I13185" t="str">
            <v>5 YD 1X WK SCHOOL OCC</v>
          </cell>
        </row>
        <row r="13186">
          <cell r="H13186" t="str">
            <v>FL005.0Y2W001BOCC</v>
          </cell>
          <cell r="I13186" t="str">
            <v>5 YD 2X WK BUS OCC 1</v>
          </cell>
        </row>
        <row r="13187">
          <cell r="H13187" t="str">
            <v>FL005.0Y2W001OCC</v>
          </cell>
          <cell r="I13187" t="str">
            <v>5 YD 2X WK OCC 1</v>
          </cell>
        </row>
        <row r="13188">
          <cell r="H13188" t="str">
            <v>FL005.0Y2W001SOCC</v>
          </cell>
          <cell r="I13188" t="str">
            <v>5 YD 2X WK SCHOOL OCC</v>
          </cell>
        </row>
        <row r="13189">
          <cell r="H13189" t="str">
            <v>FL005.0Y3W001BOCC</v>
          </cell>
          <cell r="I13189" t="str">
            <v>5 YD 3X WK BUS OCC 1</v>
          </cell>
        </row>
        <row r="13190">
          <cell r="H13190" t="str">
            <v>FL005.0Y4W001BOCC</v>
          </cell>
          <cell r="I13190" t="str">
            <v>5 YD 4X WK BUS OCC 1</v>
          </cell>
        </row>
        <row r="13191">
          <cell r="H13191" t="str">
            <v>FL006.0Y1W001BCMGL</v>
          </cell>
          <cell r="I13191" t="str">
            <v>6 YD 1X WK BUS COMINGLE 1</v>
          </cell>
        </row>
        <row r="13192">
          <cell r="H13192" t="str">
            <v>FL006.0Y1W001SCMGL</v>
          </cell>
          <cell r="I13192" t="str">
            <v>6 YD 1X WK SCHL CMGL 1</v>
          </cell>
        </row>
        <row r="13193">
          <cell r="H13193" t="str">
            <v>FL006.0Y2W001BCMGL</v>
          </cell>
          <cell r="I13193" t="str">
            <v>6 YD 2X WK BUS COMINGLE 1</v>
          </cell>
        </row>
        <row r="13194">
          <cell r="H13194" t="str">
            <v>FL006.0Y2W001SCMGL</v>
          </cell>
          <cell r="I13194" t="str">
            <v>6 YD 2X WK SCHL CMGL 1</v>
          </cell>
        </row>
        <row r="13195">
          <cell r="H13195" t="str">
            <v>FL006.0Y3W001BCMGL</v>
          </cell>
          <cell r="I13195" t="str">
            <v>6 YD 3X WK BUS CMGL 1</v>
          </cell>
        </row>
        <row r="13196">
          <cell r="H13196" t="str">
            <v>MFNBINS</v>
          </cell>
          <cell r="I13196" t="str">
            <v>MULTI-FAMILY REC UNIT N/B</v>
          </cell>
        </row>
        <row r="13197">
          <cell r="H13197" t="str">
            <v>MFWBINS</v>
          </cell>
          <cell r="I13197" t="str">
            <v>MULTI-FAMILY REC UNIT W/B</v>
          </cell>
        </row>
        <row r="13198">
          <cell r="H13198" t="str">
            <v>ROLL-REC</v>
          </cell>
          <cell r="I13198" t="str">
            <v>ROLL OUT CHARGE - RECYCLI</v>
          </cell>
        </row>
        <row r="13199">
          <cell r="H13199" t="str">
            <v>SL035.0G1W001RECC</v>
          </cell>
          <cell r="I13199" t="str">
            <v xml:space="preserve">35 GL 1X WK RECYCLE COMM </v>
          </cell>
        </row>
        <row r="13200">
          <cell r="H13200" t="str">
            <v>SL064.0G1M001BCMGLIN</v>
          </cell>
          <cell r="I13200" t="str">
            <v>64 GL MTHLY BUS CMGL IN</v>
          </cell>
        </row>
        <row r="13201">
          <cell r="H13201" t="str">
            <v>SL064.0G1W001BCMGLOUT</v>
          </cell>
          <cell r="I13201" t="str">
            <v>64 GL WKLY BUS CMGL OUT</v>
          </cell>
        </row>
        <row r="13202">
          <cell r="H13202" t="str">
            <v>SL064.0GEO001BCMGLOUT</v>
          </cell>
          <cell r="I13202" t="str">
            <v>64 GL EOW BUS CMGL OUT</v>
          </cell>
        </row>
        <row r="13203">
          <cell r="H13203" t="str">
            <v>SL096.0G1M001BCMGLIN</v>
          </cell>
          <cell r="I13203" t="str">
            <v>96 GL MTHLY BUS CMGL IN</v>
          </cell>
        </row>
        <row r="13204">
          <cell r="H13204" t="str">
            <v>SL096.0G1M001BCMGLOUT</v>
          </cell>
          <cell r="I13204" t="str">
            <v>96 GL MTHLY BUS CMGL OUT</v>
          </cell>
        </row>
        <row r="13205">
          <cell r="H13205" t="str">
            <v>SL096.0G1M001SCMGLOUT</v>
          </cell>
          <cell r="I13205" t="str">
            <v>96 GL MTHLY SCHL CMGL OUT</v>
          </cell>
        </row>
        <row r="13206">
          <cell r="H13206" t="str">
            <v>SL096.0G1W001BCMGLIN</v>
          </cell>
          <cell r="I13206" t="str">
            <v>96 GL WKLY BUS CMGL IN</v>
          </cell>
        </row>
        <row r="13207">
          <cell r="H13207" t="str">
            <v>SL096.0G1W001BCMGLOUT</v>
          </cell>
          <cell r="I13207" t="str">
            <v>96 GL WKLY BUS CMGL OUT</v>
          </cell>
        </row>
        <row r="13208">
          <cell r="H13208" t="str">
            <v>SL096.0G1W001RECC</v>
          </cell>
          <cell r="I13208" t="str">
            <v xml:space="preserve">96 GL 1X WK RECYCLE COMM </v>
          </cell>
        </row>
        <row r="13209">
          <cell r="H13209" t="str">
            <v>SL096.0G1W001SCMGLIN</v>
          </cell>
          <cell r="I13209" t="str">
            <v>96 GL WKLY SCHL CMGL IN</v>
          </cell>
        </row>
        <row r="13210">
          <cell r="H13210" t="str">
            <v>SL096.0G1W001SCMGLOUT</v>
          </cell>
          <cell r="I13210" t="str">
            <v>96 GL WKLY SCHL CMGL OUT</v>
          </cell>
        </row>
        <row r="13211">
          <cell r="H13211" t="str">
            <v>SL096.0GEO001BCMGLIN</v>
          </cell>
          <cell r="I13211" t="str">
            <v>96 GL EOW BUS CMGL IN</v>
          </cell>
        </row>
        <row r="13212">
          <cell r="H13212" t="str">
            <v>SL096.0GEO001BCMGLOUT</v>
          </cell>
          <cell r="I13212" t="str">
            <v>96 GL EOW BUS CMGL OUT</v>
          </cell>
        </row>
        <row r="13213">
          <cell r="H13213" t="str">
            <v>SL096.0GEO001SCMGLOUT</v>
          </cell>
          <cell r="I13213" t="str">
            <v>96 GL EOW SCHL CMGL OUT</v>
          </cell>
        </row>
        <row r="13214">
          <cell r="H13214" t="str">
            <v>RTRNCART96REC-COMM</v>
          </cell>
          <cell r="I13214" t="str">
            <v>RETURN TRIP 96 GL REC - C</v>
          </cell>
        </row>
        <row r="13215">
          <cell r="H13215" t="str">
            <v>SP2BCMGL-COMM</v>
          </cell>
          <cell r="I13215" t="str">
            <v>SPECIAL P/U 2 YD BUS CMGL</v>
          </cell>
        </row>
        <row r="13216">
          <cell r="H13216" t="str">
            <v>SP2SCMGL-COMM</v>
          </cell>
          <cell r="I13216" t="str">
            <v>SPECIAL P/U 2 YD SCHL CMGL</v>
          </cell>
        </row>
        <row r="13217">
          <cell r="H13217" t="str">
            <v>SP5OCC-COMM</v>
          </cell>
          <cell r="I13217" t="str">
            <v>SPECIAL PICKUP 5 YD OCC -</v>
          </cell>
        </row>
        <row r="13218">
          <cell r="H13218" t="str">
            <v>SP6SCMGL-COMM</v>
          </cell>
          <cell r="I13218" t="str">
            <v>SPECIAL P/U 6 YD SCHL CMGL</v>
          </cell>
        </row>
        <row r="13219">
          <cell r="H13219" t="str">
            <v>RETCK-PNCL</v>
          </cell>
          <cell r="I13219" t="str">
            <v>RETURNED CHECK - PNC LOCKBOX</v>
          </cell>
        </row>
        <row r="13220">
          <cell r="H13220" t="str">
            <v>CC-KOL</v>
          </cell>
          <cell r="I13220" t="str">
            <v>ONLINE PAYMENT-CC</v>
          </cell>
        </row>
        <row r="13221">
          <cell r="H13221" t="str">
            <v>CCREF-KOL</v>
          </cell>
          <cell r="I13221" t="str">
            <v>CREDIT CARD REFUND</v>
          </cell>
        </row>
        <row r="13222">
          <cell r="H13222" t="str">
            <v>PAY</v>
          </cell>
          <cell r="I13222" t="str">
            <v>PAYMENT THANK YOU</v>
          </cell>
        </row>
        <row r="13223">
          <cell r="H13223" t="str">
            <v>PAY-CFREE</v>
          </cell>
          <cell r="I13223" t="str">
            <v>CHECKFREE PAYMENT</v>
          </cell>
        </row>
        <row r="13224">
          <cell r="H13224" t="str">
            <v>PAY-KOL</v>
          </cell>
          <cell r="I13224" t="str">
            <v>PAYMENT-THANK YOU - OL</v>
          </cell>
        </row>
        <row r="13225">
          <cell r="H13225" t="str">
            <v>PAY-ORCC</v>
          </cell>
          <cell r="I13225" t="str">
            <v>ORCC PAYMENT</v>
          </cell>
        </row>
        <row r="13226">
          <cell r="H13226" t="str">
            <v>PAY-RPPS</v>
          </cell>
          <cell r="I13226" t="str">
            <v>RPPS MASTERCARD PAYMENT</v>
          </cell>
        </row>
        <row r="13227">
          <cell r="H13227" t="str">
            <v>PAYAD</v>
          </cell>
          <cell r="I13227" t="str">
            <v>ADJUST PAYMENT AD</v>
          </cell>
        </row>
        <row r="13228">
          <cell r="H13228" t="str">
            <v>PAYICT</v>
          </cell>
          <cell r="I13228" t="str">
            <v>I/C PAYMENT THANK YOU</v>
          </cell>
        </row>
        <row r="13229">
          <cell r="H13229" t="str">
            <v>PAYMET</v>
          </cell>
          <cell r="I13229" t="str">
            <v>METAVANTE ONLINE PAYMENT</v>
          </cell>
        </row>
        <row r="13230">
          <cell r="H13230" t="str">
            <v>PAYPNCL</v>
          </cell>
          <cell r="I13230" t="str">
            <v>PAYMENT THANK YOU!</v>
          </cell>
        </row>
        <row r="13231">
          <cell r="H13231" t="str">
            <v>PAYUSBL</v>
          </cell>
          <cell r="I13231" t="str">
            <v>PAYMENT THANK YOU</v>
          </cell>
        </row>
        <row r="13232">
          <cell r="H13232" t="str">
            <v>RET-KOL</v>
          </cell>
          <cell r="I13232" t="str">
            <v>ONLINE PAYMENT RETURN</v>
          </cell>
        </row>
        <row r="13233">
          <cell r="H13233" t="str">
            <v>CC</v>
          </cell>
          <cell r="I13233" t="str">
            <v>PAYMENT THANK YOU!</v>
          </cell>
        </row>
        <row r="13234">
          <cell r="H13234" t="str">
            <v>CC-KOL</v>
          </cell>
          <cell r="I13234" t="str">
            <v>ONLINE PAYMENT-CC</v>
          </cell>
        </row>
        <row r="13235">
          <cell r="H13235" t="str">
            <v>CCREF-KOL</v>
          </cell>
          <cell r="I13235" t="str">
            <v>CREDIT CARD REFUND</v>
          </cell>
        </row>
        <row r="13236">
          <cell r="H13236" t="str">
            <v>PAY</v>
          </cell>
          <cell r="I13236" t="str">
            <v>PAYMENT THANK YOU</v>
          </cell>
        </row>
        <row r="13237">
          <cell r="H13237" t="str">
            <v>PAY-CFREE</v>
          </cell>
          <cell r="I13237" t="str">
            <v>CHECKFREE PAYMENT</v>
          </cell>
        </row>
        <row r="13238">
          <cell r="H13238" t="str">
            <v>PAY-KOL</v>
          </cell>
          <cell r="I13238" t="str">
            <v>PAYMENT-THANK YOU - OL</v>
          </cell>
        </row>
        <row r="13239">
          <cell r="H13239" t="str">
            <v>PAY-ORCC</v>
          </cell>
          <cell r="I13239" t="str">
            <v>ORCC PAYMENT</v>
          </cell>
        </row>
        <row r="13240">
          <cell r="H13240" t="str">
            <v>PAY-RPPS</v>
          </cell>
          <cell r="I13240" t="str">
            <v>RPPS MASTERCARD PAYMENT</v>
          </cell>
        </row>
        <row r="13241">
          <cell r="H13241" t="str">
            <v>PAYAD</v>
          </cell>
          <cell r="I13241" t="str">
            <v>ADJUST PAYMENT AD</v>
          </cell>
        </row>
        <row r="13242">
          <cell r="H13242" t="str">
            <v>PAYICT</v>
          </cell>
          <cell r="I13242" t="str">
            <v>I/C PAYMENT THANK YOU</v>
          </cell>
        </row>
        <row r="13243">
          <cell r="H13243" t="str">
            <v>PAYMET</v>
          </cell>
          <cell r="I13243" t="str">
            <v>METAVANTE ONLINE PAYMENT</v>
          </cell>
        </row>
        <row r="13244">
          <cell r="H13244" t="str">
            <v>PAYPNCL</v>
          </cell>
          <cell r="I13244" t="str">
            <v>PAYMENT THANK YOU!</v>
          </cell>
        </row>
        <row r="13245">
          <cell r="H13245" t="str">
            <v>PAYUSBL</v>
          </cell>
          <cell r="I13245" t="str">
            <v>PAYMENT THANK YOU</v>
          </cell>
        </row>
        <row r="13246">
          <cell r="H13246" t="str">
            <v>RET-KOL</v>
          </cell>
          <cell r="I13246" t="str">
            <v>ONLINE PAYMENT RETURN</v>
          </cell>
        </row>
        <row r="13247">
          <cell r="H13247" t="str">
            <v>CC-KOL</v>
          </cell>
          <cell r="I13247" t="str">
            <v>ONLINE PAYMENT-CC</v>
          </cell>
        </row>
        <row r="13248">
          <cell r="H13248" t="str">
            <v>CCREF-KOL</v>
          </cell>
          <cell r="I13248" t="str">
            <v>CREDIT CARD REFUND</v>
          </cell>
        </row>
        <row r="13249">
          <cell r="H13249" t="str">
            <v>PAY</v>
          </cell>
          <cell r="I13249" t="str">
            <v>PAYMENT THANK YOU</v>
          </cell>
        </row>
        <row r="13250">
          <cell r="H13250" t="str">
            <v>PAY-CFREE</v>
          </cell>
          <cell r="I13250" t="str">
            <v>CHECKFREE PAYMENT</v>
          </cell>
        </row>
        <row r="13251">
          <cell r="H13251" t="str">
            <v>PAY-KOL</v>
          </cell>
          <cell r="I13251" t="str">
            <v>PAYMENT-THANK YOU - OL</v>
          </cell>
        </row>
        <row r="13252">
          <cell r="H13252" t="str">
            <v>PAY-NATL</v>
          </cell>
          <cell r="I13252" t="str">
            <v>PAYMENT THANK YOU</v>
          </cell>
        </row>
        <row r="13253">
          <cell r="H13253" t="str">
            <v>PAY-OAK</v>
          </cell>
          <cell r="I13253" t="str">
            <v>OAKLEAF PAYMENT</v>
          </cell>
        </row>
        <row r="13254">
          <cell r="H13254" t="str">
            <v>PAY-ORCC</v>
          </cell>
          <cell r="I13254" t="str">
            <v>ORCC PAYMENT</v>
          </cell>
        </row>
        <row r="13255">
          <cell r="H13255" t="str">
            <v>PAY-RPPS</v>
          </cell>
          <cell r="I13255" t="str">
            <v>RPPS MASTERCARD PAYMENT</v>
          </cell>
        </row>
        <row r="13256">
          <cell r="H13256" t="str">
            <v>PAYAD</v>
          </cell>
          <cell r="I13256" t="str">
            <v>ADJUST PAYMENT AD</v>
          </cell>
        </row>
        <row r="13257">
          <cell r="H13257" t="str">
            <v>PAYEFT</v>
          </cell>
          <cell r="I13257" t="str">
            <v>EFT PAYMENT</v>
          </cell>
        </row>
        <row r="13258">
          <cell r="H13258" t="str">
            <v>PAYICLRI</v>
          </cell>
          <cell r="I13258" t="str">
            <v>PAYMENT THANK YOU</v>
          </cell>
        </row>
        <row r="13259">
          <cell r="H13259" t="str">
            <v>PAYICT</v>
          </cell>
          <cell r="I13259" t="str">
            <v>I/C PAYMENT THANK YOU</v>
          </cell>
        </row>
        <row r="13260">
          <cell r="H13260" t="str">
            <v>PAYMET</v>
          </cell>
          <cell r="I13260" t="str">
            <v>METAVANTE ONLINE PAYMENT</v>
          </cell>
        </row>
        <row r="13261">
          <cell r="H13261" t="str">
            <v>PAYPNCL</v>
          </cell>
          <cell r="I13261" t="str">
            <v>PAYMENT THANK YOU!</v>
          </cell>
        </row>
        <row r="13262">
          <cell r="H13262" t="str">
            <v>PAYUSBL</v>
          </cell>
          <cell r="I13262" t="str">
            <v>PAYMENT THANK YOU</v>
          </cell>
        </row>
        <row r="13263">
          <cell r="H13263" t="str">
            <v>RET-KOL</v>
          </cell>
          <cell r="I13263" t="str">
            <v>ONLINE PAYMENT RETURN</v>
          </cell>
        </row>
        <row r="13264">
          <cell r="H13264" t="str">
            <v>PAY</v>
          </cell>
          <cell r="I13264" t="str">
            <v>PAYMENT THANK YOU</v>
          </cell>
        </row>
        <row r="13265">
          <cell r="H13265" t="str">
            <v>PAY-OAK</v>
          </cell>
          <cell r="I13265" t="str">
            <v>OAKLEAF PAYMENT</v>
          </cell>
        </row>
        <row r="13266">
          <cell r="H13266" t="str">
            <v>PAYPNCL</v>
          </cell>
          <cell r="I13266" t="str">
            <v>PAYMENT THANK YOU!</v>
          </cell>
        </row>
        <row r="13267">
          <cell r="H13267" t="str">
            <v>ACCESS-RES</v>
          </cell>
          <cell r="I13267" t="str">
            <v>ACCESS FEE - RES</v>
          </cell>
        </row>
        <row r="13268">
          <cell r="H13268" t="str">
            <v>DRIVEIN-RES</v>
          </cell>
          <cell r="I13268" t="str">
            <v>DRIVE IN SERVICE - RES</v>
          </cell>
        </row>
        <row r="13269">
          <cell r="H13269" t="str">
            <v>DRIVEIN1-RES</v>
          </cell>
          <cell r="I13269" t="str">
            <v>DRIVE IN 1 - RES</v>
          </cell>
        </row>
        <row r="13270">
          <cell r="H13270" t="str">
            <v>DRIVEIN2-RES</v>
          </cell>
          <cell r="I13270" t="str">
            <v>DRIVE IN 2 - RES</v>
          </cell>
        </row>
        <row r="13271">
          <cell r="H13271" t="str">
            <v>DRIVEIN4-RES</v>
          </cell>
          <cell r="I13271" t="str">
            <v>DRIVE IN 4 - RES</v>
          </cell>
        </row>
        <row r="13272">
          <cell r="H13272" t="str">
            <v>DRIVEINMUL-RES</v>
          </cell>
          <cell r="I13272" t="str">
            <v>DRIVE IN SVC MULTIPLE</v>
          </cell>
        </row>
        <row r="13273">
          <cell r="H13273" t="str">
            <v>EMPLOYEER</v>
          </cell>
          <cell r="I13273" t="str">
            <v>EMPLOYEE SERVICE RES</v>
          </cell>
        </row>
        <row r="13274">
          <cell r="H13274" t="str">
            <v>GWRES</v>
          </cell>
          <cell r="I13274" t="str">
            <v>GREENWASTE SERVICE - RES</v>
          </cell>
        </row>
        <row r="13275">
          <cell r="H13275" t="str">
            <v>GWSPCL-RES</v>
          </cell>
          <cell r="I13275" t="str">
            <v>GREENWASTE SEN/DIS - RES</v>
          </cell>
        </row>
        <row r="13276">
          <cell r="H13276" t="str">
            <v>RECBINONLYR</v>
          </cell>
          <cell r="I13276" t="str">
            <v>RECYCLE SERVICE ONLY</v>
          </cell>
        </row>
        <row r="13277">
          <cell r="H13277" t="str">
            <v>RECPROGADJ-RES</v>
          </cell>
          <cell r="I13277" t="str">
            <v>RECYCLING PROGRAM ADJUSTM</v>
          </cell>
        </row>
        <row r="13278">
          <cell r="H13278" t="str">
            <v>RECVALRES</v>
          </cell>
          <cell r="I13278" t="str">
            <v>RECYCLABLES VALUE - RES</v>
          </cell>
        </row>
        <row r="13279">
          <cell r="H13279" t="str">
            <v>RL020.0G1W001</v>
          </cell>
          <cell r="I13279" t="str">
            <v>20 GL 1X WK 1</v>
          </cell>
        </row>
        <row r="13280">
          <cell r="H13280" t="str">
            <v>RL032.0G1M001NOREC</v>
          </cell>
          <cell r="I13280" t="str">
            <v>32 GL 1X MO NO RECY 1</v>
          </cell>
        </row>
        <row r="13281">
          <cell r="H13281" t="str">
            <v>RL032.0G1M001WREC</v>
          </cell>
          <cell r="I13281" t="str">
            <v>32 GL 1X MO W/RECY 1</v>
          </cell>
        </row>
        <row r="13282">
          <cell r="H13282" t="str">
            <v>RL032.0G1W001NOREC</v>
          </cell>
          <cell r="I13282" t="str">
            <v>32 GL 1X WK NO RECY 1</v>
          </cell>
        </row>
        <row r="13283">
          <cell r="H13283" t="str">
            <v>RL032.0G1W001WREC</v>
          </cell>
          <cell r="I13283" t="str">
            <v>32 GL 1X WK W/RECY 1</v>
          </cell>
        </row>
        <row r="13284">
          <cell r="H13284" t="str">
            <v>RL032.0G1W002NOREC</v>
          </cell>
          <cell r="I13284" t="str">
            <v>32 GL 1X WK NO RECY 2</v>
          </cell>
        </row>
        <row r="13285">
          <cell r="H13285" t="str">
            <v>RL032.0G1W002WREC</v>
          </cell>
          <cell r="I13285" t="str">
            <v>32 GL 1X WK W/RECY 2</v>
          </cell>
        </row>
        <row r="13286">
          <cell r="H13286" t="str">
            <v>RL032.0G1W003WREC</v>
          </cell>
          <cell r="I13286" t="str">
            <v>32 GL 1X WK W/RECY 3</v>
          </cell>
        </row>
        <row r="13287">
          <cell r="H13287" t="str">
            <v>SL035.0G1M001WREC</v>
          </cell>
          <cell r="I13287" t="str">
            <v>35 GL 1X MO W/RECY 1</v>
          </cell>
        </row>
        <row r="13288">
          <cell r="H13288" t="str">
            <v>SL035.0G1W001NOREC</v>
          </cell>
          <cell r="I13288" t="str">
            <v>35 GL 1X WK NO RECY 1</v>
          </cell>
        </row>
        <row r="13289">
          <cell r="H13289" t="str">
            <v>SL035.0G1W001WREC</v>
          </cell>
          <cell r="I13289" t="str">
            <v>35 GL 1X WK W/ RECY 1</v>
          </cell>
        </row>
        <row r="13290">
          <cell r="H13290" t="str">
            <v>SL035.0G1W002WREC</v>
          </cell>
          <cell r="I13290" t="str">
            <v>35 GL 1X WK W/RECY 2</v>
          </cell>
        </row>
        <row r="13291">
          <cell r="H13291" t="str">
            <v>SL035.0G1W003WREC</v>
          </cell>
          <cell r="I13291" t="str">
            <v>35 GL 1X WK W/RECY 3</v>
          </cell>
        </row>
        <row r="13292">
          <cell r="H13292" t="str">
            <v>SL035.0GEO001NOREC</v>
          </cell>
          <cell r="I13292" t="str">
            <v>35 GL EOW NO RECY 1</v>
          </cell>
        </row>
        <row r="13293">
          <cell r="H13293" t="str">
            <v>SL035.0GEO001WREC</v>
          </cell>
          <cell r="I13293" t="str">
            <v>35 GL EOW W/RECY 1</v>
          </cell>
        </row>
        <row r="13294">
          <cell r="H13294" t="str">
            <v>SL065.0G1M001</v>
          </cell>
          <cell r="I13294" t="str">
            <v>65 GL 1X MO 1</v>
          </cell>
        </row>
        <row r="13295">
          <cell r="H13295" t="str">
            <v>SL065.0G1M001NOREC</v>
          </cell>
          <cell r="I13295" t="str">
            <v>65 GL 1X MO NO RECY 1</v>
          </cell>
        </row>
        <row r="13296">
          <cell r="H13296" t="str">
            <v>SL065.0G1M001WREC</v>
          </cell>
          <cell r="I13296" t="str">
            <v>65 GL 1X MO W/RECY 1</v>
          </cell>
        </row>
        <row r="13297">
          <cell r="H13297" t="str">
            <v>SL065.0G1W001NOREC</v>
          </cell>
          <cell r="I13297" t="str">
            <v>65 GL 1X WK NO RECY 1</v>
          </cell>
        </row>
        <row r="13298">
          <cell r="H13298" t="str">
            <v>SL065.0G1W001WREC</v>
          </cell>
          <cell r="I13298" t="str">
            <v>65 GL 1X WK W/RECY 1</v>
          </cell>
        </row>
        <row r="13299">
          <cell r="H13299" t="str">
            <v>SL065.0GEO001NOREC</v>
          </cell>
          <cell r="I13299" t="str">
            <v>65 GL EOW NO RECY 1</v>
          </cell>
        </row>
        <row r="13300">
          <cell r="H13300" t="str">
            <v>SL065.0GEO001WREC</v>
          </cell>
          <cell r="I13300" t="str">
            <v>65 GL EOW W/RECY 1</v>
          </cell>
        </row>
        <row r="13301">
          <cell r="H13301" t="str">
            <v>SL095.0G1M001NOREC</v>
          </cell>
          <cell r="I13301" t="str">
            <v>95 GL 1X MO NO RECY 1</v>
          </cell>
        </row>
        <row r="13302">
          <cell r="H13302" t="str">
            <v>SL095.0G1M001WREC</v>
          </cell>
          <cell r="I13302" t="str">
            <v>95 GL 1X MO W/RECY 1</v>
          </cell>
        </row>
        <row r="13303">
          <cell r="H13303" t="str">
            <v>SL095.0G1W001</v>
          </cell>
          <cell r="I13303" t="str">
            <v>95 GL 1X WK 1</v>
          </cell>
        </row>
        <row r="13304">
          <cell r="H13304" t="str">
            <v>SL095.0G1W001NOREC</v>
          </cell>
          <cell r="I13304" t="str">
            <v>95 GL 1X WK NO RECY 1</v>
          </cell>
        </row>
        <row r="13305">
          <cell r="H13305" t="str">
            <v>SL095.0G1W001WREC</v>
          </cell>
          <cell r="I13305" t="str">
            <v>95 GL 1X WK W/RECY 1</v>
          </cell>
        </row>
        <row r="13306">
          <cell r="H13306" t="str">
            <v>SL095.0GEO001NOREC</v>
          </cell>
          <cell r="I13306" t="str">
            <v>95 GL EOW NO RECY 1</v>
          </cell>
        </row>
        <row r="13307">
          <cell r="H13307" t="str">
            <v>SL095.0GEO001WREC</v>
          </cell>
          <cell r="I13307" t="str">
            <v>95 GL EOW W/RECY 1</v>
          </cell>
        </row>
        <row r="13308">
          <cell r="H13308" t="str">
            <v>WI1-RES</v>
          </cell>
          <cell r="I13308" t="str">
            <v>WALK IN 6-25' - RES</v>
          </cell>
        </row>
        <row r="13309">
          <cell r="H13309" t="str">
            <v>WI2-RES</v>
          </cell>
          <cell r="I13309" t="str">
            <v>WALK IN 26-50' - RES</v>
          </cell>
        </row>
        <row r="13310">
          <cell r="H13310" t="str">
            <v>ADJ-RES</v>
          </cell>
          <cell r="I13310" t="str">
            <v>ADJUSTMENT SERVICE - RES</v>
          </cell>
        </row>
        <row r="13311">
          <cell r="H13311" t="str">
            <v>BULKY-RES</v>
          </cell>
          <cell r="I13311" t="str">
            <v>BULKY ITEM PICK UP - RES</v>
          </cell>
        </row>
        <row r="13312">
          <cell r="H13312" t="str">
            <v>EP96GWC-RES</v>
          </cell>
          <cell r="I13312" t="str">
            <v>EXTRA PICK UP 96 GW - RES</v>
          </cell>
        </row>
        <row r="13313">
          <cell r="H13313" t="str">
            <v>EXTRA-RES</v>
          </cell>
          <cell r="I13313" t="str">
            <v>EXTRA CAN, BAG, BOX - RES</v>
          </cell>
        </row>
        <row r="13314">
          <cell r="H13314" t="str">
            <v>EXTRA65-RES</v>
          </cell>
          <cell r="I13314" t="str">
            <v>EXTRA 65 GL RES</v>
          </cell>
        </row>
        <row r="13315">
          <cell r="H13315" t="str">
            <v>EXTRA95-RES</v>
          </cell>
          <cell r="I13315" t="str">
            <v>EXTRA 95 GL RES</v>
          </cell>
        </row>
        <row r="13316">
          <cell r="H13316" t="str">
            <v>EXTRAGWC-RES</v>
          </cell>
          <cell r="I13316" t="str">
            <v>EXTRA GREENWASTE FEE - RE</v>
          </cell>
        </row>
        <row r="13317">
          <cell r="H13317" t="str">
            <v>GWRES</v>
          </cell>
          <cell r="I13317" t="str">
            <v>GREENWASTE SERVICE - RES</v>
          </cell>
        </row>
        <row r="13318">
          <cell r="H13318" t="str">
            <v>OC-RES</v>
          </cell>
          <cell r="I13318" t="str">
            <v>ON CALL SERVICE - RES</v>
          </cell>
        </row>
        <row r="13319">
          <cell r="H13319" t="str">
            <v>OS-RES</v>
          </cell>
          <cell r="I13319" t="str">
            <v>OVERSIZE CAN - RES</v>
          </cell>
        </row>
        <row r="13320">
          <cell r="H13320" t="str">
            <v>OW-RES</v>
          </cell>
          <cell r="I13320" t="str">
            <v>OVERFILL / OVERWEIGHT CAN</v>
          </cell>
        </row>
        <row r="13321">
          <cell r="H13321" t="str">
            <v>RECPROGADJ-RES</v>
          </cell>
          <cell r="I13321" t="str">
            <v>RECYCLING PROGRAM ADJUSTM</v>
          </cell>
        </row>
        <row r="13322">
          <cell r="H13322" t="str">
            <v>RECVALRES</v>
          </cell>
          <cell r="I13322" t="str">
            <v>RECYCLABLES VALUE - RES</v>
          </cell>
        </row>
        <row r="13323">
          <cell r="H13323" t="str">
            <v>REDEL-RES</v>
          </cell>
          <cell r="I13323" t="str">
            <v>REDELIVER FEE - RES</v>
          </cell>
        </row>
        <row r="13324">
          <cell r="H13324" t="str">
            <v>REINSTATE-RES</v>
          </cell>
          <cell r="I13324" t="str">
            <v>REINSTATE FEE - RES</v>
          </cell>
        </row>
        <row r="13325">
          <cell r="H13325" t="str">
            <v>RTRNCART32-RES</v>
          </cell>
          <cell r="I13325" t="str">
            <v>RETURN TRIP 32 GL - RES</v>
          </cell>
        </row>
        <row r="13326">
          <cell r="H13326" t="str">
            <v>RTRNCART65-RES</v>
          </cell>
          <cell r="I13326" t="str">
            <v>RETURN TRIP 65 GL - RES</v>
          </cell>
        </row>
        <row r="13327">
          <cell r="H13327" t="str">
            <v>RTRNCART95-RES</v>
          </cell>
          <cell r="I13327" t="str">
            <v>RETURN TRIP 95 GL - RES</v>
          </cell>
        </row>
        <row r="13328">
          <cell r="H13328" t="str">
            <v>RTRNCART96REC-RES</v>
          </cell>
          <cell r="I13328" t="str">
            <v>RETURN TRIP 96 GL REC - RES</v>
          </cell>
        </row>
        <row r="13329">
          <cell r="H13329" t="str">
            <v>SL035.0G1W001WREC</v>
          </cell>
          <cell r="I13329" t="str">
            <v>35 GL 1X WK W/ RECY 1</v>
          </cell>
        </row>
        <row r="13330">
          <cell r="H13330" t="str">
            <v>SL065.0G1M001WREC</v>
          </cell>
          <cell r="I13330" t="str">
            <v>65 GL 1X MO W/RECY 1</v>
          </cell>
        </row>
        <row r="13331">
          <cell r="H13331" t="str">
            <v>SL065.0G1W001WREC</v>
          </cell>
          <cell r="I13331" t="str">
            <v>65 GL 1X WK W/RECY 1</v>
          </cell>
        </row>
        <row r="13332">
          <cell r="H13332" t="str">
            <v>SL065.0GEO001WREC</v>
          </cell>
          <cell r="I13332" t="str">
            <v>65 GL EOW W/RECY 1</v>
          </cell>
        </row>
        <row r="13333">
          <cell r="H13333" t="str">
            <v>SL095.0G1W001WREC</v>
          </cell>
          <cell r="I13333" t="str">
            <v>95 GL 1X WK W/RECY 1</v>
          </cell>
        </row>
        <row r="13334">
          <cell r="H13334" t="str">
            <v>SL095.0GEO001WREC</v>
          </cell>
          <cell r="I13334" t="str">
            <v>95 GL EOW W/RECY 1</v>
          </cell>
        </row>
        <row r="13335">
          <cell r="H13335" t="str">
            <v>TIME-RES</v>
          </cell>
          <cell r="I13335" t="str">
            <v>TIME FEE 1 - RES</v>
          </cell>
        </row>
        <row r="13336">
          <cell r="H13336" t="str">
            <v>UNRETURN-RES</v>
          </cell>
          <cell r="I13336" t="str">
            <v xml:space="preserve">CONTAINER UNRETURNED FEE </v>
          </cell>
        </row>
        <row r="13337">
          <cell r="H13337" t="str">
            <v>WI1-RES</v>
          </cell>
          <cell r="I13337" t="str">
            <v>WALK IN 6-25' - RES</v>
          </cell>
        </row>
        <row r="13338">
          <cell r="H13338" t="str">
            <v>DRIVEIN-RES</v>
          </cell>
          <cell r="I13338" t="str">
            <v>DRIVE IN SERVICE - RES</v>
          </cell>
        </row>
        <row r="13339">
          <cell r="H13339" t="str">
            <v>GWRES</v>
          </cell>
          <cell r="I13339" t="str">
            <v>GREENWASTE SERVICE - RES</v>
          </cell>
        </row>
        <row r="13340">
          <cell r="H13340" t="str">
            <v>GWSPCL-RES</v>
          </cell>
          <cell r="I13340" t="str">
            <v>GREENWASTE SEN/DIS - RES</v>
          </cell>
        </row>
        <row r="13341">
          <cell r="H13341" t="str">
            <v>RECBINONLYR</v>
          </cell>
          <cell r="I13341" t="str">
            <v>RECYCLE SERVICE ONLY</v>
          </cell>
        </row>
        <row r="13342">
          <cell r="H13342" t="str">
            <v>RECPROGADJ-RES</v>
          </cell>
          <cell r="I13342" t="str">
            <v>RECYCLING PROGRAM ADJUSTM</v>
          </cell>
        </row>
        <row r="13343">
          <cell r="H13343" t="str">
            <v>RECVALRES</v>
          </cell>
          <cell r="I13343" t="str">
            <v>RECYCLABLES VALUE - RES</v>
          </cell>
        </row>
        <row r="13344">
          <cell r="H13344" t="str">
            <v>RL020.0G1W001</v>
          </cell>
          <cell r="I13344" t="str">
            <v>20 GL 1X WK 1</v>
          </cell>
        </row>
        <row r="13345">
          <cell r="H13345" t="str">
            <v>RL032.0G1W001NOREC</v>
          </cell>
          <cell r="I13345" t="str">
            <v>32 GL 1X WK NO RECY 1</v>
          </cell>
        </row>
        <row r="13346">
          <cell r="H13346" t="str">
            <v>RL032.0G1W001WREC</v>
          </cell>
          <cell r="I13346" t="str">
            <v>32 GL 1X WK W/RECY 1</v>
          </cell>
        </row>
        <row r="13347">
          <cell r="H13347" t="str">
            <v>RL032.0G1W002WREC</v>
          </cell>
          <cell r="I13347" t="str">
            <v>32 GL 1X WK W/RECY 2</v>
          </cell>
        </row>
        <row r="13348">
          <cell r="H13348" t="str">
            <v>SL035.0G1M001WREC</v>
          </cell>
          <cell r="I13348" t="str">
            <v>35 GL 1X MO W/RECY 1</v>
          </cell>
        </row>
        <row r="13349">
          <cell r="H13349" t="str">
            <v>SL035.0G1W001WREC</v>
          </cell>
          <cell r="I13349" t="str">
            <v>35 GL 1X WK W/ RECY 1</v>
          </cell>
        </row>
        <row r="13350">
          <cell r="H13350" t="str">
            <v>SL035.0G1W002WREC</v>
          </cell>
          <cell r="I13350" t="str">
            <v>35 GL 1X WK W/RECY 2</v>
          </cell>
        </row>
        <row r="13351">
          <cell r="H13351" t="str">
            <v>SL035.0G1W004WREC</v>
          </cell>
          <cell r="I13351" t="str">
            <v>35 GL 1X WK W/RECY 4</v>
          </cell>
        </row>
        <row r="13352">
          <cell r="H13352" t="str">
            <v>SL035.0GEO001WREC</v>
          </cell>
          <cell r="I13352" t="str">
            <v>35 GL EOW W/RECY 1</v>
          </cell>
        </row>
        <row r="13353">
          <cell r="H13353" t="str">
            <v>SL065.0G1M001WREC</v>
          </cell>
          <cell r="I13353" t="str">
            <v>65 GL 1X MO W/RECY 1</v>
          </cell>
        </row>
        <row r="13354">
          <cell r="H13354" t="str">
            <v>SL065.0G1W001NOREC</v>
          </cell>
          <cell r="I13354" t="str">
            <v>65 GL 1X WK NO RECY 1</v>
          </cell>
        </row>
        <row r="13355">
          <cell r="H13355" t="str">
            <v>SL065.0G1W001WREC</v>
          </cell>
          <cell r="I13355" t="str">
            <v>65 GL 1X WK W/RECY 1</v>
          </cell>
        </row>
        <row r="13356">
          <cell r="H13356" t="str">
            <v>SL065.0GEO001NOREC</v>
          </cell>
          <cell r="I13356" t="str">
            <v>65 GL EOW NO RECY 1</v>
          </cell>
        </row>
        <row r="13357">
          <cell r="H13357" t="str">
            <v>SL065.0GEO001WREC</v>
          </cell>
          <cell r="I13357" t="str">
            <v>65 GL EOW W/RECY 1</v>
          </cell>
        </row>
        <row r="13358">
          <cell r="H13358" t="str">
            <v>SL095.0G1M001WREC</v>
          </cell>
          <cell r="I13358" t="str">
            <v>95 GL 1X MO W/RECY 1</v>
          </cell>
        </row>
        <row r="13359">
          <cell r="H13359" t="str">
            <v>SL095.0G1W001WREC</v>
          </cell>
          <cell r="I13359" t="str">
            <v>95 GL 1X WK W/RECY 1</v>
          </cell>
        </row>
        <row r="13360">
          <cell r="H13360" t="str">
            <v>SL095.0GEO001WREC</v>
          </cell>
          <cell r="I13360" t="str">
            <v>95 GL EOW W/RECY 1</v>
          </cell>
        </row>
        <row r="13361">
          <cell r="H13361" t="str">
            <v>ADJ-RES</v>
          </cell>
          <cell r="I13361" t="str">
            <v>ADJUSTMENT SERVICE - RES</v>
          </cell>
        </row>
        <row r="13362">
          <cell r="H13362" t="str">
            <v>BULKY-RES</v>
          </cell>
          <cell r="I13362" t="str">
            <v>BULKY ITEM PICK UP - RES</v>
          </cell>
        </row>
        <row r="13363">
          <cell r="H13363" t="str">
            <v>EP96GWC-RES</v>
          </cell>
          <cell r="I13363" t="str">
            <v>EXTRA PICK UP 96 GW - RES</v>
          </cell>
        </row>
        <row r="13364">
          <cell r="H13364" t="str">
            <v>EXTRA-RES</v>
          </cell>
          <cell r="I13364" t="str">
            <v>EXTRA CAN, BAG, BOX - RES</v>
          </cell>
        </row>
        <row r="13365">
          <cell r="H13365" t="str">
            <v>EXTRA95-RES</v>
          </cell>
          <cell r="I13365" t="str">
            <v>EXTRA 95 GL RES</v>
          </cell>
        </row>
        <row r="13366">
          <cell r="H13366" t="str">
            <v>EXTRAGWC-RES</v>
          </cell>
          <cell r="I13366" t="str">
            <v>EXTRA GREENWASTE FEE - RE</v>
          </cell>
        </row>
        <row r="13367">
          <cell r="H13367" t="str">
            <v>GWRES</v>
          </cell>
          <cell r="I13367" t="str">
            <v>GREENWASTE SERVICE - RES</v>
          </cell>
        </row>
        <row r="13368">
          <cell r="H13368" t="str">
            <v>OC-RES</v>
          </cell>
          <cell r="I13368" t="str">
            <v>ON CALL SERVICE - RES</v>
          </cell>
        </row>
        <row r="13369">
          <cell r="H13369" t="str">
            <v>OW-RES</v>
          </cell>
          <cell r="I13369" t="str">
            <v>OVERFILL / OVERWEIGHT CAN</v>
          </cell>
        </row>
        <row r="13370">
          <cell r="H13370" t="str">
            <v>RECPROGADJ-RES</v>
          </cell>
          <cell r="I13370" t="str">
            <v>RECYCLING PROGRAM ADJUSTM</v>
          </cell>
        </row>
        <row r="13371">
          <cell r="H13371" t="str">
            <v>RECVALRES</v>
          </cell>
          <cell r="I13371" t="str">
            <v>RECYCLABLES VALUE - RES</v>
          </cell>
        </row>
        <row r="13372">
          <cell r="H13372" t="str">
            <v>REDEL-RES</v>
          </cell>
          <cell r="I13372" t="str">
            <v>REDELIVER FEE - RES</v>
          </cell>
        </row>
        <row r="13373">
          <cell r="H13373" t="str">
            <v>REINSTATE-RES</v>
          </cell>
          <cell r="I13373" t="str">
            <v>REINSTATE FEE - RES</v>
          </cell>
        </row>
        <row r="13374">
          <cell r="H13374" t="str">
            <v>RL032.0G1M001WREC</v>
          </cell>
          <cell r="I13374" t="str">
            <v>32 GL 1X MO W/RECY 1</v>
          </cell>
        </row>
        <row r="13375">
          <cell r="H13375" t="str">
            <v>RTRNCART32-RES</v>
          </cell>
          <cell r="I13375" t="str">
            <v>RETURN TRIP 32 GL - RES</v>
          </cell>
        </row>
        <row r="13376">
          <cell r="H13376" t="str">
            <v>RTRNCART65-RES</v>
          </cell>
          <cell r="I13376" t="str">
            <v>RETURN TRIP 65 GL - RES</v>
          </cell>
        </row>
        <row r="13377">
          <cell r="H13377" t="str">
            <v>RTRNCART95-RES</v>
          </cell>
          <cell r="I13377" t="str">
            <v>RETURN TRIP 95 GL - RES</v>
          </cell>
        </row>
        <row r="13378">
          <cell r="H13378" t="str">
            <v>RTRNCART96REC-RES</v>
          </cell>
          <cell r="I13378" t="str">
            <v>RETURN TRIP 96 GL REC - RES</v>
          </cell>
        </row>
        <row r="13379">
          <cell r="H13379" t="str">
            <v>SL035.0G1W001WREC</v>
          </cell>
          <cell r="I13379" t="str">
            <v>35 GL 1X WK W/ RECY 1</v>
          </cell>
        </row>
        <row r="13380">
          <cell r="H13380" t="str">
            <v>SL035.0GEO001WREC</v>
          </cell>
          <cell r="I13380" t="str">
            <v>35 GL EOW W/RECY 1</v>
          </cell>
        </row>
        <row r="13381">
          <cell r="H13381" t="str">
            <v>SL065.0G1M001WREC</v>
          </cell>
          <cell r="I13381" t="str">
            <v>65 GL 1X MO W/RECY 1</v>
          </cell>
        </row>
        <row r="13382">
          <cell r="H13382" t="str">
            <v>SL065.0G1W001NOREC</v>
          </cell>
          <cell r="I13382" t="str">
            <v>65 GL 1X WK NO RECY 1</v>
          </cell>
        </row>
        <row r="13383">
          <cell r="H13383" t="str">
            <v>SL065.0G1W001WREC</v>
          </cell>
          <cell r="I13383" t="str">
            <v>65 GL 1X WK W/RECY 1</v>
          </cell>
        </row>
        <row r="13384">
          <cell r="H13384" t="str">
            <v>SL065.0GEO001WREC</v>
          </cell>
          <cell r="I13384" t="str">
            <v>65 GL EOW W/RECY 1</v>
          </cell>
        </row>
        <row r="13385">
          <cell r="H13385" t="str">
            <v>SL095.0G1M001WREC</v>
          </cell>
          <cell r="I13385" t="str">
            <v>95 GL 1X MO W/RECY 1</v>
          </cell>
        </row>
        <row r="13386">
          <cell r="H13386" t="str">
            <v>SL095.0G1W001WREC</v>
          </cell>
          <cell r="I13386" t="str">
            <v>95 GL 1X WK W/RECY 1</v>
          </cell>
        </row>
        <row r="13387">
          <cell r="H13387" t="str">
            <v>SL095.0GEO001WREC</v>
          </cell>
          <cell r="I13387" t="str">
            <v>95 GL EOW W/RECY 1</v>
          </cell>
        </row>
        <row r="13388">
          <cell r="H13388" t="str">
            <v>TIME-RES</v>
          </cell>
          <cell r="I13388" t="str">
            <v>TIME FEE 1 - RES</v>
          </cell>
        </row>
        <row r="13389">
          <cell r="H13389" t="str">
            <v>DRIVEIN-RES</v>
          </cell>
          <cell r="I13389" t="str">
            <v>DRIVE IN SERVICE - RES</v>
          </cell>
        </row>
        <row r="13390">
          <cell r="H13390" t="str">
            <v>EMPLOYEER</v>
          </cell>
          <cell r="I13390" t="str">
            <v>EMPLOYEE SERVICE RES</v>
          </cell>
        </row>
        <row r="13391">
          <cell r="H13391" t="str">
            <v>GWRES</v>
          </cell>
          <cell r="I13391" t="str">
            <v>GREENWASTE SERVICE - RES</v>
          </cell>
        </row>
        <row r="13392">
          <cell r="H13392" t="str">
            <v>RECPROGADJ-RES</v>
          </cell>
          <cell r="I13392" t="str">
            <v>RECYCLING PROGRAM ADJUSTM</v>
          </cell>
        </row>
        <row r="13393">
          <cell r="H13393" t="str">
            <v>RECVALRES</v>
          </cell>
          <cell r="I13393" t="str">
            <v>RECYCLABLES VALUE - RES</v>
          </cell>
        </row>
        <row r="13394">
          <cell r="H13394" t="str">
            <v>SL035.0G1W001WREC</v>
          </cell>
          <cell r="I13394" t="str">
            <v>35 GL 1X WK W/ RECY 1</v>
          </cell>
        </row>
        <row r="13395">
          <cell r="H13395" t="str">
            <v>SL065.0GEO001WREC</v>
          </cell>
          <cell r="I13395" t="str">
            <v>65 GL EOW W/RECY 1</v>
          </cell>
        </row>
        <row r="13396">
          <cell r="H13396" t="str">
            <v>SL095.0G1W001WREC</v>
          </cell>
          <cell r="I13396" t="str">
            <v>95 GL 1X WK W/RECY 1</v>
          </cell>
        </row>
        <row r="13397">
          <cell r="H13397" t="str">
            <v>BULKY-RES</v>
          </cell>
          <cell r="I13397" t="str">
            <v>BULKY ITEM PICK UP - RES</v>
          </cell>
        </row>
        <row r="13398">
          <cell r="H13398" t="str">
            <v>DISP-RES</v>
          </cell>
          <cell r="I13398" t="str">
            <v>DISPOSAL FEE -RES</v>
          </cell>
        </row>
        <row r="13399">
          <cell r="H13399" t="str">
            <v>DISPCMGL-RES</v>
          </cell>
          <cell r="I13399" t="str">
            <v>DISPOSAL COMINGLE - RES</v>
          </cell>
        </row>
        <row r="13400">
          <cell r="H13400" t="str">
            <v>DISPFEDMSW-RES</v>
          </cell>
          <cell r="I13400" t="str">
            <v>DISPOSAL FEDERAL MSW - RE</v>
          </cell>
        </row>
        <row r="13401">
          <cell r="H13401" t="str">
            <v>DISPGW-RES</v>
          </cell>
          <cell r="I13401" t="str">
            <v>DISPOSAL FEE GREENWASTE -</v>
          </cell>
        </row>
        <row r="13402">
          <cell r="H13402" t="str">
            <v>EXTRAGWC-RES</v>
          </cell>
          <cell r="I13402" t="str">
            <v>EXTRA GREENWASTE FEE - RE</v>
          </cell>
        </row>
        <row r="13403">
          <cell r="H13403" t="str">
            <v>OW-RES</v>
          </cell>
          <cell r="I13403" t="str">
            <v>OVERFILL / OVERWEIGHT CAN</v>
          </cell>
        </row>
        <row r="13404">
          <cell r="H13404" t="str">
            <v>REINSTATE-RES</v>
          </cell>
          <cell r="I13404" t="str">
            <v>REINSTATE FEE - RES</v>
          </cell>
        </row>
        <row r="13405">
          <cell r="H13405" t="str">
            <v>SL095.0G1W001WREC</v>
          </cell>
          <cell r="I13405" t="str">
            <v>95 GL 1X WK W/RECY 1</v>
          </cell>
        </row>
        <row r="13406">
          <cell r="H13406" t="str">
            <v>TIME-RES</v>
          </cell>
          <cell r="I13406" t="str">
            <v>TIME FEE 1 - RES</v>
          </cell>
        </row>
        <row r="13407">
          <cell r="H13407" t="str">
            <v>DISP-RES</v>
          </cell>
          <cell r="I13407" t="str">
            <v>DISPOSAL FEE -RES</v>
          </cell>
        </row>
        <row r="13408">
          <cell r="H13408" t="str">
            <v>DISPCMGL-RES</v>
          </cell>
          <cell r="I13408" t="str">
            <v>DISPOSAL COMINGLE - RES</v>
          </cell>
        </row>
        <row r="13409">
          <cell r="H13409" t="str">
            <v>DISPGW-RES</v>
          </cell>
          <cell r="I13409" t="str">
            <v>DISPOSAL FEE GREENWASTE -</v>
          </cell>
        </row>
        <row r="13410">
          <cell r="H13410" t="str">
            <v>DONATIONRO</v>
          </cell>
          <cell r="I13410" t="str">
            <v>DONATED SERVICE ROLL OFF</v>
          </cell>
        </row>
        <row r="13411">
          <cell r="H13411" t="str">
            <v>HAUL20-RO</v>
          </cell>
          <cell r="I13411" t="str">
            <v>HAUL 20 YD - RO</v>
          </cell>
        </row>
        <row r="13412">
          <cell r="H13412" t="str">
            <v>LIDRO</v>
          </cell>
          <cell r="I13412" t="str">
            <v>LID CHARGE - RO</v>
          </cell>
        </row>
        <row r="13413">
          <cell r="H13413" t="str">
            <v>RENT10MO-RO</v>
          </cell>
          <cell r="I13413" t="str">
            <v>RENTAL FEE 10 YD MONTHLY</v>
          </cell>
        </row>
        <row r="13414">
          <cell r="H13414" t="str">
            <v>RENT20MO-RO</v>
          </cell>
          <cell r="I13414" t="str">
            <v>RENTAL FEE 20 YD MONTHLY</v>
          </cell>
        </row>
        <row r="13415">
          <cell r="H13415" t="str">
            <v>RENT20TEMP-RO</v>
          </cell>
          <cell r="I13415" t="str">
            <v>RENTAL FEE 20 YD TEMP - R</v>
          </cell>
        </row>
        <row r="13416">
          <cell r="H13416" t="str">
            <v>RENT30MO-RO</v>
          </cell>
          <cell r="I13416" t="str">
            <v>RENTAL FEE 30 YD MONTHLY</v>
          </cell>
        </row>
        <row r="13417">
          <cell r="H13417" t="str">
            <v>RENT40MO-RO</v>
          </cell>
          <cell r="I13417" t="str">
            <v>RENTAL FEE 40 YD MONTHLY</v>
          </cell>
        </row>
        <row r="13418">
          <cell r="H13418" t="str">
            <v>RENT40TEMP-RO</v>
          </cell>
          <cell r="I13418" t="str">
            <v>RENTAL FEE 40 YD TEMP - R</v>
          </cell>
        </row>
        <row r="13419">
          <cell r="H13419" t="str">
            <v>CLEAN20-RO</v>
          </cell>
          <cell r="I13419" t="str">
            <v>CLEANING FEE 20 YD - RO</v>
          </cell>
        </row>
        <row r="13420">
          <cell r="H13420" t="str">
            <v>CLEAN25-RO</v>
          </cell>
          <cell r="I13420" t="str">
            <v>CLEANING FEE 25 YD - RO</v>
          </cell>
        </row>
        <row r="13421">
          <cell r="H13421" t="str">
            <v>CLEAN30-RO</v>
          </cell>
          <cell r="I13421" t="str">
            <v>CLEANING FEE 30 YD - RO</v>
          </cell>
        </row>
        <row r="13422">
          <cell r="H13422" t="str">
            <v>DEL20-RO</v>
          </cell>
          <cell r="I13422" t="str">
            <v>DELIVERY FEE 20 YD - RO</v>
          </cell>
        </row>
        <row r="13423">
          <cell r="H13423" t="str">
            <v>DEL20TEMP-RO</v>
          </cell>
          <cell r="I13423" t="str">
            <v>DELIVERY FEE 20 YD TEMP -</v>
          </cell>
        </row>
        <row r="13424">
          <cell r="H13424" t="str">
            <v>DEL30TEMP-RO</v>
          </cell>
          <cell r="I13424" t="str">
            <v>DELIVERY FEE 30 YD TEMP -</v>
          </cell>
        </row>
        <row r="13425">
          <cell r="H13425" t="str">
            <v>DEL40TEMP-RO</v>
          </cell>
          <cell r="I13425" t="str">
            <v>DELIVERY FEE 40 YD TEMP -</v>
          </cell>
        </row>
        <row r="13426">
          <cell r="H13426" t="str">
            <v>DISCO-CP</v>
          </cell>
          <cell r="I13426" t="str">
            <v xml:space="preserve">COMPACTOR DISCONNECT FEE </v>
          </cell>
        </row>
        <row r="13427">
          <cell r="H13427" t="str">
            <v>DISP-RO</v>
          </cell>
          <cell r="I13427" t="str">
            <v>DISPOSAL CHARGE - RO</v>
          </cell>
        </row>
        <row r="13428">
          <cell r="H13428" t="str">
            <v>DISPCMGL-RO</v>
          </cell>
          <cell r="I13428" t="str">
            <v xml:space="preserve">DISPOSAL FEE COMMINGLE - </v>
          </cell>
        </row>
        <row r="13429">
          <cell r="H13429" t="str">
            <v>DISPMATT-RO</v>
          </cell>
          <cell r="I13429" t="str">
            <v>DISPOSAL MATTRESSES - RO</v>
          </cell>
        </row>
        <row r="13430">
          <cell r="H13430" t="str">
            <v>DISPMETAL-RO</v>
          </cell>
          <cell r="I13430" t="str">
            <v>DISPOSAL FEE METAL - RO</v>
          </cell>
        </row>
        <row r="13431">
          <cell r="H13431" t="str">
            <v>DISPOCC-RO</v>
          </cell>
          <cell r="I13431" t="str">
            <v xml:space="preserve">DISPOSAL FEE CARDBOARD - </v>
          </cell>
        </row>
        <row r="13432">
          <cell r="H13432" t="str">
            <v>DISPTIRES-RO</v>
          </cell>
          <cell r="I13432" t="str">
            <v>DISPOSAL FEE TIRES - RO</v>
          </cell>
        </row>
        <row r="13433">
          <cell r="H13433" t="str">
            <v>DISPTRANS-RO</v>
          </cell>
          <cell r="I13433" t="str">
            <v>DISPOSAL FEE TRANSFER HAU</v>
          </cell>
        </row>
        <row r="13434">
          <cell r="H13434" t="str">
            <v>EXWGHT-RO</v>
          </cell>
          <cell r="I13434" t="str">
            <v>EXCESS WEIGHT - RO</v>
          </cell>
        </row>
        <row r="13435">
          <cell r="H13435" t="str">
            <v>FERRY-RO</v>
          </cell>
          <cell r="I13435" t="str">
            <v>FERRY FEE - RO</v>
          </cell>
        </row>
        <row r="13436">
          <cell r="H13436" t="str">
            <v>FINAL20-RO</v>
          </cell>
          <cell r="I13436" t="str">
            <v>FINAL PULL 20 YD - RO</v>
          </cell>
        </row>
        <row r="13437">
          <cell r="H13437" t="str">
            <v>FINAL20TEMP-RO</v>
          </cell>
          <cell r="I13437" t="str">
            <v>FINAL PULL 20 YD TEMP - R</v>
          </cell>
        </row>
        <row r="13438">
          <cell r="H13438" t="str">
            <v>FINAL30-RO</v>
          </cell>
          <cell r="I13438" t="str">
            <v>FINAL PULL 30 YD - RO</v>
          </cell>
        </row>
        <row r="13439">
          <cell r="H13439" t="str">
            <v>FINAL30TEMP-RO</v>
          </cell>
          <cell r="I13439" t="str">
            <v>FINAL PULL 30 YD TEMP - R</v>
          </cell>
        </row>
        <row r="13440">
          <cell r="H13440" t="str">
            <v>FINAL40TEMP-RO</v>
          </cell>
          <cell r="I13440" t="str">
            <v>FINAL PULL 40 YD TEMP - R</v>
          </cell>
        </row>
        <row r="13441">
          <cell r="H13441" t="str">
            <v>HAUL10-CP</v>
          </cell>
          <cell r="I13441" t="str">
            <v>COMPACTOR HAUL 10 YD - RO</v>
          </cell>
        </row>
        <row r="13442">
          <cell r="H13442" t="str">
            <v>HAUL20-CP</v>
          </cell>
          <cell r="I13442" t="str">
            <v>COMPACTOR HAUL 20 YD - RO</v>
          </cell>
        </row>
        <row r="13443">
          <cell r="H13443" t="str">
            <v>HAUL20-RO</v>
          </cell>
          <cell r="I13443" t="str">
            <v>HAUL 20 YD - RO</v>
          </cell>
        </row>
        <row r="13444">
          <cell r="H13444" t="str">
            <v>HAUL20CUST-RO</v>
          </cell>
          <cell r="I13444" t="str">
            <v>HAUL 20 YD CUST - RO</v>
          </cell>
        </row>
        <row r="13445">
          <cell r="H13445" t="str">
            <v>HAUL20TEMP-RO</v>
          </cell>
          <cell r="I13445" t="str">
            <v>HAUL 20 YD TEMP - RO</v>
          </cell>
        </row>
        <row r="13446">
          <cell r="H13446" t="str">
            <v>HAUL25-CP</v>
          </cell>
          <cell r="I13446" t="str">
            <v>COMPACTOR HAUL 25 YD - RO</v>
          </cell>
        </row>
        <row r="13447">
          <cell r="H13447" t="str">
            <v>HAUL30-CP</v>
          </cell>
          <cell r="I13447" t="str">
            <v>COMPACTOR HAUL 30 YD</v>
          </cell>
        </row>
        <row r="13448">
          <cell r="H13448" t="str">
            <v>HAUL30-RO</v>
          </cell>
          <cell r="I13448" t="str">
            <v>HAUL 30 YD - RO</v>
          </cell>
        </row>
        <row r="13449">
          <cell r="H13449" t="str">
            <v>HAUL30TEMP-RO</v>
          </cell>
          <cell r="I13449" t="str">
            <v>HAUL 30 YD TEMP - RO</v>
          </cell>
        </row>
        <row r="13450">
          <cell r="H13450" t="str">
            <v>HAUL40-CP</v>
          </cell>
          <cell r="I13450" t="str">
            <v>COMPACTOR HAUL 40 YD</v>
          </cell>
        </row>
        <row r="13451">
          <cell r="H13451" t="str">
            <v>HAUL40-RO</v>
          </cell>
          <cell r="I13451" t="str">
            <v>HAUL 40 YD - RO</v>
          </cell>
        </row>
        <row r="13452">
          <cell r="H13452" t="str">
            <v>HAUL40TEMP-RO</v>
          </cell>
          <cell r="I13452" t="str">
            <v>HAUL 40 YD TEMP - RO</v>
          </cell>
        </row>
        <row r="13453">
          <cell r="H13453" t="str">
            <v>JHBP-SW</v>
          </cell>
          <cell r="I13453" t="str">
            <v>JAMES HARDIE-SPECIAL WASTE</v>
          </cell>
        </row>
        <row r="13454">
          <cell r="H13454" t="str">
            <v>MILE-RO</v>
          </cell>
          <cell r="I13454" t="str">
            <v>MILEAGE FEE - RO</v>
          </cell>
        </row>
        <row r="13455">
          <cell r="H13455" t="str">
            <v>RENT20MO-RO</v>
          </cell>
          <cell r="I13455" t="str">
            <v>RENTAL FEE 20 YD MONTHLY</v>
          </cell>
        </row>
        <row r="13456">
          <cell r="H13456" t="str">
            <v>RENT20TEMP-RO</v>
          </cell>
          <cell r="I13456" t="str">
            <v>RENTAL FEE 20 YD TEMP - R</v>
          </cell>
        </row>
        <row r="13457">
          <cell r="H13457" t="str">
            <v>RENT30TEMP-RO</v>
          </cell>
          <cell r="I13457" t="str">
            <v>RENTAL FEE 30 YD TEMP - R</v>
          </cell>
        </row>
        <row r="13458">
          <cell r="H13458" t="str">
            <v>RENT40TEMP-RO</v>
          </cell>
          <cell r="I13458" t="str">
            <v>RENTAL FEE 40 YD TEMP - R</v>
          </cell>
        </row>
        <row r="13459">
          <cell r="H13459" t="str">
            <v>RTRNTRIP-RO</v>
          </cell>
          <cell r="I13459" t="str">
            <v>RETURN TRIP FEE - RO</v>
          </cell>
        </row>
        <row r="13460">
          <cell r="H13460" t="str">
            <v>TIME-RO</v>
          </cell>
          <cell r="I13460" t="str">
            <v>TIME FEE - RO</v>
          </cell>
        </row>
        <row r="13461">
          <cell r="H13461" t="str">
            <v>DEL30TEMP-RO</v>
          </cell>
          <cell r="I13461" t="str">
            <v>DELIVERY FEE 30 YD TEMP -</v>
          </cell>
        </row>
        <row r="13462">
          <cell r="H13462" t="str">
            <v>DISP-RO</v>
          </cell>
          <cell r="I13462" t="str">
            <v>DISPOSAL CHARGE - RO</v>
          </cell>
        </row>
        <row r="13463">
          <cell r="H13463" t="str">
            <v>DISPGLASS-RO</v>
          </cell>
          <cell r="I13463" t="str">
            <v>DISPOSAL FEE GLASS - RO</v>
          </cell>
        </row>
        <row r="13464">
          <cell r="H13464" t="str">
            <v>FINAL30TEMP-RO</v>
          </cell>
          <cell r="I13464" t="str">
            <v>FINAL PULL 30 YD TEMP - R</v>
          </cell>
        </row>
        <row r="13465">
          <cell r="H13465" t="str">
            <v>HAUL30TEMP-RO</v>
          </cell>
          <cell r="I13465" t="str">
            <v>HAUL 30 YD TEMP - RO</v>
          </cell>
        </row>
        <row r="13466">
          <cell r="H13466" t="str">
            <v>MILE-RO</v>
          </cell>
          <cell r="I13466" t="str">
            <v>MILEAGE FEE - RO</v>
          </cell>
        </row>
        <row r="13467">
          <cell r="H13467" t="str">
            <v>RENT30TEMP-RO</v>
          </cell>
          <cell r="I13467" t="str">
            <v>RENTAL FEE 30 YD TEMP - R</v>
          </cell>
        </row>
        <row r="13468">
          <cell r="H13468" t="str">
            <v>COMMODITY SURCHARGE</v>
          </cell>
          <cell r="I13468" t="str">
            <v>COMMODITY SURCHARGE</v>
          </cell>
        </row>
        <row r="13469">
          <cell r="H13469" t="str">
            <v>COMMODITY SURCHARGE</v>
          </cell>
          <cell r="I13469" t="str">
            <v>COMMODITY SURCHARGE</v>
          </cell>
        </row>
        <row r="13470">
          <cell r="H13470" t="str">
            <v>COMMODITY SURCHARGE</v>
          </cell>
          <cell r="I13470" t="str">
            <v>COMMODITY SURCHARGE</v>
          </cell>
        </row>
        <row r="13471">
          <cell r="H13471" t="str">
            <v xml:space="preserve">PIERCE COUNTY REFUSE </v>
          </cell>
          <cell r="I13471" t="str">
            <v>3.6% PIERCE COUNTY REFUSE</v>
          </cell>
        </row>
        <row r="13472">
          <cell r="H13472" t="str">
            <v xml:space="preserve">PIERCE COUNTY REFUSE  </v>
          </cell>
          <cell r="I13472" t="str">
            <v>3.6% PIERCE COUNTY REFUSE</v>
          </cell>
        </row>
        <row r="13473">
          <cell r="H13473" t="str">
            <v>PIERCE REFUSE TAX</v>
          </cell>
          <cell r="I13473" t="str">
            <v>3.6% WA STATE REFUSE TAX</v>
          </cell>
        </row>
        <row r="13474">
          <cell r="H13474" t="str">
            <v xml:space="preserve">PIERCE COUNTY REFUSE </v>
          </cell>
          <cell r="I13474" t="str">
            <v>3.6% PIERCE COUNTY REFUSE</v>
          </cell>
        </row>
        <row r="13475">
          <cell r="H13475" t="str">
            <v xml:space="preserve">PIERCE COUNTY REFUSE  </v>
          </cell>
          <cell r="I13475" t="str">
            <v>3.6% PIERCE COUNTY REFUSE</v>
          </cell>
        </row>
        <row r="13476">
          <cell r="H13476" t="str">
            <v>PIERCE COUNTY REFUSE</v>
          </cell>
          <cell r="I13476" t="str">
            <v>3.6% PIERCE COUNTY REFUSE</v>
          </cell>
        </row>
        <row r="13477">
          <cell r="H13477" t="str">
            <v>PIERCE COUNTY SALES 7.9%</v>
          </cell>
          <cell r="I13477" t="str">
            <v>7.9% WA STATE SALES TAX</v>
          </cell>
        </row>
        <row r="13478">
          <cell r="H13478" t="str">
            <v>PIERCE COUNTY SALES 9.3%</v>
          </cell>
          <cell r="I13478" t="str">
            <v>9.3% WA STATE SALES TAX</v>
          </cell>
        </row>
        <row r="13479">
          <cell r="H13479" t="str">
            <v>PIERCE REFUSE TAX</v>
          </cell>
          <cell r="I13479" t="str">
            <v>3.6% WA STATE REFUSE TAX</v>
          </cell>
        </row>
        <row r="13480">
          <cell r="H13480" t="str">
            <v>PIERCE STATE SALES TAX</v>
          </cell>
          <cell r="I13480" t="str">
            <v>9.9% WA STATE SALES TAX</v>
          </cell>
        </row>
        <row r="13481">
          <cell r="H13481" t="str">
            <v xml:space="preserve">PIERCE COUNTY REFUSE  </v>
          </cell>
          <cell r="I13481" t="str">
            <v>3.6% PIERCE COUNTY REFUSE</v>
          </cell>
        </row>
        <row r="13482">
          <cell r="H13482" t="str">
            <v>PIERCE COUNTY SALES 9.3%</v>
          </cell>
          <cell r="I13482" t="str">
            <v>9.3% WA STATE SALES TAX</v>
          </cell>
        </row>
        <row r="13483">
          <cell r="H13483" t="str">
            <v>PIERCE REFUSE TAX</v>
          </cell>
          <cell r="I13483" t="str">
            <v>3.6% WA STATE REFUSE TAX</v>
          </cell>
        </row>
        <row r="13484">
          <cell r="H13484" t="str">
            <v>PIERCE STATE SALES TAX</v>
          </cell>
          <cell r="I13484" t="str">
            <v>9.9% WA STATE SALES TAX</v>
          </cell>
        </row>
        <row r="13485">
          <cell r="H13485" t="str">
            <v xml:space="preserve">PIERCE COUNTY REFUSE </v>
          </cell>
          <cell r="I13485" t="str">
            <v>3.6% PIERCE COUNTY REFUSE</v>
          </cell>
        </row>
        <row r="13486">
          <cell r="H13486" t="str">
            <v xml:space="preserve">PIERCE COUNTY REFUSE  </v>
          </cell>
          <cell r="I13486" t="str">
            <v>3.6% PIERCE COUNTY REFUSE</v>
          </cell>
        </row>
        <row r="13487">
          <cell r="H13487" t="str">
            <v>PIERCE COUNTY REFUSE</v>
          </cell>
          <cell r="I13487" t="str">
            <v>3.6% PIERCE COUNTY REFUSE</v>
          </cell>
        </row>
        <row r="13488">
          <cell r="H13488" t="str">
            <v>PIERCE REFUSE TAX</v>
          </cell>
          <cell r="I13488" t="str">
            <v>3.6% WA STATE REFUSE TAX</v>
          </cell>
        </row>
        <row r="13489">
          <cell r="H13489" t="str">
            <v>PIERCE REFUSE TAX</v>
          </cell>
          <cell r="I13489" t="str">
            <v>3.6% WA STATE REFUSE TAX</v>
          </cell>
        </row>
        <row r="13490">
          <cell r="H13490" t="str">
            <v>FT LEWIS REFUSE TAX</v>
          </cell>
          <cell r="I13490" t="str">
            <v>3.6% WA STATE REFUSE TAX</v>
          </cell>
        </row>
        <row r="13491">
          <cell r="H13491" t="str">
            <v>LAKEWOOD CITY UTILITY TAX</v>
          </cell>
          <cell r="I13491" t="str">
            <v>6% CITY UTILITY TAX</v>
          </cell>
        </row>
        <row r="13492">
          <cell r="H13492" t="str">
            <v>LAKEWOOD REFUSE TAX</v>
          </cell>
          <cell r="I13492" t="str">
            <v>3.6% WA STATE REFUSE TAX</v>
          </cell>
        </row>
        <row r="13493">
          <cell r="H13493" t="str">
            <v xml:space="preserve">PIERCE COUNTY REFUSE </v>
          </cell>
          <cell r="I13493" t="str">
            <v>3.6% PIERCE COUNTY REFUSE</v>
          </cell>
        </row>
        <row r="13494">
          <cell r="H13494" t="str">
            <v xml:space="preserve">PIERCE COUNTY REFUSE  </v>
          </cell>
          <cell r="I13494" t="str">
            <v>3.6% PIERCE COUNTY REFUSE</v>
          </cell>
        </row>
        <row r="13495">
          <cell r="H13495" t="str">
            <v>PIERCE COUNTY REFUSE</v>
          </cell>
          <cell r="I13495" t="str">
            <v>3.6% PIERCE COUNTY REFUSE</v>
          </cell>
        </row>
        <row r="13496">
          <cell r="H13496" t="str">
            <v>PIERCE REFUSE TAX</v>
          </cell>
          <cell r="I13496" t="str">
            <v>3.6% WA STATE REFUSE TAX</v>
          </cell>
        </row>
        <row r="13497">
          <cell r="H13497" t="str">
            <v xml:space="preserve">PIERCE COUNTY REFUSE </v>
          </cell>
          <cell r="I13497" t="str">
            <v>3.6% PIERCE COUNTY REFUSE</v>
          </cell>
        </row>
        <row r="13498">
          <cell r="H13498" t="str">
            <v xml:space="preserve">PIERCE COUNTY REFUSE  </v>
          </cell>
          <cell r="I13498" t="str">
            <v>3.6% PIERCE COUNTY REFUSE</v>
          </cell>
        </row>
        <row r="13499">
          <cell r="H13499" t="str">
            <v>PIERCE COUNTY REFUSE</v>
          </cell>
          <cell r="I13499" t="str">
            <v>3.6% PIERCE COUNTY REFUSE</v>
          </cell>
        </row>
        <row r="13500">
          <cell r="H13500" t="str">
            <v>PIERCE REFUSE TAX</v>
          </cell>
          <cell r="I13500" t="str">
            <v>3.6% WA STATE REFUSE TAX</v>
          </cell>
        </row>
        <row r="13501">
          <cell r="H13501" t="str">
            <v xml:space="preserve">PIERCE COUNTY REFUSE </v>
          </cell>
          <cell r="I13501" t="str">
            <v>3.6% PIERCE COUNTY REFUSE</v>
          </cell>
        </row>
        <row r="13502">
          <cell r="H13502" t="str">
            <v xml:space="preserve">PIERCE COUNTY REFUSE  </v>
          </cell>
          <cell r="I13502" t="str">
            <v>3.6% PIERCE COUNTY REFUSE</v>
          </cell>
        </row>
        <row r="13503">
          <cell r="H13503" t="str">
            <v>PIERCE COUNTY REFUSE</v>
          </cell>
          <cell r="I13503" t="str">
            <v>3.6% PIERCE COUNTY REFUSE</v>
          </cell>
        </row>
        <row r="13504">
          <cell r="H13504" t="str">
            <v>PIERCE COUNTY SALES 7.9%</v>
          </cell>
          <cell r="I13504" t="str">
            <v>7.9% WA STATE SALES TAX</v>
          </cell>
        </row>
        <row r="13505">
          <cell r="H13505" t="str">
            <v>PIERCE COUNTY SALES 8.0%</v>
          </cell>
          <cell r="I13505" t="str">
            <v>8.0% WA STATE SALES TAX</v>
          </cell>
        </row>
        <row r="13506">
          <cell r="H13506" t="str">
            <v>PIERCE COUNTY SALES 9.3%</v>
          </cell>
          <cell r="I13506" t="str">
            <v>9.3% WA STATE SALES TAX</v>
          </cell>
        </row>
        <row r="13507">
          <cell r="H13507" t="str">
            <v>PIERCE REFUSE TAX</v>
          </cell>
          <cell r="I13507" t="str">
            <v>3.6% WA STATE REFUSE TAX</v>
          </cell>
        </row>
        <row r="13508">
          <cell r="H13508" t="str">
            <v>PIERCE STATE SALES TAX</v>
          </cell>
          <cell r="I13508" t="str">
            <v>9.9% WA STATE SALES TAX</v>
          </cell>
        </row>
        <row r="13509">
          <cell r="H13509" t="str">
            <v xml:space="preserve">PIERCE COUNTY REFUSE  </v>
          </cell>
          <cell r="I13509" t="str">
            <v>3.6% PIERCE COUNTY REFUSE</v>
          </cell>
        </row>
        <row r="13510">
          <cell r="H13510" t="str">
            <v>PIERCE COUNTY SALES 7.9%</v>
          </cell>
          <cell r="I13510" t="str">
            <v>7.9% WA STATE SALES TAX</v>
          </cell>
        </row>
        <row r="13511">
          <cell r="H13511" t="str">
            <v>PIERCE COUNTY SALES 9.3%</v>
          </cell>
          <cell r="I13511" t="str">
            <v>9.3% WA STATE SALES TAX</v>
          </cell>
        </row>
        <row r="13512">
          <cell r="H13512" t="str">
            <v>FINCHG</v>
          </cell>
          <cell r="I13512" t="str">
            <v>LATE FEE</v>
          </cell>
        </row>
        <row r="13513">
          <cell r="H13513" t="str">
            <v>BD</v>
          </cell>
          <cell r="I13513" t="str">
            <v>BAD DEBT WRITE OFF</v>
          </cell>
        </row>
        <row r="13514">
          <cell r="H13514" t="str">
            <v>BDR</v>
          </cell>
          <cell r="I13514" t="str">
            <v>BAD DEBT RECOVERY</v>
          </cell>
        </row>
        <row r="13515">
          <cell r="H13515" t="str">
            <v>COLLFEE</v>
          </cell>
          <cell r="I13515" t="str">
            <v>COLLECTION AGENCY FEE</v>
          </cell>
        </row>
        <row r="13516">
          <cell r="H13516" t="str">
            <v>FINCHG</v>
          </cell>
          <cell r="I13516" t="str">
            <v>LATE FEE</v>
          </cell>
        </row>
        <row r="13517">
          <cell r="H13517" t="str">
            <v>MM</v>
          </cell>
          <cell r="I13517" t="str">
            <v>ADJUST BALANCE (MM)</v>
          </cell>
        </row>
        <row r="13518">
          <cell r="H13518" t="str">
            <v>MM</v>
          </cell>
          <cell r="I13518" t="str">
            <v>ADJUST BALANCE (MM)</v>
          </cell>
        </row>
        <row r="13519">
          <cell r="H13519" t="str">
            <v>RETCKC</v>
          </cell>
          <cell r="I13519" t="str">
            <v>RETURN CHECK CHARGE</v>
          </cell>
        </row>
        <row r="13520">
          <cell r="H13520" t="str">
            <v>ACCESS-COMM</v>
          </cell>
          <cell r="I13520" t="str">
            <v>ACCESS FEE - COMM</v>
          </cell>
        </row>
        <row r="13521">
          <cell r="H13521" t="str">
            <v>DONATIONC</v>
          </cell>
          <cell r="I13521" t="str">
            <v>DONATED SERVICE COMM</v>
          </cell>
        </row>
        <row r="13522">
          <cell r="H13522" t="str">
            <v>DRIVEIN1-COMM</v>
          </cell>
          <cell r="I13522" t="str">
            <v>DRIVE IN 125-250' - COMM</v>
          </cell>
        </row>
        <row r="13523">
          <cell r="H13523" t="str">
            <v>FL001.0Y1W001</v>
          </cell>
          <cell r="I13523" t="str">
            <v>1 YD 1X WK 1</v>
          </cell>
        </row>
        <row r="13524">
          <cell r="H13524" t="str">
            <v>FL001.0Y1W001MF</v>
          </cell>
          <cell r="I13524" t="str">
            <v>1 YD 1X WK MULTI-FAMILY 1</v>
          </cell>
        </row>
        <row r="13525">
          <cell r="H13525" t="str">
            <v>FL001.5Y1W001</v>
          </cell>
          <cell r="I13525" t="str">
            <v>1.5 YD 1X WK 1</v>
          </cell>
        </row>
        <row r="13526">
          <cell r="H13526" t="str">
            <v>FL001.5Y1W001MF</v>
          </cell>
          <cell r="I13526" t="str">
            <v>1.5 YD 1X WK MULTI-FAMILY 1</v>
          </cell>
        </row>
        <row r="13527">
          <cell r="H13527" t="str">
            <v>FL001.5Y2W001</v>
          </cell>
          <cell r="I13527" t="str">
            <v>1.5 YD 2X WK 1</v>
          </cell>
        </row>
        <row r="13528">
          <cell r="H13528" t="str">
            <v>FL001.5Y2W001MF</v>
          </cell>
          <cell r="I13528" t="str">
            <v>1.5 YD 2X WK MULTI-FAMILY 1</v>
          </cell>
        </row>
        <row r="13529">
          <cell r="H13529" t="str">
            <v>FL002.0Y1W001</v>
          </cell>
          <cell r="I13529" t="str">
            <v>2 YD 1X WK 1</v>
          </cell>
        </row>
        <row r="13530">
          <cell r="H13530" t="str">
            <v>FL002.0Y1W001MF</v>
          </cell>
          <cell r="I13530" t="str">
            <v>2 YD 1X WK MULTI-FAMILY 1</v>
          </cell>
        </row>
        <row r="13531">
          <cell r="H13531" t="str">
            <v>FL002.0Y2W001</v>
          </cell>
          <cell r="I13531" t="str">
            <v>2 YD 2X WK 1</v>
          </cell>
        </row>
        <row r="13532">
          <cell r="H13532" t="str">
            <v>FL002.0Y2W001MF</v>
          </cell>
          <cell r="I13532" t="str">
            <v>2 YD 2X WK MULTI-FAMILY 1</v>
          </cell>
        </row>
        <row r="13533">
          <cell r="H13533" t="str">
            <v>FL003.0Y1W001MF</v>
          </cell>
          <cell r="I13533" t="str">
            <v>3 YD 1X WK MULTI-FAMILY 1</v>
          </cell>
        </row>
        <row r="13534">
          <cell r="H13534" t="str">
            <v>FL004.0Y1W001</v>
          </cell>
          <cell r="I13534" t="str">
            <v>4 YD 1X WK 1</v>
          </cell>
        </row>
        <row r="13535">
          <cell r="H13535" t="str">
            <v>FL004.0Y1W001MF</v>
          </cell>
          <cell r="I13535" t="str">
            <v>4 YD 1X WK MULTI-FAMILY 1</v>
          </cell>
        </row>
        <row r="13536">
          <cell r="H13536" t="str">
            <v>FL004.0Y2W001MF</v>
          </cell>
          <cell r="I13536" t="str">
            <v>4 YD 2X WK MULTI-FAMILY 1</v>
          </cell>
        </row>
        <row r="13537">
          <cell r="H13537" t="str">
            <v>FL006.0Y1W001</v>
          </cell>
          <cell r="I13537" t="str">
            <v>6 YD 1X WK 1</v>
          </cell>
        </row>
        <row r="13538">
          <cell r="H13538" t="str">
            <v>FL006.0Y1W001MF</v>
          </cell>
          <cell r="I13538" t="str">
            <v>6 YD 1X WK MULTI-FAMILY 1</v>
          </cell>
        </row>
        <row r="13539">
          <cell r="H13539" t="str">
            <v>FL006.0Y2W001</v>
          </cell>
          <cell r="I13539" t="str">
            <v>6 YD 2X WK 1</v>
          </cell>
        </row>
        <row r="13540">
          <cell r="H13540" t="str">
            <v>GWCOMM</v>
          </cell>
          <cell r="I13540" t="str">
            <v>GREENWASTE SERVICE - COMM</v>
          </cell>
        </row>
        <row r="13541">
          <cell r="H13541" t="str">
            <v>RENT1.5TEMP-COMM</v>
          </cell>
          <cell r="I13541" t="str">
            <v>RENT 1.5 YD TEMP - COMM</v>
          </cell>
        </row>
        <row r="13542">
          <cell r="H13542" t="str">
            <v>RL032.0G1W002WRECC</v>
          </cell>
          <cell r="I13542" t="str">
            <v>32 GL 1X WK W/RECY COMM 2</v>
          </cell>
        </row>
        <row r="13543">
          <cell r="H13543" t="str">
            <v>RL032.0G1W006WRECC</v>
          </cell>
          <cell r="I13543" t="str">
            <v>32 GL 1X WK W/RECY COMM 6</v>
          </cell>
        </row>
        <row r="13544">
          <cell r="H13544" t="str">
            <v>RL035.0G1W001WRECC</v>
          </cell>
          <cell r="I13544" t="str">
            <v>35 GL 1X WK W/RECY COMM 1</v>
          </cell>
        </row>
        <row r="13545">
          <cell r="H13545" t="str">
            <v>SL065.0G1W001WRECC</v>
          </cell>
          <cell r="I13545" t="str">
            <v>65 GL 1X WK W/RECY COMM 1</v>
          </cell>
        </row>
        <row r="13546">
          <cell r="H13546" t="str">
            <v>SL065.0GEO001WRECC</v>
          </cell>
          <cell r="I13546" t="str">
            <v>65 GL EOW W/RECY COMM 1</v>
          </cell>
        </row>
        <row r="13547">
          <cell r="H13547" t="str">
            <v>SL095.0G1W001WRECC</v>
          </cell>
          <cell r="I13547" t="str">
            <v>95 GL 1X WK W/RECY COMM 1</v>
          </cell>
        </row>
        <row r="13548">
          <cell r="H13548" t="str">
            <v>SL095.0GEO001WRECC</v>
          </cell>
          <cell r="I13548" t="str">
            <v>95 GL EOW W/RECY COMM 1</v>
          </cell>
        </row>
        <row r="13549">
          <cell r="H13549" t="str">
            <v>WI1-COMM</v>
          </cell>
          <cell r="I13549" t="str">
            <v>WALK IN 6-25' - COMM</v>
          </cell>
        </row>
        <row r="13550">
          <cell r="H13550" t="str">
            <v>CLEAN2-COMM</v>
          </cell>
          <cell r="I13550" t="str">
            <v>CLEANING FEE 2 YD - COMM</v>
          </cell>
        </row>
        <row r="13551">
          <cell r="H13551" t="str">
            <v>DEL1.5TEMP-COMM</v>
          </cell>
          <cell r="I13551" t="str">
            <v xml:space="preserve">DELIVERY FEE 1.5 YD TEMP </v>
          </cell>
        </row>
        <row r="13552">
          <cell r="H13552" t="str">
            <v>EXTRA-COMM</v>
          </cell>
          <cell r="I13552" t="str">
            <v>EXTRA CAN, BAG, BOX - COM</v>
          </cell>
        </row>
        <row r="13553">
          <cell r="H13553" t="str">
            <v>FL001.5YXX001TEMPC</v>
          </cell>
          <cell r="I13553" t="str">
            <v xml:space="preserve">1.5 YD TEMP </v>
          </cell>
        </row>
        <row r="13554">
          <cell r="H13554" t="str">
            <v>FL002.0YXX001TEMPC</v>
          </cell>
          <cell r="I13554" t="str">
            <v xml:space="preserve">2 YD TEMP </v>
          </cell>
        </row>
        <row r="13555">
          <cell r="H13555" t="str">
            <v>RENT1.5TEMP-COMM</v>
          </cell>
          <cell r="I13555" t="str">
            <v>RENT 1.5 YD TEMP - COMM</v>
          </cell>
        </row>
        <row r="13556">
          <cell r="H13556" t="str">
            <v>RENT2TEMP-COMM</v>
          </cell>
          <cell r="I13556" t="str">
            <v>RENT 2 YD TEMP - COMM</v>
          </cell>
        </row>
        <row r="13557">
          <cell r="H13557" t="str">
            <v>SP4-COMM</v>
          </cell>
          <cell r="I13557" t="str">
            <v>SPECIAL PICK UP 4 YD - CO</v>
          </cell>
        </row>
        <row r="13558">
          <cell r="H13558" t="str">
            <v>FL002.0Y1W001BCMGL</v>
          </cell>
          <cell r="I13558" t="str">
            <v>2 YD 1X WK BUS CMGL 1</v>
          </cell>
        </row>
        <row r="13559">
          <cell r="H13559" t="str">
            <v>FL002.0Y1W001BOCC</v>
          </cell>
          <cell r="I13559" t="str">
            <v>2 YD 1X WK BUS OCC 1</v>
          </cell>
        </row>
        <row r="13560">
          <cell r="H13560" t="str">
            <v>FL002.0Y1W001SCMGL</v>
          </cell>
          <cell r="I13560" t="str">
            <v>2 YD 1X WK SCHL CMGL 1</v>
          </cell>
        </row>
        <row r="13561">
          <cell r="H13561" t="str">
            <v>FL002.0Y2W001BCMGL</v>
          </cell>
          <cell r="I13561" t="str">
            <v>2 YD 2X WK BUS CMGL 1</v>
          </cell>
        </row>
        <row r="13562">
          <cell r="H13562" t="str">
            <v>FL004.0Y2W001CMGL</v>
          </cell>
          <cell r="I13562" t="str">
            <v>4 YD 2X WK BUS CMGL 1</v>
          </cell>
        </row>
        <row r="13563">
          <cell r="H13563" t="str">
            <v>FL006.0Y2W001BCMGL</v>
          </cell>
          <cell r="I13563" t="str">
            <v>6 YD 2X WK BUS COMINGLE 1</v>
          </cell>
        </row>
        <row r="13564">
          <cell r="H13564" t="str">
            <v>MFWBINS</v>
          </cell>
          <cell r="I13564" t="str">
            <v>MULTI-FAMILY REC UNIT W/B</v>
          </cell>
        </row>
        <row r="13565">
          <cell r="H13565" t="str">
            <v>SL096.0G1W001BCMGLOUT</v>
          </cell>
          <cell r="I13565" t="str">
            <v>96 GL WKLY BUS CMGL OUT</v>
          </cell>
        </row>
        <row r="13566">
          <cell r="H13566" t="str">
            <v>SL096.0G1W001SCMGLOUT</v>
          </cell>
          <cell r="I13566" t="str">
            <v>96 GL WKLY SCHL CMGL OUT</v>
          </cell>
        </row>
        <row r="13567">
          <cell r="H13567" t="str">
            <v>SL096.0GEO001BCMGLOUT</v>
          </cell>
          <cell r="I13567" t="str">
            <v>96 GL EOW BUS CMGL OUT</v>
          </cell>
        </row>
        <row r="13568">
          <cell r="H13568" t="str">
            <v>SL096.0GEO001SCMGLOUT</v>
          </cell>
          <cell r="I13568" t="str">
            <v>96 GL EOW SCHL CMGL OUT</v>
          </cell>
        </row>
        <row r="13569">
          <cell r="H13569" t="str">
            <v>SP6SCMGL-COMM</v>
          </cell>
          <cell r="I13569" t="str">
            <v>SPECIAL P/U 6 YD SCHL CMGL</v>
          </cell>
        </row>
        <row r="13570">
          <cell r="H13570" t="str">
            <v>RETCK-PNCL</v>
          </cell>
          <cell r="I13570" t="str">
            <v>RETURNED CHECK - PNC LOCKBOX</v>
          </cell>
        </row>
        <row r="13571">
          <cell r="H13571" t="str">
            <v>CC-KOL</v>
          </cell>
          <cell r="I13571" t="str">
            <v>ONLINE PAYMENT-CC</v>
          </cell>
        </row>
        <row r="13572">
          <cell r="H13572" t="str">
            <v>CCREF-KOL</v>
          </cell>
          <cell r="I13572" t="str">
            <v>CREDIT CARD REFUND</v>
          </cell>
        </row>
        <row r="13573">
          <cell r="H13573" t="str">
            <v>PAY</v>
          </cell>
          <cell r="I13573" t="str">
            <v>PAYMENT THANK YOU</v>
          </cell>
        </row>
        <row r="13574">
          <cell r="H13574" t="str">
            <v>PAY-CFREE</v>
          </cell>
          <cell r="I13574" t="str">
            <v>CHECKFREE PAYMENT</v>
          </cell>
        </row>
        <row r="13575">
          <cell r="H13575" t="str">
            <v>PAY-KOL</v>
          </cell>
          <cell r="I13575" t="str">
            <v>PAYMENT-THANK YOU - OL</v>
          </cell>
        </row>
        <row r="13576">
          <cell r="H13576" t="str">
            <v>PAY-ORCC</v>
          </cell>
          <cell r="I13576" t="str">
            <v>ORCC PAYMENT</v>
          </cell>
        </row>
        <row r="13577">
          <cell r="H13577" t="str">
            <v>PAY-RPPS</v>
          </cell>
          <cell r="I13577" t="str">
            <v>RPPS MASTERCARD PAYMENT</v>
          </cell>
        </row>
        <row r="13578">
          <cell r="H13578" t="str">
            <v>PAYAD</v>
          </cell>
          <cell r="I13578" t="str">
            <v>ADJUST PAYMENT AD</v>
          </cell>
        </row>
        <row r="13579">
          <cell r="H13579" t="str">
            <v>PAYICT</v>
          </cell>
          <cell r="I13579" t="str">
            <v>I/C PAYMENT THANK YOU</v>
          </cell>
        </row>
        <row r="13580">
          <cell r="H13580" t="str">
            <v>PAYMET</v>
          </cell>
          <cell r="I13580" t="str">
            <v>METAVANTE ONLINE PAYMENT</v>
          </cell>
        </row>
        <row r="13581">
          <cell r="H13581" t="str">
            <v>PAYPNCL</v>
          </cell>
          <cell r="I13581" t="str">
            <v>PAYMENT THANK YOU!</v>
          </cell>
        </row>
        <row r="13582">
          <cell r="H13582" t="str">
            <v>PAYUSBL</v>
          </cell>
          <cell r="I13582" t="str">
            <v>PAYMENT THANK YOU</v>
          </cell>
        </row>
        <row r="13583">
          <cell r="H13583" t="str">
            <v>RET-KOL</v>
          </cell>
          <cell r="I13583" t="str">
            <v>ONLINE PAYMENT RETURN</v>
          </cell>
        </row>
        <row r="13584">
          <cell r="H13584" t="str">
            <v>DRIVEIN1-RES</v>
          </cell>
          <cell r="I13584" t="str">
            <v>DRIVE IN 1 - RES</v>
          </cell>
        </row>
        <row r="13585">
          <cell r="H13585" t="str">
            <v>EMPLOYEER</v>
          </cell>
          <cell r="I13585" t="str">
            <v>EMPLOYEE SERVICE RES</v>
          </cell>
        </row>
        <row r="13586">
          <cell r="H13586" t="str">
            <v>GW3RES</v>
          </cell>
          <cell r="I13586" t="str">
            <v>GREENWASTE SVC 3 - RES</v>
          </cell>
        </row>
        <row r="13587">
          <cell r="H13587" t="str">
            <v>GWRES</v>
          </cell>
          <cell r="I13587" t="str">
            <v>GREENWASTE SERVICE - RES</v>
          </cell>
        </row>
        <row r="13588">
          <cell r="H13588" t="str">
            <v>RECBINONLYR</v>
          </cell>
          <cell r="I13588" t="str">
            <v>RECYCLE SERVICE ONLY</v>
          </cell>
        </row>
        <row r="13589">
          <cell r="H13589" t="str">
            <v>RL032.0G1W002WREC</v>
          </cell>
          <cell r="I13589" t="str">
            <v>32 GL 1X WK W/RECY 2</v>
          </cell>
        </row>
        <row r="13590">
          <cell r="H13590" t="str">
            <v>RL032.0G1W003WREC</v>
          </cell>
          <cell r="I13590" t="str">
            <v>32 GL 1X WK W/RECY 3</v>
          </cell>
        </row>
        <row r="13591">
          <cell r="H13591" t="str">
            <v>SL035.0G1M001WREC</v>
          </cell>
          <cell r="I13591" t="str">
            <v>35 GL 1X MO W/RECY 1</v>
          </cell>
        </row>
        <row r="13592">
          <cell r="H13592" t="str">
            <v>SL035.0G1W001WREC</v>
          </cell>
          <cell r="I13592" t="str">
            <v>35 GL 1X WK W/ RECY 1</v>
          </cell>
        </row>
        <row r="13593">
          <cell r="H13593" t="str">
            <v>SL035.0G1W002WREC</v>
          </cell>
          <cell r="I13593" t="str">
            <v>35 GL 1X WK W/RECY 2</v>
          </cell>
        </row>
        <row r="13594">
          <cell r="H13594" t="str">
            <v>SL035.0GEO001WREC</v>
          </cell>
          <cell r="I13594" t="str">
            <v>35 GL EOW W/RECY 1</v>
          </cell>
        </row>
        <row r="13595">
          <cell r="H13595" t="str">
            <v>SL065.0G1M001WREC</v>
          </cell>
          <cell r="I13595" t="str">
            <v>65 GL 1X MO W/RECY 1</v>
          </cell>
        </row>
        <row r="13596">
          <cell r="H13596" t="str">
            <v>SL065.0G1W001WREC</v>
          </cell>
          <cell r="I13596" t="str">
            <v>65 GL 1X WK W/RECY 1</v>
          </cell>
        </row>
        <row r="13597">
          <cell r="H13597" t="str">
            <v>SL065.0GEO001WREC</v>
          </cell>
          <cell r="I13597" t="str">
            <v>65 GL EOW W/RECY 1</v>
          </cell>
        </row>
        <row r="13598">
          <cell r="H13598" t="str">
            <v>SL095.0G1M0001WRECSPCL</v>
          </cell>
          <cell r="I13598" t="str">
            <v>95 GL 1X MO S/D W/RECY 1</v>
          </cell>
        </row>
        <row r="13599">
          <cell r="H13599" t="str">
            <v>SL095.0G1W001WREC</v>
          </cell>
          <cell r="I13599" t="str">
            <v>95 GL 1X WK W/RECY 1</v>
          </cell>
        </row>
        <row r="13600">
          <cell r="H13600" t="str">
            <v>SL095.0GEO001WREC</v>
          </cell>
          <cell r="I13600" t="str">
            <v>95 GL EOW W/RECY 1</v>
          </cell>
        </row>
        <row r="13601">
          <cell r="H13601" t="str">
            <v>WI1-RES</v>
          </cell>
          <cell r="I13601" t="str">
            <v>WALK IN 6-25' - RES</v>
          </cell>
        </row>
        <row r="13602">
          <cell r="H13602" t="str">
            <v>BULKY-RES</v>
          </cell>
          <cell r="I13602" t="str">
            <v>BULKY ITEM PICK UP - RES</v>
          </cell>
        </row>
        <row r="13603">
          <cell r="H13603" t="str">
            <v>EP96GWC-RES</v>
          </cell>
          <cell r="I13603" t="str">
            <v>EXTRA PICK UP 96 GW - RES</v>
          </cell>
        </row>
        <row r="13604">
          <cell r="H13604" t="str">
            <v>EXTRA-RES</v>
          </cell>
          <cell r="I13604" t="str">
            <v>EXTRA CAN, BAG, BOX - RES</v>
          </cell>
        </row>
        <row r="13605">
          <cell r="H13605" t="str">
            <v>EXTRAGWC-RES</v>
          </cell>
          <cell r="I13605" t="str">
            <v>EXTRA GREENWASTE FEE - RE</v>
          </cell>
        </row>
        <row r="13606">
          <cell r="H13606" t="str">
            <v>GWRES</v>
          </cell>
          <cell r="I13606" t="str">
            <v>GREENWASTE SERVICE - RES</v>
          </cell>
        </row>
        <row r="13607">
          <cell r="H13607" t="str">
            <v>OW-RES</v>
          </cell>
          <cell r="I13607" t="str">
            <v>OVERFILL / OVERWEIGHT CAN</v>
          </cell>
        </row>
        <row r="13608">
          <cell r="H13608" t="str">
            <v>REINSTATE-RES</v>
          </cell>
          <cell r="I13608" t="str">
            <v>REINSTATE FEE - RES</v>
          </cell>
        </row>
        <row r="13609">
          <cell r="H13609" t="str">
            <v>RTRNCART95-RES</v>
          </cell>
          <cell r="I13609" t="str">
            <v>RETURN TRIP 95 GL - RES</v>
          </cell>
        </row>
        <row r="13610">
          <cell r="H13610" t="str">
            <v>RTRNCART96REC-RES</v>
          </cell>
          <cell r="I13610" t="str">
            <v>RETURN TRIP 96 GL REC - RES</v>
          </cell>
        </row>
        <row r="13611">
          <cell r="H13611" t="str">
            <v>SL035.0G1M001WREC</v>
          </cell>
          <cell r="I13611" t="str">
            <v>35 GL 1X MO W/RECY 1</v>
          </cell>
        </row>
        <row r="13612">
          <cell r="H13612" t="str">
            <v>SL035.0GEO001WREC</v>
          </cell>
          <cell r="I13612" t="str">
            <v>35 GL EOW W/RECY 1</v>
          </cell>
        </row>
        <row r="13613">
          <cell r="H13613" t="str">
            <v>SL065.0G1W001WREC</v>
          </cell>
          <cell r="I13613" t="str">
            <v>65 GL 1X WK W/RECY 1</v>
          </cell>
        </row>
        <row r="13614">
          <cell r="H13614" t="str">
            <v>SP32-RES</v>
          </cell>
          <cell r="I13614" t="str">
            <v>SPECIAL PICK UP 32 GL - RES</v>
          </cell>
        </row>
        <row r="13615">
          <cell r="H13615" t="str">
            <v>SP65-RES</v>
          </cell>
          <cell r="I13615" t="str">
            <v>SPECIAL PICK UP 65 GL - R</v>
          </cell>
        </row>
        <row r="13616">
          <cell r="H13616" t="str">
            <v>TIME-RES</v>
          </cell>
          <cell r="I13616" t="str">
            <v>TIME FEE 1 - RES</v>
          </cell>
        </row>
        <row r="13617">
          <cell r="H13617" t="str">
            <v>LIDRO</v>
          </cell>
          <cell r="I13617" t="str">
            <v>LID CHARGE - RO</v>
          </cell>
        </row>
        <row r="13618">
          <cell r="H13618" t="str">
            <v>RENT20MO-RO</v>
          </cell>
          <cell r="I13618" t="str">
            <v>RENTAL FEE 20 YD MONTHLY</v>
          </cell>
        </row>
        <row r="13619">
          <cell r="H13619" t="str">
            <v>DEL20TEMP-RO</v>
          </cell>
          <cell r="I13619" t="str">
            <v>DELIVERY FEE 20 YD TEMP -</v>
          </cell>
        </row>
        <row r="13620">
          <cell r="H13620" t="str">
            <v>DISCO-CP</v>
          </cell>
          <cell r="I13620" t="str">
            <v xml:space="preserve">COMPACTOR DISCONNECT FEE </v>
          </cell>
        </row>
        <row r="13621">
          <cell r="H13621" t="str">
            <v>DISP-RO</v>
          </cell>
          <cell r="I13621" t="str">
            <v>DISPOSAL CHARGE - RO</v>
          </cell>
        </row>
        <row r="13622">
          <cell r="H13622" t="str">
            <v>DISPGLASS-RO</v>
          </cell>
          <cell r="I13622" t="str">
            <v>DISPOSAL FEE GLASS - RO</v>
          </cell>
        </row>
        <row r="13623">
          <cell r="H13623" t="str">
            <v>DISPOCC-RO</v>
          </cell>
          <cell r="I13623" t="str">
            <v xml:space="preserve">DISPOSAL FEE CARDBOARD - </v>
          </cell>
        </row>
        <row r="13624">
          <cell r="H13624" t="str">
            <v>DISPTRANS-RO</v>
          </cell>
          <cell r="I13624" t="str">
            <v>DISPOSAL FEE TRANSFER HAU</v>
          </cell>
        </row>
        <row r="13625">
          <cell r="H13625" t="str">
            <v>EXWGHT-RO</v>
          </cell>
          <cell r="I13625" t="str">
            <v>EXCESS WEIGHT - RO</v>
          </cell>
        </row>
        <row r="13626">
          <cell r="H13626" t="str">
            <v>FINAL20TEMP-RO</v>
          </cell>
          <cell r="I13626" t="str">
            <v>FINAL PULL 20 YD TEMP - R</v>
          </cell>
        </row>
        <row r="13627">
          <cell r="H13627" t="str">
            <v>HAUL20-RO</v>
          </cell>
          <cell r="I13627" t="str">
            <v>HAUL 20 YD - RO</v>
          </cell>
        </row>
        <row r="13628">
          <cell r="H13628" t="str">
            <v>HAUL25-CP</v>
          </cell>
          <cell r="I13628" t="str">
            <v>COMPACTOR HAUL 25 YD - RO</v>
          </cell>
        </row>
        <row r="13629">
          <cell r="H13629" t="str">
            <v>HAUL30-RO</v>
          </cell>
          <cell r="I13629" t="str">
            <v>HAUL 30 YD - RO</v>
          </cell>
        </row>
        <row r="13630">
          <cell r="H13630" t="str">
            <v>MILE-RO</v>
          </cell>
          <cell r="I13630" t="str">
            <v>MILEAGE FEE - RO</v>
          </cell>
        </row>
        <row r="13631">
          <cell r="H13631" t="str">
            <v>RENT20TEMP-RO</v>
          </cell>
          <cell r="I13631" t="str">
            <v>RENTAL FEE 20 YD TEMP - R</v>
          </cell>
        </row>
        <row r="13632">
          <cell r="H13632" t="str">
            <v>COMMODITY SURCHARGE</v>
          </cell>
          <cell r="I13632" t="str">
            <v>COMMODITY SURCHARGE</v>
          </cell>
        </row>
        <row r="13633">
          <cell r="H13633" t="str">
            <v>COMMODITY SURCHARGE</v>
          </cell>
          <cell r="I13633" t="str">
            <v>COMMODITY SURCHARGE</v>
          </cell>
        </row>
        <row r="13634">
          <cell r="H13634" t="str">
            <v>DUPONT CITY UTILITY TAX</v>
          </cell>
          <cell r="I13634" t="str">
            <v>8% CITY UTILITY TAX</v>
          </cell>
        </row>
        <row r="13635">
          <cell r="H13635" t="str">
            <v>DUPONT REFUSE TAX</v>
          </cell>
          <cell r="I13635" t="str">
            <v>3.6% WA STATE REFUSE TAX</v>
          </cell>
        </row>
        <row r="13636">
          <cell r="H13636" t="str">
            <v xml:space="preserve">PIERCE COUNTY REFUSE </v>
          </cell>
          <cell r="I13636" t="str">
            <v>3.6% PIERCE COUNTY REFUSE</v>
          </cell>
        </row>
        <row r="13637">
          <cell r="H13637" t="str">
            <v>STEILACOOM CITY  TAX</v>
          </cell>
          <cell r="I13637" t="str">
            <v>6% CITY UTILITY TAX</v>
          </cell>
        </row>
        <row r="13638">
          <cell r="H13638" t="str">
            <v>STEILACOOM REFUSE TAX</v>
          </cell>
          <cell r="I13638" t="str">
            <v>3.6% WA STATE REFUSE TAX</v>
          </cell>
        </row>
        <row r="13639">
          <cell r="H13639" t="str">
            <v>STEILACOOM ST SALES TAX</v>
          </cell>
          <cell r="I13639" t="str">
            <v>9.9% WA STATE SALES TAX</v>
          </cell>
        </row>
        <row r="13640">
          <cell r="H13640" t="str">
            <v>STEILACOOM CITY  TAX</v>
          </cell>
          <cell r="I13640" t="str">
            <v>6% CITY UTILITY TAX</v>
          </cell>
        </row>
        <row r="13641">
          <cell r="H13641" t="str">
            <v>STEILACOOM REFUSE TAX</v>
          </cell>
          <cell r="I13641" t="str">
            <v>3.6% WA STATE REFUSE TAX</v>
          </cell>
        </row>
        <row r="13642">
          <cell r="H13642" t="str">
            <v>STEILACOOM CITY  TAX</v>
          </cell>
          <cell r="I13642" t="str">
            <v>6% CITY UTILITY TAX</v>
          </cell>
        </row>
        <row r="13643">
          <cell r="H13643" t="str">
            <v>STEILACOOM REFUSE TAX</v>
          </cell>
          <cell r="I13643" t="str">
            <v>3.6% WA STATE REFUSE TAX</v>
          </cell>
        </row>
        <row r="13644">
          <cell r="H13644" t="str">
            <v>STEILACOOM CITY  TAX</v>
          </cell>
          <cell r="I13644" t="str">
            <v>6% CITY UTILITY TAX</v>
          </cell>
        </row>
        <row r="13645">
          <cell r="H13645" t="str">
            <v>STEILACOOM REFUSE TAX</v>
          </cell>
          <cell r="I13645" t="str">
            <v>3.6% WA STATE REFUSE TAX</v>
          </cell>
        </row>
        <row r="13646">
          <cell r="H13646" t="str">
            <v>STEILACOOM ST SALES TAX</v>
          </cell>
          <cell r="I13646" t="str">
            <v>9.9% WA STATE SALES TAX</v>
          </cell>
        </row>
        <row r="13647">
          <cell r="H13647" t="str">
            <v>FINCHG</v>
          </cell>
          <cell r="I13647" t="str">
            <v>LATE FEE</v>
          </cell>
        </row>
        <row r="13648">
          <cell r="H13648" t="str">
            <v>MM</v>
          </cell>
          <cell r="I13648" t="str">
            <v>ADJUST BALANCE (MM)</v>
          </cell>
        </row>
        <row r="13649">
          <cell r="H13649" t="str">
            <v>FINCHG</v>
          </cell>
          <cell r="I13649" t="str">
            <v>LATE FEE</v>
          </cell>
        </row>
        <row r="13650">
          <cell r="H13650" t="str">
            <v>ACCESS-COMM</v>
          </cell>
          <cell r="I13650" t="str">
            <v>ACCESS FEE - COMM</v>
          </cell>
        </row>
        <row r="13651">
          <cell r="H13651" t="str">
            <v>FL001.5Y1W001</v>
          </cell>
          <cell r="I13651" t="str">
            <v>1.5 YD 1X WK 1</v>
          </cell>
        </row>
        <row r="13652">
          <cell r="H13652" t="str">
            <v>FL002.0Y1W001</v>
          </cell>
          <cell r="I13652" t="str">
            <v>2 YD 1X WK 1</v>
          </cell>
        </row>
        <row r="13653">
          <cell r="H13653" t="str">
            <v>FL002.0Y2W001</v>
          </cell>
          <cell r="I13653" t="str">
            <v>2 YD 2X WK 1</v>
          </cell>
        </row>
        <row r="13654">
          <cell r="H13654" t="str">
            <v>FL002.0Y4W001</v>
          </cell>
          <cell r="I13654" t="str">
            <v>2 YD 4X WK 1</v>
          </cell>
        </row>
        <row r="13655">
          <cell r="H13655" t="str">
            <v>FL003.0Y2W001</v>
          </cell>
          <cell r="I13655" t="str">
            <v>3 YD 2X WK 1</v>
          </cell>
        </row>
        <row r="13656">
          <cell r="H13656" t="str">
            <v>FL006.0Y1W001</v>
          </cell>
          <cell r="I13656" t="str">
            <v>6 YD 1X WK 1</v>
          </cell>
        </row>
        <row r="13657">
          <cell r="H13657" t="str">
            <v>FL006.0Y2W001</v>
          </cell>
          <cell r="I13657" t="str">
            <v>6 YD 2X WK 1</v>
          </cell>
        </row>
        <row r="13658">
          <cell r="H13658" t="str">
            <v>SL065.0G1W001NORECC</v>
          </cell>
          <cell r="I13658" t="str">
            <v xml:space="preserve">65 GL 1X WK NO RECY COMM </v>
          </cell>
        </row>
        <row r="13659">
          <cell r="H13659" t="str">
            <v>SL065.0G1W001WRECC</v>
          </cell>
          <cell r="I13659" t="str">
            <v>65 GL 1X WK W/RECY COMM 1</v>
          </cell>
        </row>
        <row r="13660">
          <cell r="H13660" t="str">
            <v>SL065.0GEO001WRECC</v>
          </cell>
          <cell r="I13660" t="str">
            <v>65 GL EOW W/RECY COMM 1</v>
          </cell>
        </row>
        <row r="13661">
          <cell r="H13661" t="str">
            <v>SL095.0G1W001WRECC</v>
          </cell>
          <cell r="I13661" t="str">
            <v>95 GL 1X WK W/RECY COMM 1</v>
          </cell>
        </row>
        <row r="13662">
          <cell r="H13662" t="str">
            <v>EXTRA-COMM</v>
          </cell>
          <cell r="I13662" t="str">
            <v>EXTRA CAN, BAG, BOX - COM</v>
          </cell>
        </row>
        <row r="13663">
          <cell r="H13663" t="str">
            <v>EXTRAYDG-COM</v>
          </cell>
          <cell r="I13663" t="str">
            <v>EXTRA YARDAGE - COMM</v>
          </cell>
        </row>
        <row r="13664">
          <cell r="H13664" t="str">
            <v>SP2-COMM</v>
          </cell>
          <cell r="I13664" t="str">
            <v>SPECIAL PICK UP 2 YD - CO</v>
          </cell>
        </row>
        <row r="13665">
          <cell r="H13665" t="str">
            <v>FL002.0Y1W001BOCC</v>
          </cell>
          <cell r="I13665" t="str">
            <v>2 YD 1X WK BUS OCC 1</v>
          </cell>
        </row>
        <row r="13666">
          <cell r="H13666" t="str">
            <v>FL004.0Y1W001CMGL</v>
          </cell>
          <cell r="I13666" t="str">
            <v>4 YD 1X WK BUS CMGL 1</v>
          </cell>
        </row>
        <row r="13667">
          <cell r="H13667" t="str">
            <v>FL005.0Y1W001BOCC</v>
          </cell>
          <cell r="I13667" t="str">
            <v>5 YD 1X WK BUS OCC 1</v>
          </cell>
        </row>
        <row r="13668">
          <cell r="H13668" t="str">
            <v>FL006.0Y3W001BCMGL</v>
          </cell>
          <cell r="I13668" t="str">
            <v>6 YD 3X WK BUS CMGL 1</v>
          </cell>
        </row>
        <row r="13669">
          <cell r="H13669" t="str">
            <v>MFWBINS</v>
          </cell>
          <cell r="I13669" t="str">
            <v>MULTI-FAMILY REC UNIT W/B</v>
          </cell>
        </row>
        <row r="13670">
          <cell r="H13670" t="str">
            <v>SL096.0GEO001BCMGLOUT</v>
          </cell>
          <cell r="I13670" t="str">
            <v>96 GL EOW BUS CMGL OUT</v>
          </cell>
        </row>
        <row r="13671">
          <cell r="H13671" t="str">
            <v>CC-KOL</v>
          </cell>
          <cell r="I13671" t="str">
            <v>ONLINE PAYMENT-CC</v>
          </cell>
        </row>
        <row r="13672">
          <cell r="H13672" t="str">
            <v>PAY-CFREE</v>
          </cell>
          <cell r="I13672" t="str">
            <v>CHECKFREE PAYMENT</v>
          </cell>
        </row>
        <row r="13673">
          <cell r="H13673" t="str">
            <v>PAY-KOL</v>
          </cell>
          <cell r="I13673" t="str">
            <v>PAYMENT-THANK YOU - OL</v>
          </cell>
        </row>
        <row r="13674">
          <cell r="H13674" t="str">
            <v>PAY-ORCC</v>
          </cell>
          <cell r="I13674" t="str">
            <v>ORCC PAYMENT</v>
          </cell>
        </row>
        <row r="13675">
          <cell r="H13675" t="str">
            <v>PAY-RPPS</v>
          </cell>
          <cell r="I13675" t="str">
            <v>RPPS MASTERCARD PAYMENT</v>
          </cell>
        </row>
        <row r="13676">
          <cell r="H13676" t="str">
            <v>PAYPNCL</v>
          </cell>
          <cell r="I13676" t="str">
            <v>PAYMENT THANK YOU!</v>
          </cell>
        </row>
        <row r="13677">
          <cell r="H13677" t="str">
            <v>CC-KOL</v>
          </cell>
          <cell r="I13677" t="str">
            <v>ONLINE PAYMENT-CC</v>
          </cell>
        </row>
        <row r="13678">
          <cell r="H13678" t="str">
            <v>PAY</v>
          </cell>
          <cell r="I13678" t="str">
            <v>PAYMENT THANK YOU</v>
          </cell>
        </row>
        <row r="13679">
          <cell r="H13679" t="str">
            <v>PAY-CFREE</v>
          </cell>
          <cell r="I13679" t="str">
            <v>CHECKFREE PAYMENT</v>
          </cell>
        </row>
        <row r="13680">
          <cell r="H13680" t="str">
            <v>PAY-KOL</v>
          </cell>
          <cell r="I13680" t="str">
            <v>PAYMENT-THANK YOU - OL</v>
          </cell>
        </row>
        <row r="13681">
          <cell r="H13681" t="str">
            <v>PAY-RPPS</v>
          </cell>
          <cell r="I13681" t="str">
            <v>RPPS MASTERCARD PAYMENT</v>
          </cell>
        </row>
        <row r="13682">
          <cell r="H13682" t="str">
            <v>PAYICT</v>
          </cell>
          <cell r="I13682" t="str">
            <v>I/C PAYMENT THANK YOU</v>
          </cell>
        </row>
        <row r="13683">
          <cell r="H13683" t="str">
            <v>PAYMET</v>
          </cell>
          <cell r="I13683" t="str">
            <v>METAVANTE ONLINE PAYMENT</v>
          </cell>
        </row>
        <row r="13684">
          <cell r="H13684" t="str">
            <v>PAYPNCL</v>
          </cell>
          <cell r="I13684" t="str">
            <v>PAYMENT THANK YOU!</v>
          </cell>
        </row>
        <row r="13685">
          <cell r="H13685" t="str">
            <v>CC-KOL</v>
          </cell>
          <cell r="I13685" t="str">
            <v>ONLINE PAYMENT-CC</v>
          </cell>
        </row>
        <row r="13686">
          <cell r="H13686" t="str">
            <v>PAY-CFREE</v>
          </cell>
          <cell r="I13686" t="str">
            <v>CHECKFREE PAYMENT</v>
          </cell>
        </row>
        <row r="13687">
          <cell r="H13687" t="str">
            <v>PAY-KOL</v>
          </cell>
          <cell r="I13687" t="str">
            <v>PAYMENT-THANK YOU - OL</v>
          </cell>
        </row>
        <row r="13688">
          <cell r="H13688" t="str">
            <v>PAY-OAK</v>
          </cell>
          <cell r="I13688" t="str">
            <v>OAKLEAF PAYMENT</v>
          </cell>
        </row>
        <row r="13689">
          <cell r="H13689" t="str">
            <v>PAY-RPPS</v>
          </cell>
          <cell r="I13689" t="str">
            <v>RPPS MASTERCARD PAYMENT</v>
          </cell>
        </row>
        <row r="13690">
          <cell r="H13690" t="str">
            <v>PAYMET</v>
          </cell>
          <cell r="I13690" t="str">
            <v>METAVANTE ONLINE PAYMENT</v>
          </cell>
        </row>
        <row r="13691">
          <cell r="H13691" t="str">
            <v>PAYPNCL</v>
          </cell>
          <cell r="I13691" t="str">
            <v>PAYMENT THANK YOU!</v>
          </cell>
        </row>
        <row r="13692">
          <cell r="H13692" t="str">
            <v>PAYUSBL</v>
          </cell>
          <cell r="I13692" t="str">
            <v>PAYMENT THANK YOU</v>
          </cell>
        </row>
        <row r="13693">
          <cell r="H13693" t="str">
            <v>GWRES</v>
          </cell>
          <cell r="I13693" t="str">
            <v>GREENWASTE SERVICE - RES</v>
          </cell>
        </row>
        <row r="13694">
          <cell r="H13694" t="str">
            <v>RECBINONLYR</v>
          </cell>
          <cell r="I13694" t="str">
            <v>RECYCLE SERVICE ONLY</v>
          </cell>
        </row>
        <row r="13695">
          <cell r="H13695" t="str">
            <v>SL035.0GEO001WREC</v>
          </cell>
          <cell r="I13695" t="str">
            <v>35 GL EOW W/RECY 1</v>
          </cell>
        </row>
        <row r="13696">
          <cell r="H13696" t="str">
            <v>SL065.0G1W001WREC</v>
          </cell>
          <cell r="I13696" t="str">
            <v>65 GL 1X WK W/RECY 1</v>
          </cell>
        </row>
        <row r="13697">
          <cell r="H13697" t="str">
            <v>SL065.0GEO001NOREC</v>
          </cell>
          <cell r="I13697" t="str">
            <v>65 GL EOW NO RECY 1</v>
          </cell>
        </row>
        <row r="13698">
          <cell r="H13698" t="str">
            <v>SL065.0GEO001WREC</v>
          </cell>
          <cell r="I13698" t="str">
            <v>65 GL EOW W/RECY 1</v>
          </cell>
        </row>
        <row r="13699">
          <cell r="H13699" t="str">
            <v>SL095.0G1W001WREC</v>
          </cell>
          <cell r="I13699" t="str">
            <v>95 GL 1X WK W/RECY 1</v>
          </cell>
        </row>
        <row r="13700">
          <cell r="H13700" t="str">
            <v>EXTRA-RES</v>
          </cell>
          <cell r="I13700" t="str">
            <v>EXTRA CAN, BAG, BOX - RES</v>
          </cell>
        </row>
        <row r="13701">
          <cell r="H13701" t="str">
            <v>GWRES</v>
          </cell>
          <cell r="I13701" t="str">
            <v>GREENWASTE SERVICE - RES</v>
          </cell>
        </row>
        <row r="13702">
          <cell r="H13702" t="str">
            <v>SL065.0G1W001WREC</v>
          </cell>
          <cell r="I13702" t="str">
            <v>65 GL 1X WK W/RECY 1</v>
          </cell>
        </row>
        <row r="13703">
          <cell r="H13703" t="str">
            <v>SL065.0GEO001WREC</v>
          </cell>
          <cell r="I13703" t="str">
            <v>65 GL EOW W/RECY 1</v>
          </cell>
        </row>
        <row r="13704">
          <cell r="H13704" t="str">
            <v>SL095.0G1W001WREC</v>
          </cell>
          <cell r="I13704" t="str">
            <v>95 GL 1X WK W/RECY 1</v>
          </cell>
        </row>
        <row r="13705">
          <cell r="H13705" t="str">
            <v>EXTRA-RES</v>
          </cell>
          <cell r="I13705" t="str">
            <v>EXTRA CAN, BAG, BOX - RES</v>
          </cell>
        </row>
        <row r="13706">
          <cell r="H13706" t="str">
            <v>OW-RES</v>
          </cell>
          <cell r="I13706" t="str">
            <v>OVERFILL / OVERWEIGHT CAN</v>
          </cell>
        </row>
        <row r="13707">
          <cell r="H13707" t="str">
            <v>SPCL65-RES</v>
          </cell>
          <cell r="I13707" t="str">
            <v>SPECIAL 65 GL - RES</v>
          </cell>
        </row>
        <row r="13708">
          <cell r="H13708" t="str">
            <v>OW-RES</v>
          </cell>
          <cell r="I13708" t="str">
            <v>OVERFILL / OVERWEIGHT CAN</v>
          </cell>
        </row>
        <row r="13709">
          <cell r="H13709" t="str">
            <v>RENT20MO-RO</v>
          </cell>
          <cell r="I13709" t="str">
            <v>RENTAL FEE 20 YD MONTHLY</v>
          </cell>
        </row>
        <row r="13710">
          <cell r="H13710" t="str">
            <v>COMMODITY SURCHARGE</v>
          </cell>
          <cell r="I13710" t="str">
            <v>COMMODITY SURCHARGE</v>
          </cell>
        </row>
        <row r="13711">
          <cell r="H13711" t="str">
            <v>UNIV PLACE SURCHARGE</v>
          </cell>
          <cell r="I13711" t="str">
            <v>UNIVERSITY PLACE SURCHARGE</v>
          </cell>
        </row>
        <row r="13712">
          <cell r="H13712" t="str">
            <v>UNIV PLACE SURCHARGE</v>
          </cell>
          <cell r="I13712" t="str">
            <v>UNIVERSITY PLACE SURCHARGE</v>
          </cell>
        </row>
        <row r="13713">
          <cell r="H13713" t="str">
            <v>UNIV PLACE SURCHARGE</v>
          </cell>
          <cell r="I13713" t="str">
            <v>UNIVERSITY PLACE SURCHARGE</v>
          </cell>
        </row>
        <row r="13714">
          <cell r="H13714" t="str">
            <v>UNIV PLACE SURCHARGE</v>
          </cell>
          <cell r="I13714" t="str">
            <v>UNIVERSITY PLACE SURCHARGE</v>
          </cell>
        </row>
        <row r="13715">
          <cell r="H13715" t="str">
            <v>UNIV PLACE SURCHARGE</v>
          </cell>
          <cell r="I13715" t="str">
            <v>UNIVERSITY PLACE SURCHARGE</v>
          </cell>
        </row>
        <row r="13716">
          <cell r="H13716" t="str">
            <v>UP CITY UTILITY TAX</v>
          </cell>
          <cell r="I13716" t="str">
            <v>6% CITY UTILITY TAX</v>
          </cell>
        </row>
        <row r="13717">
          <cell r="H13717" t="str">
            <v>UP CITY ONLY</v>
          </cell>
          <cell r="I13717" t="str">
            <v>6% CITY UTILITY TAX</v>
          </cell>
        </row>
        <row r="13718">
          <cell r="H13718" t="str">
            <v>UP CITY UTILITY TAX</v>
          </cell>
          <cell r="I13718" t="str">
            <v>6% CITY UTILITY TAX</v>
          </cell>
        </row>
        <row r="13719">
          <cell r="H13719" t="str">
            <v>UP REFUSE TAX</v>
          </cell>
          <cell r="I13719" t="str">
            <v>3.6% WA STATE REFUSE TAX</v>
          </cell>
        </row>
        <row r="13720">
          <cell r="H13720" t="str">
            <v>UP CITY UTILITY TAX</v>
          </cell>
          <cell r="I13720" t="str">
            <v>6% CITY UTILITY TAX</v>
          </cell>
        </row>
        <row r="13721">
          <cell r="H13721" t="str">
            <v>UP REFUSE TAX</v>
          </cell>
          <cell r="I13721" t="str">
            <v>3.6% WA STATE REFUSE TAX</v>
          </cell>
        </row>
        <row r="13722">
          <cell r="H13722" t="str">
            <v>UP CITY UTILITY TAX</v>
          </cell>
          <cell r="I13722" t="str">
            <v>6% CITY UTILITY TAX</v>
          </cell>
        </row>
        <row r="13723">
          <cell r="H13723" t="str">
            <v>UP REFUSE TAX</v>
          </cell>
          <cell r="I13723" t="str">
            <v>3.6% WA STATE REFUSE TAX</v>
          </cell>
        </row>
        <row r="13724">
          <cell r="H13724" t="str">
            <v>UP CITY UTILITY TAX</v>
          </cell>
          <cell r="I13724" t="str">
            <v>6% CITY UTILITY TAX</v>
          </cell>
        </row>
        <row r="13725">
          <cell r="H13725" t="str">
            <v>UP REFUSE TAX</v>
          </cell>
          <cell r="I13725" t="str">
            <v>3.6% WA STATE REFUSE TAX</v>
          </cell>
        </row>
        <row r="13726">
          <cell r="H13726" t="str">
            <v>UP STATE SALES TAX</v>
          </cell>
          <cell r="I13726" t="str">
            <v>9.9% WA STATE SALES TAX</v>
          </cell>
        </row>
        <row r="13727">
          <cell r="H13727" t="str">
            <v>DISPFEDMSW-COMM</v>
          </cell>
          <cell r="I13727" t="str">
            <v>DISPOSAL FEDERAL MSW - CO</v>
          </cell>
        </row>
        <row r="13728">
          <cell r="H13728" t="str">
            <v>FL001.5Y1W001</v>
          </cell>
          <cell r="I13728" t="str">
            <v>1.5 YD 1X WK 1</v>
          </cell>
        </row>
        <row r="13729">
          <cell r="H13729" t="str">
            <v>FL002.0Y1W001</v>
          </cell>
          <cell r="I13729" t="str">
            <v>2 YD 1X WK 1</v>
          </cell>
        </row>
        <row r="13730">
          <cell r="H13730" t="str">
            <v>CONTRACTEDC</v>
          </cell>
          <cell r="I13730" t="str">
            <v>CONTRACTED SERVICE - COMM</v>
          </cell>
        </row>
        <row r="13731">
          <cell r="H13731" t="str">
            <v>SL096.0GEO001BCMGLIN</v>
          </cell>
          <cell r="I13731" t="str">
            <v>96 GL EOW BUS CMGL IN</v>
          </cell>
        </row>
        <row r="13732">
          <cell r="H13732" t="str">
            <v>PAYEFT</v>
          </cell>
          <cell r="I13732" t="str">
            <v>EFT PAYMENT</v>
          </cell>
        </row>
        <row r="13733">
          <cell r="H13733" t="str">
            <v>DISPASB-RO</v>
          </cell>
          <cell r="I13733" t="str">
            <v>DISPOSAL FEE ASBESTOS - R</v>
          </cell>
        </row>
        <row r="13734">
          <cell r="H13734" t="str">
            <v>DISPBATT-RO</v>
          </cell>
          <cell r="I13734" t="str">
            <v>DISPOSAL BATTERIES - RO</v>
          </cell>
        </row>
        <row r="13735">
          <cell r="H13735" t="str">
            <v>DISPBOOKS-RO</v>
          </cell>
          <cell r="I13735" t="str">
            <v>DISPOSAL BOOKS - RO</v>
          </cell>
        </row>
        <row r="13736">
          <cell r="H13736" t="str">
            <v>DISPCMGL-RO</v>
          </cell>
          <cell r="I13736" t="str">
            <v xml:space="preserve">DISPOSAL FEE COMMINGLE - </v>
          </cell>
        </row>
        <row r="13737">
          <cell r="H13737" t="str">
            <v>DISPCONCRETE-RO</v>
          </cell>
          <cell r="I13737" t="str">
            <v>DISPOSAL FEE CONCRETE - R</v>
          </cell>
        </row>
        <row r="13738">
          <cell r="H13738" t="str">
            <v>DISPEWASTE-RO</v>
          </cell>
          <cell r="I13738" t="str">
            <v>DISPOSAL FEE EWASTE - RO</v>
          </cell>
        </row>
        <row r="13739">
          <cell r="H13739" t="str">
            <v>DISPFEDMSW-RO</v>
          </cell>
          <cell r="I13739" t="str">
            <v xml:space="preserve">DISPOSAL FEE FEDERAL MSW </v>
          </cell>
        </row>
        <row r="13740">
          <cell r="H13740" t="str">
            <v>DISPFOOD-RO</v>
          </cell>
          <cell r="I13740" t="str">
            <v>DISPOSAL FEE FOOD WASTE -</v>
          </cell>
        </row>
        <row r="13741">
          <cell r="H13741" t="str">
            <v>DISPGLASS-RO</v>
          </cell>
          <cell r="I13741" t="str">
            <v>DISPOSAL FEE GLASS - RO</v>
          </cell>
        </row>
        <row r="13742">
          <cell r="H13742" t="str">
            <v>DISPGW-RO</v>
          </cell>
          <cell r="I13742" t="str">
            <v>DISPOSAL FEE GREENWASTE -</v>
          </cell>
        </row>
        <row r="13743">
          <cell r="H13743" t="str">
            <v>DISPMETAL-RO</v>
          </cell>
          <cell r="I13743" t="str">
            <v>DISPOSAL FEE METAL - RO</v>
          </cell>
        </row>
        <row r="13744">
          <cell r="H13744" t="str">
            <v>DISPOCC-RO</v>
          </cell>
          <cell r="I13744" t="str">
            <v xml:space="preserve">DISPOSAL FEE CARDBOARD - </v>
          </cell>
        </row>
        <row r="13745">
          <cell r="H13745" t="str">
            <v>DISPTEX-RO</v>
          </cell>
          <cell r="I13745" t="str">
            <v>DISPOSAL TEXTILE - RO</v>
          </cell>
        </row>
        <row r="13746">
          <cell r="H13746" t="str">
            <v>DISPWD-RO</v>
          </cell>
          <cell r="I13746" t="str">
            <v>DISPOSAL FEE WOOD - RO</v>
          </cell>
        </row>
        <row r="13747">
          <cell r="H13747" t="str">
            <v>FINAL20-RO</v>
          </cell>
          <cell r="I13747" t="str">
            <v>FINAL PULL 20 YD - RO</v>
          </cell>
        </row>
        <row r="13748">
          <cell r="H13748" t="str">
            <v>HAUL30-RO</v>
          </cell>
          <cell r="I13748" t="str">
            <v>HAUL 30 YD - RO</v>
          </cell>
        </row>
        <row r="13749">
          <cell r="H13749" t="str">
            <v>HAUL50-RO</v>
          </cell>
          <cell r="I13749" t="str">
            <v>HAUL 50 YD - RO</v>
          </cell>
        </row>
        <row r="13750">
          <cell r="H13750" t="str">
            <v>BD</v>
          </cell>
          <cell r="I13750" t="str">
            <v>BAD DEBT WRITE OFF</v>
          </cell>
        </row>
        <row r="13751">
          <cell r="H13751" t="str">
            <v>BDR</v>
          </cell>
          <cell r="I13751" t="str">
            <v>BAD DEBT RECOVERY</v>
          </cell>
        </row>
        <row r="13752">
          <cell r="H13752" t="str">
            <v>FINCHG</v>
          </cell>
          <cell r="I13752" t="str">
            <v>LATE FEE</v>
          </cell>
        </row>
        <row r="13753">
          <cell r="H13753" t="str">
            <v>MM</v>
          </cell>
          <cell r="I13753" t="str">
            <v>ADJUST BALANCE (MM)</v>
          </cell>
        </row>
        <row r="13754">
          <cell r="H13754" t="str">
            <v>REFUND</v>
          </cell>
          <cell r="I13754" t="str">
            <v>REFUND</v>
          </cell>
        </row>
        <row r="13755">
          <cell r="H13755" t="str">
            <v>FINCHG</v>
          </cell>
          <cell r="I13755" t="str">
            <v>LATE FEE</v>
          </cell>
        </row>
        <row r="13756">
          <cell r="H13756" t="str">
            <v>BDR</v>
          </cell>
          <cell r="I13756" t="str">
            <v>BAD DEBT RECOVERY</v>
          </cell>
        </row>
        <row r="13757">
          <cell r="H13757" t="str">
            <v>COLLFEE</v>
          </cell>
          <cell r="I13757" t="str">
            <v>COLLECTION AGENCY FEE</v>
          </cell>
        </row>
        <row r="13758">
          <cell r="H13758" t="str">
            <v>MM</v>
          </cell>
          <cell r="I13758" t="str">
            <v>ADJUST BALANCE (MM)</v>
          </cell>
        </row>
        <row r="13759">
          <cell r="H13759" t="str">
            <v>REFUND</v>
          </cell>
          <cell r="I13759" t="str">
            <v>REFUND</v>
          </cell>
        </row>
        <row r="13760">
          <cell r="H13760" t="str">
            <v>FINCHG</v>
          </cell>
          <cell r="I13760" t="str">
            <v>LATE FEE</v>
          </cell>
        </row>
        <row r="13761">
          <cell r="H13761" t="str">
            <v>FINCHG</v>
          </cell>
          <cell r="I13761" t="str">
            <v>LATE FEE</v>
          </cell>
        </row>
        <row r="13762">
          <cell r="H13762" t="str">
            <v>MM</v>
          </cell>
          <cell r="I13762" t="str">
            <v>ADJUST BALANCE (MM)</v>
          </cell>
        </row>
        <row r="13763">
          <cell r="H13763" t="str">
            <v>ACCESS-COMM</v>
          </cell>
          <cell r="I13763" t="str">
            <v>ACCESS FEE - COMM</v>
          </cell>
        </row>
        <row r="13764">
          <cell r="H13764" t="str">
            <v>DONATIONC</v>
          </cell>
          <cell r="I13764" t="str">
            <v>DONATED SERVICE COMM</v>
          </cell>
        </row>
        <row r="13765">
          <cell r="H13765" t="str">
            <v>DRIVEIN1-COMM</v>
          </cell>
          <cell r="I13765" t="str">
            <v>DRIVE IN 125-250' - COMM</v>
          </cell>
        </row>
        <row r="13766">
          <cell r="H13766" t="str">
            <v>FL001.0Y1W001</v>
          </cell>
          <cell r="I13766" t="str">
            <v>1 YD 1X WK 1</v>
          </cell>
        </row>
        <row r="13767">
          <cell r="H13767" t="str">
            <v>FL001.5Y1W001</v>
          </cell>
          <cell r="I13767" t="str">
            <v>1.5 YD 1X WK 1</v>
          </cell>
        </row>
        <row r="13768">
          <cell r="H13768" t="str">
            <v>FL001.5Y2W001</v>
          </cell>
          <cell r="I13768" t="str">
            <v>1.5 YD 2X WK 1</v>
          </cell>
        </row>
        <row r="13769">
          <cell r="H13769" t="str">
            <v>FL002.0Y1W001</v>
          </cell>
          <cell r="I13769" t="str">
            <v>2 YD 1X WK 1</v>
          </cell>
        </row>
        <row r="13770">
          <cell r="H13770" t="str">
            <v>FL002.0Y2W001</v>
          </cell>
          <cell r="I13770" t="str">
            <v>2 YD 2X WK 1</v>
          </cell>
        </row>
        <row r="13771">
          <cell r="H13771" t="str">
            <v>FL002.0Y3W001</v>
          </cell>
          <cell r="I13771" t="str">
            <v>2 YD 3X WK 1</v>
          </cell>
        </row>
        <row r="13772">
          <cell r="H13772" t="str">
            <v>FL003.0Y1W001</v>
          </cell>
          <cell r="I13772" t="str">
            <v>3 YD 1X WK 1</v>
          </cell>
        </row>
        <row r="13773">
          <cell r="H13773" t="str">
            <v>FL003.0Y2W001</v>
          </cell>
          <cell r="I13773" t="str">
            <v>3 YD 2X WK 1</v>
          </cell>
        </row>
        <row r="13774">
          <cell r="H13774" t="str">
            <v>FL003.0Y3W001</v>
          </cell>
          <cell r="I13774" t="str">
            <v>3 YD 3X WK 1</v>
          </cell>
        </row>
        <row r="13775">
          <cell r="H13775" t="str">
            <v>FL004.0Y1W001</v>
          </cell>
          <cell r="I13775" t="str">
            <v>4 YD 1X WK 1</v>
          </cell>
        </row>
        <row r="13776">
          <cell r="H13776" t="str">
            <v>FL004.0Y2W001</v>
          </cell>
          <cell r="I13776" t="str">
            <v>4 YD 2X WK 1</v>
          </cell>
        </row>
        <row r="13777">
          <cell r="H13777" t="str">
            <v>FL004.0Y3W001</v>
          </cell>
          <cell r="I13777" t="str">
            <v>4 YD 3X WK 1</v>
          </cell>
        </row>
        <row r="13778">
          <cell r="H13778" t="str">
            <v>FL006.0Y1W001</v>
          </cell>
          <cell r="I13778" t="str">
            <v>6 YD 1X WK 1</v>
          </cell>
        </row>
        <row r="13779">
          <cell r="H13779" t="str">
            <v>FL006.0Y2W001</v>
          </cell>
          <cell r="I13779" t="str">
            <v>6 YD 2X WK 1</v>
          </cell>
        </row>
        <row r="13780">
          <cell r="H13780" t="str">
            <v>FL006.0Y4W001</v>
          </cell>
          <cell r="I13780" t="str">
            <v>6 YD 4X WK 1</v>
          </cell>
        </row>
        <row r="13781">
          <cell r="H13781" t="str">
            <v>ROLL-COMM</v>
          </cell>
          <cell r="I13781" t="str">
            <v>ROLL OUT CHARGE - COMM</v>
          </cell>
        </row>
        <row r="13782">
          <cell r="H13782" t="str">
            <v>SL065.0G1W001NORECC</v>
          </cell>
          <cell r="I13782" t="str">
            <v xml:space="preserve">65 GL 1X WK NO RECY COMM </v>
          </cell>
        </row>
        <row r="13783">
          <cell r="H13783" t="str">
            <v>SL065.0G1W001WRECC</v>
          </cell>
          <cell r="I13783" t="str">
            <v>65 GL 1X WK W/RECY COMM 1</v>
          </cell>
        </row>
        <row r="13784">
          <cell r="H13784" t="str">
            <v>SL065.0GEO001WRECC</v>
          </cell>
          <cell r="I13784" t="str">
            <v>65 GL EOW W/RECY COMM 1</v>
          </cell>
        </row>
        <row r="13785">
          <cell r="H13785" t="str">
            <v>SL095.0G1W001WRECC</v>
          </cell>
          <cell r="I13785" t="str">
            <v>95 GL 1X WK W/RECY COMM 1</v>
          </cell>
        </row>
        <row r="13786">
          <cell r="H13786" t="str">
            <v>DISP-COMM</v>
          </cell>
          <cell r="I13786" t="str">
            <v>DISPOSAL FEE - COMM</v>
          </cell>
        </row>
        <row r="13787">
          <cell r="H13787" t="str">
            <v>EXTRA-COMM</v>
          </cell>
          <cell r="I13787" t="str">
            <v>EXTRA CAN, BAG, BOX - COM</v>
          </cell>
        </row>
        <row r="13788">
          <cell r="H13788" t="str">
            <v>EXTRAYDG-COM</v>
          </cell>
          <cell r="I13788" t="str">
            <v>EXTRA YARDAGE - COMM</v>
          </cell>
        </row>
        <row r="13789">
          <cell r="H13789" t="str">
            <v>ACCESSCREC-COMM</v>
          </cell>
          <cell r="I13789" t="str">
            <v>ACCESS FEE COMM RECY - CO</v>
          </cell>
        </row>
        <row r="13790">
          <cell r="H13790" t="str">
            <v>FL002.0Y1W001BCMGL</v>
          </cell>
          <cell r="I13790" t="str">
            <v>2 YD 1X WK BUS CMGL 1</v>
          </cell>
        </row>
        <row r="13791">
          <cell r="H13791" t="str">
            <v>FL002.0Y1W001BOCC</v>
          </cell>
          <cell r="I13791" t="str">
            <v>2 YD 1X WK BUS OCC 1</v>
          </cell>
        </row>
        <row r="13792">
          <cell r="H13792" t="str">
            <v>FL004.0Y2W001CMGL</v>
          </cell>
          <cell r="I13792" t="str">
            <v>4 YD 2X WK BUS CMGL 1</v>
          </cell>
        </row>
        <row r="13793">
          <cell r="H13793" t="str">
            <v>FL005.0Y1W001BOCC</v>
          </cell>
          <cell r="I13793" t="str">
            <v>5 YD 1X WK BUS OCC 1</v>
          </cell>
        </row>
        <row r="13794">
          <cell r="H13794" t="str">
            <v>FL005.0Y2W001BOCC</v>
          </cell>
          <cell r="I13794" t="str">
            <v>5 YD 2X WK BUS OCC 1</v>
          </cell>
        </row>
        <row r="13795">
          <cell r="H13795" t="str">
            <v>FL005.0Y3W001BOCC</v>
          </cell>
          <cell r="I13795" t="str">
            <v>5 YD 3X WK BUS OCC 1</v>
          </cell>
        </row>
        <row r="13796">
          <cell r="H13796" t="str">
            <v>FL006.0Y1W001BCMGL</v>
          </cell>
          <cell r="I13796" t="str">
            <v>6 YD 1X WK BUS COMINGLE 1</v>
          </cell>
        </row>
        <row r="13797">
          <cell r="H13797" t="str">
            <v>FL006.0Y2W001BCMGL</v>
          </cell>
          <cell r="I13797" t="str">
            <v>6 YD 2X WK BUS COMINGLE 1</v>
          </cell>
        </row>
        <row r="13798">
          <cell r="H13798" t="str">
            <v>FL006.0Y4W001OCC</v>
          </cell>
          <cell r="I13798" t="str">
            <v>6 YD 4X WK OCC 1</v>
          </cell>
        </row>
        <row r="13799">
          <cell r="H13799" t="str">
            <v>MFWBINS</v>
          </cell>
          <cell r="I13799" t="str">
            <v>MULTI-FAMILY REC UNIT W/B</v>
          </cell>
        </row>
        <row r="13800">
          <cell r="H13800" t="str">
            <v>SL096.0G1W001BCMGLOUT</v>
          </cell>
          <cell r="I13800" t="str">
            <v>96 GL WKLY BUS CMGL OUT</v>
          </cell>
        </row>
        <row r="13801">
          <cell r="H13801" t="str">
            <v>SL096.0GEO001BCMGLOUT</v>
          </cell>
          <cell r="I13801" t="str">
            <v>96 GL EOW BUS CMGL OUT</v>
          </cell>
        </row>
        <row r="13802">
          <cell r="H13802" t="str">
            <v>CC-KOL</v>
          </cell>
          <cell r="I13802" t="str">
            <v>ONLINE PAYMENT-CC</v>
          </cell>
        </row>
        <row r="13803">
          <cell r="H13803" t="str">
            <v>CCREF-KOL</v>
          </cell>
          <cell r="I13803" t="str">
            <v>CREDIT CARD REFUND</v>
          </cell>
        </row>
        <row r="13804">
          <cell r="H13804" t="str">
            <v>PAY</v>
          </cell>
          <cell r="I13804" t="str">
            <v>PAYMENT THANK YOU</v>
          </cell>
        </row>
        <row r="13805">
          <cell r="H13805" t="str">
            <v>PAY-CFREE</v>
          </cell>
          <cell r="I13805" t="str">
            <v>CHECKFREE PAYMENT</v>
          </cell>
        </row>
        <row r="13806">
          <cell r="H13806" t="str">
            <v>PAY-KOL</v>
          </cell>
          <cell r="I13806" t="str">
            <v>PAYMENT-THANK YOU - OL</v>
          </cell>
        </row>
        <row r="13807">
          <cell r="H13807" t="str">
            <v>PAY-ORCC</v>
          </cell>
          <cell r="I13807" t="str">
            <v>ORCC PAYMENT</v>
          </cell>
        </row>
        <row r="13808">
          <cell r="H13808" t="str">
            <v>PAY-RPPS</v>
          </cell>
          <cell r="I13808" t="str">
            <v>RPPS MASTERCARD PAYMENT</v>
          </cell>
        </row>
        <row r="13809">
          <cell r="H13809" t="str">
            <v>PAYMET</v>
          </cell>
          <cell r="I13809" t="str">
            <v>METAVANTE ONLINE PAYMENT</v>
          </cell>
        </row>
        <row r="13810">
          <cell r="H13810" t="str">
            <v>PAYPNCL</v>
          </cell>
          <cell r="I13810" t="str">
            <v>PAYMENT THANK YOU!</v>
          </cell>
        </row>
        <row r="13811">
          <cell r="H13811" t="str">
            <v>PAYUSBL</v>
          </cell>
          <cell r="I13811" t="str">
            <v>PAYMENT THANK YOU</v>
          </cell>
        </row>
        <row r="13812">
          <cell r="H13812" t="str">
            <v>CC-KOL</v>
          </cell>
          <cell r="I13812" t="str">
            <v>ONLINE PAYMENT-CC</v>
          </cell>
        </row>
        <row r="13813">
          <cell r="H13813" t="str">
            <v>CCREF-KOL</v>
          </cell>
          <cell r="I13813" t="str">
            <v>CREDIT CARD REFUND</v>
          </cell>
        </row>
        <row r="13814">
          <cell r="H13814" t="str">
            <v>PAY</v>
          </cell>
          <cell r="I13814" t="str">
            <v>PAYMENT THANK YOU</v>
          </cell>
        </row>
        <row r="13815">
          <cell r="H13815" t="str">
            <v>PAY-CFREE</v>
          </cell>
          <cell r="I13815" t="str">
            <v>CHECKFREE PAYMENT</v>
          </cell>
        </row>
        <row r="13816">
          <cell r="H13816" t="str">
            <v>PAY-KOL</v>
          </cell>
          <cell r="I13816" t="str">
            <v>PAYMENT-THANK YOU - OL</v>
          </cell>
        </row>
        <row r="13817">
          <cell r="H13817" t="str">
            <v>PAY-ORCC</v>
          </cell>
          <cell r="I13817" t="str">
            <v>ORCC PAYMENT</v>
          </cell>
        </row>
        <row r="13818">
          <cell r="H13818" t="str">
            <v>PAY-RPPS</v>
          </cell>
          <cell r="I13818" t="str">
            <v>RPPS MASTERCARD PAYMENT</v>
          </cell>
        </row>
        <row r="13819">
          <cell r="H13819" t="str">
            <v>PAYMET</v>
          </cell>
          <cell r="I13819" t="str">
            <v>METAVANTE ONLINE PAYMENT</v>
          </cell>
        </row>
        <row r="13820">
          <cell r="H13820" t="str">
            <v>PAYPNCL</v>
          </cell>
          <cell r="I13820" t="str">
            <v>PAYMENT THANK YOU!</v>
          </cell>
        </row>
        <row r="13821">
          <cell r="H13821" t="str">
            <v>PAYUSBL</v>
          </cell>
          <cell r="I13821" t="str">
            <v>PAYMENT THANK YOU</v>
          </cell>
        </row>
        <row r="13822">
          <cell r="H13822" t="str">
            <v>RET-KOL</v>
          </cell>
          <cell r="I13822" t="str">
            <v>ONLINE PAYMENT RETURN</v>
          </cell>
        </row>
        <row r="13823">
          <cell r="H13823" t="str">
            <v>CC-KOL</v>
          </cell>
          <cell r="I13823" t="str">
            <v>ONLINE PAYMENT-CC</v>
          </cell>
        </row>
        <row r="13824">
          <cell r="H13824" t="str">
            <v>PAY</v>
          </cell>
          <cell r="I13824" t="str">
            <v>PAYMENT THANK YOU</v>
          </cell>
        </row>
        <row r="13825">
          <cell r="H13825" t="str">
            <v>PAY-CFREE</v>
          </cell>
          <cell r="I13825" t="str">
            <v>CHECKFREE PAYMENT</v>
          </cell>
        </row>
        <row r="13826">
          <cell r="H13826" t="str">
            <v>PAY-KOL</v>
          </cell>
          <cell r="I13826" t="str">
            <v>PAYMENT-THANK YOU - OL</v>
          </cell>
        </row>
        <row r="13827">
          <cell r="H13827" t="str">
            <v>PAY-NATL</v>
          </cell>
          <cell r="I13827" t="str">
            <v>PAYMENT THANK YOU</v>
          </cell>
        </row>
        <row r="13828">
          <cell r="H13828" t="str">
            <v>PAY-OAK</v>
          </cell>
          <cell r="I13828" t="str">
            <v>OAKLEAF PAYMENT</v>
          </cell>
        </row>
        <row r="13829">
          <cell r="H13829" t="str">
            <v>PAY-ORCC</v>
          </cell>
          <cell r="I13829" t="str">
            <v>ORCC PAYMENT</v>
          </cell>
        </row>
        <row r="13830">
          <cell r="H13830" t="str">
            <v>PAY-RPPS</v>
          </cell>
          <cell r="I13830" t="str">
            <v>RPPS MASTERCARD PAYMENT</v>
          </cell>
        </row>
        <row r="13831">
          <cell r="H13831" t="str">
            <v>PAYMET</v>
          </cell>
          <cell r="I13831" t="str">
            <v>METAVANTE ONLINE PAYMENT</v>
          </cell>
        </row>
        <row r="13832">
          <cell r="H13832" t="str">
            <v>PAYPNCL</v>
          </cell>
          <cell r="I13832" t="str">
            <v>PAYMENT THANK YOU!</v>
          </cell>
        </row>
        <row r="13833">
          <cell r="H13833" t="str">
            <v>PAYUSBL</v>
          </cell>
          <cell r="I13833" t="str">
            <v>PAYMENT THANK YOU</v>
          </cell>
        </row>
        <row r="13834">
          <cell r="H13834" t="str">
            <v>GWRES</v>
          </cell>
          <cell r="I13834" t="str">
            <v>GREENWASTE SERVICE - RES</v>
          </cell>
        </row>
        <row r="13835">
          <cell r="H13835" t="str">
            <v>S45G1W1</v>
          </cell>
          <cell r="I13835" t="str">
            <v>45 GL 1X WK 1</v>
          </cell>
        </row>
        <row r="13836">
          <cell r="H13836" t="str">
            <v>S45G1W2</v>
          </cell>
          <cell r="I13836" t="str">
            <v>45 GL 1X WK 2</v>
          </cell>
        </row>
        <row r="13837">
          <cell r="H13837" t="str">
            <v>S45GEO1</v>
          </cell>
          <cell r="I13837" t="str">
            <v>45 GL EOW 1</v>
          </cell>
        </row>
        <row r="13838">
          <cell r="H13838" t="str">
            <v>SL065.0G1W001WREC</v>
          </cell>
          <cell r="I13838" t="str">
            <v>65 GL 1X WK W/RECY 1</v>
          </cell>
        </row>
        <row r="13839">
          <cell r="H13839" t="str">
            <v>SL095.0G1W001WREC</v>
          </cell>
          <cell r="I13839" t="str">
            <v>95 GL 1X WK W/RECY 1</v>
          </cell>
        </row>
        <row r="13840">
          <cell r="H13840" t="str">
            <v>BULKY-RES</v>
          </cell>
          <cell r="I13840" t="str">
            <v>BULKY ITEM PICK UP - RES</v>
          </cell>
        </row>
        <row r="13841">
          <cell r="H13841" t="str">
            <v>EXTRA-RES</v>
          </cell>
          <cell r="I13841" t="str">
            <v>EXTRA CAN, BAG, BOX - RES</v>
          </cell>
        </row>
        <row r="13842">
          <cell r="H13842" t="str">
            <v>EXTRAGWC-RES</v>
          </cell>
          <cell r="I13842" t="str">
            <v>EXTRA GREENWASTE FEE - RE</v>
          </cell>
        </row>
        <row r="13843">
          <cell r="H13843" t="str">
            <v>GWRES</v>
          </cell>
          <cell r="I13843" t="str">
            <v>GREENWASTE SERVICE - RES</v>
          </cell>
        </row>
        <row r="13844">
          <cell r="H13844" t="str">
            <v>OW-RES</v>
          </cell>
          <cell r="I13844" t="str">
            <v>OVERFILL / OVERWEIGHT CAN</v>
          </cell>
        </row>
        <row r="13845">
          <cell r="H13845" t="str">
            <v>REDEL-RES</v>
          </cell>
          <cell r="I13845" t="str">
            <v>REDELIVER FEE - RES</v>
          </cell>
        </row>
        <row r="13846">
          <cell r="H13846" t="str">
            <v>REINSTATE-RES</v>
          </cell>
          <cell r="I13846" t="str">
            <v>REINSTATE FEE - RES</v>
          </cell>
        </row>
        <row r="13847">
          <cell r="H13847" t="str">
            <v>EMPLOYEER</v>
          </cell>
          <cell r="I13847" t="str">
            <v>EMPLOYEE SERVICE RES</v>
          </cell>
        </row>
        <row r="13848">
          <cell r="H13848" t="str">
            <v>GWRES</v>
          </cell>
          <cell r="I13848" t="str">
            <v>GREENWASTE SERVICE - RES</v>
          </cell>
        </row>
        <row r="13849">
          <cell r="H13849" t="str">
            <v>RECBINONLYR</v>
          </cell>
          <cell r="I13849" t="str">
            <v>RECYCLE SERVICE ONLY</v>
          </cell>
        </row>
        <row r="13850">
          <cell r="H13850" t="str">
            <v>S45G1W1</v>
          </cell>
          <cell r="I13850" t="str">
            <v>45 GL 1X WK 1</v>
          </cell>
        </row>
        <row r="13851">
          <cell r="H13851" t="str">
            <v>S45G1W2</v>
          </cell>
          <cell r="I13851" t="str">
            <v>45 GL 1X WK 2</v>
          </cell>
        </row>
        <row r="13852">
          <cell r="H13852" t="str">
            <v>S45G1W3</v>
          </cell>
          <cell r="I13852" t="str">
            <v>45 GL 1X WK 3</v>
          </cell>
        </row>
        <row r="13853">
          <cell r="H13853" t="str">
            <v>S45GEO1</v>
          </cell>
          <cell r="I13853" t="str">
            <v>45 GL EOW 1</v>
          </cell>
        </row>
        <row r="13854">
          <cell r="H13854" t="str">
            <v>SL020.0G1W001</v>
          </cell>
          <cell r="I13854" t="str">
            <v>20 GL 1X WK 1</v>
          </cell>
        </row>
        <row r="13855">
          <cell r="H13855" t="str">
            <v>SL065.0G1W001WREC</v>
          </cell>
          <cell r="I13855" t="str">
            <v>65 GL 1X WK W/RECY 1</v>
          </cell>
        </row>
        <row r="13856">
          <cell r="H13856" t="str">
            <v>SL095.0G1W001WREC</v>
          </cell>
          <cell r="I13856" t="str">
            <v>95 GL 1X WK W/RECY 1</v>
          </cell>
        </row>
        <row r="13857">
          <cell r="H13857" t="str">
            <v>EXTRA-RES</v>
          </cell>
          <cell r="I13857" t="str">
            <v>EXTRA CAN, BAG, BOX - RES</v>
          </cell>
        </row>
        <row r="13858">
          <cell r="H13858" t="str">
            <v>OW-RES</v>
          </cell>
          <cell r="I13858" t="str">
            <v>OVERFILL / OVERWEIGHT CAN</v>
          </cell>
        </row>
        <row r="13859">
          <cell r="H13859" t="str">
            <v>RTRNCART65-RES</v>
          </cell>
          <cell r="I13859" t="str">
            <v>RETURN TRIP 65 GL - RES</v>
          </cell>
        </row>
        <row r="13860">
          <cell r="H13860" t="str">
            <v>RTRNCART95-RES</v>
          </cell>
          <cell r="I13860" t="str">
            <v>RETURN TRIP 95 GL - RES</v>
          </cell>
        </row>
        <row r="13861">
          <cell r="H13861" t="str">
            <v>S45G1W1</v>
          </cell>
          <cell r="I13861" t="str">
            <v>45 GL 1X WK 1</v>
          </cell>
        </row>
        <row r="13862">
          <cell r="H13862" t="str">
            <v>OW-RES</v>
          </cell>
          <cell r="I13862" t="str">
            <v>OVERFILL / OVERWEIGHT CAN</v>
          </cell>
        </row>
        <row r="13863">
          <cell r="H13863" t="str">
            <v>LIDRO</v>
          </cell>
          <cell r="I13863" t="str">
            <v>LID CHARGE - RO</v>
          </cell>
        </row>
        <row r="13864">
          <cell r="H13864" t="str">
            <v>RENT30MO-RO</v>
          </cell>
          <cell r="I13864" t="str">
            <v>RENTAL FEE 30 YD MONTHLY</v>
          </cell>
        </row>
        <row r="13865">
          <cell r="H13865" t="str">
            <v>RENT40MO-RO</v>
          </cell>
          <cell r="I13865" t="str">
            <v>RENTAL FEE 40 YD MONTHLY</v>
          </cell>
        </row>
        <row r="13866">
          <cell r="H13866" t="str">
            <v>CLEAN25-RO</v>
          </cell>
          <cell r="I13866" t="str">
            <v>CLEANING FEE 25 YD - RO</v>
          </cell>
        </row>
        <row r="13867">
          <cell r="H13867" t="str">
            <v>DEL40TEMP-RO</v>
          </cell>
          <cell r="I13867" t="str">
            <v>DELIVERY FEE 40 YD TEMP -</v>
          </cell>
        </row>
        <row r="13868">
          <cell r="H13868" t="str">
            <v>DISCO-CP</v>
          </cell>
          <cell r="I13868" t="str">
            <v xml:space="preserve">COMPACTOR DISCONNECT FEE </v>
          </cell>
        </row>
        <row r="13869">
          <cell r="H13869" t="str">
            <v>DISP-RO</v>
          </cell>
          <cell r="I13869" t="str">
            <v>DISPOSAL CHARGE - RO</v>
          </cell>
        </row>
        <row r="13870">
          <cell r="H13870" t="str">
            <v>DISPMETAL-RO</v>
          </cell>
          <cell r="I13870" t="str">
            <v>DISPOSAL FEE METAL - RO</v>
          </cell>
        </row>
        <row r="13871">
          <cell r="H13871" t="str">
            <v>DISPTRANS-RO</v>
          </cell>
          <cell r="I13871" t="str">
            <v>DISPOSAL FEE TRANSFER HAU</v>
          </cell>
        </row>
        <row r="13872">
          <cell r="H13872" t="str">
            <v>FINAL40TEMP-RO</v>
          </cell>
          <cell r="I13872" t="str">
            <v>FINAL PULL 40 YD TEMP - R</v>
          </cell>
        </row>
        <row r="13873">
          <cell r="H13873" t="str">
            <v>HAUL25-CP</v>
          </cell>
          <cell r="I13873" t="str">
            <v>COMPACTOR HAUL 25 YD - RO</v>
          </cell>
        </row>
        <row r="13874">
          <cell r="H13874" t="str">
            <v>HAUL30-RO</v>
          </cell>
          <cell r="I13874" t="str">
            <v>HAUL 30 YD - RO</v>
          </cell>
        </row>
        <row r="13875">
          <cell r="H13875" t="str">
            <v>HAUL40-CP</v>
          </cell>
          <cell r="I13875" t="str">
            <v>COMPACTOR HAUL 40 YD</v>
          </cell>
        </row>
        <row r="13876">
          <cell r="H13876" t="str">
            <v>HAUL40-RO</v>
          </cell>
          <cell r="I13876" t="str">
            <v>HAUL 40 YD - RO</v>
          </cell>
        </row>
        <row r="13877">
          <cell r="H13877" t="str">
            <v>HAUL40TEMP-RO</v>
          </cell>
          <cell r="I13877" t="str">
            <v>HAUL 40 YD TEMP - RO</v>
          </cell>
        </row>
        <row r="13878">
          <cell r="H13878" t="str">
            <v>MILE-RO</v>
          </cell>
          <cell r="I13878" t="str">
            <v>MILEAGE FEE - RO</v>
          </cell>
        </row>
        <row r="13879">
          <cell r="H13879" t="str">
            <v>RENT40TEMP-RO</v>
          </cell>
          <cell r="I13879" t="str">
            <v>RENTAL FEE 40 YD TEMP - R</v>
          </cell>
        </row>
        <row r="13880">
          <cell r="H13880" t="str">
            <v>DISPGLASS-RO</v>
          </cell>
          <cell r="I13880" t="str">
            <v>DISPOSAL FEE GLASS - RO</v>
          </cell>
        </row>
        <row r="13881">
          <cell r="H13881" t="str">
            <v>DISPOCC-RO</v>
          </cell>
          <cell r="I13881" t="str">
            <v xml:space="preserve">DISPOSAL FEE CARDBOARD - </v>
          </cell>
        </row>
        <row r="13882">
          <cell r="H13882" t="str">
            <v>HAUL30-RO</v>
          </cell>
          <cell r="I13882" t="str">
            <v>HAUL 30 YD - RO</v>
          </cell>
        </row>
        <row r="13883">
          <cell r="H13883" t="str">
            <v>COMMODITY SURCHARGE</v>
          </cell>
          <cell r="I13883" t="str">
            <v>COMMODITY SURCHARGE</v>
          </cell>
        </row>
        <row r="13884">
          <cell r="H13884" t="str">
            <v>COMMODITY SURCHARGE</v>
          </cell>
          <cell r="I13884" t="str">
            <v>COMMODITY SURCHARGE</v>
          </cell>
        </row>
        <row r="13885">
          <cell r="H13885" t="str">
            <v>DUPONT CITY UTILITY TAX</v>
          </cell>
          <cell r="I13885" t="str">
            <v>8% CITY UTILITY TAX</v>
          </cell>
        </row>
        <row r="13886">
          <cell r="H13886" t="str">
            <v>DUPONT REFUSE TAX</v>
          </cell>
          <cell r="I13886" t="str">
            <v>3.6% WA STATE REFUSE TAX</v>
          </cell>
        </row>
        <row r="13887">
          <cell r="H13887" t="str">
            <v>DUPONT CITY ONLY</v>
          </cell>
          <cell r="I13887" t="str">
            <v>8% CITY UTILITY TAX</v>
          </cell>
        </row>
        <row r="13888">
          <cell r="H13888" t="str">
            <v>DUPONT CITY UTILITY TAX</v>
          </cell>
          <cell r="I13888" t="str">
            <v>8% CITY UTILITY TAX</v>
          </cell>
        </row>
        <row r="13889">
          <cell r="H13889" t="str">
            <v>DUPONT REFUSE TAX</v>
          </cell>
          <cell r="I13889" t="str">
            <v>3.6% WA STATE REFUSE TAX</v>
          </cell>
        </row>
        <row r="13890">
          <cell r="H13890" t="str">
            <v>DUPONT CITY UTILITY TAX</v>
          </cell>
          <cell r="I13890" t="str">
            <v>8% CITY UTILITY TAX</v>
          </cell>
        </row>
        <row r="13891">
          <cell r="H13891" t="str">
            <v>DUPONT REFUSE TAX</v>
          </cell>
          <cell r="I13891" t="str">
            <v>3.6% WA STATE REFUSE TAX</v>
          </cell>
        </row>
        <row r="13892">
          <cell r="H13892" t="str">
            <v>DUPONT STATE SALES TAX</v>
          </cell>
          <cell r="I13892" t="str">
            <v>9.3% WA STATE SALES TAX</v>
          </cell>
        </row>
        <row r="13893">
          <cell r="H13893" t="str">
            <v>DUPONT CITY UTILITY TAX</v>
          </cell>
          <cell r="I13893" t="str">
            <v>8% CITY UTILITY TAX</v>
          </cell>
        </row>
        <row r="13894">
          <cell r="H13894" t="str">
            <v>DUPONT REFUSE TAX</v>
          </cell>
          <cell r="I13894" t="str">
            <v>3.6% WA STATE REFUSE TAX</v>
          </cell>
        </row>
        <row r="13895">
          <cell r="H13895" t="str">
            <v>DUPONT CITY ONLY</v>
          </cell>
          <cell r="I13895" t="str">
            <v>8% CITY UTILITY TAX</v>
          </cell>
        </row>
        <row r="13896">
          <cell r="H13896" t="str">
            <v>DUPONT CITY UTILITY TAX</v>
          </cell>
          <cell r="I13896" t="str">
            <v>8% CITY UTILITY TAX</v>
          </cell>
        </row>
        <row r="13897">
          <cell r="H13897" t="str">
            <v>DUPONT REFUSE TAX</v>
          </cell>
          <cell r="I13897" t="str">
            <v>3.6% WA STATE REFUSE TAX</v>
          </cell>
        </row>
        <row r="13898">
          <cell r="H13898" t="str">
            <v>DUPONT CITY ONLY</v>
          </cell>
          <cell r="I13898" t="str">
            <v>8% CITY UTILITY TAX</v>
          </cell>
        </row>
        <row r="13899">
          <cell r="H13899" t="str">
            <v>DUPONT CITY UTILITY TAX</v>
          </cell>
          <cell r="I13899" t="str">
            <v>8% CITY UTILITY TAX</v>
          </cell>
        </row>
        <row r="13900">
          <cell r="H13900" t="str">
            <v>DUPONT REFUSE TAX</v>
          </cell>
          <cell r="I13900" t="str">
            <v>3.6% WA STATE REFUSE TAX</v>
          </cell>
        </row>
        <row r="13901">
          <cell r="H13901" t="str">
            <v>DUPONT STATE SALES TAX</v>
          </cell>
          <cell r="I13901" t="str">
            <v>9.3% WA STATE SALES TAX</v>
          </cell>
        </row>
        <row r="13902">
          <cell r="H13902" t="str">
            <v>DUPONT CITY UTILITY TAX</v>
          </cell>
          <cell r="I13902" t="str">
            <v>8% CITY UTILITY TAX</v>
          </cell>
        </row>
        <row r="13903">
          <cell r="H13903" t="str">
            <v>DUPONT REFUSE TAX</v>
          </cell>
          <cell r="I13903" t="str">
            <v>3.6% WA STATE REFUSE TAX</v>
          </cell>
        </row>
        <row r="13904">
          <cell r="H13904" t="str">
            <v>FINCHG</v>
          </cell>
          <cell r="I13904" t="str">
            <v>LATE FEE</v>
          </cell>
        </row>
        <row r="13905">
          <cell r="H13905" t="str">
            <v>ACCESS-COMM</v>
          </cell>
          <cell r="I13905" t="str">
            <v>ACCESS FEE - COMM</v>
          </cell>
        </row>
        <row r="13906">
          <cell r="H13906" t="str">
            <v>DONATIONC</v>
          </cell>
          <cell r="I13906" t="str">
            <v>DONATED SERVICE COMM</v>
          </cell>
        </row>
        <row r="13907">
          <cell r="H13907" t="str">
            <v>FL001.0Y1W001</v>
          </cell>
          <cell r="I13907" t="str">
            <v>1 YD 1X WK 1</v>
          </cell>
        </row>
        <row r="13908">
          <cell r="H13908" t="str">
            <v>FL001.0Y2W001</v>
          </cell>
          <cell r="I13908" t="str">
            <v>1 YD 2X WK 1</v>
          </cell>
        </row>
        <row r="13909">
          <cell r="H13909" t="str">
            <v>FL001.5Y1W001</v>
          </cell>
          <cell r="I13909" t="str">
            <v>1.5 YD 1X WK 1</v>
          </cell>
        </row>
        <row r="13910">
          <cell r="H13910" t="str">
            <v>FL001.5Y2W001</v>
          </cell>
          <cell r="I13910" t="str">
            <v>1.5 YD 2X WK 1</v>
          </cell>
        </row>
        <row r="13911">
          <cell r="H13911" t="str">
            <v>FL002.0Y1W001</v>
          </cell>
          <cell r="I13911" t="str">
            <v>2 YD 1X WK 1</v>
          </cell>
        </row>
        <row r="13912">
          <cell r="H13912" t="str">
            <v>FL002.0Y2W001</v>
          </cell>
          <cell r="I13912" t="str">
            <v>2 YD 2X WK 1</v>
          </cell>
        </row>
        <row r="13913">
          <cell r="H13913" t="str">
            <v>GWCOMM</v>
          </cell>
          <cell r="I13913" t="str">
            <v>GREENWASTE SERVICE - COMM</v>
          </cell>
        </row>
        <row r="13914">
          <cell r="H13914" t="str">
            <v>RENT2TEMP-COMM</v>
          </cell>
          <cell r="I13914" t="str">
            <v>RENT 2 YD TEMP - COMM</v>
          </cell>
        </row>
        <row r="13915">
          <cell r="H13915" t="str">
            <v>RL001.0Y1W001</v>
          </cell>
          <cell r="I13915" t="str">
            <v>1 YD 1X WK 1</v>
          </cell>
        </row>
        <row r="13916">
          <cell r="H13916" t="str">
            <v>RL002.0Y1W001</v>
          </cell>
          <cell r="I13916" t="str">
            <v>2 YD 1X WK 1</v>
          </cell>
        </row>
        <row r="13917">
          <cell r="H13917" t="str">
            <v>SL035.0G1M001WRECC</v>
          </cell>
          <cell r="I13917" t="str">
            <v>35 GL 1X MO W/RECY COMM 1</v>
          </cell>
        </row>
        <row r="13918">
          <cell r="H13918" t="str">
            <v>SL065.0G1M001WRECC</v>
          </cell>
          <cell r="I13918" t="str">
            <v>65 GL 1X MO W/RECY COMM 1</v>
          </cell>
        </row>
        <row r="13919">
          <cell r="H13919" t="str">
            <v>SL065.0G1W001WRECC</v>
          </cell>
          <cell r="I13919" t="str">
            <v>65 GL 1X WK W/RECY COMM 1</v>
          </cell>
        </row>
        <row r="13920">
          <cell r="H13920" t="str">
            <v>SL065.0GEO001WRECC</v>
          </cell>
          <cell r="I13920" t="str">
            <v>65 GL EOW W/RECY COMM 1</v>
          </cell>
        </row>
        <row r="13921">
          <cell r="H13921" t="str">
            <v>SL095.0G1W001NORECC</v>
          </cell>
          <cell r="I13921" t="str">
            <v xml:space="preserve">95 GL 1X WK NO RECY COMM </v>
          </cell>
        </row>
        <row r="13922">
          <cell r="H13922" t="str">
            <v>SL095.0G1W001WRECC</v>
          </cell>
          <cell r="I13922" t="str">
            <v>95 GL 1X WK W/RECY COMM 1</v>
          </cell>
        </row>
        <row r="13923">
          <cell r="H13923" t="str">
            <v>SL095.0GEO001WRECC</v>
          </cell>
          <cell r="I13923" t="str">
            <v>95 GL EOW W/RECY COMM 1</v>
          </cell>
        </row>
        <row r="13924">
          <cell r="H13924" t="str">
            <v>DEL2TEMP-COMM</v>
          </cell>
          <cell r="I13924" t="str">
            <v xml:space="preserve">DELIVERY FEE 2 YD TEMP - </v>
          </cell>
        </row>
        <row r="13925">
          <cell r="H13925" t="str">
            <v>EXTRA-COMM</v>
          </cell>
          <cell r="I13925" t="str">
            <v>EXTRA CAN, BAG, BOX - COM</v>
          </cell>
        </row>
        <row r="13926">
          <cell r="H13926" t="str">
            <v>RENT2TEMP-COMM</v>
          </cell>
          <cell r="I13926" t="str">
            <v>RENT 2 YD TEMP - COMM</v>
          </cell>
        </row>
        <row r="13927">
          <cell r="H13927" t="str">
            <v>ACCESSCREC-COMM</v>
          </cell>
          <cell r="I13927" t="str">
            <v>ACCESS FEE COMM RECY - CO</v>
          </cell>
        </row>
        <row r="13928">
          <cell r="H13928" t="str">
            <v>FL002.0Y1W001BCMGL</v>
          </cell>
          <cell r="I13928" t="str">
            <v>2 YD 1X WK BUS CMGL 1</v>
          </cell>
        </row>
        <row r="13929">
          <cell r="H13929" t="str">
            <v>FL002.0Y1W001BOCC</v>
          </cell>
          <cell r="I13929" t="str">
            <v>2 YD 1X WK BUS OCC 1</v>
          </cell>
        </row>
        <row r="13930">
          <cell r="H13930" t="str">
            <v>FL002.0Y2W001SCMGL</v>
          </cell>
          <cell r="I13930" t="str">
            <v>2 YD 2X WK SCHL CMGL 1</v>
          </cell>
        </row>
        <row r="13931">
          <cell r="H13931" t="str">
            <v>FL005.0Y1W001BOCC</v>
          </cell>
          <cell r="I13931" t="str">
            <v>5 YD 1X WK BUS OCC 1</v>
          </cell>
        </row>
        <row r="13932">
          <cell r="H13932" t="str">
            <v>FL006.0Y1W001SCMGL</v>
          </cell>
          <cell r="I13932" t="str">
            <v>6 YD 1X WK SCHL CMGL 1</v>
          </cell>
        </row>
        <row r="13933">
          <cell r="H13933" t="str">
            <v>SL096.0GEO001BCMGLIN</v>
          </cell>
          <cell r="I13933" t="str">
            <v>96 GL EOW BUS CMGL IN</v>
          </cell>
        </row>
        <row r="13934">
          <cell r="H13934" t="str">
            <v>SL096.0GEO001BCMGLOUT</v>
          </cell>
          <cell r="I13934" t="str">
            <v>96 GL EOW BUS CMGL OUT</v>
          </cell>
        </row>
        <row r="13935">
          <cell r="H13935" t="str">
            <v>SL096.0GEO001SCMGLOUT</v>
          </cell>
          <cell r="I13935" t="str">
            <v>96 GL EOW SCHL CMGL OUT</v>
          </cell>
        </row>
        <row r="13936">
          <cell r="H13936" t="str">
            <v>CC-KOL</v>
          </cell>
          <cell r="I13936" t="str">
            <v>ONLINE PAYMENT-CC</v>
          </cell>
        </row>
        <row r="13937">
          <cell r="H13937" t="str">
            <v>PAYPNCL</v>
          </cell>
          <cell r="I13937" t="str">
            <v>PAYMENT THANK YOU!</v>
          </cell>
        </row>
        <row r="13938">
          <cell r="H13938" t="str">
            <v>GWRES</v>
          </cell>
          <cell r="I13938" t="str">
            <v>GREENWASTE SERVICE - RES</v>
          </cell>
        </row>
        <row r="13939">
          <cell r="H13939" t="str">
            <v>RECBINONLYR</v>
          </cell>
          <cell r="I13939" t="str">
            <v>RECYCLE SERVICE ONLY</v>
          </cell>
        </row>
        <row r="13940">
          <cell r="H13940" t="str">
            <v>SL035.0G1M001WREC</v>
          </cell>
          <cell r="I13940" t="str">
            <v>35 GL 1X MO W/RECY 1</v>
          </cell>
        </row>
        <row r="13941">
          <cell r="H13941" t="str">
            <v>SL065.0G1M001NOREC</v>
          </cell>
          <cell r="I13941" t="str">
            <v>65 GL 1X MO NO RECY 1</v>
          </cell>
        </row>
        <row r="13942">
          <cell r="H13942" t="str">
            <v>SL065.0G1M001WREC</v>
          </cell>
          <cell r="I13942" t="str">
            <v>65 GL 1X MO W/RECY 1</v>
          </cell>
        </row>
        <row r="13943">
          <cell r="H13943" t="str">
            <v>SL065.0G1W001WREC</v>
          </cell>
          <cell r="I13943" t="str">
            <v>65 GL 1X WK W/RECY 1</v>
          </cell>
        </row>
        <row r="13944">
          <cell r="H13944" t="str">
            <v>SL065.0GEO001</v>
          </cell>
          <cell r="I13944" t="str">
            <v>65 GL EOW 1</v>
          </cell>
        </row>
        <row r="13945">
          <cell r="H13945" t="str">
            <v>SL065.0GEO001WREC</v>
          </cell>
          <cell r="I13945" t="str">
            <v>65 GL EOW W/RECY 1</v>
          </cell>
        </row>
        <row r="13946">
          <cell r="H13946" t="str">
            <v>SL095.0G1W001WREC</v>
          </cell>
          <cell r="I13946" t="str">
            <v>95 GL 1X WK W/RECY 1</v>
          </cell>
        </row>
        <row r="13947">
          <cell r="H13947" t="str">
            <v>SL095.0GEO001</v>
          </cell>
          <cell r="I13947" t="str">
            <v>95 GL EOW 1</v>
          </cell>
        </row>
        <row r="13948">
          <cell r="H13948" t="str">
            <v>SL095.0GEO001WREC</v>
          </cell>
          <cell r="I13948" t="str">
            <v>95 GL EOW W/RECY 1</v>
          </cell>
        </row>
        <row r="13949">
          <cell r="H13949" t="str">
            <v>EXTRA-RES</v>
          </cell>
          <cell r="I13949" t="str">
            <v>EXTRA CAN, BAG, BOX - RES</v>
          </cell>
        </row>
        <row r="13950">
          <cell r="H13950" t="str">
            <v>EXTRA95-RES</v>
          </cell>
          <cell r="I13950" t="str">
            <v>EXTRA 95 GL RES</v>
          </cell>
        </row>
        <row r="13951">
          <cell r="H13951" t="str">
            <v>OS-RES</v>
          </cell>
          <cell r="I13951" t="str">
            <v>OVERSIZE CAN - RES</v>
          </cell>
        </row>
        <row r="13952">
          <cell r="H13952" t="str">
            <v>DONATIONRO</v>
          </cell>
          <cell r="I13952" t="str">
            <v>DONATED SERVICE ROLL OFF</v>
          </cell>
        </row>
        <row r="13953">
          <cell r="H13953" t="str">
            <v>LIDRO</v>
          </cell>
          <cell r="I13953" t="str">
            <v>LID CHARGE - RO</v>
          </cell>
        </row>
        <row r="13954">
          <cell r="H13954" t="str">
            <v>RENT20MO-RO</v>
          </cell>
          <cell r="I13954" t="str">
            <v>RENTAL FEE 20 YD MONTHLY</v>
          </cell>
        </row>
        <row r="13955">
          <cell r="H13955" t="str">
            <v>RENT30MO-RO</v>
          </cell>
          <cell r="I13955" t="str">
            <v>RENTAL FEE 30 YD MONTHLY</v>
          </cell>
        </row>
        <row r="13956">
          <cell r="H13956" t="str">
            <v>DISCO-CP</v>
          </cell>
          <cell r="I13956" t="str">
            <v xml:space="preserve">COMPACTOR DISCONNECT FEE </v>
          </cell>
        </row>
        <row r="13957">
          <cell r="H13957" t="str">
            <v>DISP-RO</v>
          </cell>
          <cell r="I13957" t="str">
            <v>DISPOSAL CHARGE - RO</v>
          </cell>
        </row>
        <row r="13958">
          <cell r="H13958" t="str">
            <v>DISPOCC-RO</v>
          </cell>
          <cell r="I13958" t="str">
            <v xml:space="preserve">DISPOSAL FEE CARDBOARD - </v>
          </cell>
        </row>
        <row r="13959">
          <cell r="H13959" t="str">
            <v>HAUL20-RO</v>
          </cell>
          <cell r="I13959" t="str">
            <v>HAUL 20 YD - RO</v>
          </cell>
        </row>
        <row r="13960">
          <cell r="H13960" t="str">
            <v>HAUL30-CP</v>
          </cell>
          <cell r="I13960" t="str">
            <v>COMPACTOR HAUL 30 YD</v>
          </cell>
        </row>
        <row r="13961">
          <cell r="H13961" t="str">
            <v>HAUL30-RO</v>
          </cell>
          <cell r="I13961" t="str">
            <v>HAUL 30 YD - RO</v>
          </cell>
        </row>
        <row r="13962">
          <cell r="H13962" t="str">
            <v>MILE-RO</v>
          </cell>
          <cell r="I13962" t="str">
            <v>MILEAGE FEE - RO</v>
          </cell>
        </row>
        <row r="13963">
          <cell r="H13963" t="str">
            <v>COMMODITY SURCHARGE</v>
          </cell>
          <cell r="I13963" t="str">
            <v>COMMODITY SURCHARGE</v>
          </cell>
        </row>
        <row r="13964">
          <cell r="H13964" t="str">
            <v>PIERCE COUNTY REFUSE TAX</v>
          </cell>
          <cell r="I13964" t="str">
            <v>3.6% PIERCE COUNTY REFUSE</v>
          </cell>
        </row>
        <row r="13965">
          <cell r="H13965" t="str">
            <v>PIERCE COUNTY SALES TAX</v>
          </cell>
          <cell r="I13965" t="str">
            <v>7.9% WA STATE SALES TAX</v>
          </cell>
        </row>
        <row r="13966">
          <cell r="H13966" t="str">
            <v>PIERCE COUNTY REFUSE TAX</v>
          </cell>
          <cell r="I13966" t="str">
            <v>3.6% PIERCE COUNTY REFUSE</v>
          </cell>
        </row>
        <row r="13967">
          <cell r="H13967" t="str">
            <v>PIERCE COUNTY SALES TAX</v>
          </cell>
          <cell r="I13967" t="str">
            <v>7.9% WA STATE SALES TAX</v>
          </cell>
        </row>
        <row r="13968">
          <cell r="H13968" t="str">
            <v>FINCHG</v>
          </cell>
          <cell r="I13968" t="str">
            <v>LATE FEE</v>
          </cell>
        </row>
        <row r="13969">
          <cell r="H13969" t="str">
            <v>MM</v>
          </cell>
          <cell r="I13969" t="str">
            <v>ADJUST BALANCE (MM)</v>
          </cell>
        </row>
        <row r="13970">
          <cell r="H13970" t="str">
            <v>MM</v>
          </cell>
          <cell r="I13970" t="str">
            <v>ADJUST BALANCE (MM)</v>
          </cell>
        </row>
        <row r="13971">
          <cell r="H13971" t="str">
            <v>REFUND</v>
          </cell>
          <cell r="I13971" t="str">
            <v>REFUND</v>
          </cell>
        </row>
        <row r="13972">
          <cell r="H13972" t="str">
            <v>ACCESS-COMM</v>
          </cell>
          <cell r="I13972" t="str">
            <v>ACCESS FEE - COMM</v>
          </cell>
        </row>
        <row r="13973">
          <cell r="H13973" t="str">
            <v>FL001.0Y1W001</v>
          </cell>
          <cell r="I13973" t="str">
            <v>1 YD 1X WK 1</v>
          </cell>
        </row>
        <row r="13974">
          <cell r="H13974" t="str">
            <v>FL001.5Y1W001</v>
          </cell>
          <cell r="I13974" t="str">
            <v>1.5 YD 1X WK 1</v>
          </cell>
        </row>
        <row r="13975">
          <cell r="H13975" t="str">
            <v>FL001.5Y2W001</v>
          </cell>
          <cell r="I13975" t="str">
            <v>1.5 YD 2X WK 1</v>
          </cell>
        </row>
        <row r="13976">
          <cell r="H13976" t="str">
            <v>FL001.5Y3W001</v>
          </cell>
          <cell r="I13976" t="str">
            <v>1.5 YD 3X WK 1</v>
          </cell>
        </row>
        <row r="13977">
          <cell r="H13977" t="str">
            <v>FL001.5Y4W001</v>
          </cell>
          <cell r="I13977" t="str">
            <v>1.5 YD 4X WK 1</v>
          </cell>
        </row>
        <row r="13978">
          <cell r="H13978" t="str">
            <v>FL001.5Y5W001</v>
          </cell>
          <cell r="I13978" t="str">
            <v>1.5 YD 5X WK 1</v>
          </cell>
        </row>
        <row r="13979">
          <cell r="H13979" t="str">
            <v>FL002.0Y1W001</v>
          </cell>
          <cell r="I13979" t="str">
            <v>2 YD 1X WK 1</v>
          </cell>
        </row>
        <row r="13980">
          <cell r="H13980" t="str">
            <v>FL002.0Y3W001</v>
          </cell>
          <cell r="I13980" t="str">
            <v>2 YD 3X WK 1</v>
          </cell>
        </row>
        <row r="13981">
          <cell r="H13981" t="str">
            <v>FL002.0Y5W001</v>
          </cell>
          <cell r="I13981" t="str">
            <v>2 YD 5X WK 1</v>
          </cell>
        </row>
        <row r="13982">
          <cell r="H13982" t="str">
            <v>FL003.0Y1W001</v>
          </cell>
          <cell r="I13982" t="str">
            <v>3 YD 1X WK 1</v>
          </cell>
        </row>
        <row r="13983">
          <cell r="H13983" t="str">
            <v>FL003.0Y2W001</v>
          </cell>
          <cell r="I13983" t="str">
            <v>3 YD 2X WK 1</v>
          </cell>
        </row>
        <row r="13984">
          <cell r="H13984" t="str">
            <v>FL004.0Y1W001</v>
          </cell>
          <cell r="I13984" t="str">
            <v>4 YD 1X WK 1</v>
          </cell>
        </row>
        <row r="13985">
          <cell r="H13985" t="str">
            <v>FL006.0Y1W001</v>
          </cell>
          <cell r="I13985" t="str">
            <v>6 YD 1X WK 1</v>
          </cell>
        </row>
        <row r="13986">
          <cell r="H13986" t="str">
            <v>FL006.0Y2W001</v>
          </cell>
          <cell r="I13986" t="str">
            <v>6 YD 2X WK 1</v>
          </cell>
        </row>
        <row r="13987">
          <cell r="H13987" t="str">
            <v>FL006.0Y3W001</v>
          </cell>
          <cell r="I13987" t="str">
            <v>6 YD 3X WK 1</v>
          </cell>
        </row>
        <row r="13988">
          <cell r="H13988" t="str">
            <v>SL065.0G1W001NORECC</v>
          </cell>
          <cell r="I13988" t="str">
            <v xml:space="preserve">65 GL 1X WK NO RECY COMM </v>
          </cell>
        </row>
        <row r="13989">
          <cell r="H13989" t="str">
            <v>SL065.0G1W001WRECC</v>
          </cell>
          <cell r="I13989" t="str">
            <v>65 GL 1X WK W/RECY COMM 1</v>
          </cell>
        </row>
        <row r="13990">
          <cell r="H13990" t="str">
            <v>SL095.0G1W001NORECC</v>
          </cell>
          <cell r="I13990" t="str">
            <v xml:space="preserve">95 GL 1X WK NO RECY COMM </v>
          </cell>
        </row>
        <row r="13991">
          <cell r="H13991" t="str">
            <v>ADJTAX-COMM</v>
          </cell>
          <cell r="I13991" t="str">
            <v>ADJUSTMENT TAX - COMM</v>
          </cell>
        </row>
        <row r="13992">
          <cell r="H13992" t="str">
            <v>CLEAN2-COMM</v>
          </cell>
          <cell r="I13992" t="str">
            <v>CLEANING FEE 2 YD - COMM</v>
          </cell>
        </row>
        <row r="13993">
          <cell r="H13993" t="str">
            <v>CLEAN4-COMM</v>
          </cell>
          <cell r="I13993" t="str">
            <v>CLEANING FEE 4 YD - COMM</v>
          </cell>
        </row>
        <row r="13994">
          <cell r="H13994" t="str">
            <v>DEL2TEMP-COMM</v>
          </cell>
          <cell r="I13994" t="str">
            <v xml:space="preserve">DELIVERY FEE 2 YD TEMP - </v>
          </cell>
        </row>
        <row r="13995">
          <cell r="H13995" t="str">
            <v>DEL4TEMP-COMM</v>
          </cell>
          <cell r="I13995" t="str">
            <v xml:space="preserve">DELIVERY FEE 4 YD TEMP - </v>
          </cell>
        </row>
        <row r="13996">
          <cell r="H13996" t="str">
            <v>EXTRA-COMM</v>
          </cell>
          <cell r="I13996" t="str">
            <v>EXTRA CAN, BAG, BOX - COM</v>
          </cell>
        </row>
        <row r="13997">
          <cell r="H13997" t="str">
            <v>FL002.0YXX001TEMPC</v>
          </cell>
          <cell r="I13997" t="str">
            <v xml:space="preserve">2 YD TEMP </v>
          </cell>
        </row>
        <row r="13998">
          <cell r="H13998" t="str">
            <v>FL004.0YXX001TEMPC</v>
          </cell>
          <cell r="I13998" t="str">
            <v>4 YD TEMP 1</v>
          </cell>
        </row>
        <row r="13999">
          <cell r="H13999" t="str">
            <v>RENT2TEMP-COMM</v>
          </cell>
          <cell r="I13999" t="str">
            <v>RENT 2 YD TEMP - COMM</v>
          </cell>
        </row>
        <row r="14000">
          <cell r="H14000" t="str">
            <v>RENT4TEMP-COMM</v>
          </cell>
          <cell r="I14000" t="str">
            <v>RENT 4 YD TEMP - COMM</v>
          </cell>
        </row>
        <row r="14001">
          <cell r="H14001" t="str">
            <v>FL002.0Y1W001BCMGL</v>
          </cell>
          <cell r="I14001" t="str">
            <v>2 YD 1X WK BUS CMGL 1</v>
          </cell>
        </row>
        <row r="14002">
          <cell r="H14002" t="str">
            <v>FL002.0Y1W001BOCC</v>
          </cell>
          <cell r="I14002" t="str">
            <v>2 YD 1X WK BUS OCC 1</v>
          </cell>
        </row>
        <row r="14003">
          <cell r="H14003" t="str">
            <v>FL002.0Y2W001BCMGL</v>
          </cell>
          <cell r="I14003" t="str">
            <v>2 YD 2X WK BUS CMGL 1</v>
          </cell>
        </row>
        <row r="14004">
          <cell r="H14004" t="str">
            <v>FL004.0Y1W001CMGL</v>
          </cell>
          <cell r="I14004" t="str">
            <v>4 YD 1X WK BUS CMGL 1</v>
          </cell>
        </row>
        <row r="14005">
          <cell r="H14005" t="str">
            <v>FL004.0Y2W001CMGL</v>
          </cell>
          <cell r="I14005" t="str">
            <v>4 YD 2X WK BUS CMGL 1</v>
          </cell>
        </row>
        <row r="14006">
          <cell r="H14006" t="str">
            <v>FL005.0Y1W001BOCC</v>
          </cell>
          <cell r="I14006" t="str">
            <v>5 YD 1X WK BUS OCC 1</v>
          </cell>
        </row>
        <row r="14007">
          <cell r="H14007" t="str">
            <v>FL005.0Y2W001BOCC</v>
          </cell>
          <cell r="I14007" t="str">
            <v>5 YD 2X WK BUS OCC 1</v>
          </cell>
        </row>
        <row r="14008">
          <cell r="H14008" t="str">
            <v>FL006.0Y1W001BCMGL</v>
          </cell>
          <cell r="I14008" t="str">
            <v>6 YD 1X WK BUS COMINGLE 1</v>
          </cell>
        </row>
        <row r="14009">
          <cell r="H14009" t="str">
            <v>SL096.0GEO001BCMGLOUT</v>
          </cell>
          <cell r="I14009" t="str">
            <v>96 GL EOW BUS CMGL OUT</v>
          </cell>
        </row>
        <row r="14010">
          <cell r="H14010" t="str">
            <v>CC-KOL</v>
          </cell>
          <cell r="I14010" t="str">
            <v>ONLINE PAYMENT-CC</v>
          </cell>
        </row>
        <row r="14011">
          <cell r="H14011" t="str">
            <v>PAY</v>
          </cell>
          <cell r="I14011" t="str">
            <v>PAYMENT THANK YOU</v>
          </cell>
        </row>
        <row r="14012">
          <cell r="H14012" t="str">
            <v>PAY-KOL</v>
          </cell>
          <cell r="I14012" t="str">
            <v>PAYMENT-THANK YOU - OL</v>
          </cell>
        </row>
        <row r="14013">
          <cell r="H14013" t="str">
            <v>PAY-NATL</v>
          </cell>
          <cell r="I14013" t="str">
            <v>PAYMENT THANK YOU</v>
          </cell>
        </row>
        <row r="14014">
          <cell r="H14014" t="str">
            <v>PAYEFT</v>
          </cell>
          <cell r="I14014" t="str">
            <v>EFT PAYMENT</v>
          </cell>
        </row>
        <row r="14015">
          <cell r="H14015" t="str">
            <v>PAYPNCL</v>
          </cell>
          <cell r="I14015" t="str">
            <v>PAYMENT THANK YOU!</v>
          </cell>
        </row>
        <row r="14016">
          <cell r="H14016" t="str">
            <v>PAYUSBL</v>
          </cell>
          <cell r="I14016" t="str">
            <v>PAYMENT THANK YOU</v>
          </cell>
        </row>
        <row r="14017">
          <cell r="H14017" t="str">
            <v>BULKY-RES</v>
          </cell>
          <cell r="I14017" t="str">
            <v>BULKY ITEM PICK UP - RES</v>
          </cell>
        </row>
        <row r="14018">
          <cell r="H14018" t="str">
            <v>OW-RES</v>
          </cell>
          <cell r="I14018" t="str">
            <v>OVERFILL / OVERWEIGHT CAN</v>
          </cell>
        </row>
        <row r="14019">
          <cell r="H14019" t="str">
            <v>LIDRO</v>
          </cell>
          <cell r="I14019" t="str">
            <v>LID CHARGE - RO</v>
          </cell>
        </row>
        <row r="14020">
          <cell r="H14020" t="str">
            <v>RENT20MO-RO</v>
          </cell>
          <cell r="I14020" t="str">
            <v>RENTAL FEE 20 YD MONTHLY</v>
          </cell>
        </row>
        <row r="14021">
          <cell r="H14021" t="str">
            <v>RENT30MO-RO</v>
          </cell>
          <cell r="I14021" t="str">
            <v>RENTAL FEE 30 YD MONTHLY</v>
          </cell>
        </row>
        <row r="14022">
          <cell r="H14022" t="str">
            <v>RENT40MO-RO</v>
          </cell>
          <cell r="I14022" t="str">
            <v>RENTAL FEE 40 YD MONTHLY</v>
          </cell>
        </row>
        <row r="14023">
          <cell r="H14023" t="str">
            <v>CLEAN20-RO</v>
          </cell>
          <cell r="I14023" t="str">
            <v>CLEANING FEE 20 YD - RO</v>
          </cell>
        </row>
        <row r="14024">
          <cell r="H14024" t="str">
            <v>DEL20-RO</v>
          </cell>
          <cell r="I14024" t="str">
            <v>DELIVERY FEE 20 YD - RO</v>
          </cell>
        </row>
        <row r="14025">
          <cell r="H14025" t="str">
            <v>DEL20TEMP-RO</v>
          </cell>
          <cell r="I14025" t="str">
            <v>DELIVERY FEE 20 YD TEMP -</v>
          </cell>
        </row>
        <row r="14026">
          <cell r="H14026" t="str">
            <v>DEL30-RO</v>
          </cell>
          <cell r="I14026" t="str">
            <v>DELIVERY FEE 30 YD - RO</v>
          </cell>
        </row>
        <row r="14027">
          <cell r="H14027" t="str">
            <v>DEL40-RO</v>
          </cell>
          <cell r="I14027" t="str">
            <v>DELIVERY FEE 40 YD - RO</v>
          </cell>
        </row>
        <row r="14028">
          <cell r="H14028" t="str">
            <v>DISCO-CP</v>
          </cell>
          <cell r="I14028" t="str">
            <v xml:space="preserve">COMPACTOR DISCONNECT FEE </v>
          </cell>
        </row>
        <row r="14029">
          <cell r="H14029" t="str">
            <v>DISPFEDMSW-RO</v>
          </cell>
          <cell r="I14029" t="str">
            <v xml:space="preserve">DISPOSAL FEE FEDERAL MSW </v>
          </cell>
        </row>
        <row r="14030">
          <cell r="H14030" t="str">
            <v>FINAL20-RO</v>
          </cell>
          <cell r="I14030" t="str">
            <v>FINAL PULL 20 YD - RO</v>
          </cell>
        </row>
        <row r="14031">
          <cell r="H14031" t="str">
            <v>FINAL30-RO</v>
          </cell>
          <cell r="I14031" t="str">
            <v>FINAL PULL 30 YD - RO</v>
          </cell>
        </row>
        <row r="14032">
          <cell r="H14032" t="str">
            <v>HAUL20-CP</v>
          </cell>
          <cell r="I14032" t="str">
            <v>COMPACTOR HAUL 20 YD - RO</v>
          </cell>
        </row>
        <row r="14033">
          <cell r="H14033" t="str">
            <v>HAUL20-RO</v>
          </cell>
          <cell r="I14033" t="str">
            <v>HAUL 20 YD - RO</v>
          </cell>
        </row>
        <row r="14034">
          <cell r="H14034" t="str">
            <v>HAUL30-RO</v>
          </cell>
          <cell r="I14034" t="str">
            <v>HAUL 30 YD - RO</v>
          </cell>
        </row>
        <row r="14035">
          <cell r="H14035" t="str">
            <v>MILE-RO</v>
          </cell>
          <cell r="I14035" t="str">
            <v>MILEAGE FEE - RO</v>
          </cell>
        </row>
        <row r="14036">
          <cell r="H14036" t="str">
            <v>RENT20TEMP-RO</v>
          </cell>
          <cell r="I14036" t="str">
            <v>RENTAL FEE 20 YD TEMP - R</v>
          </cell>
        </row>
        <row r="14037">
          <cell r="H14037" t="str">
            <v>RTRNTRIP-RO</v>
          </cell>
          <cell r="I14037" t="str">
            <v>RETURN TRIP FEE - RO</v>
          </cell>
        </row>
        <row r="14038">
          <cell r="H14038" t="str">
            <v>COMMODITY SURCHARGE</v>
          </cell>
          <cell r="I14038" t="str">
            <v>COMMODITY SURCHARGE</v>
          </cell>
        </row>
        <row r="14039">
          <cell r="H14039" t="str">
            <v>FT LEWIS REFUSE TAX</v>
          </cell>
          <cell r="I14039" t="str">
            <v>3.6% WA STATE REFUSE TAX</v>
          </cell>
        </row>
        <row r="14040">
          <cell r="H14040" t="str">
            <v>FT LEWIS STATE SALES TAX</v>
          </cell>
          <cell r="I14040" t="str">
            <v>9.3% WA STATE SALES TAX</v>
          </cell>
        </row>
        <row r="14041">
          <cell r="H14041" t="str">
            <v xml:space="preserve">PIERCE COUNTY REFUSE  </v>
          </cell>
          <cell r="I14041" t="str">
            <v>3.6% PIERCE COUNTY REFUSE</v>
          </cell>
        </row>
        <row r="14042">
          <cell r="H14042" t="str">
            <v>FT LEWIS REFUSE TAX</v>
          </cell>
          <cell r="I14042" t="str">
            <v>3.6% WA STATE REFUSE TAX</v>
          </cell>
        </row>
        <row r="14043">
          <cell r="H14043" t="str">
            <v>FT LEWIS REFUSE TAX</v>
          </cell>
          <cell r="I14043" t="str">
            <v>3.6% WA STATE REFUSE TAX</v>
          </cell>
        </row>
        <row r="14044">
          <cell r="H14044" t="str">
            <v>FT LEWIS STATE SALES TAX</v>
          </cell>
          <cell r="I14044" t="str">
            <v>9.3% WA STATE SALES TAX</v>
          </cell>
        </row>
        <row r="14045">
          <cell r="H14045" t="str">
            <v>PIERCE STATE SALES TAX</v>
          </cell>
          <cell r="I14045" t="str">
            <v>9.9% WA STATE SALES TAX</v>
          </cell>
        </row>
        <row r="14046">
          <cell r="H14046" t="str">
            <v>FINCHG</v>
          </cell>
          <cell r="I14046" t="str">
            <v>LATE FEE</v>
          </cell>
        </row>
        <row r="14047">
          <cell r="H14047" t="str">
            <v>BD</v>
          </cell>
          <cell r="I14047" t="str">
            <v>BAD DEBT WRITE OFF</v>
          </cell>
        </row>
        <row r="14048">
          <cell r="H14048" t="str">
            <v>FL004.0Y2W001MF</v>
          </cell>
          <cell r="I14048" t="str">
            <v>4 YD 2X WK MULTI-FAMILY 1</v>
          </cell>
        </row>
        <row r="14049">
          <cell r="H14049" t="str">
            <v>FL006.0Y1W001MF</v>
          </cell>
          <cell r="I14049" t="str">
            <v>6 YD 1X WK MULTI-FAMILY 1</v>
          </cell>
        </row>
        <row r="14050">
          <cell r="H14050" t="str">
            <v>FL006.0Y2W001MF</v>
          </cell>
          <cell r="I14050" t="str">
            <v>6 YD 2X WK MULTI-FAMILY 1</v>
          </cell>
        </row>
        <row r="14051">
          <cell r="H14051" t="str">
            <v>MFWBINS</v>
          </cell>
          <cell r="I14051" t="str">
            <v>MULTI-FAMILY REC UNIT W/B</v>
          </cell>
        </row>
        <row r="14052">
          <cell r="H14052" t="str">
            <v>SL096.0G1M001BCMGLOUT</v>
          </cell>
          <cell r="I14052" t="str">
            <v>96 GL MTHLY BUS CMGL OUT</v>
          </cell>
        </row>
        <row r="14053">
          <cell r="H14053" t="str">
            <v>CC-KOL</v>
          </cell>
          <cell r="I14053" t="str">
            <v>ONLINE PAYMENT-CC</v>
          </cell>
        </row>
        <row r="14054">
          <cell r="H14054" t="str">
            <v>PAY-KOL</v>
          </cell>
          <cell r="I14054" t="str">
            <v>PAYMENT-THANK YOU - OL</v>
          </cell>
        </row>
        <row r="14055">
          <cell r="H14055" t="str">
            <v>GWRES</v>
          </cell>
          <cell r="I14055" t="str">
            <v>GREENWASTE SERVICE - RES</v>
          </cell>
        </row>
        <row r="14056">
          <cell r="H14056" t="str">
            <v>RECBINONLYR</v>
          </cell>
          <cell r="I14056" t="str">
            <v>RECYCLE SERVICE ONLY</v>
          </cell>
        </row>
        <row r="14057">
          <cell r="H14057" t="str">
            <v>RECPROGADJ-RES</v>
          </cell>
          <cell r="I14057" t="str">
            <v>RECYCLING PROGRAM ADJUSTM</v>
          </cell>
        </row>
        <row r="14058">
          <cell r="H14058" t="str">
            <v>RECVALRES</v>
          </cell>
          <cell r="I14058" t="str">
            <v>RECYCLABLES VALUE - RES</v>
          </cell>
        </row>
        <row r="14059">
          <cell r="H14059" t="str">
            <v>SL065.0G1W001WREC</v>
          </cell>
          <cell r="I14059" t="str">
            <v>65 GL 1X WK W/RECY 1</v>
          </cell>
        </row>
        <row r="14060">
          <cell r="H14060" t="str">
            <v>SL095.0G1W001WREC</v>
          </cell>
          <cell r="I14060" t="str">
            <v>95 GL 1X WK W/RECY 1</v>
          </cell>
        </row>
        <row r="14061">
          <cell r="H14061" t="str">
            <v>DISPFEDMSW-RES</v>
          </cell>
          <cell r="I14061" t="str">
            <v>DISPOSAL FEDERAL MSW - RE</v>
          </cell>
        </row>
        <row r="14062">
          <cell r="H14062" t="str">
            <v>EXTRA-RES</v>
          </cell>
          <cell r="I14062" t="str">
            <v>EXTRA CAN, BAG, BOX - RES</v>
          </cell>
        </row>
        <row r="14063">
          <cell r="H14063" t="str">
            <v>OW-RES</v>
          </cell>
          <cell r="I14063" t="str">
            <v>OVERFILL / OVERWEIGHT CAN</v>
          </cell>
        </row>
        <row r="14064">
          <cell r="H14064" t="str">
            <v>TIME-RES</v>
          </cell>
          <cell r="I14064" t="str">
            <v>TIME FEE 1 - RES</v>
          </cell>
        </row>
        <row r="14065">
          <cell r="H14065" t="str">
            <v>RENT20MO-RO</v>
          </cell>
          <cell r="I14065" t="str">
            <v>RENTAL FEE 20 YD MONTHLY</v>
          </cell>
        </row>
        <row r="14066">
          <cell r="H14066" t="str">
            <v>RENT30MO-RO</v>
          </cell>
          <cell r="I14066" t="str">
            <v>RENTAL FEE 30 YD MONTHLY</v>
          </cell>
        </row>
        <row r="14067">
          <cell r="H14067" t="str">
            <v>RENT40MO-RO</v>
          </cell>
          <cell r="I14067" t="str">
            <v>RENTAL FEE 40 YD MONTHLY</v>
          </cell>
        </row>
        <row r="14068">
          <cell r="H14068" t="str">
            <v>DISPFEDMSW-RO</v>
          </cell>
          <cell r="I14068" t="str">
            <v xml:space="preserve">DISPOSAL FEE FEDERAL MSW </v>
          </cell>
        </row>
        <row r="14069">
          <cell r="H14069" t="str">
            <v>HAUL20-RO</v>
          </cell>
          <cell r="I14069" t="str">
            <v>HAUL 20 YD - RO</v>
          </cell>
        </row>
        <row r="14070">
          <cell r="H14070" t="str">
            <v>HAUL30-RO</v>
          </cell>
          <cell r="I14070" t="str">
            <v>HAUL 30 YD - RO</v>
          </cell>
        </row>
        <row r="14071">
          <cell r="H14071" t="str">
            <v>HAUL40-RO</v>
          </cell>
          <cell r="I14071" t="str">
            <v>HAUL 40 YD - RO</v>
          </cell>
        </row>
        <row r="14072">
          <cell r="H14072" t="str">
            <v>MILE-RO</v>
          </cell>
          <cell r="I14072" t="str">
            <v>MILEAGE FEE - RO</v>
          </cell>
        </row>
        <row r="14073">
          <cell r="H14073" t="str">
            <v>RTRNTRIP-RO</v>
          </cell>
          <cell r="I14073" t="str">
            <v>RETURN TRIP FEE - RO</v>
          </cell>
        </row>
        <row r="14074">
          <cell r="H14074" t="str">
            <v>FT LEWIS REFUSE TAX</v>
          </cell>
          <cell r="I14074" t="str">
            <v>3.6% WA STATE REFUSE TAX</v>
          </cell>
        </row>
        <row r="14075">
          <cell r="H14075" t="str">
            <v>FT LEWIS STATE SALES TAX</v>
          </cell>
          <cell r="I14075" t="str">
            <v>9.3% WA STATE SALES TAX</v>
          </cell>
        </row>
        <row r="14076">
          <cell r="H14076" t="str">
            <v>FT LEWIS REFUSE TAX</v>
          </cell>
          <cell r="I14076" t="str">
            <v>3.6% WA STATE REFUSE TAX</v>
          </cell>
        </row>
        <row r="14077">
          <cell r="H14077" t="str">
            <v>BD</v>
          </cell>
          <cell r="I14077" t="str">
            <v>BAD DEBT WRITE OFF</v>
          </cell>
        </row>
        <row r="14078">
          <cell r="H14078" t="str">
            <v>BDR</v>
          </cell>
          <cell r="I14078" t="str">
            <v>BAD DEBT RECOVERY</v>
          </cell>
        </row>
        <row r="14079">
          <cell r="H14079" t="str">
            <v>COLLFEE</v>
          </cell>
          <cell r="I14079" t="str">
            <v>COLLECTION AGENCY FEE</v>
          </cell>
        </row>
        <row r="14080">
          <cell r="H14080" t="str">
            <v>FINCHG</v>
          </cell>
          <cell r="I14080" t="str">
            <v>LATE FEE</v>
          </cell>
        </row>
        <row r="14081">
          <cell r="H14081" t="str">
            <v>MM</v>
          </cell>
          <cell r="I14081" t="str">
            <v>ADJUST BALANCE (MM)</v>
          </cell>
        </row>
        <row r="14082">
          <cell r="H14082" t="str">
            <v>MM</v>
          </cell>
          <cell r="I14082" t="str">
            <v>ADJUST BALANCE (MM)</v>
          </cell>
        </row>
        <row r="14083">
          <cell r="H14083" t="str">
            <v>REFUND</v>
          </cell>
          <cell r="I14083" t="str">
            <v>REFUND</v>
          </cell>
        </row>
        <row r="14084">
          <cell r="H14084" t="str">
            <v>RETCKC</v>
          </cell>
          <cell r="I14084" t="str">
            <v>RETURN CHECK CHARGE</v>
          </cell>
        </row>
        <row r="14085">
          <cell r="H14085" t="str">
            <v>FINCHG</v>
          </cell>
          <cell r="I14085" t="str">
            <v>LATE FEE</v>
          </cell>
        </row>
        <row r="14086">
          <cell r="H14086" t="str">
            <v>BD</v>
          </cell>
          <cell r="I14086" t="str">
            <v>BAD DEBT WRITE OFF</v>
          </cell>
        </row>
        <row r="14087">
          <cell r="H14087" t="str">
            <v>BDR</v>
          </cell>
          <cell r="I14087" t="str">
            <v>BAD DEBT RECOVERY</v>
          </cell>
        </row>
        <row r="14088">
          <cell r="H14088" t="str">
            <v>COLLFEE</v>
          </cell>
          <cell r="I14088" t="str">
            <v>COLLECTION AGENCY FEE</v>
          </cell>
        </row>
        <row r="14089">
          <cell r="H14089" t="str">
            <v>MM</v>
          </cell>
          <cell r="I14089" t="str">
            <v>ADJUST BALANCE (MM)</v>
          </cell>
        </row>
        <row r="14090">
          <cell r="H14090" t="str">
            <v>REFUND</v>
          </cell>
          <cell r="I14090" t="str">
            <v>REFUND</v>
          </cell>
        </row>
        <row r="14091">
          <cell r="H14091" t="str">
            <v>FINCHG</v>
          </cell>
          <cell r="I14091" t="str">
            <v>LATE FEE</v>
          </cell>
        </row>
        <row r="14092">
          <cell r="H14092" t="str">
            <v>BD</v>
          </cell>
          <cell r="I14092" t="str">
            <v>BAD DEBT WRITE OFF</v>
          </cell>
        </row>
        <row r="14093">
          <cell r="H14093" t="str">
            <v>BDR</v>
          </cell>
          <cell r="I14093" t="str">
            <v>BAD DEBT RECOVERY</v>
          </cell>
        </row>
        <row r="14094">
          <cell r="H14094" t="str">
            <v>FINCHG</v>
          </cell>
          <cell r="I14094" t="str">
            <v>LATE FEE</v>
          </cell>
        </row>
        <row r="14095">
          <cell r="H14095" t="str">
            <v>MM</v>
          </cell>
          <cell r="I14095" t="str">
            <v>ADJUST BALANCE (MM)</v>
          </cell>
        </row>
        <row r="14096">
          <cell r="H14096" t="str">
            <v>MM</v>
          </cell>
          <cell r="I14096" t="str">
            <v>ADJUST BALANCE (MM)</v>
          </cell>
        </row>
        <row r="14097">
          <cell r="H14097" t="str">
            <v>REFUND</v>
          </cell>
          <cell r="I14097" t="str">
            <v>REFUND</v>
          </cell>
        </row>
        <row r="14098">
          <cell r="H14098" t="str">
            <v>ACCESS-COMM</v>
          </cell>
          <cell r="I14098" t="str">
            <v>ACCESS FEE - COMM</v>
          </cell>
        </row>
        <row r="14099">
          <cell r="H14099" t="str">
            <v>ACCESS-MF</v>
          </cell>
          <cell r="I14099" t="str">
            <v>ACCESS FEE - MF</v>
          </cell>
        </row>
        <row r="14100">
          <cell r="H14100" t="str">
            <v>DONATIONC</v>
          </cell>
          <cell r="I14100" t="str">
            <v>DONATED SERVICE COMM</v>
          </cell>
        </row>
        <row r="14101">
          <cell r="H14101" t="str">
            <v>DRIVEIN1-COMM</v>
          </cell>
          <cell r="I14101" t="str">
            <v>DRIVE IN 125-250' - COMM</v>
          </cell>
        </row>
        <row r="14102">
          <cell r="H14102" t="str">
            <v>DRIVEIN3-COMM</v>
          </cell>
          <cell r="I14102" t="str">
            <v>DRIVE IN 779-1306' - COMM</v>
          </cell>
        </row>
        <row r="14103">
          <cell r="H14103" t="str">
            <v>FL001.0Y1W001</v>
          </cell>
          <cell r="I14103" t="str">
            <v>1 YD 1X WK 1</v>
          </cell>
        </row>
        <row r="14104">
          <cell r="H14104" t="str">
            <v>FL001.0Y2W001</v>
          </cell>
          <cell r="I14104" t="str">
            <v>1 YD 2X WK 1</v>
          </cell>
        </row>
        <row r="14105">
          <cell r="H14105" t="str">
            <v>FL001.0Y3W001</v>
          </cell>
          <cell r="I14105" t="str">
            <v>1 YD 3X WK 1</v>
          </cell>
        </row>
        <row r="14106">
          <cell r="H14106" t="str">
            <v>FL001.5Y1W001</v>
          </cell>
          <cell r="I14106" t="str">
            <v>1.5 YD 1X WK 1</v>
          </cell>
        </row>
        <row r="14107">
          <cell r="H14107" t="str">
            <v>FL001.5Y2W001</v>
          </cell>
          <cell r="I14107" t="str">
            <v>1.5 YD 2X WK 1</v>
          </cell>
        </row>
        <row r="14108">
          <cell r="H14108" t="str">
            <v>FL001.5Y3W001</v>
          </cell>
          <cell r="I14108" t="str">
            <v>1.5 YD 3X WK 1</v>
          </cell>
        </row>
        <row r="14109">
          <cell r="H14109" t="str">
            <v>FL002.0Y1W001</v>
          </cell>
          <cell r="I14109" t="str">
            <v>2 YD 1X WK 1</v>
          </cell>
        </row>
        <row r="14110">
          <cell r="H14110" t="str">
            <v>FL002.0Y2W001</v>
          </cell>
          <cell r="I14110" t="str">
            <v>2 YD 2X WK 1</v>
          </cell>
        </row>
        <row r="14111">
          <cell r="H14111" t="str">
            <v>FL002.0Y3W001</v>
          </cell>
          <cell r="I14111" t="str">
            <v>2 YD 3X WK 1</v>
          </cell>
        </row>
        <row r="14112">
          <cell r="H14112" t="str">
            <v>FL002.0Y4W001</v>
          </cell>
          <cell r="I14112" t="str">
            <v>2 YD 4X WK 1</v>
          </cell>
        </row>
        <row r="14113">
          <cell r="H14113" t="str">
            <v>FL002.0Y5W001</v>
          </cell>
          <cell r="I14113" t="str">
            <v>2 YD 5X WK 1</v>
          </cell>
        </row>
        <row r="14114">
          <cell r="H14114" t="str">
            <v>FL003.0Y1W001</v>
          </cell>
          <cell r="I14114" t="str">
            <v>3 YD 1X WK 1</v>
          </cell>
        </row>
        <row r="14115">
          <cell r="H14115" t="str">
            <v>FL003.0Y2W001</v>
          </cell>
          <cell r="I14115" t="str">
            <v>3 YD 2X WK 1</v>
          </cell>
        </row>
        <row r="14116">
          <cell r="H14116" t="str">
            <v>FL003.0Y3W001</v>
          </cell>
          <cell r="I14116" t="str">
            <v>3 YD 3X WK 1</v>
          </cell>
        </row>
        <row r="14117">
          <cell r="H14117" t="str">
            <v>FL003.0Y5W001</v>
          </cell>
          <cell r="I14117" t="str">
            <v>3 YD 5X WK 1</v>
          </cell>
        </row>
        <row r="14118">
          <cell r="H14118" t="str">
            <v>FL004.0Y1W001</v>
          </cell>
          <cell r="I14118" t="str">
            <v>4 YD 1X WK 1</v>
          </cell>
        </row>
        <row r="14119">
          <cell r="H14119" t="str">
            <v>FL004.0Y2W001</v>
          </cell>
          <cell r="I14119" t="str">
            <v>4 YD 2X WK 1</v>
          </cell>
        </row>
        <row r="14120">
          <cell r="H14120" t="str">
            <v>FL004.0Y2W001CMP</v>
          </cell>
          <cell r="I14120" t="str">
            <v>4 YD 2X WK COMP 1</v>
          </cell>
        </row>
        <row r="14121">
          <cell r="H14121" t="str">
            <v>FL004.0Y3W001</v>
          </cell>
          <cell r="I14121" t="str">
            <v>4 YD 3X WK 1</v>
          </cell>
        </row>
        <row r="14122">
          <cell r="H14122" t="str">
            <v>FL004.0Y4W001</v>
          </cell>
          <cell r="I14122" t="str">
            <v>4 YD 4X WK 1</v>
          </cell>
        </row>
        <row r="14123">
          <cell r="H14123" t="str">
            <v>FL004.0Y5W001</v>
          </cell>
          <cell r="I14123" t="str">
            <v>4 YD 5X WK 1</v>
          </cell>
        </row>
        <row r="14124">
          <cell r="H14124" t="str">
            <v>FL006.0Y1W001</v>
          </cell>
          <cell r="I14124" t="str">
            <v>6 YD 1X WK 1</v>
          </cell>
        </row>
        <row r="14125">
          <cell r="H14125" t="str">
            <v>FL006.0Y2W001</v>
          </cell>
          <cell r="I14125" t="str">
            <v>6 YD 2X WK 1</v>
          </cell>
        </row>
        <row r="14126">
          <cell r="H14126" t="str">
            <v>FL006.0Y2W001CMP</v>
          </cell>
          <cell r="I14126" t="str">
            <v>6 YD 2X WK COMP 1</v>
          </cell>
        </row>
        <row r="14127">
          <cell r="H14127" t="str">
            <v>FL006.0Y3W001</v>
          </cell>
          <cell r="I14127" t="str">
            <v>6 YD 3X WK 1</v>
          </cell>
        </row>
        <row r="14128">
          <cell r="H14128" t="str">
            <v>FL006.0Y4W001</v>
          </cell>
          <cell r="I14128" t="str">
            <v>6 YD 4X WK 1</v>
          </cell>
        </row>
        <row r="14129">
          <cell r="H14129" t="str">
            <v>FL006.0Y5W001</v>
          </cell>
          <cell r="I14129" t="str">
            <v>6 YD 5X WK 1</v>
          </cell>
        </row>
        <row r="14130">
          <cell r="H14130" t="str">
            <v>GWCOMM</v>
          </cell>
          <cell r="I14130" t="str">
            <v>GREENWASTE SERVICE - COMM</v>
          </cell>
        </row>
        <row r="14131">
          <cell r="H14131" t="str">
            <v>RL032.0G1W001WRECC</v>
          </cell>
          <cell r="I14131" t="str">
            <v>32 GL 1X WK W/RECY COMM 1</v>
          </cell>
        </row>
        <row r="14132">
          <cell r="H14132" t="str">
            <v>RL035.0G1W001WRECC</v>
          </cell>
          <cell r="I14132" t="str">
            <v>35 GL 1X WK W/RECY COMM 1</v>
          </cell>
        </row>
        <row r="14133">
          <cell r="H14133" t="str">
            <v>ROLL-COMM</v>
          </cell>
          <cell r="I14133" t="str">
            <v>ROLL OUT CHARGE - COMM</v>
          </cell>
        </row>
        <row r="14134">
          <cell r="H14134" t="str">
            <v>SL065.0G1M001NORECC</v>
          </cell>
          <cell r="I14134" t="str">
            <v xml:space="preserve">65 GL 1X MO NO RECY COMM </v>
          </cell>
        </row>
        <row r="14135">
          <cell r="H14135" t="str">
            <v>SL065.0G1W001NORECC</v>
          </cell>
          <cell r="I14135" t="str">
            <v xml:space="preserve">65 GL 1X WK NO RECY COMM </v>
          </cell>
        </row>
        <row r="14136">
          <cell r="H14136" t="str">
            <v>SL065.0G1W001WRECC</v>
          </cell>
          <cell r="I14136" t="str">
            <v>65 GL 1X WK W/RECY COMM 1</v>
          </cell>
        </row>
        <row r="14137">
          <cell r="H14137" t="str">
            <v>SL065.0GEO001NORECC</v>
          </cell>
          <cell r="I14137" t="str">
            <v>65 GL EOW NO RECY COMM 1</v>
          </cell>
        </row>
        <row r="14138">
          <cell r="H14138" t="str">
            <v>SL065.0GEO001WRECC</v>
          </cell>
          <cell r="I14138" t="str">
            <v>65 GL EOW W/RECY COMM 1</v>
          </cell>
        </row>
        <row r="14139">
          <cell r="H14139" t="str">
            <v>SL095.0G1W001NORECC</v>
          </cell>
          <cell r="I14139" t="str">
            <v xml:space="preserve">95 GL 1X WK NO RECY COMM </v>
          </cell>
        </row>
        <row r="14140">
          <cell r="H14140" t="str">
            <v>SL095.0G1W001WRECC</v>
          </cell>
          <cell r="I14140" t="str">
            <v>95 GL 1X WK W/RECY COMM 1</v>
          </cell>
        </row>
        <row r="14141">
          <cell r="H14141" t="str">
            <v>SL095.0GEO001NORECC</v>
          </cell>
          <cell r="I14141" t="str">
            <v>95 GL EOW NO RECY COMM 1</v>
          </cell>
        </row>
        <row r="14142">
          <cell r="H14142" t="str">
            <v>SL095.0GEO001WRECC</v>
          </cell>
          <cell r="I14142" t="str">
            <v>95 GL EOW W/RECY COMM 1</v>
          </cell>
        </row>
        <row r="14143">
          <cell r="H14143" t="str">
            <v>WI1-COMM</v>
          </cell>
          <cell r="I14143" t="str">
            <v>WALK IN 6-25' - COMM</v>
          </cell>
        </row>
        <row r="14144">
          <cell r="H14144" t="str">
            <v>WI2-COMM</v>
          </cell>
          <cell r="I14144" t="str">
            <v>WALK IN 26-50' - COMM</v>
          </cell>
        </row>
        <row r="14145">
          <cell r="H14145" t="str">
            <v>ACCESS-COMM</v>
          </cell>
          <cell r="I14145" t="str">
            <v>ACCESS FEE - COMM</v>
          </cell>
        </row>
        <row r="14146">
          <cell r="H14146" t="str">
            <v>CANCOUNT-COMM</v>
          </cell>
          <cell r="I14146" t="str">
            <v>CAN COUNT - COMM</v>
          </cell>
        </row>
        <row r="14147">
          <cell r="H14147" t="str">
            <v>CLEAN1-COMM</v>
          </cell>
          <cell r="I14147" t="str">
            <v>CLEANING FEE 1 YD - COMM</v>
          </cell>
        </row>
        <row r="14148">
          <cell r="H14148" t="str">
            <v>CLEAN1.5-COMM</v>
          </cell>
          <cell r="I14148" t="str">
            <v>CLEANING FEE 1.5 YD - COM</v>
          </cell>
        </row>
        <row r="14149">
          <cell r="H14149" t="str">
            <v>CLEAN2-COMM</v>
          </cell>
          <cell r="I14149" t="str">
            <v>CLEANING FEE 2 YD - COMM</v>
          </cell>
        </row>
        <row r="14150">
          <cell r="H14150" t="str">
            <v>CLEAN6-COMM</v>
          </cell>
          <cell r="I14150" t="str">
            <v>CLEANING FEE 6 YD - COMM</v>
          </cell>
        </row>
        <row r="14151">
          <cell r="H14151" t="str">
            <v>DEL1.5TEMP-COMM</v>
          </cell>
          <cell r="I14151" t="str">
            <v xml:space="preserve">DELIVERY FEE 1.5 YD TEMP </v>
          </cell>
        </row>
        <row r="14152">
          <cell r="H14152" t="str">
            <v>DEL2TEMP-COMM</v>
          </cell>
          <cell r="I14152" t="str">
            <v xml:space="preserve">DELIVERY FEE 2 YD TEMP - </v>
          </cell>
        </row>
        <row r="14153">
          <cell r="H14153" t="str">
            <v>DEL6TEMP-COMM</v>
          </cell>
          <cell r="I14153" t="str">
            <v xml:space="preserve">DELIVERY FEE 6 YD TEMP - </v>
          </cell>
        </row>
        <row r="14154">
          <cell r="H14154" t="str">
            <v>EXTRAGRAD1-COMM</v>
          </cell>
          <cell r="I14154" t="str">
            <v>EXTRAS GRADUATED 1-2 - COMM</v>
          </cell>
        </row>
        <row r="14155">
          <cell r="H14155" t="str">
            <v>EXTRAGRAD2-COMM</v>
          </cell>
          <cell r="I14155" t="str">
            <v>EXTRAS GRADUATED 3+ - COMM</v>
          </cell>
        </row>
        <row r="14156">
          <cell r="H14156" t="str">
            <v>EXTRAYDG-COM</v>
          </cell>
          <cell r="I14156" t="str">
            <v>EXTRA YARDAGE - COMM</v>
          </cell>
        </row>
        <row r="14157">
          <cell r="H14157" t="str">
            <v>FL001.0Y1W001</v>
          </cell>
          <cell r="I14157" t="str">
            <v>1 YD 1X WK 1</v>
          </cell>
        </row>
        <row r="14158">
          <cell r="H14158" t="str">
            <v>FL001.0YXX001TEMPC</v>
          </cell>
          <cell r="I14158" t="str">
            <v xml:space="preserve">1 YD TEMP </v>
          </cell>
        </row>
        <row r="14159">
          <cell r="H14159" t="str">
            <v>FL001.5YXX001TEMPC</v>
          </cell>
          <cell r="I14159" t="str">
            <v xml:space="preserve">1.5 YD TEMP </v>
          </cell>
        </row>
        <row r="14160">
          <cell r="H14160" t="str">
            <v>FL002.0YXX001TEMPC</v>
          </cell>
          <cell r="I14160" t="str">
            <v xml:space="preserve">2 YD TEMP </v>
          </cell>
        </row>
        <row r="14161">
          <cell r="H14161" t="str">
            <v>FL006.0YXX001TEMPC</v>
          </cell>
          <cell r="I14161" t="str">
            <v>6 YD TEMP 1</v>
          </cell>
        </row>
        <row r="14162">
          <cell r="H14162" t="str">
            <v>REDEL-COMM</v>
          </cell>
          <cell r="I14162" t="str">
            <v>REDELIVER FEE LVL 1 - COM</v>
          </cell>
        </row>
        <row r="14163">
          <cell r="H14163" t="str">
            <v>REINSTATE-COMM</v>
          </cell>
          <cell r="I14163" t="str">
            <v>REINSTATE FEE - COMM</v>
          </cell>
        </row>
        <row r="14164">
          <cell r="H14164" t="str">
            <v>RENT1.5TEMP-COMM</v>
          </cell>
          <cell r="I14164" t="str">
            <v>RENT 1.5 YD TEMP - COMM</v>
          </cell>
        </row>
        <row r="14165">
          <cell r="H14165" t="str">
            <v>RENT1TEMP-COMM</v>
          </cell>
          <cell r="I14165" t="str">
            <v>RENT 1 YD TEMP - COMM</v>
          </cell>
        </row>
        <row r="14166">
          <cell r="H14166" t="str">
            <v>RENT2TEMP-COMM</v>
          </cell>
          <cell r="I14166" t="str">
            <v>RENT 2 YD TEMP - COMM</v>
          </cell>
        </row>
        <row r="14167">
          <cell r="H14167" t="str">
            <v>RENT4TEMP-COMM</v>
          </cell>
          <cell r="I14167" t="str">
            <v>RENT 4 YD TEMP - COMM</v>
          </cell>
        </row>
        <row r="14168">
          <cell r="H14168" t="str">
            <v>RENT6TEMP-COMM</v>
          </cell>
          <cell r="I14168" t="str">
            <v>RENT 6 YD TEMP - COMM</v>
          </cell>
        </row>
        <row r="14169">
          <cell r="H14169" t="str">
            <v>RTRNTRIP-COMM</v>
          </cell>
          <cell r="I14169" t="str">
            <v>RETURN TRIP FEE - COMM</v>
          </cell>
        </row>
        <row r="14170">
          <cell r="H14170" t="str">
            <v>SL095.0G1W001NORECC</v>
          </cell>
          <cell r="I14170" t="str">
            <v xml:space="preserve">95 GL 1X WK NO RECY COMM </v>
          </cell>
        </row>
        <row r="14171">
          <cell r="H14171" t="str">
            <v>SP-COMM</v>
          </cell>
          <cell r="I14171" t="str">
            <v>SPECIAL HAUL - COMM</v>
          </cell>
        </row>
        <row r="14172">
          <cell r="H14172" t="str">
            <v>SP1.5-COMM</v>
          </cell>
          <cell r="I14172" t="str">
            <v xml:space="preserve">SPECIAL PICK UP 1.5 YD - </v>
          </cell>
        </row>
        <row r="14173">
          <cell r="H14173" t="str">
            <v>SP2-COMM</v>
          </cell>
          <cell r="I14173" t="str">
            <v>SPECIAL PICK UP 2 YD - CO</v>
          </cell>
        </row>
        <row r="14174">
          <cell r="H14174" t="str">
            <v>SP3-COMM</v>
          </cell>
          <cell r="I14174" t="str">
            <v>SPECIAL PICK UP 3 YD - CO</v>
          </cell>
        </row>
        <row r="14175">
          <cell r="H14175" t="str">
            <v>SP4-COMM</v>
          </cell>
          <cell r="I14175" t="str">
            <v>SPECIAL PICK UP 4 YD - CO</v>
          </cell>
        </row>
        <row r="14176">
          <cell r="H14176" t="str">
            <v>SP6-COMM</v>
          </cell>
          <cell r="I14176" t="str">
            <v>SPECIAL PICK UP 6 YD - CO</v>
          </cell>
        </row>
        <row r="14177">
          <cell r="H14177" t="str">
            <v>SPADD-COMM</v>
          </cell>
          <cell r="I14177" t="str">
            <v>SPECIAL ADDL UNIT - COMM</v>
          </cell>
        </row>
        <row r="14178">
          <cell r="H14178" t="str">
            <v>ACCESSCREC-COMM</v>
          </cell>
          <cell r="I14178" t="str">
            <v>ACCESS FEE COMM RECY - CO</v>
          </cell>
        </row>
        <row r="14179">
          <cell r="H14179" t="str">
            <v>FL002.0Y1W001BCMGL</v>
          </cell>
          <cell r="I14179" t="str">
            <v>2 YD 1X WK BUS CMGL 1</v>
          </cell>
        </row>
        <row r="14180">
          <cell r="H14180" t="str">
            <v>FL002.0Y1W001BOCC</v>
          </cell>
          <cell r="I14180" t="str">
            <v>2 YD 1X WK BUS OCC 1</v>
          </cell>
        </row>
        <row r="14181">
          <cell r="H14181" t="str">
            <v>FL002.0Y1W001SCMGL</v>
          </cell>
          <cell r="I14181" t="str">
            <v>2 YD 1X WK SCHL CMGL 1</v>
          </cell>
        </row>
        <row r="14182">
          <cell r="H14182" t="str">
            <v>FL002.0Y1W001SOCC</v>
          </cell>
          <cell r="I14182" t="str">
            <v>2 YD 1X WK SCHOOL OCC</v>
          </cell>
        </row>
        <row r="14183">
          <cell r="H14183" t="str">
            <v>FL002.0Y2W001BCMGL</v>
          </cell>
          <cell r="I14183" t="str">
            <v>2 YD 2X WK BUS CMGL 1</v>
          </cell>
        </row>
        <row r="14184">
          <cell r="H14184" t="str">
            <v>FL002.0Y2W001BOCC</v>
          </cell>
          <cell r="I14184" t="str">
            <v>2 YD 2X WK BUS OCC 1</v>
          </cell>
        </row>
        <row r="14185">
          <cell r="H14185" t="str">
            <v>FL002.0Y2W001SOCC</v>
          </cell>
          <cell r="I14185" t="str">
            <v>2 YD 2X WK SCHOOL OCC</v>
          </cell>
        </row>
        <row r="14186">
          <cell r="H14186" t="str">
            <v>FL002.0Y3W001BOCC</v>
          </cell>
          <cell r="I14186" t="str">
            <v>2 YD 3X WK BUS OCC 1</v>
          </cell>
        </row>
        <row r="14187">
          <cell r="H14187" t="str">
            <v>FL002.0Y4W001BOCC</v>
          </cell>
          <cell r="I14187" t="str">
            <v>2 YD 4X WK BUS OCC 1</v>
          </cell>
        </row>
        <row r="14188">
          <cell r="H14188" t="str">
            <v>FL004.0Y1W001CMGL</v>
          </cell>
          <cell r="I14188" t="str">
            <v>4 YD 1X WK BUS CMGL 1</v>
          </cell>
        </row>
        <row r="14189">
          <cell r="H14189" t="str">
            <v>FL004.0Y2W001CMGL</v>
          </cell>
          <cell r="I14189" t="str">
            <v>4 YD 2X WK BUS CMGL 1</v>
          </cell>
        </row>
        <row r="14190">
          <cell r="H14190" t="str">
            <v>FL004.0Y3W001BCMGL</v>
          </cell>
          <cell r="I14190" t="str">
            <v>4 YD 3X WK BUS CMGL 1</v>
          </cell>
        </row>
        <row r="14191">
          <cell r="H14191" t="str">
            <v>FL005.0Y1W001BOCC</v>
          </cell>
          <cell r="I14191" t="str">
            <v>5 YD 1X WK BUS OCC 1</v>
          </cell>
        </row>
        <row r="14192">
          <cell r="H14192" t="str">
            <v>FL005.0Y1W001OCC</v>
          </cell>
          <cell r="I14192" t="str">
            <v>5 YD 1X WK OCC  1</v>
          </cell>
        </row>
        <row r="14193">
          <cell r="H14193" t="str">
            <v>FL005.0Y1W001SOCC</v>
          </cell>
          <cell r="I14193" t="str">
            <v>5 YD 1X WK SCHOOL OCC</v>
          </cell>
        </row>
        <row r="14194">
          <cell r="H14194" t="str">
            <v>FL005.0Y2W001BOCC</v>
          </cell>
          <cell r="I14194" t="str">
            <v>5 YD 2X WK BUS OCC 1</v>
          </cell>
        </row>
        <row r="14195">
          <cell r="H14195" t="str">
            <v>FL005.0Y2W001SOCC</v>
          </cell>
          <cell r="I14195" t="str">
            <v>5 YD 2X WK SCHOOL OCC</v>
          </cell>
        </row>
        <row r="14196">
          <cell r="H14196" t="str">
            <v>FL005.0Y3W001BOCC</v>
          </cell>
          <cell r="I14196" t="str">
            <v>5 YD 3X WK BUS OCC 1</v>
          </cell>
        </row>
        <row r="14197">
          <cell r="H14197" t="str">
            <v>FL005.0Y4W001BOCC</v>
          </cell>
          <cell r="I14197" t="str">
            <v>5 YD 4X WK BUS OCC 1</v>
          </cell>
        </row>
        <row r="14198">
          <cell r="H14198" t="str">
            <v>FL005.0Y5W001BOCC</v>
          </cell>
          <cell r="I14198" t="str">
            <v>5 YD 5X WK BUS OCC 1</v>
          </cell>
        </row>
        <row r="14199">
          <cell r="H14199" t="str">
            <v>FL006.0Y1W001BCMGL</v>
          </cell>
          <cell r="I14199" t="str">
            <v>6 YD 1X WK BUS COMINGLE 1</v>
          </cell>
        </row>
        <row r="14200">
          <cell r="H14200" t="str">
            <v>FL006.0Y2W001BCMGL</v>
          </cell>
          <cell r="I14200" t="str">
            <v>6 YD 2X WK BUS COMINGLE 1</v>
          </cell>
        </row>
        <row r="14201">
          <cell r="H14201" t="str">
            <v>FL006.0Y3W001BCMGL</v>
          </cell>
          <cell r="I14201" t="str">
            <v>6 YD 3X WK BUS CMGL 1</v>
          </cell>
        </row>
        <row r="14202">
          <cell r="H14202" t="str">
            <v>FL006.0Y4W001BCMGL</v>
          </cell>
          <cell r="I14202" t="str">
            <v>6 YD 4X WK BUS CMGL 1</v>
          </cell>
        </row>
        <row r="14203">
          <cell r="H14203" t="str">
            <v>MFNBINS</v>
          </cell>
          <cell r="I14203" t="str">
            <v>MULTI-FAMILY REC UNIT N/B</v>
          </cell>
        </row>
        <row r="14204">
          <cell r="H14204" t="str">
            <v>MFWBINS</v>
          </cell>
          <cell r="I14204" t="str">
            <v>MULTI-FAMILY REC UNIT W/B</v>
          </cell>
        </row>
        <row r="14205">
          <cell r="H14205" t="str">
            <v>RENTRECCNT-COMM</v>
          </cell>
          <cell r="I14205" t="str">
            <v>RENTAL FEE RECYCLE CONTAI</v>
          </cell>
        </row>
        <row r="14206">
          <cell r="H14206" t="str">
            <v>ROLL-REC</v>
          </cell>
          <cell r="I14206" t="str">
            <v>ROLL OUT CHARGE - RECYCLI</v>
          </cell>
        </row>
        <row r="14207">
          <cell r="H14207" t="str">
            <v>SL064.0G1W001BCMGLOUT</v>
          </cell>
          <cell r="I14207" t="str">
            <v>64 GL WKLY BUS CMGL OUT</v>
          </cell>
        </row>
        <row r="14208">
          <cell r="H14208" t="str">
            <v>SL064.0GEO001BCMGLOUT</v>
          </cell>
          <cell r="I14208" t="str">
            <v>64 GL EOW BUS CMGL OUT</v>
          </cell>
        </row>
        <row r="14209">
          <cell r="H14209" t="str">
            <v>SL096.0G1M001BCMGLOUT</v>
          </cell>
          <cell r="I14209" t="str">
            <v>96 GL MTHLY BUS CMGL OUT</v>
          </cell>
        </row>
        <row r="14210">
          <cell r="H14210" t="str">
            <v>SL096.0G1W001BCMGLIN</v>
          </cell>
          <cell r="I14210" t="str">
            <v>96 GL WKLY BUS CMGL IN</v>
          </cell>
        </row>
        <row r="14211">
          <cell r="H14211" t="str">
            <v>SL096.0G1W001BCMGLOUT</v>
          </cell>
          <cell r="I14211" t="str">
            <v>96 GL WKLY BUS CMGL OUT</v>
          </cell>
        </row>
        <row r="14212">
          <cell r="H14212" t="str">
            <v>SL096.0G1W001SCMGLIN</v>
          </cell>
          <cell r="I14212" t="str">
            <v>96 GL WKLY SCHL CMGL IN</v>
          </cell>
        </row>
        <row r="14213">
          <cell r="H14213" t="str">
            <v>SL096.0G1W001SCMGLOUT</v>
          </cell>
          <cell r="I14213" t="str">
            <v>96 GL WKLY SCHL CMGL OUT</v>
          </cell>
        </row>
        <row r="14214">
          <cell r="H14214" t="str">
            <v>SL096.0GEO001BCMGLIN</v>
          </cell>
          <cell r="I14214" t="str">
            <v>96 GL EOW BUS CMGL IN</v>
          </cell>
        </row>
        <row r="14215">
          <cell r="H14215" t="str">
            <v>SL096.0GEO001BCMGLOUT</v>
          </cell>
          <cell r="I14215" t="str">
            <v>96 GL EOW BUS CMGL OUT</v>
          </cell>
        </row>
        <row r="14216">
          <cell r="H14216" t="str">
            <v>SL096.0GEO001SCMGLOUT</v>
          </cell>
          <cell r="I14216" t="str">
            <v>96 GL EOW SCHL CMGL OUT</v>
          </cell>
        </row>
        <row r="14217">
          <cell r="H14217" t="str">
            <v>FL005.0Y1W001BOCC</v>
          </cell>
          <cell r="I14217" t="str">
            <v>5 YD 1X WK BUS OCC 1</v>
          </cell>
        </row>
        <row r="14218">
          <cell r="H14218" t="str">
            <v>MFWBINS</v>
          </cell>
          <cell r="I14218" t="str">
            <v>MULTI-FAMILY REC UNIT W/B</v>
          </cell>
        </row>
        <row r="14219">
          <cell r="H14219" t="str">
            <v>SP5OCC-COMM</v>
          </cell>
          <cell r="I14219" t="str">
            <v>SPECIAL PICKUP 5 YD OCC -</v>
          </cell>
        </row>
        <row r="14220">
          <cell r="H14220" t="str">
            <v>SPGRAD1REC-COMM</v>
          </cell>
          <cell r="I14220" t="str">
            <v>SPECIAL UNIT GRAD1 REC - COMM</v>
          </cell>
        </row>
        <row r="14221">
          <cell r="H14221" t="str">
            <v>SPGRAD2REC-COMM</v>
          </cell>
          <cell r="I14221" t="str">
            <v>SPECIAL UNIT GRAD2 REC - COMM</v>
          </cell>
        </row>
        <row r="14222">
          <cell r="H14222" t="str">
            <v>RETCK-PNCL</v>
          </cell>
          <cell r="I14222" t="str">
            <v>RETURNED CHECK - PNC LOCKBOX</v>
          </cell>
        </row>
        <row r="14223">
          <cell r="H14223" t="str">
            <v>CC-KOL</v>
          </cell>
          <cell r="I14223" t="str">
            <v>ONLINE PAYMENT-CC</v>
          </cell>
        </row>
        <row r="14224">
          <cell r="H14224" t="str">
            <v>CCREF-KOL</v>
          </cell>
          <cell r="I14224" t="str">
            <v>CREDIT CARD REFUND</v>
          </cell>
        </row>
        <row r="14225">
          <cell r="H14225" t="str">
            <v>PAY</v>
          </cell>
          <cell r="I14225" t="str">
            <v>PAYMENT THANK YOU</v>
          </cell>
        </row>
        <row r="14226">
          <cell r="H14226" t="str">
            <v>PAY-CFREE</v>
          </cell>
          <cell r="I14226" t="str">
            <v>CHECKFREE PAYMENT</v>
          </cell>
        </row>
        <row r="14227">
          <cell r="H14227" t="str">
            <v>PAY-KOL</v>
          </cell>
          <cell r="I14227" t="str">
            <v>PAYMENT-THANK YOU - OL</v>
          </cell>
        </row>
        <row r="14228">
          <cell r="H14228" t="str">
            <v>PAY-ORCC</v>
          </cell>
          <cell r="I14228" t="str">
            <v>ORCC PAYMENT</v>
          </cell>
        </row>
        <row r="14229">
          <cell r="H14229" t="str">
            <v>PAY-RPPS</v>
          </cell>
          <cell r="I14229" t="str">
            <v>RPPS MASTERCARD PAYMENT</v>
          </cell>
        </row>
        <row r="14230">
          <cell r="H14230" t="str">
            <v>PAYAD</v>
          </cell>
          <cell r="I14230" t="str">
            <v>ADJUST PAYMENT AD</v>
          </cell>
        </row>
        <row r="14231">
          <cell r="H14231" t="str">
            <v>PAYMET</v>
          </cell>
          <cell r="I14231" t="str">
            <v>METAVANTE ONLINE PAYMENT</v>
          </cell>
        </row>
        <row r="14232">
          <cell r="H14232" t="str">
            <v>PAYPNCL</v>
          </cell>
          <cell r="I14232" t="str">
            <v>PAYMENT THANK YOU!</v>
          </cell>
        </row>
        <row r="14233">
          <cell r="H14233" t="str">
            <v>PAYUSBL</v>
          </cell>
          <cell r="I14233" t="str">
            <v>PAYMENT THANK YOU</v>
          </cell>
        </row>
        <row r="14234">
          <cell r="H14234" t="str">
            <v>RET-KOL</v>
          </cell>
          <cell r="I14234" t="str">
            <v>ONLINE PAYMENT RETURN</v>
          </cell>
        </row>
        <row r="14235">
          <cell r="H14235" t="str">
            <v>RETCK-PNCL</v>
          </cell>
          <cell r="I14235" t="str">
            <v>RETURNED CHECK - PNC LOCKBOX</v>
          </cell>
        </row>
        <row r="14236">
          <cell r="H14236" t="str">
            <v>CC-KOL</v>
          </cell>
          <cell r="I14236" t="str">
            <v>ONLINE PAYMENT-CC</v>
          </cell>
        </row>
        <row r="14237">
          <cell r="H14237" t="str">
            <v>CCREF-KOL</v>
          </cell>
          <cell r="I14237" t="str">
            <v>CREDIT CARD REFUND</v>
          </cell>
        </row>
        <row r="14238">
          <cell r="H14238" t="str">
            <v>PAY</v>
          </cell>
          <cell r="I14238" t="str">
            <v>PAYMENT THANK YOU</v>
          </cell>
        </row>
        <row r="14239">
          <cell r="H14239" t="str">
            <v>PAY-CFREE</v>
          </cell>
          <cell r="I14239" t="str">
            <v>CHECKFREE PAYMENT</v>
          </cell>
        </row>
        <row r="14240">
          <cell r="H14240" t="str">
            <v>PAY-KOL</v>
          </cell>
          <cell r="I14240" t="str">
            <v>PAYMENT-THANK YOU - OL</v>
          </cell>
        </row>
        <row r="14241">
          <cell r="H14241" t="str">
            <v>PAY-ORCC</v>
          </cell>
          <cell r="I14241" t="str">
            <v>ORCC PAYMENT</v>
          </cell>
        </row>
        <row r="14242">
          <cell r="H14242" t="str">
            <v>PAY-RPPS</v>
          </cell>
          <cell r="I14242" t="str">
            <v>RPPS MASTERCARD PAYMENT</v>
          </cell>
        </row>
        <row r="14243">
          <cell r="H14243" t="str">
            <v>PAYAD</v>
          </cell>
          <cell r="I14243" t="str">
            <v>ADJUST PAYMENT AD</v>
          </cell>
        </row>
        <row r="14244">
          <cell r="H14244" t="str">
            <v>PAYMET</v>
          </cell>
          <cell r="I14244" t="str">
            <v>METAVANTE ONLINE PAYMENT</v>
          </cell>
        </row>
        <row r="14245">
          <cell r="H14245" t="str">
            <v>PAYPNCL</v>
          </cell>
          <cell r="I14245" t="str">
            <v>PAYMENT THANK YOU!</v>
          </cell>
        </row>
        <row r="14246">
          <cell r="H14246" t="str">
            <v>PAYUSBL</v>
          </cell>
          <cell r="I14246" t="str">
            <v>PAYMENT THANK YOU</v>
          </cell>
        </row>
        <row r="14247">
          <cell r="H14247" t="str">
            <v>RET-KOL</v>
          </cell>
          <cell r="I14247" t="str">
            <v>ONLINE PAYMENT RETURN</v>
          </cell>
        </row>
        <row r="14248">
          <cell r="H14248" t="str">
            <v>CC-KOL</v>
          </cell>
          <cell r="I14248" t="str">
            <v>ONLINE PAYMENT-CC</v>
          </cell>
        </row>
        <row r="14249">
          <cell r="H14249" t="str">
            <v>CCREF-KOL</v>
          </cell>
          <cell r="I14249" t="str">
            <v>CREDIT CARD REFUND</v>
          </cell>
        </row>
        <row r="14250">
          <cell r="H14250" t="str">
            <v>PAY</v>
          </cell>
          <cell r="I14250" t="str">
            <v>PAYMENT THANK YOU</v>
          </cell>
        </row>
        <row r="14251">
          <cell r="H14251" t="str">
            <v>PAY-CFREE</v>
          </cell>
          <cell r="I14251" t="str">
            <v>CHECKFREE PAYMENT</v>
          </cell>
        </row>
        <row r="14252">
          <cell r="H14252" t="str">
            <v>PAY-KOL</v>
          </cell>
          <cell r="I14252" t="str">
            <v>PAYMENT-THANK YOU - OL</v>
          </cell>
        </row>
        <row r="14253">
          <cell r="H14253" t="str">
            <v>PAY-NATL</v>
          </cell>
          <cell r="I14253" t="str">
            <v>PAYMENT THANK YOU</v>
          </cell>
        </row>
        <row r="14254">
          <cell r="H14254" t="str">
            <v>PAY-OAK</v>
          </cell>
          <cell r="I14254" t="str">
            <v>OAKLEAF PAYMENT</v>
          </cell>
        </row>
        <row r="14255">
          <cell r="H14255" t="str">
            <v>PAY-ORCC</v>
          </cell>
          <cell r="I14255" t="str">
            <v>ORCC PAYMENT</v>
          </cell>
        </row>
        <row r="14256">
          <cell r="H14256" t="str">
            <v>PAY-RPPS</v>
          </cell>
          <cell r="I14256" t="str">
            <v>RPPS MASTERCARD PAYMENT</v>
          </cell>
        </row>
        <row r="14257">
          <cell r="H14257" t="str">
            <v>PAYEFT</v>
          </cell>
          <cell r="I14257" t="str">
            <v>EFT PAYMENT</v>
          </cell>
        </row>
        <row r="14258">
          <cell r="H14258" t="str">
            <v>PAYICLRI</v>
          </cell>
          <cell r="I14258" t="str">
            <v>PAYMENT THANK YOU</v>
          </cell>
        </row>
        <row r="14259">
          <cell r="H14259" t="str">
            <v>PAYICT</v>
          </cell>
          <cell r="I14259" t="str">
            <v>I/C PAYMENT THANK YOU</v>
          </cell>
        </row>
        <row r="14260">
          <cell r="H14260" t="str">
            <v>PAYMET</v>
          </cell>
          <cell r="I14260" t="str">
            <v>METAVANTE ONLINE PAYMENT</v>
          </cell>
        </row>
        <row r="14261">
          <cell r="H14261" t="str">
            <v>PAYPNCL</v>
          </cell>
          <cell r="I14261" t="str">
            <v>PAYMENT THANK YOU!</v>
          </cell>
        </row>
        <row r="14262">
          <cell r="H14262" t="str">
            <v>PAYUSBL</v>
          </cell>
          <cell r="I14262" t="str">
            <v>PAYMENT THANK YOU</v>
          </cell>
        </row>
        <row r="14263">
          <cell r="H14263" t="str">
            <v>RET-KOL</v>
          </cell>
          <cell r="I14263" t="str">
            <v>ONLINE PAYMENT RETURN</v>
          </cell>
        </row>
        <row r="14264">
          <cell r="H14264" t="str">
            <v>DRIVEIN-RES</v>
          </cell>
          <cell r="I14264" t="str">
            <v>DRIVE IN SERVICE - RES</v>
          </cell>
        </row>
        <row r="14265">
          <cell r="H14265" t="str">
            <v>GWRES</v>
          </cell>
          <cell r="I14265" t="str">
            <v>GREENWASTE SERVICE - RES</v>
          </cell>
        </row>
        <row r="14266">
          <cell r="H14266" t="str">
            <v>GWSPCL-RES</v>
          </cell>
          <cell r="I14266" t="str">
            <v>GREENWASTE SEN/DIS - RES</v>
          </cell>
        </row>
        <row r="14267">
          <cell r="H14267" t="str">
            <v>RECBINONLYR</v>
          </cell>
          <cell r="I14267" t="str">
            <v>RECYCLE SERVICE ONLY</v>
          </cell>
        </row>
        <row r="14268">
          <cell r="H14268" t="str">
            <v>SL035.0G1W001WREC</v>
          </cell>
          <cell r="I14268" t="str">
            <v>35 GL 1X WK W/ RECY 1</v>
          </cell>
        </row>
        <row r="14269">
          <cell r="H14269" t="str">
            <v>SL065.0G1M001NOREC</v>
          </cell>
          <cell r="I14269" t="str">
            <v>65 GL 1X MO NO RECY 1</v>
          </cell>
        </row>
        <row r="14270">
          <cell r="H14270" t="str">
            <v>SL065.0G1M001WREC</v>
          </cell>
          <cell r="I14270" t="str">
            <v>65 GL 1X MO W/RECY 1</v>
          </cell>
        </row>
        <row r="14271">
          <cell r="H14271" t="str">
            <v>SL065.0G1W001WREC</v>
          </cell>
          <cell r="I14271" t="str">
            <v>65 GL 1X WK W/RECY 1</v>
          </cell>
        </row>
        <row r="14272">
          <cell r="H14272" t="str">
            <v>SL065.0GEO001WREC</v>
          </cell>
          <cell r="I14272" t="str">
            <v>65 GL EOW W/RECY 1</v>
          </cell>
        </row>
        <row r="14273">
          <cell r="H14273" t="str">
            <v>SL095.0G1M001WREC</v>
          </cell>
          <cell r="I14273" t="str">
            <v>95 GL 1X MO W/RECY 1</v>
          </cell>
        </row>
        <row r="14274">
          <cell r="H14274" t="str">
            <v>SL095.0G1W001NOREC</v>
          </cell>
          <cell r="I14274" t="str">
            <v>95 GL 1X WK NO RECY 1</v>
          </cell>
        </row>
        <row r="14275">
          <cell r="H14275" t="str">
            <v>SL095.0G1W001WREC</v>
          </cell>
          <cell r="I14275" t="str">
            <v>95 GL 1X WK W/RECY 1</v>
          </cell>
        </row>
        <row r="14276">
          <cell r="H14276" t="str">
            <v>SL095.0GEO001WREC</v>
          </cell>
          <cell r="I14276" t="str">
            <v>95 GL EOW W/RECY 1</v>
          </cell>
        </row>
        <row r="14277">
          <cell r="H14277" t="str">
            <v>WI4-RES</v>
          </cell>
          <cell r="I14277" t="str">
            <v>WALK IN 76-100' - RES</v>
          </cell>
        </row>
        <row r="14278">
          <cell r="H14278" t="str">
            <v>BULKY-RES</v>
          </cell>
          <cell r="I14278" t="str">
            <v>BULKY ITEM PICK UP - RES</v>
          </cell>
        </row>
        <row r="14279">
          <cell r="H14279" t="str">
            <v>EP96GWC-RES</v>
          </cell>
          <cell r="I14279" t="str">
            <v>EXTRA PICK UP 96 GW - RES</v>
          </cell>
        </row>
        <row r="14280">
          <cell r="H14280" t="str">
            <v>EXTRA-RES</v>
          </cell>
          <cell r="I14280" t="str">
            <v>EXTRA CAN, BAG, BOX - RES</v>
          </cell>
        </row>
        <row r="14281">
          <cell r="H14281" t="str">
            <v>EXTRAGRAD1-RES</v>
          </cell>
          <cell r="I14281" t="str">
            <v>EXTRAS GRADUATED 1-2 - RES</v>
          </cell>
        </row>
        <row r="14282">
          <cell r="H14282" t="str">
            <v>EXTRAGRAD2-RES</v>
          </cell>
          <cell r="I14282" t="str">
            <v>EXTRAS GRADUATED 3+ - RES</v>
          </cell>
        </row>
        <row r="14283">
          <cell r="H14283" t="str">
            <v>EXTRAGWC-RES</v>
          </cell>
          <cell r="I14283" t="str">
            <v>EXTRA GREENWASTE FEE - RE</v>
          </cell>
        </row>
        <row r="14284">
          <cell r="H14284" t="str">
            <v>GWRES</v>
          </cell>
          <cell r="I14284" t="str">
            <v>GREENWASTE SERVICE - RES</v>
          </cell>
        </row>
        <row r="14285">
          <cell r="H14285" t="str">
            <v>OW-RES</v>
          </cell>
          <cell r="I14285" t="str">
            <v>OVERFILL / OVERWEIGHT CAN</v>
          </cell>
        </row>
        <row r="14286">
          <cell r="H14286" t="str">
            <v>REINSTATE-RES</v>
          </cell>
          <cell r="I14286" t="str">
            <v>REINSTATE FEE - RES</v>
          </cell>
        </row>
        <row r="14287">
          <cell r="H14287" t="str">
            <v>RTRNCART65-RES</v>
          </cell>
          <cell r="I14287" t="str">
            <v>RETURN TRIP 65 GL - RES</v>
          </cell>
        </row>
        <row r="14288">
          <cell r="H14288" t="str">
            <v>RTRNCART95-RES</v>
          </cell>
          <cell r="I14288" t="str">
            <v>RETURN TRIP 95 GL - RES</v>
          </cell>
        </row>
        <row r="14289">
          <cell r="H14289" t="str">
            <v>RTRNCART96REC-RES</v>
          </cell>
          <cell r="I14289" t="str">
            <v>RETURN TRIP 96 GL REC - RES</v>
          </cell>
        </row>
        <row r="14290">
          <cell r="H14290" t="str">
            <v>SL035.0G1W001WREC</v>
          </cell>
          <cell r="I14290" t="str">
            <v>35 GL 1X WK W/ RECY 1</v>
          </cell>
        </row>
        <row r="14291">
          <cell r="H14291" t="str">
            <v>SL065.0G1W001WREC</v>
          </cell>
          <cell r="I14291" t="str">
            <v>65 GL 1X WK W/RECY 1</v>
          </cell>
        </row>
        <row r="14292">
          <cell r="H14292" t="str">
            <v>SL065.0GEO001WREC</v>
          </cell>
          <cell r="I14292" t="str">
            <v>65 GL EOW W/RECY 1</v>
          </cell>
        </row>
        <row r="14293">
          <cell r="H14293" t="str">
            <v>SL095.0G1W001WREC</v>
          </cell>
          <cell r="I14293" t="str">
            <v>95 GL 1X WK W/RECY 1</v>
          </cell>
        </row>
        <row r="14294">
          <cell r="H14294" t="str">
            <v>SL095.0GEO001WREC</v>
          </cell>
          <cell r="I14294" t="str">
            <v>95 GL EOW W/RECY 1</v>
          </cell>
        </row>
        <row r="14295">
          <cell r="H14295" t="str">
            <v>SPGRAD1-RES</v>
          </cell>
          <cell r="I14295" t="str">
            <v>SPECIAL GRADUATED 1-2 - R</v>
          </cell>
        </row>
        <row r="14296">
          <cell r="H14296" t="str">
            <v>SPGRAD2-RES</v>
          </cell>
          <cell r="I14296" t="str">
            <v>SPECIAL GRADUATED 3+ - RE</v>
          </cell>
        </row>
        <row r="14297">
          <cell r="H14297" t="str">
            <v>UNRETURN-RES</v>
          </cell>
          <cell r="I14297" t="str">
            <v xml:space="preserve">CONTAINER UNRETURNED FEE </v>
          </cell>
        </row>
        <row r="14298">
          <cell r="H14298" t="str">
            <v>ACCESS-RES</v>
          </cell>
          <cell r="I14298" t="str">
            <v>ACCESS FEE - RES</v>
          </cell>
        </row>
        <row r="14299">
          <cell r="H14299" t="str">
            <v>DRIVEIN-RES</v>
          </cell>
          <cell r="I14299" t="str">
            <v>DRIVE IN SERVICE - RES</v>
          </cell>
        </row>
        <row r="14300">
          <cell r="H14300" t="str">
            <v>DRIVEIN1-RES</v>
          </cell>
          <cell r="I14300" t="str">
            <v>DRIVE IN 1 - RES</v>
          </cell>
        </row>
        <row r="14301">
          <cell r="H14301" t="str">
            <v>DRIVEIN2-RES</v>
          </cell>
          <cell r="I14301" t="str">
            <v>DRIVE IN 2 - RES</v>
          </cell>
        </row>
        <row r="14302">
          <cell r="H14302" t="str">
            <v>DRIVEIN3-RES</v>
          </cell>
          <cell r="I14302" t="str">
            <v>DRIVE IN 3 - RES</v>
          </cell>
        </row>
        <row r="14303">
          <cell r="H14303" t="str">
            <v>DRIVEIN4-RES</v>
          </cell>
          <cell r="I14303" t="str">
            <v>DRIVE IN 4 - RES</v>
          </cell>
        </row>
        <row r="14304">
          <cell r="H14304" t="str">
            <v>EMPLOYEER</v>
          </cell>
          <cell r="I14304" t="str">
            <v>EMPLOYEE SERVICE RES</v>
          </cell>
        </row>
        <row r="14305">
          <cell r="H14305" t="str">
            <v>GWRES</v>
          </cell>
          <cell r="I14305" t="str">
            <v>GREENWASTE SERVICE - RES</v>
          </cell>
        </row>
        <row r="14306">
          <cell r="H14306" t="str">
            <v>GWSPCL-RES</v>
          </cell>
          <cell r="I14306" t="str">
            <v>GREENWASTE SEN/DIS - RES</v>
          </cell>
        </row>
        <row r="14307">
          <cell r="H14307" t="str">
            <v>RECBINONLYR</v>
          </cell>
          <cell r="I14307" t="str">
            <v>RECYCLE SERVICE ONLY</v>
          </cell>
        </row>
        <row r="14308">
          <cell r="H14308" t="str">
            <v>RECPROGADJ-RES</v>
          </cell>
          <cell r="I14308" t="str">
            <v>RECYCLING PROGRAM ADJUSTM</v>
          </cell>
        </row>
        <row r="14309">
          <cell r="H14309" t="str">
            <v>RECVALRES</v>
          </cell>
          <cell r="I14309" t="str">
            <v>RECYCLABLES VALUE - RES</v>
          </cell>
        </row>
        <row r="14310">
          <cell r="H14310" t="str">
            <v>RL020.0G1W001</v>
          </cell>
          <cell r="I14310" t="str">
            <v>20 GL 1X WK 1</v>
          </cell>
        </row>
        <row r="14311">
          <cell r="H14311" t="str">
            <v>RL032.0G1M001WRECSPCL</v>
          </cell>
          <cell r="I14311" t="str">
            <v>32 GL 1X MO S/D W/RECY</v>
          </cell>
        </row>
        <row r="14312">
          <cell r="H14312" t="str">
            <v>SL032.0G1W001WREC</v>
          </cell>
          <cell r="I14312" t="str">
            <v>32 GL 1X WK W/RECY 1</v>
          </cell>
        </row>
        <row r="14313">
          <cell r="H14313" t="str">
            <v>SL035.0G1M001WREC</v>
          </cell>
          <cell r="I14313" t="str">
            <v>35 GL 1X MO W/RECY 1</v>
          </cell>
        </row>
        <row r="14314">
          <cell r="H14314" t="str">
            <v>SL035.0G1W001NOREC</v>
          </cell>
          <cell r="I14314" t="str">
            <v>35 GL 1X WK NO RECY 1</v>
          </cell>
        </row>
        <row r="14315">
          <cell r="H14315" t="str">
            <v>SL035.0G1W001WREC</v>
          </cell>
          <cell r="I14315" t="str">
            <v>35 GL 1X WK W/ RECY 1</v>
          </cell>
        </row>
        <row r="14316">
          <cell r="H14316" t="str">
            <v>SL065.0G1M001NOREC</v>
          </cell>
          <cell r="I14316" t="str">
            <v>65 GL 1X MO NO RECY 1</v>
          </cell>
        </row>
        <row r="14317">
          <cell r="H14317" t="str">
            <v>SL065.0G1M001SPCLNOREC</v>
          </cell>
          <cell r="I14317" t="str">
            <v>65 GL 1X MO S/D NO REC 1</v>
          </cell>
        </row>
        <row r="14318">
          <cell r="H14318" t="str">
            <v>SL065.0G1M001WREC</v>
          </cell>
          <cell r="I14318" t="str">
            <v>65 GL 1X MO W/RECY 1</v>
          </cell>
        </row>
        <row r="14319">
          <cell r="H14319" t="str">
            <v>SL065.0G1M001WRECSPCL</v>
          </cell>
          <cell r="I14319" t="str">
            <v>65 GL 1X MO W/RECY S/D 1</v>
          </cell>
        </row>
        <row r="14320">
          <cell r="H14320" t="str">
            <v>SL065.0G1W001NOREC</v>
          </cell>
          <cell r="I14320" t="str">
            <v>65 GL 1X WK NO RECY 1</v>
          </cell>
        </row>
        <row r="14321">
          <cell r="H14321" t="str">
            <v>SL065.0G1W001SPCLWREC</v>
          </cell>
          <cell r="I14321" t="str">
            <v>65 GL 1X WK S/D W/REC 1</v>
          </cell>
        </row>
        <row r="14322">
          <cell r="H14322" t="str">
            <v>SL065.0G1W001WREC</v>
          </cell>
          <cell r="I14322" t="str">
            <v>65 GL 1X WK W/RECY 1</v>
          </cell>
        </row>
        <row r="14323">
          <cell r="H14323" t="str">
            <v>SL065.0GEO001NOREC</v>
          </cell>
          <cell r="I14323" t="str">
            <v>65 GL EOW NO RECY 1</v>
          </cell>
        </row>
        <row r="14324">
          <cell r="H14324" t="str">
            <v>SL065.0GEO001SPCLWREC</v>
          </cell>
          <cell r="I14324" t="str">
            <v>65 GL EOW S/D W/RECY 1</v>
          </cell>
        </row>
        <row r="14325">
          <cell r="H14325" t="str">
            <v>SL065.0GEO001WREC</v>
          </cell>
          <cell r="I14325" t="str">
            <v>65 GL EOW W/RECY 1</v>
          </cell>
        </row>
        <row r="14326">
          <cell r="H14326" t="str">
            <v>SL095.0G1M001WREC</v>
          </cell>
          <cell r="I14326" t="str">
            <v>95 GL 1X MO W/RECY 1</v>
          </cell>
        </row>
        <row r="14327">
          <cell r="H14327" t="str">
            <v>SL095.0G1W001NOREC</v>
          </cell>
          <cell r="I14327" t="str">
            <v>95 GL 1X WK NO RECY 1</v>
          </cell>
        </row>
        <row r="14328">
          <cell r="H14328" t="str">
            <v>SL095.0G1W001WREC</v>
          </cell>
          <cell r="I14328" t="str">
            <v>95 GL 1X WK W/RECY 1</v>
          </cell>
        </row>
        <row r="14329">
          <cell r="H14329" t="str">
            <v>SL095.0GEO001NOREC</v>
          </cell>
          <cell r="I14329" t="str">
            <v>95 GL EOW NO RECY 1</v>
          </cell>
        </row>
        <row r="14330">
          <cell r="H14330" t="str">
            <v>SL095.0GEO001SPCLWREC</v>
          </cell>
          <cell r="I14330" t="str">
            <v>95 GL EOW S/D W/RECY 1</v>
          </cell>
        </row>
        <row r="14331">
          <cell r="H14331" t="str">
            <v>SL095.0GEO001WREC</v>
          </cell>
          <cell r="I14331" t="str">
            <v>95 GL EOW W/RECY 1</v>
          </cell>
        </row>
        <row r="14332">
          <cell r="H14332" t="str">
            <v>WI1-RES</v>
          </cell>
          <cell r="I14332" t="str">
            <v>WALK IN 6-25' - RES</v>
          </cell>
        </row>
        <row r="14333">
          <cell r="H14333" t="str">
            <v>WI2-RES</v>
          </cell>
          <cell r="I14333" t="str">
            <v>WALK IN 26-50' - RES</v>
          </cell>
        </row>
        <row r="14334">
          <cell r="H14334" t="str">
            <v>BULKY-RES</v>
          </cell>
          <cell r="I14334" t="str">
            <v>BULKY ITEM PICK UP - RES</v>
          </cell>
        </row>
        <row r="14335">
          <cell r="H14335" t="str">
            <v>EP96GWC-RES</v>
          </cell>
          <cell r="I14335" t="str">
            <v>EXTRA PICK UP 96 GW - RES</v>
          </cell>
        </row>
        <row r="14336">
          <cell r="H14336" t="str">
            <v>EXTRA-RES</v>
          </cell>
          <cell r="I14336" t="str">
            <v>EXTRA CAN, BAG, BOX - RES</v>
          </cell>
        </row>
        <row r="14337">
          <cell r="H14337" t="str">
            <v>EXTRAGRAD1-RES</v>
          </cell>
          <cell r="I14337" t="str">
            <v>EXTRAS GRADUATED 1-2 - RES</v>
          </cell>
        </row>
        <row r="14338">
          <cell r="H14338" t="str">
            <v>EXTRAGRAD2-RES</v>
          </cell>
          <cell r="I14338" t="str">
            <v>EXTRAS GRADUATED 3+ - RES</v>
          </cell>
        </row>
        <row r="14339">
          <cell r="H14339" t="str">
            <v>EXTRAGWC-RES</v>
          </cell>
          <cell r="I14339" t="str">
            <v>EXTRA GREENWASTE FEE - RE</v>
          </cell>
        </row>
        <row r="14340">
          <cell r="H14340" t="str">
            <v>GWRES</v>
          </cell>
          <cell r="I14340" t="str">
            <v>GREENWASTE SERVICE - RES</v>
          </cell>
        </row>
        <row r="14341">
          <cell r="H14341" t="str">
            <v>OW-RES</v>
          </cell>
          <cell r="I14341" t="str">
            <v>OVERFILL / OVERWEIGHT CAN</v>
          </cell>
        </row>
        <row r="14342">
          <cell r="H14342" t="str">
            <v>RECPROGADJ-RES</v>
          </cell>
          <cell r="I14342" t="str">
            <v>RECYCLING PROGRAM ADJUSTM</v>
          </cell>
        </row>
        <row r="14343">
          <cell r="H14343" t="str">
            <v>REINSTATE-RES</v>
          </cell>
          <cell r="I14343" t="str">
            <v>REINSTATE FEE - RES</v>
          </cell>
        </row>
        <row r="14344">
          <cell r="H14344" t="str">
            <v>RTRNCART-RES</v>
          </cell>
          <cell r="I14344" t="str">
            <v>RETURN TRIP FEE CART - RE</v>
          </cell>
        </row>
        <row r="14345">
          <cell r="H14345" t="str">
            <v>RTRNCART65-RES</v>
          </cell>
          <cell r="I14345" t="str">
            <v>RETURN TRIP 65 GL - RES</v>
          </cell>
        </row>
        <row r="14346">
          <cell r="H14346" t="str">
            <v>RTRNCART95-RES</v>
          </cell>
          <cell r="I14346" t="str">
            <v>RETURN TRIP 95 GL - RES</v>
          </cell>
        </row>
        <row r="14347">
          <cell r="H14347" t="str">
            <v>SL035.0G1M001WREC</v>
          </cell>
          <cell r="I14347" t="str">
            <v>35 GL 1X MO W/RECY 1</v>
          </cell>
        </row>
        <row r="14348">
          <cell r="H14348" t="str">
            <v>SL035.0G1W001WREC</v>
          </cell>
          <cell r="I14348" t="str">
            <v>35 GL 1X WK W/ RECY 1</v>
          </cell>
        </row>
        <row r="14349">
          <cell r="H14349" t="str">
            <v>SL065.0G1W001WREC</v>
          </cell>
          <cell r="I14349" t="str">
            <v>65 GL 1X WK W/RECY 1</v>
          </cell>
        </row>
        <row r="14350">
          <cell r="H14350" t="str">
            <v>SL065.0GEO001WREC</v>
          </cell>
          <cell r="I14350" t="str">
            <v>65 GL EOW W/RECY 1</v>
          </cell>
        </row>
        <row r="14351">
          <cell r="H14351" t="str">
            <v>SL095.0G1W001WREC</v>
          </cell>
          <cell r="I14351" t="str">
            <v>95 GL 1X WK W/RECY 1</v>
          </cell>
        </row>
        <row r="14352">
          <cell r="H14352" t="str">
            <v>SL095.0GEO001WREC</v>
          </cell>
          <cell r="I14352" t="str">
            <v>95 GL EOW W/RECY 1</v>
          </cell>
        </row>
        <row r="14353">
          <cell r="H14353" t="str">
            <v>SPGRAD1-RES</v>
          </cell>
          <cell r="I14353" t="str">
            <v>SPECIAL GRADUATED 1-2 - R</v>
          </cell>
        </row>
        <row r="14354">
          <cell r="H14354" t="str">
            <v>BULKY-RES</v>
          </cell>
          <cell r="I14354" t="str">
            <v>BULKY ITEM PICK UP - RES</v>
          </cell>
        </row>
        <row r="14355">
          <cell r="H14355" t="str">
            <v>OW-RES</v>
          </cell>
          <cell r="I14355" t="str">
            <v>OVERFILL / OVERWEIGHT CAN</v>
          </cell>
        </row>
        <row r="14356">
          <cell r="H14356" t="str">
            <v>REINSTATE-RES</v>
          </cell>
          <cell r="I14356" t="str">
            <v>REINSTATE FEE - RES</v>
          </cell>
        </row>
        <row r="14357">
          <cell r="H14357" t="str">
            <v>SL095.0G1W001WREC</v>
          </cell>
          <cell r="I14357" t="str">
            <v>95 GL 1X WK W/RECY 1</v>
          </cell>
        </row>
        <row r="14358">
          <cell r="H14358" t="str">
            <v>DISCO-CP</v>
          </cell>
          <cell r="I14358" t="str">
            <v xml:space="preserve">COMPACTOR DISCONNECT FEE </v>
          </cell>
        </row>
        <row r="14359">
          <cell r="H14359" t="str">
            <v>HAUL30-RO</v>
          </cell>
          <cell r="I14359" t="str">
            <v>HAUL 30 YD - RO</v>
          </cell>
        </row>
        <row r="14360">
          <cell r="H14360" t="str">
            <v>LIDRO</v>
          </cell>
          <cell r="I14360" t="str">
            <v>LID CHARGE - RO</v>
          </cell>
        </row>
        <row r="14361">
          <cell r="H14361" t="str">
            <v>RENT15MO-RO</v>
          </cell>
          <cell r="I14361" t="str">
            <v>RENTAL FEE 15 YD MONTHLY</v>
          </cell>
        </row>
        <row r="14362">
          <cell r="H14362" t="str">
            <v>RENT20MO-RO</v>
          </cell>
          <cell r="I14362" t="str">
            <v>RENTAL FEE 20 YD MONTHLY</v>
          </cell>
        </row>
        <row r="14363">
          <cell r="H14363" t="str">
            <v>RENT30MO-RO</v>
          </cell>
          <cell r="I14363" t="str">
            <v>RENTAL FEE 30 YD MONTHLY</v>
          </cell>
        </row>
        <row r="14364">
          <cell r="H14364" t="str">
            <v>RENT30TEMP-RO</v>
          </cell>
          <cell r="I14364" t="str">
            <v>RENTAL FEE 30 YD TEMP - R</v>
          </cell>
        </row>
        <row r="14365">
          <cell r="H14365" t="str">
            <v>RENT40MO-RO</v>
          </cell>
          <cell r="I14365" t="str">
            <v>RENTAL FEE 40 YD MONTHLY</v>
          </cell>
        </row>
        <row r="14366">
          <cell r="H14366" t="str">
            <v>CLEAN25-RO</v>
          </cell>
          <cell r="I14366" t="str">
            <v>CLEANING FEE 25 YD - RO</v>
          </cell>
        </row>
        <row r="14367">
          <cell r="H14367" t="str">
            <v>DEL20-RO</v>
          </cell>
          <cell r="I14367" t="str">
            <v>DELIVERY FEE 20 YD - RO</v>
          </cell>
        </row>
        <row r="14368">
          <cell r="H14368" t="str">
            <v>DEL20TEMP-RO</v>
          </cell>
          <cell r="I14368" t="str">
            <v>DELIVERY FEE 20 YD TEMP -</v>
          </cell>
        </row>
        <row r="14369">
          <cell r="H14369" t="str">
            <v>DEL30-RO</v>
          </cell>
          <cell r="I14369" t="str">
            <v>DELIVERY FEE 30 YD - RO</v>
          </cell>
        </row>
        <row r="14370">
          <cell r="H14370" t="str">
            <v>DEL30TEMP-RO</v>
          </cell>
          <cell r="I14370" t="str">
            <v>DELIVERY FEE 30 YD TEMP -</v>
          </cell>
        </row>
        <row r="14371">
          <cell r="H14371" t="str">
            <v>DEL40-RO</v>
          </cell>
          <cell r="I14371" t="str">
            <v>DELIVERY FEE 40 YD - RO</v>
          </cell>
        </row>
        <row r="14372">
          <cell r="H14372" t="str">
            <v>DEL40TEMP-RO</v>
          </cell>
          <cell r="I14372" t="str">
            <v>DELIVERY FEE 40 YD TEMP -</v>
          </cell>
        </row>
        <row r="14373">
          <cell r="H14373" t="str">
            <v>DISCO-CP</v>
          </cell>
          <cell r="I14373" t="str">
            <v xml:space="preserve">COMPACTOR DISCONNECT FEE </v>
          </cell>
        </row>
        <row r="14374">
          <cell r="H14374" t="str">
            <v>DISP-RO</v>
          </cell>
          <cell r="I14374" t="str">
            <v>DISPOSAL CHARGE - RO</v>
          </cell>
        </row>
        <row r="14375">
          <cell r="H14375" t="str">
            <v>DISPTRANS-RO</v>
          </cell>
          <cell r="I14375" t="str">
            <v>DISPOSAL FEE TRANSFER HAU</v>
          </cell>
        </row>
        <row r="14376">
          <cell r="H14376" t="str">
            <v>FINAL20-RO</v>
          </cell>
          <cell r="I14376" t="str">
            <v>FINAL PULL 20 YD - RO</v>
          </cell>
        </row>
        <row r="14377">
          <cell r="H14377" t="str">
            <v>FINAL20TEMP-RO</v>
          </cell>
          <cell r="I14377" t="str">
            <v>FINAL PULL 20 YD TEMP - R</v>
          </cell>
        </row>
        <row r="14378">
          <cell r="H14378" t="str">
            <v>FINAL30-RO</v>
          </cell>
          <cell r="I14378" t="str">
            <v>FINAL PULL 30 YD - RO</v>
          </cell>
        </row>
        <row r="14379">
          <cell r="H14379" t="str">
            <v>FINAL30TEMP-RO</v>
          </cell>
          <cell r="I14379" t="str">
            <v>FINAL PULL 30 YD TEMP - R</v>
          </cell>
        </row>
        <row r="14380">
          <cell r="H14380" t="str">
            <v>FINAL40-RO</v>
          </cell>
          <cell r="I14380" t="str">
            <v>FINAL PULL 40 YD - RO</v>
          </cell>
        </row>
        <row r="14381">
          <cell r="H14381" t="str">
            <v>FINAL40TEMP-RO</v>
          </cell>
          <cell r="I14381" t="str">
            <v>FINAL PULL 40 YD TEMP - R</v>
          </cell>
        </row>
        <row r="14382">
          <cell r="H14382" t="str">
            <v>GATE-RO</v>
          </cell>
          <cell r="I14382" t="str">
            <v>GATE CHARGE - RO</v>
          </cell>
        </row>
        <row r="14383">
          <cell r="H14383" t="str">
            <v>HAUL10-CP</v>
          </cell>
          <cell r="I14383" t="str">
            <v>COMPACTOR HAUL 10 YD - RO</v>
          </cell>
        </row>
        <row r="14384">
          <cell r="H14384" t="str">
            <v>HAUL15-CP</v>
          </cell>
          <cell r="I14384" t="str">
            <v>COMPACTOR HAUL 15 YD</v>
          </cell>
        </row>
        <row r="14385">
          <cell r="H14385" t="str">
            <v>HAUL15-RO</v>
          </cell>
          <cell r="I14385" t="str">
            <v>HAUL 15 YD - RO</v>
          </cell>
        </row>
        <row r="14386">
          <cell r="H14386" t="str">
            <v>HAUL20-CP</v>
          </cell>
          <cell r="I14386" t="str">
            <v>COMPACTOR HAUL 20 YD - RO</v>
          </cell>
        </row>
        <row r="14387">
          <cell r="H14387" t="str">
            <v>HAUL20-RO</v>
          </cell>
          <cell r="I14387" t="str">
            <v>HAUL 20 YD - RO</v>
          </cell>
        </row>
        <row r="14388">
          <cell r="H14388" t="str">
            <v>HAUL20TEMP-RO</v>
          </cell>
          <cell r="I14388" t="str">
            <v>HAUL 20 YD TEMP - RO</v>
          </cell>
        </row>
        <row r="14389">
          <cell r="H14389" t="str">
            <v>HAUL25-CP</v>
          </cell>
          <cell r="I14389" t="str">
            <v>COMPACTOR HAUL 25 YD - RO</v>
          </cell>
        </row>
        <row r="14390">
          <cell r="H14390" t="str">
            <v>HAUL26-CP</v>
          </cell>
          <cell r="I14390" t="str">
            <v>COMPACTOR HAUL 26 YD - RO</v>
          </cell>
        </row>
        <row r="14391">
          <cell r="H14391" t="str">
            <v>HAUL30-CP</v>
          </cell>
          <cell r="I14391" t="str">
            <v>COMPACTOR HAUL 30 YD</v>
          </cell>
        </row>
        <row r="14392">
          <cell r="H14392" t="str">
            <v>HAUL30-RO</v>
          </cell>
          <cell r="I14392" t="str">
            <v>HAUL 30 YD - RO</v>
          </cell>
        </row>
        <row r="14393">
          <cell r="H14393" t="str">
            <v>HAUL30TEMP-RO</v>
          </cell>
          <cell r="I14393" t="str">
            <v>HAUL 30 YD TEMP - RO</v>
          </cell>
        </row>
        <row r="14394">
          <cell r="H14394" t="str">
            <v>HAUL35-CP</v>
          </cell>
          <cell r="I14394" t="str">
            <v>COMPACTOR HAUL 35 YD - RO</v>
          </cell>
        </row>
        <row r="14395">
          <cell r="H14395" t="str">
            <v>HAUL40-CP</v>
          </cell>
          <cell r="I14395" t="str">
            <v>COMPACTOR HAUL 40 YD</v>
          </cell>
        </row>
        <row r="14396">
          <cell r="H14396" t="str">
            <v>HAUL40-RO</v>
          </cell>
          <cell r="I14396" t="str">
            <v>HAUL 40 YD - RO</v>
          </cell>
        </row>
        <row r="14397">
          <cell r="H14397" t="str">
            <v>HAUL40TEMP-RO</v>
          </cell>
          <cell r="I14397" t="str">
            <v>HAUL 40 YD TEMP - RO</v>
          </cell>
        </row>
        <row r="14398">
          <cell r="H14398" t="str">
            <v>RELO-RO</v>
          </cell>
          <cell r="I14398" t="str">
            <v>RELOCATION FEE - RO</v>
          </cell>
        </row>
        <row r="14399">
          <cell r="H14399" t="str">
            <v>RENT20TEMP-RO</v>
          </cell>
          <cell r="I14399" t="str">
            <v>RENTAL FEE 20 YD TEMP - R</v>
          </cell>
        </row>
        <row r="14400">
          <cell r="H14400" t="str">
            <v>RENT30MO-RO</v>
          </cell>
          <cell r="I14400" t="str">
            <v>RENTAL FEE 30 YD MONTHLY</v>
          </cell>
        </row>
        <row r="14401">
          <cell r="H14401" t="str">
            <v>RENT30TEMP-RO</v>
          </cell>
          <cell r="I14401" t="str">
            <v>RENTAL FEE 30 YD TEMP - R</v>
          </cell>
        </row>
        <row r="14402">
          <cell r="H14402" t="str">
            <v>RENT40MO-RO</v>
          </cell>
          <cell r="I14402" t="str">
            <v>RENTAL FEE 40 YD MONTHLY</v>
          </cell>
        </row>
        <row r="14403">
          <cell r="H14403" t="str">
            <v>RENT40TEMP-RO</v>
          </cell>
          <cell r="I14403" t="str">
            <v>RENTAL FEE 40 YD TEMP - R</v>
          </cell>
        </row>
        <row r="14404">
          <cell r="H14404" t="str">
            <v>RTRNTRIP-RO</v>
          </cell>
          <cell r="I14404" t="str">
            <v>RETURN TRIP FEE - RO</v>
          </cell>
        </row>
        <row r="14405">
          <cell r="H14405" t="str">
            <v>TIME-RO</v>
          </cell>
          <cell r="I14405" t="str">
            <v>TIME FEE - RO</v>
          </cell>
        </row>
        <row r="14406">
          <cell r="H14406" t="str">
            <v>DISPGLASS-RO</v>
          </cell>
          <cell r="I14406" t="str">
            <v>DISPOSAL FEE GLASS - RO</v>
          </cell>
        </row>
        <row r="14407">
          <cell r="H14407" t="str">
            <v>HAUL30-RO</v>
          </cell>
          <cell r="I14407" t="str">
            <v>HAUL 30 YD - RO</v>
          </cell>
        </row>
        <row r="14408">
          <cell r="H14408" t="str">
            <v>COMMODITY SURCHARGE</v>
          </cell>
          <cell r="I14408" t="str">
            <v>COMMODITY SURCHARGE</v>
          </cell>
        </row>
        <row r="14409">
          <cell r="H14409" t="str">
            <v>COMMODITY SURCHARGE</v>
          </cell>
          <cell r="I14409" t="str">
            <v>COMMODITY SURCHARGE</v>
          </cell>
        </row>
        <row r="14410">
          <cell r="H14410" t="str">
            <v>LAKEWOOD CITY ONLY</v>
          </cell>
          <cell r="I14410" t="str">
            <v>6% CITY UTILITY TAX</v>
          </cell>
        </row>
        <row r="14411">
          <cell r="H14411" t="str">
            <v>LAKEWOOD CITY UTILITY TAX</v>
          </cell>
          <cell r="I14411" t="str">
            <v>6% CITY UTILITY TAX</v>
          </cell>
        </row>
        <row r="14412">
          <cell r="H14412" t="str">
            <v>LAKEWOOD REFUSE TAX</v>
          </cell>
          <cell r="I14412" t="str">
            <v>3.6% WA STATE REFUSE TAX</v>
          </cell>
        </row>
        <row r="14413">
          <cell r="H14413" t="str">
            <v>LAKEWOOD STATE SALES TAX</v>
          </cell>
          <cell r="I14413" t="str">
            <v>9.9% WA STATE SALES TAX</v>
          </cell>
        </row>
        <row r="14414">
          <cell r="H14414" t="str">
            <v>LAKEWOOD CITY ONLY</v>
          </cell>
          <cell r="I14414" t="str">
            <v>6% CITY UTILITY TAX</v>
          </cell>
        </row>
        <row r="14415">
          <cell r="H14415" t="str">
            <v>LAKEWOOD CITY UTILITY TAX</v>
          </cell>
          <cell r="I14415" t="str">
            <v>6% CITY UTILITY TAX</v>
          </cell>
        </row>
        <row r="14416">
          <cell r="H14416" t="str">
            <v>LAKEWOOD REFUSE TAX</v>
          </cell>
          <cell r="I14416" t="str">
            <v>3.6% WA STATE REFUSE TAX</v>
          </cell>
        </row>
        <row r="14417">
          <cell r="H14417" t="str">
            <v>LAKEWOOD STATE SALES TAX</v>
          </cell>
          <cell r="I14417" t="str">
            <v>9.9% WA STATE SALES TAX</v>
          </cell>
        </row>
        <row r="14418">
          <cell r="H14418" t="str">
            <v xml:space="preserve">PIERCE COUNTY REFUSE  </v>
          </cell>
          <cell r="I14418" t="str">
            <v>3.6% PIERCE COUNTY REFUSE</v>
          </cell>
        </row>
        <row r="14419">
          <cell r="H14419" t="str">
            <v>LAKEWOOD CITY UTILITY TAX</v>
          </cell>
          <cell r="I14419" t="str">
            <v>6% CITY UTILITY TAX</v>
          </cell>
        </row>
        <row r="14420">
          <cell r="H14420" t="str">
            <v>LAKEWOOD REFUSE TAX</v>
          </cell>
          <cell r="I14420" t="str">
            <v>3.6% WA STATE REFUSE TAX</v>
          </cell>
        </row>
        <row r="14421">
          <cell r="H14421" t="str">
            <v>LAKEWOOD STATE SALES TAX</v>
          </cell>
          <cell r="I14421" t="str">
            <v>9.9% WA STATE SALES TAX</v>
          </cell>
        </row>
        <row r="14422">
          <cell r="H14422" t="str">
            <v>LAKEWOOD CITY ONLY</v>
          </cell>
          <cell r="I14422" t="str">
            <v>6% CITY UTILITY TAX</v>
          </cell>
        </row>
        <row r="14423">
          <cell r="H14423" t="str">
            <v>LAKEWOOD CITY UTILITY TAX</v>
          </cell>
          <cell r="I14423" t="str">
            <v>6% CITY UTILITY TAX</v>
          </cell>
        </row>
        <row r="14424">
          <cell r="H14424" t="str">
            <v>LAKEWOOD REFUSE TAX</v>
          </cell>
          <cell r="I14424" t="str">
            <v>3.6% WA STATE REFUSE TAX</v>
          </cell>
        </row>
        <row r="14425">
          <cell r="H14425" t="str">
            <v>LAKEWOOD STATE SALES TAX</v>
          </cell>
          <cell r="I14425" t="str">
            <v>9.9% WA STATE SALES TAX</v>
          </cell>
        </row>
        <row r="14426">
          <cell r="H14426" t="str">
            <v>LAKEWOOD CITY UTILITY TAX</v>
          </cell>
          <cell r="I14426" t="str">
            <v>6% CITY UTILITY TAX</v>
          </cell>
        </row>
        <row r="14427">
          <cell r="H14427" t="str">
            <v>LAKEWOOD REFUSE TAX</v>
          </cell>
          <cell r="I14427" t="str">
            <v>3.6% WA STATE REFUSE TAX</v>
          </cell>
        </row>
        <row r="14428">
          <cell r="H14428" t="str">
            <v>LAKEWOOD CITY ONLY</v>
          </cell>
          <cell r="I14428" t="str">
            <v>6% CITY UTILITY TAX</v>
          </cell>
        </row>
        <row r="14429">
          <cell r="H14429" t="str">
            <v>LAKEWOOD CITY UTILITY TAX</v>
          </cell>
          <cell r="I14429" t="str">
            <v>6% CITY UTILITY TAX</v>
          </cell>
        </row>
        <row r="14430">
          <cell r="H14430" t="str">
            <v>LAKEWOOD REFUSE TAX</v>
          </cell>
          <cell r="I14430" t="str">
            <v>3.6% WA STATE REFUSE TAX</v>
          </cell>
        </row>
        <row r="14431">
          <cell r="H14431" t="str">
            <v>LAKEWOOD CITY UTILITY TAX</v>
          </cell>
          <cell r="I14431" t="str">
            <v>6% CITY UTILITY TAX</v>
          </cell>
        </row>
        <row r="14432">
          <cell r="H14432" t="str">
            <v>LAKEWOOD REFUSE TAX</v>
          </cell>
          <cell r="I14432" t="str">
            <v>3.6% WA STATE REFUSE TAX</v>
          </cell>
        </row>
        <row r="14433">
          <cell r="H14433" t="str">
            <v>LAKEWOOD CITY ONLY</v>
          </cell>
          <cell r="I14433" t="str">
            <v>6% CITY UTILITY TAX</v>
          </cell>
        </row>
        <row r="14434">
          <cell r="H14434" t="str">
            <v>LAKEWOOD CITY UTILITY TAX</v>
          </cell>
          <cell r="I14434" t="str">
            <v>6% CITY UTILITY TAX</v>
          </cell>
        </row>
        <row r="14435">
          <cell r="H14435" t="str">
            <v>LAKEWOOD REFUSE TAX</v>
          </cell>
          <cell r="I14435" t="str">
            <v>3.6% WA STATE REFUSE TAX</v>
          </cell>
        </row>
        <row r="14436">
          <cell r="H14436" t="str">
            <v>LAKEWOOD STATE SALES TAX</v>
          </cell>
          <cell r="I14436" t="str">
            <v>9.9% WA STATE SALES TAX</v>
          </cell>
        </row>
        <row r="14437">
          <cell r="H14437" t="str">
            <v>LAKEWOOD CITY UTILITY TAX</v>
          </cell>
          <cell r="I14437" t="str">
            <v>6% CITY UTILITY TAX</v>
          </cell>
        </row>
        <row r="14438">
          <cell r="H14438" t="str">
            <v>LAKEWOOD REFUSE TAX</v>
          </cell>
          <cell r="I14438" t="str">
            <v>3.6% WA STATE REFUSE TAX</v>
          </cell>
        </row>
        <row r="14439">
          <cell r="H14439" t="str">
            <v>BD</v>
          </cell>
          <cell r="I14439" t="str">
            <v>BAD DEBT WRITE OFF</v>
          </cell>
        </row>
        <row r="14440">
          <cell r="H14440" t="str">
            <v>BDR</v>
          </cell>
          <cell r="I14440" t="str">
            <v>BAD DEBT RECOVERY</v>
          </cell>
        </row>
        <row r="14441">
          <cell r="H14441" t="str">
            <v>COLLFEE</v>
          </cell>
          <cell r="I14441" t="str">
            <v>COLLECTION AGENCY FEE</v>
          </cell>
        </row>
        <row r="14442">
          <cell r="H14442" t="str">
            <v>FINCHG</v>
          </cell>
          <cell r="I14442" t="str">
            <v>LATE FEE</v>
          </cell>
        </row>
        <row r="14443">
          <cell r="H14443" t="str">
            <v>MM</v>
          </cell>
          <cell r="I14443" t="str">
            <v>ADJUST BALANCE (MM)</v>
          </cell>
        </row>
        <row r="14444">
          <cell r="H14444" t="str">
            <v>MM</v>
          </cell>
          <cell r="I14444" t="str">
            <v>ADJUST BALANCE (MM)</v>
          </cell>
        </row>
        <row r="14445">
          <cell r="H14445" t="str">
            <v>REFUND</v>
          </cell>
          <cell r="I14445" t="str">
            <v>REFUND</v>
          </cell>
        </row>
        <row r="14446">
          <cell r="H14446" t="str">
            <v>RETCK-CFREE</v>
          </cell>
          <cell r="I14446" t="str">
            <v>CHECKFREE RETURN CHECK</v>
          </cell>
        </row>
        <row r="14447">
          <cell r="H14447" t="str">
            <v>RETCKC</v>
          </cell>
          <cell r="I14447" t="str">
            <v>RETURN CHECK CHARGE</v>
          </cell>
        </row>
        <row r="14448">
          <cell r="H14448" t="str">
            <v>FINCHG</v>
          </cell>
          <cell r="I14448" t="str">
            <v>LATE FEE</v>
          </cell>
        </row>
        <row r="14449">
          <cell r="H14449" t="str">
            <v>BD</v>
          </cell>
          <cell r="I14449" t="str">
            <v>BAD DEBT WRITE OFF</v>
          </cell>
        </row>
        <row r="14450">
          <cell r="H14450" t="str">
            <v>BDR</v>
          </cell>
          <cell r="I14450" t="str">
            <v>BAD DEBT RECOVERY</v>
          </cell>
        </row>
        <row r="14451">
          <cell r="H14451" t="str">
            <v>COLLFEE</v>
          </cell>
          <cell r="I14451" t="str">
            <v>COLLECTION AGENCY FEE</v>
          </cell>
        </row>
        <row r="14452">
          <cell r="H14452" t="str">
            <v>FINCHG</v>
          </cell>
          <cell r="I14452" t="str">
            <v>LATE FEE</v>
          </cell>
        </row>
        <row r="14453">
          <cell r="H14453" t="str">
            <v>MM</v>
          </cell>
          <cell r="I14453" t="str">
            <v>ADJUST BALANCE (MM)</v>
          </cell>
        </row>
        <row r="14454">
          <cell r="H14454" t="str">
            <v>MM</v>
          </cell>
          <cell r="I14454" t="str">
            <v>ADJUST BALANCE (MM)</v>
          </cell>
        </row>
        <row r="14455">
          <cell r="H14455" t="str">
            <v>REFUND</v>
          </cell>
          <cell r="I14455" t="str">
            <v>REFUND</v>
          </cell>
        </row>
        <row r="14456">
          <cell r="H14456" t="str">
            <v>RETCK</v>
          </cell>
          <cell r="I14456" t="str">
            <v>RETURNED CHECK</v>
          </cell>
        </row>
        <row r="14457">
          <cell r="H14457" t="str">
            <v>RETCK-CFREE</v>
          </cell>
          <cell r="I14457" t="str">
            <v>CHECKFREE RETURN CHECK</v>
          </cell>
        </row>
        <row r="14458">
          <cell r="H14458" t="str">
            <v>RETCKC</v>
          </cell>
          <cell r="I14458" t="str">
            <v>RETURN CHECK CHARGE</v>
          </cell>
        </row>
        <row r="14459">
          <cell r="H14459" t="str">
            <v>FINCHG</v>
          </cell>
          <cell r="I14459" t="str">
            <v>LATE FEE</v>
          </cell>
        </row>
        <row r="14460">
          <cell r="H14460" t="str">
            <v>BD</v>
          </cell>
          <cell r="I14460" t="str">
            <v>BAD DEBT WRITE OFF</v>
          </cell>
        </row>
        <row r="14461">
          <cell r="H14461" t="str">
            <v>BDR</v>
          </cell>
          <cell r="I14461" t="str">
            <v>BAD DEBT RECOVERY</v>
          </cell>
        </row>
        <row r="14462">
          <cell r="H14462" t="str">
            <v>COLLFEE</v>
          </cell>
          <cell r="I14462" t="str">
            <v>COLLECTION AGENCY FEE</v>
          </cell>
        </row>
        <row r="14463">
          <cell r="H14463" t="str">
            <v>FINCHG</v>
          </cell>
          <cell r="I14463" t="str">
            <v>LATE FEE</v>
          </cell>
        </row>
        <row r="14464">
          <cell r="H14464" t="str">
            <v>MM</v>
          </cell>
          <cell r="I14464" t="str">
            <v>ADJUST BALANCE (MM)</v>
          </cell>
        </row>
        <row r="14465">
          <cell r="H14465" t="str">
            <v>MM</v>
          </cell>
          <cell r="I14465" t="str">
            <v>ADJUST BALANCE (MM)</v>
          </cell>
        </row>
        <row r="14466">
          <cell r="H14466" t="str">
            <v>REFUND</v>
          </cell>
          <cell r="I14466" t="str">
            <v>REFUND</v>
          </cell>
        </row>
        <row r="14467">
          <cell r="H14467" t="str">
            <v>FINCHG</v>
          </cell>
          <cell r="I14467" t="str">
            <v>LATE FEE</v>
          </cell>
        </row>
        <row r="14468">
          <cell r="H14468" t="str">
            <v>MM</v>
          </cell>
          <cell r="I14468" t="str">
            <v>ADJUST BALANCE (MM)</v>
          </cell>
        </row>
        <row r="14469">
          <cell r="H14469" t="str">
            <v>MM</v>
          </cell>
          <cell r="I14469" t="str">
            <v>ADJUST BALANCE (MM)</v>
          </cell>
        </row>
        <row r="14470">
          <cell r="H14470" t="str">
            <v>SL095.0G1W001WRECC</v>
          </cell>
          <cell r="I14470" t="str">
            <v>95 GL 1X WK W/RECY COMM 1</v>
          </cell>
        </row>
        <row r="14471">
          <cell r="H14471" t="str">
            <v>ACCESS-COMM</v>
          </cell>
          <cell r="I14471" t="str">
            <v>ACCESS FEE - COMM</v>
          </cell>
        </row>
        <row r="14472">
          <cell r="H14472" t="str">
            <v>SL095.0G1W001WRECC</v>
          </cell>
          <cell r="I14472" t="str">
            <v>95 GL 1X WK W/RECY COMM 1</v>
          </cell>
        </row>
        <row r="14473">
          <cell r="H14473" t="str">
            <v>ACCESS-COMM</v>
          </cell>
          <cell r="I14473" t="str">
            <v>ACCESS FEE - COMM</v>
          </cell>
        </row>
        <row r="14474">
          <cell r="H14474" t="str">
            <v>DIST4CAN-COMM</v>
          </cell>
          <cell r="I14474" t="str">
            <v>DISTRIBUTED 4 CANS - COMM</v>
          </cell>
        </row>
        <row r="14475">
          <cell r="H14475" t="str">
            <v>DONATIONC</v>
          </cell>
          <cell r="I14475" t="str">
            <v>DONATED SERVICE COMM</v>
          </cell>
        </row>
        <row r="14476">
          <cell r="H14476" t="str">
            <v>DRIVEIN-COMM</v>
          </cell>
          <cell r="I14476" t="str">
            <v>DRIVE IN SERVICE - COMM</v>
          </cell>
        </row>
        <row r="14477">
          <cell r="H14477" t="str">
            <v>DRIVEIN1-COMM</v>
          </cell>
          <cell r="I14477" t="str">
            <v>DRIVE IN 125-250' - COMM</v>
          </cell>
        </row>
        <row r="14478">
          <cell r="H14478" t="str">
            <v>FL001.0Y1W001</v>
          </cell>
          <cell r="I14478" t="str">
            <v>1 YD 1X WK 1</v>
          </cell>
        </row>
        <row r="14479">
          <cell r="H14479" t="str">
            <v>FL001.0Y2W001</v>
          </cell>
          <cell r="I14479" t="str">
            <v>1 YD 2X WK 1</v>
          </cell>
        </row>
        <row r="14480">
          <cell r="H14480" t="str">
            <v>FL001.0Y3W001</v>
          </cell>
          <cell r="I14480" t="str">
            <v>1 YD 3X WK 1</v>
          </cell>
        </row>
        <row r="14481">
          <cell r="H14481" t="str">
            <v>FL001.0YEO001</v>
          </cell>
          <cell r="I14481" t="str">
            <v>1 YD EOW 1</v>
          </cell>
        </row>
        <row r="14482">
          <cell r="H14482" t="str">
            <v>FL001.5Y1W001</v>
          </cell>
          <cell r="I14482" t="str">
            <v>1.5 YD 1X WK 1</v>
          </cell>
        </row>
        <row r="14483">
          <cell r="H14483" t="str">
            <v>FL001.5Y2W001</v>
          </cell>
          <cell r="I14483" t="str">
            <v>1.5 YD 2X WK 1</v>
          </cell>
        </row>
        <row r="14484">
          <cell r="H14484" t="str">
            <v>FL001.5Y3W001</v>
          </cell>
          <cell r="I14484" t="str">
            <v>1.5 YD 3X WK 1</v>
          </cell>
        </row>
        <row r="14485">
          <cell r="H14485" t="str">
            <v>FL002.0Y1W001</v>
          </cell>
          <cell r="I14485" t="str">
            <v>2 YD 1X WK 1</v>
          </cell>
        </row>
        <row r="14486">
          <cell r="H14486" t="str">
            <v>FL002.0Y1W001CMP</v>
          </cell>
          <cell r="I14486" t="str">
            <v>2 YD 1X WK COMP 1</v>
          </cell>
        </row>
        <row r="14487">
          <cell r="H14487" t="str">
            <v>FL002.0Y2W001</v>
          </cell>
          <cell r="I14487" t="str">
            <v>2 YD 2X WK 1</v>
          </cell>
        </row>
        <row r="14488">
          <cell r="H14488" t="str">
            <v>FL002.0Y3W001</v>
          </cell>
          <cell r="I14488" t="str">
            <v>2 YD 3X WK 1</v>
          </cell>
        </row>
        <row r="14489">
          <cell r="H14489" t="str">
            <v>FL003.0Y1W001</v>
          </cell>
          <cell r="I14489" t="str">
            <v>3 YD 1X WK 1</v>
          </cell>
        </row>
        <row r="14490">
          <cell r="H14490" t="str">
            <v>FL003.0Y2W001</v>
          </cell>
          <cell r="I14490" t="str">
            <v>3 YD 2X WK 1</v>
          </cell>
        </row>
        <row r="14491">
          <cell r="H14491" t="str">
            <v>FL003.0Y2W001CMP</v>
          </cell>
          <cell r="I14491" t="str">
            <v>3 YD 2X WK COMP 1</v>
          </cell>
        </row>
        <row r="14492">
          <cell r="H14492" t="str">
            <v>FL003.0Y3W001</v>
          </cell>
          <cell r="I14492" t="str">
            <v>3 YD 3X WK 1</v>
          </cell>
        </row>
        <row r="14493">
          <cell r="H14493" t="str">
            <v>FL004.0Y1W001</v>
          </cell>
          <cell r="I14493" t="str">
            <v>4 YD 1X WK 1</v>
          </cell>
        </row>
        <row r="14494">
          <cell r="H14494" t="str">
            <v>FL004.0Y1W001CMP</v>
          </cell>
          <cell r="I14494" t="str">
            <v>4 YD 1X WK COMP 1</v>
          </cell>
        </row>
        <row r="14495">
          <cell r="H14495" t="str">
            <v>FL004.0Y2W001</v>
          </cell>
          <cell r="I14495" t="str">
            <v>4 YD 2X WK 1</v>
          </cell>
        </row>
        <row r="14496">
          <cell r="H14496" t="str">
            <v>FL004.0Y2W001CMP</v>
          </cell>
          <cell r="I14496" t="str">
            <v>4 YD 2X WK COMP 1</v>
          </cell>
        </row>
        <row r="14497">
          <cell r="H14497" t="str">
            <v>FL004.0Y3W001</v>
          </cell>
          <cell r="I14497" t="str">
            <v>4 YD 3X WK 1</v>
          </cell>
        </row>
        <row r="14498">
          <cell r="H14498" t="str">
            <v>FL006.0Y1W001</v>
          </cell>
          <cell r="I14498" t="str">
            <v>6 YD 1X WK 1</v>
          </cell>
        </row>
        <row r="14499">
          <cell r="H14499" t="str">
            <v>FL006.0Y2W001</v>
          </cell>
          <cell r="I14499" t="str">
            <v>6 YD 2X WK 1</v>
          </cell>
        </row>
        <row r="14500">
          <cell r="H14500" t="str">
            <v>FL006.0Y2W001CMP</v>
          </cell>
          <cell r="I14500" t="str">
            <v>6 YD 2X WK COMP 1</v>
          </cell>
        </row>
        <row r="14501">
          <cell r="H14501" t="str">
            <v>FL006.0Y3W001</v>
          </cell>
          <cell r="I14501" t="str">
            <v>6 YD 3X WK 1</v>
          </cell>
        </row>
        <row r="14502">
          <cell r="H14502" t="str">
            <v>FL006.0Y4W001</v>
          </cell>
          <cell r="I14502" t="str">
            <v>6 YD 4X WK 1</v>
          </cell>
        </row>
        <row r="14503">
          <cell r="H14503" t="str">
            <v>GWCOMM</v>
          </cell>
          <cell r="I14503" t="str">
            <v>GREENWASTE SERVICE - COMM</v>
          </cell>
        </row>
        <row r="14504">
          <cell r="H14504" t="str">
            <v>RENT2TEMP-COMM</v>
          </cell>
          <cell r="I14504" t="str">
            <v>RENT 2 YD TEMP - COMM</v>
          </cell>
        </row>
        <row r="14505">
          <cell r="H14505" t="str">
            <v>RL032.0G1W001NORECC</v>
          </cell>
          <cell r="I14505" t="str">
            <v xml:space="preserve">32 GL 1X WK NO RECY COMM </v>
          </cell>
        </row>
        <row r="14506">
          <cell r="H14506" t="str">
            <v>RL032.0G1W001WRECC</v>
          </cell>
          <cell r="I14506" t="str">
            <v>32 GL 1X WK W/RECY COMM 1</v>
          </cell>
        </row>
        <row r="14507">
          <cell r="H14507" t="str">
            <v>RL032.0G1W002NORECC</v>
          </cell>
          <cell r="I14507" t="str">
            <v xml:space="preserve">32 GL 1X WK NO RECY COMM </v>
          </cell>
        </row>
        <row r="14508">
          <cell r="H14508" t="str">
            <v>RL032.0G1W002WRECC</v>
          </cell>
          <cell r="I14508" t="str">
            <v>32 GL 1X WK W/RECY COMM 2</v>
          </cell>
        </row>
        <row r="14509">
          <cell r="H14509" t="str">
            <v>RL032.0G1W003WRECC</v>
          </cell>
          <cell r="I14509" t="str">
            <v>32 GL 1X WK W/RECY COMM 3</v>
          </cell>
        </row>
        <row r="14510">
          <cell r="H14510" t="str">
            <v>RL032.0G1W004WRECC</v>
          </cell>
          <cell r="I14510" t="str">
            <v>32 GL 1X WK W/RECY COMM 4</v>
          </cell>
        </row>
        <row r="14511">
          <cell r="H14511" t="str">
            <v>RL035.0G1W001NORECC</v>
          </cell>
          <cell r="I14511" t="str">
            <v>35 GL 1X WK NO RECY COMM</v>
          </cell>
        </row>
        <row r="14512">
          <cell r="H14512" t="str">
            <v>RL035.0G1W001WRECC</v>
          </cell>
          <cell r="I14512" t="str">
            <v>35 GL 1X WK W/RECY COMM 1</v>
          </cell>
        </row>
        <row r="14513">
          <cell r="H14513" t="str">
            <v>ROLL-COMM</v>
          </cell>
          <cell r="I14513" t="str">
            <v>ROLL OUT CHARGE - COMM</v>
          </cell>
        </row>
        <row r="14514">
          <cell r="H14514" t="str">
            <v>SL065.0G1W001NORECC</v>
          </cell>
          <cell r="I14514" t="str">
            <v xml:space="preserve">65 GL 1X WK NO RECY COMM </v>
          </cell>
        </row>
        <row r="14515">
          <cell r="H14515" t="str">
            <v>SL065.0G1W001WRECC</v>
          </cell>
          <cell r="I14515" t="str">
            <v>65 GL 1X WK W/RECY COMM 1</v>
          </cell>
        </row>
        <row r="14516">
          <cell r="H14516" t="str">
            <v>SL065.0GEO001NORECC</v>
          </cell>
          <cell r="I14516" t="str">
            <v>65 GL EOW NO RECY COMM 1</v>
          </cell>
        </row>
        <row r="14517">
          <cell r="H14517" t="str">
            <v>SL065.0GEO001WRECC</v>
          </cell>
          <cell r="I14517" t="str">
            <v>65 GL EOW W/RECY COMM 1</v>
          </cell>
        </row>
        <row r="14518">
          <cell r="H14518" t="str">
            <v>SL095.0G1W001NORECC</v>
          </cell>
          <cell r="I14518" t="str">
            <v xml:space="preserve">95 GL 1X WK NO RECY COMM </v>
          </cell>
        </row>
        <row r="14519">
          <cell r="H14519" t="str">
            <v>SL095.0G1W001WRECC</v>
          </cell>
          <cell r="I14519" t="str">
            <v>95 GL 1X WK W/RECY COMM 1</v>
          </cell>
        </row>
        <row r="14520">
          <cell r="H14520" t="str">
            <v>SL095.0GEO001NORECC</v>
          </cell>
          <cell r="I14520" t="str">
            <v>95 GL EOW NO RECY COMM 1</v>
          </cell>
        </row>
        <row r="14521">
          <cell r="H14521" t="str">
            <v>SL095.0GEO001WRECC</v>
          </cell>
          <cell r="I14521" t="str">
            <v>95 GL EOW W/RECY COMM 1</v>
          </cell>
        </row>
        <row r="14522">
          <cell r="H14522" t="str">
            <v>WI1-COMM</v>
          </cell>
          <cell r="I14522" t="str">
            <v>WALK IN 6-25' - COMM</v>
          </cell>
        </row>
        <row r="14523">
          <cell r="H14523" t="str">
            <v>WI2-COMM</v>
          </cell>
          <cell r="I14523" t="str">
            <v>WALK IN 26-50' - COMM</v>
          </cell>
        </row>
        <row r="14524">
          <cell r="H14524" t="str">
            <v>WI4-COMM</v>
          </cell>
          <cell r="I14524" t="str">
            <v>WALK IN 76-100' - COMM</v>
          </cell>
        </row>
        <row r="14525">
          <cell r="H14525" t="str">
            <v>ACCESS-COMM</v>
          </cell>
          <cell r="I14525" t="str">
            <v>ACCESS FEE - COMM</v>
          </cell>
        </row>
        <row r="14526">
          <cell r="H14526" t="str">
            <v>ADJ-COMM</v>
          </cell>
          <cell r="I14526" t="str">
            <v>ADJUSTMENT SERVICE - COMM</v>
          </cell>
        </row>
        <row r="14527">
          <cell r="H14527" t="str">
            <v>ADJTAX-COMM</v>
          </cell>
          <cell r="I14527" t="str">
            <v>ADJUSTMENT TAX - COMM</v>
          </cell>
        </row>
        <row r="14528">
          <cell r="H14528" t="str">
            <v>BULKY-COMM</v>
          </cell>
          <cell r="I14528" t="str">
            <v>BULKY ITEM PICK UP - COMM</v>
          </cell>
        </row>
        <row r="14529">
          <cell r="H14529" t="str">
            <v>CANCOUNT-COMM</v>
          </cell>
          <cell r="I14529" t="str">
            <v>CAN COUNT - COMM</v>
          </cell>
        </row>
        <row r="14530">
          <cell r="H14530" t="str">
            <v>CANCOUNT65-COMM</v>
          </cell>
          <cell r="I14530" t="str">
            <v>CAN COUNT 65 GL - COMM</v>
          </cell>
        </row>
        <row r="14531">
          <cell r="H14531" t="str">
            <v>CLEAN1-COMM</v>
          </cell>
          <cell r="I14531" t="str">
            <v>CLEANING FEE 1 YD - COMM</v>
          </cell>
        </row>
        <row r="14532">
          <cell r="H14532" t="str">
            <v>CLEAN1.5-COMM</v>
          </cell>
          <cell r="I14532" t="str">
            <v>CLEANING FEE 1.5 YD - COM</v>
          </cell>
        </row>
        <row r="14533">
          <cell r="H14533" t="str">
            <v>CLEAN2-COMM</v>
          </cell>
          <cell r="I14533" t="str">
            <v>CLEANING FEE 2 YD - COMM</v>
          </cell>
        </row>
        <row r="14534">
          <cell r="H14534" t="str">
            <v>CLEAN6-COMM</v>
          </cell>
          <cell r="I14534" t="str">
            <v>CLEANING FEE 6 YD - COMM</v>
          </cell>
        </row>
        <row r="14535">
          <cell r="H14535" t="str">
            <v>DEL1.5TEMP-COMM</v>
          </cell>
          <cell r="I14535" t="str">
            <v xml:space="preserve">DELIVERY FEE 1.5 YD TEMP </v>
          </cell>
        </row>
        <row r="14536">
          <cell r="H14536" t="str">
            <v>DEL1TEMP-COMM</v>
          </cell>
          <cell r="I14536" t="str">
            <v xml:space="preserve">DELIVERY FEE 1 YD TEMP - </v>
          </cell>
        </row>
        <row r="14537">
          <cell r="H14537" t="str">
            <v>DEL2TEMP-COMM</v>
          </cell>
          <cell r="I14537" t="str">
            <v xml:space="preserve">DELIVERY FEE 2 YD TEMP - </v>
          </cell>
        </row>
        <row r="14538">
          <cell r="H14538" t="str">
            <v>DEL6TEMP-COMM</v>
          </cell>
          <cell r="I14538" t="str">
            <v xml:space="preserve">DELIVERY FEE 6 YD TEMP - </v>
          </cell>
        </row>
        <row r="14539">
          <cell r="H14539" t="str">
            <v>DISP-COMM</v>
          </cell>
          <cell r="I14539" t="str">
            <v>DISPOSAL FEE - COMM</v>
          </cell>
        </row>
        <row r="14540">
          <cell r="H14540" t="str">
            <v>DISPFEDMSW-COMM</v>
          </cell>
          <cell r="I14540" t="str">
            <v>DISPOSAL FEDERAL MSW - CO</v>
          </cell>
        </row>
        <row r="14541">
          <cell r="H14541" t="str">
            <v>DISPMIX-COMM</v>
          </cell>
          <cell r="I14541" t="str">
            <v>DISPOSAL MIX CMGL OCC - COMM</v>
          </cell>
        </row>
        <row r="14542">
          <cell r="H14542" t="str">
            <v>DRIVEIN1-COMM</v>
          </cell>
          <cell r="I14542" t="str">
            <v>DRIVE IN 125-250' - COMM</v>
          </cell>
        </row>
        <row r="14543">
          <cell r="H14543" t="str">
            <v>EXTRA-COMM</v>
          </cell>
          <cell r="I14543" t="str">
            <v>EXTRA CAN, BAG, BOX - COM</v>
          </cell>
        </row>
        <row r="14544">
          <cell r="H14544" t="str">
            <v>EXTRAYDG-COM</v>
          </cell>
          <cell r="I14544" t="str">
            <v>EXTRA YARDAGE - COMM</v>
          </cell>
        </row>
        <row r="14545">
          <cell r="H14545" t="str">
            <v>FL001.0YXX001TEMPC</v>
          </cell>
          <cell r="I14545" t="str">
            <v xml:space="preserve">1 YD TEMP </v>
          </cell>
        </row>
        <row r="14546">
          <cell r="H14546" t="str">
            <v>FL001.5YXX001TEMPC</v>
          </cell>
          <cell r="I14546" t="str">
            <v xml:space="preserve">1.5 YD TEMP </v>
          </cell>
        </row>
        <row r="14547">
          <cell r="H14547" t="str">
            <v>FL002.0Y1W001</v>
          </cell>
          <cell r="I14547" t="str">
            <v>2 YD 1X WK 1</v>
          </cell>
        </row>
        <row r="14548">
          <cell r="H14548" t="str">
            <v>FL002.0YXX001TEMPC</v>
          </cell>
          <cell r="I14548" t="str">
            <v xml:space="preserve">2 YD TEMP </v>
          </cell>
        </row>
        <row r="14549">
          <cell r="H14549" t="str">
            <v>FL006.0YXX001TEMPC</v>
          </cell>
          <cell r="I14549" t="str">
            <v>6 YD TEMP 1</v>
          </cell>
        </row>
        <row r="14550">
          <cell r="H14550" t="str">
            <v>GWCOMM</v>
          </cell>
          <cell r="I14550" t="str">
            <v>GREENWASTE SERVICE - COMM</v>
          </cell>
        </row>
        <row r="14551">
          <cell r="H14551" t="str">
            <v>REDEL-COMM</v>
          </cell>
          <cell r="I14551" t="str">
            <v>REDELIVER FEE LVL 1 - COM</v>
          </cell>
        </row>
        <row r="14552">
          <cell r="H14552" t="str">
            <v>REINSTATE-COMM</v>
          </cell>
          <cell r="I14552" t="str">
            <v>REINSTATE FEE - COMM</v>
          </cell>
        </row>
        <row r="14553">
          <cell r="H14553" t="str">
            <v>RENT1.5TEMP-COMM</v>
          </cell>
          <cell r="I14553" t="str">
            <v>RENT 1.5 YD TEMP - COMM</v>
          </cell>
        </row>
        <row r="14554">
          <cell r="H14554" t="str">
            <v>RENT1TEMP-COMM</v>
          </cell>
          <cell r="I14554" t="str">
            <v>RENT 1 YD TEMP - COMM</v>
          </cell>
        </row>
        <row r="14555">
          <cell r="H14555" t="str">
            <v>RENT2TEMP-COMM</v>
          </cell>
          <cell r="I14555" t="str">
            <v>RENT 2 YD TEMP - COMM</v>
          </cell>
        </row>
        <row r="14556">
          <cell r="H14556" t="str">
            <v>RENT6TEMP-COMM</v>
          </cell>
          <cell r="I14556" t="str">
            <v>RENT 6 YD TEMP - COMM</v>
          </cell>
        </row>
        <row r="14557">
          <cell r="H14557" t="str">
            <v>RL035.0G1W001NORECC</v>
          </cell>
          <cell r="I14557" t="str">
            <v>35 GL 1X WK NO RECY COMM</v>
          </cell>
        </row>
        <row r="14558">
          <cell r="H14558" t="str">
            <v>RTRNCART95-COMM</v>
          </cell>
          <cell r="I14558" t="str">
            <v>RETURN TRIP 95 GL - COMM</v>
          </cell>
        </row>
        <row r="14559">
          <cell r="H14559" t="str">
            <v>RTRNTRIP-COMM</v>
          </cell>
          <cell r="I14559" t="str">
            <v>RETURN TRIP FEE - COMM</v>
          </cell>
        </row>
        <row r="14560">
          <cell r="H14560" t="str">
            <v>SL095.0G1W001NORECC</v>
          </cell>
          <cell r="I14560" t="str">
            <v xml:space="preserve">95 GL 1X WK NO RECY COMM </v>
          </cell>
        </row>
        <row r="14561">
          <cell r="H14561" t="str">
            <v>SP1-COMM</v>
          </cell>
          <cell r="I14561" t="str">
            <v>SPECIAL PICK UP 1 YD - CO</v>
          </cell>
        </row>
        <row r="14562">
          <cell r="H14562" t="str">
            <v>SP1.5-COMM</v>
          </cell>
          <cell r="I14562" t="str">
            <v xml:space="preserve">SPECIAL PICK UP 1.5 YD - </v>
          </cell>
        </row>
        <row r="14563">
          <cell r="H14563" t="str">
            <v>SP2-COMM</v>
          </cell>
          <cell r="I14563" t="str">
            <v>SPECIAL PICK UP 2 YD - CO</v>
          </cell>
        </row>
        <row r="14564">
          <cell r="H14564" t="str">
            <v>SP4-COMM</v>
          </cell>
          <cell r="I14564" t="str">
            <v>SPECIAL PICK UP 4 YD - CO</v>
          </cell>
        </row>
        <row r="14565">
          <cell r="H14565" t="str">
            <v>SP6-COMM</v>
          </cell>
          <cell r="I14565" t="str">
            <v>SPECIAL PICK UP 6 YD - CO</v>
          </cell>
        </row>
        <row r="14566">
          <cell r="H14566" t="str">
            <v>SPGRAD1S-COMM</v>
          </cell>
          <cell r="I14566" t="str">
            <v>SPECIAL UNIT GRAD1 SCHL - COMM</v>
          </cell>
        </row>
        <row r="14567">
          <cell r="H14567" t="str">
            <v>SPGRAD2-COMM</v>
          </cell>
          <cell r="I14567" t="str">
            <v>SPECIAL PICKUP GRADUATED 2 - COMM</v>
          </cell>
        </row>
        <row r="14568">
          <cell r="H14568" t="str">
            <v>TIME-COMM</v>
          </cell>
          <cell r="I14568" t="str">
            <v>TIME FEE 1 - COMM</v>
          </cell>
        </row>
        <row r="14569">
          <cell r="H14569" t="str">
            <v>CLEAN1.5-COMM</v>
          </cell>
          <cell r="I14569" t="str">
            <v>CLEANING FEE 1.5 YD - COM</v>
          </cell>
        </row>
        <row r="14570">
          <cell r="H14570" t="str">
            <v>FL001.5YXX001TEMPC</v>
          </cell>
          <cell r="I14570" t="str">
            <v xml:space="preserve">1.5 YD TEMP </v>
          </cell>
        </row>
        <row r="14571">
          <cell r="H14571" t="str">
            <v>RENT1.5TEMP-COMM</v>
          </cell>
          <cell r="I14571" t="str">
            <v>RENT 1.5 YD TEMP - COMM</v>
          </cell>
        </row>
        <row r="14572">
          <cell r="H14572" t="str">
            <v>ACCESSCREC-COMM</v>
          </cell>
          <cell r="I14572" t="str">
            <v>ACCESS FEE COMM RECY - CO</v>
          </cell>
        </row>
        <row r="14573">
          <cell r="H14573" t="str">
            <v>FL002.0Y1M001BCMGL</v>
          </cell>
          <cell r="I14573" t="str">
            <v>2 YD 1X MO BUS CMGL 1</v>
          </cell>
        </row>
        <row r="14574">
          <cell r="H14574" t="str">
            <v>FL002.0Y1W001BCMGL</v>
          </cell>
          <cell r="I14574" t="str">
            <v>2 YD 1X WK BUS CMGL 1</v>
          </cell>
        </row>
        <row r="14575">
          <cell r="H14575" t="str">
            <v>FL002.0Y1W001BOCC</v>
          </cell>
          <cell r="I14575" t="str">
            <v>2 YD 1X WK BUS OCC 1</v>
          </cell>
        </row>
        <row r="14576">
          <cell r="H14576" t="str">
            <v>FL002.0Y1W001OCC</v>
          </cell>
          <cell r="I14576" t="str">
            <v>2 YD 1X WK OCC 1</v>
          </cell>
        </row>
        <row r="14577">
          <cell r="H14577" t="str">
            <v>FL002.0Y1W001SCMGL</v>
          </cell>
          <cell r="I14577" t="str">
            <v>2 YD 1X WK SCHL CMGL 1</v>
          </cell>
        </row>
        <row r="14578">
          <cell r="H14578" t="str">
            <v>FL002.0Y1W001SOCC</v>
          </cell>
          <cell r="I14578" t="str">
            <v>2 YD 1X WK SCHOOL OCC</v>
          </cell>
        </row>
        <row r="14579">
          <cell r="H14579" t="str">
            <v>FL002.0Y2W001BCMGL</v>
          </cell>
          <cell r="I14579" t="str">
            <v>2 YD 2X WK BUS CMGL 1</v>
          </cell>
        </row>
        <row r="14580">
          <cell r="H14580" t="str">
            <v>FL002.0Y2W001BOCC</v>
          </cell>
          <cell r="I14580" t="str">
            <v>2 YD 2X WK BUS OCC 1</v>
          </cell>
        </row>
        <row r="14581">
          <cell r="H14581" t="str">
            <v>FL002.0Y2W001SCMGL</v>
          </cell>
          <cell r="I14581" t="str">
            <v>2 YD 2X WK SCHL CMGL 1</v>
          </cell>
        </row>
        <row r="14582">
          <cell r="H14582" t="str">
            <v>FL002.0Y2W001SOCC</v>
          </cell>
          <cell r="I14582" t="str">
            <v>2 YD 2X WK SCHOOL OCC</v>
          </cell>
        </row>
        <row r="14583">
          <cell r="H14583" t="str">
            <v>FL002.0Y3W001BCMGL</v>
          </cell>
          <cell r="I14583" t="str">
            <v>2 YD 3X WK BUS CMGL 1</v>
          </cell>
        </row>
        <row r="14584">
          <cell r="H14584" t="str">
            <v>FL002.0Y3W001SOCC</v>
          </cell>
          <cell r="I14584" t="str">
            <v>2 YD 3X WK SCHOOL OCC</v>
          </cell>
        </row>
        <row r="14585">
          <cell r="H14585" t="str">
            <v>FL002.0Y4W001BCMGL</v>
          </cell>
          <cell r="I14585" t="str">
            <v>2 YD 4X WK BUS CMGL 1</v>
          </cell>
        </row>
        <row r="14586">
          <cell r="H14586" t="str">
            <v>FL002.0Y4W001BOCC</v>
          </cell>
          <cell r="I14586" t="str">
            <v>2 YD 4X WK BUS OCC 1</v>
          </cell>
        </row>
        <row r="14587">
          <cell r="H14587" t="str">
            <v>FL004.0Y1W001CMGL</v>
          </cell>
          <cell r="I14587" t="str">
            <v>4 YD 1X WK BUS CMGL 1</v>
          </cell>
        </row>
        <row r="14588">
          <cell r="H14588" t="str">
            <v>FL004.0Y1W001SCMGL</v>
          </cell>
          <cell r="I14588" t="str">
            <v>4 YD 1X WK SCH CMGL 1</v>
          </cell>
        </row>
        <row r="14589">
          <cell r="H14589" t="str">
            <v>FL004.0Y2W001CMGL</v>
          </cell>
          <cell r="I14589" t="str">
            <v>4 YD 2X WK BUS CMGL 1</v>
          </cell>
        </row>
        <row r="14590">
          <cell r="H14590" t="str">
            <v>FL004.0Y3W001BCMGL</v>
          </cell>
          <cell r="I14590" t="str">
            <v>4 YD 3X WK BUS CMGL 1</v>
          </cell>
        </row>
        <row r="14591">
          <cell r="H14591" t="str">
            <v>FL004.0Y4W001BCMGL</v>
          </cell>
          <cell r="I14591" t="str">
            <v>4 YD 4X WK BUS CMGL 1</v>
          </cell>
        </row>
        <row r="14592">
          <cell r="H14592" t="str">
            <v>FL004.0Y5W001BCMGL</v>
          </cell>
          <cell r="I14592" t="str">
            <v>4 YD 5X WK BUS CMGL 1</v>
          </cell>
        </row>
        <row r="14593">
          <cell r="H14593" t="str">
            <v>FL005.0Y1W001BOCC</v>
          </cell>
          <cell r="I14593" t="str">
            <v>5 YD 1X WK BUS OCC 1</v>
          </cell>
        </row>
        <row r="14594">
          <cell r="H14594" t="str">
            <v>FL005.0Y1W001OCC</v>
          </cell>
          <cell r="I14594" t="str">
            <v>5 YD 1X WK OCC  1</v>
          </cell>
        </row>
        <row r="14595">
          <cell r="H14595" t="str">
            <v>FL005.0Y1W001SOCC</v>
          </cell>
          <cell r="I14595" t="str">
            <v>5 YD 1X WK SCHOOL OCC</v>
          </cell>
        </row>
        <row r="14596">
          <cell r="H14596" t="str">
            <v>FL005.0Y2W001BOCC</v>
          </cell>
          <cell r="I14596" t="str">
            <v>5 YD 2X WK BUS OCC 1</v>
          </cell>
        </row>
        <row r="14597">
          <cell r="H14597" t="str">
            <v>FL005.0Y2W001OCC</v>
          </cell>
          <cell r="I14597" t="str">
            <v>5 YD 2X WK OCC 1</v>
          </cell>
        </row>
        <row r="14598">
          <cell r="H14598" t="str">
            <v>FL005.0Y2W001SOCC</v>
          </cell>
          <cell r="I14598" t="str">
            <v>5 YD 2X WK SCHOOL OCC</v>
          </cell>
        </row>
        <row r="14599">
          <cell r="H14599" t="str">
            <v>FL005.0Y3W001BOCC</v>
          </cell>
          <cell r="I14599" t="str">
            <v>5 YD 3X WK BUS OCC 1</v>
          </cell>
        </row>
        <row r="14600">
          <cell r="H14600" t="str">
            <v>FL005.0Y4W001BOCC</v>
          </cell>
          <cell r="I14600" t="str">
            <v>5 YD 4X WK BUS OCC 1</v>
          </cell>
        </row>
        <row r="14601">
          <cell r="H14601" t="str">
            <v>FL006.0Y1W001BCMGL</v>
          </cell>
          <cell r="I14601" t="str">
            <v>6 YD 1X WK BUS COMINGLE 1</v>
          </cell>
        </row>
        <row r="14602">
          <cell r="H14602" t="str">
            <v>FL006.0Y1W001SCMGL</v>
          </cell>
          <cell r="I14602" t="str">
            <v>6 YD 1X WK SCHL CMGL 1</v>
          </cell>
        </row>
        <row r="14603">
          <cell r="H14603" t="str">
            <v>FL006.0Y2W001BCMGL</v>
          </cell>
          <cell r="I14603" t="str">
            <v>6 YD 2X WK BUS COMINGLE 1</v>
          </cell>
        </row>
        <row r="14604">
          <cell r="H14604" t="str">
            <v>FL006.0Y2W001SCMGL</v>
          </cell>
          <cell r="I14604" t="str">
            <v>6 YD 2X WK SCHL CMGL 1</v>
          </cell>
        </row>
        <row r="14605">
          <cell r="H14605" t="str">
            <v>FL006.0Y3W001BCMGL</v>
          </cell>
          <cell r="I14605" t="str">
            <v>6 YD 3X WK BUS CMGL 1</v>
          </cell>
        </row>
        <row r="14606">
          <cell r="H14606" t="str">
            <v>FL006.0Y4W001BCMGL</v>
          </cell>
          <cell r="I14606" t="str">
            <v>6 YD 4X WK BUS CMGL 1</v>
          </cell>
        </row>
        <row r="14607">
          <cell r="H14607" t="str">
            <v>MFNBINS</v>
          </cell>
          <cell r="I14607" t="str">
            <v>MULTI-FAMILY REC UNIT N/B</v>
          </cell>
        </row>
        <row r="14608">
          <cell r="H14608" t="str">
            <v>MFWBINS</v>
          </cell>
          <cell r="I14608" t="str">
            <v>MULTI-FAMILY REC UNIT W/B</v>
          </cell>
        </row>
        <row r="14609">
          <cell r="H14609" t="str">
            <v>ROLL-REC</v>
          </cell>
          <cell r="I14609" t="str">
            <v>ROLL OUT CHARGE - RECYCLI</v>
          </cell>
        </row>
        <row r="14610">
          <cell r="H14610" t="str">
            <v>SL035.0G1W001RECC</v>
          </cell>
          <cell r="I14610" t="str">
            <v xml:space="preserve">35 GL 1X WK RECYCLE COMM </v>
          </cell>
        </row>
        <row r="14611">
          <cell r="H14611" t="str">
            <v>SL064.0G1M001BCMGLIN</v>
          </cell>
          <cell r="I14611" t="str">
            <v>64 GL MTHLY BUS CMGL IN</v>
          </cell>
        </row>
        <row r="14612">
          <cell r="H14612" t="str">
            <v>SL064.0G1W001BCMGLOUT</v>
          </cell>
          <cell r="I14612" t="str">
            <v>64 GL WKLY BUS CMGL OUT</v>
          </cell>
        </row>
        <row r="14613">
          <cell r="H14613" t="str">
            <v>SL064.0GEO001BCMGLOUT</v>
          </cell>
          <cell r="I14613" t="str">
            <v>64 GL EOW BUS CMGL OUT</v>
          </cell>
        </row>
        <row r="14614">
          <cell r="H14614" t="str">
            <v>SL096.0G1M001BCMGLIN</v>
          </cell>
          <cell r="I14614" t="str">
            <v>96 GL MTHLY BUS CMGL IN</v>
          </cell>
        </row>
        <row r="14615">
          <cell r="H14615" t="str">
            <v>SL096.0G1M001BCMGLOUT</v>
          </cell>
          <cell r="I14615" t="str">
            <v>96 GL MTHLY BUS CMGL OUT</v>
          </cell>
        </row>
        <row r="14616">
          <cell r="H14616" t="str">
            <v>SL096.0G1M001SCMGLOUT</v>
          </cell>
          <cell r="I14616" t="str">
            <v>96 GL MTHLY SCHL CMGL OUT</v>
          </cell>
        </row>
        <row r="14617">
          <cell r="H14617" t="str">
            <v>SL096.0G1W001BCMGLIN</v>
          </cell>
          <cell r="I14617" t="str">
            <v>96 GL WKLY BUS CMGL IN</v>
          </cell>
        </row>
        <row r="14618">
          <cell r="H14618" t="str">
            <v>SL096.0G1W001BCMGLOUT</v>
          </cell>
          <cell r="I14618" t="str">
            <v>96 GL WKLY BUS CMGL OUT</v>
          </cell>
        </row>
        <row r="14619">
          <cell r="H14619" t="str">
            <v>SL096.0G1W001RECC</v>
          </cell>
          <cell r="I14619" t="str">
            <v xml:space="preserve">96 GL 1X WK RECYCLE COMM </v>
          </cell>
        </row>
        <row r="14620">
          <cell r="H14620" t="str">
            <v>SL096.0G1W001SCMGLIN</v>
          </cell>
          <cell r="I14620" t="str">
            <v>96 GL WKLY SCHL CMGL IN</v>
          </cell>
        </row>
        <row r="14621">
          <cell r="H14621" t="str">
            <v>SL096.0G1W001SCMGLOUT</v>
          </cell>
          <cell r="I14621" t="str">
            <v>96 GL WKLY SCHL CMGL OUT</v>
          </cell>
        </row>
        <row r="14622">
          <cell r="H14622" t="str">
            <v>SL096.0GEO001BCMGLIN</v>
          </cell>
          <cell r="I14622" t="str">
            <v>96 GL EOW BUS CMGL IN</v>
          </cell>
        </row>
        <row r="14623">
          <cell r="H14623" t="str">
            <v>SL096.0GEO001BCMGLOUT</v>
          </cell>
          <cell r="I14623" t="str">
            <v>96 GL EOW BUS CMGL OUT</v>
          </cell>
        </row>
        <row r="14624">
          <cell r="H14624" t="str">
            <v>SL096.0GEO001SCMGLOUT</v>
          </cell>
          <cell r="I14624" t="str">
            <v>96 GL EOW SCHL CMGL OUT</v>
          </cell>
        </row>
        <row r="14625">
          <cell r="H14625" t="str">
            <v>FL002.0Y1W001BCMGL</v>
          </cell>
          <cell r="I14625" t="str">
            <v>2 YD 1X WK BUS CMGL 1</v>
          </cell>
        </row>
        <row r="14626">
          <cell r="H14626" t="str">
            <v>FL005.0Y1W001BOCC</v>
          </cell>
          <cell r="I14626" t="str">
            <v>5 YD 1X WK BUS OCC 1</v>
          </cell>
        </row>
        <row r="14627">
          <cell r="H14627" t="str">
            <v>FL005.0Y3W001BOCC</v>
          </cell>
          <cell r="I14627" t="str">
            <v>5 YD 3X WK BUS OCC 1</v>
          </cell>
        </row>
        <row r="14628">
          <cell r="H14628" t="str">
            <v>MFWBINS</v>
          </cell>
          <cell r="I14628" t="str">
            <v>MULTI-FAMILY REC UNIT W/B</v>
          </cell>
        </row>
        <row r="14629">
          <cell r="H14629" t="str">
            <v>RTRNCART96REC-COMM</v>
          </cell>
          <cell r="I14629" t="str">
            <v>RETURN TRIP 96 GL REC - C</v>
          </cell>
        </row>
        <row r="14630">
          <cell r="H14630" t="str">
            <v>SL096.0G1W001BCMGLOUT</v>
          </cell>
          <cell r="I14630" t="str">
            <v>96 GL WKLY BUS CMGL OUT</v>
          </cell>
        </row>
        <row r="14631">
          <cell r="H14631" t="str">
            <v>SP5OCC-COMM</v>
          </cell>
          <cell r="I14631" t="str">
            <v>SPECIAL PICKUP 5 YD OCC -</v>
          </cell>
        </row>
        <row r="14632">
          <cell r="H14632" t="str">
            <v>SP6SCMGL-COMM</v>
          </cell>
          <cell r="I14632" t="str">
            <v>SPECIAL P/U 6 YD SCHL CMGL</v>
          </cell>
        </row>
        <row r="14633">
          <cell r="H14633" t="str">
            <v>RETCK-PNCL</v>
          </cell>
          <cell r="I14633" t="str">
            <v>RETURNED CHECK - PNC LOCKBOX</v>
          </cell>
        </row>
        <row r="14634">
          <cell r="H14634" t="str">
            <v>CC-KOL</v>
          </cell>
          <cell r="I14634" t="str">
            <v>ONLINE PAYMENT-CC</v>
          </cell>
        </row>
        <row r="14635">
          <cell r="H14635" t="str">
            <v>CCREF-KOL</v>
          </cell>
          <cell r="I14635" t="str">
            <v>CREDIT CARD REFUND</v>
          </cell>
        </row>
        <row r="14636">
          <cell r="H14636" t="str">
            <v>PAY</v>
          </cell>
          <cell r="I14636" t="str">
            <v>PAYMENT THANK YOU</v>
          </cell>
        </row>
        <row r="14637">
          <cell r="H14637" t="str">
            <v>PAY-CFREE</v>
          </cell>
          <cell r="I14637" t="str">
            <v>CHECKFREE PAYMENT</v>
          </cell>
        </row>
        <row r="14638">
          <cell r="H14638" t="str">
            <v>PAY-KOL</v>
          </cell>
          <cell r="I14638" t="str">
            <v>PAYMENT-THANK YOU - OL</v>
          </cell>
        </row>
        <row r="14639">
          <cell r="H14639" t="str">
            <v>PAY-ORCC</v>
          </cell>
          <cell r="I14639" t="str">
            <v>ORCC PAYMENT</v>
          </cell>
        </row>
        <row r="14640">
          <cell r="H14640" t="str">
            <v>PAY-RPPS</v>
          </cell>
          <cell r="I14640" t="str">
            <v>RPPS MASTERCARD PAYMENT</v>
          </cell>
        </row>
        <row r="14641">
          <cell r="H14641" t="str">
            <v>PAYAD</v>
          </cell>
          <cell r="I14641" t="str">
            <v>ADJUST PAYMENT AD</v>
          </cell>
        </row>
        <row r="14642">
          <cell r="H14642" t="str">
            <v>PAYMET</v>
          </cell>
          <cell r="I14642" t="str">
            <v>METAVANTE ONLINE PAYMENT</v>
          </cell>
        </row>
        <row r="14643">
          <cell r="H14643" t="str">
            <v>PAYPNCL</v>
          </cell>
          <cell r="I14643" t="str">
            <v>PAYMENT THANK YOU!</v>
          </cell>
        </row>
        <row r="14644">
          <cell r="H14644" t="str">
            <v>PAYUSBL</v>
          </cell>
          <cell r="I14644" t="str">
            <v>PAYMENT THANK YOU</v>
          </cell>
        </row>
        <row r="14645">
          <cell r="H14645" t="str">
            <v>RET-KOL</v>
          </cell>
          <cell r="I14645" t="str">
            <v>ONLINE PAYMENT RETURN</v>
          </cell>
        </row>
        <row r="14646">
          <cell r="H14646" t="str">
            <v>RETCK-PNCL</v>
          </cell>
          <cell r="I14646" t="str">
            <v>RETURNED CHECK - PNC LOCKBOX</v>
          </cell>
        </row>
        <row r="14647">
          <cell r="H14647" t="str">
            <v>CC-KOL</v>
          </cell>
          <cell r="I14647" t="str">
            <v>ONLINE PAYMENT-CC</v>
          </cell>
        </row>
        <row r="14648">
          <cell r="H14648" t="str">
            <v>CCREF-KOL</v>
          </cell>
          <cell r="I14648" t="str">
            <v>CREDIT CARD REFUND</v>
          </cell>
        </row>
        <row r="14649">
          <cell r="H14649" t="str">
            <v>PAY</v>
          </cell>
          <cell r="I14649" t="str">
            <v>PAYMENT THANK YOU</v>
          </cell>
        </row>
        <row r="14650">
          <cell r="H14650" t="str">
            <v>PAY-CFREE</v>
          </cell>
          <cell r="I14650" t="str">
            <v>CHECKFREE PAYMENT</v>
          </cell>
        </row>
        <row r="14651">
          <cell r="H14651" t="str">
            <v>PAY-KOL</v>
          </cell>
          <cell r="I14651" t="str">
            <v>PAYMENT-THANK YOU - OL</v>
          </cell>
        </row>
        <row r="14652">
          <cell r="H14652" t="str">
            <v>PAY-ORCC</v>
          </cell>
          <cell r="I14652" t="str">
            <v>ORCC PAYMENT</v>
          </cell>
        </row>
        <row r="14653">
          <cell r="H14653" t="str">
            <v>PAY-RPPS</v>
          </cell>
          <cell r="I14653" t="str">
            <v>RPPS MASTERCARD PAYMENT</v>
          </cell>
        </row>
        <row r="14654">
          <cell r="H14654" t="str">
            <v>PAYICT</v>
          </cell>
          <cell r="I14654" t="str">
            <v>I/C PAYMENT THANK YOU</v>
          </cell>
        </row>
        <row r="14655">
          <cell r="H14655" t="str">
            <v>PAYMET</v>
          </cell>
          <cell r="I14655" t="str">
            <v>METAVANTE ONLINE PAYMENT</v>
          </cell>
        </row>
        <row r="14656">
          <cell r="H14656" t="str">
            <v>PAYPNCL</v>
          </cell>
          <cell r="I14656" t="str">
            <v>PAYMENT THANK YOU!</v>
          </cell>
        </row>
        <row r="14657">
          <cell r="H14657" t="str">
            <v>PAYUSBL</v>
          </cell>
          <cell r="I14657" t="str">
            <v>PAYMENT THANK YOU</v>
          </cell>
        </row>
        <row r="14658">
          <cell r="H14658" t="str">
            <v>RET-KOL</v>
          </cell>
          <cell r="I14658" t="str">
            <v>ONLINE PAYMENT RETURN</v>
          </cell>
        </row>
        <row r="14659">
          <cell r="H14659" t="str">
            <v>RETCK-USBL</v>
          </cell>
          <cell r="I14659" t="str">
            <v>RETURNED CHECK - US BANK LOCKBOX</v>
          </cell>
        </row>
        <row r="14660">
          <cell r="H14660" t="str">
            <v>CC-KOL</v>
          </cell>
          <cell r="I14660" t="str">
            <v>ONLINE PAYMENT-CC</v>
          </cell>
        </row>
        <row r="14661">
          <cell r="H14661" t="str">
            <v>CCREF-KOL</v>
          </cell>
          <cell r="I14661" t="str">
            <v>CREDIT CARD REFUND</v>
          </cell>
        </row>
        <row r="14662">
          <cell r="H14662" t="str">
            <v>PAY</v>
          </cell>
          <cell r="I14662" t="str">
            <v>PAYMENT THANK YOU</v>
          </cell>
        </row>
        <row r="14663">
          <cell r="H14663" t="str">
            <v>PAY-CFREE</v>
          </cell>
          <cell r="I14663" t="str">
            <v>CHECKFREE PAYMENT</v>
          </cell>
        </row>
        <row r="14664">
          <cell r="H14664" t="str">
            <v>PAY-KOL</v>
          </cell>
          <cell r="I14664" t="str">
            <v>PAYMENT-THANK YOU - OL</v>
          </cell>
        </row>
        <row r="14665">
          <cell r="H14665" t="str">
            <v>PAY-NATL</v>
          </cell>
          <cell r="I14665" t="str">
            <v>PAYMENT THANK YOU</v>
          </cell>
        </row>
        <row r="14666">
          <cell r="H14666" t="str">
            <v>PAY-OAK</v>
          </cell>
          <cell r="I14666" t="str">
            <v>OAKLEAF PAYMENT</v>
          </cell>
        </row>
        <row r="14667">
          <cell r="H14667" t="str">
            <v>PAY-ORCC</v>
          </cell>
          <cell r="I14667" t="str">
            <v>ORCC PAYMENT</v>
          </cell>
        </row>
        <row r="14668">
          <cell r="H14668" t="str">
            <v>PAY-RPPS</v>
          </cell>
          <cell r="I14668" t="str">
            <v>RPPS MASTERCARD PAYMENT</v>
          </cell>
        </row>
        <row r="14669">
          <cell r="H14669" t="str">
            <v>PAYAD</v>
          </cell>
          <cell r="I14669" t="str">
            <v>ADJUST PAYMENT AD</v>
          </cell>
        </row>
        <row r="14670">
          <cell r="H14670" t="str">
            <v>PAYEFT</v>
          </cell>
          <cell r="I14670" t="str">
            <v>EFT PAYMENT</v>
          </cell>
        </row>
        <row r="14671">
          <cell r="H14671" t="str">
            <v>PAYICLRI</v>
          </cell>
          <cell r="I14671" t="str">
            <v>PAYMENT THANK YOU</v>
          </cell>
        </row>
        <row r="14672">
          <cell r="H14672" t="str">
            <v>PAYICT</v>
          </cell>
          <cell r="I14672" t="str">
            <v>I/C PAYMENT THANK YOU</v>
          </cell>
        </row>
        <row r="14673">
          <cell r="H14673" t="str">
            <v>PAYMET</v>
          </cell>
          <cell r="I14673" t="str">
            <v>METAVANTE ONLINE PAYMENT</v>
          </cell>
        </row>
        <row r="14674">
          <cell r="H14674" t="str">
            <v>PAYPNCL</v>
          </cell>
          <cell r="I14674" t="str">
            <v>PAYMENT THANK YOU!</v>
          </cell>
        </row>
        <row r="14675">
          <cell r="H14675" t="str">
            <v>PAYUSBL</v>
          </cell>
          <cell r="I14675" t="str">
            <v>PAYMENT THANK YOU</v>
          </cell>
        </row>
        <row r="14676">
          <cell r="H14676" t="str">
            <v>RET-KOL</v>
          </cell>
          <cell r="I14676" t="str">
            <v>ONLINE PAYMENT RETURN</v>
          </cell>
        </row>
        <row r="14677">
          <cell r="H14677" t="str">
            <v>CC-KOL</v>
          </cell>
          <cell r="I14677" t="str">
            <v>ONLINE PAYMENT-CC</v>
          </cell>
        </row>
        <row r="14678">
          <cell r="H14678" t="str">
            <v>DRIVEIN-RES</v>
          </cell>
          <cell r="I14678" t="str">
            <v>DRIVE IN SERVICE - RES</v>
          </cell>
        </row>
        <row r="14679">
          <cell r="H14679" t="str">
            <v>GWRES</v>
          </cell>
          <cell r="I14679" t="str">
            <v>GREENWASTE SERVICE - RES</v>
          </cell>
        </row>
        <row r="14680">
          <cell r="H14680" t="str">
            <v>RECBINONLYR</v>
          </cell>
          <cell r="I14680" t="str">
            <v>RECYCLE SERVICE ONLY</v>
          </cell>
        </row>
        <row r="14681">
          <cell r="H14681" t="str">
            <v>RECPROGADJ-RES</v>
          </cell>
          <cell r="I14681" t="str">
            <v>RECYCLING PROGRAM ADJUSTM</v>
          </cell>
        </row>
        <row r="14682">
          <cell r="H14682" t="str">
            <v>RECVALRES</v>
          </cell>
          <cell r="I14682" t="str">
            <v>RECYCLABLES VALUE - RES</v>
          </cell>
        </row>
        <row r="14683">
          <cell r="H14683" t="str">
            <v>RL032.0G1W001WREC</v>
          </cell>
          <cell r="I14683" t="str">
            <v>32 GL 1X WK W/RECY 1</v>
          </cell>
        </row>
        <row r="14684">
          <cell r="H14684" t="str">
            <v>SL035.0G1M001WREC</v>
          </cell>
          <cell r="I14684" t="str">
            <v>35 GL 1X MO W/RECY 1</v>
          </cell>
        </row>
        <row r="14685">
          <cell r="H14685" t="str">
            <v>SL035.0G1W001NOREC</v>
          </cell>
          <cell r="I14685" t="str">
            <v>35 GL 1X WK NO RECY 1</v>
          </cell>
        </row>
        <row r="14686">
          <cell r="H14686" t="str">
            <v>SL035.0G1W001WREC</v>
          </cell>
          <cell r="I14686" t="str">
            <v>35 GL 1X WK W/ RECY 1</v>
          </cell>
        </row>
        <row r="14687">
          <cell r="H14687" t="str">
            <v>SL035.0GEO001WREC</v>
          </cell>
          <cell r="I14687" t="str">
            <v>35 GL EOW W/RECY 1</v>
          </cell>
        </row>
        <row r="14688">
          <cell r="H14688" t="str">
            <v>SL065.0G1M001NOREC</v>
          </cell>
          <cell r="I14688" t="str">
            <v>65 GL 1X MO NO RECY 1</v>
          </cell>
        </row>
        <row r="14689">
          <cell r="H14689" t="str">
            <v>SL065.0G1M001WREC</v>
          </cell>
          <cell r="I14689" t="str">
            <v>65 GL 1X MO W/RECY 1</v>
          </cell>
        </row>
        <row r="14690">
          <cell r="H14690" t="str">
            <v>SL065.0G1W001NOREC</v>
          </cell>
          <cell r="I14690" t="str">
            <v>65 GL 1X WK NO RECY 1</v>
          </cell>
        </row>
        <row r="14691">
          <cell r="H14691" t="str">
            <v>SL065.0G1W001WREC</v>
          </cell>
          <cell r="I14691" t="str">
            <v>65 GL 1X WK W/RECY 1</v>
          </cell>
        </row>
        <row r="14692">
          <cell r="H14692" t="str">
            <v>SL065.0GEO001NOREC</v>
          </cell>
          <cell r="I14692" t="str">
            <v>65 GL EOW NO RECY 1</v>
          </cell>
        </row>
        <row r="14693">
          <cell r="H14693" t="str">
            <v>SL065.0GEO001WREC</v>
          </cell>
          <cell r="I14693" t="str">
            <v>65 GL EOW W/RECY 1</v>
          </cell>
        </row>
        <row r="14694">
          <cell r="H14694" t="str">
            <v>SL095.0G1W001NOREC</v>
          </cell>
          <cell r="I14694" t="str">
            <v>95 GL 1X WK NO RECY 1</v>
          </cell>
        </row>
        <row r="14695">
          <cell r="H14695" t="str">
            <v>SL095.0G1W001WREC</v>
          </cell>
          <cell r="I14695" t="str">
            <v>95 GL 1X WK W/RECY 1</v>
          </cell>
        </row>
        <row r="14696">
          <cell r="H14696" t="str">
            <v>SL095.0GEO001WREC</v>
          </cell>
          <cell r="I14696" t="str">
            <v>95 GL EOW W/RECY 1</v>
          </cell>
        </row>
        <row r="14697">
          <cell r="H14697" t="str">
            <v>BULKY-RES</v>
          </cell>
          <cell r="I14697" t="str">
            <v>BULKY ITEM PICK UP - RES</v>
          </cell>
        </row>
        <row r="14698">
          <cell r="H14698" t="str">
            <v>EP96GWC-RES</v>
          </cell>
          <cell r="I14698" t="str">
            <v>EXTRA PICK UP 96 GW - RES</v>
          </cell>
        </row>
        <row r="14699">
          <cell r="H14699" t="str">
            <v>EXTRA-RES</v>
          </cell>
          <cell r="I14699" t="str">
            <v>EXTRA CAN, BAG, BOX - RES</v>
          </cell>
        </row>
        <row r="14700">
          <cell r="H14700" t="str">
            <v>EXTRA65-RES</v>
          </cell>
          <cell r="I14700" t="str">
            <v>EXTRA 65 GL RES</v>
          </cell>
        </row>
        <row r="14701">
          <cell r="H14701" t="str">
            <v>EXTRA95-RES</v>
          </cell>
          <cell r="I14701" t="str">
            <v>EXTRA 95 GL RES</v>
          </cell>
        </row>
        <row r="14702">
          <cell r="H14702" t="str">
            <v>EXTRAGWC-RES</v>
          </cell>
          <cell r="I14702" t="str">
            <v>EXTRA GREENWASTE FEE - RE</v>
          </cell>
        </row>
        <row r="14703">
          <cell r="H14703" t="str">
            <v>GWRES</v>
          </cell>
          <cell r="I14703" t="str">
            <v>GREENWASTE SERVICE - RES</v>
          </cell>
        </row>
        <row r="14704">
          <cell r="H14704" t="str">
            <v>OC-RES</v>
          </cell>
          <cell r="I14704" t="str">
            <v>ON CALL SERVICE - RES</v>
          </cell>
        </row>
        <row r="14705">
          <cell r="H14705" t="str">
            <v>OW-RES</v>
          </cell>
          <cell r="I14705" t="str">
            <v>OVERFILL / OVERWEIGHT CAN</v>
          </cell>
        </row>
        <row r="14706">
          <cell r="H14706" t="str">
            <v>RECPROGADJ-RES</v>
          </cell>
          <cell r="I14706" t="str">
            <v>RECYCLING PROGRAM ADJUSTM</v>
          </cell>
        </row>
        <row r="14707">
          <cell r="H14707" t="str">
            <v>RECVALRES</v>
          </cell>
          <cell r="I14707" t="str">
            <v>RECYCLABLES VALUE - RES</v>
          </cell>
        </row>
        <row r="14708">
          <cell r="H14708" t="str">
            <v>REDEL-RES</v>
          </cell>
          <cell r="I14708" t="str">
            <v>REDELIVER FEE - RES</v>
          </cell>
        </row>
        <row r="14709">
          <cell r="H14709" t="str">
            <v>REINSTATE-RES</v>
          </cell>
          <cell r="I14709" t="str">
            <v>REINSTATE FEE - RES</v>
          </cell>
        </row>
        <row r="14710">
          <cell r="H14710" t="str">
            <v>RTRNCART65-RES</v>
          </cell>
          <cell r="I14710" t="str">
            <v>RETURN TRIP 65 GL - RES</v>
          </cell>
        </row>
        <row r="14711">
          <cell r="H14711" t="str">
            <v>RTRNCART95-RES</v>
          </cell>
          <cell r="I14711" t="str">
            <v>RETURN TRIP 95 GL - RES</v>
          </cell>
        </row>
        <row r="14712">
          <cell r="H14712" t="str">
            <v>RTRNCART96REC-RES</v>
          </cell>
          <cell r="I14712" t="str">
            <v>RETURN TRIP 96 GL REC - RES</v>
          </cell>
        </row>
        <row r="14713">
          <cell r="H14713" t="str">
            <v>SL035.0G1W001WREC</v>
          </cell>
          <cell r="I14713" t="str">
            <v>35 GL 1X WK W/ RECY 1</v>
          </cell>
        </row>
        <row r="14714">
          <cell r="H14714" t="str">
            <v>SL035.0GEO001WREC</v>
          </cell>
          <cell r="I14714" t="str">
            <v>35 GL EOW W/RECY 1</v>
          </cell>
        </row>
        <row r="14715">
          <cell r="H14715" t="str">
            <v>SL065.0G1M001WREC</v>
          </cell>
          <cell r="I14715" t="str">
            <v>65 GL 1X MO W/RECY 1</v>
          </cell>
        </row>
        <row r="14716">
          <cell r="H14716" t="str">
            <v>SL065.0G1W001WREC</v>
          </cell>
          <cell r="I14716" t="str">
            <v>65 GL 1X WK W/RECY 1</v>
          </cell>
        </row>
        <row r="14717">
          <cell r="H14717" t="str">
            <v>SL065.0GEO001WREC</v>
          </cell>
          <cell r="I14717" t="str">
            <v>65 GL EOW W/RECY 1</v>
          </cell>
        </row>
        <row r="14718">
          <cell r="H14718" t="str">
            <v>SL095.0G1W001WREC</v>
          </cell>
          <cell r="I14718" t="str">
            <v>95 GL 1X WK W/RECY 1</v>
          </cell>
        </row>
        <row r="14719">
          <cell r="H14719" t="str">
            <v>SL095.0GEO001WREC</v>
          </cell>
          <cell r="I14719" t="str">
            <v>95 GL EOW W/RECY 1</v>
          </cell>
        </row>
        <row r="14720">
          <cell r="H14720" t="str">
            <v>TIME-RES</v>
          </cell>
          <cell r="I14720" t="str">
            <v>TIME FEE 1 - RES</v>
          </cell>
        </row>
        <row r="14721">
          <cell r="H14721" t="str">
            <v>UNRETURN-RES</v>
          </cell>
          <cell r="I14721" t="str">
            <v xml:space="preserve">CONTAINER UNRETURNED FEE </v>
          </cell>
        </row>
        <row r="14722">
          <cell r="H14722" t="str">
            <v>ACCESS-RES</v>
          </cell>
          <cell r="I14722" t="str">
            <v>ACCESS FEE - RES</v>
          </cell>
        </row>
        <row r="14723">
          <cell r="H14723" t="str">
            <v>DRIVEIN-RES</v>
          </cell>
          <cell r="I14723" t="str">
            <v>DRIVE IN SERVICE - RES</v>
          </cell>
        </row>
        <row r="14724">
          <cell r="H14724" t="str">
            <v>DRIVEINMUL-RES</v>
          </cell>
          <cell r="I14724" t="str">
            <v>DRIVE IN SVC MULTIPLE</v>
          </cell>
        </row>
        <row r="14725">
          <cell r="H14725" t="str">
            <v>EMPLOYEER</v>
          </cell>
          <cell r="I14725" t="str">
            <v>EMPLOYEE SERVICE RES</v>
          </cell>
        </row>
        <row r="14726">
          <cell r="H14726" t="str">
            <v>GWRES</v>
          </cell>
          <cell r="I14726" t="str">
            <v>GREENWASTE SERVICE - RES</v>
          </cell>
        </row>
        <row r="14727">
          <cell r="H14727" t="str">
            <v>GWSPCL-RES</v>
          </cell>
          <cell r="I14727" t="str">
            <v>GREENWASTE SEN/DIS - RES</v>
          </cell>
        </row>
        <row r="14728">
          <cell r="H14728" t="str">
            <v>RECBINONLYR</v>
          </cell>
          <cell r="I14728" t="str">
            <v>RECYCLE SERVICE ONLY</v>
          </cell>
        </row>
        <row r="14729">
          <cell r="H14729" t="str">
            <v>RECPROGADJ-RES</v>
          </cell>
          <cell r="I14729" t="str">
            <v>RECYCLING PROGRAM ADJUSTM</v>
          </cell>
        </row>
        <row r="14730">
          <cell r="H14730" t="str">
            <v>RECVALRES</v>
          </cell>
          <cell r="I14730" t="str">
            <v>RECYCLABLES VALUE - RES</v>
          </cell>
        </row>
        <row r="14731">
          <cell r="H14731" t="str">
            <v>RL020.0G1W001</v>
          </cell>
          <cell r="I14731" t="str">
            <v>20 GL 1X WK 1</v>
          </cell>
        </row>
        <row r="14732">
          <cell r="H14732" t="str">
            <v>RL032.0G1M001WREC</v>
          </cell>
          <cell r="I14732" t="str">
            <v>32 GL 1X MO W/RECY 1</v>
          </cell>
        </row>
        <row r="14733">
          <cell r="H14733" t="str">
            <v>RL032.0G1W001NOREC</v>
          </cell>
          <cell r="I14733" t="str">
            <v>32 GL 1X WK NO RECY 1</v>
          </cell>
        </row>
        <row r="14734">
          <cell r="H14734" t="str">
            <v>RL032.0G1W001WREC</v>
          </cell>
          <cell r="I14734" t="str">
            <v>32 GL 1X WK W/RECY 1</v>
          </cell>
        </row>
        <row r="14735">
          <cell r="H14735" t="str">
            <v>RL032.0G1W002NOREC</v>
          </cell>
          <cell r="I14735" t="str">
            <v>32 GL 1X WK NO RECY 2</v>
          </cell>
        </row>
        <row r="14736">
          <cell r="H14736" t="str">
            <v>RL032.0G1W002WREC</v>
          </cell>
          <cell r="I14736" t="str">
            <v>32 GL 1X WK W/RECY 2</v>
          </cell>
        </row>
        <row r="14737">
          <cell r="H14737" t="str">
            <v>RL032.0G1W003WREC</v>
          </cell>
          <cell r="I14737" t="str">
            <v>32 GL 1X WK W/RECY 3</v>
          </cell>
        </row>
        <row r="14738">
          <cell r="H14738" t="str">
            <v>RL032.0G1W004NOREC</v>
          </cell>
          <cell r="I14738" t="str">
            <v>32 GL 1X WK NO RECY 4</v>
          </cell>
        </row>
        <row r="14739">
          <cell r="H14739" t="str">
            <v>RL032.0G1W004WREC</v>
          </cell>
          <cell r="I14739" t="str">
            <v>32 GL 1X WK W/RECY 4</v>
          </cell>
        </row>
        <row r="14740">
          <cell r="H14740" t="str">
            <v>SL032.0G1W001WREC</v>
          </cell>
          <cell r="I14740" t="str">
            <v>32 GL 1X WK W/RECY 1</v>
          </cell>
        </row>
        <row r="14741">
          <cell r="H14741" t="str">
            <v>SL035.0G1M001WREC</v>
          </cell>
          <cell r="I14741" t="str">
            <v>35 GL 1X MO W/RECY 1</v>
          </cell>
        </row>
        <row r="14742">
          <cell r="H14742" t="str">
            <v>SL035.0G1W001NOREC</v>
          </cell>
          <cell r="I14742" t="str">
            <v>35 GL 1X WK NO RECY 1</v>
          </cell>
        </row>
        <row r="14743">
          <cell r="H14743" t="str">
            <v>SL035.0G1W001WREC</v>
          </cell>
          <cell r="I14743" t="str">
            <v>35 GL 1X WK W/ RECY 1</v>
          </cell>
        </row>
        <row r="14744">
          <cell r="H14744" t="str">
            <v>SL035.0G1W002WREC</v>
          </cell>
          <cell r="I14744" t="str">
            <v>35 GL 1X WK W/RECY 2</v>
          </cell>
        </row>
        <row r="14745">
          <cell r="H14745" t="str">
            <v>SL035.0GEO001NOREC</v>
          </cell>
          <cell r="I14745" t="str">
            <v>35 GL EOW NO RECY 1</v>
          </cell>
        </row>
        <row r="14746">
          <cell r="H14746" t="str">
            <v>SL035.0GEO001WREC</v>
          </cell>
          <cell r="I14746" t="str">
            <v>35 GL EOW W/RECY 1</v>
          </cell>
        </row>
        <row r="14747">
          <cell r="H14747" t="str">
            <v>SL065.0G1M001NOREC</v>
          </cell>
          <cell r="I14747" t="str">
            <v>65 GL 1X MO NO RECY 1</v>
          </cell>
        </row>
        <row r="14748">
          <cell r="H14748" t="str">
            <v>SL065.0G1M001WREC</v>
          </cell>
          <cell r="I14748" t="str">
            <v>65 GL 1X MO W/RECY 1</v>
          </cell>
        </row>
        <row r="14749">
          <cell r="H14749" t="str">
            <v>SL065.0G1M002NOREC</v>
          </cell>
          <cell r="I14749" t="str">
            <v>65 GL 1X MO NO RECY 2</v>
          </cell>
        </row>
        <row r="14750">
          <cell r="H14750" t="str">
            <v>SL065.0G1W001NOREC</v>
          </cell>
          <cell r="I14750" t="str">
            <v>65 GL 1X WK NO RECY 1</v>
          </cell>
        </row>
        <row r="14751">
          <cell r="H14751" t="str">
            <v>SL065.0G1W001SPCLWREC</v>
          </cell>
          <cell r="I14751" t="str">
            <v>65 GL 1X WK S/D W/REC 1</v>
          </cell>
        </row>
        <row r="14752">
          <cell r="H14752" t="str">
            <v>SL065.0G1W001WREC</v>
          </cell>
          <cell r="I14752" t="str">
            <v>65 GL 1X WK W/RECY 1</v>
          </cell>
        </row>
        <row r="14753">
          <cell r="H14753" t="str">
            <v>SL065.0GEO001NOREC</v>
          </cell>
          <cell r="I14753" t="str">
            <v>65 GL EOW NO RECY 1</v>
          </cell>
        </row>
        <row r="14754">
          <cell r="H14754" t="str">
            <v>SL065.0GEO001WREC</v>
          </cell>
          <cell r="I14754" t="str">
            <v>65 GL EOW W/RECY 1</v>
          </cell>
        </row>
        <row r="14755">
          <cell r="H14755" t="str">
            <v>SL095.0G1M001NOREC</v>
          </cell>
          <cell r="I14755" t="str">
            <v>95 GL 1X MO NO RECY 1</v>
          </cell>
        </row>
        <row r="14756">
          <cell r="H14756" t="str">
            <v>SL095.0G1M001WREC</v>
          </cell>
          <cell r="I14756" t="str">
            <v>95 GL 1X MO W/RECY 1</v>
          </cell>
        </row>
        <row r="14757">
          <cell r="H14757" t="str">
            <v>SL095.0G1W001NOREC</v>
          </cell>
          <cell r="I14757" t="str">
            <v>95 GL 1X WK NO RECY 1</v>
          </cell>
        </row>
        <row r="14758">
          <cell r="H14758" t="str">
            <v>SL095.0G1W001WREC</v>
          </cell>
          <cell r="I14758" t="str">
            <v>95 GL 1X WK W/RECY 1</v>
          </cell>
        </row>
        <row r="14759">
          <cell r="H14759" t="str">
            <v>SL095.0GEO001NOREC</v>
          </cell>
          <cell r="I14759" t="str">
            <v>95 GL EOW NO RECY 1</v>
          </cell>
        </row>
        <row r="14760">
          <cell r="H14760" t="str">
            <v>SL095.0GEO001WREC</v>
          </cell>
          <cell r="I14760" t="str">
            <v>95 GL EOW W/RECY 1</v>
          </cell>
        </row>
        <row r="14761">
          <cell r="H14761" t="str">
            <v>WI1-RES</v>
          </cell>
          <cell r="I14761" t="str">
            <v>WALK IN 6-25' - RES</v>
          </cell>
        </row>
        <row r="14762">
          <cell r="H14762" t="str">
            <v>WI2-RES</v>
          </cell>
          <cell r="I14762" t="str">
            <v>WALK IN 26-50' - RES</v>
          </cell>
        </row>
        <row r="14763">
          <cell r="H14763" t="str">
            <v>BULKY-RES</v>
          </cell>
          <cell r="I14763" t="str">
            <v>BULKY ITEM PICK UP - RES</v>
          </cell>
        </row>
        <row r="14764">
          <cell r="H14764" t="str">
            <v>EP96GWC-RES</v>
          </cell>
          <cell r="I14764" t="str">
            <v>EXTRA PICK UP 96 GW - RES</v>
          </cell>
        </row>
        <row r="14765">
          <cell r="H14765" t="str">
            <v>EXTRA-RES</v>
          </cell>
          <cell r="I14765" t="str">
            <v>EXTRA CAN, BAG, BOX - RES</v>
          </cell>
        </row>
        <row r="14766">
          <cell r="H14766" t="str">
            <v>EXTRA65-RES</v>
          </cell>
          <cell r="I14766" t="str">
            <v>EXTRA 65 GL RES</v>
          </cell>
        </row>
        <row r="14767">
          <cell r="H14767" t="str">
            <v>EXTRA95-RES</v>
          </cell>
          <cell r="I14767" t="str">
            <v>EXTRA 95 GL RES</v>
          </cell>
        </row>
        <row r="14768">
          <cell r="H14768" t="str">
            <v>EXTRAGWC-RES</v>
          </cell>
          <cell r="I14768" t="str">
            <v>EXTRA GREENWASTE FEE - RE</v>
          </cell>
        </row>
        <row r="14769">
          <cell r="H14769" t="str">
            <v>GWRES</v>
          </cell>
          <cell r="I14769" t="str">
            <v>GREENWASTE SERVICE - RES</v>
          </cell>
        </row>
        <row r="14770">
          <cell r="H14770" t="str">
            <v>OC-RES</v>
          </cell>
          <cell r="I14770" t="str">
            <v>ON CALL SERVICE - RES</v>
          </cell>
        </row>
        <row r="14771">
          <cell r="H14771" t="str">
            <v>OW-RES</v>
          </cell>
          <cell r="I14771" t="str">
            <v>OVERFILL / OVERWEIGHT CAN</v>
          </cell>
        </row>
        <row r="14772">
          <cell r="H14772" t="str">
            <v>RECPROGADJ-RES</v>
          </cell>
          <cell r="I14772" t="str">
            <v>RECYCLING PROGRAM ADJUSTM</v>
          </cell>
        </row>
        <row r="14773">
          <cell r="H14773" t="str">
            <v>RECVALRES</v>
          </cell>
          <cell r="I14773" t="str">
            <v>RECYCLABLES VALUE - RES</v>
          </cell>
        </row>
        <row r="14774">
          <cell r="H14774" t="str">
            <v>REDEL-RES</v>
          </cell>
          <cell r="I14774" t="str">
            <v>REDELIVER FEE - RES</v>
          </cell>
        </row>
        <row r="14775">
          <cell r="H14775" t="str">
            <v>REINSTATE-RES</v>
          </cell>
          <cell r="I14775" t="str">
            <v>REINSTATE FEE - RES</v>
          </cell>
        </row>
        <row r="14776">
          <cell r="H14776" t="str">
            <v>RTRNCART65-RES</v>
          </cell>
          <cell r="I14776" t="str">
            <v>RETURN TRIP 65 GL - RES</v>
          </cell>
        </row>
        <row r="14777">
          <cell r="H14777" t="str">
            <v>RTRNCART95-RES</v>
          </cell>
          <cell r="I14777" t="str">
            <v>RETURN TRIP 95 GL - RES</v>
          </cell>
        </row>
        <row r="14778">
          <cell r="H14778" t="str">
            <v>RTRNCART96REC-RES</v>
          </cell>
          <cell r="I14778" t="str">
            <v>RETURN TRIP 96 GL REC - RES</v>
          </cell>
        </row>
        <row r="14779">
          <cell r="H14779" t="str">
            <v>SL035.0G1W001WREC</v>
          </cell>
          <cell r="I14779" t="str">
            <v>35 GL 1X WK W/ RECY 1</v>
          </cell>
        </row>
        <row r="14780">
          <cell r="H14780" t="str">
            <v>SL065.0G1W001WREC</v>
          </cell>
          <cell r="I14780" t="str">
            <v>65 GL 1X WK W/RECY 1</v>
          </cell>
        </row>
        <row r="14781">
          <cell r="H14781" t="str">
            <v>SL065.0GEO001WREC</v>
          </cell>
          <cell r="I14781" t="str">
            <v>65 GL EOW W/RECY 1</v>
          </cell>
        </row>
        <row r="14782">
          <cell r="H14782" t="str">
            <v>SL095.0G1W001WREC</v>
          </cell>
          <cell r="I14782" t="str">
            <v>95 GL 1X WK W/RECY 1</v>
          </cell>
        </row>
        <row r="14783">
          <cell r="H14783" t="str">
            <v>SL095.0GEO001WREC</v>
          </cell>
          <cell r="I14783" t="str">
            <v>95 GL EOW W/RECY 1</v>
          </cell>
        </row>
        <row r="14784">
          <cell r="H14784" t="str">
            <v>TIME-RES</v>
          </cell>
          <cell r="I14784" t="str">
            <v>TIME FEE 1 - RES</v>
          </cell>
        </row>
        <row r="14785">
          <cell r="H14785" t="str">
            <v>EMPLOYEER</v>
          </cell>
          <cell r="I14785" t="str">
            <v>EMPLOYEE SERVICE RES</v>
          </cell>
        </row>
        <row r="14786">
          <cell r="H14786" t="str">
            <v>SL095.0G1W001WREC</v>
          </cell>
          <cell r="I14786" t="str">
            <v>95 GL 1X WK W/RECY 1</v>
          </cell>
        </row>
        <row r="14787">
          <cell r="H14787" t="str">
            <v>BULKY-RES</v>
          </cell>
          <cell r="I14787" t="str">
            <v>BULKY ITEM PICK UP - RES</v>
          </cell>
        </row>
        <row r="14788">
          <cell r="H14788" t="str">
            <v>DISP-RES</v>
          </cell>
          <cell r="I14788" t="str">
            <v>DISPOSAL FEE -RES</v>
          </cell>
        </row>
        <row r="14789">
          <cell r="H14789" t="str">
            <v>DISPCMGL-RES</v>
          </cell>
          <cell r="I14789" t="str">
            <v>DISPOSAL COMINGLE - RES</v>
          </cell>
        </row>
        <row r="14790">
          <cell r="H14790" t="str">
            <v>DISPFEDMSW-RES</v>
          </cell>
          <cell r="I14790" t="str">
            <v>DISPOSAL FEDERAL MSW - RE</v>
          </cell>
        </row>
        <row r="14791">
          <cell r="H14791" t="str">
            <v>DISPGW-RES</v>
          </cell>
          <cell r="I14791" t="str">
            <v>DISPOSAL FEE GREENWASTE -</v>
          </cell>
        </row>
        <row r="14792">
          <cell r="H14792" t="str">
            <v>DRIVEIN-RES</v>
          </cell>
          <cell r="I14792" t="str">
            <v>DRIVE IN SERVICE - RES</v>
          </cell>
        </row>
        <row r="14793">
          <cell r="H14793" t="str">
            <v>EXTRAGWC-RES</v>
          </cell>
          <cell r="I14793" t="str">
            <v>EXTRA GREENWASTE FEE - RE</v>
          </cell>
        </row>
        <row r="14794">
          <cell r="H14794" t="str">
            <v>GWRES</v>
          </cell>
          <cell r="I14794" t="str">
            <v>GREENWASTE SERVICE - RES</v>
          </cell>
        </row>
        <row r="14795">
          <cell r="H14795" t="str">
            <v>OW-RES</v>
          </cell>
          <cell r="I14795" t="str">
            <v>OVERFILL / OVERWEIGHT CAN</v>
          </cell>
        </row>
        <row r="14796">
          <cell r="H14796" t="str">
            <v>SL035.0G1W001WREC</v>
          </cell>
          <cell r="I14796" t="str">
            <v>35 GL 1X WK W/ RECY 1</v>
          </cell>
        </row>
        <row r="14797">
          <cell r="H14797" t="str">
            <v>SL095.0G1W001WREC</v>
          </cell>
          <cell r="I14797" t="str">
            <v>95 GL 1X WK W/RECY 1</v>
          </cell>
        </row>
        <row r="14798">
          <cell r="H14798" t="str">
            <v>DONATIONRO</v>
          </cell>
          <cell r="I14798" t="str">
            <v>DONATED SERVICE ROLL OFF</v>
          </cell>
        </row>
        <row r="14799">
          <cell r="H14799" t="str">
            <v>HAUL20-RO</v>
          </cell>
          <cell r="I14799" t="str">
            <v>HAUL 20 YD - RO</v>
          </cell>
        </row>
        <row r="14800">
          <cell r="H14800" t="str">
            <v>LIDRO</v>
          </cell>
          <cell r="I14800" t="str">
            <v>LID CHARGE - RO</v>
          </cell>
        </row>
        <row r="14801">
          <cell r="H14801" t="str">
            <v>RENT10MO-RO</v>
          </cell>
          <cell r="I14801" t="str">
            <v>RENTAL FEE 10 YD MONTHLY</v>
          </cell>
        </row>
        <row r="14802">
          <cell r="H14802" t="str">
            <v>RENT20MO-RO</v>
          </cell>
          <cell r="I14802" t="str">
            <v>RENTAL FEE 20 YD MONTHLY</v>
          </cell>
        </row>
        <row r="14803">
          <cell r="H14803" t="str">
            <v>RENT20TEMP-RO</v>
          </cell>
          <cell r="I14803" t="str">
            <v>RENTAL FEE 20 YD TEMP - R</v>
          </cell>
        </row>
        <row r="14804">
          <cell r="H14804" t="str">
            <v>RENT30MO-RO</v>
          </cell>
          <cell r="I14804" t="str">
            <v>RENTAL FEE 30 YD MONTHLY</v>
          </cell>
        </row>
        <row r="14805">
          <cell r="H14805" t="str">
            <v>RENT40MO-RO</v>
          </cell>
          <cell r="I14805" t="str">
            <v>RENTAL FEE 40 YD MONTHLY</v>
          </cell>
        </row>
        <row r="14806">
          <cell r="H14806" t="str">
            <v>CLEAN30-RO</v>
          </cell>
          <cell r="I14806" t="str">
            <v>CLEANING FEE 30 YD - RO</v>
          </cell>
        </row>
        <row r="14807">
          <cell r="H14807" t="str">
            <v>COMMODITY</v>
          </cell>
          <cell r="I14807" t="str">
            <v>COMMODITY</v>
          </cell>
        </row>
        <row r="14808">
          <cell r="H14808" t="str">
            <v>DEL20-RO</v>
          </cell>
          <cell r="I14808" t="str">
            <v>DELIVERY FEE 20 YD - RO</v>
          </cell>
        </row>
        <row r="14809">
          <cell r="H14809" t="str">
            <v>DEL20TEMP-RO</v>
          </cell>
          <cell r="I14809" t="str">
            <v>DELIVERY FEE 20 YD TEMP -</v>
          </cell>
        </row>
        <row r="14810">
          <cell r="H14810" t="str">
            <v>DEL30-RO</v>
          </cell>
          <cell r="I14810" t="str">
            <v>DELIVERY FEE 30 YD - RO</v>
          </cell>
        </row>
        <row r="14811">
          <cell r="H14811" t="str">
            <v>DEL30TEMP-RO</v>
          </cell>
          <cell r="I14811" t="str">
            <v>DELIVERY FEE 30 YD TEMP -</v>
          </cell>
        </row>
        <row r="14812">
          <cell r="H14812" t="str">
            <v>DEL40-RO</v>
          </cell>
          <cell r="I14812" t="str">
            <v>DELIVERY FEE 40 YD - RO</v>
          </cell>
        </row>
        <row r="14813">
          <cell r="H14813" t="str">
            <v>DEL40TEMP-RO</v>
          </cell>
          <cell r="I14813" t="str">
            <v>DELIVERY FEE 40 YD TEMP -</v>
          </cell>
        </row>
        <row r="14814">
          <cell r="H14814" t="str">
            <v>DISCO-CP</v>
          </cell>
          <cell r="I14814" t="str">
            <v xml:space="preserve">COMPACTOR DISCONNECT FEE </v>
          </cell>
        </row>
        <row r="14815">
          <cell r="H14815" t="str">
            <v>DISP-RO</v>
          </cell>
          <cell r="I14815" t="str">
            <v>DISPOSAL CHARGE - RO</v>
          </cell>
        </row>
        <row r="14816">
          <cell r="H14816" t="str">
            <v>DISPCMGL-RO</v>
          </cell>
          <cell r="I14816" t="str">
            <v xml:space="preserve">DISPOSAL FEE COMMINGLE - </v>
          </cell>
        </row>
        <row r="14817">
          <cell r="H14817" t="str">
            <v>DISPFEDMSW-RO</v>
          </cell>
          <cell r="I14817" t="str">
            <v xml:space="preserve">DISPOSAL FEE FEDERAL MSW </v>
          </cell>
        </row>
        <row r="14818">
          <cell r="H14818" t="str">
            <v>DISPMATT-RO</v>
          </cell>
          <cell r="I14818" t="str">
            <v>DISPOSAL MATTRESSES - RO</v>
          </cell>
        </row>
        <row r="14819">
          <cell r="H14819" t="str">
            <v>DISPMETAL-RO</v>
          </cell>
          <cell r="I14819" t="str">
            <v>DISPOSAL FEE METAL - RO</v>
          </cell>
        </row>
        <row r="14820">
          <cell r="H14820" t="str">
            <v>DISPOCC-RO</v>
          </cell>
          <cell r="I14820" t="str">
            <v xml:space="preserve">DISPOSAL FEE CARDBOARD - </v>
          </cell>
        </row>
        <row r="14821">
          <cell r="H14821" t="str">
            <v>DISPTIRES-RO</v>
          </cell>
          <cell r="I14821" t="str">
            <v>DISPOSAL FEE TIRES - RO</v>
          </cell>
        </row>
        <row r="14822">
          <cell r="H14822" t="str">
            <v>DISPTOTERS-RO</v>
          </cell>
          <cell r="I14822" t="str">
            <v>DISPOSAL FEE TOTERS</v>
          </cell>
        </row>
        <row r="14823">
          <cell r="H14823" t="str">
            <v>DISPTRANS-RO</v>
          </cell>
          <cell r="I14823" t="str">
            <v>DISPOSAL FEE TRANSFER HAU</v>
          </cell>
        </row>
        <row r="14824">
          <cell r="H14824" t="str">
            <v>EXWGHT-RO</v>
          </cell>
          <cell r="I14824" t="str">
            <v>EXCESS WEIGHT - RO</v>
          </cell>
        </row>
        <row r="14825">
          <cell r="H14825" t="str">
            <v>FERRY-RO</v>
          </cell>
          <cell r="I14825" t="str">
            <v>FERRY FEE - RO</v>
          </cell>
        </row>
        <row r="14826">
          <cell r="H14826" t="str">
            <v>FINAL20-RO</v>
          </cell>
          <cell r="I14826" t="str">
            <v>FINAL PULL 20 YD - RO</v>
          </cell>
        </row>
        <row r="14827">
          <cell r="H14827" t="str">
            <v>FINAL20TEMP-RO</v>
          </cell>
          <cell r="I14827" t="str">
            <v>FINAL PULL 20 YD TEMP - R</v>
          </cell>
        </row>
        <row r="14828">
          <cell r="H14828" t="str">
            <v>FINAL30-RO</v>
          </cell>
          <cell r="I14828" t="str">
            <v>FINAL PULL 30 YD - RO</v>
          </cell>
        </row>
        <row r="14829">
          <cell r="H14829" t="str">
            <v>FINAL30TEMP-RO</v>
          </cell>
          <cell r="I14829" t="str">
            <v>FINAL PULL 30 YD TEMP - R</v>
          </cell>
        </row>
        <row r="14830">
          <cell r="H14830" t="str">
            <v>FINAL40-RO</v>
          </cell>
          <cell r="I14830" t="str">
            <v>FINAL PULL 40 YD - RO</v>
          </cell>
        </row>
        <row r="14831">
          <cell r="H14831" t="str">
            <v>FINAL40TEMP-RO</v>
          </cell>
          <cell r="I14831" t="str">
            <v>FINAL PULL 40 YD TEMP - R</v>
          </cell>
        </row>
        <row r="14832">
          <cell r="H14832" t="str">
            <v>GATE-RO</v>
          </cell>
          <cell r="I14832" t="str">
            <v>GATE CHARGE - RO</v>
          </cell>
        </row>
        <row r="14833">
          <cell r="H14833" t="str">
            <v>HAUL10-CP</v>
          </cell>
          <cell r="I14833" t="str">
            <v>COMPACTOR HAUL 10 YD - RO</v>
          </cell>
        </row>
        <row r="14834">
          <cell r="H14834" t="str">
            <v>HAUL20-CP</v>
          </cell>
          <cell r="I14834" t="str">
            <v>COMPACTOR HAUL 20 YD - RO</v>
          </cell>
        </row>
        <row r="14835">
          <cell r="H14835" t="str">
            <v>HAUL20-RO</v>
          </cell>
          <cell r="I14835" t="str">
            <v>HAUL 20 YD - RO</v>
          </cell>
        </row>
        <row r="14836">
          <cell r="H14836" t="str">
            <v>HAUL20CUST-RO</v>
          </cell>
          <cell r="I14836" t="str">
            <v>HAUL 20 YD CUST - RO</v>
          </cell>
        </row>
        <row r="14837">
          <cell r="H14837" t="str">
            <v>HAUL20TEMP-RO</v>
          </cell>
          <cell r="I14837" t="str">
            <v>HAUL 20 YD TEMP - RO</v>
          </cell>
        </row>
        <row r="14838">
          <cell r="H14838" t="str">
            <v>HAUL25-CP</v>
          </cell>
          <cell r="I14838" t="str">
            <v>COMPACTOR HAUL 25 YD - RO</v>
          </cell>
        </row>
        <row r="14839">
          <cell r="H14839" t="str">
            <v>HAUL30-CP</v>
          </cell>
          <cell r="I14839" t="str">
            <v>COMPACTOR HAUL 30 YD</v>
          </cell>
        </row>
        <row r="14840">
          <cell r="H14840" t="str">
            <v>HAUL30-RO</v>
          </cell>
          <cell r="I14840" t="str">
            <v>HAUL 30 YD - RO</v>
          </cell>
        </row>
        <row r="14841">
          <cell r="H14841" t="str">
            <v>HAUL30TEMP-RO</v>
          </cell>
          <cell r="I14841" t="str">
            <v>HAUL 30 YD TEMP - RO</v>
          </cell>
        </row>
        <row r="14842">
          <cell r="H14842" t="str">
            <v>HAUL40-CP</v>
          </cell>
          <cell r="I14842" t="str">
            <v>COMPACTOR HAUL 40 YD</v>
          </cell>
        </row>
        <row r="14843">
          <cell r="H14843" t="str">
            <v>HAUL40-RO</v>
          </cell>
          <cell r="I14843" t="str">
            <v>HAUL 40 YD - RO</v>
          </cell>
        </row>
        <row r="14844">
          <cell r="H14844" t="str">
            <v>HAUL40TEMP-RO</v>
          </cell>
          <cell r="I14844" t="str">
            <v>HAUL 40 YD TEMP - RO</v>
          </cell>
        </row>
        <row r="14845">
          <cell r="H14845" t="str">
            <v>JHBP-SW</v>
          </cell>
          <cell r="I14845" t="str">
            <v>JAMES HARDIE-SPECIAL WASTE</v>
          </cell>
        </row>
        <row r="14846">
          <cell r="H14846" t="str">
            <v>LIDRO</v>
          </cell>
          <cell r="I14846" t="str">
            <v>LID CHARGE - RO</v>
          </cell>
        </row>
        <row r="14847">
          <cell r="H14847" t="str">
            <v>LOCK-RO</v>
          </cell>
          <cell r="I14847" t="str">
            <v>LOCK CHARGE - RO</v>
          </cell>
        </row>
        <row r="14848">
          <cell r="H14848" t="str">
            <v>MILE-RO</v>
          </cell>
          <cell r="I14848" t="str">
            <v>MILEAGE FEE - RO</v>
          </cell>
        </row>
        <row r="14849">
          <cell r="H14849" t="str">
            <v>RENT20TEMP-RO</v>
          </cell>
          <cell r="I14849" t="str">
            <v>RENTAL FEE 20 YD TEMP - R</v>
          </cell>
        </row>
        <row r="14850">
          <cell r="H14850" t="str">
            <v>RENT30MO-RO</v>
          </cell>
          <cell r="I14850" t="str">
            <v>RENTAL FEE 30 YD MONTHLY</v>
          </cell>
        </row>
        <row r="14851">
          <cell r="H14851" t="str">
            <v>RENT30TEMP-RO</v>
          </cell>
          <cell r="I14851" t="str">
            <v>RENTAL FEE 30 YD TEMP - R</v>
          </cell>
        </row>
        <row r="14852">
          <cell r="H14852" t="str">
            <v>RENT40TEMP-RO</v>
          </cell>
          <cell r="I14852" t="str">
            <v>RENTAL FEE 40 YD TEMP - R</v>
          </cell>
        </row>
        <row r="14853">
          <cell r="H14853" t="str">
            <v>RTRNTRIP-RO</v>
          </cell>
          <cell r="I14853" t="str">
            <v>RETURN TRIP FEE - RO</v>
          </cell>
        </row>
        <row r="14854">
          <cell r="H14854" t="str">
            <v>TIME-RO</v>
          </cell>
          <cell r="I14854" t="str">
            <v>TIME FEE - RO</v>
          </cell>
        </row>
        <row r="14855">
          <cell r="H14855" t="str">
            <v>DISP-RO</v>
          </cell>
          <cell r="I14855" t="str">
            <v>DISPOSAL CHARGE - RO</v>
          </cell>
        </row>
        <row r="14856">
          <cell r="H14856" t="str">
            <v>DISPGLASS-RO</v>
          </cell>
          <cell r="I14856" t="str">
            <v>DISPOSAL FEE GLASS - RO</v>
          </cell>
        </row>
        <row r="14857">
          <cell r="H14857" t="str">
            <v>FINAL30TEMP-RO</v>
          </cell>
          <cell r="I14857" t="str">
            <v>FINAL PULL 30 YD TEMP - R</v>
          </cell>
        </row>
        <row r="14858">
          <cell r="H14858" t="str">
            <v>MILE-RO</v>
          </cell>
          <cell r="I14858" t="str">
            <v>MILEAGE FEE - RO</v>
          </cell>
        </row>
        <row r="14859">
          <cell r="H14859" t="str">
            <v>RENT30TEMP-RO</v>
          </cell>
          <cell r="I14859" t="str">
            <v>RENTAL FEE 30 YD TEMP - R</v>
          </cell>
        </row>
        <row r="14860">
          <cell r="H14860" t="str">
            <v>COMMODITY SURCHARGE</v>
          </cell>
          <cell r="I14860" t="str">
            <v>COMMODITY SURCHARGE</v>
          </cell>
        </row>
        <row r="14861">
          <cell r="H14861" t="str">
            <v>COMMODITY SURCHARGE</v>
          </cell>
          <cell r="I14861" t="str">
            <v>COMMODITY SURCHARGE</v>
          </cell>
        </row>
        <row r="14862">
          <cell r="H14862" t="str">
            <v>COMMODITY SURCHARGE</v>
          </cell>
          <cell r="I14862" t="str">
            <v>COMMODITY SURCHARGE</v>
          </cell>
        </row>
        <row r="14863">
          <cell r="H14863" t="str">
            <v xml:space="preserve">PIERCE COUNTY REFUSE </v>
          </cell>
          <cell r="I14863" t="str">
            <v>3.6% PIERCE COUNTY REFUSE</v>
          </cell>
        </row>
        <row r="14864">
          <cell r="H14864" t="str">
            <v xml:space="preserve">PIERCE COUNTY REFUSE  </v>
          </cell>
          <cell r="I14864" t="str">
            <v>3.6% PIERCE COUNTY REFUSE</v>
          </cell>
        </row>
        <row r="14865">
          <cell r="H14865" t="str">
            <v>PIERCE REFUSE TAX</v>
          </cell>
          <cell r="I14865" t="str">
            <v>3.6% WA STATE REFUSE TAX</v>
          </cell>
        </row>
        <row r="14866">
          <cell r="H14866" t="str">
            <v xml:space="preserve">PIERCE COUNTY REFUSE </v>
          </cell>
          <cell r="I14866" t="str">
            <v>3.6% PIERCE COUNTY REFUSE</v>
          </cell>
        </row>
        <row r="14867">
          <cell r="H14867" t="str">
            <v xml:space="preserve">PIERCE COUNTY REFUSE  </v>
          </cell>
          <cell r="I14867" t="str">
            <v>3.6% PIERCE COUNTY REFUSE</v>
          </cell>
        </row>
        <row r="14868">
          <cell r="H14868" t="str">
            <v>PIERCE COUNTY REFUSE</v>
          </cell>
          <cell r="I14868" t="str">
            <v>3.6% PIERCE COUNTY REFUSE</v>
          </cell>
        </row>
        <row r="14869">
          <cell r="H14869" t="str">
            <v>PIERCE COUNTY SALES 7.9%</v>
          </cell>
          <cell r="I14869" t="str">
            <v>7.9% WA STATE SALES TAX</v>
          </cell>
        </row>
        <row r="14870">
          <cell r="H14870" t="str">
            <v>PIERCE COUNTY SALES 8.0%</v>
          </cell>
          <cell r="I14870" t="str">
            <v>8.0% WA STATE SALES TAX</v>
          </cell>
        </row>
        <row r="14871">
          <cell r="H14871" t="str">
            <v>PIERCE COUNTY SALES 9.3%</v>
          </cell>
          <cell r="I14871" t="str">
            <v>9.3% WA STATE SALES TAX</v>
          </cell>
        </row>
        <row r="14872">
          <cell r="H14872" t="str">
            <v>PIERCE REFUSE TAX</v>
          </cell>
          <cell r="I14872" t="str">
            <v>3.6% WA STATE REFUSE TAX</v>
          </cell>
        </row>
        <row r="14873">
          <cell r="H14873" t="str">
            <v>PIERCE STATE SALES TAX</v>
          </cell>
          <cell r="I14873" t="str">
            <v>9.9% WA STATE SALES TAX</v>
          </cell>
        </row>
        <row r="14874">
          <cell r="H14874" t="str">
            <v>PIERCE REFUSE TAX</v>
          </cell>
          <cell r="I14874" t="str">
            <v>3.6% WA STATE REFUSE TAX</v>
          </cell>
        </row>
        <row r="14875">
          <cell r="H14875" t="str">
            <v>PIERCE STATE SALES TAX</v>
          </cell>
          <cell r="I14875" t="str">
            <v>9.9% WA STATE SALES TAX</v>
          </cell>
        </row>
        <row r="14876">
          <cell r="H14876" t="str">
            <v xml:space="preserve">PIERCE COUNTY REFUSE  </v>
          </cell>
          <cell r="I14876" t="str">
            <v>3.6% PIERCE COUNTY REFUSE</v>
          </cell>
        </row>
        <row r="14877">
          <cell r="H14877" t="str">
            <v xml:space="preserve">PIERCE COUNTY REFUSE </v>
          </cell>
          <cell r="I14877" t="str">
            <v>3.6% PIERCE COUNTY REFUSE</v>
          </cell>
        </row>
        <row r="14878">
          <cell r="H14878" t="str">
            <v xml:space="preserve">PIERCE COUNTY REFUSE  </v>
          </cell>
          <cell r="I14878" t="str">
            <v>3.6% PIERCE COUNTY REFUSE</v>
          </cell>
        </row>
        <row r="14879">
          <cell r="H14879" t="str">
            <v>PIERCE COUNTY REFUSE</v>
          </cell>
          <cell r="I14879" t="str">
            <v>3.6% PIERCE COUNTY REFUSE</v>
          </cell>
        </row>
        <row r="14880">
          <cell r="H14880" t="str">
            <v>PIERCE REFUSE TAX</v>
          </cell>
          <cell r="I14880" t="str">
            <v>3.6% WA STATE REFUSE TAX</v>
          </cell>
        </row>
        <row r="14881">
          <cell r="H14881" t="str">
            <v xml:space="preserve">PIERCE COUNTY REFUSE </v>
          </cell>
          <cell r="I14881" t="str">
            <v>3.6% PIERCE COUNTY REFUSE</v>
          </cell>
        </row>
        <row r="14882">
          <cell r="H14882" t="str">
            <v xml:space="preserve">PIERCE COUNTY REFUSE  </v>
          </cell>
          <cell r="I14882" t="str">
            <v>3.6% PIERCE COUNTY REFUSE</v>
          </cell>
        </row>
        <row r="14883">
          <cell r="H14883" t="str">
            <v>PIERCE REFUSE TAX</v>
          </cell>
          <cell r="I14883" t="str">
            <v>3.6% WA STATE REFUSE TAX</v>
          </cell>
        </row>
        <row r="14884">
          <cell r="H14884" t="str">
            <v>FT LEWIS REFUSE TAX</v>
          </cell>
          <cell r="I14884" t="str">
            <v>3.6% WA STATE REFUSE TAX</v>
          </cell>
        </row>
        <row r="14885">
          <cell r="H14885" t="str">
            <v xml:space="preserve">PIERCE COUNTY REFUSE </v>
          </cell>
          <cell r="I14885" t="str">
            <v>3.6% PIERCE COUNTY REFUSE</v>
          </cell>
        </row>
        <row r="14886">
          <cell r="H14886" t="str">
            <v xml:space="preserve">PIERCE COUNTY REFUSE  </v>
          </cell>
          <cell r="I14886" t="str">
            <v>3.6% PIERCE COUNTY REFUSE</v>
          </cell>
        </row>
        <row r="14887">
          <cell r="H14887" t="str">
            <v>PIERCE COUNTY REFUSE</v>
          </cell>
          <cell r="I14887" t="str">
            <v>3.6% PIERCE COUNTY REFUSE</v>
          </cell>
        </row>
        <row r="14888">
          <cell r="H14888" t="str">
            <v>PIERCE REFUSE TAX</v>
          </cell>
          <cell r="I14888" t="str">
            <v>3.6% WA STATE REFUSE TAX</v>
          </cell>
        </row>
        <row r="14889">
          <cell r="H14889" t="str">
            <v xml:space="preserve">PIERCE COUNTY REFUSE </v>
          </cell>
          <cell r="I14889" t="str">
            <v>3.6% PIERCE COUNTY REFUSE</v>
          </cell>
        </row>
        <row r="14890">
          <cell r="H14890" t="str">
            <v xml:space="preserve">PIERCE COUNTY REFUSE  </v>
          </cell>
          <cell r="I14890" t="str">
            <v>3.6% PIERCE COUNTY REFUSE</v>
          </cell>
        </row>
        <row r="14891">
          <cell r="H14891" t="str">
            <v>PIERCE COUNTY REFUSE</v>
          </cell>
          <cell r="I14891" t="str">
            <v>3.6% PIERCE COUNTY REFUSE</v>
          </cell>
        </row>
        <row r="14892">
          <cell r="H14892" t="str">
            <v>PIERCE REFUSE TAX</v>
          </cell>
          <cell r="I14892" t="str">
            <v>3.6% WA STATE REFUSE TAX</v>
          </cell>
        </row>
        <row r="14893">
          <cell r="H14893" t="str">
            <v xml:space="preserve">PIERCE COUNTY REFUSE </v>
          </cell>
          <cell r="I14893" t="str">
            <v>3.6% PIERCE COUNTY REFUSE</v>
          </cell>
        </row>
        <row r="14894">
          <cell r="H14894" t="str">
            <v xml:space="preserve">PIERCE COUNTY REFUSE  </v>
          </cell>
          <cell r="I14894" t="str">
            <v>3.6% PIERCE COUNTY REFUSE</v>
          </cell>
        </row>
        <row r="14895">
          <cell r="H14895" t="str">
            <v>PIERCE COUNTY REFUSE</v>
          </cell>
          <cell r="I14895" t="str">
            <v>3.6% PIERCE COUNTY REFUSE</v>
          </cell>
        </row>
        <row r="14896">
          <cell r="H14896" t="str">
            <v>PIERCE COUNTY SALES 7.9%</v>
          </cell>
          <cell r="I14896" t="str">
            <v>7.9% WA STATE SALES TAX</v>
          </cell>
        </row>
        <row r="14897">
          <cell r="H14897" t="str">
            <v>PIERCE COUNTY SALES 8.0%</v>
          </cell>
          <cell r="I14897" t="str">
            <v>8.0% WA STATE SALES TAX</v>
          </cell>
        </row>
        <row r="14898">
          <cell r="H14898" t="str">
            <v>PIERCE COUNTY SALES 9.3%</v>
          </cell>
          <cell r="I14898" t="str">
            <v>9.3% WA STATE SALES TAX</v>
          </cell>
        </row>
        <row r="14899">
          <cell r="H14899" t="str">
            <v>PIERCE REFUSE TAX</v>
          </cell>
          <cell r="I14899" t="str">
            <v>3.6% WA STATE REFUSE TAX</v>
          </cell>
        </row>
        <row r="14900">
          <cell r="H14900" t="str">
            <v>PIERCE STATE SALES TAX</v>
          </cell>
          <cell r="I14900" t="str">
            <v>9.9% WA STATE SALES TAX</v>
          </cell>
        </row>
        <row r="14901">
          <cell r="H14901" t="str">
            <v xml:space="preserve">PIERCE COUNTY REFUSE </v>
          </cell>
          <cell r="I14901" t="str">
            <v>3.6% PIERCE COUNTY REFUSE</v>
          </cell>
        </row>
        <row r="14902">
          <cell r="H14902" t="str">
            <v>PIERCE COUNTY SALES 7.9%</v>
          </cell>
          <cell r="I14902" t="str">
            <v>7.9% WA STATE SALES TAX</v>
          </cell>
        </row>
        <row r="14903">
          <cell r="H14903" t="str">
            <v>FINCHG</v>
          </cell>
          <cell r="I14903" t="str">
            <v>LATE FEE</v>
          </cell>
        </row>
        <row r="14904">
          <cell r="H14904" t="str">
            <v>BD</v>
          </cell>
          <cell r="I14904" t="str">
            <v>BAD DEBT WRITE OFF</v>
          </cell>
        </row>
        <row r="14905">
          <cell r="H14905" t="str">
            <v>BDR</v>
          </cell>
          <cell r="I14905" t="str">
            <v>BAD DEBT RECOVERY</v>
          </cell>
        </row>
        <row r="14906">
          <cell r="H14906" t="str">
            <v>COLLFEE</v>
          </cell>
          <cell r="I14906" t="str">
            <v>COLLECTION AGENCY FEE</v>
          </cell>
        </row>
        <row r="14907">
          <cell r="H14907" t="str">
            <v>FINCHG</v>
          </cell>
          <cell r="I14907" t="str">
            <v>LATE FEE</v>
          </cell>
        </row>
        <row r="14908">
          <cell r="H14908" t="str">
            <v>MM</v>
          </cell>
          <cell r="I14908" t="str">
            <v>ADJUST BALANCE (MM)</v>
          </cell>
        </row>
        <row r="14909">
          <cell r="H14909" t="str">
            <v>MM</v>
          </cell>
          <cell r="I14909" t="str">
            <v>ADJUST BALANCE (MM)</v>
          </cell>
        </row>
        <row r="14910">
          <cell r="H14910" t="str">
            <v>REFUND</v>
          </cell>
          <cell r="I14910" t="str">
            <v>REFUND</v>
          </cell>
        </row>
        <row r="14911">
          <cell r="H14911" t="str">
            <v>RETCKC</v>
          </cell>
          <cell r="I14911" t="str">
            <v>RETURN CHECK CHARGE</v>
          </cell>
        </row>
        <row r="14912">
          <cell r="H14912" t="str">
            <v>ACCESS-COMM</v>
          </cell>
          <cell r="I14912" t="str">
            <v>ACCESS FEE - COMM</v>
          </cell>
        </row>
        <row r="14913">
          <cell r="H14913" t="str">
            <v>DONATIONC</v>
          </cell>
          <cell r="I14913" t="str">
            <v>DONATED SERVICE COMM</v>
          </cell>
        </row>
        <row r="14914">
          <cell r="H14914" t="str">
            <v>DRIVEIN1-COMM</v>
          </cell>
          <cell r="I14914" t="str">
            <v>DRIVE IN 125-250' - COMM</v>
          </cell>
        </row>
        <row r="14915">
          <cell r="H14915" t="str">
            <v>FL001.0Y1W001</v>
          </cell>
          <cell r="I14915" t="str">
            <v>1 YD 1X WK 1</v>
          </cell>
        </row>
        <row r="14916">
          <cell r="H14916" t="str">
            <v>FL001.0Y1W001MF</v>
          </cell>
          <cell r="I14916" t="str">
            <v>1 YD 1X WK MULTI-FAMILY 1</v>
          </cell>
        </row>
        <row r="14917">
          <cell r="H14917" t="str">
            <v>FL001.5Y1W001</v>
          </cell>
          <cell r="I14917" t="str">
            <v>1.5 YD 1X WK 1</v>
          </cell>
        </row>
        <row r="14918">
          <cell r="H14918" t="str">
            <v>FL001.5Y1W001MF</v>
          </cell>
          <cell r="I14918" t="str">
            <v>1.5 YD 1X WK MULTI-FAMILY 1</v>
          </cell>
        </row>
        <row r="14919">
          <cell r="H14919" t="str">
            <v>FL001.5Y2W001</v>
          </cell>
          <cell r="I14919" t="str">
            <v>1.5 YD 2X WK 1</v>
          </cell>
        </row>
        <row r="14920">
          <cell r="H14920" t="str">
            <v>FL001.5Y2W001MF</v>
          </cell>
          <cell r="I14920" t="str">
            <v>1.5 YD 2X WK MULTI-FAMILY 1</v>
          </cell>
        </row>
        <row r="14921">
          <cell r="H14921" t="str">
            <v>FL002.0Y1W001</v>
          </cell>
          <cell r="I14921" t="str">
            <v>2 YD 1X WK 1</v>
          </cell>
        </row>
        <row r="14922">
          <cell r="H14922" t="str">
            <v>FL002.0Y1W001MF</v>
          </cell>
          <cell r="I14922" t="str">
            <v>2 YD 1X WK MULTI-FAMILY 1</v>
          </cell>
        </row>
        <row r="14923">
          <cell r="H14923" t="str">
            <v>FL002.0Y2W001</v>
          </cell>
          <cell r="I14923" t="str">
            <v>2 YD 2X WK 1</v>
          </cell>
        </row>
        <row r="14924">
          <cell r="H14924" t="str">
            <v>FL002.0Y2W001MF</v>
          </cell>
          <cell r="I14924" t="str">
            <v>2 YD 2X WK MULTI-FAMILY 1</v>
          </cell>
        </row>
        <row r="14925">
          <cell r="H14925" t="str">
            <v>FL003.0Y1W001MF</v>
          </cell>
          <cell r="I14925" t="str">
            <v>3 YD 1X WK MULTI-FAMILY 1</v>
          </cell>
        </row>
        <row r="14926">
          <cell r="H14926" t="str">
            <v>FL004.0Y1W001</v>
          </cell>
          <cell r="I14926" t="str">
            <v>4 YD 1X WK 1</v>
          </cell>
        </row>
        <row r="14927">
          <cell r="H14927" t="str">
            <v>FL004.0Y1W001MF</v>
          </cell>
          <cell r="I14927" t="str">
            <v>4 YD 1X WK MULTI-FAMILY 1</v>
          </cell>
        </row>
        <row r="14928">
          <cell r="H14928" t="str">
            <v>FL004.0Y2W001MF</v>
          </cell>
          <cell r="I14928" t="str">
            <v>4 YD 2X WK MULTI-FAMILY 1</v>
          </cell>
        </row>
        <row r="14929">
          <cell r="H14929" t="str">
            <v>FL006.0Y1W001</v>
          </cell>
          <cell r="I14929" t="str">
            <v>6 YD 1X WK 1</v>
          </cell>
        </row>
        <row r="14930">
          <cell r="H14930" t="str">
            <v>FL006.0Y1W001MF</v>
          </cell>
          <cell r="I14930" t="str">
            <v>6 YD 1X WK MULTI-FAMILY 1</v>
          </cell>
        </row>
        <row r="14931">
          <cell r="H14931" t="str">
            <v>FL006.0Y2W001</v>
          </cell>
          <cell r="I14931" t="str">
            <v>6 YD 2X WK 1</v>
          </cell>
        </row>
        <row r="14932">
          <cell r="H14932" t="str">
            <v>GWCOMM</v>
          </cell>
          <cell r="I14932" t="str">
            <v>GREENWASTE SERVICE - COMM</v>
          </cell>
        </row>
        <row r="14933">
          <cell r="H14933" t="str">
            <v>RL032.0G1W002WRECC</v>
          </cell>
          <cell r="I14933" t="str">
            <v>32 GL 1X WK W/RECY COMM 2</v>
          </cell>
        </row>
        <row r="14934">
          <cell r="H14934" t="str">
            <v>RL032.0G1W006WRECC</v>
          </cell>
          <cell r="I14934" t="str">
            <v>32 GL 1X WK W/RECY COMM 6</v>
          </cell>
        </row>
        <row r="14935">
          <cell r="H14935" t="str">
            <v>RL035.0G1W001WRECC</v>
          </cell>
          <cell r="I14935" t="str">
            <v>35 GL 1X WK W/RECY COMM 1</v>
          </cell>
        </row>
        <row r="14936">
          <cell r="H14936" t="str">
            <v>SL065.0G1W001WRECC</v>
          </cell>
          <cell r="I14936" t="str">
            <v>65 GL 1X WK W/RECY COMM 1</v>
          </cell>
        </row>
        <row r="14937">
          <cell r="H14937" t="str">
            <v>SL065.0GEO001WRECC</v>
          </cell>
          <cell r="I14937" t="str">
            <v>65 GL EOW W/RECY COMM 1</v>
          </cell>
        </row>
        <row r="14938">
          <cell r="H14938" t="str">
            <v>SL095.0G1W001WRECC</v>
          </cell>
          <cell r="I14938" t="str">
            <v>95 GL 1X WK W/RECY COMM 1</v>
          </cell>
        </row>
        <row r="14939">
          <cell r="H14939" t="str">
            <v>SL095.0GEO001WRECC</v>
          </cell>
          <cell r="I14939" t="str">
            <v>95 GL EOW W/RECY COMM 1</v>
          </cell>
        </row>
        <row r="14940">
          <cell r="H14940" t="str">
            <v>WI1-COMM</v>
          </cell>
          <cell r="I14940" t="str">
            <v>WALK IN 6-25' - COMM</v>
          </cell>
        </row>
        <row r="14941">
          <cell r="H14941" t="str">
            <v>CLEAN1.5-COMM</v>
          </cell>
          <cell r="I14941" t="str">
            <v>CLEANING FEE 1.5 YD - COM</v>
          </cell>
        </row>
        <row r="14942">
          <cell r="H14942" t="str">
            <v>DEL-COMM</v>
          </cell>
          <cell r="I14942" t="str">
            <v>DELIVERY FEE - COMM</v>
          </cell>
        </row>
        <row r="14943">
          <cell r="H14943" t="str">
            <v>EXTRA-COMM</v>
          </cell>
          <cell r="I14943" t="str">
            <v>EXTRA CAN, BAG, BOX - COM</v>
          </cell>
        </row>
        <row r="14944">
          <cell r="H14944" t="str">
            <v>EXTRAYDG-COM</v>
          </cell>
          <cell r="I14944" t="str">
            <v>EXTRA YARDAGE - COMM</v>
          </cell>
        </row>
        <row r="14945">
          <cell r="H14945" t="str">
            <v>FL001.5YXX001TEMPC</v>
          </cell>
          <cell r="I14945" t="str">
            <v xml:space="preserve">1.5 YD TEMP </v>
          </cell>
        </row>
        <row r="14946">
          <cell r="H14946" t="str">
            <v>RENT1.5TEMP-COMM</v>
          </cell>
          <cell r="I14946" t="str">
            <v>RENT 1.5 YD TEMP - COMM</v>
          </cell>
        </row>
        <row r="14947">
          <cell r="H14947" t="str">
            <v>RENT1TEMP-COMM</v>
          </cell>
          <cell r="I14947" t="str">
            <v>RENT 1 YD TEMP - COMM</v>
          </cell>
        </row>
        <row r="14948">
          <cell r="H14948" t="str">
            <v>RENT2TEMP-COMM</v>
          </cell>
          <cell r="I14948" t="str">
            <v>RENT 2 YD TEMP - COMM</v>
          </cell>
        </row>
        <row r="14949">
          <cell r="H14949" t="str">
            <v>FL002.0Y1W001BCMGL</v>
          </cell>
          <cell r="I14949" t="str">
            <v>2 YD 1X WK BUS CMGL 1</v>
          </cell>
        </row>
        <row r="14950">
          <cell r="H14950" t="str">
            <v>FL002.0Y1W001BOCC</v>
          </cell>
          <cell r="I14950" t="str">
            <v>2 YD 1X WK BUS OCC 1</v>
          </cell>
        </row>
        <row r="14951">
          <cell r="H14951" t="str">
            <v>FL002.0Y1W001SCMGL</v>
          </cell>
          <cell r="I14951" t="str">
            <v>2 YD 1X WK SCHL CMGL 1</v>
          </cell>
        </row>
        <row r="14952">
          <cell r="H14952" t="str">
            <v>FL002.0Y2W001BCMGL</v>
          </cell>
          <cell r="I14952" t="str">
            <v>2 YD 2X WK BUS CMGL 1</v>
          </cell>
        </row>
        <row r="14953">
          <cell r="H14953" t="str">
            <v>FL006.0Y2W001BCMGL</v>
          </cell>
          <cell r="I14953" t="str">
            <v>6 YD 2X WK BUS COMINGLE 1</v>
          </cell>
        </row>
        <row r="14954">
          <cell r="H14954" t="str">
            <v>MFWBINS</v>
          </cell>
          <cell r="I14954" t="str">
            <v>MULTI-FAMILY REC UNIT W/B</v>
          </cell>
        </row>
        <row r="14955">
          <cell r="H14955" t="str">
            <v>SL096.0G1W001BCMGLOUT</v>
          </cell>
          <cell r="I14955" t="str">
            <v>96 GL WKLY BUS CMGL OUT</v>
          </cell>
        </row>
        <row r="14956">
          <cell r="H14956" t="str">
            <v>SL096.0G1W001SCMGLOUT</v>
          </cell>
          <cell r="I14956" t="str">
            <v>96 GL WKLY SCHL CMGL OUT</v>
          </cell>
        </row>
        <row r="14957">
          <cell r="H14957" t="str">
            <v>SL096.0GEO001BCMGLOUT</v>
          </cell>
          <cell r="I14957" t="str">
            <v>96 GL EOW BUS CMGL OUT</v>
          </cell>
        </row>
        <row r="14958">
          <cell r="H14958" t="str">
            <v>RETCK-PNCL</v>
          </cell>
          <cell r="I14958" t="str">
            <v>RETURNED CHECK - PNC LOCKBOX</v>
          </cell>
        </row>
        <row r="14959">
          <cell r="H14959" t="str">
            <v>CC-KOL</v>
          </cell>
          <cell r="I14959" t="str">
            <v>ONLINE PAYMENT-CC</v>
          </cell>
        </row>
        <row r="14960">
          <cell r="H14960" t="str">
            <v>PAY</v>
          </cell>
          <cell r="I14960" t="str">
            <v>PAYMENT THANK YOU</v>
          </cell>
        </row>
        <row r="14961">
          <cell r="H14961" t="str">
            <v>PAY-CFREE</v>
          </cell>
          <cell r="I14961" t="str">
            <v>CHECKFREE PAYMENT</v>
          </cell>
        </row>
        <row r="14962">
          <cell r="H14962" t="str">
            <v>PAY-KOL</v>
          </cell>
          <cell r="I14962" t="str">
            <v>PAYMENT-THANK YOU - OL</v>
          </cell>
        </row>
        <row r="14963">
          <cell r="H14963" t="str">
            <v>PAY-ORCC</v>
          </cell>
          <cell r="I14963" t="str">
            <v>ORCC PAYMENT</v>
          </cell>
        </row>
        <row r="14964">
          <cell r="H14964" t="str">
            <v>PAY-RPPS</v>
          </cell>
          <cell r="I14964" t="str">
            <v>RPPS MASTERCARD PAYMENT</v>
          </cell>
        </row>
        <row r="14965">
          <cell r="H14965" t="str">
            <v>PAYAD</v>
          </cell>
          <cell r="I14965" t="str">
            <v>ADJUST PAYMENT AD</v>
          </cell>
        </row>
        <row r="14966">
          <cell r="H14966" t="str">
            <v>PAYMET</v>
          </cell>
          <cell r="I14966" t="str">
            <v>METAVANTE ONLINE PAYMENT</v>
          </cell>
        </row>
        <row r="14967">
          <cell r="H14967" t="str">
            <v>PAYPNCL</v>
          </cell>
          <cell r="I14967" t="str">
            <v>PAYMENT THANK YOU!</v>
          </cell>
        </row>
        <row r="14968">
          <cell r="H14968" t="str">
            <v>PAYUSBL</v>
          </cell>
          <cell r="I14968" t="str">
            <v>PAYMENT THANK YOU</v>
          </cell>
        </row>
        <row r="14969">
          <cell r="H14969" t="str">
            <v>RET-KOL</v>
          </cell>
          <cell r="I14969" t="str">
            <v>ONLINE PAYMENT RETURN</v>
          </cell>
        </row>
        <row r="14970">
          <cell r="H14970" t="str">
            <v>DRIVEIN1-RES</v>
          </cell>
          <cell r="I14970" t="str">
            <v>DRIVE IN 1 - RES</v>
          </cell>
        </row>
        <row r="14971">
          <cell r="H14971" t="str">
            <v>EMPLOYEER</v>
          </cell>
          <cell r="I14971" t="str">
            <v>EMPLOYEE SERVICE RES</v>
          </cell>
        </row>
        <row r="14972">
          <cell r="H14972" t="str">
            <v>GW3RES</v>
          </cell>
          <cell r="I14972" t="str">
            <v>GREENWASTE SVC 3 - RES</v>
          </cell>
        </row>
        <row r="14973">
          <cell r="H14973" t="str">
            <v>GWRES</v>
          </cell>
          <cell r="I14973" t="str">
            <v>GREENWASTE SERVICE - RES</v>
          </cell>
        </row>
        <row r="14974">
          <cell r="H14974" t="str">
            <v>RECBINONLYR</v>
          </cell>
          <cell r="I14974" t="str">
            <v>RECYCLE SERVICE ONLY</v>
          </cell>
        </row>
        <row r="14975">
          <cell r="H14975" t="str">
            <v>RECPROGADJ-RES</v>
          </cell>
          <cell r="I14975" t="str">
            <v>RECYCLING PROGRAM ADJUSTM</v>
          </cell>
        </row>
        <row r="14976">
          <cell r="H14976" t="str">
            <v>RECVALRES</v>
          </cell>
          <cell r="I14976" t="str">
            <v>RECYCLABLES VALUE - RES</v>
          </cell>
        </row>
        <row r="14977">
          <cell r="H14977" t="str">
            <v>RL032.0G1W001WREC</v>
          </cell>
          <cell r="I14977" t="str">
            <v>32 GL 1X WK W/RECY 1</v>
          </cell>
        </row>
        <row r="14978">
          <cell r="H14978" t="str">
            <v>RL032.0G1W002WREC</v>
          </cell>
          <cell r="I14978" t="str">
            <v>32 GL 1X WK W/RECY 2</v>
          </cell>
        </row>
        <row r="14979">
          <cell r="H14979" t="str">
            <v>RL032.0G1W003WREC</v>
          </cell>
          <cell r="I14979" t="str">
            <v>32 GL 1X WK W/RECY 3</v>
          </cell>
        </row>
        <row r="14980">
          <cell r="H14980" t="str">
            <v>SL035.0G1M001WREC</v>
          </cell>
          <cell r="I14980" t="str">
            <v>35 GL 1X MO W/RECY 1</v>
          </cell>
        </row>
        <row r="14981">
          <cell r="H14981" t="str">
            <v>SL035.0G1W001WREC</v>
          </cell>
          <cell r="I14981" t="str">
            <v>35 GL 1X WK W/ RECY 1</v>
          </cell>
        </row>
        <row r="14982">
          <cell r="H14982" t="str">
            <v>SL035.0G1W002WREC</v>
          </cell>
          <cell r="I14982" t="str">
            <v>35 GL 1X WK W/RECY 2</v>
          </cell>
        </row>
        <row r="14983">
          <cell r="H14983" t="str">
            <v>SL035.0GEO001NOREC</v>
          </cell>
          <cell r="I14983" t="str">
            <v>35 GL EOW NO RECY 1</v>
          </cell>
        </row>
        <row r="14984">
          <cell r="H14984" t="str">
            <v>SL035.0GEO001WREC</v>
          </cell>
          <cell r="I14984" t="str">
            <v>35 GL EOW W/RECY 1</v>
          </cell>
        </row>
        <row r="14985">
          <cell r="H14985" t="str">
            <v>SL065.0G1M001WREC</v>
          </cell>
          <cell r="I14985" t="str">
            <v>65 GL 1X MO W/RECY 1</v>
          </cell>
        </row>
        <row r="14986">
          <cell r="H14986" t="str">
            <v>SL065.0G1W001WREC</v>
          </cell>
          <cell r="I14986" t="str">
            <v>65 GL 1X WK W/RECY 1</v>
          </cell>
        </row>
        <row r="14987">
          <cell r="H14987" t="str">
            <v>SL065.0GEO001WREC</v>
          </cell>
          <cell r="I14987" t="str">
            <v>65 GL EOW W/RECY 1</v>
          </cell>
        </row>
        <row r="14988">
          <cell r="H14988" t="str">
            <v>SL095.0G1M0001WRECSPCL</v>
          </cell>
          <cell r="I14988" t="str">
            <v>95 GL 1X MO S/D W/RECY 1</v>
          </cell>
        </row>
        <row r="14989">
          <cell r="H14989" t="str">
            <v>SL095.0G1W001WREC</v>
          </cell>
          <cell r="I14989" t="str">
            <v>95 GL 1X WK W/RECY 1</v>
          </cell>
        </row>
        <row r="14990">
          <cell r="H14990" t="str">
            <v>SL095.0GEO001WREC</v>
          </cell>
          <cell r="I14990" t="str">
            <v>95 GL EOW W/RECY 1</v>
          </cell>
        </row>
        <row r="14991">
          <cell r="H14991" t="str">
            <v>WI1-RES</v>
          </cell>
          <cell r="I14991" t="str">
            <v>WALK IN 6-25' - RES</v>
          </cell>
        </row>
        <row r="14992">
          <cell r="H14992" t="str">
            <v>BULKY-RES</v>
          </cell>
          <cell r="I14992" t="str">
            <v>BULKY ITEM PICK UP - RES</v>
          </cell>
        </row>
        <row r="14993">
          <cell r="H14993" t="str">
            <v>EP96GWC-RES</v>
          </cell>
          <cell r="I14993" t="str">
            <v>EXTRA PICK UP 96 GW - RES</v>
          </cell>
        </row>
        <row r="14994">
          <cell r="H14994" t="str">
            <v>EXTRA-RES</v>
          </cell>
          <cell r="I14994" t="str">
            <v>EXTRA CAN, BAG, BOX - RES</v>
          </cell>
        </row>
        <row r="14995">
          <cell r="H14995" t="str">
            <v>EXTRAGWC-RES</v>
          </cell>
          <cell r="I14995" t="str">
            <v>EXTRA GREENWASTE FEE - RE</v>
          </cell>
        </row>
        <row r="14996">
          <cell r="H14996" t="str">
            <v>GWRES</v>
          </cell>
          <cell r="I14996" t="str">
            <v>GREENWASTE SERVICE - RES</v>
          </cell>
        </row>
        <row r="14997">
          <cell r="H14997" t="str">
            <v>OW-RES</v>
          </cell>
          <cell r="I14997" t="str">
            <v>OVERFILL / OVERWEIGHT CAN</v>
          </cell>
        </row>
        <row r="14998">
          <cell r="H14998" t="str">
            <v>REINSTATE-RES</v>
          </cell>
          <cell r="I14998" t="str">
            <v>REINSTATE FEE - RES</v>
          </cell>
        </row>
        <row r="14999">
          <cell r="H14999" t="str">
            <v>RTRNCART96REC-RES</v>
          </cell>
          <cell r="I14999" t="str">
            <v>RETURN TRIP 96 GL REC - RES</v>
          </cell>
        </row>
        <row r="15000">
          <cell r="H15000" t="str">
            <v>SL065.0G1W001WREC</v>
          </cell>
          <cell r="I15000" t="str">
            <v>65 GL 1X WK W/RECY 1</v>
          </cell>
        </row>
        <row r="15001">
          <cell r="H15001" t="str">
            <v>SL095.0G1W001WREC</v>
          </cell>
          <cell r="I15001" t="str">
            <v>95 GL 1X WK W/RECY 1</v>
          </cell>
        </row>
        <row r="15002">
          <cell r="H15002" t="str">
            <v>SP32-RES</v>
          </cell>
          <cell r="I15002" t="str">
            <v>SPECIAL PICK UP 32 GL - RES</v>
          </cell>
        </row>
        <row r="15003">
          <cell r="H15003" t="str">
            <v>SP65-RES</v>
          </cell>
          <cell r="I15003" t="str">
            <v>SPECIAL PICK UP 65 GL - R</v>
          </cell>
        </row>
        <row r="15004">
          <cell r="H15004" t="str">
            <v>SP95-RES</v>
          </cell>
          <cell r="I15004" t="str">
            <v>SPECIAL PICK UP 95 GL - R</v>
          </cell>
        </row>
        <row r="15005">
          <cell r="H15005" t="str">
            <v>LIDRO</v>
          </cell>
          <cell r="I15005" t="str">
            <v>LID CHARGE - RO</v>
          </cell>
        </row>
        <row r="15006">
          <cell r="H15006" t="str">
            <v>RENT20MO-RO</v>
          </cell>
          <cell r="I15006" t="str">
            <v>RENTAL FEE 20 YD MONTHLY</v>
          </cell>
        </row>
        <row r="15007">
          <cell r="H15007" t="str">
            <v>DEL20TEMP-RO</v>
          </cell>
          <cell r="I15007" t="str">
            <v>DELIVERY FEE 20 YD TEMP -</v>
          </cell>
        </row>
        <row r="15008">
          <cell r="H15008" t="str">
            <v>DEL30TEMP-RO</v>
          </cell>
          <cell r="I15008" t="str">
            <v>DELIVERY FEE 30 YD TEMP -</v>
          </cell>
        </row>
        <row r="15009">
          <cell r="H15009" t="str">
            <v>DISCO-CP</v>
          </cell>
          <cell r="I15009" t="str">
            <v xml:space="preserve">COMPACTOR DISCONNECT FEE </v>
          </cell>
        </row>
        <row r="15010">
          <cell r="H15010" t="str">
            <v>DISP-RO</v>
          </cell>
          <cell r="I15010" t="str">
            <v>DISPOSAL CHARGE - RO</v>
          </cell>
        </row>
        <row r="15011">
          <cell r="H15011" t="str">
            <v>DISPGLASS-RO</v>
          </cell>
          <cell r="I15011" t="str">
            <v>DISPOSAL FEE GLASS - RO</v>
          </cell>
        </row>
        <row r="15012">
          <cell r="H15012" t="str">
            <v>DISPOCC-RO</v>
          </cell>
          <cell r="I15012" t="str">
            <v xml:space="preserve">DISPOSAL FEE CARDBOARD - </v>
          </cell>
        </row>
        <row r="15013">
          <cell r="H15013" t="str">
            <v>DISPTRANS-RO</v>
          </cell>
          <cell r="I15013" t="str">
            <v>DISPOSAL FEE TRANSFER HAU</v>
          </cell>
        </row>
        <row r="15014">
          <cell r="H15014" t="str">
            <v>FINAL30TEMP-RO</v>
          </cell>
          <cell r="I15014" t="str">
            <v>FINAL PULL 30 YD TEMP - R</v>
          </cell>
        </row>
        <row r="15015">
          <cell r="H15015" t="str">
            <v>HAUL20-CP</v>
          </cell>
          <cell r="I15015" t="str">
            <v>COMPACTOR HAUL 20 YD - RO</v>
          </cell>
        </row>
        <row r="15016">
          <cell r="H15016" t="str">
            <v>HAUL20-RO</v>
          </cell>
          <cell r="I15016" t="str">
            <v>HAUL 20 YD - RO</v>
          </cell>
        </row>
        <row r="15017">
          <cell r="H15017" t="str">
            <v>HAUL20TEMP-RO</v>
          </cell>
          <cell r="I15017" t="str">
            <v>HAUL 20 YD TEMP - RO</v>
          </cell>
        </row>
        <row r="15018">
          <cell r="H15018" t="str">
            <v>HAUL25-CP</v>
          </cell>
          <cell r="I15018" t="str">
            <v>COMPACTOR HAUL 25 YD - RO</v>
          </cell>
        </row>
        <row r="15019">
          <cell r="H15019" t="str">
            <v>HAUL30-RO</v>
          </cell>
          <cell r="I15019" t="str">
            <v>HAUL 30 YD - RO</v>
          </cell>
        </row>
        <row r="15020">
          <cell r="H15020" t="str">
            <v>HAUL30TEMP-RO</v>
          </cell>
          <cell r="I15020" t="str">
            <v>HAUL 30 YD TEMP - RO</v>
          </cell>
        </row>
        <row r="15021">
          <cell r="H15021" t="str">
            <v>MILE-RO</v>
          </cell>
          <cell r="I15021" t="str">
            <v>MILEAGE FEE - RO</v>
          </cell>
        </row>
        <row r="15022">
          <cell r="H15022" t="str">
            <v>RENT20TEMP-RO</v>
          </cell>
          <cell r="I15022" t="str">
            <v>RENTAL FEE 20 YD TEMP - R</v>
          </cell>
        </row>
        <row r="15023">
          <cell r="H15023" t="str">
            <v>RENT30TEMP-RO</v>
          </cell>
          <cell r="I15023" t="str">
            <v>RENTAL FEE 30 YD TEMP - R</v>
          </cell>
        </row>
        <row r="15024">
          <cell r="H15024" t="str">
            <v>COMMODITY SURCHARGE</v>
          </cell>
          <cell r="I15024" t="str">
            <v>COMMODITY SURCHARGE</v>
          </cell>
        </row>
        <row r="15025">
          <cell r="H15025" t="str">
            <v>DUPONT CITY UTILITY TAX</v>
          </cell>
          <cell r="I15025" t="str">
            <v>8% CITY UTILITY TAX</v>
          </cell>
        </row>
        <row r="15026">
          <cell r="H15026" t="str">
            <v>DUPONT REFUSE TAX</v>
          </cell>
          <cell r="I15026" t="str">
            <v>3.6% WA STATE REFUSE TAX</v>
          </cell>
        </row>
        <row r="15027">
          <cell r="H15027" t="str">
            <v>STEILACOOM CITY  TAX</v>
          </cell>
          <cell r="I15027" t="str">
            <v>6% CITY UTILITY TAX</v>
          </cell>
        </row>
        <row r="15028">
          <cell r="H15028" t="str">
            <v>STEILACOOM REFUSE TAX</v>
          </cell>
          <cell r="I15028" t="str">
            <v>3.6% WA STATE REFUSE TAX</v>
          </cell>
        </row>
        <row r="15029">
          <cell r="H15029" t="str">
            <v>STEILACOOM ST SALES TAX</v>
          </cell>
          <cell r="I15029" t="str">
            <v>9.9% WA STATE SALES TAX</v>
          </cell>
        </row>
        <row r="15030">
          <cell r="H15030" t="str">
            <v>STEILACOOM CITY  TAX</v>
          </cell>
          <cell r="I15030" t="str">
            <v>6% CITY UTILITY TAX</v>
          </cell>
        </row>
        <row r="15031">
          <cell r="H15031" t="str">
            <v>STEILACOOM REFUSE TAX</v>
          </cell>
          <cell r="I15031" t="str">
            <v>3.6% WA STATE REFUSE TAX</v>
          </cell>
        </row>
        <row r="15032">
          <cell r="H15032" t="str">
            <v>STEILACOOM CITY  TAX</v>
          </cell>
          <cell r="I15032" t="str">
            <v>6% CITY UTILITY TAX</v>
          </cell>
        </row>
        <row r="15033">
          <cell r="H15033" t="str">
            <v>STEILACOOM REFUSE TAX</v>
          </cell>
          <cell r="I15033" t="str">
            <v>3.6% WA STATE REFUSE TAX</v>
          </cell>
        </row>
        <row r="15034">
          <cell r="H15034" t="str">
            <v>STEILACOOM CITY  TAX</v>
          </cell>
          <cell r="I15034" t="str">
            <v>6% CITY UTILITY TAX</v>
          </cell>
        </row>
        <row r="15035">
          <cell r="H15035" t="str">
            <v>STEILACOOM REFUSE TAX</v>
          </cell>
          <cell r="I15035" t="str">
            <v>3.6% WA STATE REFUSE TAX</v>
          </cell>
        </row>
        <row r="15036">
          <cell r="H15036" t="str">
            <v>STEILACOOM ST SALES TAX</v>
          </cell>
          <cell r="I15036" t="str">
            <v>9.9% WA STATE SALES TAX</v>
          </cell>
        </row>
        <row r="15037">
          <cell r="H15037" t="str">
            <v>REFUND</v>
          </cell>
          <cell r="I15037" t="str">
            <v>REFUND</v>
          </cell>
        </row>
        <row r="15038">
          <cell r="H15038" t="str">
            <v>FINCHG</v>
          </cell>
          <cell r="I15038" t="str">
            <v>LATE FEE</v>
          </cell>
        </row>
        <row r="15039">
          <cell r="H15039" t="str">
            <v>MM</v>
          </cell>
          <cell r="I15039" t="str">
            <v>ADJUST BALANCE (MM)</v>
          </cell>
        </row>
        <row r="15040">
          <cell r="H15040" t="str">
            <v>RETCKC</v>
          </cell>
          <cell r="I15040" t="str">
            <v>RETURN CHECK CHARGE</v>
          </cell>
        </row>
        <row r="15041">
          <cell r="H15041" t="str">
            <v>FINCHG</v>
          </cell>
          <cell r="I15041" t="str">
            <v>LATE FEE</v>
          </cell>
        </row>
        <row r="15042">
          <cell r="H15042" t="str">
            <v>ACCESS-COMM</v>
          </cell>
          <cell r="I15042" t="str">
            <v>ACCESS FEE - COMM</v>
          </cell>
        </row>
        <row r="15043">
          <cell r="H15043" t="str">
            <v>FL001.5Y1W001</v>
          </cell>
          <cell r="I15043" t="str">
            <v>1.5 YD 1X WK 1</v>
          </cell>
        </row>
        <row r="15044">
          <cell r="H15044" t="str">
            <v>FL002.0Y1W001</v>
          </cell>
          <cell r="I15044" t="str">
            <v>2 YD 1X WK 1</v>
          </cell>
        </row>
        <row r="15045">
          <cell r="H15045" t="str">
            <v>FL002.0Y2W001</v>
          </cell>
          <cell r="I15045" t="str">
            <v>2 YD 2X WK 1</v>
          </cell>
        </row>
        <row r="15046">
          <cell r="H15046" t="str">
            <v>FL002.0Y4W001</v>
          </cell>
          <cell r="I15046" t="str">
            <v>2 YD 4X WK 1</v>
          </cell>
        </row>
        <row r="15047">
          <cell r="H15047" t="str">
            <v>FL003.0Y2W001</v>
          </cell>
          <cell r="I15047" t="str">
            <v>3 YD 2X WK 1</v>
          </cell>
        </row>
        <row r="15048">
          <cell r="H15048" t="str">
            <v>FL006.0Y1W001</v>
          </cell>
          <cell r="I15048" t="str">
            <v>6 YD 1X WK 1</v>
          </cell>
        </row>
        <row r="15049">
          <cell r="H15049" t="str">
            <v>FL006.0Y2W001</v>
          </cell>
          <cell r="I15049" t="str">
            <v>6 YD 2X WK 1</v>
          </cell>
        </row>
        <row r="15050">
          <cell r="H15050" t="str">
            <v>SL065.0G1W001NORECC</v>
          </cell>
          <cell r="I15050" t="str">
            <v xml:space="preserve">65 GL 1X WK NO RECY COMM </v>
          </cell>
        </row>
        <row r="15051">
          <cell r="H15051" t="str">
            <v>SL065.0G1W001WRECC</v>
          </cell>
          <cell r="I15051" t="str">
            <v>65 GL 1X WK W/RECY COMM 1</v>
          </cell>
        </row>
        <row r="15052">
          <cell r="H15052" t="str">
            <v>SL065.0GEO001WRECC</v>
          </cell>
          <cell r="I15052" t="str">
            <v>65 GL EOW W/RECY COMM 1</v>
          </cell>
        </row>
        <row r="15053">
          <cell r="H15053" t="str">
            <v>SL095.0G1W001WRECC</v>
          </cell>
          <cell r="I15053" t="str">
            <v>95 GL 1X WK W/RECY COMM 1</v>
          </cell>
        </row>
        <row r="15054">
          <cell r="H15054" t="str">
            <v>EXTRA-COMM</v>
          </cell>
          <cell r="I15054" t="str">
            <v>EXTRA CAN, BAG, BOX - COM</v>
          </cell>
        </row>
        <row r="15055">
          <cell r="H15055" t="str">
            <v>EXTRAYDG-COM</v>
          </cell>
          <cell r="I15055" t="str">
            <v>EXTRA YARDAGE - COMM</v>
          </cell>
        </row>
        <row r="15056">
          <cell r="H15056" t="str">
            <v>FL002.0Y1W001BOCC</v>
          </cell>
          <cell r="I15056" t="str">
            <v>2 YD 1X WK BUS OCC 1</v>
          </cell>
        </row>
        <row r="15057">
          <cell r="H15057" t="str">
            <v>FL004.0Y1W001CMGL</v>
          </cell>
          <cell r="I15057" t="str">
            <v>4 YD 1X WK BUS CMGL 1</v>
          </cell>
        </row>
        <row r="15058">
          <cell r="H15058" t="str">
            <v>FL005.0Y1W001BOCC</v>
          </cell>
          <cell r="I15058" t="str">
            <v>5 YD 1X WK BUS OCC 1</v>
          </cell>
        </row>
        <row r="15059">
          <cell r="H15059" t="str">
            <v>FL006.0Y3W001BCMGL</v>
          </cell>
          <cell r="I15059" t="str">
            <v>6 YD 3X WK BUS CMGL 1</v>
          </cell>
        </row>
        <row r="15060">
          <cell r="H15060" t="str">
            <v>MFWBINS</v>
          </cell>
          <cell r="I15060" t="str">
            <v>MULTI-FAMILY REC UNIT W/B</v>
          </cell>
        </row>
        <row r="15061">
          <cell r="H15061" t="str">
            <v>SL096.0GEO001BCMGLOUT</v>
          </cell>
          <cell r="I15061" t="str">
            <v>96 GL EOW BUS CMGL OUT</v>
          </cell>
        </row>
        <row r="15062">
          <cell r="H15062" t="str">
            <v>CC-KOL</v>
          </cell>
          <cell r="I15062" t="str">
            <v>ONLINE PAYMENT-CC</v>
          </cell>
        </row>
        <row r="15063">
          <cell r="H15063" t="str">
            <v>PAY</v>
          </cell>
          <cell r="I15063" t="str">
            <v>PAYMENT THANK YOU</v>
          </cell>
        </row>
        <row r="15064">
          <cell r="H15064" t="str">
            <v>PAY-CFREE</v>
          </cell>
          <cell r="I15064" t="str">
            <v>CHECKFREE PAYMENT</v>
          </cell>
        </row>
        <row r="15065">
          <cell r="H15065" t="str">
            <v>PAY-KOL</v>
          </cell>
          <cell r="I15065" t="str">
            <v>PAYMENT-THANK YOU - OL</v>
          </cell>
        </row>
        <row r="15066">
          <cell r="H15066" t="str">
            <v>PAY-ORCC</v>
          </cell>
          <cell r="I15066" t="str">
            <v>ORCC PAYMENT</v>
          </cell>
        </row>
        <row r="15067">
          <cell r="H15067" t="str">
            <v>PAY-RPPS</v>
          </cell>
          <cell r="I15067" t="str">
            <v>RPPS MASTERCARD PAYMENT</v>
          </cell>
        </row>
        <row r="15068">
          <cell r="H15068" t="str">
            <v>PAYMET</v>
          </cell>
          <cell r="I15068" t="str">
            <v>METAVANTE ONLINE PAYMENT</v>
          </cell>
        </row>
        <row r="15069">
          <cell r="H15069" t="str">
            <v>PAYPNCL</v>
          </cell>
          <cell r="I15069" t="str">
            <v>PAYMENT THANK YOU!</v>
          </cell>
        </row>
        <row r="15070">
          <cell r="H15070" t="str">
            <v>RETCK-PNCL</v>
          </cell>
          <cell r="I15070" t="str">
            <v>RETURNED CHECK - PNC LOCKBOX</v>
          </cell>
        </row>
        <row r="15071">
          <cell r="H15071" t="str">
            <v>CC-KOL</v>
          </cell>
          <cell r="I15071" t="str">
            <v>ONLINE PAYMENT-CC</v>
          </cell>
        </row>
        <row r="15072">
          <cell r="H15072" t="str">
            <v>PAY</v>
          </cell>
          <cell r="I15072" t="str">
            <v>PAYMENT THANK YOU</v>
          </cell>
        </row>
        <row r="15073">
          <cell r="H15073" t="str">
            <v>PAY-CFREE</v>
          </cell>
          <cell r="I15073" t="str">
            <v>CHECKFREE PAYMENT</v>
          </cell>
        </row>
        <row r="15074">
          <cell r="H15074" t="str">
            <v>PAY-KOL</v>
          </cell>
          <cell r="I15074" t="str">
            <v>PAYMENT-THANK YOU - OL</v>
          </cell>
        </row>
        <row r="15075">
          <cell r="H15075" t="str">
            <v>PAYMET</v>
          </cell>
          <cell r="I15075" t="str">
            <v>METAVANTE ONLINE PAYMENT</v>
          </cell>
        </row>
        <row r="15076">
          <cell r="H15076" t="str">
            <v>PAYPNCL</v>
          </cell>
          <cell r="I15076" t="str">
            <v>PAYMENT THANK YOU!</v>
          </cell>
        </row>
        <row r="15077">
          <cell r="H15077" t="str">
            <v>CC-KOL</v>
          </cell>
          <cell r="I15077" t="str">
            <v>ONLINE PAYMENT-CC</v>
          </cell>
        </row>
        <row r="15078">
          <cell r="H15078" t="str">
            <v>CCREF-KOL</v>
          </cell>
          <cell r="I15078" t="str">
            <v>CREDIT CARD REFUND</v>
          </cell>
        </row>
        <row r="15079">
          <cell r="H15079" t="str">
            <v>PAY-CFREE</v>
          </cell>
          <cell r="I15079" t="str">
            <v>CHECKFREE PAYMENT</v>
          </cell>
        </row>
        <row r="15080">
          <cell r="H15080" t="str">
            <v>PAY-KOL</v>
          </cell>
          <cell r="I15080" t="str">
            <v>PAYMENT-THANK YOU - OL</v>
          </cell>
        </row>
        <row r="15081">
          <cell r="H15081" t="str">
            <v>PAY-OAK</v>
          </cell>
          <cell r="I15081" t="str">
            <v>OAKLEAF PAYMENT</v>
          </cell>
        </row>
        <row r="15082">
          <cell r="H15082" t="str">
            <v>PAY-RPPS</v>
          </cell>
          <cell r="I15082" t="str">
            <v>RPPS MASTERCARD PAYMENT</v>
          </cell>
        </row>
        <row r="15083">
          <cell r="H15083" t="str">
            <v>PAYMET</v>
          </cell>
          <cell r="I15083" t="str">
            <v>METAVANTE ONLINE PAYMENT</v>
          </cell>
        </row>
        <row r="15084">
          <cell r="H15084" t="str">
            <v>PAYPNCL</v>
          </cell>
          <cell r="I15084" t="str">
            <v>PAYMENT THANK YOU!</v>
          </cell>
        </row>
        <row r="15085">
          <cell r="H15085" t="str">
            <v>PAYUSBL</v>
          </cell>
          <cell r="I15085" t="str">
            <v>PAYMENT THANK YOU</v>
          </cell>
        </row>
        <row r="15086">
          <cell r="H15086" t="str">
            <v>GWRES</v>
          </cell>
          <cell r="I15086" t="str">
            <v>GREENWASTE SERVICE - RES</v>
          </cell>
        </row>
        <row r="15087">
          <cell r="H15087" t="str">
            <v>SL065.0G1W001WREC</v>
          </cell>
          <cell r="I15087" t="str">
            <v>65 GL 1X WK W/RECY 1</v>
          </cell>
        </row>
        <row r="15088">
          <cell r="H15088" t="str">
            <v>SL065.0GEO001WREC</v>
          </cell>
          <cell r="I15088" t="str">
            <v>65 GL EOW W/RECY 1</v>
          </cell>
        </row>
        <row r="15089">
          <cell r="H15089" t="str">
            <v>REINSTATE-RES</v>
          </cell>
          <cell r="I15089" t="str">
            <v>REINSTATE FEE - RES</v>
          </cell>
        </row>
        <row r="15090">
          <cell r="H15090" t="str">
            <v>GWRES</v>
          </cell>
          <cell r="I15090" t="str">
            <v>GREENWASTE SERVICE - RES</v>
          </cell>
        </row>
        <row r="15091">
          <cell r="H15091" t="str">
            <v>RECBINONLYR</v>
          </cell>
          <cell r="I15091" t="str">
            <v>RECYCLE SERVICE ONLY</v>
          </cell>
        </row>
        <row r="15092">
          <cell r="H15092" t="str">
            <v>SL035.0GEO001WREC</v>
          </cell>
          <cell r="I15092" t="str">
            <v>35 GL EOW W/RECY 1</v>
          </cell>
        </row>
        <row r="15093">
          <cell r="H15093" t="str">
            <v>SL065.0G1W001WREC</v>
          </cell>
          <cell r="I15093" t="str">
            <v>65 GL 1X WK W/RECY 1</v>
          </cell>
        </row>
        <row r="15094">
          <cell r="H15094" t="str">
            <v>SL065.0GEO001NOREC</v>
          </cell>
          <cell r="I15094" t="str">
            <v>65 GL EOW NO RECY 1</v>
          </cell>
        </row>
        <row r="15095">
          <cell r="H15095" t="str">
            <v>SL065.0GEO001WREC</v>
          </cell>
          <cell r="I15095" t="str">
            <v>65 GL EOW W/RECY 1</v>
          </cell>
        </row>
        <row r="15096">
          <cell r="H15096" t="str">
            <v>SL095.0G1W001WREC</v>
          </cell>
          <cell r="I15096" t="str">
            <v>95 GL 1X WK W/RECY 1</v>
          </cell>
        </row>
        <row r="15097">
          <cell r="H15097" t="str">
            <v>EXTRA-RES</v>
          </cell>
          <cell r="I15097" t="str">
            <v>EXTRA CAN, BAG, BOX - RES</v>
          </cell>
        </row>
        <row r="15098">
          <cell r="H15098" t="str">
            <v>REINSTATE-RES</v>
          </cell>
          <cell r="I15098" t="str">
            <v>REINSTATE FEE - RES</v>
          </cell>
        </row>
        <row r="15099">
          <cell r="H15099" t="str">
            <v>RENT20MO-RO</v>
          </cell>
          <cell r="I15099" t="str">
            <v>RENTAL FEE 20 YD MONTHLY</v>
          </cell>
        </row>
        <row r="15100">
          <cell r="H15100" t="str">
            <v>DEL20TEMP-RO</v>
          </cell>
          <cell r="I15100" t="str">
            <v>DELIVERY FEE 20 YD TEMP -</v>
          </cell>
        </row>
        <row r="15101">
          <cell r="H15101" t="str">
            <v>DEL40TEMP-RO</v>
          </cell>
          <cell r="I15101" t="str">
            <v>DELIVERY FEE 40 YD TEMP -</v>
          </cell>
        </row>
        <row r="15102">
          <cell r="H15102" t="str">
            <v>DISCO-CP</v>
          </cell>
          <cell r="I15102" t="str">
            <v xml:space="preserve">COMPACTOR DISCONNECT FEE </v>
          </cell>
        </row>
        <row r="15103">
          <cell r="H15103" t="str">
            <v>DISP-RO</v>
          </cell>
          <cell r="I15103" t="str">
            <v>DISPOSAL CHARGE - RO</v>
          </cell>
        </row>
        <row r="15104">
          <cell r="H15104" t="str">
            <v>FINAL40TEMP-RO</v>
          </cell>
          <cell r="I15104" t="str">
            <v>FINAL PULL 40 YD TEMP - R</v>
          </cell>
        </row>
        <row r="15105">
          <cell r="H15105" t="str">
            <v>HAUL20-RO</v>
          </cell>
          <cell r="I15105" t="str">
            <v>HAUL 20 YD - RO</v>
          </cell>
        </row>
        <row r="15106">
          <cell r="H15106" t="str">
            <v>HAUL25-CP</v>
          </cell>
          <cell r="I15106" t="str">
            <v>COMPACTOR HAUL 25 YD - RO</v>
          </cell>
        </row>
        <row r="15107">
          <cell r="H15107" t="str">
            <v>HAUL30-CP</v>
          </cell>
          <cell r="I15107" t="str">
            <v>COMPACTOR HAUL 30 YD</v>
          </cell>
        </row>
        <row r="15108">
          <cell r="H15108" t="str">
            <v>RENT20TEMP-RO</v>
          </cell>
          <cell r="I15108" t="str">
            <v>RENTAL FEE 20 YD TEMP - R</v>
          </cell>
        </row>
        <row r="15109">
          <cell r="H15109" t="str">
            <v>RENT40TEMP-RO</v>
          </cell>
          <cell r="I15109" t="str">
            <v>RENTAL FEE 40 YD TEMP - R</v>
          </cell>
        </row>
        <row r="15110">
          <cell r="H15110" t="str">
            <v>COMMODITY SURCHARGE</v>
          </cell>
          <cell r="I15110" t="str">
            <v>COMMODITY SURCHARGE</v>
          </cell>
        </row>
        <row r="15111">
          <cell r="H15111" t="str">
            <v>UNIV PLACE SURCHARGE</v>
          </cell>
          <cell r="I15111" t="str">
            <v>UNIVERSITY PLACE SURCHARGE</v>
          </cell>
        </row>
        <row r="15112">
          <cell r="H15112" t="str">
            <v>UNIV PLACE SURCHARGE</v>
          </cell>
          <cell r="I15112" t="str">
            <v>UNIVERSITY PLACE SURCHARGE</v>
          </cell>
        </row>
        <row r="15113">
          <cell r="H15113" t="str">
            <v>UNIV PLACE SURCHARGE</v>
          </cell>
          <cell r="I15113" t="str">
            <v>UNIVERSITY PLACE SURCHARGE</v>
          </cell>
        </row>
        <row r="15114">
          <cell r="H15114" t="str">
            <v>UNIV PLACE SURCHARGE</v>
          </cell>
          <cell r="I15114" t="str">
            <v>UNIVERSITY PLACE SURCHARGE</v>
          </cell>
        </row>
        <row r="15115">
          <cell r="H15115" t="str">
            <v>UNIV PLACE SURCHARGE</v>
          </cell>
          <cell r="I15115" t="str">
            <v>UNIVERSITY PLACE SURCHARGE</v>
          </cell>
        </row>
        <row r="15116">
          <cell r="H15116" t="str">
            <v>UP CITY UTILITY TAX</v>
          </cell>
          <cell r="I15116" t="str">
            <v>6% CITY UTILITY TAX</v>
          </cell>
        </row>
        <row r="15117">
          <cell r="H15117" t="str">
            <v>UP CITY ONLY</v>
          </cell>
          <cell r="I15117" t="str">
            <v>6% CITY UTILITY TAX</v>
          </cell>
        </row>
        <row r="15118">
          <cell r="H15118" t="str">
            <v>UP CITY UTILITY TAX</v>
          </cell>
          <cell r="I15118" t="str">
            <v>6% CITY UTILITY TAX</v>
          </cell>
        </row>
        <row r="15119">
          <cell r="H15119" t="str">
            <v>UP REFUSE TAX</v>
          </cell>
          <cell r="I15119" t="str">
            <v>3.6% WA STATE REFUSE TAX</v>
          </cell>
        </row>
        <row r="15120">
          <cell r="H15120" t="str">
            <v>UP CITY UTILITY TAX</v>
          </cell>
          <cell r="I15120" t="str">
            <v>6% CITY UTILITY TAX</v>
          </cell>
        </row>
        <row r="15121">
          <cell r="H15121" t="str">
            <v>UP REFUSE TAX</v>
          </cell>
          <cell r="I15121" t="str">
            <v>3.6% WA STATE REFUSE TAX</v>
          </cell>
        </row>
        <row r="15122">
          <cell r="H15122" t="str">
            <v>UP CITY UTILITY TAX</v>
          </cell>
          <cell r="I15122" t="str">
            <v>6% CITY UTILITY TAX</v>
          </cell>
        </row>
        <row r="15123">
          <cell r="H15123" t="str">
            <v>UP REFUSE TAX</v>
          </cell>
          <cell r="I15123" t="str">
            <v>3.6% WA STATE REFUSE TAX</v>
          </cell>
        </row>
        <row r="15124">
          <cell r="H15124" t="str">
            <v>PIERCE REFUSE TAX</v>
          </cell>
          <cell r="I15124" t="str">
            <v>3.6% WA STATE REFUSE TAX</v>
          </cell>
        </row>
        <row r="15125">
          <cell r="H15125" t="str">
            <v>UP CITY UTILITY TAX</v>
          </cell>
          <cell r="I15125" t="str">
            <v>6% CITY UTILITY TAX</v>
          </cell>
        </row>
        <row r="15126">
          <cell r="H15126" t="str">
            <v>UP REFUSE TAX</v>
          </cell>
          <cell r="I15126" t="str">
            <v>3.6% WA STATE REFUSE TAX</v>
          </cell>
        </row>
        <row r="15127">
          <cell r="H15127" t="str">
            <v>UP CITY UTILITY TAX</v>
          </cell>
          <cell r="I15127" t="str">
            <v>6% CITY UTILITY TAX</v>
          </cell>
        </row>
        <row r="15128">
          <cell r="H15128" t="str">
            <v>UP REFUSE TAX</v>
          </cell>
          <cell r="I15128" t="str">
            <v>3.6% WA STATE REFUSE TAX</v>
          </cell>
        </row>
        <row r="15129">
          <cell r="H15129" t="str">
            <v>UP STATE SALES TAX</v>
          </cell>
          <cell r="I15129" t="str">
            <v>9.9% WA STATE SALES TAX</v>
          </cell>
        </row>
        <row r="15130">
          <cell r="H15130" t="str">
            <v>DISPFEDMSW-COMM</v>
          </cell>
          <cell r="I15130" t="str">
            <v>DISPOSAL FEDERAL MSW - CO</v>
          </cell>
        </row>
        <row r="15131">
          <cell r="H15131" t="str">
            <v>FL001.5Y1W001</v>
          </cell>
          <cell r="I15131" t="str">
            <v>1.5 YD 1X WK 1</v>
          </cell>
        </row>
        <row r="15132">
          <cell r="H15132" t="str">
            <v>FL002.0Y1W001</v>
          </cell>
          <cell r="I15132" t="str">
            <v>2 YD 1X WK 1</v>
          </cell>
        </row>
        <row r="15133">
          <cell r="H15133" t="str">
            <v>CONTRACTEDC</v>
          </cell>
          <cell r="I15133" t="str">
            <v>CONTRACTED SERVICE - COMM</v>
          </cell>
        </row>
        <row r="15134">
          <cell r="H15134" t="str">
            <v>DISPTONER-COMM</v>
          </cell>
          <cell r="I15134" t="str">
            <v>DISPOSAL TONER - COMM</v>
          </cell>
        </row>
        <row r="15135">
          <cell r="H15135" t="str">
            <v>FL001.5Y1W001</v>
          </cell>
          <cell r="I15135" t="str">
            <v>1.5 YD 1X WK 1</v>
          </cell>
        </row>
        <row r="15136">
          <cell r="H15136" t="str">
            <v>SL096.0GEO001BCMGLIN</v>
          </cell>
          <cell r="I15136" t="str">
            <v>96 GL EOW BUS CMGL IN</v>
          </cell>
        </row>
        <row r="15137">
          <cell r="H15137" t="str">
            <v>SL096.0GEO001BCMGLIN</v>
          </cell>
          <cell r="I15137" t="str">
            <v>96 GL EOW BUS CMGL IN</v>
          </cell>
        </row>
        <row r="15138">
          <cell r="H15138" t="str">
            <v>SP4SCMGL-COM</v>
          </cell>
          <cell r="I15138" t="str">
            <v>SPECIAL PU 4 YD SCH CMGL</v>
          </cell>
        </row>
        <row r="15139">
          <cell r="H15139" t="str">
            <v>CC-KOL</v>
          </cell>
          <cell r="I15139" t="str">
            <v>ONLINE PAYMENT-CC</v>
          </cell>
        </row>
        <row r="15140">
          <cell r="H15140" t="str">
            <v>PAYEFT</v>
          </cell>
          <cell r="I15140" t="str">
            <v>EFT PAYMENT</v>
          </cell>
        </row>
        <row r="15141">
          <cell r="H15141" t="str">
            <v>DISPGW-RES</v>
          </cell>
          <cell r="I15141" t="str">
            <v>DISPOSAL FEE GREENWASTE -</v>
          </cell>
        </row>
        <row r="15142">
          <cell r="H15142" t="str">
            <v>DISPASB-RO</v>
          </cell>
          <cell r="I15142" t="str">
            <v>DISPOSAL FEE ASBESTOS - R</v>
          </cell>
        </row>
        <row r="15143">
          <cell r="H15143" t="str">
            <v>DISPBATT-RO</v>
          </cell>
          <cell r="I15143" t="str">
            <v>DISPOSAL BATTERIES - RO</v>
          </cell>
        </row>
        <row r="15144">
          <cell r="H15144" t="str">
            <v>DISPCMGL-RO</v>
          </cell>
          <cell r="I15144" t="str">
            <v xml:space="preserve">DISPOSAL FEE COMMINGLE - </v>
          </cell>
        </row>
        <row r="15145">
          <cell r="H15145" t="str">
            <v>DISPEWASTE-RO</v>
          </cell>
          <cell r="I15145" t="str">
            <v>DISPOSAL FEE EWASTE - RO</v>
          </cell>
        </row>
        <row r="15146">
          <cell r="H15146" t="str">
            <v>DISPFEDMSW-RO</v>
          </cell>
          <cell r="I15146" t="str">
            <v xml:space="preserve">DISPOSAL FEE FEDERAL MSW </v>
          </cell>
        </row>
        <row r="15147">
          <cell r="H15147" t="str">
            <v>DISPFOOD-RO</v>
          </cell>
          <cell r="I15147" t="str">
            <v>DISPOSAL FEE FOOD WASTE -</v>
          </cell>
        </row>
        <row r="15148">
          <cell r="H15148" t="str">
            <v>DISPGLASS-RO</v>
          </cell>
          <cell r="I15148" t="str">
            <v>DISPOSAL FEE GLASS - RO</v>
          </cell>
        </row>
        <row r="15149">
          <cell r="H15149" t="str">
            <v>DISPGW-RO</v>
          </cell>
          <cell r="I15149" t="str">
            <v>DISPOSAL FEE GREENWASTE -</v>
          </cell>
        </row>
        <row r="15150">
          <cell r="H15150" t="str">
            <v>DISPMETAL-RO</v>
          </cell>
          <cell r="I15150" t="str">
            <v>DISPOSAL FEE METAL - RO</v>
          </cell>
        </row>
        <row r="15151">
          <cell r="H15151" t="str">
            <v>DISPOCC-RO</v>
          </cell>
          <cell r="I15151" t="str">
            <v xml:space="preserve">DISPOSAL FEE CARDBOARD - </v>
          </cell>
        </row>
        <row r="15152">
          <cell r="H15152" t="str">
            <v>DISPTEX-RO</v>
          </cell>
          <cell r="I15152" t="str">
            <v>DISPOSAL TEXTILE - RO</v>
          </cell>
        </row>
        <row r="15153">
          <cell r="H15153" t="str">
            <v>DISPWD-RO</v>
          </cell>
          <cell r="I15153" t="str">
            <v>DISPOSAL FEE WOOD - RO</v>
          </cell>
        </row>
        <row r="15154">
          <cell r="H15154" t="str">
            <v>HAUL20-RO</v>
          </cell>
          <cell r="I15154" t="str">
            <v>HAUL 20 YD - RO</v>
          </cell>
        </row>
        <row r="15155">
          <cell r="H15155" t="str">
            <v>HAUL50-RO</v>
          </cell>
          <cell r="I15155" t="str">
            <v>HAUL 50 YD - RO</v>
          </cell>
        </row>
        <row r="15156">
          <cell r="H15156" t="str">
            <v>DISPMETAL-RO</v>
          </cell>
          <cell r="I15156" t="str">
            <v>DISPOSAL FEE METAL - RO</v>
          </cell>
        </row>
        <row r="15157">
          <cell r="H15157" t="str">
            <v>DISPWD-RO</v>
          </cell>
          <cell r="I15157" t="str">
            <v>DISPOSAL FEE WOOD - RO</v>
          </cell>
        </row>
        <row r="15158">
          <cell r="H15158" t="str">
            <v>FINCHG</v>
          </cell>
          <cell r="I15158" t="str">
            <v>LATE FEE</v>
          </cell>
        </row>
        <row r="15159">
          <cell r="H15159" t="str">
            <v>BD</v>
          </cell>
          <cell r="I15159" t="str">
            <v>BAD DEBT WRITE OFF</v>
          </cell>
        </row>
        <row r="15160">
          <cell r="H15160" t="str">
            <v>BDR</v>
          </cell>
          <cell r="I15160" t="str">
            <v>BAD DEBT RECOVERY</v>
          </cell>
        </row>
        <row r="15161">
          <cell r="H15161" t="str">
            <v>COLLFEE</v>
          </cell>
          <cell r="I15161" t="str">
            <v>COLLECTION AGENCY FEE</v>
          </cell>
        </row>
        <row r="15162">
          <cell r="H15162" t="str">
            <v>MM</v>
          </cell>
          <cell r="I15162" t="str">
            <v>ADJUST BALANCE (MM)</v>
          </cell>
        </row>
        <row r="15163">
          <cell r="H15163" t="str">
            <v>MM</v>
          </cell>
          <cell r="I15163" t="str">
            <v>ADJUST BALANCE (MM)</v>
          </cell>
        </row>
        <row r="15164">
          <cell r="H15164" t="str">
            <v>BD</v>
          </cell>
          <cell r="I15164" t="str">
            <v>BAD DEBT WRITE OFF</v>
          </cell>
        </row>
        <row r="15165">
          <cell r="H15165" t="str">
            <v>BDR</v>
          </cell>
          <cell r="I15165" t="str">
            <v>BAD DEBT RECOVERY</v>
          </cell>
        </row>
        <row r="15166">
          <cell r="H15166" t="str">
            <v>FINCHG</v>
          </cell>
          <cell r="I15166" t="str">
            <v>LATE FEE</v>
          </cell>
        </row>
        <row r="15167">
          <cell r="H15167" t="str">
            <v>MM</v>
          </cell>
          <cell r="I15167" t="str">
            <v>ADJUST BALANCE (MM)</v>
          </cell>
        </row>
        <row r="15168">
          <cell r="H15168" t="str">
            <v>MM</v>
          </cell>
          <cell r="I15168" t="str">
            <v>ADJUST BALANCE (MM)</v>
          </cell>
        </row>
        <row r="15169">
          <cell r="H15169" t="str">
            <v>FINCHG</v>
          </cell>
          <cell r="I15169" t="str">
            <v>LATE FEE</v>
          </cell>
        </row>
        <row r="15170">
          <cell r="H15170" t="str">
            <v>FINCHG</v>
          </cell>
          <cell r="I15170" t="str">
            <v>LATE FEE</v>
          </cell>
        </row>
        <row r="15171">
          <cell r="H15171" t="str">
            <v>ACCESS-COMM</v>
          </cell>
          <cell r="I15171" t="str">
            <v>ACCESS FEE - COMM</v>
          </cell>
        </row>
        <row r="15172">
          <cell r="H15172" t="str">
            <v>DONATIONC</v>
          </cell>
          <cell r="I15172" t="str">
            <v>DONATED SERVICE COMM</v>
          </cell>
        </row>
        <row r="15173">
          <cell r="H15173" t="str">
            <v>DRIVEIN1-COMM</v>
          </cell>
          <cell r="I15173" t="str">
            <v>DRIVE IN 125-250' - COMM</v>
          </cell>
        </row>
        <row r="15174">
          <cell r="H15174" t="str">
            <v>FL001.0Y1W001</v>
          </cell>
          <cell r="I15174" t="str">
            <v>1 YD 1X WK 1</v>
          </cell>
        </row>
        <row r="15175">
          <cell r="H15175" t="str">
            <v>FL001.5Y1W001</v>
          </cell>
          <cell r="I15175" t="str">
            <v>1.5 YD 1X WK 1</v>
          </cell>
        </row>
        <row r="15176">
          <cell r="H15176" t="str">
            <v>FL001.5Y2W001</v>
          </cell>
          <cell r="I15176" t="str">
            <v>1.5 YD 2X WK 1</v>
          </cell>
        </row>
        <row r="15177">
          <cell r="H15177" t="str">
            <v>FL002.0Y1W001</v>
          </cell>
          <cell r="I15177" t="str">
            <v>2 YD 1X WK 1</v>
          </cell>
        </row>
        <row r="15178">
          <cell r="H15178" t="str">
            <v>FL002.0Y2W001</v>
          </cell>
          <cell r="I15178" t="str">
            <v>2 YD 2X WK 1</v>
          </cell>
        </row>
        <row r="15179">
          <cell r="H15179" t="str">
            <v>FL002.0Y3W001</v>
          </cell>
          <cell r="I15179" t="str">
            <v>2 YD 3X WK 1</v>
          </cell>
        </row>
        <row r="15180">
          <cell r="H15180" t="str">
            <v>FL003.0Y1W001</v>
          </cell>
          <cell r="I15180" t="str">
            <v>3 YD 1X WK 1</v>
          </cell>
        </row>
        <row r="15181">
          <cell r="H15181" t="str">
            <v>FL003.0Y2W001</v>
          </cell>
          <cell r="I15181" t="str">
            <v>3 YD 2X WK 1</v>
          </cell>
        </row>
        <row r="15182">
          <cell r="H15182" t="str">
            <v>FL003.0Y3W001</v>
          </cell>
          <cell r="I15182" t="str">
            <v>3 YD 3X WK 1</v>
          </cell>
        </row>
        <row r="15183">
          <cell r="H15183" t="str">
            <v>FL004.0Y1W001</v>
          </cell>
          <cell r="I15183" t="str">
            <v>4 YD 1X WK 1</v>
          </cell>
        </row>
        <row r="15184">
          <cell r="H15184" t="str">
            <v>FL004.0Y2W001</v>
          </cell>
          <cell r="I15184" t="str">
            <v>4 YD 2X WK 1</v>
          </cell>
        </row>
        <row r="15185">
          <cell r="H15185" t="str">
            <v>FL004.0Y3W001</v>
          </cell>
          <cell r="I15185" t="str">
            <v>4 YD 3X WK 1</v>
          </cell>
        </row>
        <row r="15186">
          <cell r="H15186" t="str">
            <v>FL006.0Y1W001</v>
          </cell>
          <cell r="I15186" t="str">
            <v>6 YD 1X WK 1</v>
          </cell>
        </row>
        <row r="15187">
          <cell r="H15187" t="str">
            <v>FL006.0Y2W001</v>
          </cell>
          <cell r="I15187" t="str">
            <v>6 YD 2X WK 1</v>
          </cell>
        </row>
        <row r="15188">
          <cell r="H15188" t="str">
            <v>FL006.0Y4W001</v>
          </cell>
          <cell r="I15188" t="str">
            <v>6 YD 4X WK 1</v>
          </cell>
        </row>
        <row r="15189">
          <cell r="H15189" t="str">
            <v>ROLL-COMM</v>
          </cell>
          <cell r="I15189" t="str">
            <v>ROLL OUT CHARGE - COMM</v>
          </cell>
        </row>
        <row r="15190">
          <cell r="H15190" t="str">
            <v>SL065.0G1W001NORECC</v>
          </cell>
          <cell r="I15190" t="str">
            <v xml:space="preserve">65 GL 1X WK NO RECY COMM </v>
          </cell>
        </row>
        <row r="15191">
          <cell r="H15191" t="str">
            <v>SL065.0G1W001WRECC</v>
          </cell>
          <cell r="I15191" t="str">
            <v>65 GL 1X WK W/RECY COMM 1</v>
          </cell>
        </row>
        <row r="15192">
          <cell r="H15192" t="str">
            <v>SL065.0GEO001WRECC</v>
          </cell>
          <cell r="I15192" t="str">
            <v>65 GL EOW W/RECY COMM 1</v>
          </cell>
        </row>
        <row r="15193">
          <cell r="H15193" t="str">
            <v>SL095.0G1W001WRECC</v>
          </cell>
          <cell r="I15193" t="str">
            <v>95 GL 1X WK W/RECY COMM 1</v>
          </cell>
        </row>
        <row r="15194">
          <cell r="H15194" t="str">
            <v>DEL1.5TEMP-COMM</v>
          </cell>
          <cell r="I15194" t="str">
            <v xml:space="preserve">DELIVERY FEE 1.5 YD TEMP </v>
          </cell>
        </row>
        <row r="15195">
          <cell r="H15195" t="str">
            <v>EXTRA-COMM</v>
          </cell>
          <cell r="I15195" t="str">
            <v>EXTRA CAN, BAG, BOX - COM</v>
          </cell>
        </row>
        <row r="15196">
          <cell r="H15196" t="str">
            <v>EXTRAYDG-COM</v>
          </cell>
          <cell r="I15196" t="str">
            <v>EXTRA YARDAGE - COMM</v>
          </cell>
        </row>
        <row r="15197">
          <cell r="H15197" t="str">
            <v>REINSTATE-COMM</v>
          </cell>
          <cell r="I15197" t="str">
            <v>REINSTATE FEE - COMM</v>
          </cell>
        </row>
        <row r="15198">
          <cell r="H15198" t="str">
            <v>RENT1.5TEMP-COMM</v>
          </cell>
          <cell r="I15198" t="str">
            <v>RENT 1.5 YD TEMP - COMM</v>
          </cell>
        </row>
        <row r="15199">
          <cell r="H15199" t="str">
            <v>ACCESSCREC-COMM</v>
          </cell>
          <cell r="I15199" t="str">
            <v>ACCESS FEE COMM RECY - CO</v>
          </cell>
        </row>
        <row r="15200">
          <cell r="H15200" t="str">
            <v>FL002.0Y1W001BCMGL</v>
          </cell>
          <cell r="I15200" t="str">
            <v>2 YD 1X WK BUS CMGL 1</v>
          </cell>
        </row>
        <row r="15201">
          <cell r="H15201" t="str">
            <v>FL002.0Y1W001BOCC</v>
          </cell>
          <cell r="I15201" t="str">
            <v>2 YD 1X WK BUS OCC 1</v>
          </cell>
        </row>
        <row r="15202">
          <cell r="H15202" t="str">
            <v>FL002.0Y2W001BCMGL</v>
          </cell>
          <cell r="I15202" t="str">
            <v>2 YD 2X WK BUS CMGL 1</v>
          </cell>
        </row>
        <row r="15203">
          <cell r="H15203" t="str">
            <v>FL004.0Y2W001CMGL</v>
          </cell>
          <cell r="I15203" t="str">
            <v>4 YD 2X WK BUS CMGL 1</v>
          </cell>
        </row>
        <row r="15204">
          <cell r="H15204" t="str">
            <v>FL005.0Y1W001BOCC</v>
          </cell>
          <cell r="I15204" t="str">
            <v>5 YD 1X WK BUS OCC 1</v>
          </cell>
        </row>
        <row r="15205">
          <cell r="H15205" t="str">
            <v>FL005.0Y2W001BOCC</v>
          </cell>
          <cell r="I15205" t="str">
            <v>5 YD 2X WK BUS OCC 1</v>
          </cell>
        </row>
        <row r="15206">
          <cell r="H15206" t="str">
            <v>FL005.0Y3W001BOCC</v>
          </cell>
          <cell r="I15206" t="str">
            <v>5 YD 3X WK BUS OCC 1</v>
          </cell>
        </row>
        <row r="15207">
          <cell r="H15207" t="str">
            <v>FL006.0Y1W001BCMGL</v>
          </cell>
          <cell r="I15207" t="str">
            <v>6 YD 1X WK BUS COMINGLE 1</v>
          </cell>
        </row>
        <row r="15208">
          <cell r="H15208" t="str">
            <v>FL006.0Y2W001BCMGL</v>
          </cell>
          <cell r="I15208" t="str">
            <v>6 YD 2X WK BUS COMINGLE 1</v>
          </cell>
        </row>
        <row r="15209">
          <cell r="H15209" t="str">
            <v>FL006.0Y4W001OCC</v>
          </cell>
          <cell r="I15209" t="str">
            <v>6 YD 4X WK OCC 1</v>
          </cell>
        </row>
        <row r="15210">
          <cell r="H15210" t="str">
            <v>MFWBINS</v>
          </cell>
          <cell r="I15210" t="str">
            <v>MULTI-FAMILY REC UNIT W/B</v>
          </cell>
        </row>
        <row r="15211">
          <cell r="H15211" t="str">
            <v>SL096.0G1W001BCMGLOUT</v>
          </cell>
          <cell r="I15211" t="str">
            <v>96 GL WKLY BUS CMGL OUT</v>
          </cell>
        </row>
        <row r="15212">
          <cell r="H15212" t="str">
            <v>SL096.0GEO001BCMGLOUT</v>
          </cell>
          <cell r="I15212" t="str">
            <v>96 GL EOW BUS CMGL OUT</v>
          </cell>
        </row>
        <row r="15213">
          <cell r="H15213" t="str">
            <v>CC-KOL</v>
          </cell>
          <cell r="I15213" t="str">
            <v>ONLINE PAYMENT-CC</v>
          </cell>
        </row>
        <row r="15214">
          <cell r="H15214" t="str">
            <v>PAY</v>
          </cell>
          <cell r="I15214" t="str">
            <v>PAYMENT THANK YOU</v>
          </cell>
        </row>
        <row r="15215">
          <cell r="H15215" t="str">
            <v>PAY-CFREE</v>
          </cell>
          <cell r="I15215" t="str">
            <v>CHECKFREE PAYMENT</v>
          </cell>
        </row>
        <row r="15216">
          <cell r="H15216" t="str">
            <v>PAY-KOL</v>
          </cell>
          <cell r="I15216" t="str">
            <v>PAYMENT-THANK YOU - OL</v>
          </cell>
        </row>
        <row r="15217">
          <cell r="H15217" t="str">
            <v>PAY-ORCC</v>
          </cell>
          <cell r="I15217" t="str">
            <v>ORCC PAYMENT</v>
          </cell>
        </row>
        <row r="15218">
          <cell r="H15218" t="str">
            <v>PAY-RPPS</v>
          </cell>
          <cell r="I15218" t="str">
            <v>RPPS MASTERCARD PAYMENT</v>
          </cell>
        </row>
        <row r="15219">
          <cell r="H15219" t="str">
            <v>PAYMET</v>
          </cell>
          <cell r="I15219" t="str">
            <v>METAVANTE ONLINE PAYMENT</v>
          </cell>
        </row>
        <row r="15220">
          <cell r="H15220" t="str">
            <v>PAYPNCL</v>
          </cell>
          <cell r="I15220" t="str">
            <v>PAYMENT THANK YOU!</v>
          </cell>
        </row>
        <row r="15221">
          <cell r="H15221" t="str">
            <v>PAYUSBL</v>
          </cell>
          <cell r="I15221" t="str">
            <v>PAYMENT THANK YOU</v>
          </cell>
        </row>
        <row r="15222">
          <cell r="H15222" t="str">
            <v>RET-KOL</v>
          </cell>
          <cell r="I15222" t="str">
            <v>ONLINE PAYMENT RETURN</v>
          </cell>
        </row>
        <row r="15223">
          <cell r="H15223" t="str">
            <v>CC-KOL</v>
          </cell>
          <cell r="I15223" t="str">
            <v>ONLINE PAYMENT-CC</v>
          </cell>
        </row>
        <row r="15224">
          <cell r="H15224" t="str">
            <v>PAY</v>
          </cell>
          <cell r="I15224" t="str">
            <v>PAYMENT THANK YOU</v>
          </cell>
        </row>
        <row r="15225">
          <cell r="H15225" t="str">
            <v>PAY-CFREE</v>
          </cell>
          <cell r="I15225" t="str">
            <v>CHECKFREE PAYMENT</v>
          </cell>
        </row>
        <row r="15226">
          <cell r="H15226" t="str">
            <v>PAY-KOL</v>
          </cell>
          <cell r="I15226" t="str">
            <v>PAYMENT-THANK YOU - OL</v>
          </cell>
        </row>
        <row r="15227">
          <cell r="H15227" t="str">
            <v>PAY-ORCC</v>
          </cell>
          <cell r="I15227" t="str">
            <v>ORCC PAYMENT</v>
          </cell>
        </row>
        <row r="15228">
          <cell r="H15228" t="str">
            <v>PAY-RPPS</v>
          </cell>
          <cell r="I15228" t="str">
            <v>RPPS MASTERCARD PAYMENT</v>
          </cell>
        </row>
        <row r="15229">
          <cell r="H15229" t="str">
            <v>PAYMET</v>
          </cell>
          <cell r="I15229" t="str">
            <v>METAVANTE ONLINE PAYMENT</v>
          </cell>
        </row>
        <row r="15230">
          <cell r="H15230" t="str">
            <v>PAYPNCL</v>
          </cell>
          <cell r="I15230" t="str">
            <v>PAYMENT THANK YOU!</v>
          </cell>
        </row>
        <row r="15231">
          <cell r="H15231" t="str">
            <v>RET-KOL</v>
          </cell>
          <cell r="I15231" t="str">
            <v>ONLINE PAYMENT RETURN</v>
          </cell>
        </row>
        <row r="15232">
          <cell r="H15232" t="str">
            <v>CC-KOL</v>
          </cell>
          <cell r="I15232" t="str">
            <v>ONLINE PAYMENT-CC</v>
          </cell>
        </row>
        <row r="15233">
          <cell r="H15233" t="str">
            <v>PAY</v>
          </cell>
          <cell r="I15233" t="str">
            <v>PAYMENT THANK YOU</v>
          </cell>
        </row>
        <row r="15234">
          <cell r="H15234" t="str">
            <v>PAY-CFREE</v>
          </cell>
          <cell r="I15234" t="str">
            <v>CHECKFREE PAYMENT</v>
          </cell>
        </row>
        <row r="15235">
          <cell r="H15235" t="str">
            <v>PAY-KOL</v>
          </cell>
          <cell r="I15235" t="str">
            <v>PAYMENT-THANK YOU - OL</v>
          </cell>
        </row>
        <row r="15236">
          <cell r="H15236" t="str">
            <v>PAY-NATL</v>
          </cell>
          <cell r="I15236" t="str">
            <v>PAYMENT THANK YOU</v>
          </cell>
        </row>
        <row r="15237">
          <cell r="H15237" t="str">
            <v>PAY-OAK</v>
          </cell>
          <cell r="I15237" t="str">
            <v>OAKLEAF PAYMENT</v>
          </cell>
        </row>
        <row r="15238">
          <cell r="H15238" t="str">
            <v>PAY-ORCC</v>
          </cell>
          <cell r="I15238" t="str">
            <v>ORCC PAYMENT</v>
          </cell>
        </row>
        <row r="15239">
          <cell r="H15239" t="str">
            <v>PAY-RPPS</v>
          </cell>
          <cell r="I15239" t="str">
            <v>RPPS MASTERCARD PAYMENT</v>
          </cell>
        </row>
        <row r="15240">
          <cell r="H15240" t="str">
            <v>PAYMET</v>
          </cell>
          <cell r="I15240" t="str">
            <v>METAVANTE ONLINE PAYMENT</v>
          </cell>
        </row>
        <row r="15241">
          <cell r="H15241" t="str">
            <v>PAYPNCL</v>
          </cell>
          <cell r="I15241" t="str">
            <v>PAYMENT THANK YOU!</v>
          </cell>
        </row>
        <row r="15242">
          <cell r="H15242" t="str">
            <v>GWRES</v>
          </cell>
          <cell r="I15242" t="str">
            <v>GREENWASTE SERVICE - RES</v>
          </cell>
        </row>
        <row r="15243">
          <cell r="H15243" t="str">
            <v>GWSPCL-RES</v>
          </cell>
          <cell r="I15243" t="str">
            <v>GREENWASTE SEN/DIS - RES</v>
          </cell>
        </row>
        <row r="15244">
          <cell r="H15244" t="str">
            <v>RECBINONLYR</v>
          </cell>
          <cell r="I15244" t="str">
            <v>RECYCLE SERVICE ONLY</v>
          </cell>
        </row>
        <row r="15245">
          <cell r="H15245" t="str">
            <v>RECPROGADJ-RES</v>
          </cell>
          <cell r="I15245" t="str">
            <v>RECYCLING PROGRAM ADJUSTM</v>
          </cell>
        </row>
        <row r="15246">
          <cell r="H15246" t="str">
            <v>RECVALRES</v>
          </cell>
          <cell r="I15246" t="str">
            <v>RECYCLABLES VALUE - RES</v>
          </cell>
        </row>
        <row r="15247">
          <cell r="H15247" t="str">
            <v>S45G1W1</v>
          </cell>
          <cell r="I15247" t="str">
            <v>45 GL 1X WK 1</v>
          </cell>
        </row>
        <row r="15248">
          <cell r="H15248" t="str">
            <v>S45G1W2</v>
          </cell>
          <cell r="I15248" t="str">
            <v>45 GL 1X WK 2</v>
          </cell>
        </row>
        <row r="15249">
          <cell r="H15249" t="str">
            <v>S45G1W3</v>
          </cell>
          <cell r="I15249" t="str">
            <v>45 GL 1X WK 3</v>
          </cell>
        </row>
        <row r="15250">
          <cell r="H15250" t="str">
            <v>S45GEO1</v>
          </cell>
          <cell r="I15250" t="str">
            <v>45 GL EOW 1</v>
          </cell>
        </row>
        <row r="15251">
          <cell r="H15251" t="str">
            <v>SL045.0G1W001REC</v>
          </cell>
          <cell r="I15251" t="str">
            <v>45 GL 1X WK RECYCLE 1</v>
          </cell>
        </row>
        <row r="15252">
          <cell r="H15252" t="str">
            <v>SL065.0G1W001WREC</v>
          </cell>
          <cell r="I15252" t="str">
            <v>65 GL 1X WK W/RECY 1</v>
          </cell>
        </row>
        <row r="15253">
          <cell r="H15253" t="str">
            <v>SL095.0G1W001WREC</v>
          </cell>
          <cell r="I15253" t="str">
            <v>95 GL 1X WK W/RECY 1</v>
          </cell>
        </row>
        <row r="15254">
          <cell r="H15254" t="str">
            <v>WI1-RES</v>
          </cell>
          <cell r="I15254" t="str">
            <v>WALK IN 6-25' - RES</v>
          </cell>
        </row>
        <row r="15255">
          <cell r="H15255" t="str">
            <v>EXTRA-RES</v>
          </cell>
          <cell r="I15255" t="str">
            <v>EXTRA CAN, BAG, BOX - RES</v>
          </cell>
        </row>
        <row r="15256">
          <cell r="H15256" t="str">
            <v>EXTRAGWC-RES</v>
          </cell>
          <cell r="I15256" t="str">
            <v>EXTRA GREENWASTE FEE - RE</v>
          </cell>
        </row>
        <row r="15257">
          <cell r="H15257" t="str">
            <v>OW-RES</v>
          </cell>
          <cell r="I15257" t="str">
            <v>OVERFILL / OVERWEIGHT CAN</v>
          </cell>
        </row>
        <row r="15258">
          <cell r="H15258" t="str">
            <v>REINSTATE-RES</v>
          </cell>
          <cell r="I15258" t="str">
            <v>REINSTATE FEE - RES</v>
          </cell>
        </row>
        <row r="15259">
          <cell r="H15259" t="str">
            <v>RTRNCART45-RES</v>
          </cell>
          <cell r="I15259" t="str">
            <v>RETURN TRIP 45 GL - RES</v>
          </cell>
        </row>
        <row r="15260">
          <cell r="H15260" t="str">
            <v>RTRNCART65-RES</v>
          </cell>
          <cell r="I15260" t="str">
            <v>RETURN TRIP 65 GL - RES</v>
          </cell>
        </row>
        <row r="15261">
          <cell r="H15261" t="str">
            <v>S45G1W1</v>
          </cell>
          <cell r="I15261" t="str">
            <v>45 GL 1X WK 1</v>
          </cell>
        </row>
        <row r="15262">
          <cell r="H15262" t="str">
            <v>SL065.0G1W001WREC</v>
          </cell>
          <cell r="I15262" t="str">
            <v>65 GL 1X WK W/RECY 1</v>
          </cell>
        </row>
        <row r="15263">
          <cell r="H15263" t="str">
            <v>TIME-RES</v>
          </cell>
          <cell r="I15263" t="str">
            <v>TIME FEE 1 - RES</v>
          </cell>
        </row>
        <row r="15264">
          <cell r="H15264" t="str">
            <v>GWRES</v>
          </cell>
          <cell r="I15264" t="str">
            <v>GREENWASTE SERVICE - RES</v>
          </cell>
        </row>
        <row r="15265">
          <cell r="H15265" t="str">
            <v>S45G1W1</v>
          </cell>
          <cell r="I15265" t="str">
            <v>45 GL 1X WK 1</v>
          </cell>
        </row>
        <row r="15266">
          <cell r="H15266" t="str">
            <v>S45G1W2</v>
          </cell>
          <cell r="I15266" t="str">
            <v>45 GL 1X WK 2</v>
          </cell>
        </row>
        <row r="15267">
          <cell r="H15267" t="str">
            <v>S45GEO1</v>
          </cell>
          <cell r="I15267" t="str">
            <v>45 GL EOW 1</v>
          </cell>
        </row>
        <row r="15268">
          <cell r="H15268" t="str">
            <v>SL020.0G1W001</v>
          </cell>
          <cell r="I15268" t="str">
            <v>20 GL 1X WK 1</v>
          </cell>
        </row>
        <row r="15269">
          <cell r="H15269" t="str">
            <v>SL065.0G1W001WREC</v>
          </cell>
          <cell r="I15269" t="str">
            <v>65 GL 1X WK W/RECY 1</v>
          </cell>
        </row>
        <row r="15270">
          <cell r="H15270" t="str">
            <v>SL095.0G1W001WREC</v>
          </cell>
          <cell r="I15270" t="str">
            <v>95 GL 1X WK W/RECY 1</v>
          </cell>
        </row>
        <row r="15271">
          <cell r="H15271" t="str">
            <v>EXTRA-RES</v>
          </cell>
          <cell r="I15271" t="str">
            <v>EXTRA CAN, BAG, BOX - RES</v>
          </cell>
        </row>
        <row r="15272">
          <cell r="H15272" t="str">
            <v>GWRES</v>
          </cell>
          <cell r="I15272" t="str">
            <v>GREENWASTE SERVICE - RES</v>
          </cell>
        </row>
        <row r="15273">
          <cell r="H15273" t="str">
            <v>OC-RES</v>
          </cell>
          <cell r="I15273" t="str">
            <v>ON CALL SERVICE - RES</v>
          </cell>
        </row>
        <row r="15274">
          <cell r="H15274" t="str">
            <v>OW-RES</v>
          </cell>
          <cell r="I15274" t="str">
            <v>OVERFILL / OVERWEIGHT CAN</v>
          </cell>
        </row>
        <row r="15275">
          <cell r="H15275" t="str">
            <v>REINSTATE-RES</v>
          </cell>
          <cell r="I15275" t="str">
            <v>REINSTATE FEE - RES</v>
          </cell>
        </row>
        <row r="15276">
          <cell r="H15276" t="str">
            <v>S45G1W1</v>
          </cell>
          <cell r="I15276" t="str">
            <v>45 GL 1X WK 1</v>
          </cell>
        </row>
        <row r="15277">
          <cell r="H15277" t="str">
            <v>S45G1W2</v>
          </cell>
          <cell r="I15277" t="str">
            <v>45 GL 1X WK 2</v>
          </cell>
        </row>
        <row r="15278">
          <cell r="H15278" t="str">
            <v>SL045.0G1W001REC</v>
          </cell>
          <cell r="I15278" t="str">
            <v>45 GL 1X WK RECYCLE 1</v>
          </cell>
        </row>
        <row r="15279">
          <cell r="H15279" t="str">
            <v>SL095.0G1W001WREC</v>
          </cell>
          <cell r="I15279" t="str">
            <v>95 GL 1X WK W/RECY 1</v>
          </cell>
        </row>
        <row r="15280">
          <cell r="H15280" t="str">
            <v>TIME-RES</v>
          </cell>
          <cell r="I15280" t="str">
            <v>TIME FEE 1 - RES</v>
          </cell>
        </row>
        <row r="15281">
          <cell r="H15281" t="str">
            <v>OW-RES</v>
          </cell>
          <cell r="I15281" t="str">
            <v>OVERFILL / OVERWEIGHT CAN</v>
          </cell>
        </row>
        <row r="15282">
          <cell r="H15282" t="str">
            <v>LIDRO</v>
          </cell>
          <cell r="I15282" t="str">
            <v>LID CHARGE - RO</v>
          </cell>
        </row>
        <row r="15283">
          <cell r="H15283" t="str">
            <v>RENT30MO-RO</v>
          </cell>
          <cell r="I15283" t="str">
            <v>RENTAL FEE 30 YD MONTHLY</v>
          </cell>
        </row>
        <row r="15284">
          <cell r="H15284" t="str">
            <v>RENT40MO-RO</v>
          </cell>
          <cell r="I15284" t="str">
            <v>RENTAL FEE 40 YD MONTHLY</v>
          </cell>
        </row>
        <row r="15285">
          <cell r="H15285" t="str">
            <v>CLEAN25-RO</v>
          </cell>
          <cell r="I15285" t="str">
            <v>CLEANING FEE 25 YD - RO</v>
          </cell>
        </row>
        <row r="15286">
          <cell r="H15286" t="str">
            <v>DEL30TEMP-RO</v>
          </cell>
          <cell r="I15286" t="str">
            <v>DELIVERY FEE 30 YD TEMP -</v>
          </cell>
        </row>
        <row r="15287">
          <cell r="H15287" t="str">
            <v>DISCO-CP</v>
          </cell>
          <cell r="I15287" t="str">
            <v xml:space="preserve">COMPACTOR DISCONNECT FEE </v>
          </cell>
        </row>
        <row r="15288">
          <cell r="H15288" t="str">
            <v>DISP-RO</v>
          </cell>
          <cell r="I15288" t="str">
            <v>DISPOSAL CHARGE - RO</v>
          </cell>
        </row>
        <row r="15289">
          <cell r="H15289" t="str">
            <v>DISPTRANS-RO</v>
          </cell>
          <cell r="I15289" t="str">
            <v>DISPOSAL FEE TRANSFER HAU</v>
          </cell>
        </row>
        <row r="15290">
          <cell r="H15290" t="str">
            <v>HAUL20-CP</v>
          </cell>
          <cell r="I15290" t="str">
            <v>COMPACTOR HAUL 20 YD - RO</v>
          </cell>
        </row>
        <row r="15291">
          <cell r="H15291" t="str">
            <v>HAUL25-CP</v>
          </cell>
          <cell r="I15291" t="str">
            <v>COMPACTOR HAUL 25 YD - RO</v>
          </cell>
        </row>
        <row r="15292">
          <cell r="H15292" t="str">
            <v>HAUL30-RO</v>
          </cell>
          <cell r="I15292" t="str">
            <v>HAUL 30 YD - RO</v>
          </cell>
        </row>
        <row r="15293">
          <cell r="H15293" t="str">
            <v>HAUL40-CP</v>
          </cell>
          <cell r="I15293" t="str">
            <v>COMPACTOR HAUL 40 YD</v>
          </cell>
        </row>
        <row r="15294">
          <cell r="H15294" t="str">
            <v>HAUL40-RO</v>
          </cell>
          <cell r="I15294" t="str">
            <v>HAUL 40 YD - RO</v>
          </cell>
        </row>
        <row r="15295">
          <cell r="H15295" t="str">
            <v>MILE-RO</v>
          </cell>
          <cell r="I15295" t="str">
            <v>MILEAGE FEE - RO</v>
          </cell>
        </row>
        <row r="15296">
          <cell r="H15296" t="str">
            <v>RENT30TEMP-RO</v>
          </cell>
          <cell r="I15296" t="str">
            <v>RENTAL FEE 30 YD TEMP - R</v>
          </cell>
        </row>
        <row r="15297">
          <cell r="H15297" t="str">
            <v>RTRNTRIP-RO</v>
          </cell>
          <cell r="I15297" t="str">
            <v>RETURN TRIP FEE - RO</v>
          </cell>
        </row>
        <row r="15298">
          <cell r="H15298" t="str">
            <v>DISPGLASS-RO</v>
          </cell>
          <cell r="I15298" t="str">
            <v>DISPOSAL FEE GLASS - RO</v>
          </cell>
        </row>
        <row r="15299">
          <cell r="H15299" t="str">
            <v>DISPOCC-RO</v>
          </cell>
          <cell r="I15299" t="str">
            <v xml:space="preserve">DISPOSAL FEE CARDBOARD - </v>
          </cell>
        </row>
        <row r="15300">
          <cell r="H15300" t="str">
            <v>HAUL30-RO</v>
          </cell>
          <cell r="I15300" t="str">
            <v>HAUL 30 YD - RO</v>
          </cell>
        </row>
        <row r="15301">
          <cell r="H15301" t="str">
            <v>COMMODITY SURCHARGE</v>
          </cell>
          <cell r="I15301" t="str">
            <v>COMMODITY SURCHARGE</v>
          </cell>
        </row>
        <row r="15302">
          <cell r="H15302" t="str">
            <v>COMMODITY SURCHARGE</v>
          </cell>
          <cell r="I15302" t="str">
            <v>COMMODITY SURCHARGE</v>
          </cell>
        </row>
        <row r="15303">
          <cell r="H15303" t="str">
            <v>DUPONT CITY UTILITY TAX</v>
          </cell>
          <cell r="I15303" t="str">
            <v>8% CITY UTILITY TAX</v>
          </cell>
        </row>
        <row r="15304">
          <cell r="H15304" t="str">
            <v>DUPONT REFUSE TAX</v>
          </cell>
          <cell r="I15304" t="str">
            <v>3.6% WA STATE REFUSE TAX</v>
          </cell>
        </row>
        <row r="15305">
          <cell r="H15305" t="str">
            <v>DUPONT CITY ONLY</v>
          </cell>
          <cell r="I15305" t="str">
            <v>8% CITY UTILITY TAX</v>
          </cell>
        </row>
        <row r="15306">
          <cell r="H15306" t="str">
            <v>DUPONT CITY UTILITY TAX</v>
          </cell>
          <cell r="I15306" t="str">
            <v>8% CITY UTILITY TAX</v>
          </cell>
        </row>
        <row r="15307">
          <cell r="H15307" t="str">
            <v>DUPONT REFUSE TAX</v>
          </cell>
          <cell r="I15307" t="str">
            <v>3.6% WA STATE REFUSE TAX</v>
          </cell>
        </row>
        <row r="15308">
          <cell r="H15308" t="str">
            <v>DUPONT STATE SALES TAX</v>
          </cell>
          <cell r="I15308" t="str">
            <v>9.3% WA STATE SALES TAX</v>
          </cell>
        </row>
        <row r="15309">
          <cell r="H15309" t="str">
            <v>DUPONT CITY UTILITY TAX</v>
          </cell>
          <cell r="I15309" t="str">
            <v>8% CITY UTILITY TAX</v>
          </cell>
        </row>
        <row r="15310">
          <cell r="H15310" t="str">
            <v>DUPONT REFUSE TAX</v>
          </cell>
          <cell r="I15310" t="str">
            <v>3.6% WA STATE REFUSE TAX</v>
          </cell>
        </row>
        <row r="15311">
          <cell r="H15311" t="str">
            <v>DUPONT STATE SALES TAX</v>
          </cell>
          <cell r="I15311" t="str">
            <v>9.3% WA STATE SALES TAX</v>
          </cell>
        </row>
        <row r="15312">
          <cell r="H15312" t="str">
            <v>DUPONT CITY ONLY</v>
          </cell>
          <cell r="I15312" t="str">
            <v>8% CITY UTILITY TAX</v>
          </cell>
        </row>
        <row r="15313">
          <cell r="H15313" t="str">
            <v>DUPONT CITY UTILITY TAX</v>
          </cell>
          <cell r="I15313" t="str">
            <v>8% CITY UTILITY TAX</v>
          </cell>
        </row>
        <row r="15314">
          <cell r="H15314" t="str">
            <v>DUPONT REFUSE TAX</v>
          </cell>
          <cell r="I15314" t="str">
            <v>3.6% WA STATE REFUSE TAX</v>
          </cell>
        </row>
        <row r="15315">
          <cell r="H15315" t="str">
            <v>DUPONT CITY UTILITY TAX</v>
          </cell>
          <cell r="I15315" t="str">
            <v>8% CITY UTILITY TAX</v>
          </cell>
        </row>
        <row r="15316">
          <cell r="H15316" t="str">
            <v>DUPONT REFUSE TAX</v>
          </cell>
          <cell r="I15316" t="str">
            <v>3.6% WA STATE REFUSE TAX</v>
          </cell>
        </row>
        <row r="15317">
          <cell r="H15317" t="str">
            <v>DUPONT CITY ONLY</v>
          </cell>
          <cell r="I15317" t="str">
            <v>8% CITY UTILITY TAX</v>
          </cell>
        </row>
        <row r="15318">
          <cell r="H15318" t="str">
            <v>DUPONT CITY UTILITY TAX</v>
          </cell>
          <cell r="I15318" t="str">
            <v>8% CITY UTILITY TAX</v>
          </cell>
        </row>
        <row r="15319">
          <cell r="H15319" t="str">
            <v>DUPONT REFUSE TAX</v>
          </cell>
          <cell r="I15319" t="str">
            <v>3.6% WA STATE REFUSE TAX</v>
          </cell>
        </row>
        <row r="15320">
          <cell r="H15320" t="str">
            <v>DUPONT STATE SALES TAX</v>
          </cell>
          <cell r="I15320" t="str">
            <v>9.3% WA STATE SALES TAX</v>
          </cell>
        </row>
        <row r="15321">
          <cell r="H15321" t="str">
            <v>DUPONT CITY UTILITY TAX</v>
          </cell>
          <cell r="I15321" t="str">
            <v>8% CITY UTILITY TAX</v>
          </cell>
        </row>
        <row r="15322">
          <cell r="H15322" t="str">
            <v>DUPONT REFUSE TAX</v>
          </cell>
          <cell r="I15322" t="str">
            <v>3.6% WA STATE REFUSE TAX</v>
          </cell>
        </row>
        <row r="15323">
          <cell r="H15323" t="str">
            <v>FINCHG</v>
          </cell>
          <cell r="I15323" t="str">
            <v>LATE FEE</v>
          </cell>
        </row>
        <row r="15324">
          <cell r="H15324" t="str">
            <v>FINCHG</v>
          </cell>
          <cell r="I15324" t="str">
            <v>LATE FEE</v>
          </cell>
        </row>
        <row r="15325">
          <cell r="H15325" t="str">
            <v>ACCESS-COMM</v>
          </cell>
          <cell r="I15325" t="str">
            <v>ACCESS FEE - COMM</v>
          </cell>
        </row>
        <row r="15326">
          <cell r="H15326" t="str">
            <v>DONATIONC</v>
          </cell>
          <cell r="I15326" t="str">
            <v>DONATED SERVICE COMM</v>
          </cell>
        </row>
        <row r="15327">
          <cell r="H15327" t="str">
            <v>FL001.0Y1W001</v>
          </cell>
          <cell r="I15327" t="str">
            <v>1 YD 1X WK 1</v>
          </cell>
        </row>
        <row r="15328">
          <cell r="H15328" t="str">
            <v>FL001.0Y2W001</v>
          </cell>
          <cell r="I15328" t="str">
            <v>1 YD 2X WK 1</v>
          </cell>
        </row>
        <row r="15329">
          <cell r="H15329" t="str">
            <v>FL001.5Y1W001</v>
          </cell>
          <cell r="I15329" t="str">
            <v>1.5 YD 1X WK 1</v>
          </cell>
        </row>
        <row r="15330">
          <cell r="H15330" t="str">
            <v>FL001.5Y2W001</v>
          </cell>
          <cell r="I15330" t="str">
            <v>1.5 YD 2X WK 1</v>
          </cell>
        </row>
        <row r="15331">
          <cell r="H15331" t="str">
            <v>FL002.0Y1W001</v>
          </cell>
          <cell r="I15331" t="str">
            <v>2 YD 1X WK 1</v>
          </cell>
        </row>
        <row r="15332">
          <cell r="H15332" t="str">
            <v>FL002.0Y2W001</v>
          </cell>
          <cell r="I15332" t="str">
            <v>2 YD 2X WK 1</v>
          </cell>
        </row>
        <row r="15333">
          <cell r="H15333" t="str">
            <v>GWCOMM</v>
          </cell>
          <cell r="I15333" t="str">
            <v>GREENWASTE SERVICE - COMM</v>
          </cell>
        </row>
        <row r="15334">
          <cell r="H15334" t="str">
            <v>RL001.0Y1W001</v>
          </cell>
          <cell r="I15334" t="str">
            <v>1 YD 1X WK 1</v>
          </cell>
        </row>
        <row r="15335">
          <cell r="H15335" t="str">
            <v>RL002.0Y1W001</v>
          </cell>
          <cell r="I15335" t="str">
            <v>2 YD 1X WK 1</v>
          </cell>
        </row>
        <row r="15336">
          <cell r="H15336" t="str">
            <v>SL035.0G1M001WRECC</v>
          </cell>
          <cell r="I15336" t="str">
            <v>35 GL 1X MO W/RECY COMM 1</v>
          </cell>
        </row>
        <row r="15337">
          <cell r="H15337" t="str">
            <v>SL065.0G1M001WRECC</v>
          </cell>
          <cell r="I15337" t="str">
            <v>65 GL 1X MO W/RECY COMM 1</v>
          </cell>
        </row>
        <row r="15338">
          <cell r="H15338" t="str">
            <v>SL065.0G1W001WRECC</v>
          </cell>
          <cell r="I15338" t="str">
            <v>65 GL 1X WK W/RECY COMM 1</v>
          </cell>
        </row>
        <row r="15339">
          <cell r="H15339" t="str">
            <v>SL065.0GEO001WRECC</v>
          </cell>
          <cell r="I15339" t="str">
            <v>65 GL EOW W/RECY COMM 1</v>
          </cell>
        </row>
        <row r="15340">
          <cell r="H15340" t="str">
            <v>SL095.0G1W001NORECC</v>
          </cell>
          <cell r="I15340" t="str">
            <v xml:space="preserve">95 GL 1X WK NO RECY COMM </v>
          </cell>
        </row>
        <row r="15341">
          <cell r="H15341" t="str">
            <v>SL095.0G1W001WRECC</v>
          </cell>
          <cell r="I15341" t="str">
            <v>95 GL 1X WK W/RECY COMM 1</v>
          </cell>
        </row>
        <row r="15342">
          <cell r="H15342" t="str">
            <v>SL095.0GEO001WRECC</v>
          </cell>
          <cell r="I15342" t="str">
            <v>95 GL EOW W/RECY COMM 1</v>
          </cell>
        </row>
        <row r="15343">
          <cell r="H15343" t="str">
            <v>CLEAN-COMM</v>
          </cell>
          <cell r="I15343" t="str">
            <v xml:space="preserve">CONTAINER CLEANING FEE - </v>
          </cell>
        </row>
        <row r="15344">
          <cell r="H15344" t="str">
            <v>EXTRA-COMM</v>
          </cell>
          <cell r="I15344" t="str">
            <v>EXTRA CAN, BAG, BOX - COM</v>
          </cell>
        </row>
        <row r="15345">
          <cell r="H15345" t="str">
            <v>FL002.0YXX001TEMPC</v>
          </cell>
          <cell r="I15345" t="str">
            <v xml:space="preserve">2 YD TEMP </v>
          </cell>
        </row>
        <row r="15346">
          <cell r="H15346" t="str">
            <v>RENT2TEMP-COMM</v>
          </cell>
          <cell r="I15346" t="str">
            <v>RENT 2 YD TEMP - COMM</v>
          </cell>
        </row>
        <row r="15347">
          <cell r="H15347" t="str">
            <v>ACCESSCREC-COMM</v>
          </cell>
          <cell r="I15347" t="str">
            <v>ACCESS FEE COMM RECY - CO</v>
          </cell>
        </row>
        <row r="15348">
          <cell r="H15348" t="str">
            <v>FL002.0Y1W001BCMGL</v>
          </cell>
          <cell r="I15348" t="str">
            <v>2 YD 1X WK BUS CMGL 1</v>
          </cell>
        </row>
        <row r="15349">
          <cell r="H15349" t="str">
            <v>FL002.0Y1W001BOCC</v>
          </cell>
          <cell r="I15349" t="str">
            <v>2 YD 1X WK BUS OCC 1</v>
          </cell>
        </row>
        <row r="15350">
          <cell r="H15350" t="str">
            <v>FL002.0Y2W001SCMGL</v>
          </cell>
          <cell r="I15350" t="str">
            <v>2 YD 2X WK SCHL CMGL 1</v>
          </cell>
        </row>
        <row r="15351">
          <cell r="H15351" t="str">
            <v>FL005.0Y1W001BOCC</v>
          </cell>
          <cell r="I15351" t="str">
            <v>5 YD 1X WK BUS OCC 1</v>
          </cell>
        </row>
        <row r="15352">
          <cell r="H15352" t="str">
            <v>FL006.0Y1W001SCMGL</v>
          </cell>
          <cell r="I15352" t="str">
            <v>6 YD 1X WK SCHL CMGL 1</v>
          </cell>
        </row>
        <row r="15353">
          <cell r="H15353" t="str">
            <v>SL096.0GEO001BCMGLIN</v>
          </cell>
          <cell r="I15353" t="str">
            <v>96 GL EOW BUS CMGL IN</v>
          </cell>
        </row>
        <row r="15354">
          <cell r="H15354" t="str">
            <v>SL096.0GEO001BCMGLOUT</v>
          </cell>
          <cell r="I15354" t="str">
            <v>96 GL EOW BUS CMGL OUT</v>
          </cell>
        </row>
        <row r="15355">
          <cell r="H15355" t="str">
            <v>SL096.0GEO001SCMGLOUT</v>
          </cell>
          <cell r="I15355" t="str">
            <v>96 GL EOW SCHL CMGL OUT</v>
          </cell>
        </row>
        <row r="15356">
          <cell r="H15356" t="str">
            <v>PAYPNCL</v>
          </cell>
          <cell r="I15356" t="str">
            <v>PAYMENT THANK YOU!</v>
          </cell>
        </row>
        <row r="15357">
          <cell r="H15357" t="str">
            <v>GWRES</v>
          </cell>
          <cell r="I15357" t="str">
            <v>GREENWASTE SERVICE - RES</v>
          </cell>
        </row>
        <row r="15358">
          <cell r="H15358" t="str">
            <v>RECBINONLYR</v>
          </cell>
          <cell r="I15358" t="str">
            <v>RECYCLE SERVICE ONLY</v>
          </cell>
        </row>
        <row r="15359">
          <cell r="H15359" t="str">
            <v>SL035.0G1M001WREC</v>
          </cell>
          <cell r="I15359" t="str">
            <v>35 GL 1X MO W/RECY 1</v>
          </cell>
        </row>
        <row r="15360">
          <cell r="H15360" t="str">
            <v>SL065.0G1M001NOREC</v>
          </cell>
          <cell r="I15360" t="str">
            <v>65 GL 1X MO NO RECY 1</v>
          </cell>
        </row>
        <row r="15361">
          <cell r="H15361" t="str">
            <v>SL065.0G1M001WREC</v>
          </cell>
          <cell r="I15361" t="str">
            <v>65 GL 1X MO W/RECY 1</v>
          </cell>
        </row>
        <row r="15362">
          <cell r="H15362" t="str">
            <v>SL065.0G1W001WREC</v>
          </cell>
          <cell r="I15362" t="str">
            <v>65 GL 1X WK W/RECY 1</v>
          </cell>
        </row>
        <row r="15363">
          <cell r="H15363" t="str">
            <v>SL065.0GEO001</v>
          </cell>
          <cell r="I15363" t="str">
            <v>65 GL EOW 1</v>
          </cell>
        </row>
        <row r="15364">
          <cell r="H15364" t="str">
            <v>SL065.0GEO001WREC</v>
          </cell>
          <cell r="I15364" t="str">
            <v>65 GL EOW W/RECY 1</v>
          </cell>
        </row>
        <row r="15365">
          <cell r="H15365" t="str">
            <v>SL095.0G1W001WREC</v>
          </cell>
          <cell r="I15365" t="str">
            <v>95 GL 1X WK W/RECY 1</v>
          </cell>
        </row>
        <row r="15366">
          <cell r="H15366" t="str">
            <v>SL095.0GEO001</v>
          </cell>
          <cell r="I15366" t="str">
            <v>95 GL EOW 1</v>
          </cell>
        </row>
        <row r="15367">
          <cell r="H15367" t="str">
            <v>SL095.0GEO001WREC</v>
          </cell>
          <cell r="I15367" t="str">
            <v>95 GL EOW W/RECY 1</v>
          </cell>
        </row>
        <row r="15368">
          <cell r="H15368" t="str">
            <v>EXTRA-RES</v>
          </cell>
          <cell r="I15368" t="str">
            <v>EXTRA CAN, BAG, BOX - RES</v>
          </cell>
        </row>
        <row r="15369">
          <cell r="H15369" t="str">
            <v>EXTRAGWC-RES</v>
          </cell>
          <cell r="I15369" t="str">
            <v>EXTRA GREENWASTE FEE - RE</v>
          </cell>
        </row>
        <row r="15370">
          <cell r="H15370" t="str">
            <v>OW-RES</v>
          </cell>
          <cell r="I15370" t="str">
            <v>OVERFILL / OVERWEIGHT CAN</v>
          </cell>
        </row>
        <row r="15371">
          <cell r="H15371" t="str">
            <v>DONATIONRO</v>
          </cell>
          <cell r="I15371" t="str">
            <v>DONATED SERVICE ROLL OFF</v>
          </cell>
        </row>
        <row r="15372">
          <cell r="H15372" t="str">
            <v>LIDRO</v>
          </cell>
          <cell r="I15372" t="str">
            <v>LID CHARGE - RO</v>
          </cell>
        </row>
        <row r="15373">
          <cell r="H15373" t="str">
            <v>RENT20MO-RO</v>
          </cell>
          <cell r="I15373" t="str">
            <v>RENTAL FEE 20 YD MONTHLY</v>
          </cell>
        </row>
        <row r="15374">
          <cell r="H15374" t="str">
            <v>RENT30MO-RO</v>
          </cell>
          <cell r="I15374" t="str">
            <v>RENTAL FEE 30 YD MONTHLY</v>
          </cell>
        </row>
        <row r="15375">
          <cell r="H15375" t="str">
            <v>RENT40MO-RO</v>
          </cell>
          <cell r="I15375" t="str">
            <v>RENTAL FEE 40 YD MONTHLY</v>
          </cell>
        </row>
        <row r="15376">
          <cell r="H15376" t="str">
            <v>DEL40-RO</v>
          </cell>
          <cell r="I15376" t="str">
            <v>DELIVERY FEE 40 YD - RO</v>
          </cell>
        </row>
        <row r="15377">
          <cell r="H15377" t="str">
            <v>DISCO-CP</v>
          </cell>
          <cell r="I15377" t="str">
            <v xml:space="preserve">COMPACTOR DISCONNECT FEE </v>
          </cell>
        </row>
        <row r="15378">
          <cell r="H15378" t="str">
            <v>DISP-RO</v>
          </cell>
          <cell r="I15378" t="str">
            <v>DISPOSAL CHARGE - RO</v>
          </cell>
        </row>
        <row r="15379">
          <cell r="H15379" t="str">
            <v>DISPGLASS-RO</v>
          </cell>
          <cell r="I15379" t="str">
            <v>DISPOSAL FEE GLASS - RO</v>
          </cell>
        </row>
        <row r="15380">
          <cell r="H15380" t="str">
            <v>DISPOCC-RO</v>
          </cell>
          <cell r="I15380" t="str">
            <v xml:space="preserve">DISPOSAL FEE CARDBOARD - </v>
          </cell>
        </row>
        <row r="15381">
          <cell r="H15381" t="str">
            <v>HAUL20-RO</v>
          </cell>
          <cell r="I15381" t="str">
            <v>HAUL 20 YD - RO</v>
          </cell>
        </row>
        <row r="15382">
          <cell r="H15382" t="str">
            <v>HAUL30-CP</v>
          </cell>
          <cell r="I15382" t="str">
            <v>COMPACTOR HAUL 30 YD</v>
          </cell>
        </row>
        <row r="15383">
          <cell r="H15383" t="str">
            <v>HAUL30-RO</v>
          </cell>
          <cell r="I15383" t="str">
            <v>HAUL 30 YD - RO</v>
          </cell>
        </row>
        <row r="15384">
          <cell r="H15384" t="str">
            <v>HAUL40-RO</v>
          </cell>
          <cell r="I15384" t="str">
            <v>HAUL 40 YD - RO</v>
          </cell>
        </row>
        <row r="15385">
          <cell r="H15385" t="str">
            <v>MILE-RO</v>
          </cell>
          <cell r="I15385" t="str">
            <v>MILEAGE FEE - RO</v>
          </cell>
        </row>
        <row r="15386">
          <cell r="H15386" t="str">
            <v>COMMODITY SURCHARGE</v>
          </cell>
          <cell r="I15386" t="str">
            <v>COMMODITY SURCHARGE</v>
          </cell>
        </row>
        <row r="15387">
          <cell r="H15387" t="str">
            <v>PIERCE COUNTY REFUSE TAX</v>
          </cell>
          <cell r="I15387" t="str">
            <v>3.6% PIERCE COUNTY REFUSE</v>
          </cell>
        </row>
        <row r="15388">
          <cell r="H15388" t="str">
            <v>PIERCE COUNTY SALES TAX</v>
          </cell>
          <cell r="I15388" t="str">
            <v>7.9% WA STATE SALES TAX</v>
          </cell>
        </row>
        <row r="15389">
          <cell r="H15389" t="str">
            <v>PIERCE COUNTY REFUSE TAX</v>
          </cell>
          <cell r="I15389" t="str">
            <v>3.6% PIERCE COUNTY REFUSE</v>
          </cell>
        </row>
        <row r="15390">
          <cell r="H15390" t="str">
            <v>PIERCE COUNTY SALES TAX</v>
          </cell>
          <cell r="I15390" t="str">
            <v>7.9% WA STATE SALES TAX</v>
          </cell>
        </row>
        <row r="15391">
          <cell r="H15391" t="str">
            <v>FINCHG</v>
          </cell>
          <cell r="I15391" t="str">
            <v>LATE FEE</v>
          </cell>
        </row>
        <row r="15392">
          <cell r="H15392" t="str">
            <v>FINCHG</v>
          </cell>
          <cell r="I15392" t="str">
            <v>LATE FEE</v>
          </cell>
        </row>
        <row r="15393">
          <cell r="H15393" t="str">
            <v>ACCESS-COMM</v>
          </cell>
          <cell r="I15393" t="str">
            <v>ACCESS FEE - COMM</v>
          </cell>
        </row>
        <row r="15394">
          <cell r="H15394" t="str">
            <v>FL001.0Y1W001</v>
          </cell>
          <cell r="I15394" t="str">
            <v>1 YD 1X WK 1</v>
          </cell>
        </row>
        <row r="15395">
          <cell r="H15395" t="str">
            <v>FL001.5Y1W001</v>
          </cell>
          <cell r="I15395" t="str">
            <v>1.5 YD 1X WK 1</v>
          </cell>
        </row>
        <row r="15396">
          <cell r="H15396" t="str">
            <v>FL001.5Y2W001</v>
          </cell>
          <cell r="I15396" t="str">
            <v>1.5 YD 2X WK 1</v>
          </cell>
        </row>
        <row r="15397">
          <cell r="H15397" t="str">
            <v>FL001.5Y3W001</v>
          </cell>
          <cell r="I15397" t="str">
            <v>1.5 YD 3X WK 1</v>
          </cell>
        </row>
        <row r="15398">
          <cell r="H15398" t="str">
            <v>FL001.5Y4W001</v>
          </cell>
          <cell r="I15398" t="str">
            <v>1.5 YD 4X WK 1</v>
          </cell>
        </row>
        <row r="15399">
          <cell r="H15399" t="str">
            <v>FL001.5Y5W001</v>
          </cell>
          <cell r="I15399" t="str">
            <v>1.5 YD 5X WK 1</v>
          </cell>
        </row>
        <row r="15400">
          <cell r="H15400" t="str">
            <v>FL002.0Y1W001</v>
          </cell>
          <cell r="I15400" t="str">
            <v>2 YD 1X WK 1</v>
          </cell>
        </row>
        <row r="15401">
          <cell r="H15401" t="str">
            <v>FL002.0Y3W001</v>
          </cell>
          <cell r="I15401" t="str">
            <v>2 YD 3X WK 1</v>
          </cell>
        </row>
        <row r="15402">
          <cell r="H15402" t="str">
            <v>FL002.0Y5W001</v>
          </cell>
          <cell r="I15402" t="str">
            <v>2 YD 5X WK 1</v>
          </cell>
        </row>
        <row r="15403">
          <cell r="H15403" t="str">
            <v>FL003.0Y1W001</v>
          </cell>
          <cell r="I15403" t="str">
            <v>3 YD 1X WK 1</v>
          </cell>
        </row>
        <row r="15404">
          <cell r="H15404" t="str">
            <v>FL003.0Y2W001</v>
          </cell>
          <cell r="I15404" t="str">
            <v>3 YD 2X WK 1</v>
          </cell>
        </row>
        <row r="15405">
          <cell r="H15405" t="str">
            <v>FL004.0Y1W001</v>
          </cell>
          <cell r="I15405" t="str">
            <v>4 YD 1X WK 1</v>
          </cell>
        </row>
        <row r="15406">
          <cell r="H15406" t="str">
            <v>FL006.0Y1W001</v>
          </cell>
          <cell r="I15406" t="str">
            <v>6 YD 1X WK 1</v>
          </cell>
        </row>
        <row r="15407">
          <cell r="H15407" t="str">
            <v>FL006.0Y2W001</v>
          </cell>
          <cell r="I15407" t="str">
            <v>6 YD 2X WK 1</v>
          </cell>
        </row>
        <row r="15408">
          <cell r="H15408" t="str">
            <v>FL006.0Y3W001</v>
          </cell>
          <cell r="I15408" t="str">
            <v>6 YD 3X WK 1</v>
          </cell>
        </row>
        <row r="15409">
          <cell r="H15409" t="str">
            <v>SL065.0G1W001NORECC</v>
          </cell>
          <cell r="I15409" t="str">
            <v xml:space="preserve">65 GL 1X WK NO RECY COMM </v>
          </cell>
        </row>
        <row r="15410">
          <cell r="H15410" t="str">
            <v>SL065.0G1W001WRECC</v>
          </cell>
          <cell r="I15410" t="str">
            <v>65 GL 1X WK W/RECY COMM 1</v>
          </cell>
        </row>
        <row r="15411">
          <cell r="H15411" t="str">
            <v>SL095.0G1W001NORECC</v>
          </cell>
          <cell r="I15411" t="str">
            <v xml:space="preserve">95 GL 1X WK NO RECY COMM </v>
          </cell>
        </row>
        <row r="15412">
          <cell r="H15412" t="str">
            <v>EXTRA-COMM</v>
          </cell>
          <cell r="I15412" t="str">
            <v>EXTRA CAN, BAG, BOX - COM</v>
          </cell>
        </row>
        <row r="15413">
          <cell r="H15413" t="str">
            <v>EXTRAYDG-COM</v>
          </cell>
          <cell r="I15413" t="str">
            <v>EXTRA YARDAGE - COMM</v>
          </cell>
        </row>
        <row r="15414">
          <cell r="H15414" t="str">
            <v>FL006.0YXX001TEMPC</v>
          </cell>
          <cell r="I15414" t="str">
            <v>6 YD TEMP 1</v>
          </cell>
        </row>
        <row r="15415">
          <cell r="H15415" t="str">
            <v>FL002.0Y1W001BCMGL</v>
          </cell>
          <cell r="I15415" t="str">
            <v>2 YD 1X WK BUS CMGL 1</v>
          </cell>
        </row>
        <row r="15416">
          <cell r="H15416" t="str">
            <v>FL002.0Y1W001BOCC</v>
          </cell>
          <cell r="I15416" t="str">
            <v>2 YD 1X WK BUS OCC 1</v>
          </cell>
        </row>
        <row r="15417">
          <cell r="H15417" t="str">
            <v>FL002.0Y2W001BCMGL</v>
          </cell>
          <cell r="I15417" t="str">
            <v>2 YD 2X WK BUS CMGL 1</v>
          </cell>
        </row>
        <row r="15418">
          <cell r="H15418" t="str">
            <v>FL004.0Y1W001CMGL</v>
          </cell>
          <cell r="I15418" t="str">
            <v>4 YD 1X WK BUS CMGL 1</v>
          </cell>
        </row>
        <row r="15419">
          <cell r="H15419" t="str">
            <v>FL004.0Y2W001CMGL</v>
          </cell>
          <cell r="I15419" t="str">
            <v>4 YD 2X WK BUS CMGL 1</v>
          </cell>
        </row>
        <row r="15420">
          <cell r="H15420" t="str">
            <v>FL005.0Y1W001BOCC</v>
          </cell>
          <cell r="I15420" t="str">
            <v>5 YD 1X WK BUS OCC 1</v>
          </cell>
        </row>
        <row r="15421">
          <cell r="H15421" t="str">
            <v>FL005.0Y2W001BOCC</v>
          </cell>
          <cell r="I15421" t="str">
            <v>5 YD 2X WK BUS OCC 1</v>
          </cell>
        </row>
        <row r="15422">
          <cell r="H15422" t="str">
            <v>FL006.0Y1W001BCMGL</v>
          </cell>
          <cell r="I15422" t="str">
            <v>6 YD 1X WK BUS COMINGLE 1</v>
          </cell>
        </row>
        <row r="15423">
          <cell r="H15423" t="str">
            <v>SL096.0GEO001BCMGLOUT</v>
          </cell>
          <cell r="I15423" t="str">
            <v>96 GL EOW BUS CMGL OUT</v>
          </cell>
        </row>
        <row r="15424">
          <cell r="H15424" t="str">
            <v>CC-KOL</v>
          </cell>
          <cell r="I15424" t="str">
            <v>ONLINE PAYMENT-CC</v>
          </cell>
        </row>
        <row r="15425">
          <cell r="H15425" t="str">
            <v>PAY</v>
          </cell>
          <cell r="I15425" t="str">
            <v>PAYMENT THANK YOU</v>
          </cell>
        </row>
        <row r="15426">
          <cell r="H15426" t="str">
            <v>PAY-KOL</v>
          </cell>
          <cell r="I15426" t="str">
            <v>PAYMENT-THANK YOU - OL</v>
          </cell>
        </row>
        <row r="15427">
          <cell r="H15427" t="str">
            <v>PAY-NATL</v>
          </cell>
          <cell r="I15427" t="str">
            <v>PAYMENT THANK YOU</v>
          </cell>
        </row>
        <row r="15428">
          <cell r="H15428" t="str">
            <v>PAYEFT</v>
          </cell>
          <cell r="I15428" t="str">
            <v>EFT PAYMENT</v>
          </cell>
        </row>
        <row r="15429">
          <cell r="H15429" t="str">
            <v>PAYPNCL</v>
          </cell>
          <cell r="I15429" t="str">
            <v>PAYMENT THANK YOU!</v>
          </cell>
        </row>
        <row r="15430">
          <cell r="H15430" t="str">
            <v>OW-RES</v>
          </cell>
          <cell r="I15430" t="str">
            <v>OVERFILL / OVERWEIGHT CAN</v>
          </cell>
        </row>
        <row r="15431">
          <cell r="H15431" t="str">
            <v>LIDRO</v>
          </cell>
          <cell r="I15431" t="str">
            <v>LID CHARGE - RO</v>
          </cell>
        </row>
        <row r="15432">
          <cell r="H15432" t="str">
            <v>RENT20MO-RO</v>
          </cell>
          <cell r="I15432" t="str">
            <v>RENTAL FEE 20 YD MONTHLY</v>
          </cell>
        </row>
        <row r="15433">
          <cell r="H15433" t="str">
            <v>RENT30MO-RO</v>
          </cell>
          <cell r="I15433" t="str">
            <v>RENTAL FEE 30 YD MONTHLY</v>
          </cell>
        </row>
        <row r="15434">
          <cell r="H15434" t="str">
            <v>RENT40MO-RO</v>
          </cell>
          <cell r="I15434" t="str">
            <v>RENTAL FEE 40 YD MONTHLY</v>
          </cell>
        </row>
        <row r="15435">
          <cell r="H15435" t="str">
            <v>CLEAN20-RO</v>
          </cell>
          <cell r="I15435" t="str">
            <v>CLEANING FEE 20 YD - RO</v>
          </cell>
        </row>
        <row r="15436">
          <cell r="H15436" t="str">
            <v>DEL20-RO</v>
          </cell>
          <cell r="I15436" t="str">
            <v>DELIVERY FEE 20 YD - RO</v>
          </cell>
        </row>
        <row r="15437">
          <cell r="H15437" t="str">
            <v>DEL20TEMP-RO</v>
          </cell>
          <cell r="I15437" t="str">
            <v>DELIVERY FEE 20 YD TEMP -</v>
          </cell>
        </row>
        <row r="15438">
          <cell r="H15438" t="str">
            <v>DEL30-RO</v>
          </cell>
          <cell r="I15438" t="str">
            <v>DELIVERY FEE 30 YD - RO</v>
          </cell>
        </row>
        <row r="15439">
          <cell r="H15439" t="str">
            <v>DEL40-RO</v>
          </cell>
          <cell r="I15439" t="str">
            <v>DELIVERY FEE 40 YD - RO</v>
          </cell>
        </row>
        <row r="15440">
          <cell r="H15440" t="str">
            <v>DISCO-CP</v>
          </cell>
          <cell r="I15440" t="str">
            <v xml:space="preserve">COMPACTOR DISCONNECT FEE </v>
          </cell>
        </row>
        <row r="15441">
          <cell r="H15441" t="str">
            <v>DISPFEDMSW-RO</v>
          </cell>
          <cell r="I15441" t="str">
            <v xml:space="preserve">DISPOSAL FEE FEDERAL MSW </v>
          </cell>
        </row>
        <row r="15442">
          <cell r="H15442" t="str">
            <v>FINAL20-RO</v>
          </cell>
          <cell r="I15442" t="str">
            <v>FINAL PULL 20 YD - RO</v>
          </cell>
        </row>
        <row r="15443">
          <cell r="H15443" t="str">
            <v>FINAL30-RO</v>
          </cell>
          <cell r="I15443" t="str">
            <v>FINAL PULL 30 YD - RO</v>
          </cell>
        </row>
        <row r="15444">
          <cell r="H15444" t="str">
            <v>HAUL20-CP</v>
          </cell>
          <cell r="I15444" t="str">
            <v>COMPACTOR HAUL 20 YD - RO</v>
          </cell>
        </row>
        <row r="15445">
          <cell r="H15445" t="str">
            <v>HAUL20-RO</v>
          </cell>
          <cell r="I15445" t="str">
            <v>HAUL 20 YD - RO</v>
          </cell>
        </row>
        <row r="15446">
          <cell r="H15446" t="str">
            <v>HAUL30-RO</v>
          </cell>
          <cell r="I15446" t="str">
            <v>HAUL 30 YD - RO</v>
          </cell>
        </row>
        <row r="15447">
          <cell r="H15447" t="str">
            <v>HAUL40-RO</v>
          </cell>
          <cell r="I15447" t="str">
            <v>HAUL 40 YD - RO</v>
          </cell>
        </row>
        <row r="15448">
          <cell r="H15448" t="str">
            <v>MILE-RO</v>
          </cell>
          <cell r="I15448" t="str">
            <v>MILEAGE FEE - RO</v>
          </cell>
        </row>
        <row r="15449">
          <cell r="H15449" t="str">
            <v>RENT20TEMP-RO</v>
          </cell>
          <cell r="I15449" t="str">
            <v>RENTAL FEE 20 YD TEMP - R</v>
          </cell>
        </row>
        <row r="15450">
          <cell r="H15450" t="str">
            <v>RTRNTRIP-RO</v>
          </cell>
          <cell r="I15450" t="str">
            <v>RETURN TRIP FEE - RO</v>
          </cell>
        </row>
        <row r="15451">
          <cell r="H15451" t="str">
            <v>COMMODITY SURCHARGE</v>
          </cell>
          <cell r="I15451" t="str">
            <v>COMMODITY SURCHARGE</v>
          </cell>
        </row>
        <row r="15452">
          <cell r="H15452" t="str">
            <v xml:space="preserve">PIERCE COUNTY REFUSE  </v>
          </cell>
          <cell r="I15452" t="str">
            <v>3.6% PIERCE COUNTY REFUSE</v>
          </cell>
        </row>
        <row r="15453">
          <cell r="H15453" t="str">
            <v>FT LEWIS REFUSE TAX</v>
          </cell>
          <cell r="I15453" t="str">
            <v>3.6% WA STATE REFUSE TAX</v>
          </cell>
        </row>
        <row r="15454">
          <cell r="H15454" t="str">
            <v xml:space="preserve">PIERCE COUNTY REFUSE  </v>
          </cell>
          <cell r="I15454" t="str">
            <v>3.6% PIERCE COUNTY REFUSE</v>
          </cell>
        </row>
        <row r="15455">
          <cell r="H15455" t="str">
            <v>FT LEWIS REFUSE TAX</v>
          </cell>
          <cell r="I15455" t="str">
            <v>3.6% WA STATE REFUSE TAX</v>
          </cell>
        </row>
        <row r="15456">
          <cell r="H15456" t="str">
            <v>FT LEWIS STATE SALES TAX</v>
          </cell>
          <cell r="I15456" t="str">
            <v>9.3% WA STATE SALES TAX</v>
          </cell>
        </row>
        <row r="15457">
          <cell r="H15457" t="str">
            <v>FINCHG</v>
          </cell>
          <cell r="I15457" t="str">
            <v>LATE FEE</v>
          </cell>
        </row>
        <row r="15458">
          <cell r="H15458" t="str">
            <v>FL004.0Y2W001MF</v>
          </cell>
          <cell r="I15458" t="str">
            <v>4 YD 2X WK MULTI-FAMILY 1</v>
          </cell>
        </row>
        <row r="15459">
          <cell r="H15459" t="str">
            <v>FL006.0Y1W001MF</v>
          </cell>
          <cell r="I15459" t="str">
            <v>6 YD 1X WK MULTI-FAMILY 1</v>
          </cell>
        </row>
        <row r="15460">
          <cell r="H15460" t="str">
            <v>FL006.0Y2W001MF</v>
          </cell>
          <cell r="I15460" t="str">
            <v>6 YD 2X WK MULTI-FAMILY 1</v>
          </cell>
        </row>
        <row r="15461">
          <cell r="H15461" t="str">
            <v>MFWBINS</v>
          </cell>
          <cell r="I15461" t="str">
            <v>MULTI-FAMILY REC UNIT W/B</v>
          </cell>
        </row>
        <row r="15462">
          <cell r="H15462" t="str">
            <v>SL096.0G1M001BCMGLOUT</v>
          </cell>
          <cell r="I15462" t="str">
            <v>96 GL MTHLY BUS CMGL OUT</v>
          </cell>
        </row>
        <row r="15463">
          <cell r="H15463" t="str">
            <v>CC-KOL</v>
          </cell>
          <cell r="I15463" t="str">
            <v>ONLINE PAYMENT-CC</v>
          </cell>
        </row>
        <row r="15464">
          <cell r="H15464" t="str">
            <v>PAY</v>
          </cell>
          <cell r="I15464" t="str">
            <v>PAYMENT THANK YOU</v>
          </cell>
        </row>
        <row r="15465">
          <cell r="H15465" t="str">
            <v>PAY-KOL</v>
          </cell>
          <cell r="I15465" t="str">
            <v>PAYMENT-THANK YOU - OL</v>
          </cell>
        </row>
        <row r="15466">
          <cell r="H15466" t="str">
            <v>GWRES</v>
          </cell>
          <cell r="I15466" t="str">
            <v>GREENWASTE SERVICE - RES</v>
          </cell>
        </row>
        <row r="15467">
          <cell r="H15467" t="str">
            <v>RECBINONLYR</v>
          </cell>
          <cell r="I15467" t="str">
            <v>RECYCLE SERVICE ONLY</v>
          </cell>
        </row>
        <row r="15468">
          <cell r="H15468" t="str">
            <v>RECPROGADJ-RES</v>
          </cell>
          <cell r="I15468" t="str">
            <v>RECYCLING PROGRAM ADJUSTM</v>
          </cell>
        </row>
        <row r="15469">
          <cell r="H15469" t="str">
            <v>RECVALRES</v>
          </cell>
          <cell r="I15469" t="str">
            <v>RECYCLABLES VALUE - RES</v>
          </cell>
        </row>
        <row r="15470">
          <cell r="H15470" t="str">
            <v>SL065.0G1W001WREC</v>
          </cell>
          <cell r="I15470" t="str">
            <v>65 GL 1X WK W/RECY 1</v>
          </cell>
        </row>
        <row r="15471">
          <cell r="H15471" t="str">
            <v>SL095.0G1W001WREC</v>
          </cell>
          <cell r="I15471" t="str">
            <v>95 GL 1X WK W/RECY 1</v>
          </cell>
        </row>
        <row r="15472">
          <cell r="H15472" t="str">
            <v>DISPFEDMSW-RES</v>
          </cell>
          <cell r="I15472" t="str">
            <v>DISPOSAL FEDERAL MSW - RE</v>
          </cell>
        </row>
        <row r="15473">
          <cell r="H15473" t="str">
            <v>EXTRA-RES</v>
          </cell>
          <cell r="I15473" t="str">
            <v>EXTRA CAN, BAG, BOX - RES</v>
          </cell>
        </row>
        <row r="15474">
          <cell r="H15474" t="str">
            <v>OW-RES</v>
          </cell>
          <cell r="I15474" t="str">
            <v>OVERFILL / OVERWEIGHT CAN</v>
          </cell>
        </row>
        <row r="15475">
          <cell r="H15475" t="str">
            <v>REINSTATE-RES</v>
          </cell>
          <cell r="I15475" t="str">
            <v>REINSTATE FEE - RES</v>
          </cell>
        </row>
        <row r="15476">
          <cell r="H15476" t="str">
            <v>TIME-RES</v>
          </cell>
          <cell r="I15476" t="str">
            <v>TIME FEE 1 - RES</v>
          </cell>
        </row>
        <row r="15477">
          <cell r="H15477" t="str">
            <v>RENT20MO-RO</v>
          </cell>
          <cell r="I15477" t="str">
            <v>RENTAL FEE 20 YD MONTHLY</v>
          </cell>
        </row>
        <row r="15478">
          <cell r="H15478" t="str">
            <v>RENT30MO-RO</v>
          </cell>
          <cell r="I15478" t="str">
            <v>RENTAL FEE 30 YD MONTHLY</v>
          </cell>
        </row>
        <row r="15479">
          <cell r="H15479" t="str">
            <v>RENT40MO-RO</v>
          </cell>
          <cell r="I15479" t="str">
            <v>RENTAL FEE 40 YD MONTHLY</v>
          </cell>
        </row>
        <row r="15480">
          <cell r="H15480" t="str">
            <v>DISPFEDMSW-RO</v>
          </cell>
          <cell r="I15480" t="str">
            <v xml:space="preserve">DISPOSAL FEE FEDERAL MSW </v>
          </cell>
        </row>
        <row r="15481">
          <cell r="H15481" t="str">
            <v>HAUL20-RO</v>
          </cell>
          <cell r="I15481" t="str">
            <v>HAUL 20 YD - RO</v>
          </cell>
        </row>
        <row r="15482">
          <cell r="H15482" t="str">
            <v>HAUL30-RO</v>
          </cell>
          <cell r="I15482" t="str">
            <v>HAUL 30 YD - RO</v>
          </cell>
        </row>
        <row r="15483">
          <cell r="H15483" t="str">
            <v>HAUL40-RO</v>
          </cell>
          <cell r="I15483" t="str">
            <v>HAUL 40 YD - RO</v>
          </cell>
        </row>
        <row r="15484">
          <cell r="H15484" t="str">
            <v>MILE-RO</v>
          </cell>
          <cell r="I15484" t="str">
            <v>MILEAGE FEE - RO</v>
          </cell>
        </row>
        <row r="15485">
          <cell r="H15485" t="str">
            <v>RTRNTRIP-RO</v>
          </cell>
          <cell r="I15485" t="str">
            <v>RETURN TRIP FEE - RO</v>
          </cell>
        </row>
        <row r="15486">
          <cell r="H15486" t="str">
            <v>FT LEWIS REFUSE TAX</v>
          </cell>
          <cell r="I15486" t="str">
            <v>3.6% WA STATE REFUSE TAX</v>
          </cell>
        </row>
        <row r="15487">
          <cell r="H15487" t="str">
            <v>FT LEWIS STATE SALES TAX</v>
          </cell>
          <cell r="I15487" t="str">
            <v>9.3% WA STATE SALES TAX</v>
          </cell>
        </row>
        <row r="15488">
          <cell r="H15488" t="str">
            <v>FT LEWIS REFUSE TAX</v>
          </cell>
          <cell r="I15488" t="str">
            <v>3.6% WA STATE REFUSE TAX</v>
          </cell>
        </row>
        <row r="15489">
          <cell r="H15489" t="str">
            <v>FINCHG</v>
          </cell>
          <cell r="I15489" t="str">
            <v>LATE FEE</v>
          </cell>
        </row>
        <row r="15490">
          <cell r="H15490" t="str">
            <v>BD</v>
          </cell>
          <cell r="I15490" t="str">
            <v>BAD DEBT WRITE OFF</v>
          </cell>
        </row>
        <row r="15491">
          <cell r="H15491" t="str">
            <v>BDR</v>
          </cell>
          <cell r="I15491" t="str">
            <v>BAD DEBT RECOVERY</v>
          </cell>
        </row>
        <row r="15492">
          <cell r="H15492" t="str">
            <v>COLLFEE</v>
          </cell>
          <cell r="I15492" t="str">
            <v>COLLECTION AGENCY FEE</v>
          </cell>
        </row>
        <row r="15493">
          <cell r="H15493" t="str">
            <v>MM</v>
          </cell>
          <cell r="I15493" t="str">
            <v>ADJUST BALANCE (MM)</v>
          </cell>
        </row>
        <row r="15494">
          <cell r="H15494" t="str">
            <v>MM</v>
          </cell>
          <cell r="I15494" t="str">
            <v>ADJUST BALANCE (MM)</v>
          </cell>
        </row>
        <row r="15495">
          <cell r="H15495" t="str">
            <v>REFUND</v>
          </cell>
          <cell r="I15495" t="str">
            <v>REFUND</v>
          </cell>
        </row>
        <row r="15496">
          <cell r="H15496" t="str">
            <v>RETCK-CFREE</v>
          </cell>
          <cell r="I15496" t="str">
            <v>CHECKFREE RETURN CHECK</v>
          </cell>
        </row>
        <row r="15497">
          <cell r="H15497" t="str">
            <v>BD</v>
          </cell>
          <cell r="I15497" t="str">
            <v>BAD DEBT WRITE OFF</v>
          </cell>
        </row>
        <row r="15498">
          <cell r="H15498" t="str">
            <v>BDR</v>
          </cell>
          <cell r="I15498" t="str">
            <v>BAD DEBT RECOVERY</v>
          </cell>
        </row>
        <row r="15499">
          <cell r="H15499" t="str">
            <v>COLLFEE</v>
          </cell>
          <cell r="I15499" t="str">
            <v>COLLECTION AGENCY FEE</v>
          </cell>
        </row>
        <row r="15500">
          <cell r="H15500" t="str">
            <v>FINCHG</v>
          </cell>
          <cell r="I15500" t="str">
            <v>LATE FEE</v>
          </cell>
        </row>
        <row r="15501">
          <cell r="H15501" t="str">
            <v>MM</v>
          </cell>
          <cell r="I15501" t="str">
            <v>ADJUST BALANCE (MM)</v>
          </cell>
        </row>
        <row r="15502">
          <cell r="H15502" t="str">
            <v>MM</v>
          </cell>
          <cell r="I15502" t="str">
            <v>ADJUST BALANCE (MM)</v>
          </cell>
        </row>
        <row r="15503">
          <cell r="H15503" t="str">
            <v>REFUND</v>
          </cell>
          <cell r="I15503" t="str">
            <v>REFUND</v>
          </cell>
        </row>
        <row r="15504">
          <cell r="H15504" t="str">
            <v>RETCKC</v>
          </cell>
          <cell r="I15504" t="str">
            <v>RETURN CHECK CHARGE</v>
          </cell>
        </row>
        <row r="15505">
          <cell r="H15505" t="str">
            <v>FINCHG</v>
          </cell>
          <cell r="I15505" t="str">
            <v>LATE FEE</v>
          </cell>
        </row>
        <row r="15506">
          <cell r="H15506" t="str">
            <v>BD</v>
          </cell>
          <cell r="I15506" t="str">
            <v>BAD DEBT WRITE OFF</v>
          </cell>
        </row>
        <row r="15507">
          <cell r="H15507" t="str">
            <v>BDR</v>
          </cell>
          <cell r="I15507" t="str">
            <v>BAD DEBT RECOVERY</v>
          </cell>
        </row>
        <row r="15508">
          <cell r="H15508" t="str">
            <v>COLLFEE</v>
          </cell>
          <cell r="I15508" t="str">
            <v>COLLECTION AGENCY FEE</v>
          </cell>
        </row>
        <row r="15509">
          <cell r="H15509" t="str">
            <v>FINCHG</v>
          </cell>
          <cell r="I15509" t="str">
            <v>LATE FEE</v>
          </cell>
        </row>
        <row r="15510">
          <cell r="H15510" t="str">
            <v>MM</v>
          </cell>
          <cell r="I15510" t="str">
            <v>ADJUST BALANCE (MM)</v>
          </cell>
        </row>
        <row r="15511">
          <cell r="H15511" t="str">
            <v>MM</v>
          </cell>
          <cell r="I15511" t="str">
            <v>ADJUST BALANCE (MM)</v>
          </cell>
        </row>
        <row r="15512">
          <cell r="H15512" t="str">
            <v>REFUND</v>
          </cell>
          <cell r="I15512" t="str">
            <v>REFUND</v>
          </cell>
        </row>
        <row r="15513">
          <cell r="H15513" t="str">
            <v>ACCESS-COMM</v>
          </cell>
          <cell r="I15513" t="str">
            <v>ACCESS FEE - COMM</v>
          </cell>
        </row>
        <row r="15514">
          <cell r="H15514" t="str">
            <v>ACCESS-MF</v>
          </cell>
          <cell r="I15514" t="str">
            <v>ACCESS FEE - MF</v>
          </cell>
        </row>
        <row r="15515">
          <cell r="H15515" t="str">
            <v>DONATIONC</v>
          </cell>
          <cell r="I15515" t="str">
            <v>DONATED SERVICE COMM</v>
          </cell>
        </row>
        <row r="15516">
          <cell r="H15516" t="str">
            <v>DRIVEIN1-COMM</v>
          </cell>
          <cell r="I15516" t="str">
            <v>DRIVE IN 125-250' - COMM</v>
          </cell>
        </row>
        <row r="15517">
          <cell r="H15517" t="str">
            <v>DRIVEIN3-COMM</v>
          </cell>
          <cell r="I15517" t="str">
            <v>DRIVE IN 779-1306' - COMM</v>
          </cell>
        </row>
        <row r="15518">
          <cell r="H15518" t="str">
            <v>FL001.0Y1W001</v>
          </cell>
          <cell r="I15518" t="str">
            <v>1 YD 1X WK 1</v>
          </cell>
        </row>
        <row r="15519">
          <cell r="H15519" t="str">
            <v>FL001.0Y2W001</v>
          </cell>
          <cell r="I15519" t="str">
            <v>1 YD 2X WK 1</v>
          </cell>
        </row>
        <row r="15520">
          <cell r="H15520" t="str">
            <v>FL001.0Y3W001</v>
          </cell>
          <cell r="I15520" t="str">
            <v>1 YD 3X WK 1</v>
          </cell>
        </row>
        <row r="15521">
          <cell r="H15521" t="str">
            <v>FL001.5Y1W001</v>
          </cell>
          <cell r="I15521" t="str">
            <v>1.5 YD 1X WK 1</v>
          </cell>
        </row>
        <row r="15522">
          <cell r="H15522" t="str">
            <v>FL001.5Y2W001</v>
          </cell>
          <cell r="I15522" t="str">
            <v>1.5 YD 2X WK 1</v>
          </cell>
        </row>
        <row r="15523">
          <cell r="H15523" t="str">
            <v>FL001.5Y3W001</v>
          </cell>
          <cell r="I15523" t="str">
            <v>1.5 YD 3X WK 1</v>
          </cell>
        </row>
        <row r="15524">
          <cell r="H15524" t="str">
            <v>FL002.0Y1W001</v>
          </cell>
          <cell r="I15524" t="str">
            <v>2 YD 1X WK 1</v>
          </cell>
        </row>
        <row r="15525">
          <cell r="H15525" t="str">
            <v>FL002.0Y2W001</v>
          </cell>
          <cell r="I15525" t="str">
            <v>2 YD 2X WK 1</v>
          </cell>
        </row>
        <row r="15526">
          <cell r="H15526" t="str">
            <v>FL002.0Y3W001</v>
          </cell>
          <cell r="I15526" t="str">
            <v>2 YD 3X WK 1</v>
          </cell>
        </row>
        <row r="15527">
          <cell r="H15527" t="str">
            <v>FL002.0Y4W001</v>
          </cell>
          <cell r="I15527" t="str">
            <v>2 YD 4X WK 1</v>
          </cell>
        </row>
        <row r="15528">
          <cell r="H15528" t="str">
            <v>FL002.0Y5W001</v>
          </cell>
          <cell r="I15528" t="str">
            <v>2 YD 5X WK 1</v>
          </cell>
        </row>
        <row r="15529">
          <cell r="H15529" t="str">
            <v>FL003.0Y1W001</v>
          </cell>
          <cell r="I15529" t="str">
            <v>3 YD 1X WK 1</v>
          </cell>
        </row>
        <row r="15530">
          <cell r="H15530" t="str">
            <v>FL003.0Y2W001</v>
          </cell>
          <cell r="I15530" t="str">
            <v>3 YD 2X WK 1</v>
          </cell>
        </row>
        <row r="15531">
          <cell r="H15531" t="str">
            <v>FL003.0Y3W001</v>
          </cell>
          <cell r="I15531" t="str">
            <v>3 YD 3X WK 1</v>
          </cell>
        </row>
        <row r="15532">
          <cell r="H15532" t="str">
            <v>FL003.0Y5W001</v>
          </cell>
          <cell r="I15532" t="str">
            <v>3 YD 5X WK 1</v>
          </cell>
        </row>
        <row r="15533">
          <cell r="H15533" t="str">
            <v>FL004.0Y1W001</v>
          </cell>
          <cell r="I15533" t="str">
            <v>4 YD 1X WK 1</v>
          </cell>
        </row>
        <row r="15534">
          <cell r="H15534" t="str">
            <v>FL004.0Y2W001</v>
          </cell>
          <cell r="I15534" t="str">
            <v>4 YD 2X WK 1</v>
          </cell>
        </row>
        <row r="15535">
          <cell r="H15535" t="str">
            <v>FL004.0Y2W001CMP</v>
          </cell>
          <cell r="I15535" t="str">
            <v>4 YD 2X WK COMP 1</v>
          </cell>
        </row>
        <row r="15536">
          <cell r="H15536" t="str">
            <v>FL004.0Y3W001</v>
          </cell>
          <cell r="I15536" t="str">
            <v>4 YD 3X WK 1</v>
          </cell>
        </row>
        <row r="15537">
          <cell r="H15537" t="str">
            <v>FL004.0Y4W001</v>
          </cell>
          <cell r="I15537" t="str">
            <v>4 YD 4X WK 1</v>
          </cell>
        </row>
        <row r="15538">
          <cell r="H15538" t="str">
            <v>FL004.0Y5W001</v>
          </cell>
          <cell r="I15538" t="str">
            <v>4 YD 5X WK 1</v>
          </cell>
        </row>
        <row r="15539">
          <cell r="H15539" t="str">
            <v>FL006.0Y1W001</v>
          </cell>
          <cell r="I15539" t="str">
            <v>6 YD 1X WK 1</v>
          </cell>
        </row>
        <row r="15540">
          <cell r="H15540" t="str">
            <v>FL006.0Y2W001</v>
          </cell>
          <cell r="I15540" t="str">
            <v>6 YD 2X WK 1</v>
          </cell>
        </row>
        <row r="15541">
          <cell r="H15541" t="str">
            <v>FL006.0Y2W001CMP</v>
          </cell>
          <cell r="I15541" t="str">
            <v>6 YD 2X WK COMP 1</v>
          </cell>
        </row>
        <row r="15542">
          <cell r="H15542" t="str">
            <v>FL006.0Y3W001</v>
          </cell>
          <cell r="I15542" t="str">
            <v>6 YD 3X WK 1</v>
          </cell>
        </row>
        <row r="15543">
          <cell r="H15543" t="str">
            <v>FL006.0Y4W001</v>
          </cell>
          <cell r="I15543" t="str">
            <v>6 YD 4X WK 1</v>
          </cell>
        </row>
        <row r="15544">
          <cell r="H15544" t="str">
            <v>FL006.0Y5W001</v>
          </cell>
          <cell r="I15544" t="str">
            <v>6 YD 5X WK 1</v>
          </cell>
        </row>
        <row r="15545">
          <cell r="H15545" t="str">
            <v>GWCOMM</v>
          </cell>
          <cell r="I15545" t="str">
            <v>GREENWASTE SERVICE - COMM</v>
          </cell>
        </row>
        <row r="15546">
          <cell r="H15546" t="str">
            <v>RENT2TEMP-COMM</v>
          </cell>
          <cell r="I15546" t="str">
            <v>RENT 2 YD TEMP - COMM</v>
          </cell>
        </row>
        <row r="15547">
          <cell r="H15547" t="str">
            <v>RL032.0G1W001WRECC</v>
          </cell>
          <cell r="I15547" t="str">
            <v>32 GL 1X WK W/RECY COMM 1</v>
          </cell>
        </row>
        <row r="15548">
          <cell r="H15548" t="str">
            <v>RL035.0G1W001WRECC</v>
          </cell>
          <cell r="I15548" t="str">
            <v>35 GL 1X WK W/RECY COMM 1</v>
          </cell>
        </row>
        <row r="15549">
          <cell r="H15549" t="str">
            <v>ROLL-COMM</v>
          </cell>
          <cell r="I15549" t="str">
            <v>ROLL OUT CHARGE - COMM</v>
          </cell>
        </row>
        <row r="15550">
          <cell r="H15550" t="str">
            <v>SL065.0G1M001NORECC</v>
          </cell>
          <cell r="I15550" t="str">
            <v xml:space="preserve">65 GL 1X MO NO RECY COMM </v>
          </cell>
        </row>
        <row r="15551">
          <cell r="H15551" t="str">
            <v>SL065.0G1W001NORECC</v>
          </cell>
          <cell r="I15551" t="str">
            <v xml:space="preserve">65 GL 1X WK NO RECY COMM </v>
          </cell>
        </row>
        <row r="15552">
          <cell r="H15552" t="str">
            <v>SL065.0G1W001WRECC</v>
          </cell>
          <cell r="I15552" t="str">
            <v>65 GL 1X WK W/RECY COMM 1</v>
          </cell>
        </row>
        <row r="15553">
          <cell r="H15553" t="str">
            <v>SL065.0GEO001NORECC</v>
          </cell>
          <cell r="I15553" t="str">
            <v>65 GL EOW NO RECY COMM 1</v>
          </cell>
        </row>
        <row r="15554">
          <cell r="H15554" t="str">
            <v>SL065.0GEO001WRECC</v>
          </cell>
          <cell r="I15554" t="str">
            <v>65 GL EOW W/RECY COMM 1</v>
          </cell>
        </row>
        <row r="15555">
          <cell r="H15555" t="str">
            <v>SL095.0G1W001NORECC</v>
          </cell>
          <cell r="I15555" t="str">
            <v xml:space="preserve">95 GL 1X WK NO RECY COMM </v>
          </cell>
        </row>
        <row r="15556">
          <cell r="H15556" t="str">
            <v>SL095.0G1W001WRECC</v>
          </cell>
          <cell r="I15556" t="str">
            <v>95 GL 1X WK W/RECY COMM 1</v>
          </cell>
        </row>
        <row r="15557">
          <cell r="H15557" t="str">
            <v>SL095.0GEO001NORECC</v>
          </cell>
          <cell r="I15557" t="str">
            <v>95 GL EOW NO RECY COMM 1</v>
          </cell>
        </row>
        <row r="15558">
          <cell r="H15558" t="str">
            <v>SL095.0GEO001WRECC</v>
          </cell>
          <cell r="I15558" t="str">
            <v>95 GL EOW W/RECY COMM 1</v>
          </cell>
        </row>
        <row r="15559">
          <cell r="H15559" t="str">
            <v>WI1-COMM</v>
          </cell>
          <cell r="I15559" t="str">
            <v>WALK IN 6-25' - COMM</v>
          </cell>
        </row>
        <row r="15560">
          <cell r="H15560" t="str">
            <v>WI2-COMM</v>
          </cell>
          <cell r="I15560" t="str">
            <v>WALK IN 26-50' - COMM</v>
          </cell>
        </row>
        <row r="15561">
          <cell r="H15561" t="str">
            <v>ADJTAX-COMM</v>
          </cell>
          <cell r="I15561" t="str">
            <v>ADJUSTMENT TAX - COMM</v>
          </cell>
        </row>
        <row r="15562">
          <cell r="H15562" t="str">
            <v>BULKY-COMM</v>
          </cell>
          <cell r="I15562" t="str">
            <v>BULKY ITEM PICK UP - COMM</v>
          </cell>
        </row>
        <row r="15563">
          <cell r="H15563" t="str">
            <v>CANCOUNT-COMM</v>
          </cell>
          <cell r="I15563" t="str">
            <v>CAN COUNT - COMM</v>
          </cell>
        </row>
        <row r="15564">
          <cell r="H15564" t="str">
            <v>CLEAN2-COMM</v>
          </cell>
          <cell r="I15564" t="str">
            <v>CLEANING FEE 2 YD - COMM</v>
          </cell>
        </row>
        <row r="15565">
          <cell r="H15565" t="str">
            <v>DEL1.5TEMP-COMM</v>
          </cell>
          <cell r="I15565" t="str">
            <v xml:space="preserve">DELIVERY FEE 1.5 YD TEMP </v>
          </cell>
        </row>
        <row r="15566">
          <cell r="H15566" t="str">
            <v>DEL1TEMP-COMM</v>
          </cell>
          <cell r="I15566" t="str">
            <v xml:space="preserve">DELIVERY FEE 1 YD TEMP - </v>
          </cell>
        </row>
        <row r="15567">
          <cell r="H15567" t="str">
            <v>DEL2TEMP-COMM</v>
          </cell>
          <cell r="I15567" t="str">
            <v xml:space="preserve">DELIVERY FEE 2 YD TEMP - </v>
          </cell>
        </row>
        <row r="15568">
          <cell r="H15568" t="str">
            <v>DONATIONC</v>
          </cell>
          <cell r="I15568" t="str">
            <v>DONATED SERVICE COMM</v>
          </cell>
        </row>
        <row r="15569">
          <cell r="H15569" t="str">
            <v>EXTRAGRAD1-COMM</v>
          </cell>
          <cell r="I15569" t="str">
            <v>EXTRAS GRADUATED 1-2 - COMM</v>
          </cell>
        </row>
        <row r="15570">
          <cell r="H15570" t="str">
            <v>EXTRAGRAD2-COMM</v>
          </cell>
          <cell r="I15570" t="str">
            <v>EXTRAS GRADUATED 3+ - COMM</v>
          </cell>
        </row>
        <row r="15571">
          <cell r="H15571" t="str">
            <v>EXTRAYDG-COM</v>
          </cell>
          <cell r="I15571" t="str">
            <v>EXTRA YARDAGE - COMM</v>
          </cell>
        </row>
        <row r="15572">
          <cell r="H15572" t="str">
            <v>FL002.0YXX001TEMPC</v>
          </cell>
          <cell r="I15572" t="str">
            <v xml:space="preserve">2 YD TEMP </v>
          </cell>
        </row>
        <row r="15573">
          <cell r="H15573" t="str">
            <v>REDEL-COMM</v>
          </cell>
          <cell r="I15573" t="str">
            <v>REDELIVER FEE LVL 1 - COM</v>
          </cell>
        </row>
        <row r="15574">
          <cell r="H15574" t="str">
            <v>REINSTATE-COMM</v>
          </cell>
          <cell r="I15574" t="str">
            <v>REINSTATE FEE - COMM</v>
          </cell>
        </row>
        <row r="15575">
          <cell r="H15575" t="str">
            <v>RENT1.5TEMP-COMM</v>
          </cell>
          <cell r="I15575" t="str">
            <v>RENT 1.5 YD TEMP - COMM</v>
          </cell>
        </row>
        <row r="15576">
          <cell r="H15576" t="str">
            <v>RENT1TEMP-COMM</v>
          </cell>
          <cell r="I15576" t="str">
            <v>RENT 1 YD TEMP - COMM</v>
          </cell>
        </row>
        <row r="15577">
          <cell r="H15577" t="str">
            <v>RENT2TEMP-COMM</v>
          </cell>
          <cell r="I15577" t="str">
            <v>RENT 2 YD TEMP - COMM</v>
          </cell>
        </row>
        <row r="15578">
          <cell r="H15578" t="str">
            <v>RTRNTRIP-COMM</v>
          </cell>
          <cell r="I15578" t="str">
            <v>RETURN TRIP FEE - COMM</v>
          </cell>
        </row>
        <row r="15579">
          <cell r="H15579" t="str">
            <v>SP-COMM</v>
          </cell>
          <cell r="I15579" t="str">
            <v>SPECIAL HAUL - COMM</v>
          </cell>
        </row>
        <row r="15580">
          <cell r="H15580" t="str">
            <v>SP1-COMM</v>
          </cell>
          <cell r="I15580" t="str">
            <v>SPECIAL PICK UP 1 YD - CO</v>
          </cell>
        </row>
        <row r="15581">
          <cell r="H15581" t="str">
            <v>SP1.5-COMM</v>
          </cell>
          <cell r="I15581" t="str">
            <v xml:space="preserve">SPECIAL PICK UP 1.5 YD - </v>
          </cell>
        </row>
        <row r="15582">
          <cell r="H15582" t="str">
            <v>SP2-COMM</v>
          </cell>
          <cell r="I15582" t="str">
            <v>SPECIAL PICK UP 2 YD - CO</v>
          </cell>
        </row>
        <row r="15583">
          <cell r="H15583" t="str">
            <v>SP3-COMM</v>
          </cell>
          <cell r="I15583" t="str">
            <v>SPECIAL PICK UP 3 YD - CO</v>
          </cell>
        </row>
        <row r="15584">
          <cell r="H15584" t="str">
            <v>SP4-COMM</v>
          </cell>
          <cell r="I15584" t="str">
            <v>SPECIAL PICK UP 4 YD - CO</v>
          </cell>
        </row>
        <row r="15585">
          <cell r="H15585" t="str">
            <v>SP6-COMM</v>
          </cell>
          <cell r="I15585" t="str">
            <v>SPECIAL PICK UP 6 YD - CO</v>
          </cell>
        </row>
        <row r="15586">
          <cell r="H15586" t="str">
            <v>SPGRAD1S-COMM</v>
          </cell>
          <cell r="I15586" t="str">
            <v>SPECIAL UNIT GRAD1 SCHL - COMM</v>
          </cell>
        </row>
        <row r="15587">
          <cell r="H15587" t="str">
            <v>SPGRAD2S-COMM</v>
          </cell>
          <cell r="I15587" t="str">
            <v>SPECIAL UNIT GRAD2 SCHL - COMM</v>
          </cell>
        </row>
        <row r="15588">
          <cell r="H15588" t="str">
            <v>DISP-COMM</v>
          </cell>
          <cell r="I15588" t="str">
            <v>DISPOSAL FEE - COMM</v>
          </cell>
        </row>
        <row r="15589">
          <cell r="H15589" t="str">
            <v>ACCESSCREC-COMM</v>
          </cell>
          <cell r="I15589" t="str">
            <v>ACCESS FEE COMM RECY - CO</v>
          </cell>
        </row>
        <row r="15590">
          <cell r="H15590" t="str">
            <v>FL002.0Y1W001BCMGL</v>
          </cell>
          <cell r="I15590" t="str">
            <v>2 YD 1X WK BUS CMGL 1</v>
          </cell>
        </row>
        <row r="15591">
          <cell r="H15591" t="str">
            <v>FL002.0Y1W001BOCC</v>
          </cell>
          <cell r="I15591" t="str">
            <v>2 YD 1X WK BUS OCC 1</v>
          </cell>
        </row>
        <row r="15592">
          <cell r="H15592" t="str">
            <v>FL002.0Y1W001SCMGL</v>
          </cell>
          <cell r="I15592" t="str">
            <v>2 YD 1X WK SCHL CMGL 1</v>
          </cell>
        </row>
        <row r="15593">
          <cell r="H15593" t="str">
            <v>FL002.0Y1W001SOCC</v>
          </cell>
          <cell r="I15593" t="str">
            <v>2 YD 1X WK SCHOOL OCC</v>
          </cell>
        </row>
        <row r="15594">
          <cell r="H15594" t="str">
            <v>FL002.0Y2W001BCMGL</v>
          </cell>
          <cell r="I15594" t="str">
            <v>2 YD 2X WK BUS CMGL 1</v>
          </cell>
        </row>
        <row r="15595">
          <cell r="H15595" t="str">
            <v>FL002.0Y2W001BOCC</v>
          </cell>
          <cell r="I15595" t="str">
            <v>2 YD 2X WK BUS OCC 1</v>
          </cell>
        </row>
        <row r="15596">
          <cell r="H15596" t="str">
            <v>FL002.0Y2W001SOCC</v>
          </cell>
          <cell r="I15596" t="str">
            <v>2 YD 2X WK SCHOOL OCC</v>
          </cell>
        </row>
        <row r="15597">
          <cell r="H15597" t="str">
            <v>FL002.0Y3W001BOCC</v>
          </cell>
          <cell r="I15597" t="str">
            <v>2 YD 3X WK BUS OCC 1</v>
          </cell>
        </row>
        <row r="15598">
          <cell r="H15598" t="str">
            <v>FL002.0Y4W001BOCC</v>
          </cell>
          <cell r="I15598" t="str">
            <v>2 YD 4X WK BUS OCC 1</v>
          </cell>
        </row>
        <row r="15599">
          <cell r="H15599" t="str">
            <v>FL004.0Y1W001CMGL</v>
          </cell>
          <cell r="I15599" t="str">
            <v>4 YD 1X WK BUS CMGL 1</v>
          </cell>
        </row>
        <row r="15600">
          <cell r="H15600" t="str">
            <v>FL004.0Y2W001CMGL</v>
          </cell>
          <cell r="I15600" t="str">
            <v>4 YD 2X WK BUS CMGL 1</v>
          </cell>
        </row>
        <row r="15601">
          <cell r="H15601" t="str">
            <v>FL004.0Y3W001BCMGL</v>
          </cell>
          <cell r="I15601" t="str">
            <v>4 YD 3X WK BUS CMGL 1</v>
          </cell>
        </row>
        <row r="15602">
          <cell r="H15602" t="str">
            <v>FL005.0Y1W001BOCC</v>
          </cell>
          <cell r="I15602" t="str">
            <v>5 YD 1X WK BUS OCC 1</v>
          </cell>
        </row>
        <row r="15603">
          <cell r="H15603" t="str">
            <v>FL005.0Y1W001OCC</v>
          </cell>
          <cell r="I15603" t="str">
            <v>5 YD 1X WK OCC  1</v>
          </cell>
        </row>
        <row r="15604">
          <cell r="H15604" t="str">
            <v>FL005.0Y1W001SOCC</v>
          </cell>
          <cell r="I15604" t="str">
            <v>5 YD 1X WK SCHOOL OCC</v>
          </cell>
        </row>
        <row r="15605">
          <cell r="H15605" t="str">
            <v>FL005.0Y2W001BOCC</v>
          </cell>
          <cell r="I15605" t="str">
            <v>5 YD 2X WK BUS OCC 1</v>
          </cell>
        </row>
        <row r="15606">
          <cell r="H15606" t="str">
            <v>FL005.0Y2W001SOCC</v>
          </cell>
          <cell r="I15606" t="str">
            <v>5 YD 2X WK SCHOOL OCC</v>
          </cell>
        </row>
        <row r="15607">
          <cell r="H15607" t="str">
            <v>FL005.0Y3W001BOCC</v>
          </cell>
          <cell r="I15607" t="str">
            <v>5 YD 3X WK BUS OCC 1</v>
          </cell>
        </row>
        <row r="15608">
          <cell r="H15608" t="str">
            <v>FL005.0Y4W001BOCC</v>
          </cell>
          <cell r="I15608" t="str">
            <v>5 YD 4X WK BUS OCC 1</v>
          </cell>
        </row>
        <row r="15609">
          <cell r="H15609" t="str">
            <v>FL005.0Y5W001BOCC</v>
          </cell>
          <cell r="I15609" t="str">
            <v>5 YD 5X WK BUS OCC 1</v>
          </cell>
        </row>
        <row r="15610">
          <cell r="H15610" t="str">
            <v>FL006.0Y1W001BCMGL</v>
          </cell>
          <cell r="I15610" t="str">
            <v>6 YD 1X WK BUS COMINGLE 1</v>
          </cell>
        </row>
        <row r="15611">
          <cell r="H15611" t="str">
            <v>FL006.0Y1W001SCMGL</v>
          </cell>
          <cell r="I15611" t="str">
            <v>6 YD 1X WK SCHL CMGL 1</v>
          </cell>
        </row>
        <row r="15612">
          <cell r="H15612" t="str">
            <v>FL006.0Y2W001BCMGL</v>
          </cell>
          <cell r="I15612" t="str">
            <v>6 YD 2X WK BUS COMINGLE 1</v>
          </cell>
        </row>
        <row r="15613">
          <cell r="H15613" t="str">
            <v>FL006.0Y3W001BCMGL</v>
          </cell>
          <cell r="I15613" t="str">
            <v>6 YD 3X WK BUS CMGL 1</v>
          </cell>
        </row>
        <row r="15614">
          <cell r="H15614" t="str">
            <v>FL006.0Y4W001BCMGL</v>
          </cell>
          <cell r="I15614" t="str">
            <v>6 YD 4X WK BUS CMGL 1</v>
          </cell>
        </row>
        <row r="15615">
          <cell r="H15615" t="str">
            <v>MFNBINS</v>
          </cell>
          <cell r="I15615" t="str">
            <v>MULTI-FAMILY REC UNIT N/B</v>
          </cell>
        </row>
        <row r="15616">
          <cell r="H15616" t="str">
            <v>MFWBINS</v>
          </cell>
          <cell r="I15616" t="str">
            <v>MULTI-FAMILY REC UNIT W/B</v>
          </cell>
        </row>
        <row r="15617">
          <cell r="H15617" t="str">
            <v>RENTRECCNT-COMM</v>
          </cell>
          <cell r="I15617" t="str">
            <v>RENTAL FEE RECYCLE CONTAI</v>
          </cell>
        </row>
        <row r="15618">
          <cell r="H15618" t="str">
            <v>ROLL-REC</v>
          </cell>
          <cell r="I15618" t="str">
            <v>ROLL OUT CHARGE - RECYCLI</v>
          </cell>
        </row>
        <row r="15619">
          <cell r="H15619" t="str">
            <v>SL064.0G1W001BCMGLOUT</v>
          </cell>
          <cell r="I15619" t="str">
            <v>64 GL WKLY BUS CMGL OUT</v>
          </cell>
        </row>
        <row r="15620">
          <cell r="H15620" t="str">
            <v>SL064.0GEO001BCMGLOUT</v>
          </cell>
          <cell r="I15620" t="str">
            <v>64 GL EOW BUS CMGL OUT</v>
          </cell>
        </row>
        <row r="15621">
          <cell r="H15621" t="str">
            <v>SL096.0G1M001BCMGLOUT</v>
          </cell>
          <cell r="I15621" t="str">
            <v>96 GL MTHLY BUS CMGL OUT</v>
          </cell>
        </row>
        <row r="15622">
          <cell r="H15622" t="str">
            <v>SL096.0G1W001BCMGLIN</v>
          </cell>
          <cell r="I15622" t="str">
            <v>96 GL WKLY BUS CMGL IN</v>
          </cell>
        </row>
        <row r="15623">
          <cell r="H15623" t="str">
            <v>SL096.0G1W001BCMGLOUT</v>
          </cell>
          <cell r="I15623" t="str">
            <v>96 GL WKLY BUS CMGL OUT</v>
          </cell>
        </row>
        <row r="15624">
          <cell r="H15624" t="str">
            <v>SL096.0G1W001SCMGLIN</v>
          </cell>
          <cell r="I15624" t="str">
            <v>96 GL WKLY SCHL CMGL IN</v>
          </cell>
        </row>
        <row r="15625">
          <cell r="H15625" t="str">
            <v>SL096.0G1W001SCMGLOUT</v>
          </cell>
          <cell r="I15625" t="str">
            <v>96 GL WKLY SCHL CMGL OUT</v>
          </cell>
        </row>
        <row r="15626">
          <cell r="H15626" t="str">
            <v>SL096.0GEO001BCMGLIN</v>
          </cell>
          <cell r="I15626" t="str">
            <v>96 GL EOW BUS CMGL IN</v>
          </cell>
        </row>
        <row r="15627">
          <cell r="H15627" t="str">
            <v>SL096.0GEO001BCMGLOUT</v>
          </cell>
          <cell r="I15627" t="str">
            <v>96 GL EOW BUS CMGL OUT</v>
          </cell>
        </row>
        <row r="15628">
          <cell r="H15628" t="str">
            <v>SL096.0GEO001SCMGLOUT</v>
          </cell>
          <cell r="I15628" t="str">
            <v>96 GL EOW SCHL CMGL OUT</v>
          </cell>
        </row>
        <row r="15629">
          <cell r="H15629" t="str">
            <v>FL005.0Y2W001SOCC</v>
          </cell>
          <cell r="I15629" t="str">
            <v>5 YD 2X WK SCHOOL OCC</v>
          </cell>
        </row>
        <row r="15630">
          <cell r="H15630" t="str">
            <v>SP2BCMGL-COMM</v>
          </cell>
          <cell r="I15630" t="str">
            <v>SPECIAL P/U 2 YD BUS CMGL</v>
          </cell>
        </row>
        <row r="15631">
          <cell r="H15631" t="str">
            <v>SP5OCC-COMM</v>
          </cell>
          <cell r="I15631" t="str">
            <v>SPECIAL PICKUP 5 YD OCC -</v>
          </cell>
        </row>
        <row r="15632">
          <cell r="H15632" t="str">
            <v>CC-KOL</v>
          </cell>
          <cell r="I15632" t="str">
            <v>ONLINE PAYMENT-CC</v>
          </cell>
        </row>
        <row r="15633">
          <cell r="H15633" t="str">
            <v>PAY</v>
          </cell>
          <cell r="I15633" t="str">
            <v>PAYMENT THANK YOU</v>
          </cell>
        </row>
        <row r="15634">
          <cell r="H15634" t="str">
            <v>PAY-CFREE</v>
          </cell>
          <cell r="I15634" t="str">
            <v>CHECKFREE PAYMENT</v>
          </cell>
        </row>
        <row r="15635">
          <cell r="H15635" t="str">
            <v>PAY-KOL</v>
          </cell>
          <cell r="I15635" t="str">
            <v>PAYMENT-THANK YOU - OL</v>
          </cell>
        </row>
        <row r="15636">
          <cell r="H15636" t="str">
            <v>PAY-ORCC</v>
          </cell>
          <cell r="I15636" t="str">
            <v>ORCC PAYMENT</v>
          </cell>
        </row>
        <row r="15637">
          <cell r="H15637" t="str">
            <v>PAY-RPPS</v>
          </cell>
          <cell r="I15637" t="str">
            <v>RPPS MASTERCARD PAYMENT</v>
          </cell>
        </row>
        <row r="15638">
          <cell r="H15638" t="str">
            <v>PAYAD</v>
          </cell>
          <cell r="I15638" t="str">
            <v>ADJUST PAYMENT AD</v>
          </cell>
        </row>
        <row r="15639">
          <cell r="H15639" t="str">
            <v>PAYMET</v>
          </cell>
          <cell r="I15639" t="str">
            <v>METAVANTE ONLINE PAYMENT</v>
          </cell>
        </row>
        <row r="15640">
          <cell r="H15640" t="str">
            <v>PAYPNCL</v>
          </cell>
          <cell r="I15640" t="str">
            <v>PAYMENT THANK YOU!</v>
          </cell>
        </row>
        <row r="15641">
          <cell r="H15641" t="str">
            <v>PAYUSBL</v>
          </cell>
          <cell r="I15641" t="str">
            <v>PAYMENT THANK YOU</v>
          </cell>
        </row>
        <row r="15642">
          <cell r="H15642" t="str">
            <v>RET-KOL</v>
          </cell>
          <cell r="I15642" t="str">
            <v>ONLINE PAYMENT RETURN</v>
          </cell>
        </row>
        <row r="15643">
          <cell r="H15643" t="str">
            <v>RETCK-PNCL</v>
          </cell>
          <cell r="I15643" t="str">
            <v>RETURNED CHECK - PNC LOCKBOX</v>
          </cell>
        </row>
        <row r="15644">
          <cell r="H15644" t="str">
            <v>CC-KOL</v>
          </cell>
          <cell r="I15644" t="str">
            <v>ONLINE PAYMENT-CC</v>
          </cell>
        </row>
        <row r="15645">
          <cell r="H15645" t="str">
            <v>CCREF-KOL</v>
          </cell>
          <cell r="I15645" t="str">
            <v>CREDIT CARD REFUND</v>
          </cell>
        </row>
        <row r="15646">
          <cell r="H15646" t="str">
            <v>PAY</v>
          </cell>
          <cell r="I15646" t="str">
            <v>PAYMENT THANK YOU</v>
          </cell>
        </row>
        <row r="15647">
          <cell r="H15647" t="str">
            <v>PAY-CFREE</v>
          </cell>
          <cell r="I15647" t="str">
            <v>CHECKFREE PAYMENT</v>
          </cell>
        </row>
        <row r="15648">
          <cell r="H15648" t="str">
            <v>PAY-KOL</v>
          </cell>
          <cell r="I15648" t="str">
            <v>PAYMENT-THANK YOU - OL</v>
          </cell>
        </row>
        <row r="15649">
          <cell r="H15649" t="str">
            <v>PAY-ORCC</v>
          </cell>
          <cell r="I15649" t="str">
            <v>ORCC PAYMENT</v>
          </cell>
        </row>
        <row r="15650">
          <cell r="H15650" t="str">
            <v>PAY-RPPS</v>
          </cell>
          <cell r="I15650" t="str">
            <v>RPPS MASTERCARD PAYMENT</v>
          </cell>
        </row>
        <row r="15651">
          <cell r="H15651" t="str">
            <v>PAYAD</v>
          </cell>
          <cell r="I15651" t="str">
            <v>ADJUST PAYMENT AD</v>
          </cell>
        </row>
        <row r="15652">
          <cell r="H15652" t="str">
            <v>PAYMET</v>
          </cell>
          <cell r="I15652" t="str">
            <v>METAVANTE ONLINE PAYMENT</v>
          </cell>
        </row>
        <row r="15653">
          <cell r="H15653" t="str">
            <v>PAYPNCL</v>
          </cell>
          <cell r="I15653" t="str">
            <v>PAYMENT THANK YOU!</v>
          </cell>
        </row>
        <row r="15654">
          <cell r="H15654" t="str">
            <v>PAYUSBL</v>
          </cell>
          <cell r="I15654" t="str">
            <v>PAYMENT THANK YOU</v>
          </cell>
        </row>
        <row r="15655">
          <cell r="H15655" t="str">
            <v>RET-KOL</v>
          </cell>
          <cell r="I15655" t="str">
            <v>ONLINE PAYMENT RETURN</v>
          </cell>
        </row>
        <row r="15656">
          <cell r="H15656" t="str">
            <v>CC-KOL</v>
          </cell>
          <cell r="I15656" t="str">
            <v>ONLINE PAYMENT-CC</v>
          </cell>
        </row>
        <row r="15657">
          <cell r="H15657" t="str">
            <v>CCREF-KOL</v>
          </cell>
          <cell r="I15657" t="str">
            <v>CREDIT CARD REFUND</v>
          </cell>
        </row>
        <row r="15658">
          <cell r="H15658" t="str">
            <v>PAY</v>
          </cell>
          <cell r="I15658" t="str">
            <v>PAYMENT THANK YOU</v>
          </cell>
        </row>
        <row r="15659">
          <cell r="H15659" t="str">
            <v>PAY-CFREE</v>
          </cell>
          <cell r="I15659" t="str">
            <v>CHECKFREE PAYMENT</v>
          </cell>
        </row>
        <row r="15660">
          <cell r="H15660" t="str">
            <v>PAY-KOL</v>
          </cell>
          <cell r="I15660" t="str">
            <v>PAYMENT-THANK YOU - OL</v>
          </cell>
        </row>
        <row r="15661">
          <cell r="H15661" t="str">
            <v>PAY-NATL</v>
          </cell>
          <cell r="I15661" t="str">
            <v>PAYMENT THANK YOU</v>
          </cell>
        </row>
        <row r="15662">
          <cell r="H15662" t="str">
            <v>PAY-OAK</v>
          </cell>
          <cell r="I15662" t="str">
            <v>OAKLEAF PAYMENT</v>
          </cell>
        </row>
        <row r="15663">
          <cell r="H15663" t="str">
            <v>PAY-ORCC</v>
          </cell>
          <cell r="I15663" t="str">
            <v>ORCC PAYMENT</v>
          </cell>
        </row>
        <row r="15664">
          <cell r="H15664" t="str">
            <v>PAY-RPPS</v>
          </cell>
          <cell r="I15664" t="str">
            <v>RPPS MASTERCARD PAYMENT</v>
          </cell>
        </row>
        <row r="15665">
          <cell r="H15665" t="str">
            <v>PAYEFT</v>
          </cell>
          <cell r="I15665" t="str">
            <v>EFT PAYMENT</v>
          </cell>
        </row>
        <row r="15666">
          <cell r="H15666" t="str">
            <v>PAYICLRI</v>
          </cell>
          <cell r="I15666" t="str">
            <v>PAYMENT THANK YOU</v>
          </cell>
        </row>
        <row r="15667">
          <cell r="H15667" t="str">
            <v>PAYMET</v>
          </cell>
          <cell r="I15667" t="str">
            <v>METAVANTE ONLINE PAYMENT</v>
          </cell>
        </row>
        <row r="15668">
          <cell r="H15668" t="str">
            <v>PAYPNCL</v>
          </cell>
          <cell r="I15668" t="str">
            <v>PAYMENT THANK YOU!</v>
          </cell>
        </row>
        <row r="15669">
          <cell r="H15669" t="str">
            <v>PAYUSBL</v>
          </cell>
          <cell r="I15669" t="str">
            <v>PAYMENT THANK YOU</v>
          </cell>
        </row>
        <row r="15670">
          <cell r="H15670" t="str">
            <v>RET-KOL</v>
          </cell>
          <cell r="I15670" t="str">
            <v>ONLINE PAYMENT RETURN</v>
          </cell>
        </row>
        <row r="15671">
          <cell r="H15671" t="str">
            <v>ACCESS-RES</v>
          </cell>
          <cell r="I15671" t="str">
            <v>ACCESS FEE - RES</v>
          </cell>
        </row>
        <row r="15672">
          <cell r="H15672" t="str">
            <v>DRIVEIN-RES</v>
          </cell>
          <cell r="I15672" t="str">
            <v>DRIVE IN SERVICE - RES</v>
          </cell>
        </row>
        <row r="15673">
          <cell r="H15673" t="str">
            <v>DRIVEIN1-RES</v>
          </cell>
          <cell r="I15673" t="str">
            <v>DRIVE IN 1 - RES</v>
          </cell>
        </row>
        <row r="15674">
          <cell r="H15674" t="str">
            <v>DRIVEIN2-RES</v>
          </cell>
          <cell r="I15674" t="str">
            <v>DRIVE IN 2 - RES</v>
          </cell>
        </row>
        <row r="15675">
          <cell r="H15675" t="str">
            <v>DRIVEIN3-RES</v>
          </cell>
          <cell r="I15675" t="str">
            <v>DRIVE IN 3 - RES</v>
          </cell>
        </row>
        <row r="15676">
          <cell r="H15676" t="str">
            <v>DRIVEIN7-RES</v>
          </cell>
          <cell r="I15676" t="str">
            <v>DRIVE IN 7 - RES</v>
          </cell>
        </row>
        <row r="15677">
          <cell r="H15677" t="str">
            <v>EMPLOYEER</v>
          </cell>
          <cell r="I15677" t="str">
            <v>EMPLOYEE SERVICE RES</v>
          </cell>
        </row>
        <row r="15678">
          <cell r="H15678" t="str">
            <v>GWRES</v>
          </cell>
          <cell r="I15678" t="str">
            <v>GREENWASTE SERVICE - RES</v>
          </cell>
        </row>
        <row r="15679">
          <cell r="H15679" t="str">
            <v>GWSPCL-RES</v>
          </cell>
          <cell r="I15679" t="str">
            <v>GREENWASTE SEN/DIS - RES</v>
          </cell>
        </row>
        <row r="15680">
          <cell r="H15680" t="str">
            <v>RECBINONLYR</v>
          </cell>
          <cell r="I15680" t="str">
            <v>RECYCLE SERVICE ONLY</v>
          </cell>
        </row>
        <row r="15681">
          <cell r="H15681" t="str">
            <v>RECPROGADJ-RES</v>
          </cell>
          <cell r="I15681" t="str">
            <v>RECYCLING PROGRAM ADJUSTM</v>
          </cell>
        </row>
        <row r="15682">
          <cell r="H15682" t="str">
            <v>RECVALRES</v>
          </cell>
          <cell r="I15682" t="str">
            <v>RECYCLABLES VALUE - RES</v>
          </cell>
        </row>
        <row r="15683">
          <cell r="H15683" t="str">
            <v>RL032.0G1M001WREC</v>
          </cell>
          <cell r="I15683" t="str">
            <v>32 GL 1X MO W/RECY 1</v>
          </cell>
        </row>
        <row r="15684">
          <cell r="H15684" t="str">
            <v>SL032.0G1W001WREC</v>
          </cell>
          <cell r="I15684" t="str">
            <v>32 GL 1X WK W/RECY 1</v>
          </cell>
        </row>
        <row r="15685">
          <cell r="H15685" t="str">
            <v>SL035.0G1M001WREC</v>
          </cell>
          <cell r="I15685" t="str">
            <v>35 GL 1X MO W/RECY 1</v>
          </cell>
        </row>
        <row r="15686">
          <cell r="H15686" t="str">
            <v>SL035.0G1W001WREC</v>
          </cell>
          <cell r="I15686" t="str">
            <v>35 GL 1X WK W/ RECY 1</v>
          </cell>
        </row>
        <row r="15687">
          <cell r="H15687" t="str">
            <v>SL035.0GEO001WREC</v>
          </cell>
          <cell r="I15687" t="str">
            <v>35 GL EOW W/RECY 1</v>
          </cell>
        </row>
        <row r="15688">
          <cell r="H15688" t="str">
            <v>SL065.0G1M001NOREC</v>
          </cell>
          <cell r="I15688" t="str">
            <v>65 GL 1X MO NO RECY 1</v>
          </cell>
        </row>
        <row r="15689">
          <cell r="H15689" t="str">
            <v>SL065.0G1M001WREC</v>
          </cell>
          <cell r="I15689" t="str">
            <v>65 GL 1X MO W/RECY 1</v>
          </cell>
        </row>
        <row r="15690">
          <cell r="H15690" t="str">
            <v>SL065.0G1M001WRECSPCL</v>
          </cell>
          <cell r="I15690" t="str">
            <v>65 GL 1X MO W/RECY S/D 1</v>
          </cell>
        </row>
        <row r="15691">
          <cell r="H15691" t="str">
            <v>SL065.0G1W001NOREC</v>
          </cell>
          <cell r="I15691" t="str">
            <v>65 GL 1X WK NO RECY 1</v>
          </cell>
        </row>
        <row r="15692">
          <cell r="H15692" t="str">
            <v>SL065.0G1W001SPCLNOREC</v>
          </cell>
          <cell r="I15692" t="str">
            <v>65 GL 1X WK S/D NO REC 1</v>
          </cell>
        </row>
        <row r="15693">
          <cell r="H15693" t="str">
            <v>SL065.0G1W001SPCLWREC</v>
          </cell>
          <cell r="I15693" t="str">
            <v>65 GL 1X WK S/D W/REC 1</v>
          </cell>
        </row>
        <row r="15694">
          <cell r="H15694" t="str">
            <v>SL065.0G1W001WREC</v>
          </cell>
          <cell r="I15694" t="str">
            <v>65 GL 1X WK W/RECY 1</v>
          </cell>
        </row>
        <row r="15695">
          <cell r="H15695" t="str">
            <v>SL065.0GEO001NOREC</v>
          </cell>
          <cell r="I15695" t="str">
            <v>65 GL EOW NO RECY 1</v>
          </cell>
        </row>
        <row r="15696">
          <cell r="H15696" t="str">
            <v>SL065.0GEO001SPCLNOREC</v>
          </cell>
          <cell r="I15696" t="str">
            <v>65 GL EOW S/D NO RECY 1</v>
          </cell>
        </row>
        <row r="15697">
          <cell r="H15697" t="str">
            <v>SL065.0GEO001SPCLWREC</v>
          </cell>
          <cell r="I15697" t="str">
            <v>65 GL EOW S/D W/RECY 1</v>
          </cell>
        </row>
        <row r="15698">
          <cell r="H15698" t="str">
            <v>SL065.0GEO001WREC</v>
          </cell>
          <cell r="I15698" t="str">
            <v>65 GL EOW W/RECY 1</v>
          </cell>
        </row>
        <row r="15699">
          <cell r="H15699" t="str">
            <v>SL095.0G1M0001WRECSPCL</v>
          </cell>
          <cell r="I15699" t="str">
            <v>95 GL 1X MO S/D W/RECY 1</v>
          </cell>
        </row>
        <row r="15700">
          <cell r="H15700" t="str">
            <v>SL095.0G1M001WREC</v>
          </cell>
          <cell r="I15700" t="str">
            <v>95 GL 1X MO W/RECY 1</v>
          </cell>
        </row>
        <row r="15701">
          <cell r="H15701" t="str">
            <v>SL095.0G1W001NOREC</v>
          </cell>
          <cell r="I15701" t="str">
            <v>95 GL 1X WK NO RECY 1</v>
          </cell>
        </row>
        <row r="15702">
          <cell r="H15702" t="str">
            <v>SL095.0G1W001SPCLWREC</v>
          </cell>
          <cell r="I15702" t="str">
            <v>95 GL 1X WK S/D W/REC 1</v>
          </cell>
        </row>
        <row r="15703">
          <cell r="H15703" t="str">
            <v>SL095.0G1W001WREC</v>
          </cell>
          <cell r="I15703" t="str">
            <v>95 GL 1X WK W/RECY 1</v>
          </cell>
        </row>
        <row r="15704">
          <cell r="H15704" t="str">
            <v>SL095.0GEO001NOREC</v>
          </cell>
          <cell r="I15704" t="str">
            <v>95 GL EOW NO RECY 1</v>
          </cell>
        </row>
        <row r="15705">
          <cell r="H15705" t="str">
            <v>SL095.0GEO001WREC</v>
          </cell>
          <cell r="I15705" t="str">
            <v>95 GL EOW W/RECY 1</v>
          </cell>
        </row>
        <row r="15706">
          <cell r="H15706" t="str">
            <v>WI-RES</v>
          </cell>
          <cell r="I15706" t="str">
            <v>WALK IN 6-25' - RES</v>
          </cell>
        </row>
        <row r="15707">
          <cell r="H15707" t="str">
            <v>WI1-RES</v>
          </cell>
          <cell r="I15707" t="str">
            <v>WALK IN 6-25' - RES</v>
          </cell>
        </row>
        <row r="15708">
          <cell r="H15708" t="str">
            <v>WI2-RES</v>
          </cell>
          <cell r="I15708" t="str">
            <v>WALK IN 26-50' - RES</v>
          </cell>
        </row>
        <row r="15709">
          <cell r="H15709" t="str">
            <v>WI3-RES</v>
          </cell>
          <cell r="I15709" t="str">
            <v>WALK IN 51-75' - RES</v>
          </cell>
        </row>
        <row r="15710">
          <cell r="H15710" t="str">
            <v>WI4-RES</v>
          </cell>
          <cell r="I15710" t="str">
            <v>WALK IN 76-100' - RES</v>
          </cell>
        </row>
        <row r="15711">
          <cell r="H15711" t="str">
            <v>WI5-RES</v>
          </cell>
          <cell r="I15711" t="str">
            <v>WALK IN 101-125' - RES</v>
          </cell>
        </row>
        <row r="15712">
          <cell r="H15712" t="str">
            <v>WI8-RES</v>
          </cell>
          <cell r="I15712" t="str">
            <v>WALK IN 176-200' - RES</v>
          </cell>
        </row>
        <row r="15713">
          <cell r="H15713" t="str">
            <v>BULKY-RES</v>
          </cell>
          <cell r="I15713" t="str">
            <v>BULKY ITEM PICK UP - RES</v>
          </cell>
        </row>
        <row r="15714">
          <cell r="H15714" t="str">
            <v>EP96GWC-RES</v>
          </cell>
          <cell r="I15714" t="str">
            <v>EXTRA PICK UP 96 GW - RES</v>
          </cell>
        </row>
        <row r="15715">
          <cell r="H15715" t="str">
            <v>EXTRAGRAD1-RES</v>
          </cell>
          <cell r="I15715" t="str">
            <v>EXTRAS GRADUATED 1-2 - RES</v>
          </cell>
        </row>
        <row r="15716">
          <cell r="H15716" t="str">
            <v>EXTRAGRAD2-RES</v>
          </cell>
          <cell r="I15716" t="str">
            <v>EXTRAS GRADUATED 3+ - RES</v>
          </cell>
        </row>
        <row r="15717">
          <cell r="H15717" t="str">
            <v>EXTRAGWC-RES</v>
          </cell>
          <cell r="I15717" t="str">
            <v>EXTRA GREENWASTE FEE - RE</v>
          </cell>
        </row>
        <row r="15718">
          <cell r="H15718" t="str">
            <v>GWRES</v>
          </cell>
          <cell r="I15718" t="str">
            <v>GREENWASTE SERVICE - RES</v>
          </cell>
        </row>
        <row r="15719">
          <cell r="H15719" t="str">
            <v>OW-RES</v>
          </cell>
          <cell r="I15719" t="str">
            <v>OVERFILL / OVERWEIGHT CAN</v>
          </cell>
        </row>
        <row r="15720">
          <cell r="H15720" t="str">
            <v>REINSTATE-RES</v>
          </cell>
          <cell r="I15720" t="str">
            <v>REINSTATE FEE - RES</v>
          </cell>
        </row>
        <row r="15721">
          <cell r="H15721" t="str">
            <v>SL065.0G1W001WREC</v>
          </cell>
          <cell r="I15721" t="str">
            <v>65 GL 1X WK W/RECY 1</v>
          </cell>
        </row>
        <row r="15722">
          <cell r="H15722" t="str">
            <v>SL065.0GEO001WREC</v>
          </cell>
          <cell r="I15722" t="str">
            <v>65 GL EOW W/RECY 1</v>
          </cell>
        </row>
        <row r="15723">
          <cell r="H15723" t="str">
            <v>SPGRAD1-RES</v>
          </cell>
          <cell r="I15723" t="str">
            <v>SPECIAL GRADUATED 1-2 - R</v>
          </cell>
        </row>
        <row r="15724">
          <cell r="H15724" t="str">
            <v>SPGRAD2-RES</v>
          </cell>
          <cell r="I15724" t="str">
            <v>SPECIAL GRADUATED 3+ - RE</v>
          </cell>
        </row>
        <row r="15725">
          <cell r="H15725" t="str">
            <v>WI2-RES</v>
          </cell>
          <cell r="I15725" t="str">
            <v>WALK IN 26-50' - RES</v>
          </cell>
        </row>
        <row r="15726">
          <cell r="H15726" t="str">
            <v>GWRES</v>
          </cell>
          <cell r="I15726" t="str">
            <v>GREENWASTE SERVICE - RES</v>
          </cell>
        </row>
        <row r="15727">
          <cell r="H15727" t="str">
            <v>RECBINONLYR</v>
          </cell>
          <cell r="I15727" t="str">
            <v>RECYCLE SERVICE ONLY</v>
          </cell>
        </row>
        <row r="15728">
          <cell r="H15728" t="str">
            <v>SL035.0G1M001WREC</v>
          </cell>
          <cell r="I15728" t="str">
            <v>35 GL 1X MO W/RECY 1</v>
          </cell>
        </row>
        <row r="15729">
          <cell r="H15729" t="str">
            <v>SL035.0G1W001WREC</v>
          </cell>
          <cell r="I15729" t="str">
            <v>35 GL 1X WK W/ RECY 1</v>
          </cell>
        </row>
        <row r="15730">
          <cell r="H15730" t="str">
            <v>SL065.0G1M001WREC</v>
          </cell>
          <cell r="I15730" t="str">
            <v>65 GL 1X MO W/RECY 1</v>
          </cell>
        </row>
        <row r="15731">
          <cell r="H15731" t="str">
            <v>SL065.0G1W001WREC</v>
          </cell>
          <cell r="I15731" t="str">
            <v>65 GL 1X WK W/RECY 1</v>
          </cell>
        </row>
        <row r="15732">
          <cell r="H15732" t="str">
            <v>SL065.0GEO001WREC</v>
          </cell>
          <cell r="I15732" t="str">
            <v>65 GL EOW W/RECY 1</v>
          </cell>
        </row>
        <row r="15733">
          <cell r="H15733" t="str">
            <v>SL095.0G1M001WREC</v>
          </cell>
          <cell r="I15733" t="str">
            <v>95 GL 1X MO W/RECY 1</v>
          </cell>
        </row>
        <row r="15734">
          <cell r="H15734" t="str">
            <v>SL095.0G1W001NOREC</v>
          </cell>
          <cell r="I15734" t="str">
            <v>95 GL 1X WK NO RECY 1</v>
          </cell>
        </row>
        <row r="15735">
          <cell r="H15735" t="str">
            <v>SL095.0G1W001WREC</v>
          </cell>
          <cell r="I15735" t="str">
            <v>95 GL 1X WK W/RECY 1</v>
          </cell>
        </row>
        <row r="15736">
          <cell r="H15736" t="str">
            <v>SL095.0GEO001WREC</v>
          </cell>
          <cell r="I15736" t="str">
            <v>95 GL EOW W/RECY 1</v>
          </cell>
        </row>
        <row r="15737">
          <cell r="H15737" t="str">
            <v>WI1-RES</v>
          </cell>
          <cell r="I15737" t="str">
            <v>WALK IN 6-25' - RES</v>
          </cell>
        </row>
        <row r="15738">
          <cell r="H15738" t="str">
            <v>ADJ-RES</v>
          </cell>
          <cell r="I15738" t="str">
            <v>ADJUSTMENT SERVICE - RES</v>
          </cell>
        </row>
        <row r="15739">
          <cell r="H15739" t="str">
            <v>BULKY-RES</v>
          </cell>
          <cell r="I15739" t="str">
            <v>BULKY ITEM PICK UP - RES</v>
          </cell>
        </row>
        <row r="15740">
          <cell r="H15740" t="str">
            <v>EP96GWC-RES</v>
          </cell>
          <cell r="I15740" t="str">
            <v>EXTRA PICK UP 96 GW - RES</v>
          </cell>
        </row>
        <row r="15741">
          <cell r="H15741" t="str">
            <v>EXTRAGRAD1-RES</v>
          </cell>
          <cell r="I15741" t="str">
            <v>EXTRAS GRADUATED 1-2 - RES</v>
          </cell>
        </row>
        <row r="15742">
          <cell r="H15742" t="str">
            <v>EXTRAGRAD2-RES</v>
          </cell>
          <cell r="I15742" t="str">
            <v>EXTRAS GRADUATED 3+ - RES</v>
          </cell>
        </row>
        <row r="15743">
          <cell r="H15743" t="str">
            <v>EXTRAGWC-RES</v>
          </cell>
          <cell r="I15743" t="str">
            <v>EXTRA GREENWASTE FEE - RE</v>
          </cell>
        </row>
        <row r="15744">
          <cell r="H15744" t="str">
            <v>GWRES</v>
          </cell>
          <cell r="I15744" t="str">
            <v>GREENWASTE SERVICE - RES</v>
          </cell>
        </row>
        <row r="15745">
          <cell r="H15745" t="str">
            <v>OW-RES</v>
          </cell>
          <cell r="I15745" t="str">
            <v>OVERFILL / OVERWEIGHT CAN</v>
          </cell>
        </row>
        <row r="15746">
          <cell r="H15746" t="str">
            <v>RECPROGADJ-RES</v>
          </cell>
          <cell r="I15746" t="str">
            <v>RECYCLING PROGRAM ADJUSTM</v>
          </cell>
        </row>
        <row r="15747">
          <cell r="H15747" t="str">
            <v>RECVALRES</v>
          </cell>
          <cell r="I15747" t="str">
            <v>RECYCLABLES VALUE - RES</v>
          </cell>
        </row>
        <row r="15748">
          <cell r="H15748" t="str">
            <v>REDEL-RES</v>
          </cell>
          <cell r="I15748" t="str">
            <v>REDELIVER FEE - RES</v>
          </cell>
        </row>
        <row r="15749">
          <cell r="H15749" t="str">
            <v>REINSTATE-RES</v>
          </cell>
          <cell r="I15749" t="str">
            <v>REINSTATE FEE - RES</v>
          </cell>
        </row>
        <row r="15750">
          <cell r="H15750" t="str">
            <v>RTRNCART65-RES</v>
          </cell>
          <cell r="I15750" t="str">
            <v>RETURN TRIP 65 GL - RES</v>
          </cell>
        </row>
        <row r="15751">
          <cell r="H15751" t="str">
            <v>SL035.0G1W001WREC</v>
          </cell>
          <cell r="I15751" t="str">
            <v>35 GL 1X WK W/ RECY 1</v>
          </cell>
        </row>
        <row r="15752">
          <cell r="H15752" t="str">
            <v>SL065.0G1W001WREC</v>
          </cell>
          <cell r="I15752" t="str">
            <v>65 GL 1X WK W/RECY 1</v>
          </cell>
        </row>
        <row r="15753">
          <cell r="H15753" t="str">
            <v>SL065.0GEO001WREC</v>
          </cell>
          <cell r="I15753" t="str">
            <v>65 GL EOW W/RECY 1</v>
          </cell>
        </row>
        <row r="15754">
          <cell r="H15754" t="str">
            <v>SPGRAD1-RES</v>
          </cell>
          <cell r="I15754" t="str">
            <v>SPECIAL GRADUATED 1-2 - R</v>
          </cell>
        </row>
        <row r="15755">
          <cell r="H15755" t="str">
            <v>SPGRAD2-RES</v>
          </cell>
          <cell r="I15755" t="str">
            <v>SPECIAL GRADUATED 3+ - RE</v>
          </cell>
        </row>
        <row r="15756">
          <cell r="H15756" t="str">
            <v>BULKY-RES</v>
          </cell>
          <cell r="I15756" t="str">
            <v>BULKY ITEM PICK UP - RES</v>
          </cell>
        </row>
        <row r="15757">
          <cell r="H15757" t="str">
            <v>OW-RES</v>
          </cell>
          <cell r="I15757" t="str">
            <v>OVERFILL / OVERWEIGHT CAN</v>
          </cell>
        </row>
        <row r="15758">
          <cell r="H15758" t="str">
            <v>SPGRAD1-RES</v>
          </cell>
          <cell r="I15758" t="str">
            <v>SPECIAL GRADUATED 1-2 - R</v>
          </cell>
        </row>
        <row r="15759">
          <cell r="H15759" t="str">
            <v>DISCO-CP</v>
          </cell>
          <cell r="I15759" t="str">
            <v xml:space="preserve">COMPACTOR DISCONNECT FEE </v>
          </cell>
        </row>
        <row r="15760">
          <cell r="H15760" t="str">
            <v>HAUL30-RO</v>
          </cell>
          <cell r="I15760" t="str">
            <v>HAUL 30 YD - RO</v>
          </cell>
        </row>
        <row r="15761">
          <cell r="H15761" t="str">
            <v>LIDRO</v>
          </cell>
          <cell r="I15761" t="str">
            <v>LID CHARGE - RO</v>
          </cell>
        </row>
        <row r="15762">
          <cell r="H15762" t="str">
            <v>RENT15MO-RO</v>
          </cell>
          <cell r="I15762" t="str">
            <v>RENTAL FEE 15 YD MONTHLY</v>
          </cell>
        </row>
        <row r="15763">
          <cell r="H15763" t="str">
            <v>RENT20MO-RO</v>
          </cell>
          <cell r="I15763" t="str">
            <v>RENTAL FEE 20 YD MONTHLY</v>
          </cell>
        </row>
        <row r="15764">
          <cell r="H15764" t="str">
            <v>RENT20TEMP-RO</v>
          </cell>
          <cell r="I15764" t="str">
            <v>RENTAL FEE 20 YD TEMP - R</v>
          </cell>
        </row>
        <row r="15765">
          <cell r="H15765" t="str">
            <v>RENT30MO-RO</v>
          </cell>
          <cell r="I15765" t="str">
            <v>RENTAL FEE 30 YD MONTHLY</v>
          </cell>
        </row>
        <row r="15766">
          <cell r="H15766" t="str">
            <v>RENT30TEMP-RO</v>
          </cell>
          <cell r="I15766" t="str">
            <v>RENTAL FEE 30 YD TEMP - R</v>
          </cell>
        </row>
        <row r="15767">
          <cell r="H15767" t="str">
            <v>RENT40MO-RO</v>
          </cell>
          <cell r="I15767" t="str">
            <v>RENTAL FEE 40 YD MONTHLY</v>
          </cell>
        </row>
        <row r="15768">
          <cell r="H15768" t="str">
            <v>RENT40TEMP-RO</v>
          </cell>
          <cell r="I15768" t="str">
            <v>RENTAL FEE 40 YD TEMP - R</v>
          </cell>
        </row>
        <row r="15769">
          <cell r="H15769" t="str">
            <v>DEL20-RO</v>
          </cell>
          <cell r="I15769" t="str">
            <v>DELIVERY FEE 20 YD - RO</v>
          </cell>
        </row>
        <row r="15770">
          <cell r="H15770" t="str">
            <v>DEL20TEMP-RO</v>
          </cell>
          <cell r="I15770" t="str">
            <v>DELIVERY FEE 20 YD TEMP -</v>
          </cell>
        </row>
        <row r="15771">
          <cell r="H15771" t="str">
            <v>DEL30-RO</v>
          </cell>
          <cell r="I15771" t="str">
            <v>DELIVERY FEE 30 YD - RO</v>
          </cell>
        </row>
        <row r="15772">
          <cell r="H15772" t="str">
            <v>DEL30TEMP-RO</v>
          </cell>
          <cell r="I15772" t="str">
            <v>DELIVERY FEE 30 YD TEMP -</v>
          </cell>
        </row>
        <row r="15773">
          <cell r="H15773" t="str">
            <v>DEL40-RO</v>
          </cell>
          <cell r="I15773" t="str">
            <v>DELIVERY FEE 40 YD - RO</v>
          </cell>
        </row>
        <row r="15774">
          <cell r="H15774" t="str">
            <v>DEL40TEMP-RO</v>
          </cell>
          <cell r="I15774" t="str">
            <v>DELIVERY FEE 40 YD TEMP -</v>
          </cell>
        </row>
        <row r="15775">
          <cell r="H15775" t="str">
            <v>DISCO-CP</v>
          </cell>
          <cell r="I15775" t="str">
            <v xml:space="preserve">COMPACTOR DISCONNECT FEE </v>
          </cell>
        </row>
        <row r="15776">
          <cell r="H15776" t="str">
            <v>DISP-RO</v>
          </cell>
          <cell r="I15776" t="str">
            <v>DISPOSAL CHARGE - RO</v>
          </cell>
        </row>
        <row r="15777">
          <cell r="H15777" t="str">
            <v>DISPTRANS-RO</v>
          </cell>
          <cell r="I15777" t="str">
            <v>DISPOSAL FEE TRANSFER HAU</v>
          </cell>
        </row>
        <row r="15778">
          <cell r="H15778" t="str">
            <v>EXWGHT-RO</v>
          </cell>
          <cell r="I15778" t="str">
            <v>EXCESS WEIGHT - RO</v>
          </cell>
        </row>
        <row r="15779">
          <cell r="H15779" t="str">
            <v>FINAL20-RO</v>
          </cell>
          <cell r="I15779" t="str">
            <v>FINAL PULL 20 YD - RO</v>
          </cell>
        </row>
        <row r="15780">
          <cell r="H15780" t="str">
            <v>FINAL20TEMP-RO</v>
          </cell>
          <cell r="I15780" t="str">
            <v>FINAL PULL 20 YD TEMP - R</v>
          </cell>
        </row>
        <row r="15781">
          <cell r="H15781" t="str">
            <v>FINAL30-RO</v>
          </cell>
          <cell r="I15781" t="str">
            <v>FINAL PULL 30 YD - RO</v>
          </cell>
        </row>
        <row r="15782">
          <cell r="H15782" t="str">
            <v>FINAL30TEMP-RO</v>
          </cell>
          <cell r="I15782" t="str">
            <v>FINAL PULL 30 YD TEMP - R</v>
          </cell>
        </row>
        <row r="15783">
          <cell r="H15783" t="str">
            <v>FINAL40-RO</v>
          </cell>
          <cell r="I15783" t="str">
            <v>FINAL PULL 40 YD - RO</v>
          </cell>
        </row>
        <row r="15784">
          <cell r="H15784" t="str">
            <v>FINAL40TEMP-RO</v>
          </cell>
          <cell r="I15784" t="str">
            <v>FINAL PULL 40 YD TEMP - R</v>
          </cell>
        </row>
        <row r="15785">
          <cell r="H15785" t="str">
            <v>GATE-RO</v>
          </cell>
          <cell r="I15785" t="str">
            <v>GATE CHARGE - RO</v>
          </cell>
        </row>
        <row r="15786">
          <cell r="H15786" t="str">
            <v>HAUL10-CP</v>
          </cell>
          <cell r="I15786" t="str">
            <v>COMPACTOR HAUL 10 YD - RO</v>
          </cell>
        </row>
        <row r="15787">
          <cell r="H15787" t="str">
            <v>HAUL15-CP</v>
          </cell>
          <cell r="I15787" t="str">
            <v>COMPACTOR HAUL 15 YD</v>
          </cell>
        </row>
        <row r="15788">
          <cell r="H15788" t="str">
            <v>HAUL20-CP</v>
          </cell>
          <cell r="I15788" t="str">
            <v>COMPACTOR HAUL 20 YD - RO</v>
          </cell>
        </row>
        <row r="15789">
          <cell r="H15789" t="str">
            <v>HAUL20-RO</v>
          </cell>
          <cell r="I15789" t="str">
            <v>HAUL 20 YD - RO</v>
          </cell>
        </row>
        <row r="15790">
          <cell r="H15790" t="str">
            <v>HAUL20TEMP-RO</v>
          </cell>
          <cell r="I15790" t="str">
            <v>HAUL 20 YD TEMP - RO</v>
          </cell>
        </row>
        <row r="15791">
          <cell r="H15791" t="str">
            <v>HAUL25-CP</v>
          </cell>
          <cell r="I15791" t="str">
            <v>COMPACTOR HAUL 25 YD - RO</v>
          </cell>
        </row>
        <row r="15792">
          <cell r="H15792" t="str">
            <v>HAUL26-CP</v>
          </cell>
          <cell r="I15792" t="str">
            <v>COMPACTOR HAUL 26 YD - RO</v>
          </cell>
        </row>
        <row r="15793">
          <cell r="H15793" t="str">
            <v>HAUL30-CP</v>
          </cell>
          <cell r="I15793" t="str">
            <v>COMPACTOR HAUL 30 YD</v>
          </cell>
        </row>
        <row r="15794">
          <cell r="H15794" t="str">
            <v>HAUL30-RO</v>
          </cell>
          <cell r="I15794" t="str">
            <v>HAUL 30 YD - RO</v>
          </cell>
        </row>
        <row r="15795">
          <cell r="H15795" t="str">
            <v>HAUL30TEMP-RO</v>
          </cell>
          <cell r="I15795" t="str">
            <v>HAUL 30 YD TEMP - RO</v>
          </cell>
        </row>
        <row r="15796">
          <cell r="H15796" t="str">
            <v>HAUL35-CP</v>
          </cell>
          <cell r="I15796" t="str">
            <v>COMPACTOR HAUL 35 YD - RO</v>
          </cell>
        </row>
        <row r="15797">
          <cell r="H15797" t="str">
            <v>HAUL40-CP</v>
          </cell>
          <cell r="I15797" t="str">
            <v>COMPACTOR HAUL 40 YD</v>
          </cell>
        </row>
        <row r="15798">
          <cell r="H15798" t="str">
            <v>HAUL40-RO</v>
          </cell>
          <cell r="I15798" t="str">
            <v>HAUL 40 YD - RO</v>
          </cell>
        </row>
        <row r="15799">
          <cell r="H15799" t="str">
            <v>HAUL40TEMP-RO</v>
          </cell>
          <cell r="I15799" t="str">
            <v>HAUL 40 YD TEMP - RO</v>
          </cell>
        </row>
        <row r="15800">
          <cell r="H15800" t="str">
            <v>RELO-RO</v>
          </cell>
          <cell r="I15800" t="str">
            <v>RELOCATION FEE - RO</v>
          </cell>
        </row>
        <row r="15801">
          <cell r="H15801" t="str">
            <v>RENT20TEMP-RO</v>
          </cell>
          <cell r="I15801" t="str">
            <v>RENTAL FEE 20 YD TEMP - R</v>
          </cell>
        </row>
        <row r="15802">
          <cell r="H15802" t="str">
            <v>RENT30TEMP-RO</v>
          </cell>
          <cell r="I15802" t="str">
            <v>RENTAL FEE 30 YD TEMP - R</v>
          </cell>
        </row>
        <row r="15803">
          <cell r="H15803" t="str">
            <v>RENT40TEMP-RO</v>
          </cell>
          <cell r="I15803" t="str">
            <v>RENTAL FEE 40 YD TEMP - R</v>
          </cell>
        </row>
        <row r="15804">
          <cell r="H15804" t="str">
            <v>RTRNTRIP-RO</v>
          </cell>
          <cell r="I15804" t="str">
            <v>RETURN TRIP FEE - RO</v>
          </cell>
        </row>
        <row r="15805">
          <cell r="H15805" t="str">
            <v>TIME-RO</v>
          </cell>
          <cell r="I15805" t="str">
            <v>TIME FEE - RO</v>
          </cell>
        </row>
        <row r="15806">
          <cell r="H15806" t="str">
            <v>DISPGLASS-RO</v>
          </cell>
          <cell r="I15806" t="str">
            <v>DISPOSAL FEE GLASS - RO</v>
          </cell>
        </row>
        <row r="15807">
          <cell r="H15807" t="str">
            <v>DISPMATT-RO</v>
          </cell>
          <cell r="I15807" t="str">
            <v>DISPOSAL MATTRESSES - RO</v>
          </cell>
        </row>
        <row r="15808">
          <cell r="H15808" t="str">
            <v>DISPMETAL-RO</v>
          </cell>
          <cell r="I15808" t="str">
            <v>DISPOSAL FEE METAL - RO</v>
          </cell>
        </row>
        <row r="15809">
          <cell r="H15809" t="str">
            <v>DISPTIRES-RO</v>
          </cell>
          <cell r="I15809" t="str">
            <v>DISPOSAL FEE TIRES - RO</v>
          </cell>
        </row>
        <row r="15810">
          <cell r="H15810" t="str">
            <v>COMMODITY SURCHARGE</v>
          </cell>
          <cell r="I15810" t="str">
            <v>COMMODITY SURCHARGE</v>
          </cell>
        </row>
        <row r="15811">
          <cell r="H15811" t="str">
            <v>COMMODITY SURCHARGE</v>
          </cell>
          <cell r="I15811" t="str">
            <v>COMMODITY SURCHARGE</v>
          </cell>
        </row>
        <row r="15812">
          <cell r="H15812" t="str">
            <v>LAKEWOOD CITY ONLY</v>
          </cell>
          <cell r="I15812" t="str">
            <v>6% CITY UTILITY TAX</v>
          </cell>
        </row>
        <row r="15813">
          <cell r="H15813" t="str">
            <v>LAKEWOOD CITY UTILITY TAX</v>
          </cell>
          <cell r="I15813" t="str">
            <v>6% CITY UTILITY TAX</v>
          </cell>
        </row>
        <row r="15814">
          <cell r="H15814" t="str">
            <v>LAKEWOOD REFUSE TAX</v>
          </cell>
          <cell r="I15814" t="str">
            <v>3.6% WA STATE REFUSE TAX</v>
          </cell>
        </row>
        <row r="15815">
          <cell r="H15815" t="str">
            <v>LAKEWOOD STATE SALES TAX</v>
          </cell>
          <cell r="I15815" t="str">
            <v>9.9% WA STATE SALES TAX</v>
          </cell>
        </row>
        <row r="15816">
          <cell r="H15816" t="str">
            <v>LAKEWOOD CITY ONLY</v>
          </cell>
          <cell r="I15816" t="str">
            <v>6% CITY UTILITY TAX</v>
          </cell>
        </row>
        <row r="15817">
          <cell r="H15817" t="str">
            <v>LAKEWOOD CITY UTILITY TAX</v>
          </cell>
          <cell r="I15817" t="str">
            <v>6% CITY UTILITY TAX</v>
          </cell>
        </row>
        <row r="15818">
          <cell r="H15818" t="str">
            <v>LAKEWOOD REFUSE TAX</v>
          </cell>
          <cell r="I15818" t="str">
            <v>3.6% WA STATE REFUSE TAX</v>
          </cell>
        </row>
        <row r="15819">
          <cell r="H15819" t="str">
            <v>LAKEWOOD STATE SALES TAX</v>
          </cell>
          <cell r="I15819" t="str">
            <v>9.9% WA STATE SALES TAX</v>
          </cell>
        </row>
        <row r="15820">
          <cell r="H15820" t="str">
            <v>LAKEWOOD CITY ONLY</v>
          </cell>
          <cell r="I15820" t="str">
            <v>6% CITY UTILITY TAX</v>
          </cell>
        </row>
        <row r="15821">
          <cell r="H15821" t="str">
            <v>LAKEWOOD CITY ONLY</v>
          </cell>
          <cell r="I15821" t="str">
            <v>6% CITY UTILITY TAX</v>
          </cell>
        </row>
        <row r="15822">
          <cell r="H15822" t="str">
            <v>LAKEWOOD CITY UTILITY TAX</v>
          </cell>
          <cell r="I15822" t="str">
            <v>6% CITY UTILITY TAX</v>
          </cell>
        </row>
        <row r="15823">
          <cell r="H15823" t="str">
            <v>LAKEWOOD REFUSE TAX</v>
          </cell>
          <cell r="I15823" t="str">
            <v>3.6% WA STATE REFUSE TAX</v>
          </cell>
        </row>
        <row r="15824">
          <cell r="H15824" t="str">
            <v>LAKEWOOD STATE SALES TAX</v>
          </cell>
          <cell r="I15824" t="str">
            <v>9.9% WA STATE SALES TAX</v>
          </cell>
        </row>
        <row r="15825">
          <cell r="H15825" t="str">
            <v>LAKEWOOD CITY UTILITY TAX</v>
          </cell>
          <cell r="I15825" t="str">
            <v>6% CITY UTILITY TAX</v>
          </cell>
        </row>
        <row r="15826">
          <cell r="H15826" t="str">
            <v>LAKEWOOD REFUSE TAX</v>
          </cell>
          <cell r="I15826" t="str">
            <v>3.6% WA STATE REFUSE TAX</v>
          </cell>
        </row>
        <row r="15827">
          <cell r="H15827" t="str">
            <v>LAKEWOOD CITY UTILITY TAX</v>
          </cell>
          <cell r="I15827" t="str">
            <v>6% CITY UTILITY TAX</v>
          </cell>
        </row>
        <row r="15828">
          <cell r="H15828" t="str">
            <v>LAKEWOOD REFUSE TAX</v>
          </cell>
          <cell r="I15828" t="str">
            <v>3.6% WA STATE REFUSE TAX</v>
          </cell>
        </row>
        <row r="15829">
          <cell r="H15829" t="str">
            <v>LAKEWOOD CITY UTILITY TAX</v>
          </cell>
          <cell r="I15829" t="str">
            <v>6% CITY UTILITY TAX</v>
          </cell>
        </row>
        <row r="15830">
          <cell r="H15830" t="str">
            <v>LAKEWOOD REFUSE TAX</v>
          </cell>
          <cell r="I15830" t="str">
            <v>3.6% WA STATE REFUSE TAX</v>
          </cell>
        </row>
        <row r="15831">
          <cell r="H15831" t="str">
            <v>LAKEWOOD CITY ONLY</v>
          </cell>
          <cell r="I15831" t="str">
            <v>6% CITY UTILITY TAX</v>
          </cell>
        </row>
        <row r="15832">
          <cell r="H15832" t="str">
            <v>LAKEWOOD CITY UTILITY TAX</v>
          </cell>
          <cell r="I15832" t="str">
            <v>6% CITY UTILITY TAX</v>
          </cell>
        </row>
        <row r="15833">
          <cell r="H15833" t="str">
            <v>LAKEWOOD REFUSE TAX</v>
          </cell>
          <cell r="I15833" t="str">
            <v>3.6% WA STATE REFUSE TAX</v>
          </cell>
        </row>
        <row r="15834">
          <cell r="H15834" t="str">
            <v>LAKEWOOD STATE SALES TAX</v>
          </cell>
          <cell r="I15834" t="str">
            <v>9.9% WA STATE SALES TAX</v>
          </cell>
        </row>
        <row r="15835">
          <cell r="H15835" t="str">
            <v>LAKEWOOD CITY UTILITY TAX</v>
          </cell>
          <cell r="I15835" t="str">
            <v>6% CITY UTILITY TAX</v>
          </cell>
        </row>
        <row r="15836">
          <cell r="H15836" t="str">
            <v>LAKEWOOD REFUSE TAX</v>
          </cell>
          <cell r="I15836" t="str">
            <v>3.6% WA STATE REFUSE TAX</v>
          </cell>
        </row>
        <row r="15837">
          <cell r="H15837" t="str">
            <v>FINCHG</v>
          </cell>
          <cell r="I15837" t="str">
            <v>LATE FEE</v>
          </cell>
        </row>
        <row r="15838">
          <cell r="H15838" t="str">
            <v>BD</v>
          </cell>
          <cell r="I15838" t="str">
            <v>BAD DEBT WRITE OFF</v>
          </cell>
        </row>
        <row r="15839">
          <cell r="H15839" t="str">
            <v>BDR</v>
          </cell>
          <cell r="I15839" t="str">
            <v>BAD DEBT RECOVERY</v>
          </cell>
        </row>
        <row r="15840">
          <cell r="H15840" t="str">
            <v>COLLFEE</v>
          </cell>
          <cell r="I15840" t="str">
            <v>COLLECTION AGENCY FEE</v>
          </cell>
        </row>
        <row r="15841">
          <cell r="H15841" t="str">
            <v>FINCHG</v>
          </cell>
          <cell r="I15841" t="str">
            <v>LATE FEE</v>
          </cell>
        </row>
        <row r="15842">
          <cell r="H15842" t="str">
            <v>MM</v>
          </cell>
          <cell r="I15842" t="str">
            <v>ADJUST BALANCE (MM)</v>
          </cell>
        </row>
        <row r="15843">
          <cell r="H15843" t="str">
            <v>MM</v>
          </cell>
          <cell r="I15843" t="str">
            <v>ADJUST BALANCE (MM)</v>
          </cell>
        </row>
        <row r="15844">
          <cell r="H15844" t="str">
            <v>REFUND</v>
          </cell>
          <cell r="I15844" t="str">
            <v>REFUND</v>
          </cell>
        </row>
        <row r="15845">
          <cell r="H15845" t="str">
            <v>RETCKC</v>
          </cell>
          <cell r="I15845" t="str">
            <v>RETURN CHECK CHARGE</v>
          </cell>
        </row>
        <row r="15846">
          <cell r="H15846" t="str">
            <v>BD</v>
          </cell>
          <cell r="I15846" t="str">
            <v>BAD DEBT WRITE OFF</v>
          </cell>
        </row>
        <row r="15847">
          <cell r="H15847" t="str">
            <v>BDR</v>
          </cell>
          <cell r="I15847" t="str">
            <v>BAD DEBT RECOVERY</v>
          </cell>
        </row>
        <row r="15848">
          <cell r="H15848" t="str">
            <v>COLLFEE</v>
          </cell>
          <cell r="I15848" t="str">
            <v>COLLECTION AGENCY FEE</v>
          </cell>
        </row>
        <row r="15849">
          <cell r="H15849" t="str">
            <v>FINCHG</v>
          </cell>
          <cell r="I15849" t="str">
            <v>LATE FEE</v>
          </cell>
        </row>
        <row r="15850">
          <cell r="H15850" t="str">
            <v>MM</v>
          </cell>
          <cell r="I15850" t="str">
            <v>ADJUST BALANCE (MM)</v>
          </cell>
        </row>
        <row r="15851">
          <cell r="H15851" t="str">
            <v>MM</v>
          </cell>
          <cell r="I15851" t="str">
            <v>ADJUST BALANCE (MM)</v>
          </cell>
        </row>
        <row r="15852">
          <cell r="H15852" t="str">
            <v>REFUND</v>
          </cell>
          <cell r="I15852" t="str">
            <v>REFUND</v>
          </cell>
        </row>
        <row r="15853">
          <cell r="H15853" t="str">
            <v>RETCK</v>
          </cell>
          <cell r="I15853" t="str">
            <v>RETURNED CHECK</v>
          </cell>
        </row>
        <row r="15854">
          <cell r="H15854" t="str">
            <v>RETCKC</v>
          </cell>
          <cell r="I15854" t="str">
            <v>RETURN CHECK CHARGE</v>
          </cell>
        </row>
        <row r="15855">
          <cell r="H15855" t="str">
            <v>FINCHG</v>
          </cell>
          <cell r="I15855" t="str">
            <v>LATE FEE</v>
          </cell>
        </row>
        <row r="15856">
          <cell r="H15856" t="str">
            <v>BD</v>
          </cell>
          <cell r="I15856" t="str">
            <v>BAD DEBT WRITE OFF</v>
          </cell>
        </row>
        <row r="15857">
          <cell r="H15857" t="str">
            <v>BDR</v>
          </cell>
          <cell r="I15857" t="str">
            <v>BAD DEBT RECOVERY</v>
          </cell>
        </row>
        <row r="15858">
          <cell r="H15858" t="str">
            <v>COLLFEE</v>
          </cell>
          <cell r="I15858" t="str">
            <v>COLLECTION AGENCY FEE</v>
          </cell>
        </row>
        <row r="15859">
          <cell r="H15859" t="str">
            <v>FINCHG</v>
          </cell>
          <cell r="I15859" t="str">
            <v>LATE FEE</v>
          </cell>
        </row>
        <row r="15860">
          <cell r="H15860" t="str">
            <v>MM</v>
          </cell>
          <cell r="I15860" t="str">
            <v>ADJUST BALANCE (MM)</v>
          </cell>
        </row>
        <row r="15861">
          <cell r="H15861" t="str">
            <v>MM</v>
          </cell>
          <cell r="I15861" t="str">
            <v>ADJUST BALANCE (MM)</v>
          </cell>
        </row>
        <row r="15862">
          <cell r="H15862" t="str">
            <v>REFUND</v>
          </cell>
          <cell r="I15862" t="str">
            <v>REFUND</v>
          </cell>
        </row>
        <row r="15863">
          <cell r="H15863" t="str">
            <v>RETCK</v>
          </cell>
          <cell r="I15863" t="str">
            <v>RETURNED CHECK</v>
          </cell>
        </row>
        <row r="15864">
          <cell r="H15864" t="str">
            <v>RETCKC</v>
          </cell>
          <cell r="I15864" t="str">
            <v>RETURN CHECK CHARGE</v>
          </cell>
        </row>
        <row r="15865">
          <cell r="H15865" t="str">
            <v>FINCHG</v>
          </cell>
          <cell r="I15865" t="str">
            <v>LATE FEE</v>
          </cell>
        </row>
        <row r="15866">
          <cell r="H15866" t="str">
            <v>ACCESS-COMM</v>
          </cell>
          <cell r="I15866" t="str">
            <v>ACCESS FEE - COMM</v>
          </cell>
        </row>
        <row r="15867">
          <cell r="H15867" t="str">
            <v>ACCESS-COMM</v>
          </cell>
          <cell r="I15867" t="str">
            <v>ACCESS FEE - COMM</v>
          </cell>
        </row>
        <row r="15868">
          <cell r="H15868" t="str">
            <v>CANCOUNT-COMM</v>
          </cell>
          <cell r="I15868" t="str">
            <v>CAN COUNT - COMM</v>
          </cell>
        </row>
        <row r="15869">
          <cell r="H15869" t="str">
            <v>ACCESS-COMM</v>
          </cell>
          <cell r="I15869" t="str">
            <v>ACCESS FEE - COMM</v>
          </cell>
        </row>
        <row r="15870">
          <cell r="H15870" t="str">
            <v>DIST4CAN-COMM</v>
          </cell>
          <cell r="I15870" t="str">
            <v>DISTRIBUTED 4 CANS - COMM</v>
          </cell>
        </row>
        <row r="15871">
          <cell r="H15871" t="str">
            <v>DONATIONC</v>
          </cell>
          <cell r="I15871" t="str">
            <v>DONATED SERVICE COMM</v>
          </cell>
        </row>
        <row r="15872">
          <cell r="H15872" t="str">
            <v>DRIVEIN-COMM</v>
          </cell>
          <cell r="I15872" t="str">
            <v>DRIVE IN SERVICE - COMM</v>
          </cell>
        </row>
        <row r="15873">
          <cell r="H15873" t="str">
            <v>DRIVEIN1-COMM</v>
          </cell>
          <cell r="I15873" t="str">
            <v>DRIVE IN 125-250' - COMM</v>
          </cell>
        </row>
        <row r="15874">
          <cell r="H15874" t="str">
            <v>DRIVEIN3-COMM</v>
          </cell>
          <cell r="I15874" t="str">
            <v>DRIVE IN 779-1306' - COMM</v>
          </cell>
        </row>
        <row r="15875">
          <cell r="H15875" t="str">
            <v>FL001.0Y1W001</v>
          </cell>
          <cell r="I15875" t="str">
            <v>1 YD 1X WK 1</v>
          </cell>
        </row>
        <row r="15876">
          <cell r="H15876" t="str">
            <v>FL001.0Y2W001</v>
          </cell>
          <cell r="I15876" t="str">
            <v>1 YD 2X WK 1</v>
          </cell>
        </row>
        <row r="15877">
          <cell r="H15877" t="str">
            <v>FL001.0Y3W001</v>
          </cell>
          <cell r="I15877" t="str">
            <v>1 YD 3X WK 1</v>
          </cell>
        </row>
        <row r="15878">
          <cell r="H15878" t="str">
            <v>FL001.0YEO001</v>
          </cell>
          <cell r="I15878" t="str">
            <v>1 YD EOW 1</v>
          </cell>
        </row>
        <row r="15879">
          <cell r="H15879" t="str">
            <v>FL001.5Y1W001</v>
          </cell>
          <cell r="I15879" t="str">
            <v>1.5 YD 1X WK 1</v>
          </cell>
        </row>
        <row r="15880">
          <cell r="H15880" t="str">
            <v>FL001.5Y2W001</v>
          </cell>
          <cell r="I15880" t="str">
            <v>1.5 YD 2X WK 1</v>
          </cell>
        </row>
        <row r="15881">
          <cell r="H15881" t="str">
            <v>FL001.5Y3W001</v>
          </cell>
          <cell r="I15881" t="str">
            <v>1.5 YD 3X WK 1</v>
          </cell>
        </row>
        <row r="15882">
          <cell r="H15882" t="str">
            <v>FL002.0Y1W001</v>
          </cell>
          <cell r="I15882" t="str">
            <v>2 YD 1X WK 1</v>
          </cell>
        </row>
        <row r="15883">
          <cell r="H15883" t="str">
            <v>FL002.0Y1W001CMP</v>
          </cell>
          <cell r="I15883" t="str">
            <v>2 YD 1X WK COMP 1</v>
          </cell>
        </row>
        <row r="15884">
          <cell r="H15884" t="str">
            <v>FL002.0Y2W001</v>
          </cell>
          <cell r="I15884" t="str">
            <v>2 YD 2X WK 1</v>
          </cell>
        </row>
        <row r="15885">
          <cell r="H15885" t="str">
            <v>FL002.0Y3W001</v>
          </cell>
          <cell r="I15885" t="str">
            <v>2 YD 3X WK 1</v>
          </cell>
        </row>
        <row r="15886">
          <cell r="H15886" t="str">
            <v>FL002.0YXX001TEMPC</v>
          </cell>
          <cell r="I15886" t="str">
            <v xml:space="preserve">2 YD TEMP </v>
          </cell>
        </row>
        <row r="15887">
          <cell r="H15887" t="str">
            <v>FL003.0Y1W001</v>
          </cell>
          <cell r="I15887" t="str">
            <v>3 YD 1X WK 1</v>
          </cell>
        </row>
        <row r="15888">
          <cell r="H15888" t="str">
            <v>FL003.0Y2W001</v>
          </cell>
          <cell r="I15888" t="str">
            <v>3 YD 2X WK 1</v>
          </cell>
        </row>
        <row r="15889">
          <cell r="H15889" t="str">
            <v>FL003.0Y2W001CMP</v>
          </cell>
          <cell r="I15889" t="str">
            <v>3 YD 2X WK COMP 1</v>
          </cell>
        </row>
        <row r="15890">
          <cell r="H15890" t="str">
            <v>FL003.0Y3W001</v>
          </cell>
          <cell r="I15890" t="str">
            <v>3 YD 3X WK 1</v>
          </cell>
        </row>
        <row r="15891">
          <cell r="H15891" t="str">
            <v>FL004.0Y1W001</v>
          </cell>
          <cell r="I15891" t="str">
            <v>4 YD 1X WK 1</v>
          </cell>
        </row>
        <row r="15892">
          <cell r="H15892" t="str">
            <v>FL004.0Y1W001CMP</v>
          </cell>
          <cell r="I15892" t="str">
            <v>4 YD 1X WK COMP 1</v>
          </cell>
        </row>
        <row r="15893">
          <cell r="H15893" t="str">
            <v>FL004.0Y2W001</v>
          </cell>
          <cell r="I15893" t="str">
            <v>4 YD 2X WK 1</v>
          </cell>
        </row>
        <row r="15894">
          <cell r="H15894" t="str">
            <v>FL004.0Y2W001CMP</v>
          </cell>
          <cell r="I15894" t="str">
            <v>4 YD 2X WK COMP 1</v>
          </cell>
        </row>
        <row r="15895">
          <cell r="H15895" t="str">
            <v>FL004.0Y3W001</v>
          </cell>
          <cell r="I15895" t="str">
            <v>4 YD 3X WK 1</v>
          </cell>
        </row>
        <row r="15896">
          <cell r="H15896" t="str">
            <v>FL006.0Y1W001</v>
          </cell>
          <cell r="I15896" t="str">
            <v>6 YD 1X WK 1</v>
          </cell>
        </row>
        <row r="15897">
          <cell r="H15897" t="str">
            <v>FL006.0Y2W001</v>
          </cell>
          <cell r="I15897" t="str">
            <v>6 YD 2X WK 1</v>
          </cell>
        </row>
        <row r="15898">
          <cell r="H15898" t="str">
            <v>FL006.0Y2W001CMP</v>
          </cell>
          <cell r="I15898" t="str">
            <v>6 YD 2X WK COMP 1</v>
          </cell>
        </row>
        <row r="15899">
          <cell r="H15899" t="str">
            <v>FL006.0Y3W001</v>
          </cell>
          <cell r="I15899" t="str">
            <v>6 YD 3X WK 1</v>
          </cell>
        </row>
        <row r="15900">
          <cell r="H15900" t="str">
            <v>FL006.0Y4W001</v>
          </cell>
          <cell r="I15900" t="str">
            <v>6 YD 4X WK 1</v>
          </cell>
        </row>
        <row r="15901">
          <cell r="H15901" t="str">
            <v>GWCOMM</v>
          </cell>
          <cell r="I15901" t="str">
            <v>GREENWASTE SERVICE - COMM</v>
          </cell>
        </row>
        <row r="15902">
          <cell r="H15902" t="str">
            <v>RENT2TEMP-COMM</v>
          </cell>
          <cell r="I15902" t="str">
            <v>RENT 2 YD TEMP - COMM</v>
          </cell>
        </row>
        <row r="15903">
          <cell r="H15903" t="str">
            <v>RL032.0G1W001NORECC</v>
          </cell>
          <cell r="I15903" t="str">
            <v xml:space="preserve">32 GL 1X WK NO RECY COMM </v>
          </cell>
        </row>
        <row r="15904">
          <cell r="H15904" t="str">
            <v>RL032.0G1W001WRECC</v>
          </cell>
          <cell r="I15904" t="str">
            <v>32 GL 1X WK W/RECY COMM 1</v>
          </cell>
        </row>
        <row r="15905">
          <cell r="H15905" t="str">
            <v>RL032.0G1W002NORECC</v>
          </cell>
          <cell r="I15905" t="str">
            <v xml:space="preserve">32 GL 1X WK NO RECY COMM </v>
          </cell>
        </row>
        <row r="15906">
          <cell r="H15906" t="str">
            <v>RL032.0G1W002WRECC</v>
          </cell>
          <cell r="I15906" t="str">
            <v>32 GL 1X WK W/RECY COMM 2</v>
          </cell>
        </row>
        <row r="15907">
          <cell r="H15907" t="str">
            <v>RL032.0G1W003WRECC</v>
          </cell>
          <cell r="I15907" t="str">
            <v>32 GL 1X WK W/RECY COMM 3</v>
          </cell>
        </row>
        <row r="15908">
          <cell r="H15908" t="str">
            <v>RL032.0G1W004WRECC</v>
          </cell>
          <cell r="I15908" t="str">
            <v>32 GL 1X WK W/RECY COMM 4</v>
          </cell>
        </row>
        <row r="15909">
          <cell r="H15909" t="str">
            <v>RL035.0G1W001NORECC</v>
          </cell>
          <cell r="I15909" t="str">
            <v>35 GL 1X WK NO RECY COMM</v>
          </cell>
        </row>
        <row r="15910">
          <cell r="H15910" t="str">
            <v>RL035.0G1W001WRECC</v>
          </cell>
          <cell r="I15910" t="str">
            <v>35 GL 1X WK W/RECY COMM 1</v>
          </cell>
        </row>
        <row r="15911">
          <cell r="H15911" t="str">
            <v>ROLL-COMM</v>
          </cell>
          <cell r="I15911" t="str">
            <v>ROLL OUT CHARGE - COMM</v>
          </cell>
        </row>
        <row r="15912">
          <cell r="H15912" t="str">
            <v>SL065.0G1W001NORECC</v>
          </cell>
          <cell r="I15912" t="str">
            <v xml:space="preserve">65 GL 1X WK NO RECY COMM </v>
          </cell>
        </row>
        <row r="15913">
          <cell r="H15913" t="str">
            <v>SL065.0G1W001WRECC</v>
          </cell>
          <cell r="I15913" t="str">
            <v>65 GL 1X WK W/RECY COMM 1</v>
          </cell>
        </row>
        <row r="15914">
          <cell r="H15914" t="str">
            <v>SL065.0GEO001NORECC</v>
          </cell>
          <cell r="I15914" t="str">
            <v>65 GL EOW NO RECY COMM 1</v>
          </cell>
        </row>
        <row r="15915">
          <cell r="H15915" t="str">
            <v>SL065.0GEO001WRECC</v>
          </cell>
          <cell r="I15915" t="str">
            <v>65 GL EOW W/RECY COMM 1</v>
          </cell>
        </row>
        <row r="15916">
          <cell r="H15916" t="str">
            <v>SL095.0G1W001NORECC</v>
          </cell>
          <cell r="I15916" t="str">
            <v xml:space="preserve">95 GL 1X WK NO RECY COMM </v>
          </cell>
        </row>
        <row r="15917">
          <cell r="H15917" t="str">
            <v>SL095.0G1W001WRECC</v>
          </cell>
          <cell r="I15917" t="str">
            <v>95 GL 1X WK W/RECY COMM 1</v>
          </cell>
        </row>
        <row r="15918">
          <cell r="H15918" t="str">
            <v>SL095.0GEO001NORECC</v>
          </cell>
          <cell r="I15918" t="str">
            <v>95 GL EOW NO RECY COMM 1</v>
          </cell>
        </row>
        <row r="15919">
          <cell r="H15919" t="str">
            <v>SL095.0GEO001WRECC</v>
          </cell>
          <cell r="I15919" t="str">
            <v>95 GL EOW W/RECY COMM 1</v>
          </cell>
        </row>
        <row r="15920">
          <cell r="H15920" t="str">
            <v>WI1-COMM</v>
          </cell>
          <cell r="I15920" t="str">
            <v>WALK IN 6-25' - COMM</v>
          </cell>
        </row>
        <row r="15921">
          <cell r="H15921" t="str">
            <v>WI2-COMM</v>
          </cell>
          <cell r="I15921" t="str">
            <v>WALK IN 26-50' - COMM</v>
          </cell>
        </row>
        <row r="15922">
          <cell r="H15922" t="str">
            <v>WI4-COMM</v>
          </cell>
          <cell r="I15922" t="str">
            <v>WALK IN 76-100' - COMM</v>
          </cell>
        </row>
        <row r="15923">
          <cell r="H15923" t="str">
            <v>BULKY-COMM</v>
          </cell>
          <cell r="I15923" t="str">
            <v>BULKY ITEM PICK UP - COMM</v>
          </cell>
        </row>
        <row r="15924">
          <cell r="H15924" t="str">
            <v>CANCOUNT-COMM</v>
          </cell>
          <cell r="I15924" t="str">
            <v>CAN COUNT - COMM</v>
          </cell>
        </row>
        <row r="15925">
          <cell r="H15925" t="str">
            <v>CANCOUNT65-COMM</v>
          </cell>
          <cell r="I15925" t="str">
            <v>CAN COUNT 65 GL - COMM</v>
          </cell>
        </row>
        <row r="15926">
          <cell r="H15926" t="str">
            <v>CLEAN-COMM</v>
          </cell>
          <cell r="I15926" t="str">
            <v xml:space="preserve">CONTAINER CLEANING FEE - </v>
          </cell>
        </row>
        <row r="15927">
          <cell r="H15927" t="str">
            <v>CLEAN1.5-COMM</v>
          </cell>
          <cell r="I15927" t="str">
            <v>CLEANING FEE 1.5 YD - COM</v>
          </cell>
        </row>
        <row r="15928">
          <cell r="H15928" t="str">
            <v>CLEAN2-COMM</v>
          </cell>
          <cell r="I15928" t="str">
            <v>CLEANING FEE 2 YD - COMM</v>
          </cell>
        </row>
        <row r="15929">
          <cell r="H15929" t="str">
            <v>DEL1.5TEMP-COMM</v>
          </cell>
          <cell r="I15929" t="str">
            <v xml:space="preserve">DELIVERY FEE 1.5 YD TEMP </v>
          </cell>
        </row>
        <row r="15930">
          <cell r="H15930" t="str">
            <v>DEL2TEMP-COMM</v>
          </cell>
          <cell r="I15930" t="str">
            <v xml:space="preserve">DELIVERY FEE 2 YD TEMP - </v>
          </cell>
        </row>
        <row r="15931">
          <cell r="H15931" t="str">
            <v>DISP-COMM</v>
          </cell>
          <cell r="I15931" t="str">
            <v>DISPOSAL FEE - COMM</v>
          </cell>
        </row>
        <row r="15932">
          <cell r="H15932" t="str">
            <v>DISPFEDMSW-COMM</v>
          </cell>
          <cell r="I15932" t="str">
            <v>DISPOSAL FEDERAL MSW - CO</v>
          </cell>
        </row>
        <row r="15933">
          <cell r="H15933" t="str">
            <v>DISPMIX-COMM</v>
          </cell>
          <cell r="I15933" t="str">
            <v>DISPOSAL MIX CMGL OCC - COMM</v>
          </cell>
        </row>
        <row r="15934">
          <cell r="H15934" t="str">
            <v>EXTRA-COMM</v>
          </cell>
          <cell r="I15934" t="str">
            <v>EXTRA CAN, BAG, BOX - COM</v>
          </cell>
        </row>
        <row r="15935">
          <cell r="H15935" t="str">
            <v>EXTRAYDG-COM</v>
          </cell>
          <cell r="I15935" t="str">
            <v>EXTRA YARDAGE - COMM</v>
          </cell>
        </row>
        <row r="15936">
          <cell r="H15936" t="str">
            <v>FL001.0YXX001TEMPC</v>
          </cell>
          <cell r="I15936" t="str">
            <v xml:space="preserve">1 YD TEMP </v>
          </cell>
        </row>
        <row r="15937">
          <cell r="H15937" t="str">
            <v>FL001.5YXX001TEMPC</v>
          </cell>
          <cell r="I15937" t="str">
            <v xml:space="preserve">1.5 YD TEMP </v>
          </cell>
        </row>
        <row r="15938">
          <cell r="H15938" t="str">
            <v>FL002.0Y1W001</v>
          </cell>
          <cell r="I15938" t="str">
            <v>2 YD 1X WK 1</v>
          </cell>
        </row>
        <row r="15939">
          <cell r="H15939" t="str">
            <v>FL002.0YXX001TEMPC</v>
          </cell>
          <cell r="I15939" t="str">
            <v xml:space="preserve">2 YD TEMP </v>
          </cell>
        </row>
        <row r="15940">
          <cell r="H15940" t="str">
            <v>REDEL-COMM</v>
          </cell>
          <cell r="I15940" t="str">
            <v>REDELIVER FEE LVL 1 - COM</v>
          </cell>
        </row>
        <row r="15941">
          <cell r="H15941" t="str">
            <v>REINSTATE-COMM</v>
          </cell>
          <cell r="I15941" t="str">
            <v>REINSTATE FEE - COMM</v>
          </cell>
        </row>
        <row r="15942">
          <cell r="H15942" t="str">
            <v>RENT1.5TEMP-COMM</v>
          </cell>
          <cell r="I15942" t="str">
            <v>RENT 1.5 YD TEMP - COMM</v>
          </cell>
        </row>
        <row r="15943">
          <cell r="H15943" t="str">
            <v>RENT1TEMP-COMM</v>
          </cell>
          <cell r="I15943" t="str">
            <v>RENT 1 YD TEMP - COMM</v>
          </cell>
        </row>
        <row r="15944">
          <cell r="H15944" t="str">
            <v>RENT2TEMP-COMM</v>
          </cell>
          <cell r="I15944" t="str">
            <v>RENT 2 YD TEMP - COMM</v>
          </cell>
        </row>
        <row r="15945">
          <cell r="H15945" t="str">
            <v>RTRNTRIP-COMM</v>
          </cell>
          <cell r="I15945" t="str">
            <v>RETURN TRIP FEE - COMM</v>
          </cell>
        </row>
        <row r="15946">
          <cell r="H15946" t="str">
            <v>SL095.0G1W001NORECC</v>
          </cell>
          <cell r="I15946" t="str">
            <v xml:space="preserve">95 GL 1X WK NO RECY COMM </v>
          </cell>
        </row>
        <row r="15947">
          <cell r="H15947" t="str">
            <v>SL095.0G1W001WRECC</v>
          </cell>
          <cell r="I15947" t="str">
            <v>95 GL 1X WK W/RECY COMM 1</v>
          </cell>
        </row>
        <row r="15948">
          <cell r="H15948" t="str">
            <v>SP1-COMM</v>
          </cell>
          <cell r="I15948" t="str">
            <v>SPECIAL PICK UP 1 YD - CO</v>
          </cell>
        </row>
        <row r="15949">
          <cell r="H15949" t="str">
            <v>SP1.5-COMM</v>
          </cell>
          <cell r="I15949" t="str">
            <v xml:space="preserve">SPECIAL PICK UP 1.5 YD - </v>
          </cell>
        </row>
        <row r="15950">
          <cell r="H15950" t="str">
            <v>SP2-COMM</v>
          </cell>
          <cell r="I15950" t="str">
            <v>SPECIAL PICK UP 2 YD - CO</v>
          </cell>
        </row>
        <row r="15951">
          <cell r="H15951" t="str">
            <v>SP3-COMM</v>
          </cell>
          <cell r="I15951" t="str">
            <v>SPECIAL PICK UP 3 YD - CO</v>
          </cell>
        </row>
        <row r="15952">
          <cell r="H15952" t="str">
            <v>SP4-COMM</v>
          </cell>
          <cell r="I15952" t="str">
            <v>SPECIAL PICK UP 4 YD - CO</v>
          </cell>
        </row>
        <row r="15953">
          <cell r="H15953" t="str">
            <v>SP6-COMM</v>
          </cell>
          <cell r="I15953" t="str">
            <v>SPECIAL PICK UP 6 YD - CO</v>
          </cell>
        </row>
        <row r="15954">
          <cell r="H15954" t="str">
            <v>SP6CMP-COMM</v>
          </cell>
          <cell r="I15954" t="str">
            <v>SPECIAL PICK UP 6 YD COMP - COMM</v>
          </cell>
        </row>
        <row r="15955">
          <cell r="H15955" t="str">
            <v>SPGRAD1S-COMM</v>
          </cell>
          <cell r="I15955" t="str">
            <v>SPECIAL UNIT GRAD1 SCHL - COMM</v>
          </cell>
        </row>
        <row r="15956">
          <cell r="H15956" t="str">
            <v>SPGRAD2-COMM</v>
          </cell>
          <cell r="I15956" t="str">
            <v>SPECIAL PICKUP GRADUATED 2 - COMM</v>
          </cell>
        </row>
        <row r="15957">
          <cell r="H15957" t="str">
            <v>SPGRAD2S-COMM</v>
          </cell>
          <cell r="I15957" t="str">
            <v>SPECIAL UNIT GRAD2 SCHL - COMM</v>
          </cell>
        </row>
        <row r="15958">
          <cell r="H15958" t="str">
            <v>CLEAN1.5-COMM</v>
          </cell>
          <cell r="I15958" t="str">
            <v>CLEANING FEE 1.5 YD - COM</v>
          </cell>
        </row>
        <row r="15959">
          <cell r="H15959" t="str">
            <v>FL001.5YXX001TEMPC</v>
          </cell>
          <cell r="I15959" t="str">
            <v xml:space="preserve">1.5 YD TEMP </v>
          </cell>
        </row>
        <row r="15960">
          <cell r="H15960" t="str">
            <v>RENT1.5TEMP-COMM</v>
          </cell>
          <cell r="I15960" t="str">
            <v>RENT 1.5 YD TEMP - COMM</v>
          </cell>
        </row>
        <row r="15961">
          <cell r="H15961" t="str">
            <v>ACCESSCREC-COMM</v>
          </cell>
          <cell r="I15961" t="str">
            <v>ACCESS FEE COMM RECY - CO</v>
          </cell>
        </row>
        <row r="15962">
          <cell r="H15962" t="str">
            <v>FL002.0Y1M001BCMGL</v>
          </cell>
          <cell r="I15962" t="str">
            <v>2 YD 1X MO BUS CMGL 1</v>
          </cell>
        </row>
        <row r="15963">
          <cell r="H15963" t="str">
            <v>FL002.0Y1W001BCMGL</v>
          </cell>
          <cell r="I15963" t="str">
            <v>2 YD 1X WK BUS CMGL 1</v>
          </cell>
        </row>
        <row r="15964">
          <cell r="H15964" t="str">
            <v>FL002.0Y1W001BOCC</v>
          </cell>
          <cell r="I15964" t="str">
            <v>2 YD 1X WK BUS OCC 1</v>
          </cell>
        </row>
        <row r="15965">
          <cell r="H15965" t="str">
            <v>FL002.0Y1W001OCC</v>
          </cell>
          <cell r="I15965" t="str">
            <v>2 YD 1X WK OCC 1</v>
          </cell>
        </row>
        <row r="15966">
          <cell r="H15966" t="str">
            <v>FL002.0Y1W001SCMGL</v>
          </cell>
          <cell r="I15966" t="str">
            <v>2 YD 1X WK SCHL CMGL 1</v>
          </cell>
        </row>
        <row r="15967">
          <cell r="H15967" t="str">
            <v>FL002.0Y1W001SOCC</v>
          </cell>
          <cell r="I15967" t="str">
            <v>2 YD 1X WK SCHOOL OCC</v>
          </cell>
        </row>
        <row r="15968">
          <cell r="H15968" t="str">
            <v>FL002.0Y2W001BCMGL</v>
          </cell>
          <cell r="I15968" t="str">
            <v>2 YD 2X WK BUS CMGL 1</v>
          </cell>
        </row>
        <row r="15969">
          <cell r="H15969" t="str">
            <v>FL002.0Y2W001BOCC</v>
          </cell>
          <cell r="I15969" t="str">
            <v>2 YD 2X WK BUS OCC 1</v>
          </cell>
        </row>
        <row r="15970">
          <cell r="H15970" t="str">
            <v>FL002.0Y2W001SCMGL</v>
          </cell>
          <cell r="I15970" t="str">
            <v>2 YD 2X WK SCHL CMGL 1</v>
          </cell>
        </row>
        <row r="15971">
          <cell r="H15971" t="str">
            <v>FL002.0Y2W001SOCC</v>
          </cell>
          <cell r="I15971" t="str">
            <v>2 YD 2X WK SCHOOL OCC</v>
          </cell>
        </row>
        <row r="15972">
          <cell r="H15972" t="str">
            <v>FL002.0Y3W001BCMGL</v>
          </cell>
          <cell r="I15972" t="str">
            <v>2 YD 3X WK BUS CMGL 1</v>
          </cell>
        </row>
        <row r="15973">
          <cell r="H15973" t="str">
            <v>FL002.0Y3W001SOCC</v>
          </cell>
          <cell r="I15973" t="str">
            <v>2 YD 3X WK SCHOOL OCC</v>
          </cell>
        </row>
        <row r="15974">
          <cell r="H15974" t="str">
            <v>FL002.0Y4W001BCMGL</v>
          </cell>
          <cell r="I15974" t="str">
            <v>2 YD 4X WK BUS CMGL 1</v>
          </cell>
        </row>
        <row r="15975">
          <cell r="H15975" t="str">
            <v>FL002.0Y4W001BOCC</v>
          </cell>
          <cell r="I15975" t="str">
            <v>2 YD 4X WK BUS OCC 1</v>
          </cell>
        </row>
        <row r="15976">
          <cell r="H15976" t="str">
            <v>FL004.0Y1W001CMGL</v>
          </cell>
          <cell r="I15976" t="str">
            <v>4 YD 1X WK BUS CMGL 1</v>
          </cell>
        </row>
        <row r="15977">
          <cell r="H15977" t="str">
            <v>FL004.0Y1W001SCMGL</v>
          </cell>
          <cell r="I15977" t="str">
            <v>4 YD 1X WK SCH CMGL 1</v>
          </cell>
        </row>
        <row r="15978">
          <cell r="H15978" t="str">
            <v>FL004.0Y2W001CMGL</v>
          </cell>
          <cell r="I15978" t="str">
            <v>4 YD 2X WK BUS CMGL 1</v>
          </cell>
        </row>
        <row r="15979">
          <cell r="H15979" t="str">
            <v>FL004.0Y3W001BCMGL</v>
          </cell>
          <cell r="I15979" t="str">
            <v>4 YD 3X WK BUS CMGL 1</v>
          </cell>
        </row>
        <row r="15980">
          <cell r="H15980" t="str">
            <v>FL004.0Y4W001BCMGL</v>
          </cell>
          <cell r="I15980" t="str">
            <v>4 YD 4X WK BUS CMGL 1</v>
          </cell>
        </row>
        <row r="15981">
          <cell r="H15981" t="str">
            <v>FL004.0Y5W001BCMGL</v>
          </cell>
          <cell r="I15981" t="str">
            <v>4 YD 5X WK BUS CMGL 1</v>
          </cell>
        </row>
        <row r="15982">
          <cell r="H15982" t="str">
            <v>FL005.0Y1W001BOCC</v>
          </cell>
          <cell r="I15982" t="str">
            <v>5 YD 1X WK BUS OCC 1</v>
          </cell>
        </row>
        <row r="15983">
          <cell r="H15983" t="str">
            <v>FL005.0Y1W001OCC</v>
          </cell>
          <cell r="I15983" t="str">
            <v>5 YD 1X WK OCC  1</v>
          </cell>
        </row>
        <row r="15984">
          <cell r="H15984" t="str">
            <v>FL005.0Y1W001SOCC</v>
          </cell>
          <cell r="I15984" t="str">
            <v>5 YD 1X WK SCHOOL OCC</v>
          </cell>
        </row>
        <row r="15985">
          <cell r="H15985" t="str">
            <v>FL005.0Y2W001BOCC</v>
          </cell>
          <cell r="I15985" t="str">
            <v>5 YD 2X WK BUS OCC 1</v>
          </cell>
        </row>
        <row r="15986">
          <cell r="H15986" t="str">
            <v>FL005.0Y2W001OCC</v>
          </cell>
          <cell r="I15986" t="str">
            <v>5 YD 2X WK OCC 1</v>
          </cell>
        </row>
        <row r="15987">
          <cell r="H15987" t="str">
            <v>FL005.0Y2W001SOCC</v>
          </cell>
          <cell r="I15987" t="str">
            <v>5 YD 2X WK SCHOOL OCC</v>
          </cell>
        </row>
        <row r="15988">
          <cell r="H15988" t="str">
            <v>FL005.0Y3W001BOCC</v>
          </cell>
          <cell r="I15988" t="str">
            <v>5 YD 3X WK BUS OCC 1</v>
          </cell>
        </row>
        <row r="15989">
          <cell r="H15989" t="str">
            <v>FL005.0Y4W001BOCC</v>
          </cell>
          <cell r="I15989" t="str">
            <v>5 YD 4X WK BUS OCC 1</v>
          </cell>
        </row>
        <row r="15990">
          <cell r="H15990" t="str">
            <v>FL006.0Y1W001BCMGL</v>
          </cell>
          <cell r="I15990" t="str">
            <v>6 YD 1X WK BUS COMINGLE 1</v>
          </cell>
        </row>
        <row r="15991">
          <cell r="H15991" t="str">
            <v>FL006.0Y1W001SCMGL</v>
          </cell>
          <cell r="I15991" t="str">
            <v>6 YD 1X WK SCHL CMGL 1</v>
          </cell>
        </row>
        <row r="15992">
          <cell r="H15992" t="str">
            <v>FL006.0Y2W001BCMGL</v>
          </cell>
          <cell r="I15992" t="str">
            <v>6 YD 2X WK BUS COMINGLE 1</v>
          </cell>
        </row>
        <row r="15993">
          <cell r="H15993" t="str">
            <v>FL006.0Y2W001OCCCMP</v>
          </cell>
          <cell r="I15993" t="str">
            <v>6 YD 2X WK OCC COMP</v>
          </cell>
        </row>
        <row r="15994">
          <cell r="H15994" t="str">
            <v>FL006.0Y2W001SCMGL</v>
          </cell>
          <cell r="I15994" t="str">
            <v>6 YD 2X WK SCHL CMGL 1</v>
          </cell>
        </row>
        <row r="15995">
          <cell r="H15995" t="str">
            <v>FL006.0Y3W001BCMGL</v>
          </cell>
          <cell r="I15995" t="str">
            <v>6 YD 3X WK BUS CMGL 1</v>
          </cell>
        </row>
        <row r="15996">
          <cell r="H15996" t="str">
            <v>FL006.0Y4W001BCMGL</v>
          </cell>
          <cell r="I15996" t="str">
            <v>6 YD 4X WK BUS CMGL 1</v>
          </cell>
        </row>
        <row r="15997">
          <cell r="H15997" t="str">
            <v>MFNBINS</v>
          </cell>
          <cell r="I15997" t="str">
            <v>MULTI-FAMILY REC UNIT N/B</v>
          </cell>
        </row>
        <row r="15998">
          <cell r="H15998" t="str">
            <v>MFWBINS</v>
          </cell>
          <cell r="I15998" t="str">
            <v>MULTI-FAMILY REC UNIT W/B</v>
          </cell>
        </row>
        <row r="15999">
          <cell r="H15999" t="str">
            <v>ROLL-REC</v>
          </cell>
          <cell r="I15999" t="str">
            <v>ROLL OUT CHARGE - RECYCLI</v>
          </cell>
        </row>
        <row r="16000">
          <cell r="H16000" t="str">
            <v>SL035.0G1W001RECC</v>
          </cell>
          <cell r="I16000" t="str">
            <v xml:space="preserve">35 GL 1X WK RECYCLE COMM </v>
          </cell>
        </row>
        <row r="16001">
          <cell r="H16001" t="str">
            <v>SL064.0G1M001BCMGLIN</v>
          </cell>
          <cell r="I16001" t="str">
            <v>64 GL MTHLY BUS CMGL IN</v>
          </cell>
        </row>
        <row r="16002">
          <cell r="H16002" t="str">
            <v>SL064.0G1W001BCMGLOUT</v>
          </cell>
          <cell r="I16002" t="str">
            <v>64 GL WKLY BUS CMGL OUT</v>
          </cell>
        </row>
        <row r="16003">
          <cell r="H16003" t="str">
            <v>SL064.0GEO001BCMGLOUT</v>
          </cell>
          <cell r="I16003" t="str">
            <v>64 GL EOW BUS CMGL OUT</v>
          </cell>
        </row>
        <row r="16004">
          <cell r="H16004" t="str">
            <v>SL096.0G1M001BCMGLIN</v>
          </cell>
          <cell r="I16004" t="str">
            <v>96 GL MTHLY BUS CMGL IN</v>
          </cell>
        </row>
        <row r="16005">
          <cell r="H16005" t="str">
            <v>SL096.0G1M001BCMGLOUT</v>
          </cell>
          <cell r="I16005" t="str">
            <v>96 GL MTHLY BUS CMGL OUT</v>
          </cell>
        </row>
        <row r="16006">
          <cell r="H16006" t="str">
            <v>SL096.0G1M001SCMGLOUT</v>
          </cell>
          <cell r="I16006" t="str">
            <v>96 GL MTHLY SCHL CMGL OUT</v>
          </cell>
        </row>
        <row r="16007">
          <cell r="H16007" t="str">
            <v>SL096.0G1W001BCMGLIN</v>
          </cell>
          <cell r="I16007" t="str">
            <v>96 GL WKLY BUS CMGL IN</v>
          </cell>
        </row>
        <row r="16008">
          <cell r="H16008" t="str">
            <v>SL096.0G1W001BCMGLOUT</v>
          </cell>
          <cell r="I16008" t="str">
            <v>96 GL WKLY BUS CMGL OUT</v>
          </cell>
        </row>
        <row r="16009">
          <cell r="H16009" t="str">
            <v>SL096.0G1W001RECC</v>
          </cell>
          <cell r="I16009" t="str">
            <v xml:space="preserve">96 GL 1X WK RECYCLE COMM </v>
          </cell>
        </row>
        <row r="16010">
          <cell r="H16010" t="str">
            <v>SL096.0G1W001SCMGLOUT</v>
          </cell>
          <cell r="I16010" t="str">
            <v>96 GL WKLY SCHL CMGL OUT</v>
          </cell>
        </row>
        <row r="16011">
          <cell r="H16011" t="str">
            <v>SL096.0GEO001BCMGLIN</v>
          </cell>
          <cell r="I16011" t="str">
            <v>96 GL EOW BUS CMGL IN</v>
          </cell>
        </row>
        <row r="16012">
          <cell r="H16012" t="str">
            <v>SL096.0GEO001BCMGLOUT</v>
          </cell>
          <cell r="I16012" t="str">
            <v>96 GL EOW BUS CMGL OUT</v>
          </cell>
        </row>
        <row r="16013">
          <cell r="H16013" t="str">
            <v>SL096.0GEO001SCMGLOUT</v>
          </cell>
          <cell r="I16013" t="str">
            <v>96 GL EOW SCHL CMGL OUT</v>
          </cell>
        </row>
        <row r="16014">
          <cell r="H16014" t="str">
            <v>FL005.0Y1W001BOCC</v>
          </cell>
          <cell r="I16014" t="str">
            <v>5 YD 1X WK BUS OCC 1</v>
          </cell>
        </row>
        <row r="16015">
          <cell r="H16015" t="str">
            <v>FL006.0Y1W001BCMGL</v>
          </cell>
          <cell r="I16015" t="str">
            <v>6 YD 1X WK BUS COMINGLE 1</v>
          </cell>
        </row>
        <row r="16016">
          <cell r="H16016" t="str">
            <v>FL006.0Y2W001BCMGL</v>
          </cell>
          <cell r="I16016" t="str">
            <v>6 YD 2X WK BUS COMINGLE 1</v>
          </cell>
        </row>
        <row r="16017">
          <cell r="H16017" t="str">
            <v>SP2BCMGL-COMM</v>
          </cell>
          <cell r="I16017" t="str">
            <v>SPECIAL P/U 2 YD BUS CMGL</v>
          </cell>
        </row>
        <row r="16018">
          <cell r="H16018" t="str">
            <v>SP5OCC-COMM</v>
          </cell>
          <cell r="I16018" t="str">
            <v>SPECIAL PICKUP 5 YD OCC -</v>
          </cell>
        </row>
        <row r="16019">
          <cell r="H16019" t="str">
            <v>SPGRAD1REC-COMM</v>
          </cell>
          <cell r="I16019" t="str">
            <v>SPECIAL UNIT GRAD1 REC - COMM</v>
          </cell>
        </row>
        <row r="16020">
          <cell r="H16020" t="str">
            <v>SPGRAD2REC-COMM</v>
          </cell>
          <cell r="I16020" t="str">
            <v>SPECIAL UNIT GRAD2 REC - COMM</v>
          </cell>
        </row>
        <row r="16021">
          <cell r="H16021" t="str">
            <v>RETCK-PNCL</v>
          </cell>
          <cell r="I16021" t="str">
            <v>RETURNED CHECK - PNC LOCKBOX</v>
          </cell>
        </row>
        <row r="16022">
          <cell r="H16022" t="str">
            <v>CC-KOL</v>
          </cell>
          <cell r="I16022" t="str">
            <v>ONLINE PAYMENT-CC</v>
          </cell>
        </row>
        <row r="16023">
          <cell r="H16023" t="str">
            <v>CCREF-KOL</v>
          </cell>
          <cell r="I16023" t="str">
            <v>CREDIT CARD REFUND</v>
          </cell>
        </row>
        <row r="16024">
          <cell r="H16024" t="str">
            <v>PAY</v>
          </cell>
          <cell r="I16024" t="str">
            <v>PAYMENT THANK YOU</v>
          </cell>
        </row>
        <row r="16025">
          <cell r="H16025" t="str">
            <v>PAY-CFREE</v>
          </cell>
          <cell r="I16025" t="str">
            <v>CHECKFREE PAYMENT</v>
          </cell>
        </row>
        <row r="16026">
          <cell r="H16026" t="str">
            <v>PAY-KOL</v>
          </cell>
          <cell r="I16026" t="str">
            <v>PAYMENT-THANK YOU - OL</v>
          </cell>
        </row>
        <row r="16027">
          <cell r="H16027" t="str">
            <v>PAY-ORCC</v>
          </cell>
          <cell r="I16027" t="str">
            <v>ORCC PAYMENT</v>
          </cell>
        </row>
        <row r="16028">
          <cell r="H16028" t="str">
            <v>PAY-RPPS</v>
          </cell>
          <cell r="I16028" t="str">
            <v>RPPS MASTERCARD PAYMENT</v>
          </cell>
        </row>
        <row r="16029">
          <cell r="H16029" t="str">
            <v>PAYAD</v>
          </cell>
          <cell r="I16029" t="str">
            <v>ADJUST PAYMENT AD</v>
          </cell>
        </row>
        <row r="16030">
          <cell r="H16030" t="str">
            <v>PAYMET</v>
          </cell>
          <cell r="I16030" t="str">
            <v>METAVANTE ONLINE PAYMENT</v>
          </cell>
        </row>
        <row r="16031">
          <cell r="H16031" t="str">
            <v>PAYPNCL</v>
          </cell>
          <cell r="I16031" t="str">
            <v>PAYMENT THANK YOU!</v>
          </cell>
        </row>
        <row r="16032">
          <cell r="H16032" t="str">
            <v>PAYUSBL</v>
          </cell>
          <cell r="I16032" t="str">
            <v>PAYMENT THANK YOU</v>
          </cell>
        </row>
        <row r="16033">
          <cell r="H16033" t="str">
            <v>RET-KOL</v>
          </cell>
          <cell r="I16033" t="str">
            <v>ONLINE PAYMENT RETURN</v>
          </cell>
        </row>
        <row r="16034">
          <cell r="H16034" t="str">
            <v>RETCK-PNCL</v>
          </cell>
          <cell r="I16034" t="str">
            <v>RETURNED CHECK - PNC LOCKBOX</v>
          </cell>
        </row>
        <row r="16035">
          <cell r="H16035" t="str">
            <v>CC-KOL</v>
          </cell>
          <cell r="I16035" t="str">
            <v>ONLINE PAYMENT-CC</v>
          </cell>
        </row>
        <row r="16036">
          <cell r="H16036" t="str">
            <v>CCREF-KOL</v>
          </cell>
          <cell r="I16036" t="str">
            <v>CREDIT CARD REFUND</v>
          </cell>
        </row>
        <row r="16037">
          <cell r="H16037" t="str">
            <v>PAY</v>
          </cell>
          <cell r="I16037" t="str">
            <v>PAYMENT THANK YOU</v>
          </cell>
        </row>
        <row r="16038">
          <cell r="H16038" t="str">
            <v>PAY-CFREE</v>
          </cell>
          <cell r="I16038" t="str">
            <v>CHECKFREE PAYMENT</v>
          </cell>
        </row>
        <row r="16039">
          <cell r="H16039" t="str">
            <v>PAY-KOL</v>
          </cell>
          <cell r="I16039" t="str">
            <v>PAYMENT-THANK YOU - OL</v>
          </cell>
        </row>
        <row r="16040">
          <cell r="H16040" t="str">
            <v>PAY-ORCC</v>
          </cell>
          <cell r="I16040" t="str">
            <v>ORCC PAYMENT</v>
          </cell>
        </row>
        <row r="16041">
          <cell r="H16041" t="str">
            <v>PAY-RPPS</v>
          </cell>
          <cell r="I16041" t="str">
            <v>RPPS MASTERCARD PAYMENT</v>
          </cell>
        </row>
        <row r="16042">
          <cell r="H16042" t="str">
            <v>PAYICT</v>
          </cell>
          <cell r="I16042" t="str">
            <v>I/C PAYMENT THANK YOU</v>
          </cell>
        </row>
        <row r="16043">
          <cell r="H16043" t="str">
            <v>PAYMET</v>
          </cell>
          <cell r="I16043" t="str">
            <v>METAVANTE ONLINE PAYMENT</v>
          </cell>
        </row>
        <row r="16044">
          <cell r="H16044" t="str">
            <v>PAYPNCL</v>
          </cell>
          <cell r="I16044" t="str">
            <v>PAYMENT THANK YOU!</v>
          </cell>
        </row>
        <row r="16045">
          <cell r="H16045" t="str">
            <v>PAYUSBL</v>
          </cell>
          <cell r="I16045" t="str">
            <v>PAYMENT THANK YOU</v>
          </cell>
        </row>
        <row r="16046">
          <cell r="H16046" t="str">
            <v>RET-KOL</v>
          </cell>
          <cell r="I16046" t="str">
            <v>ONLINE PAYMENT RETURN</v>
          </cell>
        </row>
        <row r="16047">
          <cell r="H16047" t="str">
            <v>RETCK-PNCL</v>
          </cell>
          <cell r="I16047" t="str">
            <v>RETURNED CHECK - PNC LOCKBOX</v>
          </cell>
        </row>
        <row r="16048">
          <cell r="H16048" t="str">
            <v>RETCK-USBL</v>
          </cell>
          <cell r="I16048" t="str">
            <v>RETURNED CHECK - US BANK LOCKBOX</v>
          </cell>
        </row>
        <row r="16049">
          <cell r="H16049" t="str">
            <v>CC-KOL</v>
          </cell>
          <cell r="I16049" t="str">
            <v>ONLINE PAYMENT-CC</v>
          </cell>
        </row>
        <row r="16050">
          <cell r="H16050" t="str">
            <v>CCREF-KOL</v>
          </cell>
          <cell r="I16050" t="str">
            <v>CREDIT CARD REFUND</v>
          </cell>
        </row>
        <row r="16051">
          <cell r="H16051" t="str">
            <v>PAY</v>
          </cell>
          <cell r="I16051" t="str">
            <v>PAYMENT THANK YOU</v>
          </cell>
        </row>
        <row r="16052">
          <cell r="H16052" t="str">
            <v>PAY-CFREE</v>
          </cell>
          <cell r="I16052" t="str">
            <v>CHECKFREE PAYMENT</v>
          </cell>
        </row>
        <row r="16053">
          <cell r="H16053" t="str">
            <v>PAY-KOL</v>
          </cell>
          <cell r="I16053" t="str">
            <v>PAYMENT-THANK YOU - OL</v>
          </cell>
        </row>
        <row r="16054">
          <cell r="H16054" t="str">
            <v>PAY-NATL</v>
          </cell>
          <cell r="I16054" t="str">
            <v>PAYMENT THANK YOU</v>
          </cell>
        </row>
        <row r="16055">
          <cell r="H16055" t="str">
            <v>PAY-OAK</v>
          </cell>
          <cell r="I16055" t="str">
            <v>OAKLEAF PAYMENT</v>
          </cell>
        </row>
        <row r="16056">
          <cell r="H16056" t="str">
            <v>PAY-ORCC</v>
          </cell>
          <cell r="I16056" t="str">
            <v>ORCC PAYMENT</v>
          </cell>
        </row>
        <row r="16057">
          <cell r="H16057" t="str">
            <v>PAY-RPPS</v>
          </cell>
          <cell r="I16057" t="str">
            <v>RPPS MASTERCARD PAYMENT</v>
          </cell>
        </row>
        <row r="16058">
          <cell r="H16058" t="str">
            <v>PAYAD</v>
          </cell>
          <cell r="I16058" t="str">
            <v>ADJUST PAYMENT AD</v>
          </cell>
        </row>
        <row r="16059">
          <cell r="H16059" t="str">
            <v>PAYEFT</v>
          </cell>
          <cell r="I16059" t="str">
            <v>EFT PAYMENT</v>
          </cell>
        </row>
        <row r="16060">
          <cell r="H16060" t="str">
            <v>PAYICLRI</v>
          </cell>
          <cell r="I16060" t="str">
            <v>PAYMENT THANK YOU</v>
          </cell>
        </row>
        <row r="16061">
          <cell r="H16061" t="str">
            <v>PAYICT</v>
          </cell>
          <cell r="I16061" t="str">
            <v>I/C PAYMENT THANK YOU</v>
          </cell>
        </row>
        <row r="16062">
          <cell r="H16062" t="str">
            <v>PAYMET</v>
          </cell>
          <cell r="I16062" t="str">
            <v>METAVANTE ONLINE PAYMENT</v>
          </cell>
        </row>
        <row r="16063">
          <cell r="H16063" t="str">
            <v>PAYPNCL</v>
          </cell>
          <cell r="I16063" t="str">
            <v>PAYMENT THANK YOU!</v>
          </cell>
        </row>
        <row r="16064">
          <cell r="H16064" t="str">
            <v>PAYUSBL</v>
          </cell>
          <cell r="I16064" t="str">
            <v>PAYMENT THANK YOU</v>
          </cell>
        </row>
        <row r="16065">
          <cell r="H16065" t="str">
            <v>RET-KOL</v>
          </cell>
          <cell r="I16065" t="str">
            <v>ONLINE PAYMENT RETURN</v>
          </cell>
        </row>
        <row r="16066">
          <cell r="H16066" t="str">
            <v>PAY-KOL</v>
          </cell>
          <cell r="I16066" t="str">
            <v>PAYMENT-THANK YOU - OL</v>
          </cell>
        </row>
        <row r="16067">
          <cell r="H16067" t="str">
            <v>PAYPNCL</v>
          </cell>
          <cell r="I16067" t="str">
            <v>PAYMENT THANK YOU!</v>
          </cell>
        </row>
        <row r="16068">
          <cell r="H16068" t="str">
            <v>ACCESS-RES</v>
          </cell>
          <cell r="I16068" t="str">
            <v>ACCESS FEE - RES</v>
          </cell>
        </row>
        <row r="16069">
          <cell r="H16069" t="str">
            <v>DRIVEIN-RES</v>
          </cell>
          <cell r="I16069" t="str">
            <v>DRIVE IN SERVICE - RES</v>
          </cell>
        </row>
        <row r="16070">
          <cell r="H16070" t="str">
            <v>DRIVEIN1-RES</v>
          </cell>
          <cell r="I16070" t="str">
            <v>DRIVE IN 1 - RES</v>
          </cell>
        </row>
        <row r="16071">
          <cell r="H16071" t="str">
            <v>DRIVEIN2-RES</v>
          </cell>
          <cell r="I16071" t="str">
            <v>DRIVE IN 2 - RES</v>
          </cell>
        </row>
        <row r="16072">
          <cell r="H16072" t="str">
            <v>DRIVEIN4-RES</v>
          </cell>
          <cell r="I16072" t="str">
            <v>DRIVE IN 4 - RES</v>
          </cell>
        </row>
        <row r="16073">
          <cell r="H16073" t="str">
            <v>DRIVEINMUL-RES</v>
          </cell>
          <cell r="I16073" t="str">
            <v>DRIVE IN SVC MULTIPLE</v>
          </cell>
        </row>
        <row r="16074">
          <cell r="H16074" t="str">
            <v>EMPLOYEER</v>
          </cell>
          <cell r="I16074" t="str">
            <v>EMPLOYEE SERVICE RES</v>
          </cell>
        </row>
        <row r="16075">
          <cell r="H16075" t="str">
            <v>GWRES</v>
          </cell>
          <cell r="I16075" t="str">
            <v>GREENWASTE SERVICE - RES</v>
          </cell>
        </row>
        <row r="16076">
          <cell r="H16076" t="str">
            <v>GWSPCL-RES</v>
          </cell>
          <cell r="I16076" t="str">
            <v>GREENWASTE SEN/DIS - RES</v>
          </cell>
        </row>
        <row r="16077">
          <cell r="H16077" t="str">
            <v>RECBINONLYR</v>
          </cell>
          <cell r="I16077" t="str">
            <v>RECYCLE SERVICE ONLY</v>
          </cell>
        </row>
        <row r="16078">
          <cell r="H16078" t="str">
            <v>RECPROGADJ-RES</v>
          </cell>
          <cell r="I16078" t="str">
            <v>RECYCLING PROGRAM ADJUSTM</v>
          </cell>
        </row>
        <row r="16079">
          <cell r="H16079" t="str">
            <v>RECVALRES</v>
          </cell>
          <cell r="I16079" t="str">
            <v>RECYCLABLES VALUE - RES</v>
          </cell>
        </row>
        <row r="16080">
          <cell r="H16080" t="str">
            <v>RL020.0G1W001</v>
          </cell>
          <cell r="I16080" t="str">
            <v>20 GL 1X WK 1</v>
          </cell>
        </row>
        <row r="16081">
          <cell r="H16081" t="str">
            <v>RL032.0G1M001NOREC</v>
          </cell>
          <cell r="I16081" t="str">
            <v>32 GL 1X MO NO RECY 1</v>
          </cell>
        </row>
        <row r="16082">
          <cell r="H16082" t="str">
            <v>RL032.0G1M001WREC</v>
          </cell>
          <cell r="I16082" t="str">
            <v>32 GL 1X MO W/RECY 1</v>
          </cell>
        </row>
        <row r="16083">
          <cell r="H16083" t="str">
            <v>RL032.0G1W001NOREC</v>
          </cell>
          <cell r="I16083" t="str">
            <v>32 GL 1X WK NO RECY 1</v>
          </cell>
        </row>
        <row r="16084">
          <cell r="H16084" t="str">
            <v>RL032.0G1W001WREC</v>
          </cell>
          <cell r="I16084" t="str">
            <v>32 GL 1X WK W/RECY 1</v>
          </cell>
        </row>
        <row r="16085">
          <cell r="H16085" t="str">
            <v>RL032.0G1W002NOREC</v>
          </cell>
          <cell r="I16085" t="str">
            <v>32 GL 1X WK NO RECY 2</v>
          </cell>
        </row>
        <row r="16086">
          <cell r="H16086" t="str">
            <v>RL032.0G1W002WREC</v>
          </cell>
          <cell r="I16086" t="str">
            <v>32 GL 1X WK W/RECY 2</v>
          </cell>
        </row>
        <row r="16087">
          <cell r="H16087" t="str">
            <v>RL032.0G1W003WREC</v>
          </cell>
          <cell r="I16087" t="str">
            <v>32 GL 1X WK W/RECY 3</v>
          </cell>
        </row>
        <row r="16088">
          <cell r="H16088" t="str">
            <v>SL035.0G1M001WREC</v>
          </cell>
          <cell r="I16088" t="str">
            <v>35 GL 1X MO W/RECY 1</v>
          </cell>
        </row>
        <row r="16089">
          <cell r="H16089" t="str">
            <v>SL035.0G1W001NOREC</v>
          </cell>
          <cell r="I16089" t="str">
            <v>35 GL 1X WK NO RECY 1</v>
          </cell>
        </row>
        <row r="16090">
          <cell r="H16090" t="str">
            <v>SL035.0G1W001WREC</v>
          </cell>
          <cell r="I16090" t="str">
            <v>35 GL 1X WK W/ RECY 1</v>
          </cell>
        </row>
        <row r="16091">
          <cell r="H16091" t="str">
            <v>SL035.0G1W002WREC</v>
          </cell>
          <cell r="I16091" t="str">
            <v>35 GL 1X WK W/RECY 2</v>
          </cell>
        </row>
        <row r="16092">
          <cell r="H16092" t="str">
            <v>SL035.0G1W003WREC</v>
          </cell>
          <cell r="I16092" t="str">
            <v>35 GL 1X WK W/RECY 3</v>
          </cell>
        </row>
        <row r="16093">
          <cell r="H16093" t="str">
            <v>SL035.0GEO001NOREC</v>
          </cell>
          <cell r="I16093" t="str">
            <v>35 GL EOW NO RECY 1</v>
          </cell>
        </row>
        <row r="16094">
          <cell r="H16094" t="str">
            <v>SL035.0GEO001WREC</v>
          </cell>
          <cell r="I16094" t="str">
            <v>35 GL EOW W/RECY 1</v>
          </cell>
        </row>
        <row r="16095">
          <cell r="H16095" t="str">
            <v>SL065.0G1M001</v>
          </cell>
          <cell r="I16095" t="str">
            <v>65 GL 1X MO 1</v>
          </cell>
        </row>
        <row r="16096">
          <cell r="H16096" t="str">
            <v>SL065.0G1M001NOREC</v>
          </cell>
          <cell r="I16096" t="str">
            <v>65 GL 1X MO NO RECY 1</v>
          </cell>
        </row>
        <row r="16097">
          <cell r="H16097" t="str">
            <v>SL065.0G1M001WREC</v>
          </cell>
          <cell r="I16097" t="str">
            <v>65 GL 1X MO W/RECY 1</v>
          </cell>
        </row>
        <row r="16098">
          <cell r="H16098" t="str">
            <v>SL065.0G1W001NOREC</v>
          </cell>
          <cell r="I16098" t="str">
            <v>65 GL 1X WK NO RECY 1</v>
          </cell>
        </row>
        <row r="16099">
          <cell r="H16099" t="str">
            <v>SL065.0G1W001WREC</v>
          </cell>
          <cell r="I16099" t="str">
            <v>65 GL 1X WK W/RECY 1</v>
          </cell>
        </row>
        <row r="16100">
          <cell r="H16100" t="str">
            <v>SL065.0GEO001NOREC</v>
          </cell>
          <cell r="I16100" t="str">
            <v>65 GL EOW NO RECY 1</v>
          </cell>
        </row>
        <row r="16101">
          <cell r="H16101" t="str">
            <v>SL065.0GEO001WREC</v>
          </cell>
          <cell r="I16101" t="str">
            <v>65 GL EOW W/RECY 1</v>
          </cell>
        </row>
        <row r="16102">
          <cell r="H16102" t="str">
            <v>SL095.0G1M001NOREC</v>
          </cell>
          <cell r="I16102" t="str">
            <v>95 GL 1X MO NO RECY 1</v>
          </cell>
        </row>
        <row r="16103">
          <cell r="H16103" t="str">
            <v>SL095.0G1M001WREC</v>
          </cell>
          <cell r="I16103" t="str">
            <v>95 GL 1X MO W/RECY 1</v>
          </cell>
        </row>
        <row r="16104">
          <cell r="H16104" t="str">
            <v>SL095.0G1W001NOREC</v>
          </cell>
          <cell r="I16104" t="str">
            <v>95 GL 1X WK NO RECY 1</v>
          </cell>
        </row>
        <row r="16105">
          <cell r="H16105" t="str">
            <v>SL095.0G1W001WREC</v>
          </cell>
          <cell r="I16105" t="str">
            <v>95 GL 1X WK W/RECY 1</v>
          </cell>
        </row>
        <row r="16106">
          <cell r="H16106" t="str">
            <v>SL095.0GEO001NOREC</v>
          </cell>
          <cell r="I16106" t="str">
            <v>95 GL EOW NO RECY 1</v>
          </cell>
        </row>
        <row r="16107">
          <cell r="H16107" t="str">
            <v>SL095.0GEO001WREC</v>
          </cell>
          <cell r="I16107" t="str">
            <v>95 GL EOW W/RECY 1</v>
          </cell>
        </row>
        <row r="16108">
          <cell r="H16108" t="str">
            <v>WI1-RES</v>
          </cell>
          <cell r="I16108" t="str">
            <v>WALK IN 6-25' - RES</v>
          </cell>
        </row>
        <row r="16109">
          <cell r="H16109" t="str">
            <v>WI2-RES</v>
          </cell>
          <cell r="I16109" t="str">
            <v>WALK IN 26-50' - RES</v>
          </cell>
        </row>
        <row r="16110">
          <cell r="H16110" t="str">
            <v>BULKY-RES</v>
          </cell>
          <cell r="I16110" t="str">
            <v>BULKY ITEM PICK UP - RES</v>
          </cell>
        </row>
        <row r="16111">
          <cell r="H16111" t="str">
            <v>EP96GWC-RES</v>
          </cell>
          <cell r="I16111" t="str">
            <v>EXTRA PICK UP 96 GW - RES</v>
          </cell>
        </row>
        <row r="16112">
          <cell r="H16112" t="str">
            <v>EXTRA-RES</v>
          </cell>
          <cell r="I16112" t="str">
            <v>EXTRA CAN, BAG, BOX - RES</v>
          </cell>
        </row>
        <row r="16113">
          <cell r="H16113" t="str">
            <v>EXTRA95-RES</v>
          </cell>
          <cell r="I16113" t="str">
            <v>EXTRA 95 GL RES</v>
          </cell>
        </row>
        <row r="16114">
          <cell r="H16114" t="str">
            <v>EXTRAGWC-RES</v>
          </cell>
          <cell r="I16114" t="str">
            <v>EXTRA GREENWASTE FEE - RE</v>
          </cell>
        </row>
        <row r="16115">
          <cell r="H16115" t="str">
            <v>GWRES</v>
          </cell>
          <cell r="I16115" t="str">
            <v>GREENWASTE SERVICE - RES</v>
          </cell>
        </row>
        <row r="16116">
          <cell r="H16116" t="str">
            <v>OC-RES</v>
          </cell>
          <cell r="I16116" t="str">
            <v>ON CALL SERVICE - RES</v>
          </cell>
        </row>
        <row r="16117">
          <cell r="H16117" t="str">
            <v>OS-RES</v>
          </cell>
          <cell r="I16117" t="str">
            <v>OVERSIZE CAN - RES</v>
          </cell>
        </row>
        <row r="16118">
          <cell r="H16118" t="str">
            <v>OW-RES</v>
          </cell>
          <cell r="I16118" t="str">
            <v>OVERFILL / OVERWEIGHT CAN</v>
          </cell>
        </row>
        <row r="16119">
          <cell r="H16119" t="str">
            <v>RECPROGADJ-RES</v>
          </cell>
          <cell r="I16119" t="str">
            <v>RECYCLING PROGRAM ADJUSTM</v>
          </cell>
        </row>
        <row r="16120">
          <cell r="H16120" t="str">
            <v>RECVALRES</v>
          </cell>
          <cell r="I16120" t="str">
            <v>RECYCLABLES VALUE - RES</v>
          </cell>
        </row>
        <row r="16121">
          <cell r="H16121" t="str">
            <v>REINSTATE-RES</v>
          </cell>
          <cell r="I16121" t="str">
            <v>REINSTATE FEE - RES</v>
          </cell>
        </row>
        <row r="16122">
          <cell r="H16122" t="str">
            <v>RTRNCART65-RES</v>
          </cell>
          <cell r="I16122" t="str">
            <v>RETURN TRIP 65 GL - RES</v>
          </cell>
        </row>
        <row r="16123">
          <cell r="H16123" t="str">
            <v>RTRNCART95-RES</v>
          </cell>
          <cell r="I16123" t="str">
            <v>RETURN TRIP 95 GL - RES</v>
          </cell>
        </row>
        <row r="16124">
          <cell r="H16124" t="str">
            <v>RTRNCART96REC-RES</v>
          </cell>
          <cell r="I16124" t="str">
            <v>RETURN TRIP 96 GL REC - RES</v>
          </cell>
        </row>
        <row r="16125">
          <cell r="H16125" t="str">
            <v>SL035.0G1W001WREC</v>
          </cell>
          <cell r="I16125" t="str">
            <v>35 GL 1X WK W/ RECY 1</v>
          </cell>
        </row>
        <row r="16126">
          <cell r="H16126" t="str">
            <v>SL065.0G1W001WREC</v>
          </cell>
          <cell r="I16126" t="str">
            <v>65 GL 1X WK W/RECY 1</v>
          </cell>
        </row>
        <row r="16127">
          <cell r="H16127" t="str">
            <v>SL095.0G1W001WREC</v>
          </cell>
          <cell r="I16127" t="str">
            <v>95 GL 1X WK W/RECY 1</v>
          </cell>
        </row>
        <row r="16128">
          <cell r="H16128" t="str">
            <v>SL095.0GEO001WREC</v>
          </cell>
          <cell r="I16128" t="str">
            <v>95 GL EOW W/RECY 1</v>
          </cell>
        </row>
        <row r="16129">
          <cell r="H16129" t="str">
            <v>TIME-RES</v>
          </cell>
          <cell r="I16129" t="str">
            <v>TIME FEE 1 - RES</v>
          </cell>
        </row>
        <row r="16130">
          <cell r="H16130" t="str">
            <v>DRIVEIN-RES</v>
          </cell>
          <cell r="I16130" t="str">
            <v>DRIVE IN SERVICE - RES</v>
          </cell>
        </row>
        <row r="16131">
          <cell r="H16131" t="str">
            <v>GWRES</v>
          </cell>
          <cell r="I16131" t="str">
            <v>GREENWASTE SERVICE - RES</v>
          </cell>
        </row>
        <row r="16132">
          <cell r="H16132" t="str">
            <v>GWSPCL-RES</v>
          </cell>
          <cell r="I16132" t="str">
            <v>GREENWASTE SEN/DIS - RES</v>
          </cell>
        </row>
        <row r="16133">
          <cell r="H16133" t="str">
            <v>RECBINONLYR</v>
          </cell>
          <cell r="I16133" t="str">
            <v>RECYCLE SERVICE ONLY</v>
          </cell>
        </row>
        <row r="16134">
          <cell r="H16134" t="str">
            <v>RECPROGADJ-RES</v>
          </cell>
          <cell r="I16134" t="str">
            <v>RECYCLING PROGRAM ADJUSTM</v>
          </cell>
        </row>
        <row r="16135">
          <cell r="H16135" t="str">
            <v>RECVALRES</v>
          </cell>
          <cell r="I16135" t="str">
            <v>RECYCLABLES VALUE - RES</v>
          </cell>
        </row>
        <row r="16136">
          <cell r="H16136" t="str">
            <v>RL032.0G1W001WREC</v>
          </cell>
          <cell r="I16136" t="str">
            <v>32 GL 1X WK W/RECY 1</v>
          </cell>
        </row>
        <row r="16137">
          <cell r="H16137" t="str">
            <v>RL032.0G1W002NOREC</v>
          </cell>
          <cell r="I16137" t="str">
            <v>32 GL 1X WK NO RECY 2</v>
          </cell>
        </row>
        <row r="16138">
          <cell r="H16138" t="str">
            <v>SL035.0G1M001WREC</v>
          </cell>
          <cell r="I16138" t="str">
            <v>35 GL 1X MO W/RECY 1</v>
          </cell>
        </row>
        <row r="16139">
          <cell r="H16139" t="str">
            <v>SL035.0G1W001NOREC</v>
          </cell>
          <cell r="I16139" t="str">
            <v>35 GL 1X WK NO RECY 1</v>
          </cell>
        </row>
        <row r="16140">
          <cell r="H16140" t="str">
            <v>SL035.0G1W001WREC</v>
          </cell>
          <cell r="I16140" t="str">
            <v>35 GL 1X WK W/ RECY 1</v>
          </cell>
        </row>
        <row r="16141">
          <cell r="H16141" t="str">
            <v>SL035.0GEO001WREC</v>
          </cell>
          <cell r="I16141" t="str">
            <v>35 GL EOW W/RECY 1</v>
          </cell>
        </row>
        <row r="16142">
          <cell r="H16142" t="str">
            <v>SL065.0G1M001WREC</v>
          </cell>
          <cell r="I16142" t="str">
            <v>65 GL 1X MO W/RECY 1</v>
          </cell>
        </row>
        <row r="16143">
          <cell r="H16143" t="str">
            <v>SL065.0G1M002NOREC</v>
          </cell>
          <cell r="I16143" t="str">
            <v>65 GL 1X MO NO RECY 2</v>
          </cell>
        </row>
        <row r="16144">
          <cell r="H16144" t="str">
            <v>SL065.0G1W001WREC</v>
          </cell>
          <cell r="I16144" t="str">
            <v>65 GL 1X WK W/RECY 1</v>
          </cell>
        </row>
        <row r="16145">
          <cell r="H16145" t="str">
            <v>SL065.0GEO001NOREC</v>
          </cell>
          <cell r="I16145" t="str">
            <v>65 GL EOW NO RECY 1</v>
          </cell>
        </row>
        <row r="16146">
          <cell r="H16146" t="str">
            <v>SL065.0GEO001WREC</v>
          </cell>
          <cell r="I16146" t="str">
            <v>65 GL EOW W/RECY 1</v>
          </cell>
        </row>
        <row r="16147">
          <cell r="H16147" t="str">
            <v>SL095.0G1M001WREC</v>
          </cell>
          <cell r="I16147" t="str">
            <v>95 GL 1X MO W/RECY 1</v>
          </cell>
        </row>
        <row r="16148">
          <cell r="H16148" t="str">
            <v>SL095.0G1W001NOREC</v>
          </cell>
          <cell r="I16148" t="str">
            <v>95 GL 1X WK NO RECY 1</v>
          </cell>
        </row>
        <row r="16149">
          <cell r="H16149" t="str">
            <v>SL095.0G1W001WREC</v>
          </cell>
          <cell r="I16149" t="str">
            <v>95 GL 1X WK W/RECY 1</v>
          </cell>
        </row>
        <row r="16150">
          <cell r="H16150" t="str">
            <v>SL095.0GEO001WREC</v>
          </cell>
          <cell r="I16150" t="str">
            <v>95 GL EOW W/RECY 1</v>
          </cell>
        </row>
        <row r="16151">
          <cell r="H16151" t="str">
            <v>WI1-RES</v>
          </cell>
          <cell r="I16151" t="str">
            <v>WALK IN 6-25' - RES</v>
          </cell>
        </row>
        <row r="16152">
          <cell r="H16152" t="str">
            <v>ACCESS-RES</v>
          </cell>
          <cell r="I16152" t="str">
            <v>ACCESS FEE - RES</v>
          </cell>
        </row>
        <row r="16153">
          <cell r="H16153" t="str">
            <v>BULKY-RES</v>
          </cell>
          <cell r="I16153" t="str">
            <v>BULKY ITEM PICK UP - RES</v>
          </cell>
        </row>
        <row r="16154">
          <cell r="H16154" t="str">
            <v>EP96GWC-RES</v>
          </cell>
          <cell r="I16154" t="str">
            <v>EXTRA PICK UP 96 GW - RES</v>
          </cell>
        </row>
        <row r="16155">
          <cell r="H16155" t="str">
            <v>EXTRA-RES</v>
          </cell>
          <cell r="I16155" t="str">
            <v>EXTRA CAN, BAG, BOX - RES</v>
          </cell>
        </row>
        <row r="16156">
          <cell r="H16156" t="str">
            <v>EXTRA65-RES</v>
          </cell>
          <cell r="I16156" t="str">
            <v>EXTRA 65 GL RES</v>
          </cell>
        </row>
        <row r="16157">
          <cell r="H16157" t="str">
            <v>EXTRA95-RES</v>
          </cell>
          <cell r="I16157" t="str">
            <v>EXTRA 95 GL RES</v>
          </cell>
        </row>
        <row r="16158">
          <cell r="H16158" t="str">
            <v>EXTRAGWC-RES</v>
          </cell>
          <cell r="I16158" t="str">
            <v>EXTRA GREENWASTE FEE - RE</v>
          </cell>
        </row>
        <row r="16159">
          <cell r="H16159" t="str">
            <v>GWRES</v>
          </cell>
          <cell r="I16159" t="str">
            <v>GREENWASTE SERVICE - RES</v>
          </cell>
        </row>
        <row r="16160">
          <cell r="H16160" t="str">
            <v>OC-RES</v>
          </cell>
          <cell r="I16160" t="str">
            <v>ON CALL SERVICE - RES</v>
          </cell>
        </row>
        <row r="16161">
          <cell r="H16161" t="str">
            <v>OW-RES</v>
          </cell>
          <cell r="I16161" t="str">
            <v>OVERFILL / OVERWEIGHT CAN</v>
          </cell>
        </row>
        <row r="16162">
          <cell r="H16162" t="str">
            <v>RECPROGADJ-RES</v>
          </cell>
          <cell r="I16162" t="str">
            <v>RECYCLING PROGRAM ADJUSTM</v>
          </cell>
        </row>
        <row r="16163">
          <cell r="H16163" t="str">
            <v>RECVALRES</v>
          </cell>
          <cell r="I16163" t="str">
            <v>RECYCLABLES VALUE - RES</v>
          </cell>
        </row>
        <row r="16164">
          <cell r="H16164" t="str">
            <v>REDEL-RES</v>
          </cell>
          <cell r="I16164" t="str">
            <v>REDELIVER FEE - RES</v>
          </cell>
        </row>
        <row r="16165">
          <cell r="H16165" t="str">
            <v>REINSTATE-RES</v>
          </cell>
          <cell r="I16165" t="str">
            <v>REINSTATE FEE - RES</v>
          </cell>
        </row>
        <row r="16166">
          <cell r="H16166" t="str">
            <v>RTRNCART32-RES</v>
          </cell>
          <cell r="I16166" t="str">
            <v>RETURN TRIP 32 GL - RES</v>
          </cell>
        </row>
        <row r="16167">
          <cell r="H16167" t="str">
            <v>RTRNCART65-RES</v>
          </cell>
          <cell r="I16167" t="str">
            <v>RETURN TRIP 65 GL - RES</v>
          </cell>
        </row>
        <row r="16168">
          <cell r="H16168" t="str">
            <v>RTRNCART95-RES</v>
          </cell>
          <cell r="I16168" t="str">
            <v>RETURN TRIP 95 GL - RES</v>
          </cell>
        </row>
        <row r="16169">
          <cell r="H16169" t="str">
            <v>RTRNCART96REC-RES</v>
          </cell>
          <cell r="I16169" t="str">
            <v>RETURN TRIP 96 GL REC - RES</v>
          </cell>
        </row>
        <row r="16170">
          <cell r="H16170" t="str">
            <v>SL035.0G1W001WREC</v>
          </cell>
          <cell r="I16170" t="str">
            <v>35 GL 1X WK W/ RECY 1</v>
          </cell>
        </row>
        <row r="16171">
          <cell r="H16171" t="str">
            <v>SL035.0G1W002WREC</v>
          </cell>
          <cell r="I16171" t="str">
            <v>35 GL 1X WK W/RECY 2</v>
          </cell>
        </row>
        <row r="16172">
          <cell r="H16172" t="str">
            <v>SL035.0GEO001WREC</v>
          </cell>
          <cell r="I16172" t="str">
            <v>35 GL EOW W/RECY 1</v>
          </cell>
        </row>
        <row r="16173">
          <cell r="H16173" t="str">
            <v>SL065.0G1W001NOREC</v>
          </cell>
          <cell r="I16173" t="str">
            <v>65 GL 1X WK NO RECY 1</v>
          </cell>
        </row>
        <row r="16174">
          <cell r="H16174" t="str">
            <v>SL065.0G1W001WREC</v>
          </cell>
          <cell r="I16174" t="str">
            <v>65 GL 1X WK W/RECY 1</v>
          </cell>
        </row>
        <row r="16175">
          <cell r="H16175" t="str">
            <v>SL065.0GEO001WREC</v>
          </cell>
          <cell r="I16175" t="str">
            <v>65 GL EOW W/RECY 1</v>
          </cell>
        </row>
        <row r="16176">
          <cell r="H16176" t="str">
            <v>SL095.0G1W001WREC</v>
          </cell>
          <cell r="I16176" t="str">
            <v>95 GL 1X WK W/RECY 1</v>
          </cell>
        </row>
        <row r="16177">
          <cell r="H16177" t="str">
            <v>SL095.0GEO001WREC</v>
          </cell>
          <cell r="I16177" t="str">
            <v>95 GL EOW W/RECY 1</v>
          </cell>
        </row>
        <row r="16178">
          <cell r="H16178" t="str">
            <v>TIME-RES</v>
          </cell>
          <cell r="I16178" t="str">
            <v>TIME FEE 1 - RES</v>
          </cell>
        </row>
        <row r="16179">
          <cell r="H16179" t="str">
            <v>EMPLOYEER</v>
          </cell>
          <cell r="I16179" t="str">
            <v>EMPLOYEE SERVICE RES</v>
          </cell>
        </row>
        <row r="16180">
          <cell r="H16180" t="str">
            <v>DISP-RES</v>
          </cell>
          <cell r="I16180" t="str">
            <v>DISPOSAL FEE -RES</v>
          </cell>
        </row>
        <row r="16181">
          <cell r="H16181" t="str">
            <v>DISPCMGL-RES</v>
          </cell>
          <cell r="I16181" t="str">
            <v>DISPOSAL COMINGLE - RES</v>
          </cell>
        </row>
        <row r="16182">
          <cell r="H16182" t="str">
            <v>DISPFEDMSW-RES</v>
          </cell>
          <cell r="I16182" t="str">
            <v>DISPOSAL FEDERAL MSW - RE</v>
          </cell>
        </row>
        <row r="16183">
          <cell r="H16183" t="str">
            <v>DISPGW-RES</v>
          </cell>
          <cell r="I16183" t="str">
            <v>DISPOSAL FEE GREENWASTE -</v>
          </cell>
        </row>
        <row r="16184">
          <cell r="H16184" t="str">
            <v>EXTRAGWC-RES</v>
          </cell>
          <cell r="I16184" t="str">
            <v>EXTRA GREENWASTE FEE - RE</v>
          </cell>
        </row>
        <row r="16185">
          <cell r="H16185" t="str">
            <v>OW-RES</v>
          </cell>
          <cell r="I16185" t="str">
            <v>OVERFILL / OVERWEIGHT CAN</v>
          </cell>
        </row>
        <row r="16186">
          <cell r="H16186" t="str">
            <v>SL095.0G1W001NOREC</v>
          </cell>
          <cell r="I16186" t="str">
            <v>95 GL 1X WK NO RECY 1</v>
          </cell>
        </row>
        <row r="16187">
          <cell r="H16187" t="str">
            <v>SL095.0G1W001WREC</v>
          </cell>
          <cell r="I16187" t="str">
            <v>95 GL 1X WK W/RECY 1</v>
          </cell>
        </row>
        <row r="16188">
          <cell r="H16188" t="str">
            <v>DEL20TEMP-RO</v>
          </cell>
          <cell r="I16188" t="str">
            <v>DELIVERY FEE 20 YD TEMP -</v>
          </cell>
        </row>
        <row r="16189">
          <cell r="H16189" t="str">
            <v>RENT20TEMP-RO</v>
          </cell>
          <cell r="I16189" t="str">
            <v>RENTAL FEE 20 YD TEMP - R</v>
          </cell>
        </row>
        <row r="16190">
          <cell r="H16190" t="str">
            <v>DONATIONRO</v>
          </cell>
          <cell r="I16190" t="str">
            <v>DONATED SERVICE ROLL OFF</v>
          </cell>
        </row>
        <row r="16191">
          <cell r="H16191" t="str">
            <v>HAUL20-RO</v>
          </cell>
          <cell r="I16191" t="str">
            <v>HAUL 20 YD - RO</v>
          </cell>
        </row>
        <row r="16192">
          <cell r="H16192" t="str">
            <v>LIDRO</v>
          </cell>
          <cell r="I16192" t="str">
            <v>LID CHARGE - RO</v>
          </cell>
        </row>
        <row r="16193">
          <cell r="H16193" t="str">
            <v>RENT10MO-RO</v>
          </cell>
          <cell r="I16193" t="str">
            <v>RENTAL FEE 10 YD MONTHLY</v>
          </cell>
        </row>
        <row r="16194">
          <cell r="H16194" t="str">
            <v>RENT20MO-RO</v>
          </cell>
          <cell r="I16194" t="str">
            <v>RENTAL FEE 20 YD MONTHLY</v>
          </cell>
        </row>
        <row r="16195">
          <cell r="H16195" t="str">
            <v>RENT30MO-RO</v>
          </cell>
          <cell r="I16195" t="str">
            <v>RENTAL FEE 30 YD MONTHLY</v>
          </cell>
        </row>
        <row r="16196">
          <cell r="H16196" t="str">
            <v>RENT40MO-RO</v>
          </cell>
          <cell r="I16196" t="str">
            <v>RENTAL FEE 40 YD MONTHLY</v>
          </cell>
        </row>
        <row r="16197">
          <cell r="H16197" t="str">
            <v>CLEAN20-RO</v>
          </cell>
          <cell r="I16197" t="str">
            <v>CLEANING FEE 20 YD - RO</v>
          </cell>
        </row>
        <row r="16198">
          <cell r="H16198" t="str">
            <v>DEL20-RO</v>
          </cell>
          <cell r="I16198" t="str">
            <v>DELIVERY FEE 20 YD - RO</v>
          </cell>
        </row>
        <row r="16199">
          <cell r="H16199" t="str">
            <v>DEL20TEMP-RO</v>
          </cell>
          <cell r="I16199" t="str">
            <v>DELIVERY FEE 20 YD TEMP -</v>
          </cell>
        </row>
        <row r="16200">
          <cell r="H16200" t="str">
            <v>DEL30-RO</v>
          </cell>
          <cell r="I16200" t="str">
            <v>DELIVERY FEE 30 YD - RO</v>
          </cell>
        </row>
        <row r="16201">
          <cell r="H16201" t="str">
            <v>DEL30TEMP-RO</v>
          </cell>
          <cell r="I16201" t="str">
            <v>DELIVERY FEE 30 YD TEMP -</v>
          </cell>
        </row>
        <row r="16202">
          <cell r="H16202" t="str">
            <v>DEL40TEMP-RO</v>
          </cell>
          <cell r="I16202" t="str">
            <v>DELIVERY FEE 40 YD TEMP -</v>
          </cell>
        </row>
        <row r="16203">
          <cell r="H16203" t="str">
            <v>DISCO-CP</v>
          </cell>
          <cell r="I16203" t="str">
            <v xml:space="preserve">COMPACTOR DISCONNECT FEE </v>
          </cell>
        </row>
        <row r="16204">
          <cell r="H16204" t="str">
            <v>DISP-RO</v>
          </cell>
          <cell r="I16204" t="str">
            <v>DISPOSAL CHARGE - RO</v>
          </cell>
        </row>
        <row r="16205">
          <cell r="H16205" t="str">
            <v>DISPCMGL-RO</v>
          </cell>
          <cell r="I16205" t="str">
            <v xml:space="preserve">DISPOSAL FEE COMMINGLE - </v>
          </cell>
        </row>
        <row r="16206">
          <cell r="H16206" t="str">
            <v>DISPGLASS-RO</v>
          </cell>
          <cell r="I16206" t="str">
            <v>DISPOSAL FEE GLASS - RO</v>
          </cell>
        </row>
        <row r="16207">
          <cell r="H16207" t="str">
            <v>DISPMETAL-RO</v>
          </cell>
          <cell r="I16207" t="str">
            <v>DISPOSAL FEE METAL - RO</v>
          </cell>
        </row>
        <row r="16208">
          <cell r="H16208" t="str">
            <v>DISPOCC-RO</v>
          </cell>
          <cell r="I16208" t="str">
            <v xml:space="preserve">DISPOSAL FEE CARDBOARD - </v>
          </cell>
        </row>
        <row r="16209">
          <cell r="H16209" t="str">
            <v>DISPTOTERS-RO</v>
          </cell>
          <cell r="I16209" t="str">
            <v>DISPOSAL FEE TOTERS</v>
          </cell>
        </row>
        <row r="16210">
          <cell r="H16210" t="str">
            <v>DISPTRANS-RO</v>
          </cell>
          <cell r="I16210" t="str">
            <v>DISPOSAL FEE TRANSFER HAU</v>
          </cell>
        </row>
        <row r="16211">
          <cell r="H16211" t="str">
            <v>EXWGHT-RO</v>
          </cell>
          <cell r="I16211" t="str">
            <v>EXCESS WEIGHT - RO</v>
          </cell>
        </row>
        <row r="16212">
          <cell r="H16212" t="str">
            <v>FERRY-RO</v>
          </cell>
          <cell r="I16212" t="str">
            <v>FERRY FEE - RO</v>
          </cell>
        </row>
        <row r="16213">
          <cell r="H16213" t="str">
            <v>FINAL20-RO</v>
          </cell>
          <cell r="I16213" t="str">
            <v>FINAL PULL 20 YD - RO</v>
          </cell>
        </row>
        <row r="16214">
          <cell r="H16214" t="str">
            <v>FINAL20TEMP-RO</v>
          </cell>
          <cell r="I16214" t="str">
            <v>FINAL PULL 20 YD TEMP - R</v>
          </cell>
        </row>
        <row r="16215">
          <cell r="H16215" t="str">
            <v>FINAL30-RO</v>
          </cell>
          <cell r="I16215" t="str">
            <v>FINAL PULL 30 YD - RO</v>
          </cell>
        </row>
        <row r="16216">
          <cell r="H16216" t="str">
            <v>FINAL30TEMP-RO</v>
          </cell>
          <cell r="I16216" t="str">
            <v>FINAL PULL 30 YD TEMP - R</v>
          </cell>
        </row>
        <row r="16217">
          <cell r="H16217" t="str">
            <v>FINAL40-RO</v>
          </cell>
          <cell r="I16217" t="str">
            <v>FINAL PULL 40 YD - RO</v>
          </cell>
        </row>
        <row r="16218">
          <cell r="H16218" t="str">
            <v>FINAL40TEMP-RO</v>
          </cell>
          <cell r="I16218" t="str">
            <v>FINAL PULL 40 YD TEMP - R</v>
          </cell>
        </row>
        <row r="16219">
          <cell r="H16219" t="str">
            <v>GATE-RO</v>
          </cell>
          <cell r="I16219" t="str">
            <v>GATE CHARGE - RO</v>
          </cell>
        </row>
        <row r="16220">
          <cell r="H16220" t="str">
            <v>HAUL10-CP</v>
          </cell>
          <cell r="I16220" t="str">
            <v>COMPACTOR HAUL 10 YD - RO</v>
          </cell>
        </row>
        <row r="16221">
          <cell r="H16221" t="str">
            <v>HAUL20-CP</v>
          </cell>
          <cell r="I16221" t="str">
            <v>COMPACTOR HAUL 20 YD - RO</v>
          </cell>
        </row>
        <row r="16222">
          <cell r="H16222" t="str">
            <v>HAUL20-RO</v>
          </cell>
          <cell r="I16222" t="str">
            <v>HAUL 20 YD - RO</v>
          </cell>
        </row>
        <row r="16223">
          <cell r="H16223" t="str">
            <v>HAUL20CUST-RO</v>
          </cell>
          <cell r="I16223" t="str">
            <v>HAUL 20 YD CUST - RO</v>
          </cell>
        </row>
        <row r="16224">
          <cell r="H16224" t="str">
            <v>HAUL20TEMP-RO</v>
          </cell>
          <cell r="I16224" t="str">
            <v>HAUL 20 YD TEMP - RO</v>
          </cell>
        </row>
        <row r="16225">
          <cell r="H16225" t="str">
            <v>HAUL25-CP</v>
          </cell>
          <cell r="I16225" t="str">
            <v>COMPACTOR HAUL 25 YD - RO</v>
          </cell>
        </row>
        <row r="16226">
          <cell r="H16226" t="str">
            <v>HAUL30-CP</v>
          </cell>
          <cell r="I16226" t="str">
            <v>COMPACTOR HAUL 30 YD</v>
          </cell>
        </row>
        <row r="16227">
          <cell r="H16227" t="str">
            <v>HAUL30-RO</v>
          </cell>
          <cell r="I16227" t="str">
            <v>HAUL 30 YD - RO</v>
          </cell>
        </row>
        <row r="16228">
          <cell r="H16228" t="str">
            <v>HAUL30REC-RO</v>
          </cell>
          <cell r="I16228" t="str">
            <v>HAUL 30 YD RECYCLE - RO</v>
          </cell>
        </row>
        <row r="16229">
          <cell r="H16229" t="str">
            <v>HAUL30TEMP-RO</v>
          </cell>
          <cell r="I16229" t="str">
            <v>HAUL 30 YD TEMP - RO</v>
          </cell>
        </row>
        <row r="16230">
          <cell r="H16230" t="str">
            <v>HAUL40-CP</v>
          </cell>
          <cell r="I16230" t="str">
            <v>COMPACTOR HAUL 40 YD</v>
          </cell>
        </row>
        <row r="16231">
          <cell r="H16231" t="str">
            <v>HAUL40-RO</v>
          </cell>
          <cell r="I16231" t="str">
            <v>HAUL 40 YD - RO</v>
          </cell>
        </row>
        <row r="16232">
          <cell r="H16232" t="str">
            <v>HAUL40TEMP-RO</v>
          </cell>
          <cell r="I16232" t="str">
            <v>HAUL 40 YD TEMP - RO</v>
          </cell>
        </row>
        <row r="16233">
          <cell r="H16233" t="str">
            <v>LOCK-RO</v>
          </cell>
          <cell r="I16233" t="str">
            <v>LOCK CHARGE - RO</v>
          </cell>
        </row>
        <row r="16234">
          <cell r="H16234" t="str">
            <v>MILE-RO</v>
          </cell>
          <cell r="I16234" t="str">
            <v>MILEAGE FEE - RO</v>
          </cell>
        </row>
        <row r="16235">
          <cell r="H16235" t="str">
            <v>RENT20TEMP-RO</v>
          </cell>
          <cell r="I16235" t="str">
            <v>RENTAL FEE 20 YD TEMP - R</v>
          </cell>
        </row>
        <row r="16236">
          <cell r="H16236" t="str">
            <v>RENT30TEMP-RO</v>
          </cell>
          <cell r="I16236" t="str">
            <v>RENTAL FEE 30 YD TEMP - R</v>
          </cell>
        </row>
        <row r="16237">
          <cell r="H16237" t="str">
            <v>RENT40TEMP-RO</v>
          </cell>
          <cell r="I16237" t="str">
            <v>RENTAL FEE 40 YD TEMP - R</v>
          </cell>
        </row>
        <row r="16238">
          <cell r="H16238" t="str">
            <v>RTRNTRIP-RO</v>
          </cell>
          <cell r="I16238" t="str">
            <v>RETURN TRIP FEE - RO</v>
          </cell>
        </row>
        <row r="16239">
          <cell r="H16239" t="str">
            <v>TIME-RO</v>
          </cell>
          <cell r="I16239" t="str">
            <v>TIME FEE - RO</v>
          </cell>
        </row>
        <row r="16240">
          <cell r="H16240" t="str">
            <v>DISPGLASS-RO</v>
          </cell>
          <cell r="I16240" t="str">
            <v>DISPOSAL FEE GLASS - RO</v>
          </cell>
        </row>
        <row r="16241">
          <cell r="H16241" t="str">
            <v>COMMODITY SURCHARGE</v>
          </cell>
          <cell r="I16241" t="str">
            <v>COMMODITY SURCHARGE</v>
          </cell>
        </row>
        <row r="16242">
          <cell r="H16242" t="str">
            <v>COMMODITY SURCHARGE</v>
          </cell>
          <cell r="I16242" t="str">
            <v>COMMODITY SURCHARGE</v>
          </cell>
        </row>
        <row r="16243">
          <cell r="H16243" t="str">
            <v>COMMODITY SURCHARGE</v>
          </cell>
          <cell r="I16243" t="str">
            <v>COMMODITY SURCHARGE</v>
          </cell>
        </row>
        <row r="16244">
          <cell r="H16244" t="str">
            <v xml:space="preserve">PIERCE COUNTY REFUSE </v>
          </cell>
          <cell r="I16244" t="str">
            <v>3.6% PIERCE COUNTY REFUSE</v>
          </cell>
        </row>
        <row r="16245">
          <cell r="H16245" t="str">
            <v xml:space="preserve">PIERCE COUNTY REFUSE  </v>
          </cell>
          <cell r="I16245" t="str">
            <v>3.6% PIERCE COUNTY REFUSE</v>
          </cell>
        </row>
        <row r="16246">
          <cell r="H16246" t="str">
            <v>PIERCE REFUSE TAX</v>
          </cell>
          <cell r="I16246" t="str">
            <v>3.6% WA STATE REFUSE TAX</v>
          </cell>
        </row>
        <row r="16247">
          <cell r="H16247" t="str">
            <v xml:space="preserve">PIERCE COUNTY REFUSE </v>
          </cell>
          <cell r="I16247" t="str">
            <v>3.6% PIERCE COUNTY REFUSE</v>
          </cell>
        </row>
        <row r="16248">
          <cell r="H16248" t="str">
            <v xml:space="preserve">PIERCE COUNTY REFUSE  </v>
          </cell>
          <cell r="I16248" t="str">
            <v>3.6% PIERCE COUNTY REFUSE</v>
          </cell>
        </row>
        <row r="16249">
          <cell r="H16249" t="str">
            <v>PIERCE COUNTY REFUSE</v>
          </cell>
          <cell r="I16249" t="str">
            <v>3.6% PIERCE COUNTY REFUSE</v>
          </cell>
        </row>
        <row r="16250">
          <cell r="H16250" t="str">
            <v>PIERCE COUNTY SALES 7.9%</v>
          </cell>
          <cell r="I16250" t="str">
            <v>7.9% WA STATE SALES TAX</v>
          </cell>
        </row>
        <row r="16251">
          <cell r="H16251" t="str">
            <v>PIERCE COUNTY SALES 9.3%</v>
          </cell>
          <cell r="I16251" t="str">
            <v>9.3% WA STATE SALES TAX</v>
          </cell>
        </row>
        <row r="16252">
          <cell r="H16252" t="str">
            <v>PIERCE REFUSE TAX</v>
          </cell>
          <cell r="I16252" t="str">
            <v>3.6% WA STATE REFUSE TAX</v>
          </cell>
        </row>
        <row r="16253">
          <cell r="H16253" t="str">
            <v>PIERCE STATE SALES TAX</v>
          </cell>
          <cell r="I16253" t="str">
            <v>9.9% WA STATE SALES TAX</v>
          </cell>
        </row>
        <row r="16254">
          <cell r="H16254" t="str">
            <v>PIERCE REFUSE TAX</v>
          </cell>
          <cell r="I16254" t="str">
            <v>3.6% WA STATE REFUSE TAX</v>
          </cell>
        </row>
        <row r="16255">
          <cell r="H16255" t="str">
            <v>PIERCE STATE SALES TAX</v>
          </cell>
          <cell r="I16255" t="str">
            <v>9.9% WA STATE SALES TAX</v>
          </cell>
        </row>
        <row r="16256">
          <cell r="H16256" t="str">
            <v xml:space="preserve">PIERCE COUNTY REFUSE </v>
          </cell>
          <cell r="I16256" t="str">
            <v>3.6% PIERCE COUNTY REFUSE</v>
          </cell>
        </row>
        <row r="16257">
          <cell r="H16257" t="str">
            <v xml:space="preserve">PIERCE COUNTY REFUSE  </v>
          </cell>
          <cell r="I16257" t="str">
            <v>3.6% PIERCE COUNTY REFUSE</v>
          </cell>
        </row>
        <row r="16258">
          <cell r="H16258" t="str">
            <v>PIERCE COUNTY REFUSE</v>
          </cell>
          <cell r="I16258" t="str">
            <v>3.6% PIERCE COUNTY REFUSE</v>
          </cell>
        </row>
        <row r="16259">
          <cell r="H16259" t="str">
            <v>PIERCE REFUSE TAX</v>
          </cell>
          <cell r="I16259" t="str">
            <v>3.6% WA STATE REFUSE TAX</v>
          </cell>
        </row>
        <row r="16260">
          <cell r="H16260" t="str">
            <v xml:space="preserve">PIERCE COUNTY REFUSE  </v>
          </cell>
          <cell r="I16260" t="str">
            <v>3.6% PIERCE COUNTY REFUSE</v>
          </cell>
        </row>
        <row r="16261">
          <cell r="H16261" t="str">
            <v>PIERCE REFUSE TAX</v>
          </cell>
          <cell r="I16261" t="str">
            <v>3.6% WA STATE REFUSE TAX</v>
          </cell>
        </row>
        <row r="16262">
          <cell r="H16262" t="str">
            <v xml:space="preserve">PIERCE COUNTY REFUSE  </v>
          </cell>
          <cell r="I16262" t="str">
            <v>3.6% PIERCE COUNTY REFUSE</v>
          </cell>
        </row>
        <row r="16263">
          <cell r="H16263" t="str">
            <v>FT LEWIS REFUSE TAX</v>
          </cell>
          <cell r="I16263" t="str">
            <v>3.6% WA STATE REFUSE TAX</v>
          </cell>
        </row>
        <row r="16264">
          <cell r="H16264" t="str">
            <v>LAKEWOOD CITY UTILITY TAX</v>
          </cell>
          <cell r="I16264" t="str">
            <v>6% CITY UTILITY TAX</v>
          </cell>
        </row>
        <row r="16265">
          <cell r="H16265" t="str">
            <v>LAKEWOOD REFUSE TAX</v>
          </cell>
          <cell r="I16265" t="str">
            <v>3.6% WA STATE REFUSE TAX</v>
          </cell>
        </row>
        <row r="16266">
          <cell r="H16266" t="str">
            <v xml:space="preserve">PIERCE COUNTY REFUSE </v>
          </cell>
          <cell r="I16266" t="str">
            <v>3.6% PIERCE COUNTY REFUSE</v>
          </cell>
        </row>
        <row r="16267">
          <cell r="H16267" t="str">
            <v xml:space="preserve">PIERCE COUNTY REFUSE  </v>
          </cell>
          <cell r="I16267" t="str">
            <v>3.6% PIERCE COUNTY REFUSE</v>
          </cell>
        </row>
        <row r="16268">
          <cell r="H16268" t="str">
            <v>PIERCE COUNTY REFUSE</v>
          </cell>
          <cell r="I16268" t="str">
            <v>3.6% PIERCE COUNTY REFUSE</v>
          </cell>
        </row>
        <row r="16269">
          <cell r="H16269" t="str">
            <v>PIERCE REFUSE TAX</v>
          </cell>
          <cell r="I16269" t="str">
            <v>3.6% WA STATE REFUSE TAX</v>
          </cell>
        </row>
        <row r="16270">
          <cell r="H16270" t="str">
            <v xml:space="preserve">PIERCE COUNTY REFUSE </v>
          </cell>
          <cell r="I16270" t="str">
            <v>3.6% PIERCE COUNTY REFUSE</v>
          </cell>
        </row>
        <row r="16271">
          <cell r="H16271" t="str">
            <v xml:space="preserve">PIERCE COUNTY REFUSE  </v>
          </cell>
          <cell r="I16271" t="str">
            <v>3.6% PIERCE COUNTY REFUSE</v>
          </cell>
        </row>
        <row r="16272">
          <cell r="H16272" t="str">
            <v>PIERCE COUNTY REFUSE</v>
          </cell>
          <cell r="I16272" t="str">
            <v>3.6% PIERCE COUNTY REFUSE</v>
          </cell>
        </row>
        <row r="16273">
          <cell r="H16273" t="str">
            <v>PIERCE REFUSE TAX</v>
          </cell>
          <cell r="I16273" t="str">
            <v>3.6% WA STATE REFUSE TAX</v>
          </cell>
        </row>
        <row r="16274">
          <cell r="H16274" t="str">
            <v>PIERCE REFUSE TAX</v>
          </cell>
          <cell r="I16274" t="str">
            <v>3.6% WA STATE REFUSE TAX</v>
          </cell>
        </row>
        <row r="16275">
          <cell r="H16275" t="str">
            <v>PIERCE STATE SALES TAX</v>
          </cell>
          <cell r="I16275" t="str">
            <v>9.9% WA STATE SALES TAX</v>
          </cell>
        </row>
        <row r="16276">
          <cell r="H16276" t="str">
            <v>PIERCE STATE SALES TAX</v>
          </cell>
          <cell r="I16276" t="str">
            <v>9.9% WA STATE SALES TAX</v>
          </cell>
        </row>
        <row r="16277">
          <cell r="H16277" t="str">
            <v xml:space="preserve">PIERCE COUNTY REFUSE </v>
          </cell>
          <cell r="I16277" t="str">
            <v>3.6% PIERCE COUNTY REFUSE</v>
          </cell>
        </row>
        <row r="16278">
          <cell r="H16278" t="str">
            <v xml:space="preserve">PIERCE COUNTY REFUSE  </v>
          </cell>
          <cell r="I16278" t="str">
            <v>3.6% PIERCE COUNTY REFUSE</v>
          </cell>
        </row>
        <row r="16279">
          <cell r="H16279" t="str">
            <v>PIERCE COUNTY REFUSE</v>
          </cell>
          <cell r="I16279" t="str">
            <v>3.6% PIERCE COUNTY REFUSE</v>
          </cell>
        </row>
        <row r="16280">
          <cell r="H16280" t="str">
            <v>PIERCE COUNTY SALES 7.9%</v>
          </cell>
          <cell r="I16280" t="str">
            <v>7.9% WA STATE SALES TAX</v>
          </cell>
        </row>
        <row r="16281">
          <cell r="H16281" t="str">
            <v>PIERCE COUNTY SALES 8.0%</v>
          </cell>
          <cell r="I16281" t="str">
            <v>8.0% WA STATE SALES TAX</v>
          </cell>
        </row>
        <row r="16282">
          <cell r="H16282" t="str">
            <v>PIERCE COUNTY SALES 9.3%</v>
          </cell>
          <cell r="I16282" t="str">
            <v>9.3% WA STATE SALES TAX</v>
          </cell>
        </row>
        <row r="16283">
          <cell r="H16283" t="str">
            <v>PIERCE REFUSE TAX</v>
          </cell>
          <cell r="I16283" t="str">
            <v>3.6% WA STATE REFUSE TAX</v>
          </cell>
        </row>
        <row r="16284">
          <cell r="H16284" t="str">
            <v>PIERCE STATE SALES TAX</v>
          </cell>
          <cell r="I16284" t="str">
            <v>9.9% WA STATE SALES TAX</v>
          </cell>
        </row>
        <row r="16285">
          <cell r="H16285" t="str">
            <v>FINCHG</v>
          </cell>
          <cell r="I16285" t="str">
            <v>LATE FEE</v>
          </cell>
        </row>
        <row r="16286">
          <cell r="H16286" t="str">
            <v>BD</v>
          </cell>
          <cell r="I16286" t="str">
            <v>BAD DEBT WRITE OFF</v>
          </cell>
        </row>
        <row r="16287">
          <cell r="H16287" t="str">
            <v>BDR</v>
          </cell>
          <cell r="I16287" t="str">
            <v>BAD DEBT RECOVERY</v>
          </cell>
        </row>
        <row r="16288">
          <cell r="H16288" t="str">
            <v>COLLFEE</v>
          </cell>
          <cell r="I16288" t="str">
            <v>COLLECTION AGENCY FEE</v>
          </cell>
        </row>
        <row r="16289">
          <cell r="H16289" t="str">
            <v>FINCHG</v>
          </cell>
          <cell r="I16289" t="str">
            <v>LATE FEE</v>
          </cell>
        </row>
        <row r="16290">
          <cell r="H16290" t="str">
            <v>MM</v>
          </cell>
          <cell r="I16290" t="str">
            <v>ADJUST BALANCE (MM)</v>
          </cell>
        </row>
        <row r="16291">
          <cell r="H16291" t="str">
            <v>MM</v>
          </cell>
          <cell r="I16291" t="str">
            <v>ADJUST BALANCE (MM)</v>
          </cell>
        </row>
        <row r="16292">
          <cell r="H16292" t="str">
            <v>REFUND</v>
          </cell>
          <cell r="I16292" t="str">
            <v>REFUND</v>
          </cell>
        </row>
        <row r="16293">
          <cell r="H16293" t="str">
            <v>RETCKC</v>
          </cell>
          <cell r="I16293" t="str">
            <v>RETURN CHECK CHARGE</v>
          </cell>
        </row>
        <row r="16294">
          <cell r="H16294" t="str">
            <v>ACCESS-COMM</v>
          </cell>
          <cell r="I16294" t="str">
            <v>ACCESS FEE - COMM</v>
          </cell>
        </row>
        <row r="16295">
          <cell r="H16295" t="str">
            <v>DONATIONC</v>
          </cell>
          <cell r="I16295" t="str">
            <v>DONATED SERVICE COMM</v>
          </cell>
        </row>
        <row r="16296">
          <cell r="H16296" t="str">
            <v>DRIVEIN1-COMM</v>
          </cell>
          <cell r="I16296" t="str">
            <v>DRIVE IN 125-250' - COMM</v>
          </cell>
        </row>
        <row r="16297">
          <cell r="H16297" t="str">
            <v>FL001.0Y1W001</v>
          </cell>
          <cell r="I16297" t="str">
            <v>1 YD 1X WK 1</v>
          </cell>
        </row>
        <row r="16298">
          <cell r="H16298" t="str">
            <v>FL001.0Y1W001MF</v>
          </cell>
          <cell r="I16298" t="str">
            <v>1 YD 1X WK MULTI-FAMILY 1</v>
          </cell>
        </row>
        <row r="16299">
          <cell r="H16299" t="str">
            <v>FL001.5Y1W001</v>
          </cell>
          <cell r="I16299" t="str">
            <v>1.5 YD 1X WK 1</v>
          </cell>
        </row>
        <row r="16300">
          <cell r="H16300" t="str">
            <v>FL001.5Y1W001MF</v>
          </cell>
          <cell r="I16300" t="str">
            <v>1.5 YD 1X WK MULTI-FAMILY 1</v>
          </cell>
        </row>
        <row r="16301">
          <cell r="H16301" t="str">
            <v>FL001.5Y2W001</v>
          </cell>
          <cell r="I16301" t="str">
            <v>1.5 YD 2X WK 1</v>
          </cell>
        </row>
        <row r="16302">
          <cell r="H16302" t="str">
            <v>FL001.5Y2W001MF</v>
          </cell>
          <cell r="I16302" t="str">
            <v>1.5 YD 2X WK MULTI-FAMILY 1</v>
          </cell>
        </row>
        <row r="16303">
          <cell r="H16303" t="str">
            <v>FL002.0Y1W001</v>
          </cell>
          <cell r="I16303" t="str">
            <v>2 YD 1X WK 1</v>
          </cell>
        </row>
        <row r="16304">
          <cell r="H16304" t="str">
            <v>FL002.0Y1W001MF</v>
          </cell>
          <cell r="I16304" t="str">
            <v>2 YD 1X WK MULTI-FAMILY 1</v>
          </cell>
        </row>
        <row r="16305">
          <cell r="H16305" t="str">
            <v>FL002.0Y2W001</v>
          </cell>
          <cell r="I16305" t="str">
            <v>2 YD 2X WK 1</v>
          </cell>
        </row>
        <row r="16306">
          <cell r="H16306" t="str">
            <v>FL002.0Y2W001MF</v>
          </cell>
          <cell r="I16306" t="str">
            <v>2 YD 2X WK MULTI-FAMILY 1</v>
          </cell>
        </row>
        <row r="16307">
          <cell r="H16307" t="str">
            <v>FL003.0Y1W001MF</v>
          </cell>
          <cell r="I16307" t="str">
            <v>3 YD 1X WK MULTI-FAMILY 1</v>
          </cell>
        </row>
        <row r="16308">
          <cell r="H16308" t="str">
            <v>FL004.0Y1W001</v>
          </cell>
          <cell r="I16308" t="str">
            <v>4 YD 1X WK 1</v>
          </cell>
        </row>
        <row r="16309">
          <cell r="H16309" t="str">
            <v>FL004.0Y1W001MF</v>
          </cell>
          <cell r="I16309" t="str">
            <v>4 YD 1X WK MULTI-FAMILY 1</v>
          </cell>
        </row>
        <row r="16310">
          <cell r="H16310" t="str">
            <v>FL004.0Y2W001MF</v>
          </cell>
          <cell r="I16310" t="str">
            <v>4 YD 2X WK MULTI-FAMILY 1</v>
          </cell>
        </row>
        <row r="16311">
          <cell r="H16311" t="str">
            <v>FL006.0Y1W001</v>
          </cell>
          <cell r="I16311" t="str">
            <v>6 YD 1X WK 1</v>
          </cell>
        </row>
        <row r="16312">
          <cell r="H16312" t="str">
            <v>FL006.0Y1W001MF</v>
          </cell>
          <cell r="I16312" t="str">
            <v>6 YD 1X WK MULTI-FAMILY 1</v>
          </cell>
        </row>
        <row r="16313">
          <cell r="H16313" t="str">
            <v>FL006.0Y2W001</v>
          </cell>
          <cell r="I16313" t="str">
            <v>6 YD 2X WK 1</v>
          </cell>
        </row>
        <row r="16314">
          <cell r="H16314" t="str">
            <v>GWCOMM</v>
          </cell>
          <cell r="I16314" t="str">
            <v>GREENWASTE SERVICE - COMM</v>
          </cell>
        </row>
        <row r="16315">
          <cell r="H16315" t="str">
            <v>RL032.0G1W002WRECC</v>
          </cell>
          <cell r="I16315" t="str">
            <v>32 GL 1X WK W/RECY COMM 2</v>
          </cell>
        </row>
        <row r="16316">
          <cell r="H16316" t="str">
            <v>RL032.0G1W006WRECC</v>
          </cell>
          <cell r="I16316" t="str">
            <v>32 GL 1X WK W/RECY COMM 6</v>
          </cell>
        </row>
        <row r="16317">
          <cell r="H16317" t="str">
            <v>RL035.0G1W001WRECC</v>
          </cell>
          <cell r="I16317" t="str">
            <v>35 GL 1X WK W/RECY COMM 1</v>
          </cell>
        </row>
        <row r="16318">
          <cell r="H16318" t="str">
            <v>SL065.0G1W001WRECC</v>
          </cell>
          <cell r="I16318" t="str">
            <v>65 GL 1X WK W/RECY COMM 1</v>
          </cell>
        </row>
        <row r="16319">
          <cell r="H16319" t="str">
            <v>SL065.0GEO001WRECC</v>
          </cell>
          <cell r="I16319" t="str">
            <v>65 GL EOW W/RECY COMM 1</v>
          </cell>
        </row>
        <row r="16320">
          <cell r="H16320" t="str">
            <v>SL095.0G1W001WRECC</v>
          </cell>
          <cell r="I16320" t="str">
            <v>95 GL 1X WK W/RECY COMM 1</v>
          </cell>
        </row>
        <row r="16321">
          <cell r="H16321" t="str">
            <v>SL095.0GEO001WRECC</v>
          </cell>
          <cell r="I16321" t="str">
            <v>95 GL EOW W/RECY COMM 1</v>
          </cell>
        </row>
        <row r="16322">
          <cell r="H16322" t="str">
            <v>WI1-COMM</v>
          </cell>
          <cell r="I16322" t="str">
            <v>WALK IN 6-25' - COMM</v>
          </cell>
        </row>
        <row r="16323">
          <cell r="H16323" t="str">
            <v>EXTRA-COMM</v>
          </cell>
          <cell r="I16323" t="str">
            <v>EXTRA CAN, BAG, BOX - COM</v>
          </cell>
        </row>
        <row r="16324">
          <cell r="H16324" t="str">
            <v>RENT1.5TEMP-COMM</v>
          </cell>
          <cell r="I16324" t="str">
            <v>RENT 1.5 YD TEMP - COMM</v>
          </cell>
        </row>
        <row r="16325">
          <cell r="H16325" t="str">
            <v>RENT1TEMP-COMM</v>
          </cell>
          <cell r="I16325" t="str">
            <v>RENT 1 YD TEMP - COMM</v>
          </cell>
        </row>
        <row r="16326">
          <cell r="H16326" t="str">
            <v>SP2-COMM</v>
          </cell>
          <cell r="I16326" t="str">
            <v>SPECIAL PICK UP 2 YD - CO</v>
          </cell>
        </row>
        <row r="16327">
          <cell r="H16327" t="str">
            <v>FL002.0Y1W001BCMGL</v>
          </cell>
          <cell r="I16327" t="str">
            <v>2 YD 1X WK BUS CMGL 1</v>
          </cell>
        </row>
        <row r="16328">
          <cell r="H16328" t="str">
            <v>FL002.0Y1W001SCMGL</v>
          </cell>
          <cell r="I16328" t="str">
            <v>2 YD 1X WK SCHL CMGL 1</v>
          </cell>
        </row>
        <row r="16329">
          <cell r="H16329" t="str">
            <v>FL002.0Y2W001BCMGL</v>
          </cell>
          <cell r="I16329" t="str">
            <v>2 YD 2X WK BUS CMGL 1</v>
          </cell>
        </row>
        <row r="16330">
          <cell r="H16330" t="str">
            <v>FL006.0Y2W001BCMGL</v>
          </cell>
          <cell r="I16330" t="str">
            <v>6 YD 2X WK BUS COMINGLE 1</v>
          </cell>
        </row>
        <row r="16331">
          <cell r="H16331" t="str">
            <v>MFWBINS</v>
          </cell>
          <cell r="I16331" t="str">
            <v>MULTI-FAMILY REC UNIT W/B</v>
          </cell>
        </row>
        <row r="16332">
          <cell r="H16332" t="str">
            <v>SL096.0G1W001BCMGLOUT</v>
          </cell>
          <cell r="I16332" t="str">
            <v>96 GL WKLY BUS CMGL OUT</v>
          </cell>
        </row>
        <row r="16333">
          <cell r="H16333" t="str">
            <v>SL096.0G1W001SCMGLOUT</v>
          </cell>
          <cell r="I16333" t="str">
            <v>96 GL WKLY SCHL CMGL OUT</v>
          </cell>
        </row>
        <row r="16334">
          <cell r="H16334" t="str">
            <v>SL096.0GEO001BCMGLOUT</v>
          </cell>
          <cell r="I16334" t="str">
            <v>96 GL EOW BUS CMGL OUT</v>
          </cell>
        </row>
        <row r="16335">
          <cell r="H16335" t="str">
            <v>RETCK-PNCL</v>
          </cell>
          <cell r="I16335" t="str">
            <v>RETURNED CHECK - PNC LOCKBOX</v>
          </cell>
        </row>
        <row r="16336">
          <cell r="H16336" t="str">
            <v>CC-KOL</v>
          </cell>
          <cell r="I16336" t="str">
            <v>ONLINE PAYMENT-CC</v>
          </cell>
        </row>
        <row r="16337">
          <cell r="H16337" t="str">
            <v>CCREF-KOL</v>
          </cell>
          <cell r="I16337" t="str">
            <v>CREDIT CARD REFUND</v>
          </cell>
        </row>
        <row r="16338">
          <cell r="H16338" t="str">
            <v>PAY</v>
          </cell>
          <cell r="I16338" t="str">
            <v>PAYMENT THANK YOU</v>
          </cell>
        </row>
        <row r="16339">
          <cell r="H16339" t="str">
            <v>PAY-CFREE</v>
          </cell>
          <cell r="I16339" t="str">
            <v>CHECKFREE PAYMENT</v>
          </cell>
        </row>
        <row r="16340">
          <cell r="H16340" t="str">
            <v>PAY-KOL</v>
          </cell>
          <cell r="I16340" t="str">
            <v>PAYMENT-THANK YOU - OL</v>
          </cell>
        </row>
        <row r="16341">
          <cell r="H16341" t="str">
            <v>PAY-ORCC</v>
          </cell>
          <cell r="I16341" t="str">
            <v>ORCC PAYMENT</v>
          </cell>
        </row>
        <row r="16342">
          <cell r="H16342" t="str">
            <v>PAY-RPPS</v>
          </cell>
          <cell r="I16342" t="str">
            <v>RPPS MASTERCARD PAYMENT</v>
          </cell>
        </row>
        <row r="16343">
          <cell r="H16343" t="str">
            <v>PAYMET</v>
          </cell>
          <cell r="I16343" t="str">
            <v>METAVANTE ONLINE PAYMENT</v>
          </cell>
        </row>
        <row r="16344">
          <cell r="H16344" t="str">
            <v>PAYPNCL</v>
          </cell>
          <cell r="I16344" t="str">
            <v>PAYMENT THANK YOU!</v>
          </cell>
        </row>
        <row r="16345">
          <cell r="H16345" t="str">
            <v>PAYUSBL</v>
          </cell>
          <cell r="I16345" t="str">
            <v>PAYMENT THANK YOU</v>
          </cell>
        </row>
        <row r="16346">
          <cell r="H16346" t="str">
            <v>RET-KOL</v>
          </cell>
          <cell r="I16346" t="str">
            <v>ONLINE PAYMENT RETURN</v>
          </cell>
        </row>
        <row r="16347">
          <cell r="H16347" t="str">
            <v>DRIVEIN1-RES</v>
          </cell>
          <cell r="I16347" t="str">
            <v>DRIVE IN 1 - RES</v>
          </cell>
        </row>
        <row r="16348">
          <cell r="H16348" t="str">
            <v>EMPLOYEER</v>
          </cell>
          <cell r="I16348" t="str">
            <v>EMPLOYEE SERVICE RES</v>
          </cell>
        </row>
        <row r="16349">
          <cell r="H16349" t="str">
            <v>GW3RES</v>
          </cell>
          <cell r="I16349" t="str">
            <v>GREENWASTE SVC 3 - RES</v>
          </cell>
        </row>
        <row r="16350">
          <cell r="H16350" t="str">
            <v>GWRES</v>
          </cell>
          <cell r="I16350" t="str">
            <v>GREENWASTE SERVICE - RES</v>
          </cell>
        </row>
        <row r="16351">
          <cell r="H16351" t="str">
            <v>RECBINONLYR</v>
          </cell>
          <cell r="I16351" t="str">
            <v>RECYCLE SERVICE ONLY</v>
          </cell>
        </row>
        <row r="16352">
          <cell r="H16352" t="str">
            <v>RECPROGADJ-RES</v>
          </cell>
          <cell r="I16352" t="str">
            <v>RECYCLING PROGRAM ADJUSTM</v>
          </cell>
        </row>
        <row r="16353">
          <cell r="H16353" t="str">
            <v>RECVALRES</v>
          </cell>
          <cell r="I16353" t="str">
            <v>RECYCLABLES VALUE - RES</v>
          </cell>
        </row>
        <row r="16354">
          <cell r="H16354" t="str">
            <v>RL032.0G1W002WREC</v>
          </cell>
          <cell r="I16354" t="str">
            <v>32 GL 1X WK W/RECY 2</v>
          </cell>
        </row>
        <row r="16355">
          <cell r="H16355" t="str">
            <v>RL032.0G1W003WREC</v>
          </cell>
          <cell r="I16355" t="str">
            <v>32 GL 1X WK W/RECY 3</v>
          </cell>
        </row>
        <row r="16356">
          <cell r="H16356" t="str">
            <v>SL035.0G1M001WREC</v>
          </cell>
          <cell r="I16356" t="str">
            <v>35 GL 1X MO W/RECY 1</v>
          </cell>
        </row>
        <row r="16357">
          <cell r="H16357" t="str">
            <v>SL035.0G1W001WREC</v>
          </cell>
          <cell r="I16357" t="str">
            <v>35 GL 1X WK W/ RECY 1</v>
          </cell>
        </row>
        <row r="16358">
          <cell r="H16358" t="str">
            <v>SL035.0G1W002WREC</v>
          </cell>
          <cell r="I16358" t="str">
            <v>35 GL 1X WK W/RECY 2</v>
          </cell>
        </row>
        <row r="16359">
          <cell r="H16359" t="str">
            <v>SL035.0GEO001NOREC</v>
          </cell>
          <cell r="I16359" t="str">
            <v>35 GL EOW NO RECY 1</v>
          </cell>
        </row>
        <row r="16360">
          <cell r="H16360" t="str">
            <v>SL035.0GEO001WREC</v>
          </cell>
          <cell r="I16360" t="str">
            <v>35 GL EOW W/RECY 1</v>
          </cell>
        </row>
        <row r="16361">
          <cell r="H16361" t="str">
            <v>SL065.0G1M001WREC</v>
          </cell>
          <cell r="I16361" t="str">
            <v>65 GL 1X MO W/RECY 1</v>
          </cell>
        </row>
        <row r="16362">
          <cell r="H16362" t="str">
            <v>SL065.0G1W001WREC</v>
          </cell>
          <cell r="I16362" t="str">
            <v>65 GL 1X WK W/RECY 1</v>
          </cell>
        </row>
        <row r="16363">
          <cell r="H16363" t="str">
            <v>SL065.0GEO001WREC</v>
          </cell>
          <cell r="I16363" t="str">
            <v>65 GL EOW W/RECY 1</v>
          </cell>
        </row>
        <row r="16364">
          <cell r="H16364" t="str">
            <v>SL095.0G1M0001WRECSPCL</v>
          </cell>
          <cell r="I16364" t="str">
            <v>95 GL 1X MO S/D W/RECY 1</v>
          </cell>
        </row>
        <row r="16365">
          <cell r="H16365" t="str">
            <v>SL095.0G1W001WREC</v>
          </cell>
          <cell r="I16365" t="str">
            <v>95 GL 1X WK W/RECY 1</v>
          </cell>
        </row>
        <row r="16366">
          <cell r="H16366" t="str">
            <v>SL095.0GEO001WREC</v>
          </cell>
          <cell r="I16366" t="str">
            <v>95 GL EOW W/RECY 1</v>
          </cell>
        </row>
        <row r="16367">
          <cell r="H16367" t="str">
            <v>WI1-RES</v>
          </cell>
          <cell r="I16367" t="str">
            <v>WALK IN 6-25' - RES</v>
          </cell>
        </row>
        <row r="16368">
          <cell r="H16368" t="str">
            <v>EXTRA-RES</v>
          </cell>
          <cell r="I16368" t="str">
            <v>EXTRA CAN, BAG, BOX - RES</v>
          </cell>
        </row>
        <row r="16369">
          <cell r="H16369" t="str">
            <v>EXTRAGWC-RES</v>
          </cell>
          <cell r="I16369" t="str">
            <v>EXTRA GREENWASTE FEE - RE</v>
          </cell>
        </row>
        <row r="16370">
          <cell r="H16370" t="str">
            <v>GWRES</v>
          </cell>
          <cell r="I16370" t="str">
            <v>GREENWASTE SERVICE - RES</v>
          </cell>
        </row>
        <row r="16371">
          <cell r="H16371" t="str">
            <v>OC-RES</v>
          </cell>
          <cell r="I16371" t="str">
            <v>ON CALL SERVICE - RES</v>
          </cell>
        </row>
        <row r="16372">
          <cell r="H16372" t="str">
            <v>OW-RES</v>
          </cell>
          <cell r="I16372" t="str">
            <v>OVERFILL / OVERWEIGHT CAN</v>
          </cell>
        </row>
        <row r="16373">
          <cell r="H16373" t="str">
            <v>REINSTATE-RES</v>
          </cell>
          <cell r="I16373" t="str">
            <v>REINSTATE FEE - RES</v>
          </cell>
        </row>
        <row r="16374">
          <cell r="H16374" t="str">
            <v>RTRNCART96REC-RES</v>
          </cell>
          <cell r="I16374" t="str">
            <v>RETURN TRIP 96 GL REC - RES</v>
          </cell>
        </row>
        <row r="16375">
          <cell r="H16375" t="str">
            <v>SP32-RES</v>
          </cell>
          <cell r="I16375" t="str">
            <v>SPECIAL PICK UP 32 GL - RES</v>
          </cell>
        </row>
        <row r="16376">
          <cell r="H16376" t="str">
            <v>SPCLREC-RES</v>
          </cell>
          <cell r="I16376" t="str">
            <v>SPECIAL RECYCLE - RES</v>
          </cell>
        </row>
        <row r="16377">
          <cell r="H16377" t="str">
            <v>LIDRO</v>
          </cell>
          <cell r="I16377" t="str">
            <v>LID CHARGE - RO</v>
          </cell>
        </row>
        <row r="16378">
          <cell r="H16378" t="str">
            <v>RENT20MO-RO</v>
          </cell>
          <cell r="I16378" t="str">
            <v>RENTAL FEE 20 YD MONTHLY</v>
          </cell>
        </row>
        <row r="16379">
          <cell r="H16379" t="str">
            <v>RENT30TEMP-RO</v>
          </cell>
          <cell r="I16379" t="str">
            <v>RENTAL FEE 30 YD TEMP - R</v>
          </cell>
        </row>
        <row r="16380">
          <cell r="H16380" t="str">
            <v>DEL20TEMP-RO</v>
          </cell>
          <cell r="I16380" t="str">
            <v>DELIVERY FEE 20 YD TEMP -</v>
          </cell>
        </row>
        <row r="16381">
          <cell r="H16381" t="str">
            <v>DEL25-RO</v>
          </cell>
          <cell r="I16381" t="str">
            <v>DELIVERY FEE 25 YD - RO</v>
          </cell>
        </row>
        <row r="16382">
          <cell r="H16382" t="str">
            <v>DEL30TEMP-RO</v>
          </cell>
          <cell r="I16382" t="str">
            <v>DELIVERY FEE 30 YD TEMP -</v>
          </cell>
        </row>
        <row r="16383">
          <cell r="H16383" t="str">
            <v>DISCO-CP</v>
          </cell>
          <cell r="I16383" t="str">
            <v xml:space="preserve">COMPACTOR DISCONNECT FEE </v>
          </cell>
        </row>
        <row r="16384">
          <cell r="H16384" t="str">
            <v>DISP-RO</v>
          </cell>
          <cell r="I16384" t="str">
            <v>DISPOSAL CHARGE - RO</v>
          </cell>
        </row>
        <row r="16385">
          <cell r="H16385" t="str">
            <v>DISPGLASS-RO</v>
          </cell>
          <cell r="I16385" t="str">
            <v>DISPOSAL FEE GLASS - RO</v>
          </cell>
        </row>
        <row r="16386">
          <cell r="H16386" t="str">
            <v>DISPOCC-RO</v>
          </cell>
          <cell r="I16386" t="str">
            <v xml:space="preserve">DISPOSAL FEE CARDBOARD - </v>
          </cell>
        </row>
        <row r="16387">
          <cell r="H16387" t="str">
            <v>DISPTRANS-RO</v>
          </cell>
          <cell r="I16387" t="str">
            <v>DISPOSAL FEE TRANSFER HAU</v>
          </cell>
        </row>
        <row r="16388">
          <cell r="H16388" t="str">
            <v>FINAL20TEMP-RO</v>
          </cell>
          <cell r="I16388" t="str">
            <v>FINAL PULL 20 YD TEMP - R</v>
          </cell>
        </row>
        <row r="16389">
          <cell r="H16389" t="str">
            <v>HAUL20-RO</v>
          </cell>
          <cell r="I16389" t="str">
            <v>HAUL 20 YD - RO</v>
          </cell>
        </row>
        <row r="16390">
          <cell r="H16390" t="str">
            <v>HAUL20TEMP-RO</v>
          </cell>
          <cell r="I16390" t="str">
            <v>HAUL 20 YD TEMP - RO</v>
          </cell>
        </row>
        <row r="16391">
          <cell r="H16391" t="str">
            <v>HAUL25-CP</v>
          </cell>
          <cell r="I16391" t="str">
            <v>COMPACTOR HAUL 25 YD - RO</v>
          </cell>
        </row>
        <row r="16392">
          <cell r="H16392" t="str">
            <v>HAUL30-RO</v>
          </cell>
          <cell r="I16392" t="str">
            <v>HAUL 30 YD - RO</v>
          </cell>
        </row>
        <row r="16393">
          <cell r="H16393" t="str">
            <v>MILE-RO</v>
          </cell>
          <cell r="I16393" t="str">
            <v>MILEAGE FEE - RO</v>
          </cell>
        </row>
        <row r="16394">
          <cell r="H16394" t="str">
            <v>RENT20TEMP-RO</v>
          </cell>
          <cell r="I16394" t="str">
            <v>RENTAL FEE 20 YD TEMP - R</v>
          </cell>
        </row>
        <row r="16395">
          <cell r="H16395" t="str">
            <v>RENT30TEMP-RO</v>
          </cell>
          <cell r="I16395" t="str">
            <v>RENTAL FEE 30 YD TEMP - R</v>
          </cell>
        </row>
        <row r="16396">
          <cell r="H16396" t="str">
            <v>TIME-RO</v>
          </cell>
          <cell r="I16396" t="str">
            <v>TIME FEE - RO</v>
          </cell>
        </row>
        <row r="16397">
          <cell r="H16397" t="str">
            <v>COMMODITY SURCHARGE</v>
          </cell>
          <cell r="I16397" t="str">
            <v>COMMODITY SURCHARGE</v>
          </cell>
        </row>
        <row r="16398">
          <cell r="H16398" t="str">
            <v>STEILACOOM CITY  TAX</v>
          </cell>
          <cell r="I16398" t="str">
            <v>6% CITY UTILITY TAX</v>
          </cell>
        </row>
        <row r="16399">
          <cell r="H16399" t="str">
            <v>STEILACOOM REFUSE TAX</v>
          </cell>
          <cell r="I16399" t="str">
            <v>3.6% WA STATE REFUSE TAX</v>
          </cell>
        </row>
        <row r="16400">
          <cell r="H16400" t="str">
            <v>STEILACOOM ST SALES TAX</v>
          </cell>
          <cell r="I16400" t="str">
            <v>9.9% WA STATE SALES TAX</v>
          </cell>
        </row>
        <row r="16401">
          <cell r="H16401" t="str">
            <v>STEILACOOM CITY  TAX</v>
          </cell>
          <cell r="I16401" t="str">
            <v>6% CITY UTILITY TAX</v>
          </cell>
        </row>
        <row r="16402">
          <cell r="H16402" t="str">
            <v>STEILACOOM REFUSE TAX</v>
          </cell>
          <cell r="I16402" t="str">
            <v>3.6% WA STATE REFUSE TAX</v>
          </cell>
        </row>
        <row r="16403">
          <cell r="H16403" t="str">
            <v>STEILACOOM ST SALES TAX</v>
          </cell>
          <cell r="I16403" t="str">
            <v>9.9% WA STATE SALES TAX</v>
          </cell>
        </row>
        <row r="16404">
          <cell r="H16404" t="str">
            <v>STEILACOOM CITY  TAX</v>
          </cell>
          <cell r="I16404" t="str">
            <v>6% CITY UTILITY TAX</v>
          </cell>
        </row>
        <row r="16405">
          <cell r="H16405" t="str">
            <v>STEILACOOM REFUSE TAX</v>
          </cell>
          <cell r="I16405" t="str">
            <v>3.6% WA STATE REFUSE TAX</v>
          </cell>
        </row>
        <row r="16406">
          <cell r="H16406" t="str">
            <v>STEILACOOM CITY  TAX</v>
          </cell>
          <cell r="I16406" t="str">
            <v>6% CITY UTILITY TAX</v>
          </cell>
        </row>
        <row r="16407">
          <cell r="H16407" t="str">
            <v>STEILACOOM REFUSE TAX</v>
          </cell>
          <cell r="I16407" t="str">
            <v>3.6% WA STATE REFUSE TAX</v>
          </cell>
        </row>
        <row r="16408">
          <cell r="H16408" t="str">
            <v>STEILACOOM ST SALES TAX</v>
          </cell>
          <cell r="I16408" t="str">
            <v>9.9% WA STATE SALES TAX</v>
          </cell>
        </row>
        <row r="16409">
          <cell r="H16409" t="str">
            <v>FINCHG</v>
          </cell>
          <cell r="I16409" t="str">
            <v>LATE FEE</v>
          </cell>
        </row>
        <row r="16410">
          <cell r="H16410" t="str">
            <v>BDR</v>
          </cell>
          <cell r="I16410" t="str">
            <v>BAD DEBT RECOVERY</v>
          </cell>
        </row>
        <row r="16411">
          <cell r="H16411" t="str">
            <v>COLLFEE</v>
          </cell>
          <cell r="I16411" t="str">
            <v>COLLECTION AGENCY FEE</v>
          </cell>
        </row>
        <row r="16412">
          <cell r="H16412" t="str">
            <v>MM</v>
          </cell>
          <cell r="I16412" t="str">
            <v>ADJUST BALANCE (MM)</v>
          </cell>
        </row>
        <row r="16413">
          <cell r="H16413" t="str">
            <v>BD</v>
          </cell>
          <cell r="I16413" t="str">
            <v>BAD DEBT WRITE OFF</v>
          </cell>
        </row>
        <row r="16414">
          <cell r="H16414" t="str">
            <v>MM</v>
          </cell>
          <cell r="I16414" t="str">
            <v>ADJUST BALANCE (MM)</v>
          </cell>
        </row>
        <row r="16415">
          <cell r="H16415" t="str">
            <v>MM</v>
          </cell>
          <cell r="I16415" t="str">
            <v>ADJUST BALANCE (MM)</v>
          </cell>
        </row>
        <row r="16416">
          <cell r="H16416" t="str">
            <v>ACCESS-COMM</v>
          </cell>
          <cell r="I16416" t="str">
            <v>ACCESS FEE - COMM</v>
          </cell>
        </row>
        <row r="16417">
          <cell r="H16417" t="str">
            <v>FL001.5Y1W001</v>
          </cell>
          <cell r="I16417" t="str">
            <v>1.5 YD 1X WK 1</v>
          </cell>
        </row>
        <row r="16418">
          <cell r="H16418" t="str">
            <v>FL002.0Y1W001</v>
          </cell>
          <cell r="I16418" t="str">
            <v>2 YD 1X WK 1</v>
          </cell>
        </row>
        <row r="16419">
          <cell r="H16419" t="str">
            <v>FL002.0Y2W001</v>
          </cell>
          <cell r="I16419" t="str">
            <v>2 YD 2X WK 1</v>
          </cell>
        </row>
        <row r="16420">
          <cell r="H16420" t="str">
            <v>FL002.0Y4W001</v>
          </cell>
          <cell r="I16420" t="str">
            <v>2 YD 4X WK 1</v>
          </cell>
        </row>
        <row r="16421">
          <cell r="H16421" t="str">
            <v>FL003.0Y2W001</v>
          </cell>
          <cell r="I16421" t="str">
            <v>3 YD 2X WK 1</v>
          </cell>
        </row>
        <row r="16422">
          <cell r="H16422" t="str">
            <v>FL006.0Y1W001</v>
          </cell>
          <cell r="I16422" t="str">
            <v>6 YD 1X WK 1</v>
          </cell>
        </row>
        <row r="16423">
          <cell r="H16423" t="str">
            <v>FL006.0Y2W001</v>
          </cell>
          <cell r="I16423" t="str">
            <v>6 YD 2X WK 1</v>
          </cell>
        </row>
        <row r="16424">
          <cell r="H16424" t="str">
            <v>SL065.0G1W001NORECC</v>
          </cell>
          <cell r="I16424" t="str">
            <v xml:space="preserve">65 GL 1X WK NO RECY COMM </v>
          </cell>
        </row>
        <row r="16425">
          <cell r="H16425" t="str">
            <v>SL065.0G1W001WRECC</v>
          </cell>
          <cell r="I16425" t="str">
            <v>65 GL 1X WK W/RECY COMM 1</v>
          </cell>
        </row>
        <row r="16426">
          <cell r="H16426" t="str">
            <v>SL065.0GEO001WRECC</v>
          </cell>
          <cell r="I16426" t="str">
            <v>65 GL EOW W/RECY COMM 1</v>
          </cell>
        </row>
        <row r="16427">
          <cell r="H16427" t="str">
            <v>SL095.0G1W001WRECC</v>
          </cell>
          <cell r="I16427" t="str">
            <v>95 GL 1X WK W/RECY COMM 1</v>
          </cell>
        </row>
        <row r="16428">
          <cell r="H16428" t="str">
            <v>EXTRA-COMM</v>
          </cell>
          <cell r="I16428" t="str">
            <v>EXTRA CAN, BAG, BOX - COM</v>
          </cell>
        </row>
        <row r="16429">
          <cell r="H16429" t="str">
            <v>EXTRAYDG-COM</v>
          </cell>
          <cell r="I16429" t="str">
            <v>EXTRA YARDAGE - COMM</v>
          </cell>
        </row>
        <row r="16430">
          <cell r="H16430" t="str">
            <v>ACCESSCREC-COMM</v>
          </cell>
          <cell r="I16430" t="str">
            <v>ACCESS FEE COMM RECY - CO</v>
          </cell>
        </row>
        <row r="16431">
          <cell r="H16431" t="str">
            <v>FL002.0Y1W001BOCC</v>
          </cell>
          <cell r="I16431" t="str">
            <v>2 YD 1X WK BUS OCC 1</v>
          </cell>
        </row>
        <row r="16432">
          <cell r="H16432" t="str">
            <v>FL004.0Y1W001CMGL</v>
          </cell>
          <cell r="I16432" t="str">
            <v>4 YD 1X WK BUS CMGL 1</v>
          </cell>
        </row>
        <row r="16433">
          <cell r="H16433" t="str">
            <v>FL005.0Y1W001BOCC</v>
          </cell>
          <cell r="I16433" t="str">
            <v>5 YD 1X WK BUS OCC 1</v>
          </cell>
        </row>
        <row r="16434">
          <cell r="H16434" t="str">
            <v>FL006.0Y3W001BCMGL</v>
          </cell>
          <cell r="I16434" t="str">
            <v>6 YD 3X WK BUS CMGL 1</v>
          </cell>
        </row>
        <row r="16435">
          <cell r="H16435" t="str">
            <v>MFWBINS</v>
          </cell>
          <cell r="I16435" t="str">
            <v>MULTI-FAMILY REC UNIT W/B</v>
          </cell>
        </row>
        <row r="16436">
          <cell r="H16436" t="str">
            <v>SL096.0GEO001BCMGLOUT</v>
          </cell>
          <cell r="I16436" t="str">
            <v>96 GL EOW BUS CMGL OUT</v>
          </cell>
        </row>
        <row r="16437">
          <cell r="H16437" t="str">
            <v>CC-KOL</v>
          </cell>
          <cell r="I16437" t="str">
            <v>ONLINE PAYMENT-CC</v>
          </cell>
        </row>
        <row r="16438">
          <cell r="H16438" t="str">
            <v>PAY</v>
          </cell>
          <cell r="I16438" t="str">
            <v>PAYMENT THANK YOU</v>
          </cell>
        </row>
        <row r="16439">
          <cell r="H16439" t="str">
            <v>PAY-CFREE</v>
          </cell>
          <cell r="I16439" t="str">
            <v>CHECKFREE PAYMENT</v>
          </cell>
        </row>
        <row r="16440">
          <cell r="H16440" t="str">
            <v>PAY-KOL</v>
          </cell>
          <cell r="I16440" t="str">
            <v>PAYMENT-THANK YOU - OL</v>
          </cell>
        </row>
        <row r="16441">
          <cell r="H16441" t="str">
            <v>PAY-ORCC</v>
          </cell>
          <cell r="I16441" t="str">
            <v>ORCC PAYMENT</v>
          </cell>
        </row>
        <row r="16442">
          <cell r="H16442" t="str">
            <v>PAY-RPPS</v>
          </cell>
          <cell r="I16442" t="str">
            <v>RPPS MASTERCARD PAYMENT</v>
          </cell>
        </row>
        <row r="16443">
          <cell r="H16443" t="str">
            <v>PAYPNCL</v>
          </cell>
          <cell r="I16443" t="str">
            <v>PAYMENT THANK YOU!</v>
          </cell>
        </row>
        <row r="16444">
          <cell r="H16444" t="str">
            <v>CC-KOL</v>
          </cell>
          <cell r="I16444" t="str">
            <v>ONLINE PAYMENT-CC</v>
          </cell>
        </row>
        <row r="16445">
          <cell r="H16445" t="str">
            <v>PAY</v>
          </cell>
          <cell r="I16445" t="str">
            <v>PAYMENT THANK YOU</v>
          </cell>
        </row>
        <row r="16446">
          <cell r="H16446" t="str">
            <v>PAY-CFREE</v>
          </cell>
          <cell r="I16446" t="str">
            <v>CHECKFREE PAYMENT</v>
          </cell>
        </row>
        <row r="16447">
          <cell r="H16447" t="str">
            <v>PAY-KOL</v>
          </cell>
          <cell r="I16447" t="str">
            <v>PAYMENT-THANK YOU - OL</v>
          </cell>
        </row>
        <row r="16448">
          <cell r="H16448" t="str">
            <v>PAY-RPPS</v>
          </cell>
          <cell r="I16448" t="str">
            <v>RPPS MASTERCARD PAYMENT</v>
          </cell>
        </row>
        <row r="16449">
          <cell r="H16449" t="str">
            <v>PAYMET</v>
          </cell>
          <cell r="I16449" t="str">
            <v>METAVANTE ONLINE PAYMENT</v>
          </cell>
        </row>
        <row r="16450">
          <cell r="H16450" t="str">
            <v>PAYPNCL</v>
          </cell>
          <cell r="I16450" t="str">
            <v>PAYMENT THANK YOU!</v>
          </cell>
        </row>
        <row r="16451">
          <cell r="H16451" t="str">
            <v>RET-KOL</v>
          </cell>
          <cell r="I16451" t="str">
            <v>ONLINE PAYMENT RETURN</v>
          </cell>
        </row>
        <row r="16452">
          <cell r="H16452" t="str">
            <v>CC-KOL</v>
          </cell>
          <cell r="I16452" t="str">
            <v>ONLINE PAYMENT-CC</v>
          </cell>
        </row>
        <row r="16453">
          <cell r="H16453" t="str">
            <v>PAY-CFREE</v>
          </cell>
          <cell r="I16453" t="str">
            <v>CHECKFREE PAYMENT</v>
          </cell>
        </row>
        <row r="16454">
          <cell r="H16454" t="str">
            <v>PAY-KOL</v>
          </cell>
          <cell r="I16454" t="str">
            <v>PAYMENT-THANK YOU - OL</v>
          </cell>
        </row>
        <row r="16455">
          <cell r="H16455" t="str">
            <v>PAY-OAK</v>
          </cell>
          <cell r="I16455" t="str">
            <v>OAKLEAF PAYMENT</v>
          </cell>
        </row>
        <row r="16456">
          <cell r="H16456" t="str">
            <v>PAY-RPPS</v>
          </cell>
          <cell r="I16456" t="str">
            <v>RPPS MASTERCARD PAYMENT</v>
          </cell>
        </row>
        <row r="16457">
          <cell r="H16457" t="str">
            <v>PAYMET</v>
          </cell>
          <cell r="I16457" t="str">
            <v>METAVANTE ONLINE PAYMENT</v>
          </cell>
        </row>
        <row r="16458">
          <cell r="H16458" t="str">
            <v>PAYPNCL</v>
          </cell>
          <cell r="I16458" t="str">
            <v>PAYMENT THANK YOU!</v>
          </cell>
        </row>
        <row r="16459">
          <cell r="H16459" t="str">
            <v>PAYUSBL</v>
          </cell>
          <cell r="I16459" t="str">
            <v>PAYMENT THANK YOU</v>
          </cell>
        </row>
        <row r="16460">
          <cell r="H16460" t="str">
            <v>GWRES</v>
          </cell>
          <cell r="I16460" t="str">
            <v>GREENWASTE SERVICE - RES</v>
          </cell>
        </row>
        <row r="16461">
          <cell r="H16461" t="str">
            <v>RECBINONLYR</v>
          </cell>
          <cell r="I16461" t="str">
            <v>RECYCLE SERVICE ONLY</v>
          </cell>
        </row>
        <row r="16462">
          <cell r="H16462" t="str">
            <v>SL035.0GEO001WREC</v>
          </cell>
          <cell r="I16462" t="str">
            <v>35 GL EOW W/RECY 1</v>
          </cell>
        </row>
        <row r="16463">
          <cell r="H16463" t="str">
            <v>SL065.0G1W001WREC</v>
          </cell>
          <cell r="I16463" t="str">
            <v>65 GL 1X WK W/RECY 1</v>
          </cell>
        </row>
        <row r="16464">
          <cell r="H16464" t="str">
            <v>SL065.0GEO001NOREC</v>
          </cell>
          <cell r="I16464" t="str">
            <v>65 GL EOW NO RECY 1</v>
          </cell>
        </row>
        <row r="16465">
          <cell r="H16465" t="str">
            <v>SL065.0GEO001WREC</v>
          </cell>
          <cell r="I16465" t="str">
            <v>65 GL EOW W/RECY 1</v>
          </cell>
        </row>
        <row r="16466">
          <cell r="H16466" t="str">
            <v>SL095.0G1W001WREC</v>
          </cell>
          <cell r="I16466" t="str">
            <v>95 GL 1X WK W/RECY 1</v>
          </cell>
        </row>
        <row r="16467">
          <cell r="H16467" t="str">
            <v>EXTRA-RES</v>
          </cell>
          <cell r="I16467" t="str">
            <v>EXTRA CAN, BAG, BOX - RES</v>
          </cell>
        </row>
        <row r="16468">
          <cell r="H16468" t="str">
            <v>GWRES</v>
          </cell>
          <cell r="I16468" t="str">
            <v>GREENWASTE SERVICE - RES</v>
          </cell>
        </row>
        <row r="16469">
          <cell r="H16469" t="str">
            <v>SL065.0G1W001WREC</v>
          </cell>
          <cell r="I16469" t="str">
            <v>65 GL 1X WK W/RECY 1</v>
          </cell>
        </row>
        <row r="16470">
          <cell r="H16470" t="str">
            <v>SL065.0G1W001WREC</v>
          </cell>
          <cell r="I16470" t="str">
            <v>65 GL 1X WK W/RECY 1</v>
          </cell>
        </row>
        <row r="16471">
          <cell r="H16471" t="str">
            <v>SPCL95-RES</v>
          </cell>
          <cell r="I16471" t="str">
            <v>SPECIAL 95 GL - RES</v>
          </cell>
        </row>
        <row r="16472">
          <cell r="H16472" t="str">
            <v>SPCLREC-RES</v>
          </cell>
          <cell r="I16472" t="str">
            <v>SPECIAL RECYCLE - RES</v>
          </cell>
        </row>
        <row r="16473">
          <cell r="H16473" t="str">
            <v>OW-RES</v>
          </cell>
          <cell r="I16473" t="str">
            <v>OVERFILL / OVERWEIGHT CAN</v>
          </cell>
        </row>
        <row r="16474">
          <cell r="H16474" t="str">
            <v>RENT20MO-RO</v>
          </cell>
          <cell r="I16474" t="str">
            <v>RENTAL FEE 20 YD MONTHLY</v>
          </cell>
        </row>
        <row r="16475">
          <cell r="H16475" t="str">
            <v>DEL20TEMP-RO</v>
          </cell>
          <cell r="I16475" t="str">
            <v>DELIVERY FEE 20 YD TEMP -</v>
          </cell>
        </row>
        <row r="16476">
          <cell r="H16476" t="str">
            <v>DISCO-CP</v>
          </cell>
          <cell r="I16476" t="str">
            <v xml:space="preserve">COMPACTOR DISCONNECT FEE </v>
          </cell>
        </row>
        <row r="16477">
          <cell r="H16477" t="str">
            <v>DISP-RO</v>
          </cell>
          <cell r="I16477" t="str">
            <v>DISPOSAL CHARGE - RO</v>
          </cell>
        </row>
        <row r="16478">
          <cell r="H16478" t="str">
            <v>FINAL20TEMP-RO</v>
          </cell>
          <cell r="I16478" t="str">
            <v>FINAL PULL 20 YD TEMP - R</v>
          </cell>
        </row>
        <row r="16479">
          <cell r="H16479" t="str">
            <v>HAUL20-RO</v>
          </cell>
          <cell r="I16479" t="str">
            <v>HAUL 20 YD - RO</v>
          </cell>
        </row>
        <row r="16480">
          <cell r="H16480" t="str">
            <v>HAUL30-CP</v>
          </cell>
          <cell r="I16480" t="str">
            <v>COMPACTOR HAUL 30 YD</v>
          </cell>
        </row>
        <row r="16481">
          <cell r="H16481" t="str">
            <v>RELO-RO</v>
          </cell>
          <cell r="I16481" t="str">
            <v>RELOCATION FEE - RO</v>
          </cell>
        </row>
        <row r="16482">
          <cell r="H16482" t="str">
            <v>RENT20TEMP-RO</v>
          </cell>
          <cell r="I16482" t="str">
            <v>RENTAL FEE 20 YD TEMP - R</v>
          </cell>
        </row>
        <row r="16483">
          <cell r="H16483" t="str">
            <v>RTRNTRIP-RO</v>
          </cell>
          <cell r="I16483" t="str">
            <v>RETURN TRIP FEE - RO</v>
          </cell>
        </row>
        <row r="16484">
          <cell r="H16484" t="str">
            <v>COMMODITY SURCHARGE</v>
          </cell>
          <cell r="I16484" t="str">
            <v>COMMODITY SURCHARGE</v>
          </cell>
        </row>
        <row r="16485">
          <cell r="H16485" t="str">
            <v>UNIV PLACE SURCHARGE</v>
          </cell>
          <cell r="I16485" t="str">
            <v>UNIVERSITY PLACE SURCHARGE</v>
          </cell>
        </row>
        <row r="16486">
          <cell r="H16486" t="str">
            <v>UNIV PLACE SURCHARGE</v>
          </cell>
          <cell r="I16486" t="str">
            <v>UNIVERSITY PLACE SURCHARGE</v>
          </cell>
        </row>
        <row r="16487">
          <cell r="H16487" t="str">
            <v>UNIV PLACE SURCHARGE</v>
          </cell>
          <cell r="I16487" t="str">
            <v>UNIVERSITY PLACE SURCHARGE</v>
          </cell>
        </row>
        <row r="16488">
          <cell r="H16488" t="str">
            <v>UNIV PLACE SURCHARGE</v>
          </cell>
          <cell r="I16488" t="str">
            <v>UNIVERSITY PLACE SURCHARGE</v>
          </cell>
        </row>
        <row r="16489">
          <cell r="H16489" t="str">
            <v>UNIV PLACE SURCHARGE</v>
          </cell>
          <cell r="I16489" t="str">
            <v>UNIVERSITY PLACE SURCHARGE</v>
          </cell>
        </row>
        <row r="16490">
          <cell r="H16490" t="str">
            <v>UP CITY UTILITY TAX</v>
          </cell>
          <cell r="I16490" t="str">
            <v>6% CITY UTILITY TAX</v>
          </cell>
        </row>
        <row r="16491">
          <cell r="H16491" t="str">
            <v>UP CITY ONLY</v>
          </cell>
          <cell r="I16491" t="str">
            <v>6% CITY UTILITY TAX</v>
          </cell>
        </row>
        <row r="16492">
          <cell r="H16492" t="str">
            <v>UP CITY UTILITY TAX</v>
          </cell>
          <cell r="I16492" t="str">
            <v>6% CITY UTILITY TAX</v>
          </cell>
        </row>
        <row r="16493">
          <cell r="H16493" t="str">
            <v>UP REFUSE TAX</v>
          </cell>
          <cell r="I16493" t="str">
            <v>3.6% WA STATE REFUSE TAX</v>
          </cell>
        </row>
        <row r="16494">
          <cell r="H16494" t="str">
            <v>UP CITY UTILITY TAX</v>
          </cell>
          <cell r="I16494" t="str">
            <v>6% CITY UTILITY TAX</v>
          </cell>
        </row>
        <row r="16495">
          <cell r="H16495" t="str">
            <v>UP REFUSE TAX</v>
          </cell>
          <cell r="I16495" t="str">
            <v>3.6% WA STATE REFUSE TAX</v>
          </cell>
        </row>
        <row r="16496">
          <cell r="H16496" t="str">
            <v>UP CITY UTILITY TAX</v>
          </cell>
          <cell r="I16496" t="str">
            <v>6% CITY UTILITY TAX</v>
          </cell>
        </row>
        <row r="16497">
          <cell r="H16497" t="str">
            <v>UP REFUSE TAX</v>
          </cell>
          <cell r="I16497" t="str">
            <v>3.6% WA STATE REFUSE TAX</v>
          </cell>
        </row>
        <row r="16498">
          <cell r="H16498" t="str">
            <v>UP CITY UTILITY TAX</v>
          </cell>
          <cell r="I16498" t="str">
            <v>6% CITY UTILITY TAX</v>
          </cell>
        </row>
        <row r="16499">
          <cell r="H16499" t="str">
            <v>UP REFUSE TAX</v>
          </cell>
          <cell r="I16499" t="str">
            <v>3.6% WA STATE REFUSE TAX</v>
          </cell>
        </row>
        <row r="16500">
          <cell r="H16500" t="str">
            <v>UP CITY UTILITY TAX</v>
          </cell>
          <cell r="I16500" t="str">
            <v>6% CITY UTILITY TAX</v>
          </cell>
        </row>
        <row r="16501">
          <cell r="H16501" t="str">
            <v>UP REFUSE TAX</v>
          </cell>
          <cell r="I16501" t="str">
            <v>3.6% WA STATE REFUSE TAX</v>
          </cell>
        </row>
        <row r="16502">
          <cell r="H16502" t="str">
            <v>UP STATE SALES TAX</v>
          </cell>
          <cell r="I16502" t="str">
            <v>9.9% WA STATE SALES TAX</v>
          </cell>
        </row>
        <row r="16503">
          <cell r="H16503" t="str">
            <v>UP CITY UTILITY TAX</v>
          </cell>
          <cell r="I16503" t="str">
            <v>6% CITY UTILITY TAX</v>
          </cell>
        </row>
        <row r="16504">
          <cell r="H16504" t="str">
            <v>UP REFUSE TAX</v>
          </cell>
          <cell r="I16504" t="str">
            <v>3.6% WA STATE REFUSE TAX</v>
          </cell>
        </row>
        <row r="16505">
          <cell r="H16505" t="str">
            <v>UP STATE SALES TAX</v>
          </cell>
          <cell r="I16505" t="str">
            <v>9.9% WA STATE SALES TAX</v>
          </cell>
        </row>
        <row r="16506">
          <cell r="H16506" t="str">
            <v>PAYICT</v>
          </cell>
          <cell r="I16506" t="str">
            <v>I/C PAYMENT THANK YOU</v>
          </cell>
        </row>
        <row r="16507">
          <cell r="H16507" t="str">
            <v>PAYEFT</v>
          </cell>
          <cell r="I16507" t="str">
            <v>EFT PAYMENT</v>
          </cell>
        </row>
        <row r="16508">
          <cell r="H16508" t="str">
            <v>DISPBOOKS-RO</v>
          </cell>
          <cell r="I16508" t="str">
            <v>DISPOSAL BOOKS - RO</v>
          </cell>
        </row>
        <row r="16509">
          <cell r="H16509" t="str">
            <v>DISPCMGL-RO</v>
          </cell>
          <cell r="I16509" t="str">
            <v xml:space="preserve">DISPOSAL FEE COMMINGLE - </v>
          </cell>
        </row>
        <row r="16510">
          <cell r="H16510" t="str">
            <v>DISPEWASTE-RO</v>
          </cell>
          <cell r="I16510" t="str">
            <v>DISPOSAL FEE EWASTE - RO</v>
          </cell>
        </row>
        <row r="16511">
          <cell r="H16511" t="str">
            <v>DISPFEDMSW-RO</v>
          </cell>
          <cell r="I16511" t="str">
            <v xml:space="preserve">DISPOSAL FEE FEDERAL MSW </v>
          </cell>
        </row>
        <row r="16512">
          <cell r="H16512" t="str">
            <v>DISPFOOD-RO</v>
          </cell>
          <cell r="I16512" t="str">
            <v>DISPOSAL FEE FOOD WASTE -</v>
          </cell>
        </row>
        <row r="16513">
          <cell r="H16513" t="str">
            <v>DISPGLASS-RO</v>
          </cell>
          <cell r="I16513" t="str">
            <v>DISPOSAL FEE GLASS - RO</v>
          </cell>
        </row>
        <row r="16514">
          <cell r="H16514" t="str">
            <v>DISPGW-RO</v>
          </cell>
          <cell r="I16514" t="str">
            <v>DISPOSAL FEE GREENWASTE -</v>
          </cell>
        </row>
        <row r="16515">
          <cell r="H16515" t="str">
            <v>DISPWD-RO</v>
          </cell>
          <cell r="I16515" t="str">
            <v>DISPOSAL FEE WOOD - RO</v>
          </cell>
        </row>
        <row r="16516">
          <cell r="H16516" t="str">
            <v>DISPFEDMSW-COMM</v>
          </cell>
          <cell r="I16516" t="str">
            <v>DISPOSAL FEDERAL MSW - CO</v>
          </cell>
        </row>
        <row r="16517">
          <cell r="H16517" t="str">
            <v>FL001.5Y1W001</v>
          </cell>
          <cell r="I16517" t="str">
            <v>1.5 YD 1X WK 1</v>
          </cell>
        </row>
        <row r="16518">
          <cell r="H16518" t="str">
            <v>CONTRACTEDC</v>
          </cell>
          <cell r="I16518" t="str">
            <v>CONTRACTED SERVICE - COMM</v>
          </cell>
        </row>
        <row r="16519">
          <cell r="H16519" t="str">
            <v>DISPOCC-RO</v>
          </cell>
          <cell r="I16519" t="str">
            <v xml:space="preserve">DISPOSAL FEE CARDBOARD - </v>
          </cell>
        </row>
        <row r="16520">
          <cell r="H16520" t="str">
            <v>DISPMIX-COMM</v>
          </cell>
          <cell r="I16520" t="str">
            <v>DISPOSAL MIX CMGL OCC - COMM</v>
          </cell>
        </row>
        <row r="16521">
          <cell r="H16521" t="str">
            <v>DISPMETAL-RO</v>
          </cell>
          <cell r="I16521" t="str">
            <v>DISPOSAL FEE METAL - RO</v>
          </cell>
        </row>
        <row r="16522">
          <cell r="H16522" t="str">
            <v>DISPTONER-COMM</v>
          </cell>
          <cell r="I16522" t="str">
            <v>DISPOSAL TONER - COMM</v>
          </cell>
        </row>
        <row r="16523">
          <cell r="H16523" t="str">
            <v>DISPBATT-RO</v>
          </cell>
          <cell r="I16523" t="str">
            <v>DISPOSAL BATTERIES - RO</v>
          </cell>
        </row>
        <row r="16524">
          <cell r="H16524" t="str">
            <v>DISPOP-RO</v>
          </cell>
          <cell r="I16524" t="str">
            <v>DISPOSAL OFFICE PAPER</v>
          </cell>
        </row>
        <row r="16525">
          <cell r="H16525" t="str">
            <v>DISPTEX-RO</v>
          </cell>
          <cell r="I16525" t="str">
            <v>DISPOSAL TEXTILE - RO</v>
          </cell>
        </row>
        <row r="16526">
          <cell r="H16526" t="str">
            <v>DISPCMGL-RES</v>
          </cell>
          <cell r="I16526" t="str">
            <v>DISPOSAL COMINGLE - RES</v>
          </cell>
        </row>
        <row r="16527">
          <cell r="H16527" t="str">
            <v>FINCHG</v>
          </cell>
          <cell r="I16527" t="str">
            <v>LATE FEE</v>
          </cell>
        </row>
        <row r="16528">
          <cell r="H16528" t="str">
            <v>BD</v>
          </cell>
          <cell r="I16528" t="str">
            <v>BAD DEBT WRITE OFF</v>
          </cell>
        </row>
        <row r="16529">
          <cell r="H16529" t="str">
            <v>BDR</v>
          </cell>
          <cell r="I16529" t="str">
            <v>BAD DEBT RECOVERY</v>
          </cell>
        </row>
        <row r="16530">
          <cell r="H16530" t="str">
            <v>MM</v>
          </cell>
          <cell r="I16530" t="str">
            <v>ADJUST BALANCE (MM)</v>
          </cell>
        </row>
        <row r="16531">
          <cell r="H16531" t="str">
            <v>MM</v>
          </cell>
          <cell r="I16531" t="str">
            <v>ADJUST BALANCE (MM)</v>
          </cell>
        </row>
        <row r="16532">
          <cell r="H16532" t="str">
            <v>REFUND</v>
          </cell>
          <cell r="I16532" t="str">
            <v>REFUND</v>
          </cell>
        </row>
        <row r="16533">
          <cell r="H16533" t="str">
            <v>FINCHG</v>
          </cell>
          <cell r="I16533" t="str">
            <v>LATE FEE</v>
          </cell>
        </row>
        <row r="16534">
          <cell r="H16534" t="str">
            <v>BD</v>
          </cell>
          <cell r="I16534" t="str">
            <v>BAD DEBT WRITE OFF</v>
          </cell>
        </row>
        <row r="16535">
          <cell r="H16535" t="str">
            <v>BDR</v>
          </cell>
          <cell r="I16535" t="str">
            <v>BAD DEBT RECOVERY</v>
          </cell>
        </row>
        <row r="16536">
          <cell r="H16536" t="str">
            <v>COLLFEE</v>
          </cell>
          <cell r="I16536" t="str">
            <v>COLLECTION AGENCY FEE</v>
          </cell>
        </row>
        <row r="16537">
          <cell r="H16537" t="str">
            <v>MM</v>
          </cell>
          <cell r="I16537" t="str">
            <v>ADJUST BALANCE (MM)</v>
          </cell>
        </row>
        <row r="16538">
          <cell r="H16538" t="str">
            <v>MM</v>
          </cell>
          <cell r="I16538" t="str">
            <v>ADJUST BALANCE (MM)</v>
          </cell>
        </row>
        <row r="16539">
          <cell r="H16539" t="str">
            <v>REFUND</v>
          </cell>
          <cell r="I16539" t="str">
            <v>REFUND</v>
          </cell>
        </row>
        <row r="16540">
          <cell r="H16540" t="str">
            <v>FINCHG</v>
          </cell>
          <cell r="I16540" t="str">
            <v>LATE FEE</v>
          </cell>
        </row>
        <row r="16541">
          <cell r="H16541" t="str">
            <v>FINCHG</v>
          </cell>
          <cell r="I16541" t="str">
            <v>LATE FEE</v>
          </cell>
        </row>
        <row r="16542">
          <cell r="H16542" t="str">
            <v>ACCESS-COMM</v>
          </cell>
          <cell r="I16542" t="str">
            <v>ACCESS FEE - COMM</v>
          </cell>
        </row>
        <row r="16543">
          <cell r="H16543" t="str">
            <v>DONATIONC</v>
          </cell>
          <cell r="I16543" t="str">
            <v>DONATED SERVICE COMM</v>
          </cell>
        </row>
        <row r="16544">
          <cell r="H16544" t="str">
            <v>DRIVEIN1-COMM</v>
          </cell>
          <cell r="I16544" t="str">
            <v>DRIVE IN 125-250' - COMM</v>
          </cell>
        </row>
        <row r="16545">
          <cell r="H16545" t="str">
            <v>FL001.0Y1W001</v>
          </cell>
          <cell r="I16545" t="str">
            <v>1 YD 1X WK 1</v>
          </cell>
        </row>
        <row r="16546">
          <cell r="H16546" t="str">
            <v>FL001.5Y1W001</v>
          </cell>
          <cell r="I16546" t="str">
            <v>1.5 YD 1X WK 1</v>
          </cell>
        </row>
        <row r="16547">
          <cell r="H16547" t="str">
            <v>FL001.5Y2W001</v>
          </cell>
          <cell r="I16547" t="str">
            <v>1.5 YD 2X WK 1</v>
          </cell>
        </row>
        <row r="16548">
          <cell r="H16548" t="str">
            <v>FL002.0Y1W001</v>
          </cell>
          <cell r="I16548" t="str">
            <v>2 YD 1X WK 1</v>
          </cell>
        </row>
        <row r="16549">
          <cell r="H16549" t="str">
            <v>FL002.0Y2W001</v>
          </cell>
          <cell r="I16549" t="str">
            <v>2 YD 2X WK 1</v>
          </cell>
        </row>
        <row r="16550">
          <cell r="H16550" t="str">
            <v>FL002.0Y3W001</v>
          </cell>
          <cell r="I16550" t="str">
            <v>2 YD 3X WK 1</v>
          </cell>
        </row>
        <row r="16551">
          <cell r="H16551" t="str">
            <v>FL003.0Y1W001</v>
          </cell>
          <cell r="I16551" t="str">
            <v>3 YD 1X WK 1</v>
          </cell>
        </row>
        <row r="16552">
          <cell r="H16552" t="str">
            <v>FL003.0Y2W001</v>
          </cell>
          <cell r="I16552" t="str">
            <v>3 YD 2X WK 1</v>
          </cell>
        </row>
        <row r="16553">
          <cell r="H16553" t="str">
            <v>FL003.0Y3W001</v>
          </cell>
          <cell r="I16553" t="str">
            <v>3 YD 3X WK 1</v>
          </cell>
        </row>
        <row r="16554">
          <cell r="H16554" t="str">
            <v>FL004.0Y1W001</v>
          </cell>
          <cell r="I16554" t="str">
            <v>4 YD 1X WK 1</v>
          </cell>
        </row>
        <row r="16555">
          <cell r="H16555" t="str">
            <v>FL004.0Y2W001</v>
          </cell>
          <cell r="I16555" t="str">
            <v>4 YD 2X WK 1</v>
          </cell>
        </row>
        <row r="16556">
          <cell r="H16556" t="str">
            <v>FL004.0Y3W001</v>
          </cell>
          <cell r="I16556" t="str">
            <v>4 YD 3X WK 1</v>
          </cell>
        </row>
        <row r="16557">
          <cell r="H16557" t="str">
            <v>FL006.0Y1W001</v>
          </cell>
          <cell r="I16557" t="str">
            <v>6 YD 1X WK 1</v>
          </cell>
        </row>
        <row r="16558">
          <cell r="H16558" t="str">
            <v>FL006.0Y2W001</v>
          </cell>
          <cell r="I16558" t="str">
            <v>6 YD 2X WK 1</v>
          </cell>
        </row>
        <row r="16559">
          <cell r="H16559" t="str">
            <v>FL006.0Y4W001</v>
          </cell>
          <cell r="I16559" t="str">
            <v>6 YD 4X WK 1</v>
          </cell>
        </row>
        <row r="16560">
          <cell r="H16560" t="str">
            <v>ROLL-COMM</v>
          </cell>
          <cell r="I16560" t="str">
            <v>ROLL OUT CHARGE - COMM</v>
          </cell>
        </row>
        <row r="16561">
          <cell r="H16561" t="str">
            <v>SL065.0G1W001NORECC</v>
          </cell>
          <cell r="I16561" t="str">
            <v xml:space="preserve">65 GL 1X WK NO RECY COMM </v>
          </cell>
        </row>
        <row r="16562">
          <cell r="H16562" t="str">
            <v>SL065.0G1W001WRECC</v>
          </cell>
          <cell r="I16562" t="str">
            <v>65 GL 1X WK W/RECY COMM 1</v>
          </cell>
        </row>
        <row r="16563">
          <cell r="H16563" t="str">
            <v>SL065.0GEO001WRECC</v>
          </cell>
          <cell r="I16563" t="str">
            <v>65 GL EOW W/RECY COMM 1</v>
          </cell>
        </row>
        <row r="16564">
          <cell r="H16564" t="str">
            <v>SL095.0G1W001WRECC</v>
          </cell>
          <cell r="I16564" t="str">
            <v>95 GL 1X WK W/RECY COMM 1</v>
          </cell>
        </row>
        <row r="16565">
          <cell r="H16565" t="str">
            <v>ADJ-COMM</v>
          </cell>
          <cell r="I16565" t="str">
            <v>ADJUSTMENT SERVICE - COMM</v>
          </cell>
        </row>
        <row r="16566">
          <cell r="H16566" t="str">
            <v>CLEAN-COMM</v>
          </cell>
          <cell r="I16566" t="str">
            <v xml:space="preserve">CONTAINER CLEANING FEE - </v>
          </cell>
        </row>
        <row r="16567">
          <cell r="H16567" t="str">
            <v>EXTRA-COMM</v>
          </cell>
          <cell r="I16567" t="str">
            <v>EXTRA CAN, BAG, BOX - COM</v>
          </cell>
        </row>
        <row r="16568">
          <cell r="H16568" t="str">
            <v>FL002.0YXX001TEMPC</v>
          </cell>
          <cell r="I16568" t="str">
            <v xml:space="preserve">2 YD TEMP </v>
          </cell>
        </row>
        <row r="16569">
          <cell r="H16569" t="str">
            <v>REINSTATE-COMM</v>
          </cell>
          <cell r="I16569" t="str">
            <v>REINSTATE FEE - COMM</v>
          </cell>
        </row>
        <row r="16570">
          <cell r="H16570" t="str">
            <v>RENT2TEMP-COMM</v>
          </cell>
          <cell r="I16570" t="str">
            <v>RENT 2 YD TEMP - COMM</v>
          </cell>
        </row>
        <row r="16571">
          <cell r="H16571" t="str">
            <v>SP1-COMM</v>
          </cell>
          <cell r="I16571" t="str">
            <v>SPECIAL PICK UP 1 YD - CO</v>
          </cell>
        </row>
        <row r="16572">
          <cell r="H16572" t="str">
            <v>SP6-COMM</v>
          </cell>
          <cell r="I16572" t="str">
            <v>SPECIAL PICK UP 6 YD - CO</v>
          </cell>
        </row>
        <row r="16573">
          <cell r="H16573" t="str">
            <v>ACCESSCREC-COMM</v>
          </cell>
          <cell r="I16573" t="str">
            <v>ACCESS FEE COMM RECY - CO</v>
          </cell>
        </row>
        <row r="16574">
          <cell r="H16574" t="str">
            <v>FL002.0Y1W001BCMGL</v>
          </cell>
          <cell r="I16574" t="str">
            <v>2 YD 1X WK BUS CMGL 1</v>
          </cell>
        </row>
        <row r="16575">
          <cell r="H16575" t="str">
            <v>FL002.0Y1W001BOCC</v>
          </cell>
          <cell r="I16575" t="str">
            <v>2 YD 1X WK BUS OCC 1</v>
          </cell>
        </row>
        <row r="16576">
          <cell r="H16576" t="str">
            <v>FL004.0Y2W001CMGL</v>
          </cell>
          <cell r="I16576" t="str">
            <v>4 YD 2X WK BUS CMGL 1</v>
          </cell>
        </row>
        <row r="16577">
          <cell r="H16577" t="str">
            <v>FL005.0Y1W001BOCC</v>
          </cell>
          <cell r="I16577" t="str">
            <v>5 YD 1X WK BUS OCC 1</v>
          </cell>
        </row>
        <row r="16578">
          <cell r="H16578" t="str">
            <v>FL005.0Y2W001BOCC</v>
          </cell>
          <cell r="I16578" t="str">
            <v>5 YD 2X WK BUS OCC 1</v>
          </cell>
        </row>
        <row r="16579">
          <cell r="H16579" t="str">
            <v>FL005.0Y3W001BOCC</v>
          </cell>
          <cell r="I16579" t="str">
            <v>5 YD 3X WK BUS OCC 1</v>
          </cell>
        </row>
        <row r="16580">
          <cell r="H16580" t="str">
            <v>FL006.0Y1W001BCMGL</v>
          </cell>
          <cell r="I16580" t="str">
            <v>6 YD 1X WK BUS COMINGLE 1</v>
          </cell>
        </row>
        <row r="16581">
          <cell r="H16581" t="str">
            <v>FL006.0Y2W001BCMGL</v>
          </cell>
          <cell r="I16581" t="str">
            <v>6 YD 2X WK BUS COMINGLE 1</v>
          </cell>
        </row>
        <row r="16582">
          <cell r="H16582" t="str">
            <v>FL006.0Y4W001OCC</v>
          </cell>
          <cell r="I16582" t="str">
            <v>6 YD 4X WK OCC 1</v>
          </cell>
        </row>
        <row r="16583">
          <cell r="H16583" t="str">
            <v>MFWBINS</v>
          </cell>
          <cell r="I16583" t="str">
            <v>MULTI-FAMILY REC UNIT W/B</v>
          </cell>
        </row>
        <row r="16584">
          <cell r="H16584" t="str">
            <v>SL096.0G1W001BCMGLOUT</v>
          </cell>
          <cell r="I16584" t="str">
            <v>96 GL WKLY BUS CMGL OUT</v>
          </cell>
        </row>
        <row r="16585">
          <cell r="H16585" t="str">
            <v>SL096.0GEO001BCMGLOUT</v>
          </cell>
          <cell r="I16585" t="str">
            <v>96 GL EOW BUS CMGL OUT</v>
          </cell>
        </row>
        <row r="16586">
          <cell r="H16586" t="str">
            <v>SL096.0GEO001BCMGLIN</v>
          </cell>
          <cell r="I16586" t="str">
            <v>96 GL EOW BUS CMGL IN</v>
          </cell>
        </row>
        <row r="16587">
          <cell r="H16587" t="str">
            <v>CC-KOL</v>
          </cell>
          <cell r="I16587" t="str">
            <v>ONLINE PAYMENT-CC</v>
          </cell>
        </row>
        <row r="16588">
          <cell r="H16588" t="str">
            <v>CCREF-KOL</v>
          </cell>
          <cell r="I16588" t="str">
            <v>CREDIT CARD REFUND</v>
          </cell>
        </row>
        <row r="16589">
          <cell r="H16589" t="str">
            <v>PAY</v>
          </cell>
          <cell r="I16589" t="str">
            <v>PAYMENT THANK YOU</v>
          </cell>
        </row>
        <row r="16590">
          <cell r="H16590" t="str">
            <v>PAY-CFREE</v>
          </cell>
          <cell r="I16590" t="str">
            <v>CHECKFREE PAYMENT</v>
          </cell>
        </row>
        <row r="16591">
          <cell r="H16591" t="str">
            <v>PAY-KOL</v>
          </cell>
          <cell r="I16591" t="str">
            <v>PAYMENT-THANK YOU - OL</v>
          </cell>
        </row>
        <row r="16592">
          <cell r="H16592" t="str">
            <v>PAY-ORCC</v>
          </cell>
          <cell r="I16592" t="str">
            <v>ORCC PAYMENT</v>
          </cell>
        </row>
        <row r="16593">
          <cell r="H16593" t="str">
            <v>PAY-RPPS</v>
          </cell>
          <cell r="I16593" t="str">
            <v>RPPS MASTERCARD PAYMENT</v>
          </cell>
        </row>
        <row r="16594">
          <cell r="H16594" t="str">
            <v>PAYAD</v>
          </cell>
          <cell r="I16594" t="str">
            <v>ADJUST PAYMENT AD</v>
          </cell>
        </row>
        <row r="16595">
          <cell r="H16595" t="str">
            <v>PAYMET</v>
          </cell>
          <cell r="I16595" t="str">
            <v>METAVANTE ONLINE PAYMENT</v>
          </cell>
        </row>
        <row r="16596">
          <cell r="H16596" t="str">
            <v>PAYUSBL</v>
          </cell>
          <cell r="I16596" t="str">
            <v>PAYMENT THANK YOU</v>
          </cell>
        </row>
        <row r="16597">
          <cell r="H16597" t="str">
            <v>RET-KOL</v>
          </cell>
          <cell r="I16597" t="str">
            <v>ONLINE PAYMENT RETURN</v>
          </cell>
        </row>
        <row r="16598">
          <cell r="H16598" t="str">
            <v>CC-KOL</v>
          </cell>
          <cell r="I16598" t="str">
            <v>ONLINE PAYMENT-CC</v>
          </cell>
        </row>
        <row r="16599">
          <cell r="H16599" t="str">
            <v>CCREF-KOL</v>
          </cell>
          <cell r="I16599" t="str">
            <v>CREDIT CARD REFUND</v>
          </cell>
        </row>
        <row r="16600">
          <cell r="H16600" t="str">
            <v>PAY</v>
          </cell>
          <cell r="I16600" t="str">
            <v>PAYMENT THANK YOU</v>
          </cell>
        </row>
        <row r="16601">
          <cell r="H16601" t="str">
            <v>PAY-CFREE</v>
          </cell>
          <cell r="I16601" t="str">
            <v>CHECKFREE PAYMENT</v>
          </cell>
        </row>
        <row r="16602">
          <cell r="H16602" t="str">
            <v>PAY-KOL</v>
          </cell>
          <cell r="I16602" t="str">
            <v>PAYMENT-THANK YOU - OL</v>
          </cell>
        </row>
        <row r="16603">
          <cell r="H16603" t="str">
            <v>PAY-ORCC</v>
          </cell>
          <cell r="I16603" t="str">
            <v>ORCC PAYMENT</v>
          </cell>
        </row>
        <row r="16604">
          <cell r="H16604" t="str">
            <v>PAY-RPPS</v>
          </cell>
          <cell r="I16604" t="str">
            <v>RPPS MASTERCARD PAYMENT</v>
          </cell>
        </row>
        <row r="16605">
          <cell r="H16605" t="str">
            <v>PAYMET</v>
          </cell>
          <cell r="I16605" t="str">
            <v>METAVANTE ONLINE PAYMENT</v>
          </cell>
        </row>
        <row r="16606">
          <cell r="H16606" t="str">
            <v>PAYUSBL</v>
          </cell>
          <cell r="I16606" t="str">
            <v>PAYMENT THANK YOU</v>
          </cell>
        </row>
        <row r="16607">
          <cell r="H16607" t="str">
            <v>CC-KOL</v>
          </cell>
          <cell r="I16607" t="str">
            <v>ONLINE PAYMENT-CC</v>
          </cell>
        </row>
        <row r="16608">
          <cell r="H16608" t="str">
            <v>CCREF-KOL</v>
          </cell>
          <cell r="I16608" t="str">
            <v>CREDIT CARD REFUND</v>
          </cell>
        </row>
        <row r="16609">
          <cell r="H16609" t="str">
            <v>PAY</v>
          </cell>
          <cell r="I16609" t="str">
            <v>PAYMENT THANK YOU</v>
          </cell>
        </row>
        <row r="16610">
          <cell r="H16610" t="str">
            <v>PAY-CFREE</v>
          </cell>
          <cell r="I16610" t="str">
            <v>CHECKFREE PAYMENT</v>
          </cell>
        </row>
        <row r="16611">
          <cell r="H16611" t="str">
            <v>PAY-KOL</v>
          </cell>
          <cell r="I16611" t="str">
            <v>PAYMENT-THANK YOU - OL</v>
          </cell>
        </row>
        <row r="16612">
          <cell r="H16612" t="str">
            <v>PAY-NATL</v>
          </cell>
          <cell r="I16612" t="str">
            <v>PAYMENT THANK YOU</v>
          </cell>
        </row>
        <row r="16613">
          <cell r="H16613" t="str">
            <v>PAY-OAK</v>
          </cell>
          <cell r="I16613" t="str">
            <v>OAKLEAF PAYMENT</v>
          </cell>
        </row>
        <row r="16614">
          <cell r="H16614" t="str">
            <v>PAY-ORCC</v>
          </cell>
          <cell r="I16614" t="str">
            <v>ORCC PAYMENT</v>
          </cell>
        </row>
        <row r="16615">
          <cell r="H16615" t="str">
            <v>PAY-RPPS</v>
          </cell>
          <cell r="I16615" t="str">
            <v>RPPS MASTERCARD PAYMENT</v>
          </cell>
        </row>
        <row r="16616">
          <cell r="H16616" t="str">
            <v>PAYL</v>
          </cell>
          <cell r="I16616" t="str">
            <v>PAYMENT THANK YOU</v>
          </cell>
        </row>
        <row r="16617">
          <cell r="H16617" t="str">
            <v>PAYMET</v>
          </cell>
          <cell r="I16617" t="str">
            <v>METAVANTE ONLINE PAYMENT</v>
          </cell>
        </row>
        <row r="16618">
          <cell r="H16618" t="str">
            <v>PAYUSBL</v>
          </cell>
          <cell r="I16618" t="str">
            <v>PAYMENT THANK YOU</v>
          </cell>
        </row>
        <row r="16619">
          <cell r="H16619" t="str">
            <v>GWRES</v>
          </cell>
          <cell r="I16619" t="str">
            <v>GREENWASTE SERVICE - RES</v>
          </cell>
        </row>
        <row r="16620">
          <cell r="H16620" t="str">
            <v>S45G1W1</v>
          </cell>
          <cell r="I16620" t="str">
            <v>45 GL 1X WK 1</v>
          </cell>
        </row>
        <row r="16621">
          <cell r="H16621" t="str">
            <v>S45G1W2</v>
          </cell>
          <cell r="I16621" t="str">
            <v>45 GL 1X WK 2</v>
          </cell>
        </row>
        <row r="16622">
          <cell r="H16622" t="str">
            <v>S45GEO1</v>
          </cell>
          <cell r="I16622" t="str">
            <v>45 GL EOW 1</v>
          </cell>
        </row>
        <row r="16623">
          <cell r="H16623" t="str">
            <v>SL065.0G1W001WREC</v>
          </cell>
          <cell r="I16623" t="str">
            <v>65 GL 1X WK W/RECY 1</v>
          </cell>
        </row>
        <row r="16624">
          <cell r="H16624" t="str">
            <v>SL095.0G1W001WREC</v>
          </cell>
          <cell r="I16624" t="str">
            <v>95 GL 1X WK W/RECY 1</v>
          </cell>
        </row>
        <row r="16625">
          <cell r="H16625" t="str">
            <v>BULKY-RES</v>
          </cell>
          <cell r="I16625" t="str">
            <v>BULKY ITEM PICK UP - RES</v>
          </cell>
        </row>
        <row r="16626">
          <cell r="H16626" t="str">
            <v>EXTRA-RES</v>
          </cell>
          <cell r="I16626" t="str">
            <v>EXTRA CAN, BAG, BOX - RES</v>
          </cell>
        </row>
        <row r="16627">
          <cell r="H16627" t="str">
            <v>OW-RES</v>
          </cell>
          <cell r="I16627" t="str">
            <v>OVERFILL / OVERWEIGHT CAN</v>
          </cell>
        </row>
        <row r="16628">
          <cell r="H16628" t="str">
            <v>REINSTATE-RES</v>
          </cell>
          <cell r="I16628" t="str">
            <v>REINSTATE FEE - RES</v>
          </cell>
        </row>
        <row r="16629">
          <cell r="H16629" t="str">
            <v>RTRNCART45-RES</v>
          </cell>
          <cell r="I16629" t="str">
            <v>RETURN TRIP 45 GL - RES</v>
          </cell>
        </row>
        <row r="16630">
          <cell r="H16630" t="str">
            <v>GWRES</v>
          </cell>
          <cell r="I16630" t="str">
            <v>GREENWASTE SERVICE - RES</v>
          </cell>
        </row>
        <row r="16631">
          <cell r="H16631" t="str">
            <v>RECBINONLYR</v>
          </cell>
          <cell r="I16631" t="str">
            <v>RECYCLE SERVICE ONLY</v>
          </cell>
        </row>
        <row r="16632">
          <cell r="H16632" t="str">
            <v>RECPROGADJ-RES</v>
          </cell>
          <cell r="I16632" t="str">
            <v>RECYCLING PROGRAM ADJUSTM</v>
          </cell>
        </row>
        <row r="16633">
          <cell r="H16633" t="str">
            <v>RECVALRES</v>
          </cell>
          <cell r="I16633" t="str">
            <v>RECYCLABLES VALUE - RES</v>
          </cell>
        </row>
        <row r="16634">
          <cell r="H16634" t="str">
            <v>S45G1W1</v>
          </cell>
          <cell r="I16634" t="str">
            <v>45 GL 1X WK 1</v>
          </cell>
        </row>
        <row r="16635">
          <cell r="H16635" t="str">
            <v>S45G1W2</v>
          </cell>
          <cell r="I16635" t="str">
            <v>45 GL 1X WK 2</v>
          </cell>
        </row>
        <row r="16636">
          <cell r="H16636" t="str">
            <v>S45G1W3</v>
          </cell>
          <cell r="I16636" t="str">
            <v>45 GL 1X WK 3</v>
          </cell>
        </row>
        <row r="16637">
          <cell r="H16637" t="str">
            <v>S45GEO1</v>
          </cell>
          <cell r="I16637" t="str">
            <v>45 GL EOW 1</v>
          </cell>
        </row>
        <row r="16638">
          <cell r="H16638" t="str">
            <v>SL065.0G1W001WREC</v>
          </cell>
          <cell r="I16638" t="str">
            <v>65 GL 1X WK W/RECY 1</v>
          </cell>
        </row>
        <row r="16639">
          <cell r="H16639" t="str">
            <v>SL095.0G1W001WREC</v>
          </cell>
          <cell r="I16639" t="str">
            <v>95 GL 1X WK W/RECY 1</v>
          </cell>
        </row>
        <row r="16640">
          <cell r="H16640" t="str">
            <v>BULKY-RES</v>
          </cell>
          <cell r="I16640" t="str">
            <v>BULKY ITEM PICK UP - RES</v>
          </cell>
        </row>
        <row r="16641">
          <cell r="H16641" t="str">
            <v>EXTRA-RES</v>
          </cell>
          <cell r="I16641" t="str">
            <v>EXTRA CAN, BAG, BOX - RES</v>
          </cell>
        </row>
        <row r="16642">
          <cell r="H16642" t="str">
            <v>OC-RES</v>
          </cell>
          <cell r="I16642" t="str">
            <v>ON CALL SERVICE - RES</v>
          </cell>
        </row>
        <row r="16643">
          <cell r="H16643" t="str">
            <v>OW-RES</v>
          </cell>
          <cell r="I16643" t="str">
            <v>OVERFILL / OVERWEIGHT CAN</v>
          </cell>
        </row>
        <row r="16644">
          <cell r="H16644" t="str">
            <v>REINSTATE-RES</v>
          </cell>
          <cell r="I16644" t="str">
            <v>REINSTATE FEE - RES</v>
          </cell>
        </row>
        <row r="16645">
          <cell r="H16645" t="str">
            <v>LIDRO</v>
          </cell>
          <cell r="I16645" t="str">
            <v>LID CHARGE - RO</v>
          </cell>
        </row>
        <row r="16646">
          <cell r="H16646" t="str">
            <v>RENT30MO-RO</v>
          </cell>
          <cell r="I16646" t="str">
            <v>RENTAL FEE 30 YD MONTHLY</v>
          </cell>
        </row>
        <row r="16647">
          <cell r="H16647" t="str">
            <v>RENT40MO-RO</v>
          </cell>
          <cell r="I16647" t="str">
            <v>RENTAL FEE 40 YD MONTHLY</v>
          </cell>
        </row>
        <row r="16648">
          <cell r="H16648" t="str">
            <v>CLEAN25-RO</v>
          </cell>
          <cell r="I16648" t="str">
            <v>CLEANING FEE 25 YD - RO</v>
          </cell>
        </row>
        <row r="16649">
          <cell r="H16649" t="str">
            <v>DEL30TEMP-RO</v>
          </cell>
          <cell r="I16649" t="str">
            <v>DELIVERY FEE 30 YD TEMP -</v>
          </cell>
        </row>
        <row r="16650">
          <cell r="H16650" t="str">
            <v>DISCO-CP</v>
          </cell>
          <cell r="I16650" t="str">
            <v xml:space="preserve">COMPACTOR DISCONNECT FEE </v>
          </cell>
        </row>
        <row r="16651">
          <cell r="H16651" t="str">
            <v>DISP-RO</v>
          </cell>
          <cell r="I16651" t="str">
            <v>DISPOSAL CHARGE - RO</v>
          </cell>
        </row>
        <row r="16652">
          <cell r="H16652" t="str">
            <v>DISPTRANS-RO</v>
          </cell>
          <cell r="I16652" t="str">
            <v>DISPOSAL FEE TRANSFER HAU</v>
          </cell>
        </row>
        <row r="16653">
          <cell r="H16653" t="str">
            <v>HAUL25-CP</v>
          </cell>
          <cell r="I16653" t="str">
            <v>COMPACTOR HAUL 25 YD - RO</v>
          </cell>
        </row>
        <row r="16654">
          <cell r="H16654" t="str">
            <v>HAUL30-RO</v>
          </cell>
          <cell r="I16654" t="str">
            <v>HAUL 30 YD - RO</v>
          </cell>
        </row>
        <row r="16655">
          <cell r="H16655" t="str">
            <v>HAUL40-CP</v>
          </cell>
          <cell r="I16655" t="str">
            <v>COMPACTOR HAUL 40 YD</v>
          </cell>
        </row>
        <row r="16656">
          <cell r="H16656" t="str">
            <v>HAUL40-RO</v>
          </cell>
          <cell r="I16656" t="str">
            <v>HAUL 40 YD - RO</v>
          </cell>
        </row>
        <row r="16657">
          <cell r="H16657" t="str">
            <v>MILE-RO</v>
          </cell>
          <cell r="I16657" t="str">
            <v>MILEAGE FEE - RO</v>
          </cell>
        </row>
        <row r="16658">
          <cell r="H16658" t="str">
            <v>RENT30TEMP-RO</v>
          </cell>
          <cell r="I16658" t="str">
            <v>RENTAL FEE 30 YD TEMP - R</v>
          </cell>
        </row>
        <row r="16659">
          <cell r="H16659" t="str">
            <v>RENT40TEMP-RO</v>
          </cell>
          <cell r="I16659" t="str">
            <v>RENTAL FEE 40 YD TEMP - R</v>
          </cell>
        </row>
        <row r="16660">
          <cell r="H16660" t="str">
            <v>RTRNTRIP-RO</v>
          </cell>
          <cell r="I16660" t="str">
            <v>RETURN TRIP FEE - RO</v>
          </cell>
        </row>
        <row r="16661">
          <cell r="H16661" t="str">
            <v>DISPCMGL-RO</v>
          </cell>
          <cell r="I16661" t="str">
            <v xml:space="preserve">DISPOSAL FEE COMMINGLE - </v>
          </cell>
        </row>
        <row r="16662">
          <cell r="H16662" t="str">
            <v>DISPOCC-RO</v>
          </cell>
          <cell r="I16662" t="str">
            <v xml:space="preserve">DISPOSAL FEE CARDBOARD - </v>
          </cell>
        </row>
        <row r="16663">
          <cell r="H16663" t="str">
            <v>HAUL30-RO</v>
          </cell>
          <cell r="I16663" t="str">
            <v>HAUL 30 YD - RO</v>
          </cell>
        </row>
        <row r="16664">
          <cell r="H16664" t="str">
            <v>COMMODITY SURCHARGE</v>
          </cell>
          <cell r="I16664" t="str">
            <v>COMMODITY SURCHARGE</v>
          </cell>
        </row>
        <row r="16665">
          <cell r="H16665" t="str">
            <v>COMMODITY SURCHARGE</v>
          </cell>
          <cell r="I16665" t="str">
            <v>COMMODITY SURCHARGE</v>
          </cell>
        </row>
        <row r="16666">
          <cell r="H16666" t="str">
            <v>DUPONT CITY UTILITY TAX</v>
          </cell>
          <cell r="I16666" t="str">
            <v>8% CITY UTILITY TAX</v>
          </cell>
        </row>
        <row r="16667">
          <cell r="H16667" t="str">
            <v>DUPONT REFUSE TAX</v>
          </cell>
          <cell r="I16667" t="str">
            <v>3.6% WA STATE REFUSE TAX</v>
          </cell>
        </row>
        <row r="16668">
          <cell r="H16668" t="str">
            <v>DUPONT CITY ONLY</v>
          </cell>
          <cell r="I16668" t="str">
            <v>8% CITY UTILITY TAX</v>
          </cell>
        </row>
        <row r="16669">
          <cell r="H16669" t="str">
            <v>DUPONT CITY UTILITY TAX</v>
          </cell>
          <cell r="I16669" t="str">
            <v>8% CITY UTILITY TAX</v>
          </cell>
        </row>
        <row r="16670">
          <cell r="H16670" t="str">
            <v>DUPONT REFUSE TAX</v>
          </cell>
          <cell r="I16670" t="str">
            <v>3.6% WA STATE REFUSE TAX</v>
          </cell>
        </row>
        <row r="16671">
          <cell r="H16671" t="str">
            <v>DUPONT STATE SALES TAX</v>
          </cell>
          <cell r="I16671" t="str">
            <v>9.3% WA STATE SALES TAX</v>
          </cell>
        </row>
        <row r="16672">
          <cell r="H16672" t="str">
            <v>DUPONT CITY UTILITY TAX</v>
          </cell>
          <cell r="I16672" t="str">
            <v>8% CITY UTILITY TAX</v>
          </cell>
        </row>
        <row r="16673">
          <cell r="H16673" t="str">
            <v>DUPONT REFUSE TAX</v>
          </cell>
          <cell r="I16673" t="str">
            <v>3.6% WA STATE REFUSE TAX</v>
          </cell>
        </row>
        <row r="16674">
          <cell r="H16674" t="str">
            <v>DUPONT STATE SALES TAX</v>
          </cell>
          <cell r="I16674" t="str">
            <v>9.3% WA STATE SALES TAX</v>
          </cell>
        </row>
        <row r="16675">
          <cell r="H16675" t="str">
            <v>DUPONT CITY UTILITY TAX</v>
          </cell>
          <cell r="I16675" t="str">
            <v>8% CITY UTILITY TAX</v>
          </cell>
        </row>
        <row r="16676">
          <cell r="H16676" t="str">
            <v>DUPONT REFUSE TAX</v>
          </cell>
          <cell r="I16676" t="str">
            <v>3.6% WA STATE REFUSE TAX</v>
          </cell>
        </row>
        <row r="16677">
          <cell r="H16677" t="str">
            <v>DUPONT CITY UTILITY TAX</v>
          </cell>
          <cell r="I16677" t="str">
            <v>8% CITY UTILITY TAX</v>
          </cell>
        </row>
        <row r="16678">
          <cell r="H16678" t="str">
            <v>DUPONT REFUSE TAX</v>
          </cell>
          <cell r="I16678" t="str">
            <v>3.6% WA STATE REFUSE TAX</v>
          </cell>
        </row>
        <row r="16679">
          <cell r="H16679" t="str">
            <v>DUPONT CITY ONLY</v>
          </cell>
          <cell r="I16679" t="str">
            <v>8% CITY UTILITY TAX</v>
          </cell>
        </row>
        <row r="16680">
          <cell r="H16680" t="str">
            <v>DUPONT CITY UTILITY TAX</v>
          </cell>
          <cell r="I16680" t="str">
            <v>8% CITY UTILITY TAX</v>
          </cell>
        </row>
        <row r="16681">
          <cell r="H16681" t="str">
            <v>DUPONT REFUSE TAX</v>
          </cell>
          <cell r="I16681" t="str">
            <v>3.6% WA STATE REFUSE TAX</v>
          </cell>
        </row>
        <row r="16682">
          <cell r="H16682" t="str">
            <v>DUPONT STATE SALES TAX</v>
          </cell>
          <cell r="I16682" t="str">
            <v>9.3% WA STATE SALES TAX</v>
          </cell>
        </row>
        <row r="16683">
          <cell r="H16683" t="str">
            <v>DUPONT CITY UTILITY TAX</v>
          </cell>
          <cell r="I16683" t="str">
            <v>8% CITY UTILITY TAX</v>
          </cell>
        </row>
        <row r="16684">
          <cell r="H16684" t="str">
            <v>DUPONT REFUSE TAX</v>
          </cell>
          <cell r="I16684" t="str">
            <v>3.6% WA STATE REFUSE TAX</v>
          </cell>
        </row>
        <row r="16685">
          <cell r="H16685" t="str">
            <v>ACCESS-COMM</v>
          </cell>
          <cell r="I16685" t="str">
            <v>ACCESS FEE - COMM</v>
          </cell>
        </row>
        <row r="16686">
          <cell r="H16686" t="str">
            <v>FL001.0Y1W001</v>
          </cell>
          <cell r="I16686" t="str">
            <v>1 YD 1X WK 1</v>
          </cell>
        </row>
        <row r="16687">
          <cell r="H16687" t="str">
            <v>FL001.0Y2W001</v>
          </cell>
          <cell r="I16687" t="str">
            <v>1 YD 2X WK 1</v>
          </cell>
        </row>
        <row r="16688">
          <cell r="H16688" t="str">
            <v>FL001.5Y1W001</v>
          </cell>
          <cell r="I16688" t="str">
            <v>1.5 YD 1X WK 1</v>
          </cell>
        </row>
        <row r="16689">
          <cell r="H16689" t="str">
            <v>FL001.5Y2W001</v>
          </cell>
          <cell r="I16689" t="str">
            <v>1.5 YD 2X WK 1</v>
          </cell>
        </row>
        <row r="16690">
          <cell r="H16690" t="str">
            <v>FL002.0Y1W001</v>
          </cell>
          <cell r="I16690" t="str">
            <v>2 YD 1X WK 1</v>
          </cell>
        </row>
        <row r="16691">
          <cell r="H16691" t="str">
            <v>FL002.0Y2W001</v>
          </cell>
          <cell r="I16691" t="str">
            <v>2 YD 2X WK 1</v>
          </cell>
        </row>
        <row r="16692">
          <cell r="H16692" t="str">
            <v>GWCOMM</v>
          </cell>
          <cell r="I16692" t="str">
            <v>GREENWASTE SERVICE - COMM</v>
          </cell>
        </row>
        <row r="16693">
          <cell r="H16693" t="str">
            <v>RL001.0Y1W001</v>
          </cell>
          <cell r="I16693" t="str">
            <v>1 YD 1X WK 1</v>
          </cell>
        </row>
        <row r="16694">
          <cell r="H16694" t="str">
            <v>RL001.5Y1W001</v>
          </cell>
          <cell r="I16694" t="str">
            <v>1.5 YD 1X WK 1</v>
          </cell>
        </row>
        <row r="16695">
          <cell r="H16695" t="str">
            <v>SL035.0G1M001WRECC</v>
          </cell>
          <cell r="I16695" t="str">
            <v>35 GL 1X MO W/RECY COMM 1</v>
          </cell>
        </row>
        <row r="16696">
          <cell r="H16696" t="str">
            <v>SL065.0G1M001WRECC</v>
          </cell>
          <cell r="I16696" t="str">
            <v>65 GL 1X MO W/RECY COMM 1</v>
          </cell>
        </row>
        <row r="16697">
          <cell r="H16697" t="str">
            <v>SL065.0G1W001WRECC</v>
          </cell>
          <cell r="I16697" t="str">
            <v>65 GL 1X WK W/RECY COMM 1</v>
          </cell>
        </row>
        <row r="16698">
          <cell r="H16698" t="str">
            <v>SL065.0GEO001WRECC</v>
          </cell>
          <cell r="I16698" t="str">
            <v>65 GL EOW W/RECY COMM 1</v>
          </cell>
        </row>
        <row r="16699">
          <cell r="H16699" t="str">
            <v>SL095.0G1W001NORECC</v>
          </cell>
          <cell r="I16699" t="str">
            <v xml:space="preserve">95 GL 1X WK NO RECY COMM </v>
          </cell>
        </row>
        <row r="16700">
          <cell r="H16700" t="str">
            <v>SL095.0G1W001WRECC</v>
          </cell>
          <cell r="I16700" t="str">
            <v>95 GL 1X WK W/RECY COMM 1</v>
          </cell>
        </row>
        <row r="16701">
          <cell r="H16701" t="str">
            <v>SL095.0GEO001WRECC</v>
          </cell>
          <cell r="I16701" t="str">
            <v>95 GL EOW W/RECY COMM 1</v>
          </cell>
        </row>
        <row r="16702">
          <cell r="H16702" t="str">
            <v>EXTRA-COMM</v>
          </cell>
          <cell r="I16702" t="str">
            <v>EXTRA CAN, BAG, BOX - COM</v>
          </cell>
        </row>
        <row r="16703">
          <cell r="H16703" t="str">
            <v>ACCESSCREC-COMM</v>
          </cell>
          <cell r="I16703" t="str">
            <v>ACCESS FEE COMM RECY - CO</v>
          </cell>
        </row>
        <row r="16704">
          <cell r="H16704" t="str">
            <v>FL002.0Y1W001BOCC</v>
          </cell>
          <cell r="I16704" t="str">
            <v>2 YD 1X WK BUS OCC 1</v>
          </cell>
        </row>
        <row r="16705">
          <cell r="H16705" t="str">
            <v>FL002.0Y2W001SCMGL</v>
          </cell>
          <cell r="I16705" t="str">
            <v>2 YD 2X WK SCHL CMGL 1</v>
          </cell>
        </row>
        <row r="16706">
          <cell r="H16706" t="str">
            <v>FL005.0Y1W001BOCC</v>
          </cell>
          <cell r="I16706" t="str">
            <v>5 YD 1X WK BUS OCC 1</v>
          </cell>
        </row>
        <row r="16707">
          <cell r="H16707" t="str">
            <v>FL006.0Y1W001SCMGL</v>
          </cell>
          <cell r="I16707" t="str">
            <v>6 YD 1X WK SCHL CMGL 1</v>
          </cell>
        </row>
        <row r="16708">
          <cell r="H16708" t="str">
            <v>SL096.0GEO001BCMGLIN</v>
          </cell>
          <cell r="I16708" t="str">
            <v>96 GL EOW BUS CMGL IN</v>
          </cell>
        </row>
        <row r="16709">
          <cell r="H16709" t="str">
            <v>SL096.0GEO001BCMGLOUT</v>
          </cell>
          <cell r="I16709" t="str">
            <v>96 GL EOW BUS CMGL OUT</v>
          </cell>
        </row>
        <row r="16710">
          <cell r="H16710" t="str">
            <v>SL096.0GEO001SCMGLOUT</v>
          </cell>
          <cell r="I16710" t="str">
            <v>96 GL EOW SCHL CMGL OUT</v>
          </cell>
        </row>
        <row r="16711">
          <cell r="H16711" t="str">
            <v>PAYUSBL</v>
          </cell>
          <cell r="I16711" t="str">
            <v>PAYMENT THANK YOU</v>
          </cell>
        </row>
        <row r="16712">
          <cell r="H16712" t="str">
            <v>GWRES</v>
          </cell>
          <cell r="I16712" t="str">
            <v>GREENWASTE SERVICE - RES</v>
          </cell>
        </row>
        <row r="16713">
          <cell r="H16713" t="str">
            <v>RECBINONLYR</v>
          </cell>
          <cell r="I16713" t="str">
            <v>RECYCLE SERVICE ONLY</v>
          </cell>
        </row>
        <row r="16714">
          <cell r="H16714" t="str">
            <v>SL035.0G1M001WREC</v>
          </cell>
          <cell r="I16714" t="str">
            <v>35 GL 1X MO W/RECY 1</v>
          </cell>
        </row>
        <row r="16715">
          <cell r="H16715" t="str">
            <v>SL065.0G1M001NOREC</v>
          </cell>
          <cell r="I16715" t="str">
            <v>65 GL 1X MO NO RECY 1</v>
          </cell>
        </row>
        <row r="16716">
          <cell r="H16716" t="str">
            <v>SL065.0G1M001WREC</v>
          </cell>
          <cell r="I16716" t="str">
            <v>65 GL 1X MO W/RECY 1</v>
          </cell>
        </row>
        <row r="16717">
          <cell r="H16717" t="str">
            <v>SL065.0G1W001WREC</v>
          </cell>
          <cell r="I16717" t="str">
            <v>65 GL 1X WK W/RECY 1</v>
          </cell>
        </row>
        <row r="16718">
          <cell r="H16718" t="str">
            <v>SL065.0GEO001</v>
          </cell>
          <cell r="I16718" t="str">
            <v>65 GL EOW 1</v>
          </cell>
        </row>
        <row r="16719">
          <cell r="H16719" t="str">
            <v>SL065.0GEO001WREC</v>
          </cell>
          <cell r="I16719" t="str">
            <v>65 GL EOW W/RECY 1</v>
          </cell>
        </row>
        <row r="16720">
          <cell r="H16720" t="str">
            <v>SL095.0G1W001WREC</v>
          </cell>
          <cell r="I16720" t="str">
            <v>95 GL 1X WK W/RECY 1</v>
          </cell>
        </row>
        <row r="16721">
          <cell r="H16721" t="str">
            <v>SL095.0GEO001</v>
          </cell>
          <cell r="I16721" t="str">
            <v>95 GL EOW 1</v>
          </cell>
        </row>
        <row r="16722">
          <cell r="H16722" t="str">
            <v>SL095.0GEO001WREC</v>
          </cell>
          <cell r="I16722" t="str">
            <v>95 GL EOW W/RECY 1</v>
          </cell>
        </row>
        <row r="16723">
          <cell r="H16723" t="str">
            <v>EXTRA-RES</v>
          </cell>
          <cell r="I16723" t="str">
            <v>EXTRA CAN, BAG, BOX - RES</v>
          </cell>
        </row>
        <row r="16724">
          <cell r="H16724" t="str">
            <v>OC-RES</v>
          </cell>
          <cell r="I16724" t="str">
            <v>ON CALL SERVICE - RES</v>
          </cell>
        </row>
        <row r="16725">
          <cell r="H16725" t="str">
            <v>OW-RES</v>
          </cell>
          <cell r="I16725" t="str">
            <v>OVERFILL / OVERWEIGHT CAN</v>
          </cell>
        </row>
        <row r="16726">
          <cell r="H16726" t="str">
            <v>DONATIONRO</v>
          </cell>
          <cell r="I16726" t="str">
            <v>DONATED SERVICE ROLL OFF</v>
          </cell>
        </row>
        <row r="16727">
          <cell r="H16727" t="str">
            <v>RENT30MO-RO</v>
          </cell>
          <cell r="I16727" t="str">
            <v>RENTAL FEE 30 YD MONTHLY</v>
          </cell>
        </row>
        <row r="16728">
          <cell r="H16728" t="str">
            <v>DISCO-CP</v>
          </cell>
          <cell r="I16728" t="str">
            <v xml:space="preserve">COMPACTOR DISCONNECT FEE </v>
          </cell>
        </row>
        <row r="16729">
          <cell r="H16729" t="str">
            <v>DISP-RO</v>
          </cell>
          <cell r="I16729" t="str">
            <v>DISPOSAL CHARGE - RO</v>
          </cell>
        </row>
        <row r="16730">
          <cell r="H16730" t="str">
            <v>DISPOCC-RO</v>
          </cell>
          <cell r="I16730" t="str">
            <v xml:space="preserve">DISPOSAL FEE CARDBOARD - </v>
          </cell>
        </row>
        <row r="16731">
          <cell r="H16731" t="str">
            <v>HAUL30-CP</v>
          </cell>
          <cell r="I16731" t="str">
            <v>COMPACTOR HAUL 30 YD</v>
          </cell>
        </row>
        <row r="16732">
          <cell r="H16732" t="str">
            <v>HAUL30-RO</v>
          </cell>
          <cell r="I16732" t="str">
            <v>HAUL 30 YD - RO</v>
          </cell>
        </row>
        <row r="16733">
          <cell r="H16733" t="str">
            <v>MILE-RO</v>
          </cell>
          <cell r="I16733" t="str">
            <v>MILEAGE FEE - RO</v>
          </cell>
        </row>
        <row r="16734">
          <cell r="H16734" t="str">
            <v>COMMODITY SURCHARGE</v>
          </cell>
          <cell r="I16734" t="str">
            <v>COMMODITY SURCHARGE</v>
          </cell>
        </row>
        <row r="16735">
          <cell r="H16735" t="str">
            <v>FINCHG</v>
          </cell>
          <cell r="I16735" t="str">
            <v>LATE FEE</v>
          </cell>
        </row>
        <row r="16736">
          <cell r="H16736" t="str">
            <v>FL004.0Y2W001MF</v>
          </cell>
          <cell r="I16736" t="str">
            <v>4 YD 2X WK MULTI-FAMILY 1</v>
          </cell>
        </row>
        <row r="16737">
          <cell r="H16737" t="str">
            <v>FL006.0Y1W001MF</v>
          </cell>
          <cell r="I16737" t="str">
            <v>6 YD 1X WK MULTI-FAMILY 1</v>
          </cell>
        </row>
        <row r="16738">
          <cell r="H16738" t="str">
            <v>FL006.0Y2W001MF</v>
          </cell>
          <cell r="I16738" t="str">
            <v>6 YD 2X WK MULTI-FAMILY 1</v>
          </cell>
        </row>
        <row r="16739">
          <cell r="H16739" t="str">
            <v>SL096.0G1M001BCMGLOUT</v>
          </cell>
          <cell r="I16739" t="str">
            <v>96 GL MTHLY BUS CMGL OUT</v>
          </cell>
        </row>
        <row r="16740">
          <cell r="H16740" t="str">
            <v>MFWBINS</v>
          </cell>
          <cell r="I16740" t="str">
            <v>MULTI-FAMILY REC UNIT W/B</v>
          </cell>
        </row>
        <row r="16741">
          <cell r="H16741" t="str">
            <v>CC-KOL</v>
          </cell>
          <cell r="I16741" t="str">
            <v>ONLINE PAYMENT-CC</v>
          </cell>
        </row>
        <row r="16742">
          <cell r="H16742" t="str">
            <v>PAY</v>
          </cell>
          <cell r="I16742" t="str">
            <v>PAYMENT THANK YOU</v>
          </cell>
        </row>
        <row r="16743">
          <cell r="H16743" t="str">
            <v>PAY-KOL</v>
          </cell>
          <cell r="I16743" t="str">
            <v>PAYMENT-THANK YOU - OL</v>
          </cell>
        </row>
        <row r="16744">
          <cell r="H16744" t="str">
            <v>PAYUSBL</v>
          </cell>
          <cell r="I16744" t="str">
            <v>PAYMENT THANK YOU</v>
          </cell>
        </row>
        <row r="16745">
          <cell r="H16745" t="str">
            <v>RECBINONLYR</v>
          </cell>
          <cell r="I16745" t="str">
            <v>RECYCLE SERVICE ONLY</v>
          </cell>
        </row>
        <row r="16746">
          <cell r="H16746" t="str">
            <v>RECPROGADJ-RES</v>
          </cell>
          <cell r="I16746" t="str">
            <v>RECYCLING PROGRAM ADJUSTM</v>
          </cell>
        </row>
        <row r="16747">
          <cell r="H16747" t="str">
            <v>RECVALRES</v>
          </cell>
          <cell r="I16747" t="str">
            <v>RECYCLABLES VALUE - RES</v>
          </cell>
        </row>
        <row r="16748">
          <cell r="H16748" t="str">
            <v>SL065.0G1W001WREC</v>
          </cell>
          <cell r="I16748" t="str">
            <v>65 GL 1X WK W/RECY 1</v>
          </cell>
        </row>
        <row r="16749">
          <cell r="H16749" t="str">
            <v>SL095.0G1W001WREC</v>
          </cell>
          <cell r="I16749" t="str">
            <v>95 GL 1X WK W/RECY 1</v>
          </cell>
        </row>
        <row r="16750">
          <cell r="H16750" t="str">
            <v>DISPFEDMSW-RES</v>
          </cell>
          <cell r="I16750" t="str">
            <v>DISPOSAL FEDERAL MSW - RE</v>
          </cell>
        </row>
        <row r="16751">
          <cell r="H16751" t="str">
            <v>GWRES</v>
          </cell>
          <cell r="I16751" t="str">
            <v>GREENWASTE SERVICE - RES</v>
          </cell>
        </row>
        <row r="16752">
          <cell r="H16752" t="str">
            <v>PDBAG-RES</v>
          </cell>
          <cell r="I16752" t="str">
            <v>PREPAID BAG - RES</v>
          </cell>
        </row>
        <row r="16753">
          <cell r="H16753" t="str">
            <v>RECPROGADJ-RES</v>
          </cell>
          <cell r="I16753" t="str">
            <v>RECYCLING PROGRAM ADJUSTM</v>
          </cell>
        </row>
        <row r="16754">
          <cell r="H16754" t="str">
            <v>RECVALRES</v>
          </cell>
          <cell r="I16754" t="str">
            <v>RECYCLABLES VALUE - RES</v>
          </cell>
        </row>
        <row r="16755">
          <cell r="H16755" t="str">
            <v>REINSTATE-RES</v>
          </cell>
          <cell r="I16755" t="str">
            <v>REINSTATE FEE - RES</v>
          </cell>
        </row>
        <row r="16756">
          <cell r="H16756" t="str">
            <v>SL065.0G1W001WREC</v>
          </cell>
          <cell r="I16756" t="str">
            <v>65 GL 1X WK W/RECY 1</v>
          </cell>
        </row>
        <row r="16757">
          <cell r="H16757" t="str">
            <v>SL095.0G1W001WREC</v>
          </cell>
          <cell r="I16757" t="str">
            <v>95 GL 1X WK W/RECY 1</v>
          </cell>
        </row>
        <row r="16758">
          <cell r="H16758" t="str">
            <v>TIME-RES</v>
          </cell>
          <cell r="I16758" t="str">
            <v>TIME FEE 1 - RES</v>
          </cell>
        </row>
        <row r="16759">
          <cell r="H16759" t="str">
            <v>RENT20MO-RO</v>
          </cell>
          <cell r="I16759" t="str">
            <v>RENTAL FEE 20 YD MONTHLY</v>
          </cell>
        </row>
        <row r="16760">
          <cell r="H16760" t="str">
            <v>RENT30MO-RO</v>
          </cell>
          <cell r="I16760" t="str">
            <v>RENTAL FEE 30 YD MONTHLY</v>
          </cell>
        </row>
        <row r="16761">
          <cell r="H16761" t="str">
            <v>RENT40MO-RO</v>
          </cell>
          <cell r="I16761" t="str">
            <v>RENTAL FEE 40 YD MONTHLY</v>
          </cell>
        </row>
        <row r="16762">
          <cell r="H16762" t="str">
            <v>DISP-RO</v>
          </cell>
          <cell r="I16762" t="str">
            <v>DISPOSAL CHARGE - RO</v>
          </cell>
        </row>
        <row r="16763">
          <cell r="H16763" t="str">
            <v>DISPFEDMSW-RO</v>
          </cell>
          <cell r="I16763" t="str">
            <v xml:space="preserve">DISPOSAL FEE FEDERAL MSW </v>
          </cell>
        </row>
        <row r="16764">
          <cell r="H16764" t="str">
            <v>HAUL20-RO</v>
          </cell>
          <cell r="I16764" t="str">
            <v>HAUL 20 YD - RO</v>
          </cell>
        </row>
        <row r="16765">
          <cell r="H16765" t="str">
            <v>HAUL30-RO</v>
          </cell>
          <cell r="I16765" t="str">
            <v>HAUL 30 YD - RO</v>
          </cell>
        </row>
        <row r="16766">
          <cell r="H16766" t="str">
            <v>HAUL40-RO</v>
          </cell>
          <cell r="I16766" t="str">
            <v>HAUL 40 YD - RO</v>
          </cell>
        </row>
        <row r="16767">
          <cell r="H16767" t="str">
            <v>MILE-RO</v>
          </cell>
          <cell r="I16767" t="str">
            <v>MILEAGE FEE - RO</v>
          </cell>
        </row>
        <row r="16768">
          <cell r="H16768" t="str">
            <v>RTRNTRIP-RO</v>
          </cell>
          <cell r="I16768" t="str">
            <v>RETURN TRIP FEE - RO</v>
          </cell>
        </row>
        <row r="16769">
          <cell r="H16769" t="str">
            <v>FT LEWIS REFUSE TAX</v>
          </cell>
          <cell r="I16769" t="str">
            <v>3.6% WA STATE REFUSE TAX</v>
          </cell>
        </row>
        <row r="16770">
          <cell r="H16770" t="str">
            <v>FT LEWIS STATE SALES TAX</v>
          </cell>
          <cell r="I16770" t="str">
            <v>9.3% WA STATE SALES TAX</v>
          </cell>
        </row>
        <row r="16771">
          <cell r="H16771" t="str">
            <v>FT LEWIS REFUSE TAX</v>
          </cell>
          <cell r="I16771" t="str">
            <v>3.6% WA STATE REFUSE TAX</v>
          </cell>
        </row>
        <row r="16772">
          <cell r="H16772" t="str">
            <v>FINCHG</v>
          </cell>
          <cell r="I16772" t="str">
            <v>LATE FEE</v>
          </cell>
        </row>
        <row r="16773">
          <cell r="H16773" t="str">
            <v>MM</v>
          </cell>
          <cell r="I16773" t="str">
            <v>ADJUST BALANCE (MM)</v>
          </cell>
        </row>
        <row r="16774">
          <cell r="H16774" t="str">
            <v>ACCESS-COMM</v>
          </cell>
          <cell r="I16774" t="str">
            <v>ACCESS FEE - COMM</v>
          </cell>
        </row>
        <row r="16775">
          <cell r="H16775" t="str">
            <v>FL001.0Y1W001</v>
          </cell>
          <cell r="I16775" t="str">
            <v>1 YD 1X WK 1</v>
          </cell>
        </row>
        <row r="16776">
          <cell r="H16776" t="str">
            <v>FL001.5Y1W001</v>
          </cell>
          <cell r="I16776" t="str">
            <v>1.5 YD 1X WK 1</v>
          </cell>
        </row>
        <row r="16777">
          <cell r="H16777" t="str">
            <v>FL001.5Y2W001</v>
          </cell>
          <cell r="I16777" t="str">
            <v>1.5 YD 2X WK 1</v>
          </cell>
        </row>
        <row r="16778">
          <cell r="H16778" t="str">
            <v>FL001.5Y3W001</v>
          </cell>
          <cell r="I16778" t="str">
            <v>1.5 YD 3X WK 1</v>
          </cell>
        </row>
        <row r="16779">
          <cell r="H16779" t="str">
            <v>FL001.5Y4W001</v>
          </cell>
          <cell r="I16779" t="str">
            <v>1.5 YD 4X WK 1</v>
          </cell>
        </row>
        <row r="16780">
          <cell r="H16780" t="str">
            <v>FL001.5Y5W001</v>
          </cell>
          <cell r="I16780" t="str">
            <v>1.5 YD 5X WK 1</v>
          </cell>
        </row>
        <row r="16781">
          <cell r="H16781" t="str">
            <v>FL002.0Y1W001</v>
          </cell>
          <cell r="I16781" t="str">
            <v>2 YD 1X WK 1</v>
          </cell>
        </row>
        <row r="16782">
          <cell r="H16782" t="str">
            <v>FL002.0Y3W001</v>
          </cell>
          <cell r="I16782" t="str">
            <v>2 YD 3X WK 1</v>
          </cell>
        </row>
        <row r="16783">
          <cell r="H16783" t="str">
            <v>FL002.0Y5W001</v>
          </cell>
          <cell r="I16783" t="str">
            <v>2 YD 5X WK 1</v>
          </cell>
        </row>
        <row r="16784">
          <cell r="H16784" t="str">
            <v>FL003.0Y1W001</v>
          </cell>
          <cell r="I16784" t="str">
            <v>3 YD 1X WK 1</v>
          </cell>
        </row>
        <row r="16785">
          <cell r="H16785" t="str">
            <v>FL003.0Y2W001</v>
          </cell>
          <cell r="I16785" t="str">
            <v>3 YD 2X WK 1</v>
          </cell>
        </row>
        <row r="16786">
          <cell r="H16786" t="str">
            <v>FL004.0Y1W001</v>
          </cell>
          <cell r="I16786" t="str">
            <v>4 YD 1X WK 1</v>
          </cell>
        </row>
        <row r="16787">
          <cell r="H16787" t="str">
            <v>FL006.0Y1W001</v>
          </cell>
          <cell r="I16787" t="str">
            <v>6 YD 1X WK 1</v>
          </cell>
        </row>
        <row r="16788">
          <cell r="H16788" t="str">
            <v>FL006.0Y2W001</v>
          </cell>
          <cell r="I16788" t="str">
            <v>6 YD 2X WK 1</v>
          </cell>
        </row>
        <row r="16789">
          <cell r="H16789" t="str">
            <v>FL006.0Y3W001</v>
          </cell>
          <cell r="I16789" t="str">
            <v>6 YD 3X WK 1</v>
          </cell>
        </row>
        <row r="16790">
          <cell r="H16790" t="str">
            <v>SL065.0G1W001NORECC</v>
          </cell>
          <cell r="I16790" t="str">
            <v xml:space="preserve">65 GL 1X WK NO RECY COMM </v>
          </cell>
        </row>
        <row r="16791">
          <cell r="H16791" t="str">
            <v>SL065.0G1W001WRECC</v>
          </cell>
          <cell r="I16791" t="str">
            <v>65 GL 1X WK W/RECY COMM 1</v>
          </cell>
        </row>
        <row r="16792">
          <cell r="H16792" t="str">
            <v>SL095.0G1W001NORECC</v>
          </cell>
          <cell r="I16792" t="str">
            <v xml:space="preserve">95 GL 1X WK NO RECY COMM </v>
          </cell>
        </row>
        <row r="16793">
          <cell r="H16793" t="str">
            <v>FL002.0Y1W001BCMGL</v>
          </cell>
          <cell r="I16793" t="str">
            <v>2 YD 1X WK BUS CMGL 1</v>
          </cell>
        </row>
        <row r="16794">
          <cell r="H16794" t="str">
            <v>FL002.0Y1W001BOCC</v>
          </cell>
          <cell r="I16794" t="str">
            <v>2 YD 1X WK BUS OCC 1</v>
          </cell>
        </row>
        <row r="16795">
          <cell r="H16795" t="str">
            <v>FL002.0Y2W001BCMGL</v>
          </cell>
          <cell r="I16795" t="str">
            <v>2 YD 2X WK BUS CMGL 1</v>
          </cell>
        </row>
        <row r="16796">
          <cell r="H16796" t="str">
            <v>FL004.0Y2W001CMGL</v>
          </cell>
          <cell r="I16796" t="str">
            <v>4 YD 2X WK BUS CMGL 1</v>
          </cell>
        </row>
        <row r="16797">
          <cell r="H16797" t="str">
            <v>FL005.0Y1W001BOCC</v>
          </cell>
          <cell r="I16797" t="str">
            <v>5 YD 1X WK BUS OCC 1</v>
          </cell>
        </row>
        <row r="16798">
          <cell r="H16798" t="str">
            <v>FL005.0Y2W001BOCC</v>
          </cell>
          <cell r="I16798" t="str">
            <v>5 YD 2X WK BUS OCC 1</v>
          </cell>
        </row>
        <row r="16799">
          <cell r="H16799" t="str">
            <v>FL006.0Y1W001BCMGL</v>
          </cell>
          <cell r="I16799" t="str">
            <v>6 YD 1X WK BUS COMINGLE 1</v>
          </cell>
        </row>
        <row r="16800">
          <cell r="H16800" t="str">
            <v>SL096.0GEO001BCMGLOUT</v>
          </cell>
          <cell r="I16800" t="str">
            <v>96 GL EOW BUS CMGL OUT</v>
          </cell>
        </row>
        <row r="16801">
          <cell r="H16801" t="str">
            <v>CC-KOL</v>
          </cell>
          <cell r="I16801" t="str">
            <v>ONLINE PAYMENT-CC</v>
          </cell>
        </row>
        <row r="16802">
          <cell r="H16802" t="str">
            <v>CCREF-KOL</v>
          </cell>
          <cell r="I16802" t="str">
            <v>CREDIT CARD REFUND</v>
          </cell>
        </row>
        <row r="16803">
          <cell r="H16803" t="str">
            <v>PAY</v>
          </cell>
          <cell r="I16803" t="str">
            <v>PAYMENT THANK YOU</v>
          </cell>
        </row>
        <row r="16804">
          <cell r="H16804" t="str">
            <v>PAY-KOL</v>
          </cell>
          <cell r="I16804" t="str">
            <v>PAYMENT-THANK YOU - OL</v>
          </cell>
        </row>
        <row r="16805">
          <cell r="H16805" t="str">
            <v>PAY-NATL</v>
          </cell>
          <cell r="I16805" t="str">
            <v>PAYMENT THANK YOU</v>
          </cell>
        </row>
        <row r="16806">
          <cell r="H16806" t="str">
            <v>PAYEFT</v>
          </cell>
          <cell r="I16806" t="str">
            <v>EFT PAYMENT</v>
          </cell>
        </row>
        <row r="16807">
          <cell r="H16807" t="str">
            <v>PAYL</v>
          </cell>
          <cell r="I16807" t="str">
            <v>PAYMENT THANK YOU</v>
          </cell>
        </row>
        <row r="16808">
          <cell r="H16808" t="str">
            <v>PAYUSBL</v>
          </cell>
          <cell r="I16808" t="str">
            <v>PAYMENT THANK YOU</v>
          </cell>
        </row>
        <row r="16809">
          <cell r="H16809" t="str">
            <v>LIDRO</v>
          </cell>
          <cell r="I16809" t="str">
            <v>LID CHARGE - RO</v>
          </cell>
        </row>
        <row r="16810">
          <cell r="H16810" t="str">
            <v>RENT20MO-RO</v>
          </cell>
          <cell r="I16810" t="str">
            <v>RENTAL FEE 20 YD MONTHLY</v>
          </cell>
        </row>
        <row r="16811">
          <cell r="H16811" t="str">
            <v>RENT30MO-RO</v>
          </cell>
          <cell r="I16811" t="str">
            <v>RENTAL FEE 30 YD MONTHLY</v>
          </cell>
        </row>
        <row r="16812">
          <cell r="H16812" t="str">
            <v>RENT40MO-RO</v>
          </cell>
          <cell r="I16812" t="str">
            <v>RENTAL FEE 40 YD MONTHLY</v>
          </cell>
        </row>
        <row r="16813">
          <cell r="H16813" t="str">
            <v>CLEAN20-RO</v>
          </cell>
          <cell r="I16813" t="str">
            <v>CLEANING FEE 20 YD - RO</v>
          </cell>
        </row>
        <row r="16814">
          <cell r="H16814" t="str">
            <v>DEL20-RO</v>
          </cell>
          <cell r="I16814" t="str">
            <v>DELIVERY FEE 20 YD - RO</v>
          </cell>
        </row>
        <row r="16815">
          <cell r="H16815" t="str">
            <v>DEL30-RO</v>
          </cell>
          <cell r="I16815" t="str">
            <v>DELIVERY FEE 30 YD - RO</v>
          </cell>
        </row>
        <row r="16816">
          <cell r="H16816" t="str">
            <v>DEL30TEMP-RO</v>
          </cell>
          <cell r="I16816" t="str">
            <v>DELIVERY FEE 30 YD TEMP -</v>
          </cell>
        </row>
        <row r="16817">
          <cell r="H16817" t="str">
            <v>DISCO-CP</v>
          </cell>
          <cell r="I16817" t="str">
            <v xml:space="preserve">COMPACTOR DISCONNECT FEE </v>
          </cell>
        </row>
        <row r="16818">
          <cell r="H16818" t="str">
            <v>DISPFEDMSW-RO</v>
          </cell>
          <cell r="I16818" t="str">
            <v xml:space="preserve">DISPOSAL FEE FEDERAL MSW </v>
          </cell>
        </row>
        <row r="16819">
          <cell r="H16819" t="str">
            <v>FINAL20-RO</v>
          </cell>
          <cell r="I16819" t="str">
            <v>FINAL PULL 20 YD - RO</v>
          </cell>
        </row>
        <row r="16820">
          <cell r="H16820" t="str">
            <v>FINAL40TEMP-RO</v>
          </cell>
          <cell r="I16820" t="str">
            <v>FINAL PULL 40 YD TEMP - R</v>
          </cell>
        </row>
        <row r="16821">
          <cell r="H16821" t="str">
            <v>HAUL20-CP</v>
          </cell>
          <cell r="I16821" t="str">
            <v>COMPACTOR HAUL 20 YD - RO</v>
          </cell>
        </row>
        <row r="16822">
          <cell r="H16822" t="str">
            <v>HAUL20-RO</v>
          </cell>
          <cell r="I16822" t="str">
            <v>HAUL 20 YD - RO</v>
          </cell>
        </row>
        <row r="16823">
          <cell r="H16823" t="str">
            <v>HAUL20TEMP-RO</v>
          </cell>
          <cell r="I16823" t="str">
            <v>HAUL 20 YD TEMP - RO</v>
          </cell>
        </row>
        <row r="16824">
          <cell r="H16824" t="str">
            <v>HAUL40-RO</v>
          </cell>
          <cell r="I16824" t="str">
            <v>HAUL 40 YD - RO</v>
          </cell>
        </row>
        <row r="16825">
          <cell r="H16825" t="str">
            <v>HAUL40TEMP-RO</v>
          </cell>
          <cell r="I16825" t="str">
            <v>HAUL 40 YD TEMP - RO</v>
          </cell>
        </row>
        <row r="16826">
          <cell r="H16826" t="str">
            <v>MILE-RO</v>
          </cell>
          <cell r="I16826" t="str">
            <v>MILEAGE FEE - RO</v>
          </cell>
        </row>
        <row r="16827">
          <cell r="H16827" t="str">
            <v>RENT20TEMP-RO</v>
          </cell>
          <cell r="I16827" t="str">
            <v>RENTAL FEE 20 YD TEMP - R</v>
          </cell>
        </row>
        <row r="16828">
          <cell r="H16828" t="str">
            <v>RENT30TEMP-RO</v>
          </cell>
          <cell r="I16828" t="str">
            <v>RENTAL FEE 30 YD TEMP - R</v>
          </cell>
        </row>
        <row r="16829">
          <cell r="H16829" t="str">
            <v>RENT40MO-RO</v>
          </cell>
          <cell r="I16829" t="str">
            <v>RENTAL FEE 40 YD MONTHLY</v>
          </cell>
        </row>
        <row r="16830">
          <cell r="H16830" t="str">
            <v>RENT40TEMP-RO</v>
          </cell>
          <cell r="I16830" t="str">
            <v>RENTAL FEE 40 YD TEMP - R</v>
          </cell>
        </row>
        <row r="16831">
          <cell r="H16831" t="str">
            <v>RTRNTRIP-RO</v>
          </cell>
          <cell r="I16831" t="str">
            <v>RETURN TRIP FEE - RO</v>
          </cell>
        </row>
        <row r="16832">
          <cell r="H16832" t="str">
            <v>COMMODITY SURCHARGE</v>
          </cell>
          <cell r="I16832" t="str">
            <v>COMMODITY SURCHARGE</v>
          </cell>
        </row>
        <row r="16833">
          <cell r="H16833" t="str">
            <v>FT LEWIS REFUSE TAX</v>
          </cell>
          <cell r="I16833" t="str">
            <v>3.6% WA STATE REFUSE TAX</v>
          </cell>
        </row>
        <row r="16834">
          <cell r="H16834" t="str">
            <v>FT LEWIS REFUSE TAX</v>
          </cell>
          <cell r="I16834" t="str">
            <v>3.6% WA STATE REFUSE TAX</v>
          </cell>
        </row>
        <row r="16835">
          <cell r="H16835" t="str">
            <v>FT LEWIS STATE SALES TAX</v>
          </cell>
          <cell r="I16835" t="str">
            <v>9.3% WA STATE SALES TAX</v>
          </cell>
        </row>
        <row r="16836">
          <cell r="H16836" t="str">
            <v>BD</v>
          </cell>
          <cell r="I16836" t="str">
            <v>BAD DEBT WRITE OFF</v>
          </cell>
        </row>
        <row r="16837">
          <cell r="H16837" t="str">
            <v>BDR</v>
          </cell>
          <cell r="I16837" t="str">
            <v>BAD DEBT RECOVERY</v>
          </cell>
        </row>
        <row r="16838">
          <cell r="H16838" t="str">
            <v>COLLFEE</v>
          </cell>
          <cell r="I16838" t="str">
            <v>COLLECTION AGENCY FEE</v>
          </cell>
        </row>
        <row r="16839">
          <cell r="H16839" t="str">
            <v>FINCHG</v>
          </cell>
          <cell r="I16839" t="str">
            <v>LATE FEE</v>
          </cell>
        </row>
        <row r="16840">
          <cell r="H16840" t="str">
            <v>MM</v>
          </cell>
          <cell r="I16840" t="str">
            <v>ADJUST BALANCE (MM)</v>
          </cell>
        </row>
        <row r="16841">
          <cell r="H16841" t="str">
            <v>MM</v>
          </cell>
          <cell r="I16841" t="str">
            <v>ADJUST BALANCE (MM)</v>
          </cell>
        </row>
        <row r="16842">
          <cell r="H16842" t="str">
            <v>REFUND</v>
          </cell>
          <cell r="I16842" t="str">
            <v>REFUND</v>
          </cell>
        </row>
        <row r="16843">
          <cell r="H16843" t="str">
            <v>FINCHG</v>
          </cell>
          <cell r="I16843" t="str">
            <v>LATE FEE</v>
          </cell>
        </row>
        <row r="16844">
          <cell r="H16844" t="str">
            <v>BD</v>
          </cell>
          <cell r="I16844" t="str">
            <v>BAD DEBT WRITE OFF</v>
          </cell>
        </row>
        <row r="16845">
          <cell r="H16845" t="str">
            <v>BDR</v>
          </cell>
          <cell r="I16845" t="str">
            <v>BAD DEBT RECOVERY</v>
          </cell>
        </row>
        <row r="16846">
          <cell r="H16846" t="str">
            <v>COLLFEE</v>
          </cell>
          <cell r="I16846" t="str">
            <v>COLLECTION AGENCY FEE</v>
          </cell>
        </row>
        <row r="16847">
          <cell r="H16847" t="str">
            <v>MM</v>
          </cell>
          <cell r="I16847" t="str">
            <v>ADJUST BALANCE (MM)</v>
          </cell>
        </row>
        <row r="16848">
          <cell r="H16848" t="str">
            <v>MM</v>
          </cell>
          <cell r="I16848" t="str">
            <v>ADJUST BALANCE (MM)</v>
          </cell>
        </row>
        <row r="16849">
          <cell r="H16849" t="str">
            <v>REFUND</v>
          </cell>
          <cell r="I16849" t="str">
            <v>REFUND</v>
          </cell>
        </row>
        <row r="16850">
          <cell r="H16850" t="str">
            <v>FINCHG</v>
          </cell>
          <cell r="I16850" t="str">
            <v>LATE FEE</v>
          </cell>
        </row>
        <row r="16851">
          <cell r="H16851" t="str">
            <v>BD</v>
          </cell>
          <cell r="I16851" t="str">
            <v>BAD DEBT WRITE OFF</v>
          </cell>
        </row>
        <row r="16852">
          <cell r="H16852" t="str">
            <v>BDR</v>
          </cell>
          <cell r="I16852" t="str">
            <v>BAD DEBT RECOVERY</v>
          </cell>
        </row>
        <row r="16853">
          <cell r="H16853" t="str">
            <v>COLLFEE</v>
          </cell>
          <cell r="I16853" t="str">
            <v>COLLECTION AGENCY FEE</v>
          </cell>
        </row>
        <row r="16854">
          <cell r="H16854" t="str">
            <v>FINCHG</v>
          </cell>
          <cell r="I16854" t="str">
            <v>LATE FEE</v>
          </cell>
        </row>
        <row r="16855">
          <cell r="H16855" t="str">
            <v>MM</v>
          </cell>
          <cell r="I16855" t="str">
            <v>ADJUST BALANCE (MM)</v>
          </cell>
        </row>
        <row r="16856">
          <cell r="H16856" t="str">
            <v>MM</v>
          </cell>
          <cell r="I16856" t="str">
            <v>ADJUST BALANCE (MM)</v>
          </cell>
        </row>
        <row r="16857">
          <cell r="H16857" t="str">
            <v>REFUND</v>
          </cell>
          <cell r="I16857" t="str">
            <v>REFUND</v>
          </cell>
        </row>
        <row r="16858">
          <cell r="H16858" t="str">
            <v>EP96GW-COMM</v>
          </cell>
          <cell r="I16858" t="str">
            <v>EXTRA PICK UP 96 GW -COMM</v>
          </cell>
        </row>
        <row r="16859">
          <cell r="H16859" t="str">
            <v>EP96GW-COMM</v>
          </cell>
          <cell r="I16859" t="str">
            <v>EXTRA PICK UP 96 GW -COMM</v>
          </cell>
        </row>
        <row r="16860">
          <cell r="H16860" t="str">
            <v>ACCESS-COMM</v>
          </cell>
          <cell r="I16860" t="str">
            <v>ACCESS FEE - COMM</v>
          </cell>
        </row>
        <row r="16861">
          <cell r="H16861" t="str">
            <v>ACCESS-MF</v>
          </cell>
          <cell r="I16861" t="str">
            <v>ACCESS FEE - MF</v>
          </cell>
        </row>
        <row r="16862">
          <cell r="H16862" t="str">
            <v>DONATIONC</v>
          </cell>
          <cell r="I16862" t="str">
            <v>DONATED SERVICE COMM</v>
          </cell>
        </row>
        <row r="16863">
          <cell r="H16863" t="str">
            <v>DRIVEIN1-COMM</v>
          </cell>
          <cell r="I16863" t="str">
            <v>DRIVE IN 125-250' - COMM</v>
          </cell>
        </row>
        <row r="16864">
          <cell r="H16864" t="str">
            <v>DRIVEIN3-COMM</v>
          </cell>
          <cell r="I16864" t="str">
            <v>DRIVE IN 779-1306' - COMM</v>
          </cell>
        </row>
        <row r="16865">
          <cell r="H16865" t="str">
            <v>FL001.0Y1W001</v>
          </cell>
          <cell r="I16865" t="str">
            <v>1 YD 1X WK 1</v>
          </cell>
        </row>
        <row r="16866">
          <cell r="H16866" t="str">
            <v>FL001.0Y2W001</v>
          </cell>
          <cell r="I16866" t="str">
            <v>1 YD 2X WK 1</v>
          </cell>
        </row>
        <row r="16867">
          <cell r="H16867" t="str">
            <v>FL001.0Y3W001</v>
          </cell>
          <cell r="I16867" t="str">
            <v>1 YD 3X WK 1</v>
          </cell>
        </row>
        <row r="16868">
          <cell r="H16868" t="str">
            <v>FL001.5Y1W001</v>
          </cell>
          <cell r="I16868" t="str">
            <v>1.5 YD 1X WK 1</v>
          </cell>
        </row>
        <row r="16869">
          <cell r="H16869" t="str">
            <v>FL001.5Y2W001</v>
          </cell>
          <cell r="I16869" t="str">
            <v>1.5 YD 2X WK 1</v>
          </cell>
        </row>
        <row r="16870">
          <cell r="H16870" t="str">
            <v>FL001.5Y3W001</v>
          </cell>
          <cell r="I16870" t="str">
            <v>1.5 YD 3X WK 1</v>
          </cell>
        </row>
        <row r="16871">
          <cell r="H16871" t="str">
            <v>FL002.0Y1W001</v>
          </cell>
          <cell r="I16871" t="str">
            <v>2 YD 1X WK 1</v>
          </cell>
        </row>
        <row r="16872">
          <cell r="H16872" t="str">
            <v>FL002.0Y2W001</v>
          </cell>
          <cell r="I16872" t="str">
            <v>2 YD 2X WK 1</v>
          </cell>
        </row>
        <row r="16873">
          <cell r="H16873" t="str">
            <v>FL002.0Y3W001</v>
          </cell>
          <cell r="I16873" t="str">
            <v>2 YD 3X WK 1</v>
          </cell>
        </row>
        <row r="16874">
          <cell r="H16874" t="str">
            <v>FL002.0Y4W001</v>
          </cell>
          <cell r="I16874" t="str">
            <v>2 YD 4X WK 1</v>
          </cell>
        </row>
        <row r="16875">
          <cell r="H16875" t="str">
            <v>FL002.0Y5W001</v>
          </cell>
          <cell r="I16875" t="str">
            <v>2 YD 5X WK 1</v>
          </cell>
        </row>
        <row r="16876">
          <cell r="H16876" t="str">
            <v>FL003.0Y1W001</v>
          </cell>
          <cell r="I16876" t="str">
            <v>3 YD 1X WK 1</v>
          </cell>
        </row>
        <row r="16877">
          <cell r="H16877" t="str">
            <v>FL003.0Y2W001</v>
          </cell>
          <cell r="I16877" t="str">
            <v>3 YD 2X WK 1</v>
          </cell>
        </row>
        <row r="16878">
          <cell r="H16878" t="str">
            <v>FL003.0Y3W001</v>
          </cell>
          <cell r="I16878" t="str">
            <v>3 YD 3X WK 1</v>
          </cell>
        </row>
        <row r="16879">
          <cell r="H16879" t="str">
            <v>FL003.0Y5W001</v>
          </cell>
          <cell r="I16879" t="str">
            <v>3 YD 5X WK 1</v>
          </cell>
        </row>
        <row r="16880">
          <cell r="H16880" t="str">
            <v>FL004.0Y1W001</v>
          </cell>
          <cell r="I16880" t="str">
            <v>4 YD 1X WK 1</v>
          </cell>
        </row>
        <row r="16881">
          <cell r="H16881" t="str">
            <v>FL004.0Y2W001</v>
          </cell>
          <cell r="I16881" t="str">
            <v>4 YD 2X WK 1</v>
          </cell>
        </row>
        <row r="16882">
          <cell r="H16882" t="str">
            <v>FL004.0Y2W001CMP</v>
          </cell>
          <cell r="I16882" t="str">
            <v>4 YD 2X WK COMP 1</v>
          </cell>
        </row>
        <row r="16883">
          <cell r="H16883" t="str">
            <v>FL004.0Y3W001</v>
          </cell>
          <cell r="I16883" t="str">
            <v>4 YD 3X WK 1</v>
          </cell>
        </row>
        <row r="16884">
          <cell r="H16884" t="str">
            <v>FL004.0Y4W001</v>
          </cell>
          <cell r="I16884" t="str">
            <v>4 YD 4X WK 1</v>
          </cell>
        </row>
        <row r="16885">
          <cell r="H16885" t="str">
            <v>FL004.0Y5W001</v>
          </cell>
          <cell r="I16885" t="str">
            <v>4 YD 5X WK 1</v>
          </cell>
        </row>
        <row r="16886">
          <cell r="H16886" t="str">
            <v>FL006.0Y1W001</v>
          </cell>
          <cell r="I16886" t="str">
            <v>6 YD 1X WK 1</v>
          </cell>
        </row>
        <row r="16887">
          <cell r="H16887" t="str">
            <v>FL006.0Y2W001</v>
          </cell>
          <cell r="I16887" t="str">
            <v>6 YD 2X WK 1</v>
          </cell>
        </row>
        <row r="16888">
          <cell r="H16888" t="str">
            <v>FL006.0Y2W001CMP</v>
          </cell>
          <cell r="I16888" t="str">
            <v>6 YD 2X WK COMP 1</v>
          </cell>
        </row>
        <row r="16889">
          <cell r="H16889" t="str">
            <v>FL006.0Y3W001</v>
          </cell>
          <cell r="I16889" t="str">
            <v>6 YD 3X WK 1</v>
          </cell>
        </row>
        <row r="16890">
          <cell r="H16890" t="str">
            <v>FL006.0Y4W001</v>
          </cell>
          <cell r="I16890" t="str">
            <v>6 YD 4X WK 1</v>
          </cell>
        </row>
        <row r="16891">
          <cell r="H16891" t="str">
            <v>FL006.0Y5W001</v>
          </cell>
          <cell r="I16891" t="str">
            <v>6 YD 5X WK 1</v>
          </cell>
        </row>
        <row r="16892">
          <cell r="H16892" t="str">
            <v>GWCOMM</v>
          </cell>
          <cell r="I16892" t="str">
            <v>GREENWASTE SERVICE - COMM</v>
          </cell>
        </row>
        <row r="16893">
          <cell r="H16893" t="str">
            <v>RL032.0G1W001WRECC</v>
          </cell>
          <cell r="I16893" t="str">
            <v>32 GL 1X WK W/RECY COMM 1</v>
          </cell>
        </row>
        <row r="16894">
          <cell r="H16894" t="str">
            <v>ROLL-COMM</v>
          </cell>
          <cell r="I16894" t="str">
            <v>ROLL OUT CHARGE - COMM</v>
          </cell>
        </row>
        <row r="16895">
          <cell r="H16895" t="str">
            <v>SL065.0G1M001NORECC</v>
          </cell>
          <cell r="I16895" t="str">
            <v xml:space="preserve">65 GL 1X MO NO RECY COMM </v>
          </cell>
        </row>
        <row r="16896">
          <cell r="H16896" t="str">
            <v>SL065.0G1W001NORECC</v>
          </cell>
          <cell r="I16896" t="str">
            <v xml:space="preserve">65 GL 1X WK NO RECY COMM </v>
          </cell>
        </row>
        <row r="16897">
          <cell r="H16897" t="str">
            <v>SL065.0G1W001WRECC</v>
          </cell>
          <cell r="I16897" t="str">
            <v>65 GL 1X WK W/RECY COMM 1</v>
          </cell>
        </row>
        <row r="16898">
          <cell r="H16898" t="str">
            <v>SL065.0GEO001NORECC</v>
          </cell>
          <cell r="I16898" t="str">
            <v>65 GL EOW NO RECY COMM 1</v>
          </cell>
        </row>
        <row r="16899">
          <cell r="H16899" t="str">
            <v>SL065.0GEO001WRECC</v>
          </cell>
          <cell r="I16899" t="str">
            <v>65 GL EOW W/RECY COMM 1</v>
          </cell>
        </row>
        <row r="16900">
          <cell r="H16900" t="str">
            <v>SL095.0G1W001NORECC</v>
          </cell>
          <cell r="I16900" t="str">
            <v xml:space="preserve">95 GL 1X WK NO RECY COMM </v>
          </cell>
        </row>
        <row r="16901">
          <cell r="H16901" t="str">
            <v>SL095.0G1W001WRECC</v>
          </cell>
          <cell r="I16901" t="str">
            <v>95 GL 1X WK W/RECY COMM 1</v>
          </cell>
        </row>
        <row r="16902">
          <cell r="H16902" t="str">
            <v>SL095.0GEO001NORECC</v>
          </cell>
          <cell r="I16902" t="str">
            <v>95 GL EOW NO RECY COMM 1</v>
          </cell>
        </row>
        <row r="16903">
          <cell r="H16903" t="str">
            <v>SL095.0GEO001WRECC</v>
          </cell>
          <cell r="I16903" t="str">
            <v>95 GL EOW W/RECY COMM 1</v>
          </cell>
        </row>
        <row r="16904">
          <cell r="H16904" t="str">
            <v>WI1-COMM</v>
          </cell>
          <cell r="I16904" t="str">
            <v>WALK IN 6-25' - COMM</v>
          </cell>
        </row>
        <row r="16905">
          <cell r="H16905" t="str">
            <v>WI2-COMM</v>
          </cell>
          <cell r="I16905" t="str">
            <v>WALK IN 26-50' - COMM</v>
          </cell>
        </row>
        <row r="16906">
          <cell r="H16906" t="str">
            <v>ACCESS-COMM</v>
          </cell>
          <cell r="I16906" t="str">
            <v>ACCESS FEE - COMM</v>
          </cell>
        </row>
        <row r="16907">
          <cell r="H16907" t="str">
            <v>BULKY-COMM</v>
          </cell>
          <cell r="I16907" t="str">
            <v>BULKY ITEM PICK UP - COMM</v>
          </cell>
        </row>
        <row r="16908">
          <cell r="H16908" t="str">
            <v>CANCOUNT-COMM</v>
          </cell>
          <cell r="I16908" t="str">
            <v>CAN COUNT - COMM</v>
          </cell>
        </row>
        <row r="16909">
          <cell r="H16909" t="str">
            <v>CLEAN2-COMM</v>
          </cell>
          <cell r="I16909" t="str">
            <v>CLEANING FEE 2 YD - COMM</v>
          </cell>
        </row>
        <row r="16910">
          <cell r="H16910" t="str">
            <v>DEL2TEMP-COMM</v>
          </cell>
          <cell r="I16910" t="str">
            <v xml:space="preserve">DELIVERY FEE 2 YD TEMP - </v>
          </cell>
        </row>
        <row r="16911">
          <cell r="H16911" t="str">
            <v>DEL6TEMP-COMM</v>
          </cell>
          <cell r="I16911" t="str">
            <v xml:space="preserve">DELIVERY FEE 6 YD TEMP - </v>
          </cell>
        </row>
        <row r="16912">
          <cell r="H16912" t="str">
            <v>EXTRAGRAD1-COMM</v>
          </cell>
          <cell r="I16912" t="str">
            <v>EXTRAS GRADUATED 1-2 - COMM</v>
          </cell>
        </row>
        <row r="16913">
          <cell r="H16913" t="str">
            <v>EXTRAGRAD2-COMM</v>
          </cell>
          <cell r="I16913" t="str">
            <v>EXTRAS GRADUATED 3+ - COMM</v>
          </cell>
        </row>
        <row r="16914">
          <cell r="H16914" t="str">
            <v>EXTRAYDG-COM</v>
          </cell>
          <cell r="I16914" t="str">
            <v>EXTRA YARDAGE - COMM</v>
          </cell>
        </row>
        <row r="16915">
          <cell r="H16915" t="str">
            <v>FL002.0Y2W001</v>
          </cell>
          <cell r="I16915" t="str">
            <v>2 YD 2X WK 1</v>
          </cell>
        </row>
        <row r="16916">
          <cell r="H16916" t="str">
            <v>FL002.0YXX001TEMPC</v>
          </cell>
          <cell r="I16916" t="str">
            <v xml:space="preserve">2 YD TEMP </v>
          </cell>
        </row>
        <row r="16917">
          <cell r="H16917" t="str">
            <v>FL006.0Y3W001</v>
          </cell>
          <cell r="I16917" t="str">
            <v>6 YD 3X WK 1</v>
          </cell>
        </row>
        <row r="16918">
          <cell r="H16918" t="str">
            <v>GWCOMM</v>
          </cell>
          <cell r="I16918" t="str">
            <v>GREENWASTE SERVICE - COMM</v>
          </cell>
        </row>
        <row r="16919">
          <cell r="H16919" t="str">
            <v>REDEL-COMM</v>
          </cell>
          <cell r="I16919" t="str">
            <v>REDELIVER FEE LVL 1 - COM</v>
          </cell>
        </row>
        <row r="16920">
          <cell r="H16920" t="str">
            <v>REINSTATE-COMM</v>
          </cell>
          <cell r="I16920" t="str">
            <v>REINSTATE FEE - COMM</v>
          </cell>
        </row>
        <row r="16921">
          <cell r="H16921" t="str">
            <v>RENT2TEMP-COMM</v>
          </cell>
          <cell r="I16921" t="str">
            <v>RENT 2 YD TEMP - COMM</v>
          </cell>
        </row>
        <row r="16922">
          <cell r="H16922" t="str">
            <v>RENT6TEMP-COMM</v>
          </cell>
          <cell r="I16922" t="str">
            <v>RENT 6 YD TEMP - COMM</v>
          </cell>
        </row>
        <row r="16923">
          <cell r="H16923" t="str">
            <v>RTRNTRIP-COMM</v>
          </cell>
          <cell r="I16923" t="str">
            <v>RETURN TRIP FEE - COMM</v>
          </cell>
        </row>
        <row r="16924">
          <cell r="H16924" t="str">
            <v>SL065.0GEO001WRECC</v>
          </cell>
          <cell r="I16924" t="str">
            <v>65 GL EOW W/RECY COMM 1</v>
          </cell>
        </row>
        <row r="16925">
          <cell r="H16925" t="str">
            <v>SP-COMM</v>
          </cell>
          <cell r="I16925" t="str">
            <v>SPECIAL HAUL - COMM</v>
          </cell>
        </row>
        <row r="16926">
          <cell r="H16926" t="str">
            <v>SP1-COMM</v>
          </cell>
          <cell r="I16926" t="str">
            <v>SPECIAL PICK UP 1 YD - CO</v>
          </cell>
        </row>
        <row r="16927">
          <cell r="H16927" t="str">
            <v>SP1.5-COMM</v>
          </cell>
          <cell r="I16927" t="str">
            <v xml:space="preserve">SPECIAL PICK UP 1.5 YD - </v>
          </cell>
        </row>
        <row r="16928">
          <cell r="H16928" t="str">
            <v>SP2-COMM</v>
          </cell>
          <cell r="I16928" t="str">
            <v>SPECIAL PICK UP 2 YD - CO</v>
          </cell>
        </row>
        <row r="16929">
          <cell r="H16929" t="str">
            <v>SP3-COMM</v>
          </cell>
          <cell r="I16929" t="str">
            <v>SPECIAL PICK UP 3 YD - CO</v>
          </cell>
        </row>
        <row r="16930">
          <cell r="H16930" t="str">
            <v>SP4-COMM</v>
          </cell>
          <cell r="I16930" t="str">
            <v>SPECIAL PICK UP 4 YD - CO</v>
          </cell>
        </row>
        <row r="16931">
          <cell r="H16931" t="str">
            <v>SP6-COMM</v>
          </cell>
          <cell r="I16931" t="str">
            <v>SPECIAL PICK UP 6 YD - CO</v>
          </cell>
        </row>
        <row r="16932">
          <cell r="H16932" t="str">
            <v>SPADD-COMM</v>
          </cell>
          <cell r="I16932" t="str">
            <v>SPECIAL ADDL UNIT - COMM</v>
          </cell>
        </row>
        <row r="16933">
          <cell r="H16933" t="str">
            <v>ACCESSCREC-COMM</v>
          </cell>
          <cell r="I16933" t="str">
            <v>ACCESS FEE COMM RECY - CO</v>
          </cell>
        </row>
        <row r="16934">
          <cell r="H16934" t="str">
            <v>FL002.0Y1W001BCMGL</v>
          </cell>
          <cell r="I16934" t="str">
            <v>2 YD 1X WK BUS CMGL 1</v>
          </cell>
        </row>
        <row r="16935">
          <cell r="H16935" t="str">
            <v>FL002.0Y1W001BOCC</v>
          </cell>
          <cell r="I16935" t="str">
            <v>2 YD 1X WK BUS OCC 1</v>
          </cell>
        </row>
        <row r="16936">
          <cell r="H16936" t="str">
            <v>FL002.0Y1W001SCMGL</v>
          </cell>
          <cell r="I16936" t="str">
            <v>2 YD 1X WK SCHL CMGL 1</v>
          </cell>
        </row>
        <row r="16937">
          <cell r="H16937" t="str">
            <v>FL002.0Y1W001SOCC</v>
          </cell>
          <cell r="I16937" t="str">
            <v>2 YD 1X WK SCHOOL OCC</v>
          </cell>
        </row>
        <row r="16938">
          <cell r="H16938" t="str">
            <v>FL002.0Y2W001BCMGL</v>
          </cell>
          <cell r="I16938" t="str">
            <v>2 YD 2X WK BUS CMGL 1</v>
          </cell>
        </row>
        <row r="16939">
          <cell r="H16939" t="str">
            <v>FL002.0Y2W001BOCC</v>
          </cell>
          <cell r="I16939" t="str">
            <v>2 YD 2X WK BUS OCC 1</v>
          </cell>
        </row>
        <row r="16940">
          <cell r="H16940" t="str">
            <v>FL002.0Y2W001SOCC</v>
          </cell>
          <cell r="I16940" t="str">
            <v>2 YD 2X WK SCHOOL OCC</v>
          </cell>
        </row>
        <row r="16941">
          <cell r="H16941" t="str">
            <v>FL002.0Y3W001BOCC</v>
          </cell>
          <cell r="I16941" t="str">
            <v>2 YD 3X WK BUS OCC 1</v>
          </cell>
        </row>
        <row r="16942">
          <cell r="H16942" t="str">
            <v>FL004.0Y1W001CMGL</v>
          </cell>
          <cell r="I16942" t="str">
            <v>4 YD 1X WK BUS CMGL 1</v>
          </cell>
        </row>
        <row r="16943">
          <cell r="H16943" t="str">
            <v>FL004.0Y2W001CMGL</v>
          </cell>
          <cell r="I16943" t="str">
            <v>4 YD 2X WK BUS CMGL 1</v>
          </cell>
        </row>
        <row r="16944">
          <cell r="H16944" t="str">
            <v>FL004.0Y3W001BCMGL</v>
          </cell>
          <cell r="I16944" t="str">
            <v>4 YD 3X WK BUS CMGL 1</v>
          </cell>
        </row>
        <row r="16945">
          <cell r="H16945" t="str">
            <v>FL005.0Y1W001BOCC</v>
          </cell>
          <cell r="I16945" t="str">
            <v>5 YD 1X WK BUS OCC 1</v>
          </cell>
        </row>
        <row r="16946">
          <cell r="H16946" t="str">
            <v>FL005.0Y1W001SOCC</v>
          </cell>
          <cell r="I16946" t="str">
            <v>5 YD 1X WK SCHOOL OCC</v>
          </cell>
        </row>
        <row r="16947">
          <cell r="H16947" t="str">
            <v>FL005.0Y2W001BOCC</v>
          </cell>
          <cell r="I16947" t="str">
            <v>5 YD 2X WK BUS OCC 1</v>
          </cell>
        </row>
        <row r="16948">
          <cell r="H16948" t="str">
            <v>FL005.0Y2W001SOCC</v>
          </cell>
          <cell r="I16948" t="str">
            <v>5 YD 2X WK SCHOOL OCC</v>
          </cell>
        </row>
        <row r="16949">
          <cell r="H16949" t="str">
            <v>FL005.0Y3W001BOCC</v>
          </cell>
          <cell r="I16949" t="str">
            <v>5 YD 3X WK BUS OCC 1</v>
          </cell>
        </row>
        <row r="16950">
          <cell r="H16950" t="str">
            <v>FL005.0Y4W001BOCC</v>
          </cell>
          <cell r="I16950" t="str">
            <v>5 YD 4X WK BUS OCC 1</v>
          </cell>
        </row>
        <row r="16951">
          <cell r="H16951" t="str">
            <v>FL005.0Y5W001BOCC</v>
          </cell>
          <cell r="I16951" t="str">
            <v>5 YD 5X WK BUS OCC 1</v>
          </cell>
        </row>
        <row r="16952">
          <cell r="H16952" t="str">
            <v>FL006.0Y1W001BCMGL</v>
          </cell>
          <cell r="I16952" t="str">
            <v>6 YD 1X WK BUS COMINGLE 1</v>
          </cell>
        </row>
        <row r="16953">
          <cell r="H16953" t="str">
            <v>FL006.0Y2W001BCMGL</v>
          </cell>
          <cell r="I16953" t="str">
            <v>6 YD 2X WK BUS COMINGLE 1</v>
          </cell>
        </row>
        <row r="16954">
          <cell r="H16954" t="str">
            <v>FL006.0Y3W001BCMGL</v>
          </cell>
          <cell r="I16954" t="str">
            <v>6 YD 3X WK BUS CMGL 1</v>
          </cell>
        </row>
        <row r="16955">
          <cell r="H16955" t="str">
            <v>FL006.0Y4W001BCMGL</v>
          </cell>
          <cell r="I16955" t="str">
            <v>6 YD 4X WK BUS CMGL 1</v>
          </cell>
        </row>
        <row r="16956">
          <cell r="H16956" t="str">
            <v>MFNBINS</v>
          </cell>
          <cell r="I16956" t="str">
            <v>MULTI-FAMILY REC UNIT N/B</v>
          </cell>
        </row>
        <row r="16957">
          <cell r="H16957" t="str">
            <v>MFWBINS</v>
          </cell>
          <cell r="I16957" t="str">
            <v>MULTI-FAMILY REC UNIT W/B</v>
          </cell>
        </row>
        <row r="16958">
          <cell r="H16958" t="str">
            <v>RENTRECCNT-COMM</v>
          </cell>
          <cell r="I16958" t="str">
            <v>RENTAL FEE RECYCLE CONTAI</v>
          </cell>
        </row>
        <row r="16959">
          <cell r="H16959" t="str">
            <v>ROLL-REC</v>
          </cell>
          <cell r="I16959" t="str">
            <v>ROLL OUT CHARGE - RECYCLI</v>
          </cell>
        </row>
        <row r="16960">
          <cell r="H16960" t="str">
            <v>SL064.0G1M001BCMGLOUT</v>
          </cell>
          <cell r="I16960" t="str">
            <v>64 GL MTHLY BUS CMGL OUT</v>
          </cell>
        </row>
        <row r="16961">
          <cell r="H16961" t="str">
            <v>SL064.0G1W001BCMGLOUT</v>
          </cell>
          <cell r="I16961" t="str">
            <v>64 GL WKLY BUS CMGL OUT</v>
          </cell>
        </row>
        <row r="16962">
          <cell r="H16962" t="str">
            <v>SL064.0GEO001BCMGLOUT</v>
          </cell>
          <cell r="I16962" t="str">
            <v>64 GL EOW BUS CMGL OUT</v>
          </cell>
        </row>
        <row r="16963">
          <cell r="H16963" t="str">
            <v>SL096.0G1M001BCMGLOUT</v>
          </cell>
          <cell r="I16963" t="str">
            <v>96 GL MTHLY BUS CMGL OUT</v>
          </cell>
        </row>
        <row r="16964">
          <cell r="H16964" t="str">
            <v>SL096.0G1W001BCMGLIN</v>
          </cell>
          <cell r="I16964" t="str">
            <v>96 GL WKLY BUS CMGL IN</v>
          </cell>
        </row>
        <row r="16965">
          <cell r="H16965" t="str">
            <v>SL096.0G1W001BCMGLOUT</v>
          </cell>
          <cell r="I16965" t="str">
            <v>96 GL WKLY BUS CMGL OUT</v>
          </cell>
        </row>
        <row r="16966">
          <cell r="H16966" t="str">
            <v>SL096.0G1W001SCMGLOUT</v>
          </cell>
          <cell r="I16966" t="str">
            <v>96 GL WKLY SCHL CMGL OUT</v>
          </cell>
        </row>
        <row r="16967">
          <cell r="H16967" t="str">
            <v>SL096.0GEO001BCMGLIN</v>
          </cell>
          <cell r="I16967" t="str">
            <v>96 GL EOW BUS CMGL IN</v>
          </cell>
        </row>
        <row r="16968">
          <cell r="H16968" t="str">
            <v>SL096.0GEO001BCMGLOUT</v>
          </cell>
          <cell r="I16968" t="str">
            <v>96 GL EOW BUS CMGL OUT</v>
          </cell>
        </row>
        <row r="16969">
          <cell r="H16969" t="str">
            <v>SL096.0GEO001SCMGLOUT</v>
          </cell>
          <cell r="I16969" t="str">
            <v>96 GL EOW SCHL CMGL OUT</v>
          </cell>
        </row>
        <row r="16970">
          <cell r="H16970" t="str">
            <v>MFWBINS</v>
          </cell>
          <cell r="I16970" t="str">
            <v>MULTI-FAMILY REC UNIT W/B</v>
          </cell>
        </row>
        <row r="16971">
          <cell r="H16971" t="str">
            <v>SL096.0G1M001BCMGLIN</v>
          </cell>
          <cell r="I16971" t="str">
            <v>96 GL MTHLY BUS CMGL IN</v>
          </cell>
        </row>
        <row r="16972">
          <cell r="H16972" t="str">
            <v>SL096.0G1W001BCMGLIN</v>
          </cell>
          <cell r="I16972" t="str">
            <v>96 GL WKLY BUS CMGL IN</v>
          </cell>
        </row>
        <row r="16973">
          <cell r="H16973" t="str">
            <v>CC-KOL</v>
          </cell>
          <cell r="I16973" t="str">
            <v>ONLINE PAYMENT-CC</v>
          </cell>
        </row>
        <row r="16974">
          <cell r="H16974" t="str">
            <v>CCREF-KOL</v>
          </cell>
          <cell r="I16974" t="str">
            <v>CREDIT CARD REFUND</v>
          </cell>
        </row>
        <row r="16975">
          <cell r="H16975" t="str">
            <v>PAY</v>
          </cell>
          <cell r="I16975" t="str">
            <v>PAYMENT THANK YOU</v>
          </cell>
        </row>
        <row r="16976">
          <cell r="H16976" t="str">
            <v>PAY-CFREE</v>
          </cell>
          <cell r="I16976" t="str">
            <v>CHECKFREE PAYMENT</v>
          </cell>
        </row>
        <row r="16977">
          <cell r="H16977" t="str">
            <v>PAY-KOL</v>
          </cell>
          <cell r="I16977" t="str">
            <v>PAYMENT-THANK YOU - OL</v>
          </cell>
        </row>
        <row r="16978">
          <cell r="H16978" t="str">
            <v>PAY-ORCC</v>
          </cell>
          <cell r="I16978" t="str">
            <v>ORCC PAYMENT</v>
          </cell>
        </row>
        <row r="16979">
          <cell r="H16979" t="str">
            <v>PAY-RPPS</v>
          </cell>
          <cell r="I16979" t="str">
            <v>RPPS MASTERCARD PAYMENT</v>
          </cell>
        </row>
        <row r="16980">
          <cell r="H16980" t="str">
            <v>PAYL</v>
          </cell>
          <cell r="I16980" t="str">
            <v>PAYMENT THANK YOU</v>
          </cell>
        </row>
        <row r="16981">
          <cell r="H16981" t="str">
            <v>PAYMET</v>
          </cell>
          <cell r="I16981" t="str">
            <v>METAVANTE ONLINE PAYMENT</v>
          </cell>
        </row>
        <row r="16982">
          <cell r="H16982" t="str">
            <v>PAYUSBL</v>
          </cell>
          <cell r="I16982" t="str">
            <v>PAYMENT THANK YOU</v>
          </cell>
        </row>
        <row r="16983">
          <cell r="H16983" t="str">
            <v>RET-KOL</v>
          </cell>
          <cell r="I16983" t="str">
            <v>ONLINE PAYMENT RETURN</v>
          </cell>
        </row>
        <row r="16984">
          <cell r="H16984" t="str">
            <v>CC-KOL</v>
          </cell>
          <cell r="I16984" t="str">
            <v>ONLINE PAYMENT-CC</v>
          </cell>
        </row>
        <row r="16985">
          <cell r="H16985" t="str">
            <v>CCREF-KOL</v>
          </cell>
          <cell r="I16985" t="str">
            <v>CREDIT CARD REFUND</v>
          </cell>
        </row>
        <row r="16986">
          <cell r="H16986" t="str">
            <v>PAY</v>
          </cell>
          <cell r="I16986" t="str">
            <v>PAYMENT THANK YOU</v>
          </cell>
        </row>
        <row r="16987">
          <cell r="H16987" t="str">
            <v>PAY-CFREE</v>
          </cell>
          <cell r="I16987" t="str">
            <v>CHECKFREE PAYMENT</v>
          </cell>
        </row>
        <row r="16988">
          <cell r="H16988" t="str">
            <v>PAY-KOL</v>
          </cell>
          <cell r="I16988" t="str">
            <v>PAYMENT-THANK YOU - OL</v>
          </cell>
        </row>
        <row r="16989">
          <cell r="H16989" t="str">
            <v>PAY-ORCC</v>
          </cell>
          <cell r="I16989" t="str">
            <v>ORCC PAYMENT</v>
          </cell>
        </row>
        <row r="16990">
          <cell r="H16990" t="str">
            <v>PAY-RPPS</v>
          </cell>
          <cell r="I16990" t="str">
            <v>RPPS MASTERCARD PAYMENT</v>
          </cell>
        </row>
        <row r="16991">
          <cell r="H16991" t="str">
            <v>PAYL</v>
          </cell>
          <cell r="I16991" t="str">
            <v>PAYMENT THANK YOU</v>
          </cell>
        </row>
        <row r="16992">
          <cell r="H16992" t="str">
            <v>PAYMET</v>
          </cell>
          <cell r="I16992" t="str">
            <v>METAVANTE ONLINE PAYMENT</v>
          </cell>
        </row>
        <row r="16993">
          <cell r="H16993" t="str">
            <v>PAYUSBL</v>
          </cell>
          <cell r="I16993" t="str">
            <v>PAYMENT THANK YOU</v>
          </cell>
        </row>
        <row r="16994">
          <cell r="H16994" t="str">
            <v>RET-KOL</v>
          </cell>
          <cell r="I16994" t="str">
            <v>ONLINE PAYMENT RETURN</v>
          </cell>
        </row>
        <row r="16995">
          <cell r="H16995" t="str">
            <v>CC-KOL</v>
          </cell>
          <cell r="I16995" t="str">
            <v>ONLINE PAYMENT-CC</v>
          </cell>
        </row>
        <row r="16996">
          <cell r="H16996" t="str">
            <v>CCREF-KOL</v>
          </cell>
          <cell r="I16996" t="str">
            <v>CREDIT CARD REFUND</v>
          </cell>
        </row>
        <row r="16997">
          <cell r="H16997" t="str">
            <v>PAY</v>
          </cell>
          <cell r="I16997" t="str">
            <v>PAYMENT THANK YOU</v>
          </cell>
        </row>
        <row r="16998">
          <cell r="H16998" t="str">
            <v>PAY-CFREE</v>
          </cell>
          <cell r="I16998" t="str">
            <v>CHECKFREE PAYMENT</v>
          </cell>
        </row>
        <row r="16999">
          <cell r="H16999" t="str">
            <v>PAY-KOL</v>
          </cell>
          <cell r="I16999" t="str">
            <v>PAYMENT-THANK YOU - OL</v>
          </cell>
        </row>
        <row r="17000">
          <cell r="H17000" t="str">
            <v>PAY-NATL</v>
          </cell>
          <cell r="I17000" t="str">
            <v>PAYMENT THANK YOU</v>
          </cell>
        </row>
        <row r="17001">
          <cell r="H17001" t="str">
            <v>PAY-OAK</v>
          </cell>
          <cell r="I17001" t="str">
            <v>OAKLEAF PAYMENT</v>
          </cell>
        </row>
        <row r="17002">
          <cell r="H17002" t="str">
            <v>PAY-ORCC</v>
          </cell>
          <cell r="I17002" t="str">
            <v>ORCC PAYMENT</v>
          </cell>
        </row>
        <row r="17003">
          <cell r="H17003" t="str">
            <v>PAY-RPPS</v>
          </cell>
          <cell r="I17003" t="str">
            <v>RPPS MASTERCARD PAYMENT</v>
          </cell>
        </row>
        <row r="17004">
          <cell r="H17004" t="str">
            <v>PAYEFT</v>
          </cell>
          <cell r="I17004" t="str">
            <v>EFT PAYMENT</v>
          </cell>
        </row>
        <row r="17005">
          <cell r="H17005" t="str">
            <v>PAYICLRI</v>
          </cell>
          <cell r="I17005" t="str">
            <v>PAYMENT THANK YOU</v>
          </cell>
        </row>
        <row r="17006">
          <cell r="H17006" t="str">
            <v>PAYICT</v>
          </cell>
          <cell r="I17006" t="str">
            <v>I/C PAYMENT THANK YOU</v>
          </cell>
        </row>
        <row r="17007">
          <cell r="H17007" t="str">
            <v>PAYL</v>
          </cell>
          <cell r="I17007" t="str">
            <v>PAYMENT THANK YOU</v>
          </cell>
        </row>
        <row r="17008">
          <cell r="H17008" t="str">
            <v>PAYMET</v>
          </cell>
          <cell r="I17008" t="str">
            <v>METAVANTE ONLINE PAYMENT</v>
          </cell>
        </row>
        <row r="17009">
          <cell r="H17009" t="str">
            <v>PAYUSBL</v>
          </cell>
          <cell r="I17009" t="str">
            <v>PAYMENT THANK YOU</v>
          </cell>
        </row>
        <row r="17010">
          <cell r="H17010" t="str">
            <v>RET-KOL</v>
          </cell>
          <cell r="I17010" t="str">
            <v>ONLINE PAYMENT RETURN</v>
          </cell>
        </row>
        <row r="17011">
          <cell r="H17011" t="str">
            <v>CC-KOL</v>
          </cell>
          <cell r="I17011" t="str">
            <v>ONLINE PAYMENT-CC</v>
          </cell>
        </row>
        <row r="17012">
          <cell r="H17012" t="str">
            <v>PAYUSBL</v>
          </cell>
          <cell r="I17012" t="str">
            <v>PAYMENT THANK YOU</v>
          </cell>
        </row>
        <row r="17013">
          <cell r="H17013" t="str">
            <v>DRIVEIN-RES</v>
          </cell>
          <cell r="I17013" t="str">
            <v>DRIVE IN SERVICE - RES</v>
          </cell>
        </row>
        <row r="17014">
          <cell r="H17014" t="str">
            <v>GWRES</v>
          </cell>
          <cell r="I17014" t="str">
            <v>GREENWASTE SERVICE - RES</v>
          </cell>
        </row>
        <row r="17015">
          <cell r="H17015" t="str">
            <v>RECBINONLYR</v>
          </cell>
          <cell r="I17015" t="str">
            <v>RECYCLE SERVICE ONLY</v>
          </cell>
        </row>
        <row r="17016">
          <cell r="H17016" t="str">
            <v>SL035.0G1M001WREC</v>
          </cell>
          <cell r="I17016" t="str">
            <v>35 GL 1X MO W/RECY 1</v>
          </cell>
        </row>
        <row r="17017">
          <cell r="H17017" t="str">
            <v>SL035.0G1W001WREC</v>
          </cell>
          <cell r="I17017" t="str">
            <v>35 GL 1X WK W/ RECY 1</v>
          </cell>
        </row>
        <row r="17018">
          <cell r="H17018" t="str">
            <v>SL065.0G1M001WREC</v>
          </cell>
          <cell r="I17018" t="str">
            <v>65 GL 1X MO W/RECY 1</v>
          </cell>
        </row>
        <row r="17019">
          <cell r="H17019" t="str">
            <v>SL065.0G1W001WREC</v>
          </cell>
          <cell r="I17019" t="str">
            <v>65 GL 1X WK W/RECY 1</v>
          </cell>
        </row>
        <row r="17020">
          <cell r="H17020" t="str">
            <v>SL065.0GEO001NOREC</v>
          </cell>
          <cell r="I17020" t="str">
            <v>65 GL EOW NO RECY 1</v>
          </cell>
        </row>
        <row r="17021">
          <cell r="H17021" t="str">
            <v>SL065.0GEO001WREC</v>
          </cell>
          <cell r="I17021" t="str">
            <v>65 GL EOW W/RECY 1</v>
          </cell>
        </row>
        <row r="17022">
          <cell r="H17022" t="str">
            <v>SL095.0G1W001NOREC</v>
          </cell>
          <cell r="I17022" t="str">
            <v>95 GL 1X WK NO RECY 1</v>
          </cell>
        </row>
        <row r="17023">
          <cell r="H17023" t="str">
            <v>SL095.0G1W001WREC</v>
          </cell>
          <cell r="I17023" t="str">
            <v>95 GL 1X WK W/RECY 1</v>
          </cell>
        </row>
        <row r="17024">
          <cell r="H17024" t="str">
            <v>SL095.0GEO001WREC</v>
          </cell>
          <cell r="I17024" t="str">
            <v>95 GL EOW W/RECY 1</v>
          </cell>
        </row>
        <row r="17025">
          <cell r="H17025" t="str">
            <v>WI1-RES</v>
          </cell>
          <cell r="I17025" t="str">
            <v>WALK IN 6-25' - RES</v>
          </cell>
        </row>
        <row r="17026">
          <cell r="H17026" t="str">
            <v>BULKY-RES</v>
          </cell>
          <cell r="I17026" t="str">
            <v>BULKY ITEM PICK UP - RES</v>
          </cell>
        </row>
        <row r="17027">
          <cell r="H17027" t="str">
            <v>EP96GWC-RES</v>
          </cell>
          <cell r="I17027" t="str">
            <v>EXTRA PICK UP 96 GW - RES</v>
          </cell>
        </row>
        <row r="17028">
          <cell r="H17028" t="str">
            <v>EXTRA-RES</v>
          </cell>
          <cell r="I17028" t="str">
            <v>EXTRA CAN, BAG, BOX - RES</v>
          </cell>
        </row>
        <row r="17029">
          <cell r="H17029" t="str">
            <v>EXTRAGRAD1-RES</v>
          </cell>
          <cell r="I17029" t="str">
            <v>EXTRAS GRADUATED 1-2 - RES</v>
          </cell>
        </row>
        <row r="17030">
          <cell r="H17030" t="str">
            <v>EXTRAGRAD2-RES</v>
          </cell>
          <cell r="I17030" t="str">
            <v>EXTRAS GRADUATED 3+ - RES</v>
          </cell>
        </row>
        <row r="17031">
          <cell r="H17031" t="str">
            <v>EXTRAGWC-RES</v>
          </cell>
          <cell r="I17031" t="str">
            <v>EXTRA GREENWASTE FEE - RE</v>
          </cell>
        </row>
        <row r="17032">
          <cell r="H17032" t="str">
            <v>GWRES</v>
          </cell>
          <cell r="I17032" t="str">
            <v>GREENWASTE SERVICE - RES</v>
          </cell>
        </row>
        <row r="17033">
          <cell r="H17033" t="str">
            <v>OW-RES</v>
          </cell>
          <cell r="I17033" t="str">
            <v>OVERFILL / OVERWEIGHT CAN</v>
          </cell>
        </row>
        <row r="17034">
          <cell r="H17034" t="str">
            <v>REINSTATE-RES</v>
          </cell>
          <cell r="I17034" t="str">
            <v>REINSTATE FEE - RES</v>
          </cell>
        </row>
        <row r="17035">
          <cell r="H17035" t="str">
            <v>RTRNCART-RES</v>
          </cell>
          <cell r="I17035" t="str">
            <v>RETURN TRIP FEE CART - RE</v>
          </cell>
        </row>
        <row r="17036">
          <cell r="H17036" t="str">
            <v>RTRNCART65-RES</v>
          </cell>
          <cell r="I17036" t="str">
            <v>RETURN TRIP 65 GL - RES</v>
          </cell>
        </row>
        <row r="17037">
          <cell r="H17037" t="str">
            <v>RTRNCART95-RES</v>
          </cell>
          <cell r="I17037" t="str">
            <v>RETURN TRIP 95 GL - RES</v>
          </cell>
        </row>
        <row r="17038">
          <cell r="H17038" t="str">
            <v>RTRNCART96REC-RES</v>
          </cell>
          <cell r="I17038" t="str">
            <v>RETURN TRIP 96 GL REC - RES</v>
          </cell>
        </row>
        <row r="17039">
          <cell r="H17039" t="str">
            <v>SL035.0G1W001WREC</v>
          </cell>
          <cell r="I17039" t="str">
            <v>35 GL 1X WK W/ RECY 1</v>
          </cell>
        </row>
        <row r="17040">
          <cell r="H17040" t="str">
            <v>SL065.0G1W001WREC</v>
          </cell>
          <cell r="I17040" t="str">
            <v>65 GL 1X WK W/RECY 1</v>
          </cell>
        </row>
        <row r="17041">
          <cell r="H17041" t="str">
            <v>SL065.0GEO001WREC</v>
          </cell>
          <cell r="I17041" t="str">
            <v>65 GL EOW W/RECY 1</v>
          </cell>
        </row>
        <row r="17042">
          <cell r="H17042" t="str">
            <v>SL095.0G1W001WREC</v>
          </cell>
          <cell r="I17042" t="str">
            <v>95 GL 1X WK W/RECY 1</v>
          </cell>
        </row>
        <row r="17043">
          <cell r="H17043" t="str">
            <v>SPGRAD1-RES</v>
          </cell>
          <cell r="I17043" t="str">
            <v>SPECIAL GRADUATED 1-2 - R</v>
          </cell>
        </row>
        <row r="17044">
          <cell r="H17044" t="str">
            <v>ACCESS-RES</v>
          </cell>
          <cell r="I17044" t="str">
            <v>ACCESS FEE - RES</v>
          </cell>
        </row>
        <row r="17045">
          <cell r="H17045" t="str">
            <v>DRIVEIN-RES</v>
          </cell>
          <cell r="I17045" t="str">
            <v>DRIVE IN SERVICE - RES</v>
          </cell>
        </row>
        <row r="17046">
          <cell r="H17046" t="str">
            <v>DRIVEIN1-RES</v>
          </cell>
          <cell r="I17046" t="str">
            <v>DRIVE IN 1 - RES</v>
          </cell>
        </row>
        <row r="17047">
          <cell r="H17047" t="str">
            <v>DRIVEIN2-RES</v>
          </cell>
          <cell r="I17047" t="str">
            <v>DRIVE IN 2 - RES</v>
          </cell>
        </row>
        <row r="17048">
          <cell r="H17048" t="str">
            <v>DRIVEIN4-RES</v>
          </cell>
          <cell r="I17048" t="str">
            <v>DRIVE IN 4 - RES</v>
          </cell>
        </row>
        <row r="17049">
          <cell r="H17049" t="str">
            <v>GWRES</v>
          </cell>
          <cell r="I17049" t="str">
            <v>GREENWASTE SERVICE - RES</v>
          </cell>
        </row>
        <row r="17050">
          <cell r="H17050" t="str">
            <v>GWSPCL-RES</v>
          </cell>
          <cell r="I17050" t="str">
            <v>GREENWASTE SEN/DIS - RES</v>
          </cell>
        </row>
        <row r="17051">
          <cell r="H17051" t="str">
            <v>RECBINONLYR</v>
          </cell>
          <cell r="I17051" t="str">
            <v>RECYCLE SERVICE ONLY</v>
          </cell>
        </row>
        <row r="17052">
          <cell r="H17052" t="str">
            <v>RECPROGADJ-RES</v>
          </cell>
          <cell r="I17052" t="str">
            <v>RECYCLING PROGRAM ADJUSTM</v>
          </cell>
        </row>
        <row r="17053">
          <cell r="H17053" t="str">
            <v>RECVALRES</v>
          </cell>
          <cell r="I17053" t="str">
            <v>RECYCLABLES VALUE - RES</v>
          </cell>
        </row>
        <row r="17054">
          <cell r="H17054" t="str">
            <v>RL020.0G1W001</v>
          </cell>
          <cell r="I17054" t="str">
            <v>20 GL 1X WK 1</v>
          </cell>
        </row>
        <row r="17055">
          <cell r="H17055" t="str">
            <v>RL032.0G1M001WRECSPCL</v>
          </cell>
          <cell r="I17055" t="str">
            <v>32 GL 1X MO S/D W/RECY</v>
          </cell>
        </row>
        <row r="17056">
          <cell r="H17056" t="str">
            <v>SL035.0G1M001WREC</v>
          </cell>
          <cell r="I17056" t="str">
            <v>35 GL 1X MO W/RECY 1</v>
          </cell>
        </row>
        <row r="17057">
          <cell r="H17057" t="str">
            <v>SL035.0G1W001NOREC</v>
          </cell>
          <cell r="I17057" t="str">
            <v>35 GL 1X WK NO RECY 1</v>
          </cell>
        </row>
        <row r="17058">
          <cell r="H17058" t="str">
            <v>SL035.0G1W001WREC</v>
          </cell>
          <cell r="I17058" t="str">
            <v>35 GL 1X WK W/ RECY 1</v>
          </cell>
        </row>
        <row r="17059">
          <cell r="H17059" t="str">
            <v>SL065.0G1M001NOREC</v>
          </cell>
          <cell r="I17059" t="str">
            <v>65 GL 1X MO NO RECY 1</v>
          </cell>
        </row>
        <row r="17060">
          <cell r="H17060" t="str">
            <v>SL065.0G1M001SPCLNOREC</v>
          </cell>
          <cell r="I17060" t="str">
            <v>65 GL 1X MO S/D NO REC 1</v>
          </cell>
        </row>
        <row r="17061">
          <cell r="H17061" t="str">
            <v>SL065.0G1M001WREC</v>
          </cell>
          <cell r="I17061" t="str">
            <v>65 GL 1X MO W/RECY 1</v>
          </cell>
        </row>
        <row r="17062">
          <cell r="H17062" t="str">
            <v>SL065.0G1M001WRECSPCL</v>
          </cell>
          <cell r="I17062" t="str">
            <v>65 GL 1X MO W/RECY S/D 1</v>
          </cell>
        </row>
        <row r="17063">
          <cell r="H17063" t="str">
            <v>SL065.0G1W001NOREC</v>
          </cell>
          <cell r="I17063" t="str">
            <v>65 GL 1X WK NO RECY 1</v>
          </cell>
        </row>
        <row r="17064">
          <cell r="H17064" t="str">
            <v>SL065.0G1W001SPCLWREC</v>
          </cell>
          <cell r="I17064" t="str">
            <v>65 GL 1X WK S/D W/REC 1</v>
          </cell>
        </row>
        <row r="17065">
          <cell r="H17065" t="str">
            <v>SL065.0G1W001WREC</v>
          </cell>
          <cell r="I17065" t="str">
            <v>65 GL 1X WK W/RECY 1</v>
          </cell>
        </row>
        <row r="17066">
          <cell r="H17066" t="str">
            <v>SL065.0GEO001NOREC</v>
          </cell>
          <cell r="I17066" t="str">
            <v>65 GL EOW NO RECY 1</v>
          </cell>
        </row>
        <row r="17067">
          <cell r="H17067" t="str">
            <v>SL065.0GEO001SPCLNOREC</v>
          </cell>
          <cell r="I17067" t="str">
            <v>65 GL EOW S/D NO RECY 1</v>
          </cell>
        </row>
        <row r="17068">
          <cell r="H17068" t="str">
            <v>SL065.0GEO001SPCLWREC</v>
          </cell>
          <cell r="I17068" t="str">
            <v>65 GL EOW S/D W/RECY 1</v>
          </cell>
        </row>
        <row r="17069">
          <cell r="H17069" t="str">
            <v>SL065.0GEO001WREC</v>
          </cell>
          <cell r="I17069" t="str">
            <v>65 GL EOW W/RECY 1</v>
          </cell>
        </row>
        <row r="17070">
          <cell r="H17070" t="str">
            <v>SL095.0G1M001WREC</v>
          </cell>
          <cell r="I17070" t="str">
            <v>95 GL 1X MO W/RECY 1</v>
          </cell>
        </row>
        <row r="17071">
          <cell r="H17071" t="str">
            <v>SL095.0G1W001NOREC</v>
          </cell>
          <cell r="I17071" t="str">
            <v>95 GL 1X WK NO RECY 1</v>
          </cell>
        </row>
        <row r="17072">
          <cell r="H17072" t="str">
            <v>SL095.0G1W001WREC</v>
          </cell>
          <cell r="I17072" t="str">
            <v>95 GL 1X WK W/RECY 1</v>
          </cell>
        </row>
        <row r="17073">
          <cell r="H17073" t="str">
            <v>SL095.0GEO001NOREC</v>
          </cell>
          <cell r="I17073" t="str">
            <v>95 GL EOW NO RECY 1</v>
          </cell>
        </row>
        <row r="17074">
          <cell r="H17074" t="str">
            <v>SL095.0GEO001SPCLWREC</v>
          </cell>
          <cell r="I17074" t="str">
            <v>95 GL EOW S/D W/RECY 1</v>
          </cell>
        </row>
        <row r="17075">
          <cell r="H17075" t="str">
            <v>SL095.0GEO001WREC</v>
          </cell>
          <cell r="I17075" t="str">
            <v>95 GL EOW W/RECY 1</v>
          </cell>
        </row>
        <row r="17076">
          <cell r="H17076" t="str">
            <v>WI1-RES</v>
          </cell>
          <cell r="I17076" t="str">
            <v>WALK IN 6-25' - RES</v>
          </cell>
        </row>
        <row r="17077">
          <cell r="H17077" t="str">
            <v>WI2-RES</v>
          </cell>
          <cell r="I17077" t="str">
            <v>WALK IN 26-50' - RES</v>
          </cell>
        </row>
        <row r="17078">
          <cell r="H17078" t="str">
            <v>BULKY-RES</v>
          </cell>
          <cell r="I17078" t="str">
            <v>BULKY ITEM PICK UP - RES</v>
          </cell>
        </row>
        <row r="17079">
          <cell r="H17079" t="str">
            <v>EP96GWC-RES</v>
          </cell>
          <cell r="I17079" t="str">
            <v>EXTRA PICK UP 96 GW - RES</v>
          </cell>
        </row>
        <row r="17080">
          <cell r="H17080" t="str">
            <v>EXTRA-RES</v>
          </cell>
          <cell r="I17080" t="str">
            <v>EXTRA CAN, BAG, BOX - RES</v>
          </cell>
        </row>
        <row r="17081">
          <cell r="H17081" t="str">
            <v>EXTRAGRAD1-RES</v>
          </cell>
          <cell r="I17081" t="str">
            <v>EXTRAS GRADUATED 1-2 - RES</v>
          </cell>
        </row>
        <row r="17082">
          <cell r="H17082" t="str">
            <v>EXTRAGRAD2-RES</v>
          </cell>
          <cell r="I17082" t="str">
            <v>EXTRAS GRADUATED 3+ - RES</v>
          </cell>
        </row>
        <row r="17083">
          <cell r="H17083" t="str">
            <v>EXTRAGWC-RES</v>
          </cell>
          <cell r="I17083" t="str">
            <v>EXTRA GREENWASTE FEE - RE</v>
          </cell>
        </row>
        <row r="17084">
          <cell r="H17084" t="str">
            <v>GWRES</v>
          </cell>
          <cell r="I17084" t="str">
            <v>GREENWASTE SERVICE - RES</v>
          </cell>
        </row>
        <row r="17085">
          <cell r="H17085" t="str">
            <v>OC-RES</v>
          </cell>
          <cell r="I17085" t="str">
            <v>ON CALL SERVICE - RES</v>
          </cell>
        </row>
        <row r="17086">
          <cell r="H17086" t="str">
            <v>OS-RES</v>
          </cell>
          <cell r="I17086" t="str">
            <v>OVERSIZE CAN - RES</v>
          </cell>
        </row>
        <row r="17087">
          <cell r="H17087" t="str">
            <v>OW-RES</v>
          </cell>
          <cell r="I17087" t="str">
            <v>OVERFILL / OVERWEIGHT CAN</v>
          </cell>
        </row>
        <row r="17088">
          <cell r="H17088" t="str">
            <v>REINSTATE-RES</v>
          </cell>
          <cell r="I17088" t="str">
            <v>REINSTATE FEE - RES</v>
          </cell>
        </row>
        <row r="17089">
          <cell r="H17089" t="str">
            <v>RTRNCART65-RES</v>
          </cell>
          <cell r="I17089" t="str">
            <v>RETURN TRIP 65 GL - RES</v>
          </cell>
        </row>
        <row r="17090">
          <cell r="H17090" t="str">
            <v>SL065.0G1W001WREC</v>
          </cell>
          <cell r="I17090" t="str">
            <v>65 GL 1X WK W/RECY 1</v>
          </cell>
        </row>
        <row r="17091">
          <cell r="H17091" t="str">
            <v>SL065.0GEO001WREC</v>
          </cell>
          <cell r="I17091" t="str">
            <v>65 GL EOW W/RECY 1</v>
          </cell>
        </row>
        <row r="17092">
          <cell r="H17092" t="str">
            <v>SPGRAD1-RES</v>
          </cell>
          <cell r="I17092" t="str">
            <v>SPECIAL GRADUATED 1-2 - R</v>
          </cell>
        </row>
        <row r="17093">
          <cell r="H17093" t="str">
            <v>TIRELG-RES</v>
          </cell>
          <cell r="I17093" t="str">
            <v>TIRE FEE LARGE - RES</v>
          </cell>
        </row>
        <row r="17094">
          <cell r="H17094" t="str">
            <v>OW-RES</v>
          </cell>
          <cell r="I17094" t="str">
            <v>OVERFILL / OVERWEIGHT CAN</v>
          </cell>
        </row>
        <row r="17095">
          <cell r="H17095" t="str">
            <v>REINSTATE-RES</v>
          </cell>
          <cell r="I17095" t="str">
            <v>REINSTATE FEE - RES</v>
          </cell>
        </row>
        <row r="17096">
          <cell r="H17096" t="str">
            <v>SPGRAD1-RES</v>
          </cell>
          <cell r="I17096" t="str">
            <v>SPECIAL GRADUATED 1-2 - R</v>
          </cell>
        </row>
        <row r="17097">
          <cell r="H17097" t="str">
            <v>DISCO-CP</v>
          </cell>
          <cell r="I17097" t="str">
            <v xml:space="preserve">COMPACTOR DISCONNECT FEE </v>
          </cell>
        </row>
        <row r="17098">
          <cell r="H17098" t="str">
            <v>HAUL30-RO</v>
          </cell>
          <cell r="I17098" t="str">
            <v>HAUL 30 YD - RO</v>
          </cell>
        </row>
        <row r="17099">
          <cell r="H17099" t="str">
            <v>LIDRO</v>
          </cell>
          <cell r="I17099" t="str">
            <v>LID CHARGE - RO</v>
          </cell>
        </row>
        <row r="17100">
          <cell r="H17100" t="str">
            <v>RENT15MO-RO</v>
          </cell>
          <cell r="I17100" t="str">
            <v>RENTAL FEE 15 YD MONTHLY</v>
          </cell>
        </row>
        <row r="17101">
          <cell r="H17101" t="str">
            <v>RENT20MO-RO</v>
          </cell>
          <cell r="I17101" t="str">
            <v>RENTAL FEE 20 YD MONTHLY</v>
          </cell>
        </row>
        <row r="17102">
          <cell r="H17102" t="str">
            <v>RENT20TEMP-RO</v>
          </cell>
          <cell r="I17102" t="str">
            <v>RENTAL FEE 20 YD TEMP - R</v>
          </cell>
        </row>
        <row r="17103">
          <cell r="H17103" t="str">
            <v>RENT30MO-RO</v>
          </cell>
          <cell r="I17103" t="str">
            <v>RENTAL FEE 30 YD MONTHLY</v>
          </cell>
        </row>
        <row r="17104">
          <cell r="H17104" t="str">
            <v>RENT40MO-RO</v>
          </cell>
          <cell r="I17104" t="str">
            <v>RENTAL FEE 40 YD MONTHLY</v>
          </cell>
        </row>
        <row r="17105">
          <cell r="H17105" t="str">
            <v>DEL20-RO</v>
          </cell>
          <cell r="I17105" t="str">
            <v>DELIVERY FEE 20 YD - RO</v>
          </cell>
        </row>
        <row r="17106">
          <cell r="H17106" t="str">
            <v>DEL20TEMP-RO</v>
          </cell>
          <cell r="I17106" t="str">
            <v>DELIVERY FEE 20 YD TEMP -</v>
          </cell>
        </row>
        <row r="17107">
          <cell r="H17107" t="str">
            <v>DEL30TEMP-RO</v>
          </cell>
          <cell r="I17107" t="str">
            <v>DELIVERY FEE 30 YD TEMP -</v>
          </cell>
        </row>
        <row r="17108">
          <cell r="H17108" t="str">
            <v>DEL40TEMP-RO</v>
          </cell>
          <cell r="I17108" t="str">
            <v>DELIVERY FEE 40 YD TEMP -</v>
          </cell>
        </row>
        <row r="17109">
          <cell r="H17109" t="str">
            <v>DISCO-CP</v>
          </cell>
          <cell r="I17109" t="str">
            <v xml:space="preserve">COMPACTOR DISCONNECT FEE </v>
          </cell>
        </row>
        <row r="17110">
          <cell r="H17110" t="str">
            <v>DISP-RO</v>
          </cell>
          <cell r="I17110" t="str">
            <v>DISPOSAL CHARGE - RO</v>
          </cell>
        </row>
        <row r="17111">
          <cell r="H17111" t="str">
            <v>DISPTRANS-RO</v>
          </cell>
          <cell r="I17111" t="str">
            <v>DISPOSAL FEE TRANSFER HAU</v>
          </cell>
        </row>
        <row r="17112">
          <cell r="H17112" t="str">
            <v>EXWGHT-RO</v>
          </cell>
          <cell r="I17112" t="str">
            <v>EXCESS WEIGHT - RO</v>
          </cell>
        </row>
        <row r="17113">
          <cell r="H17113" t="str">
            <v>FINAL20-RO</v>
          </cell>
          <cell r="I17113" t="str">
            <v>FINAL PULL 20 YD - RO</v>
          </cell>
        </row>
        <row r="17114">
          <cell r="H17114" t="str">
            <v>FINAL20TEMP-RO</v>
          </cell>
          <cell r="I17114" t="str">
            <v>FINAL PULL 20 YD TEMP - R</v>
          </cell>
        </row>
        <row r="17115">
          <cell r="H17115" t="str">
            <v>FINAL30TEMP-RO</v>
          </cell>
          <cell r="I17115" t="str">
            <v>FINAL PULL 30 YD TEMP - R</v>
          </cell>
        </row>
        <row r="17116">
          <cell r="H17116" t="str">
            <v>HAUL10-CP</v>
          </cell>
          <cell r="I17116" t="str">
            <v>COMPACTOR HAUL 10 YD - RO</v>
          </cell>
        </row>
        <row r="17117">
          <cell r="H17117" t="str">
            <v>HAUL15-CP</v>
          </cell>
          <cell r="I17117" t="str">
            <v>COMPACTOR HAUL 15 YD</v>
          </cell>
        </row>
        <row r="17118">
          <cell r="H17118" t="str">
            <v>HAUL15-RO</v>
          </cell>
          <cell r="I17118" t="str">
            <v>HAUL 15 YD - RO</v>
          </cell>
        </row>
        <row r="17119">
          <cell r="H17119" t="str">
            <v>HAUL20-CP</v>
          </cell>
          <cell r="I17119" t="str">
            <v>COMPACTOR HAUL 20 YD - RO</v>
          </cell>
        </row>
        <row r="17120">
          <cell r="H17120" t="str">
            <v>HAUL20-RO</v>
          </cell>
          <cell r="I17120" t="str">
            <v>HAUL 20 YD - RO</v>
          </cell>
        </row>
        <row r="17121">
          <cell r="H17121" t="str">
            <v>HAUL20TEMP-RO</v>
          </cell>
          <cell r="I17121" t="str">
            <v>HAUL 20 YD TEMP - RO</v>
          </cell>
        </row>
        <row r="17122">
          <cell r="H17122" t="str">
            <v>HAUL25-CP</v>
          </cell>
          <cell r="I17122" t="str">
            <v>COMPACTOR HAUL 25 YD - RO</v>
          </cell>
        </row>
        <row r="17123">
          <cell r="H17123" t="str">
            <v>HAUL26-CP</v>
          </cell>
          <cell r="I17123" t="str">
            <v>COMPACTOR HAUL 26 YD - RO</v>
          </cell>
        </row>
        <row r="17124">
          <cell r="H17124" t="str">
            <v>HAUL30-CP</v>
          </cell>
          <cell r="I17124" t="str">
            <v>COMPACTOR HAUL 30 YD</v>
          </cell>
        </row>
        <row r="17125">
          <cell r="H17125" t="str">
            <v>HAUL30-RO</v>
          </cell>
          <cell r="I17125" t="str">
            <v>HAUL 30 YD - RO</v>
          </cell>
        </row>
        <row r="17126">
          <cell r="H17126" t="str">
            <v>HAUL30TEMP-RO</v>
          </cell>
          <cell r="I17126" t="str">
            <v>HAUL 30 YD TEMP - RO</v>
          </cell>
        </row>
        <row r="17127">
          <cell r="H17127" t="str">
            <v>HAUL35-CP</v>
          </cell>
          <cell r="I17127" t="str">
            <v>COMPACTOR HAUL 35 YD - RO</v>
          </cell>
        </row>
        <row r="17128">
          <cell r="H17128" t="str">
            <v>HAUL37-CP</v>
          </cell>
          <cell r="I17128" t="str">
            <v>COMPACTOR HAUL 37 YD - RO</v>
          </cell>
        </row>
        <row r="17129">
          <cell r="H17129" t="str">
            <v>HAUL40-CP</v>
          </cell>
          <cell r="I17129" t="str">
            <v>COMPACTOR HAUL 40 YD</v>
          </cell>
        </row>
        <row r="17130">
          <cell r="H17130" t="str">
            <v>HAUL40-RO</v>
          </cell>
          <cell r="I17130" t="str">
            <v>HAUL 40 YD - RO</v>
          </cell>
        </row>
        <row r="17131">
          <cell r="H17131" t="str">
            <v>HAUL40TEMP-RO</v>
          </cell>
          <cell r="I17131" t="str">
            <v>HAUL 40 YD TEMP - RO</v>
          </cell>
        </row>
        <row r="17132">
          <cell r="H17132" t="str">
            <v>RENT20TEMP-RO</v>
          </cell>
          <cell r="I17132" t="str">
            <v>RENTAL FEE 20 YD TEMP - R</v>
          </cell>
        </row>
        <row r="17133">
          <cell r="H17133" t="str">
            <v>RENT30TEMP-RO</v>
          </cell>
          <cell r="I17133" t="str">
            <v>RENTAL FEE 30 YD TEMP - R</v>
          </cell>
        </row>
        <row r="17134">
          <cell r="H17134" t="str">
            <v>RENT40TEMP-RO</v>
          </cell>
          <cell r="I17134" t="str">
            <v>RENTAL FEE 40 YD TEMP - R</v>
          </cell>
        </row>
        <row r="17135">
          <cell r="H17135" t="str">
            <v>RTRNTRIP-RO</v>
          </cell>
          <cell r="I17135" t="str">
            <v>RETURN TRIP FEE - RO</v>
          </cell>
        </row>
        <row r="17136">
          <cell r="H17136" t="str">
            <v>TIME-RO</v>
          </cell>
          <cell r="I17136" t="str">
            <v>TIME FEE - RO</v>
          </cell>
        </row>
        <row r="17137">
          <cell r="H17137" t="str">
            <v>DEL30TEMP-RO</v>
          </cell>
          <cell r="I17137" t="str">
            <v>DELIVERY FEE 30 YD TEMP -</v>
          </cell>
        </row>
        <row r="17138">
          <cell r="H17138" t="str">
            <v>DISPGLASS-RO</v>
          </cell>
          <cell r="I17138" t="str">
            <v>DISPOSAL FEE GLASS - RO</v>
          </cell>
        </row>
        <row r="17139">
          <cell r="H17139" t="str">
            <v>HAUL30-RO</v>
          </cell>
          <cell r="I17139" t="str">
            <v>HAUL 30 YD - RO</v>
          </cell>
        </row>
        <row r="17140">
          <cell r="H17140" t="str">
            <v>RENT30TEMP-RO</v>
          </cell>
          <cell r="I17140" t="str">
            <v>RENTAL FEE 30 YD TEMP - R</v>
          </cell>
        </row>
        <row r="17141">
          <cell r="H17141" t="str">
            <v>COMMODITY SURCHARGE</v>
          </cell>
          <cell r="I17141" t="str">
            <v>COMMODITY SURCHARGE</v>
          </cell>
        </row>
        <row r="17142">
          <cell r="H17142" t="str">
            <v>COMMODITY SURCHARGE</v>
          </cell>
          <cell r="I17142" t="str">
            <v>COMMODITY SURCHARGE</v>
          </cell>
        </row>
        <row r="17143">
          <cell r="H17143" t="str">
            <v>LAKEWOOD CITY ONLY</v>
          </cell>
          <cell r="I17143" t="str">
            <v>6% CITY UTILITY TAX</v>
          </cell>
        </row>
        <row r="17144">
          <cell r="H17144" t="str">
            <v>LAKEWOOD CITY UTILITY TAX</v>
          </cell>
          <cell r="I17144" t="str">
            <v>6% CITY UTILITY TAX</v>
          </cell>
        </row>
        <row r="17145">
          <cell r="H17145" t="str">
            <v>LAKEWOOD REFUSE TAX</v>
          </cell>
          <cell r="I17145" t="str">
            <v>3.6% WA STATE REFUSE TAX</v>
          </cell>
        </row>
        <row r="17146">
          <cell r="H17146" t="str">
            <v>LAKEWOOD STATE SALES TAX</v>
          </cell>
          <cell r="I17146" t="str">
            <v>9.9% WA STATE SALES TAX</v>
          </cell>
        </row>
        <row r="17147">
          <cell r="H17147" t="str">
            <v>LAKEWOOD CITY ONLY</v>
          </cell>
          <cell r="I17147" t="str">
            <v>6% CITY UTILITY TAX</v>
          </cell>
        </row>
        <row r="17148">
          <cell r="H17148" t="str">
            <v>LAKEWOOD CITY UTILITY TAX</v>
          </cell>
          <cell r="I17148" t="str">
            <v>6% CITY UTILITY TAX</v>
          </cell>
        </row>
        <row r="17149">
          <cell r="H17149" t="str">
            <v>LAKEWOOD REFUSE TAX</v>
          </cell>
          <cell r="I17149" t="str">
            <v>3.6% WA STATE REFUSE TAX</v>
          </cell>
        </row>
        <row r="17150">
          <cell r="H17150" t="str">
            <v>LAKEWOOD STATE SALES TAX</v>
          </cell>
          <cell r="I17150" t="str">
            <v>9.9% WA STATE SALES TAX</v>
          </cell>
        </row>
        <row r="17151">
          <cell r="H17151" t="str">
            <v>LAKEWOOD CITY UTILITY TAX</v>
          </cell>
          <cell r="I17151" t="str">
            <v>6% CITY UTILITY TAX</v>
          </cell>
        </row>
        <row r="17152">
          <cell r="H17152" t="str">
            <v>LAKEWOOD REFUSE TAX</v>
          </cell>
          <cell r="I17152" t="str">
            <v>3.6% WA STATE REFUSE TAX</v>
          </cell>
        </row>
        <row r="17153">
          <cell r="H17153" t="str">
            <v>LAKEWOOD STATE SALES TAX</v>
          </cell>
          <cell r="I17153" t="str">
            <v>9.9% WA STATE SALES TAX</v>
          </cell>
        </row>
        <row r="17154">
          <cell r="H17154" t="str">
            <v>LAKEWOOD CITY ONLY</v>
          </cell>
          <cell r="I17154" t="str">
            <v>6% CITY UTILITY TAX</v>
          </cell>
        </row>
        <row r="17155">
          <cell r="H17155" t="str">
            <v>LAKEWOOD CITY UTILITY TAX</v>
          </cell>
          <cell r="I17155" t="str">
            <v>6% CITY UTILITY TAX</v>
          </cell>
        </row>
        <row r="17156">
          <cell r="H17156" t="str">
            <v>LAKEWOOD REFUSE TAX</v>
          </cell>
          <cell r="I17156" t="str">
            <v>3.6% WA STATE REFUSE TAX</v>
          </cell>
        </row>
        <row r="17157">
          <cell r="H17157" t="str">
            <v>LAKEWOOD CITY ONLY</v>
          </cell>
          <cell r="I17157" t="str">
            <v>6% CITY UTILITY TAX</v>
          </cell>
        </row>
        <row r="17158">
          <cell r="H17158" t="str">
            <v>LAKEWOOD CITY UTILITY TAX</v>
          </cell>
          <cell r="I17158" t="str">
            <v>6% CITY UTILITY TAX</v>
          </cell>
        </row>
        <row r="17159">
          <cell r="H17159" t="str">
            <v>LAKEWOOD REFUSE TAX</v>
          </cell>
          <cell r="I17159" t="str">
            <v>3.6% WA STATE REFUSE TAX</v>
          </cell>
        </row>
        <row r="17160">
          <cell r="H17160" t="str">
            <v>LAKEWOOD CITY ONLY</v>
          </cell>
          <cell r="I17160" t="str">
            <v>6% CITY UTILITY TAX</v>
          </cell>
        </row>
        <row r="17161">
          <cell r="H17161" t="str">
            <v>LAKEWOOD CITY UTILITY TAX</v>
          </cell>
          <cell r="I17161" t="str">
            <v>6% CITY UTILITY TAX</v>
          </cell>
        </row>
        <row r="17162">
          <cell r="H17162" t="str">
            <v>LAKEWOOD REFUSE TAX</v>
          </cell>
          <cell r="I17162" t="str">
            <v>3.6% WA STATE REFUSE TAX</v>
          </cell>
        </row>
        <row r="17163">
          <cell r="H17163" t="str">
            <v>LAKEWOOD STATE SALES TAX</v>
          </cell>
          <cell r="I17163" t="str">
            <v>9.9% WA STATE SALES TAX</v>
          </cell>
        </row>
        <row r="17164">
          <cell r="H17164" t="str">
            <v>LAKEWOOD CITY UTILITY TAX</v>
          </cell>
          <cell r="I17164" t="str">
            <v>6% CITY UTILITY TAX</v>
          </cell>
        </row>
        <row r="17165">
          <cell r="H17165" t="str">
            <v>LAKEWOOD REFUSE TAX</v>
          </cell>
          <cell r="I17165" t="str">
            <v>3.6% WA STATE REFUSE TAX</v>
          </cell>
        </row>
        <row r="17166">
          <cell r="H17166" t="str">
            <v>LAKEWOOD STATE SALES TAX</v>
          </cell>
          <cell r="I17166" t="str">
            <v>9.9% WA STATE SALES TAX</v>
          </cell>
        </row>
        <row r="17167">
          <cell r="H17167" t="str">
            <v>BD</v>
          </cell>
          <cell r="I17167" t="str">
            <v>BAD DEBT WRITE OFF</v>
          </cell>
        </row>
        <row r="17168">
          <cell r="H17168" t="str">
            <v>BDR</v>
          </cell>
          <cell r="I17168" t="str">
            <v>BAD DEBT RECOVERY</v>
          </cell>
        </row>
        <row r="17169">
          <cell r="H17169" t="str">
            <v>COLLFEE</v>
          </cell>
          <cell r="I17169" t="str">
            <v>COLLECTION AGENCY FEE</v>
          </cell>
        </row>
        <row r="17170">
          <cell r="H17170" t="str">
            <v>FINCHG</v>
          </cell>
          <cell r="I17170" t="str">
            <v>LATE FEE</v>
          </cell>
        </row>
        <row r="17171">
          <cell r="H17171" t="str">
            <v>MM</v>
          </cell>
          <cell r="I17171" t="str">
            <v>ADJUST BALANCE (MM)</v>
          </cell>
        </row>
        <row r="17172">
          <cell r="H17172" t="str">
            <v>MM</v>
          </cell>
          <cell r="I17172" t="str">
            <v>ADJUST BALANCE (MM)</v>
          </cell>
        </row>
        <row r="17173">
          <cell r="H17173" t="str">
            <v>REFUND</v>
          </cell>
          <cell r="I17173" t="str">
            <v>REFUND</v>
          </cell>
        </row>
        <row r="17174">
          <cell r="H17174" t="str">
            <v>RETCK</v>
          </cell>
          <cell r="I17174" t="str">
            <v>RETURNED CHECK</v>
          </cell>
        </row>
        <row r="17175">
          <cell r="H17175" t="str">
            <v>RETCK-CFREE</v>
          </cell>
          <cell r="I17175" t="str">
            <v>CHECKFREE RETURN CHECK</v>
          </cell>
        </row>
        <row r="17176">
          <cell r="H17176" t="str">
            <v>RETCKC</v>
          </cell>
          <cell r="I17176" t="str">
            <v>RETURN CHECK CHARGE</v>
          </cell>
        </row>
        <row r="17177">
          <cell r="H17177" t="str">
            <v>FINCHG</v>
          </cell>
          <cell r="I17177" t="str">
            <v>LATE FEE</v>
          </cell>
        </row>
        <row r="17178">
          <cell r="H17178" t="str">
            <v>BD</v>
          </cell>
          <cell r="I17178" t="str">
            <v>BAD DEBT WRITE OFF</v>
          </cell>
        </row>
        <row r="17179">
          <cell r="H17179" t="str">
            <v>BDR</v>
          </cell>
          <cell r="I17179" t="str">
            <v>BAD DEBT RECOVERY</v>
          </cell>
        </row>
        <row r="17180">
          <cell r="H17180" t="str">
            <v>COLLFEE</v>
          </cell>
          <cell r="I17180" t="str">
            <v>COLLECTION AGENCY FEE</v>
          </cell>
        </row>
        <row r="17181">
          <cell r="H17181" t="str">
            <v>FINCHG</v>
          </cell>
          <cell r="I17181" t="str">
            <v>LATE FEE</v>
          </cell>
        </row>
        <row r="17182">
          <cell r="H17182" t="str">
            <v>MM</v>
          </cell>
          <cell r="I17182" t="str">
            <v>ADJUST BALANCE (MM)</v>
          </cell>
        </row>
        <row r="17183">
          <cell r="H17183" t="str">
            <v>MM</v>
          </cell>
          <cell r="I17183" t="str">
            <v>ADJUST BALANCE (MM)</v>
          </cell>
        </row>
        <row r="17184">
          <cell r="H17184" t="str">
            <v>REFUND</v>
          </cell>
          <cell r="I17184" t="str">
            <v>REFUND</v>
          </cell>
        </row>
        <row r="17185">
          <cell r="H17185" t="str">
            <v>RETCK</v>
          </cell>
          <cell r="I17185" t="str">
            <v>RETURNED CHECK</v>
          </cell>
        </row>
        <row r="17186">
          <cell r="H17186" t="str">
            <v>RETCK-CFREE</v>
          </cell>
          <cell r="I17186" t="str">
            <v>CHECKFREE RETURN CHECK</v>
          </cell>
        </row>
        <row r="17187">
          <cell r="H17187" t="str">
            <v>RETCKC</v>
          </cell>
          <cell r="I17187" t="str">
            <v>RETURN CHECK CHARGE</v>
          </cell>
        </row>
        <row r="17188">
          <cell r="H17188" t="str">
            <v>FINCHG</v>
          </cell>
          <cell r="I17188" t="str">
            <v>LATE FEE</v>
          </cell>
        </row>
        <row r="17189">
          <cell r="H17189" t="str">
            <v>BD</v>
          </cell>
          <cell r="I17189" t="str">
            <v>BAD DEBT WRITE OFF</v>
          </cell>
        </row>
        <row r="17190">
          <cell r="H17190" t="str">
            <v>BDR</v>
          </cell>
          <cell r="I17190" t="str">
            <v>BAD DEBT RECOVERY</v>
          </cell>
        </row>
        <row r="17191">
          <cell r="H17191" t="str">
            <v>COLLFEE</v>
          </cell>
          <cell r="I17191" t="str">
            <v>COLLECTION AGENCY FEE</v>
          </cell>
        </row>
        <row r="17192">
          <cell r="H17192" t="str">
            <v>FINCHG</v>
          </cell>
          <cell r="I17192" t="str">
            <v>LATE FEE</v>
          </cell>
        </row>
        <row r="17193">
          <cell r="H17193" t="str">
            <v>MM</v>
          </cell>
          <cell r="I17193" t="str">
            <v>ADJUST BALANCE (MM)</v>
          </cell>
        </row>
        <row r="17194">
          <cell r="H17194" t="str">
            <v>MM</v>
          </cell>
          <cell r="I17194" t="str">
            <v>ADJUST BALANCE (MM)</v>
          </cell>
        </row>
        <row r="17195">
          <cell r="H17195" t="str">
            <v>REFUND</v>
          </cell>
          <cell r="I17195" t="str">
            <v>REFUND</v>
          </cell>
        </row>
        <row r="17196">
          <cell r="H17196" t="str">
            <v>RETCKC</v>
          </cell>
          <cell r="I17196" t="str">
            <v>RETURN CHECK CHARGE</v>
          </cell>
        </row>
        <row r="17197">
          <cell r="H17197" t="str">
            <v>FINCHG</v>
          </cell>
          <cell r="I17197" t="str">
            <v>LATE FEE</v>
          </cell>
        </row>
        <row r="17198">
          <cell r="H17198" t="str">
            <v>ACCESS-COMM</v>
          </cell>
          <cell r="I17198" t="str">
            <v>ACCESS FEE - COMM</v>
          </cell>
        </row>
        <row r="17199">
          <cell r="H17199" t="str">
            <v>CANCOUNT95-COMM</v>
          </cell>
          <cell r="I17199" t="str">
            <v>CAN COUNT 95 GL - COMM</v>
          </cell>
        </row>
        <row r="17200">
          <cell r="H17200" t="str">
            <v>DIST4CAN-COMM</v>
          </cell>
          <cell r="I17200" t="str">
            <v>DISTRIBUTED 4 CANS - COMM</v>
          </cell>
        </row>
        <row r="17201">
          <cell r="H17201" t="str">
            <v>DONATIONC</v>
          </cell>
          <cell r="I17201" t="str">
            <v>DONATED SERVICE COMM</v>
          </cell>
        </row>
        <row r="17202">
          <cell r="H17202" t="str">
            <v>DRIVEIN1-COMM</v>
          </cell>
          <cell r="I17202" t="str">
            <v>DRIVE IN 125-250' - COMM</v>
          </cell>
        </row>
        <row r="17203">
          <cell r="H17203" t="str">
            <v>DRIVEIN2-COMM</v>
          </cell>
          <cell r="I17203" t="str">
            <v>DRIVE IN 251-778' - COMM</v>
          </cell>
        </row>
        <row r="17204">
          <cell r="H17204" t="str">
            <v>FL001.0Y1W001</v>
          </cell>
          <cell r="I17204" t="str">
            <v>1 YD 1X WK 1</v>
          </cell>
        </row>
        <row r="17205">
          <cell r="H17205" t="str">
            <v>FL001.0Y2W001</v>
          </cell>
          <cell r="I17205" t="str">
            <v>1 YD 2X WK 1</v>
          </cell>
        </row>
        <row r="17206">
          <cell r="H17206" t="str">
            <v>FL001.0Y3W001</v>
          </cell>
          <cell r="I17206" t="str">
            <v>1 YD 3X WK 1</v>
          </cell>
        </row>
        <row r="17207">
          <cell r="H17207" t="str">
            <v>FL001.5Y1W001</v>
          </cell>
          <cell r="I17207" t="str">
            <v>1.5 YD 1X WK 1</v>
          </cell>
        </row>
        <row r="17208">
          <cell r="H17208" t="str">
            <v>FL001.5Y2W001</v>
          </cell>
          <cell r="I17208" t="str">
            <v>1.5 YD 2X WK 1</v>
          </cell>
        </row>
        <row r="17209">
          <cell r="H17209" t="str">
            <v>FL001.5Y3W001</v>
          </cell>
          <cell r="I17209" t="str">
            <v>1.5 YD 3X WK 1</v>
          </cell>
        </row>
        <row r="17210">
          <cell r="H17210" t="str">
            <v>FL002.0Y1W001</v>
          </cell>
          <cell r="I17210" t="str">
            <v>2 YD 1X WK 1</v>
          </cell>
        </row>
        <row r="17211">
          <cell r="H17211" t="str">
            <v>FL002.0Y1W001CMP</v>
          </cell>
          <cell r="I17211" t="str">
            <v>2 YD 1X WK COMP 1</v>
          </cell>
        </row>
        <row r="17212">
          <cell r="H17212" t="str">
            <v>FL002.0Y2W001</v>
          </cell>
          <cell r="I17212" t="str">
            <v>2 YD 2X WK 1</v>
          </cell>
        </row>
        <row r="17213">
          <cell r="H17213" t="str">
            <v>FL002.0Y3W001</v>
          </cell>
          <cell r="I17213" t="str">
            <v>2 YD 3X WK 1</v>
          </cell>
        </row>
        <row r="17214">
          <cell r="H17214" t="str">
            <v>FL003.0Y1W001</v>
          </cell>
          <cell r="I17214" t="str">
            <v>3 YD 1X WK 1</v>
          </cell>
        </row>
        <row r="17215">
          <cell r="H17215" t="str">
            <v>FL003.0Y2W001</v>
          </cell>
          <cell r="I17215" t="str">
            <v>3 YD 2X WK 1</v>
          </cell>
        </row>
        <row r="17216">
          <cell r="H17216" t="str">
            <v>FL003.0Y2W001CMP</v>
          </cell>
          <cell r="I17216" t="str">
            <v>3 YD 2X WK COMP 1</v>
          </cell>
        </row>
        <row r="17217">
          <cell r="H17217" t="str">
            <v>FL003.0Y3W001</v>
          </cell>
          <cell r="I17217" t="str">
            <v>3 YD 3X WK 1</v>
          </cell>
        </row>
        <row r="17218">
          <cell r="H17218" t="str">
            <v>FL003.0Y4W001</v>
          </cell>
          <cell r="I17218" t="str">
            <v>3 YD 4X WK 1</v>
          </cell>
        </row>
        <row r="17219">
          <cell r="H17219" t="str">
            <v>FL004.0Y1W001</v>
          </cell>
          <cell r="I17219" t="str">
            <v>4 YD 1X WK 1</v>
          </cell>
        </row>
        <row r="17220">
          <cell r="H17220" t="str">
            <v>FL004.0Y1W001CMP</v>
          </cell>
          <cell r="I17220" t="str">
            <v>4 YD 1X WK COMP 1</v>
          </cell>
        </row>
        <row r="17221">
          <cell r="H17221" t="str">
            <v>FL004.0Y2W001</v>
          </cell>
          <cell r="I17221" t="str">
            <v>4 YD 2X WK 1</v>
          </cell>
        </row>
        <row r="17222">
          <cell r="H17222" t="str">
            <v>FL004.0Y2W001CMP</v>
          </cell>
          <cell r="I17222" t="str">
            <v>4 YD 2X WK COMP 1</v>
          </cell>
        </row>
        <row r="17223">
          <cell r="H17223" t="str">
            <v>FL004.0Y3W001</v>
          </cell>
          <cell r="I17223" t="str">
            <v>4 YD 3X WK 1</v>
          </cell>
        </row>
        <row r="17224">
          <cell r="H17224" t="str">
            <v>FL006.0Y1W001</v>
          </cell>
          <cell r="I17224" t="str">
            <v>6 YD 1X WK 1</v>
          </cell>
        </row>
        <row r="17225">
          <cell r="H17225" t="str">
            <v>FL006.0Y2W001</v>
          </cell>
          <cell r="I17225" t="str">
            <v>6 YD 2X WK 1</v>
          </cell>
        </row>
        <row r="17226">
          <cell r="H17226" t="str">
            <v>FL006.0Y2W001CMP</v>
          </cell>
          <cell r="I17226" t="str">
            <v>6 YD 2X WK COMP 1</v>
          </cell>
        </row>
        <row r="17227">
          <cell r="H17227" t="str">
            <v>FL006.0Y3W001</v>
          </cell>
          <cell r="I17227" t="str">
            <v>6 YD 3X WK 1</v>
          </cell>
        </row>
        <row r="17228">
          <cell r="H17228" t="str">
            <v>FL006.0Y4W001</v>
          </cell>
          <cell r="I17228" t="str">
            <v>6 YD 4X WK 1</v>
          </cell>
        </row>
        <row r="17229">
          <cell r="H17229" t="str">
            <v>GWCOMM</v>
          </cell>
          <cell r="I17229" t="str">
            <v>GREENWASTE SERVICE - COMM</v>
          </cell>
        </row>
        <row r="17230">
          <cell r="H17230" t="str">
            <v>RENT2TEMP-COMM</v>
          </cell>
          <cell r="I17230" t="str">
            <v>RENT 2 YD TEMP - COMM</v>
          </cell>
        </row>
        <row r="17231">
          <cell r="H17231" t="str">
            <v>RL032.0G1W001NORECC</v>
          </cell>
          <cell r="I17231" t="str">
            <v xml:space="preserve">32 GL 1X WK NO RECY COMM </v>
          </cell>
        </row>
        <row r="17232">
          <cell r="H17232" t="str">
            <v>RL032.0G1W001WRECC</v>
          </cell>
          <cell r="I17232" t="str">
            <v>32 GL 1X WK W/RECY COMM 1</v>
          </cell>
        </row>
        <row r="17233">
          <cell r="H17233" t="str">
            <v>RL032.0G1W002NORECC</v>
          </cell>
          <cell r="I17233" t="str">
            <v xml:space="preserve">32 GL 1X WK NO RECY COMM </v>
          </cell>
        </row>
        <row r="17234">
          <cell r="H17234" t="str">
            <v>RL032.0G1W002WRECC</v>
          </cell>
          <cell r="I17234" t="str">
            <v>32 GL 1X WK W/RECY COMM 2</v>
          </cell>
        </row>
        <row r="17235">
          <cell r="H17235" t="str">
            <v>RL032.0G1W003WRECC</v>
          </cell>
          <cell r="I17235" t="str">
            <v>32 GL 1X WK W/RECY COMM 3</v>
          </cell>
        </row>
        <row r="17236">
          <cell r="H17236" t="str">
            <v>RL032.0G1W004WRECC</v>
          </cell>
          <cell r="I17236" t="str">
            <v>32 GL 1X WK W/RECY COMM 4</v>
          </cell>
        </row>
        <row r="17237">
          <cell r="H17237" t="str">
            <v>ROLL-COMM</v>
          </cell>
          <cell r="I17237" t="str">
            <v>ROLL OUT CHARGE - COMM</v>
          </cell>
        </row>
        <row r="17238">
          <cell r="H17238" t="str">
            <v>SL065.0G1W001NORECC</v>
          </cell>
          <cell r="I17238" t="str">
            <v xml:space="preserve">65 GL 1X WK NO RECY COMM </v>
          </cell>
        </row>
        <row r="17239">
          <cell r="H17239" t="str">
            <v>SL065.0G1W001WRECC</v>
          </cell>
          <cell r="I17239" t="str">
            <v>65 GL 1X WK W/RECY COMM 1</v>
          </cell>
        </row>
        <row r="17240">
          <cell r="H17240" t="str">
            <v>SL065.0GEO001NORECC</v>
          </cell>
          <cell r="I17240" t="str">
            <v>65 GL EOW NO RECY COMM 1</v>
          </cell>
        </row>
        <row r="17241">
          <cell r="H17241" t="str">
            <v>SL065.0GEO001WRECC</v>
          </cell>
          <cell r="I17241" t="str">
            <v>65 GL EOW W/RECY COMM 1</v>
          </cell>
        </row>
        <row r="17242">
          <cell r="H17242" t="str">
            <v>SL095.0G1W001NORECC</v>
          </cell>
          <cell r="I17242" t="str">
            <v xml:space="preserve">95 GL 1X WK NO RECY COMM </v>
          </cell>
        </row>
        <row r="17243">
          <cell r="H17243" t="str">
            <v>SL095.0G1W001WRECC</v>
          </cell>
          <cell r="I17243" t="str">
            <v>95 GL 1X WK W/RECY COMM 1</v>
          </cell>
        </row>
        <row r="17244">
          <cell r="H17244" t="str">
            <v>SL095.0GEO001NORECC</v>
          </cell>
          <cell r="I17244" t="str">
            <v>95 GL EOW NO RECY COMM 1</v>
          </cell>
        </row>
        <row r="17245">
          <cell r="H17245" t="str">
            <v>SL095.0GEO001WRECC</v>
          </cell>
          <cell r="I17245" t="str">
            <v>95 GL EOW W/RECY COMM 1</v>
          </cell>
        </row>
        <row r="17246">
          <cell r="H17246" t="str">
            <v>WI1-COMM</v>
          </cell>
          <cell r="I17246" t="str">
            <v>WALK IN 6-25' - COMM</v>
          </cell>
        </row>
        <row r="17247">
          <cell r="H17247" t="str">
            <v>WI2-COMM</v>
          </cell>
          <cell r="I17247" t="str">
            <v>WALK IN 26-50' - COMM</v>
          </cell>
        </row>
        <row r="17248">
          <cell r="H17248" t="str">
            <v>WI4-COMM</v>
          </cell>
          <cell r="I17248" t="str">
            <v>WALK IN 76-100' - COMM</v>
          </cell>
        </row>
        <row r="17249">
          <cell r="H17249" t="str">
            <v>ACCESS-COMM</v>
          </cell>
          <cell r="I17249" t="str">
            <v>ACCESS FEE - COMM</v>
          </cell>
        </row>
        <row r="17250">
          <cell r="H17250" t="str">
            <v>BULKY-COMM</v>
          </cell>
          <cell r="I17250" t="str">
            <v>BULKY ITEM PICK UP - COMM</v>
          </cell>
        </row>
        <row r="17251">
          <cell r="H17251" t="str">
            <v>CANCOUNT-COMM</v>
          </cell>
          <cell r="I17251" t="str">
            <v>CAN COUNT - COMM</v>
          </cell>
        </row>
        <row r="17252">
          <cell r="H17252" t="str">
            <v>CANCOUNT65-COMM</v>
          </cell>
          <cell r="I17252" t="str">
            <v>CAN COUNT 65 GL - COMM</v>
          </cell>
        </row>
        <row r="17253">
          <cell r="H17253" t="str">
            <v>CANCOUNT95-COMM</v>
          </cell>
          <cell r="I17253" t="str">
            <v>CAN COUNT 95 GL - COMM</v>
          </cell>
        </row>
        <row r="17254">
          <cell r="H17254" t="str">
            <v>CANCOUNTFD65-COMM</v>
          </cell>
          <cell r="I17254" t="str">
            <v>CAN COUNT FOOD 65 GL - CO</v>
          </cell>
        </row>
        <row r="17255">
          <cell r="H17255" t="str">
            <v>CLEAN-COMM</v>
          </cell>
          <cell r="I17255" t="str">
            <v xml:space="preserve">CONTAINER CLEANING FEE - </v>
          </cell>
        </row>
        <row r="17256">
          <cell r="H17256" t="str">
            <v>CLEAN1-COMM</v>
          </cell>
          <cell r="I17256" t="str">
            <v>CLEANING FEE 1 YD - COMM</v>
          </cell>
        </row>
        <row r="17257">
          <cell r="H17257" t="str">
            <v>CLEAN1.5-COMM</v>
          </cell>
          <cell r="I17257" t="str">
            <v>CLEANING FEE 1.5 YD - COM</v>
          </cell>
        </row>
        <row r="17258">
          <cell r="H17258" t="str">
            <v>CLEAN2-COMM</v>
          </cell>
          <cell r="I17258" t="str">
            <v>CLEANING FEE 2 YD - COMM</v>
          </cell>
        </row>
        <row r="17259">
          <cell r="H17259" t="str">
            <v>DEL1.5TEMP-COMM</v>
          </cell>
          <cell r="I17259" t="str">
            <v xml:space="preserve">DELIVERY FEE 1.5 YD TEMP </v>
          </cell>
        </row>
        <row r="17260">
          <cell r="H17260" t="str">
            <v>DEL1TEMP-COMM</v>
          </cell>
          <cell r="I17260" t="str">
            <v xml:space="preserve">DELIVERY FEE 1 YD TEMP - </v>
          </cell>
        </row>
        <row r="17261">
          <cell r="H17261" t="str">
            <v>DEL2TEMP-COMM</v>
          </cell>
          <cell r="I17261" t="str">
            <v xml:space="preserve">DELIVERY FEE 2 YD TEMP - </v>
          </cell>
        </row>
        <row r="17262">
          <cell r="H17262" t="str">
            <v>DEL6TEMP-COMM</v>
          </cell>
          <cell r="I17262" t="str">
            <v xml:space="preserve">DELIVERY FEE 6 YD TEMP - </v>
          </cell>
        </row>
        <row r="17263">
          <cell r="H17263" t="str">
            <v>DISP-COMM</v>
          </cell>
          <cell r="I17263" t="str">
            <v>DISPOSAL FEE - COMM</v>
          </cell>
        </row>
        <row r="17264">
          <cell r="H17264" t="str">
            <v>DISPFEDMSW-COMM</v>
          </cell>
          <cell r="I17264" t="str">
            <v>DISPOSAL FEDERAL MSW - CO</v>
          </cell>
        </row>
        <row r="17265">
          <cell r="H17265" t="str">
            <v>DISPMIX-COMM</v>
          </cell>
          <cell r="I17265" t="str">
            <v>DISPOSAL MIX CMGL OCC - COMM</v>
          </cell>
        </row>
        <row r="17266">
          <cell r="H17266" t="str">
            <v>EXTRA-COMM</v>
          </cell>
          <cell r="I17266" t="str">
            <v>EXTRA CAN, BAG, BOX - COM</v>
          </cell>
        </row>
        <row r="17267">
          <cell r="H17267" t="str">
            <v>EXTRAYDG-COM</v>
          </cell>
          <cell r="I17267" t="str">
            <v>EXTRA YARDAGE - COMM</v>
          </cell>
        </row>
        <row r="17268">
          <cell r="H17268" t="str">
            <v>FL001.0YXX001TEMPC</v>
          </cell>
          <cell r="I17268" t="str">
            <v xml:space="preserve">1 YD TEMP </v>
          </cell>
        </row>
        <row r="17269">
          <cell r="H17269" t="str">
            <v>FL001.5Y1W001</v>
          </cell>
          <cell r="I17269" t="str">
            <v>1.5 YD 1X WK 1</v>
          </cell>
        </row>
        <row r="17270">
          <cell r="H17270" t="str">
            <v>FL001.5Y2W001</v>
          </cell>
          <cell r="I17270" t="str">
            <v>1.5 YD 2X WK 1</v>
          </cell>
        </row>
        <row r="17271">
          <cell r="H17271" t="str">
            <v>FL001.5YXX001TEMPC</v>
          </cell>
          <cell r="I17271" t="str">
            <v xml:space="preserve">1.5 YD TEMP </v>
          </cell>
        </row>
        <row r="17272">
          <cell r="H17272" t="str">
            <v>FL002.0Y1W001</v>
          </cell>
          <cell r="I17272" t="str">
            <v>2 YD 1X WK 1</v>
          </cell>
        </row>
        <row r="17273">
          <cell r="H17273" t="str">
            <v>FL002.0YXX001TEMPC</v>
          </cell>
          <cell r="I17273" t="str">
            <v xml:space="preserve">2 YD TEMP </v>
          </cell>
        </row>
        <row r="17274">
          <cell r="H17274" t="str">
            <v>FL003.0Y2W001</v>
          </cell>
          <cell r="I17274" t="str">
            <v>3 YD 2X WK 1</v>
          </cell>
        </row>
        <row r="17275">
          <cell r="H17275" t="str">
            <v>REDEL-COMM</v>
          </cell>
          <cell r="I17275" t="str">
            <v>REDELIVER FEE LVL 1 - COM</v>
          </cell>
        </row>
        <row r="17276">
          <cell r="H17276" t="str">
            <v>REINSTATE-COMM</v>
          </cell>
          <cell r="I17276" t="str">
            <v>REINSTATE FEE - COMM</v>
          </cell>
        </row>
        <row r="17277">
          <cell r="H17277" t="str">
            <v>RENT1.5TEMP-COMM</v>
          </cell>
          <cell r="I17277" t="str">
            <v>RENT 1.5 YD TEMP - COMM</v>
          </cell>
        </row>
        <row r="17278">
          <cell r="H17278" t="str">
            <v>RENT1TEMP-COMM</v>
          </cell>
          <cell r="I17278" t="str">
            <v>RENT 1 YD TEMP - COMM</v>
          </cell>
        </row>
        <row r="17279">
          <cell r="H17279" t="str">
            <v>RENT2TEMP-COMM</v>
          </cell>
          <cell r="I17279" t="str">
            <v>RENT 2 YD TEMP - COMM</v>
          </cell>
        </row>
        <row r="17280">
          <cell r="H17280" t="str">
            <v>RENT6TEMP-COMM</v>
          </cell>
          <cell r="I17280" t="str">
            <v>RENT 6 YD TEMP - COMM</v>
          </cell>
        </row>
        <row r="17281">
          <cell r="H17281" t="str">
            <v>RTRNCART65-COMM</v>
          </cell>
          <cell r="I17281" t="str">
            <v>RETURN TRIP 65 GL - COMM</v>
          </cell>
        </row>
        <row r="17282">
          <cell r="H17282" t="str">
            <v>RTRNTRIP-COMM</v>
          </cell>
          <cell r="I17282" t="str">
            <v>RETURN TRIP FEE - COMM</v>
          </cell>
        </row>
        <row r="17283">
          <cell r="H17283" t="str">
            <v>SP1-COMM</v>
          </cell>
          <cell r="I17283" t="str">
            <v>SPECIAL PICK UP 1 YD - CO</v>
          </cell>
        </row>
        <row r="17284">
          <cell r="H17284" t="str">
            <v>SP1.5-COMM</v>
          </cell>
          <cell r="I17284" t="str">
            <v xml:space="preserve">SPECIAL PICK UP 1.5 YD - </v>
          </cell>
        </row>
        <row r="17285">
          <cell r="H17285" t="str">
            <v>SP2-COMM</v>
          </cell>
          <cell r="I17285" t="str">
            <v>SPECIAL PICK UP 2 YD - CO</v>
          </cell>
        </row>
        <row r="17286">
          <cell r="H17286" t="str">
            <v>SP3-COMM</v>
          </cell>
          <cell r="I17286" t="str">
            <v>SPECIAL PICK UP 3 YD - CO</v>
          </cell>
        </row>
        <row r="17287">
          <cell r="H17287" t="str">
            <v>SP6-COMM</v>
          </cell>
          <cell r="I17287" t="str">
            <v>SPECIAL PICK UP 6 YD - CO</v>
          </cell>
        </row>
        <row r="17288">
          <cell r="H17288" t="str">
            <v>SPGRAD1-COMM</v>
          </cell>
          <cell r="I17288" t="str">
            <v>SPECIAL PICKUP GRADUATED 1 - COMM</v>
          </cell>
        </row>
        <row r="17289">
          <cell r="H17289" t="str">
            <v>SPGRAD1S-COMM</v>
          </cell>
          <cell r="I17289" t="str">
            <v>SPECIAL UNIT GRAD1 SCHL - COMM</v>
          </cell>
        </row>
        <row r="17290">
          <cell r="H17290" t="str">
            <v>SPGRAD2S-COMM</v>
          </cell>
          <cell r="I17290" t="str">
            <v>SPECIAL UNIT GRAD2 SCHL - COMM</v>
          </cell>
        </row>
        <row r="17291">
          <cell r="H17291" t="str">
            <v>TIME-COMM</v>
          </cell>
          <cell r="I17291" t="str">
            <v>TIME FEE 1 - COMM</v>
          </cell>
        </row>
        <row r="17292">
          <cell r="H17292" t="str">
            <v>DISP-COMM</v>
          </cell>
          <cell r="I17292" t="str">
            <v>DISPOSAL FEE - COMM</v>
          </cell>
        </row>
        <row r="17293">
          <cell r="H17293" t="str">
            <v>DISPFEDMSW-COMM</v>
          </cell>
          <cell r="I17293" t="str">
            <v>DISPOSAL FEDERAL MSW - CO</v>
          </cell>
        </row>
        <row r="17294">
          <cell r="H17294" t="str">
            <v>RTRNCART96REC-COMM</v>
          </cell>
          <cell r="I17294" t="str">
            <v>RETURN TRIP 96 GL REC - C</v>
          </cell>
        </row>
        <row r="17295">
          <cell r="H17295" t="str">
            <v>ACCESSCREC-COMM</v>
          </cell>
          <cell r="I17295" t="str">
            <v>ACCESS FEE COMM RECY - CO</v>
          </cell>
        </row>
        <row r="17296">
          <cell r="H17296" t="str">
            <v>COMDESKREC</v>
          </cell>
          <cell r="I17296" t="str">
            <v>COMM DESKSIDE RECYCLING</v>
          </cell>
        </row>
        <row r="17297">
          <cell r="H17297" t="str">
            <v>FL002.0Y1M001BCMGL</v>
          </cell>
          <cell r="I17297" t="str">
            <v>2 YD 1X MO BUS CMGL 1</v>
          </cell>
        </row>
        <row r="17298">
          <cell r="H17298" t="str">
            <v>FL002.0Y1W001BCMGL</v>
          </cell>
          <cell r="I17298" t="str">
            <v>2 YD 1X WK BUS CMGL 1</v>
          </cell>
        </row>
        <row r="17299">
          <cell r="H17299" t="str">
            <v>FL002.0Y1W001BOCC</v>
          </cell>
          <cell r="I17299" t="str">
            <v>2 YD 1X WK BUS OCC 1</v>
          </cell>
        </row>
        <row r="17300">
          <cell r="H17300" t="str">
            <v>FL002.0Y1W001OCC</v>
          </cell>
          <cell r="I17300" t="str">
            <v>2 YD 1X WK OCC 1</v>
          </cell>
        </row>
        <row r="17301">
          <cell r="H17301" t="str">
            <v>FL002.0Y1W001SCMGL</v>
          </cell>
          <cell r="I17301" t="str">
            <v>2 YD 1X WK SCHL CMGL 1</v>
          </cell>
        </row>
        <row r="17302">
          <cell r="H17302" t="str">
            <v>FL002.0Y1W001SOCC</v>
          </cell>
          <cell r="I17302" t="str">
            <v>2 YD 1X WK SCHOOL OCC</v>
          </cell>
        </row>
        <row r="17303">
          <cell r="H17303" t="str">
            <v>FL002.0Y2W001BCMGL</v>
          </cell>
          <cell r="I17303" t="str">
            <v>2 YD 2X WK BUS CMGL 1</v>
          </cell>
        </row>
        <row r="17304">
          <cell r="H17304" t="str">
            <v>FL002.0Y2W001BOCC</v>
          </cell>
          <cell r="I17304" t="str">
            <v>2 YD 2X WK BUS OCC 1</v>
          </cell>
        </row>
        <row r="17305">
          <cell r="H17305" t="str">
            <v>FL002.0Y2W001SCMGL</v>
          </cell>
          <cell r="I17305" t="str">
            <v>2 YD 2X WK SCHL CMGL 1</v>
          </cell>
        </row>
        <row r="17306">
          <cell r="H17306" t="str">
            <v>FL002.0Y2W001SOCC</v>
          </cell>
          <cell r="I17306" t="str">
            <v>2 YD 2X WK SCHOOL OCC</v>
          </cell>
        </row>
        <row r="17307">
          <cell r="H17307" t="str">
            <v>FL002.0Y3W001BOCC</v>
          </cell>
          <cell r="I17307" t="str">
            <v>2 YD 3X WK BUS OCC 1</v>
          </cell>
        </row>
        <row r="17308">
          <cell r="H17308" t="str">
            <v>FL002.0Y4W001BOCC</v>
          </cell>
          <cell r="I17308" t="str">
            <v>2 YD 4X WK BUS OCC 1</v>
          </cell>
        </row>
        <row r="17309">
          <cell r="H17309" t="str">
            <v>FL004.0Y1W001CMGL</v>
          </cell>
          <cell r="I17309" t="str">
            <v>4 YD 1X WK BUS CMGL 1</v>
          </cell>
        </row>
        <row r="17310">
          <cell r="H17310" t="str">
            <v>FL004.0Y1W001SCMGL</v>
          </cell>
          <cell r="I17310" t="str">
            <v>4 YD 1X WK SCH CMGL 1</v>
          </cell>
        </row>
        <row r="17311">
          <cell r="H17311" t="str">
            <v>FL004.0Y2W001CMGL</v>
          </cell>
          <cell r="I17311" t="str">
            <v>4 YD 2X WK BUS CMGL 1</v>
          </cell>
        </row>
        <row r="17312">
          <cell r="H17312" t="str">
            <v>FL004.0Y3W001BCMGL</v>
          </cell>
          <cell r="I17312" t="str">
            <v>4 YD 3X WK BUS CMGL 1</v>
          </cell>
        </row>
        <row r="17313">
          <cell r="H17313" t="str">
            <v>FL004.0Y5W001BCMGL</v>
          </cell>
          <cell r="I17313" t="str">
            <v>4 YD 5X WK BUS CMGL 1</v>
          </cell>
        </row>
        <row r="17314">
          <cell r="H17314" t="str">
            <v>FL005.0Y1W001BOCC</v>
          </cell>
          <cell r="I17314" t="str">
            <v>5 YD 1X WK BUS OCC 1</v>
          </cell>
        </row>
        <row r="17315">
          <cell r="H17315" t="str">
            <v>FL005.0Y1W001OCC</v>
          </cell>
          <cell r="I17315" t="str">
            <v>5 YD 1X WK OCC  1</v>
          </cell>
        </row>
        <row r="17316">
          <cell r="H17316" t="str">
            <v>FL005.0Y1W001SOCC</v>
          </cell>
          <cell r="I17316" t="str">
            <v>5 YD 1X WK SCHOOL OCC</v>
          </cell>
        </row>
        <row r="17317">
          <cell r="H17317" t="str">
            <v>FL005.0Y2W001BOCC</v>
          </cell>
          <cell r="I17317" t="str">
            <v>5 YD 2X WK BUS OCC 1</v>
          </cell>
        </row>
        <row r="17318">
          <cell r="H17318" t="str">
            <v>FL005.0Y2W001OCC</v>
          </cell>
          <cell r="I17318" t="str">
            <v>5 YD 2X WK OCC 1</v>
          </cell>
        </row>
        <row r="17319">
          <cell r="H17319" t="str">
            <v>FL005.0Y3W001BOCC</v>
          </cell>
          <cell r="I17319" t="str">
            <v>5 YD 3X WK BUS OCC 1</v>
          </cell>
        </row>
        <row r="17320">
          <cell r="H17320" t="str">
            <v>FL005.0Y4W001BOCC</v>
          </cell>
          <cell r="I17320" t="str">
            <v>5 YD 4X WK BUS OCC 1</v>
          </cell>
        </row>
        <row r="17321">
          <cell r="H17321" t="str">
            <v>FL005.0Y5W001BOCC</v>
          </cell>
          <cell r="I17321" t="str">
            <v>5 YD 5X WK BUS OCC 1</v>
          </cell>
        </row>
        <row r="17322">
          <cell r="H17322" t="str">
            <v>FL006.0Y1W001BCMGL</v>
          </cell>
          <cell r="I17322" t="str">
            <v>6 YD 1X WK BUS COMINGLE 1</v>
          </cell>
        </row>
        <row r="17323">
          <cell r="H17323" t="str">
            <v>FL006.0Y1W001SCMGL</v>
          </cell>
          <cell r="I17323" t="str">
            <v>6 YD 1X WK SCHL CMGL 1</v>
          </cell>
        </row>
        <row r="17324">
          <cell r="H17324" t="str">
            <v>FL006.0Y2W001BCMGL</v>
          </cell>
          <cell r="I17324" t="str">
            <v>6 YD 2X WK BUS COMINGLE 1</v>
          </cell>
        </row>
        <row r="17325">
          <cell r="H17325" t="str">
            <v>FL006.0Y3W001BCMGL</v>
          </cell>
          <cell r="I17325" t="str">
            <v>6 YD 3X WK BUS CMGL 1</v>
          </cell>
        </row>
        <row r="17326">
          <cell r="H17326" t="str">
            <v>MFNBINS</v>
          </cell>
          <cell r="I17326" t="str">
            <v>MULTI-FAMILY REC UNIT N/B</v>
          </cell>
        </row>
        <row r="17327">
          <cell r="H17327" t="str">
            <v>MFWBINS</v>
          </cell>
          <cell r="I17327" t="str">
            <v>MULTI-FAMILY REC UNIT W/B</v>
          </cell>
        </row>
        <row r="17328">
          <cell r="H17328" t="str">
            <v>SL064.0G1M001BCMGLIN</v>
          </cell>
          <cell r="I17328" t="str">
            <v>64 GL MTHLY BUS CMGL IN</v>
          </cell>
        </row>
        <row r="17329">
          <cell r="H17329" t="str">
            <v>SL064.0G1W001BCMGLOUT</v>
          </cell>
          <cell r="I17329" t="str">
            <v>64 GL WKLY BUS CMGL OUT</v>
          </cell>
        </row>
        <row r="17330">
          <cell r="H17330" t="str">
            <v>SL064.0GEO001BCMGLOUT</v>
          </cell>
          <cell r="I17330" t="str">
            <v>64 GL EOW BUS CMGL OUT</v>
          </cell>
        </row>
        <row r="17331">
          <cell r="H17331" t="str">
            <v>SL096.0G1M001BCMGLIN</v>
          </cell>
          <cell r="I17331" t="str">
            <v>96 GL MTHLY BUS CMGL IN</v>
          </cell>
        </row>
        <row r="17332">
          <cell r="H17332" t="str">
            <v>SL096.0G1M001BCMGLOUT</v>
          </cell>
          <cell r="I17332" t="str">
            <v>96 GL MTHLY BUS CMGL OUT</v>
          </cell>
        </row>
        <row r="17333">
          <cell r="H17333" t="str">
            <v>SL096.0G1W001BCMGLIN</v>
          </cell>
          <cell r="I17333" t="str">
            <v>96 GL WKLY BUS CMGL IN</v>
          </cell>
        </row>
        <row r="17334">
          <cell r="H17334" t="str">
            <v>SL096.0G1W001BCMGLOUT</v>
          </cell>
          <cell r="I17334" t="str">
            <v>96 GL WKLY BUS CMGL OUT</v>
          </cell>
        </row>
        <row r="17335">
          <cell r="H17335" t="str">
            <v>SL096.0G1W001RECC</v>
          </cell>
          <cell r="I17335" t="str">
            <v xml:space="preserve">96 GL 1X WK RECYCLE COMM </v>
          </cell>
        </row>
        <row r="17336">
          <cell r="H17336" t="str">
            <v>SL096.0G1W001SCMGLIN</v>
          </cell>
          <cell r="I17336" t="str">
            <v>96 GL WKLY SCHL CMGL IN</v>
          </cell>
        </row>
        <row r="17337">
          <cell r="H17337" t="str">
            <v>SL096.0G1W001SCMGLOUT</v>
          </cell>
          <cell r="I17337" t="str">
            <v>96 GL WKLY SCHL CMGL OUT</v>
          </cell>
        </row>
        <row r="17338">
          <cell r="H17338" t="str">
            <v>SL096.0GEO001BCMGLIN</v>
          </cell>
          <cell r="I17338" t="str">
            <v>96 GL EOW BUS CMGL IN</v>
          </cell>
        </row>
        <row r="17339">
          <cell r="H17339" t="str">
            <v>SL096.0GEO001BCMGLOUT</v>
          </cell>
          <cell r="I17339" t="str">
            <v>96 GL EOW BUS CMGL OUT</v>
          </cell>
        </row>
        <row r="17340">
          <cell r="H17340" t="str">
            <v>SL096.0GEO001SCMGLOUT</v>
          </cell>
          <cell r="I17340" t="str">
            <v>96 GL EOW SCHL CMGL OUT</v>
          </cell>
        </row>
        <row r="17341">
          <cell r="H17341" t="str">
            <v>RTRNCART96REC-COMM</v>
          </cell>
          <cell r="I17341" t="str">
            <v>RETURN TRIP 96 GL REC - C</v>
          </cell>
        </row>
        <row r="17342">
          <cell r="H17342" t="str">
            <v>SP5OCC-COMM</v>
          </cell>
          <cell r="I17342" t="str">
            <v>SPECIAL PICKUP 5 YD OCC -</v>
          </cell>
        </row>
        <row r="17343">
          <cell r="H17343" t="str">
            <v>SP6BCMGL-COMM</v>
          </cell>
          <cell r="I17343" t="str">
            <v>SPECIAL P/U 6 YD BUS CMGL</v>
          </cell>
        </row>
        <row r="17344">
          <cell r="H17344" t="str">
            <v>SPGRAD1REC-COMM</v>
          </cell>
          <cell r="I17344" t="str">
            <v>SPECIAL UNIT GRAD1 REC - COMM</v>
          </cell>
        </row>
        <row r="17345">
          <cell r="H17345" t="str">
            <v>SPGRAD2REC-COMM</v>
          </cell>
          <cell r="I17345" t="str">
            <v>SPECIAL UNIT GRAD2 REC - COMM</v>
          </cell>
        </row>
        <row r="17346">
          <cell r="H17346" t="str">
            <v>CC-KOL</v>
          </cell>
          <cell r="I17346" t="str">
            <v>ONLINE PAYMENT-CC</v>
          </cell>
        </row>
        <row r="17347">
          <cell r="H17347" t="str">
            <v>CCREF-KOL</v>
          </cell>
          <cell r="I17347" t="str">
            <v>CREDIT CARD REFUND</v>
          </cell>
        </row>
        <row r="17348">
          <cell r="H17348" t="str">
            <v>PAY</v>
          </cell>
          <cell r="I17348" t="str">
            <v>PAYMENT THANK YOU</v>
          </cell>
        </row>
        <row r="17349">
          <cell r="H17349" t="str">
            <v>PAY-CFREE</v>
          </cell>
          <cell r="I17349" t="str">
            <v>CHECKFREE PAYMENT</v>
          </cell>
        </row>
        <row r="17350">
          <cell r="H17350" t="str">
            <v>PAY-KOL</v>
          </cell>
          <cell r="I17350" t="str">
            <v>PAYMENT-THANK YOU - OL</v>
          </cell>
        </row>
        <row r="17351">
          <cell r="H17351" t="str">
            <v>PAY-ORCC</v>
          </cell>
          <cell r="I17351" t="str">
            <v>ORCC PAYMENT</v>
          </cell>
        </row>
        <row r="17352">
          <cell r="H17352" t="str">
            <v>PAY-RPPS</v>
          </cell>
          <cell r="I17352" t="str">
            <v>RPPS MASTERCARD PAYMENT</v>
          </cell>
        </row>
        <row r="17353">
          <cell r="H17353" t="str">
            <v>PAYAD</v>
          </cell>
          <cell r="I17353" t="str">
            <v>ADJUST PAYMENT AD</v>
          </cell>
        </row>
        <row r="17354">
          <cell r="H17354" t="str">
            <v>PAYICT</v>
          </cell>
          <cell r="I17354" t="str">
            <v>I/C PAYMENT THANK YOU</v>
          </cell>
        </row>
        <row r="17355">
          <cell r="H17355" t="str">
            <v>PAYL</v>
          </cell>
          <cell r="I17355" t="str">
            <v>PAYMENT THANK YOU</v>
          </cell>
        </row>
        <row r="17356">
          <cell r="H17356" t="str">
            <v>PAYMET</v>
          </cell>
          <cell r="I17356" t="str">
            <v>METAVANTE ONLINE PAYMENT</v>
          </cell>
        </row>
        <row r="17357">
          <cell r="H17357" t="str">
            <v>PAYUSBL</v>
          </cell>
          <cell r="I17357" t="str">
            <v>PAYMENT THANK YOU</v>
          </cell>
        </row>
        <row r="17358">
          <cell r="H17358" t="str">
            <v>RET-KOL</v>
          </cell>
          <cell r="I17358" t="str">
            <v>ONLINE PAYMENT RETURN</v>
          </cell>
        </row>
        <row r="17359">
          <cell r="H17359" t="str">
            <v>CC-KOL</v>
          </cell>
          <cell r="I17359" t="str">
            <v>ONLINE PAYMENT-CC</v>
          </cell>
        </row>
        <row r="17360">
          <cell r="H17360" t="str">
            <v>CCREF-KOL</v>
          </cell>
          <cell r="I17360" t="str">
            <v>CREDIT CARD REFUND</v>
          </cell>
        </row>
        <row r="17361">
          <cell r="H17361" t="str">
            <v>PAY</v>
          </cell>
          <cell r="I17361" t="str">
            <v>PAYMENT THANK YOU</v>
          </cell>
        </row>
        <row r="17362">
          <cell r="H17362" t="str">
            <v>PAY-CFREE</v>
          </cell>
          <cell r="I17362" t="str">
            <v>CHECKFREE PAYMENT</v>
          </cell>
        </row>
        <row r="17363">
          <cell r="H17363" t="str">
            <v>PAY-KOL</v>
          </cell>
          <cell r="I17363" t="str">
            <v>PAYMENT-THANK YOU - OL</v>
          </cell>
        </row>
        <row r="17364">
          <cell r="H17364" t="str">
            <v>PAY-ORCC</v>
          </cell>
          <cell r="I17364" t="str">
            <v>ORCC PAYMENT</v>
          </cell>
        </row>
        <row r="17365">
          <cell r="H17365" t="str">
            <v>PAY-RPPS</v>
          </cell>
          <cell r="I17365" t="str">
            <v>RPPS MASTERCARD PAYMENT</v>
          </cell>
        </row>
        <row r="17366">
          <cell r="H17366" t="str">
            <v>PAYICT</v>
          </cell>
          <cell r="I17366" t="str">
            <v>I/C PAYMENT THANK YOU</v>
          </cell>
        </row>
        <row r="17367">
          <cell r="H17367" t="str">
            <v>PAYL</v>
          </cell>
          <cell r="I17367" t="str">
            <v>PAYMENT THANK YOU</v>
          </cell>
        </row>
        <row r="17368">
          <cell r="H17368" t="str">
            <v>PAYMET</v>
          </cell>
          <cell r="I17368" t="str">
            <v>METAVANTE ONLINE PAYMENT</v>
          </cell>
        </row>
        <row r="17369">
          <cell r="H17369" t="str">
            <v>PAYUSBL</v>
          </cell>
          <cell r="I17369" t="str">
            <v>PAYMENT THANK YOU</v>
          </cell>
        </row>
        <row r="17370">
          <cell r="H17370" t="str">
            <v>RET-KOL</v>
          </cell>
          <cell r="I17370" t="str">
            <v>ONLINE PAYMENT RETURN</v>
          </cell>
        </row>
        <row r="17371">
          <cell r="H17371" t="str">
            <v>CC-KOL</v>
          </cell>
          <cell r="I17371" t="str">
            <v>ONLINE PAYMENT-CC</v>
          </cell>
        </row>
        <row r="17372">
          <cell r="H17372" t="str">
            <v>CCREF-KOL</v>
          </cell>
          <cell r="I17372" t="str">
            <v>CREDIT CARD REFUND</v>
          </cell>
        </row>
        <row r="17373">
          <cell r="H17373" t="str">
            <v>PAY</v>
          </cell>
          <cell r="I17373" t="str">
            <v>PAYMENT THANK YOU</v>
          </cell>
        </row>
        <row r="17374">
          <cell r="H17374" t="str">
            <v>PAY-CFREE</v>
          </cell>
          <cell r="I17374" t="str">
            <v>CHECKFREE PAYMENT</v>
          </cell>
        </row>
        <row r="17375">
          <cell r="H17375" t="str">
            <v>PAY-KOL</v>
          </cell>
          <cell r="I17375" t="str">
            <v>PAYMENT-THANK YOU - OL</v>
          </cell>
        </row>
        <row r="17376">
          <cell r="H17376" t="str">
            <v>PAY-NATL</v>
          </cell>
          <cell r="I17376" t="str">
            <v>PAYMENT THANK YOU</v>
          </cell>
        </row>
        <row r="17377">
          <cell r="H17377" t="str">
            <v>PAY-OAK</v>
          </cell>
          <cell r="I17377" t="str">
            <v>OAKLEAF PAYMENT</v>
          </cell>
        </row>
        <row r="17378">
          <cell r="H17378" t="str">
            <v>PAY-ORCC</v>
          </cell>
          <cell r="I17378" t="str">
            <v>ORCC PAYMENT</v>
          </cell>
        </row>
        <row r="17379">
          <cell r="H17379" t="str">
            <v>PAY-RPPS</v>
          </cell>
          <cell r="I17379" t="str">
            <v>RPPS MASTERCARD PAYMENT</v>
          </cell>
        </row>
        <row r="17380">
          <cell r="H17380" t="str">
            <v>PAYAD</v>
          </cell>
          <cell r="I17380" t="str">
            <v>ADJUST PAYMENT AD</v>
          </cell>
        </row>
        <row r="17381">
          <cell r="H17381" t="str">
            <v>PAYEFT</v>
          </cell>
          <cell r="I17381" t="str">
            <v>EFT PAYMENT</v>
          </cell>
        </row>
        <row r="17382">
          <cell r="H17382" t="str">
            <v>PAYICLRI</v>
          </cell>
          <cell r="I17382" t="str">
            <v>PAYMENT THANK YOU</v>
          </cell>
        </row>
        <row r="17383">
          <cell r="H17383" t="str">
            <v>PAYICT</v>
          </cell>
          <cell r="I17383" t="str">
            <v>I/C PAYMENT THANK YOU</v>
          </cell>
        </row>
        <row r="17384">
          <cell r="H17384" t="str">
            <v>PAYL</v>
          </cell>
          <cell r="I17384" t="str">
            <v>PAYMENT THANK YOU</v>
          </cell>
        </row>
        <row r="17385">
          <cell r="H17385" t="str">
            <v>PAYMET</v>
          </cell>
          <cell r="I17385" t="str">
            <v>METAVANTE ONLINE PAYMENT</v>
          </cell>
        </row>
        <row r="17386">
          <cell r="H17386" t="str">
            <v>PAYUSBL</v>
          </cell>
          <cell r="I17386" t="str">
            <v>PAYMENT THANK YOU</v>
          </cell>
        </row>
        <row r="17387">
          <cell r="H17387" t="str">
            <v>RET-KOL</v>
          </cell>
          <cell r="I17387" t="str">
            <v>ONLINE PAYMENT RETURN</v>
          </cell>
        </row>
        <row r="17388">
          <cell r="H17388" t="str">
            <v>CC-KOL</v>
          </cell>
          <cell r="I17388" t="str">
            <v>ONLINE PAYMENT-CC</v>
          </cell>
        </row>
        <row r="17389">
          <cell r="H17389" t="str">
            <v>CCREF-KOL</v>
          </cell>
          <cell r="I17389" t="str">
            <v>CREDIT CARD REFUND</v>
          </cell>
        </row>
        <row r="17390">
          <cell r="H17390" t="str">
            <v>PAYUSBL</v>
          </cell>
          <cell r="I17390" t="str">
            <v>PAYMENT THANK YOU</v>
          </cell>
        </row>
        <row r="17391">
          <cell r="H17391" t="str">
            <v>DRIVEIN-RES</v>
          </cell>
          <cell r="I17391" t="str">
            <v>DRIVE IN SERVICE - RES</v>
          </cell>
        </row>
        <row r="17392">
          <cell r="H17392" t="str">
            <v>GWRES</v>
          </cell>
          <cell r="I17392" t="str">
            <v>GREENWASTE SERVICE - RES</v>
          </cell>
        </row>
        <row r="17393">
          <cell r="H17393" t="str">
            <v>RECBINONLYR</v>
          </cell>
          <cell r="I17393" t="str">
            <v>RECYCLE SERVICE ONLY</v>
          </cell>
        </row>
        <row r="17394">
          <cell r="H17394" t="str">
            <v>RECPROGADJ-RES</v>
          </cell>
          <cell r="I17394" t="str">
            <v>RECYCLING PROGRAM ADJUSTM</v>
          </cell>
        </row>
        <row r="17395">
          <cell r="H17395" t="str">
            <v>RECVALRES</v>
          </cell>
          <cell r="I17395" t="str">
            <v>RECYCLABLES VALUE - RES</v>
          </cell>
        </row>
        <row r="17396">
          <cell r="H17396" t="str">
            <v>RL032.0G1M001WREC</v>
          </cell>
          <cell r="I17396" t="str">
            <v>32 GL 1X MO W/RECY 1</v>
          </cell>
        </row>
        <row r="17397">
          <cell r="H17397" t="str">
            <v>RL032.0G1W001NOREC</v>
          </cell>
          <cell r="I17397" t="str">
            <v>32 GL 1X WK NO RECY 1</v>
          </cell>
        </row>
        <row r="17398">
          <cell r="H17398" t="str">
            <v>RL032.0G1W001WREC</v>
          </cell>
          <cell r="I17398" t="str">
            <v>32 GL 1X WK W/RECY 1</v>
          </cell>
        </row>
        <row r="17399">
          <cell r="H17399" t="str">
            <v>RL032.0G1W002NOREC</v>
          </cell>
          <cell r="I17399" t="str">
            <v>32 GL 1X WK NO RECY 2</v>
          </cell>
        </row>
        <row r="17400">
          <cell r="H17400" t="str">
            <v>RL032.0G1W002WREC</v>
          </cell>
          <cell r="I17400" t="str">
            <v>32 GL 1X WK W/RECY 2</v>
          </cell>
        </row>
        <row r="17401">
          <cell r="H17401" t="str">
            <v>RL032.0G1W003WREC</v>
          </cell>
          <cell r="I17401" t="str">
            <v>32 GL 1X WK W/RECY 3</v>
          </cell>
        </row>
        <row r="17402">
          <cell r="H17402" t="str">
            <v>SL035.0G1W001WREC</v>
          </cell>
          <cell r="I17402" t="str">
            <v>35 GL 1X WK W/ RECY 1</v>
          </cell>
        </row>
        <row r="17403">
          <cell r="H17403" t="str">
            <v>SL035.0GEO001WREC</v>
          </cell>
          <cell r="I17403" t="str">
            <v>35 GL EOW W/RECY 1</v>
          </cell>
        </row>
        <row r="17404">
          <cell r="H17404" t="str">
            <v>SL065.0G1M001NOREC</v>
          </cell>
          <cell r="I17404" t="str">
            <v>65 GL 1X MO NO RECY 1</v>
          </cell>
        </row>
        <row r="17405">
          <cell r="H17405" t="str">
            <v>SL065.0G1M001WREC</v>
          </cell>
          <cell r="I17405" t="str">
            <v>65 GL 1X MO W/RECY 1</v>
          </cell>
        </row>
        <row r="17406">
          <cell r="H17406" t="str">
            <v>SL065.0G1W001NOREC</v>
          </cell>
          <cell r="I17406" t="str">
            <v>65 GL 1X WK NO RECY 1</v>
          </cell>
        </row>
        <row r="17407">
          <cell r="H17407" t="str">
            <v>SL065.0G1W001WREC</v>
          </cell>
          <cell r="I17407" t="str">
            <v>65 GL 1X WK W/RECY 1</v>
          </cell>
        </row>
        <row r="17408">
          <cell r="H17408" t="str">
            <v>SL065.0GEO001NOREC</v>
          </cell>
          <cell r="I17408" t="str">
            <v>65 GL EOW NO RECY 1</v>
          </cell>
        </row>
        <row r="17409">
          <cell r="H17409" t="str">
            <v>SL065.0GEO001WREC</v>
          </cell>
          <cell r="I17409" t="str">
            <v>65 GL EOW W/RECY 1</v>
          </cell>
        </row>
        <row r="17410">
          <cell r="H17410" t="str">
            <v>SL095.0G1M001WREC</v>
          </cell>
          <cell r="I17410" t="str">
            <v>95 GL 1X MO W/RECY 1</v>
          </cell>
        </row>
        <row r="17411">
          <cell r="H17411" t="str">
            <v>SL095.0G1W001NOREC</v>
          </cell>
          <cell r="I17411" t="str">
            <v>95 GL 1X WK NO RECY 1</v>
          </cell>
        </row>
        <row r="17412">
          <cell r="H17412" t="str">
            <v>SL095.0G1W001WREC</v>
          </cell>
          <cell r="I17412" t="str">
            <v>95 GL 1X WK W/RECY 1</v>
          </cell>
        </row>
        <row r="17413">
          <cell r="H17413" t="str">
            <v>SL095.0GEO001WREC</v>
          </cell>
          <cell r="I17413" t="str">
            <v>95 GL EOW W/RECY 1</v>
          </cell>
        </row>
        <row r="17414">
          <cell r="H17414" t="str">
            <v>WI1-RES</v>
          </cell>
          <cell r="I17414" t="str">
            <v>WALK IN 6-25' - RES</v>
          </cell>
        </row>
        <row r="17415">
          <cell r="H17415" t="str">
            <v>BULKY-RES</v>
          </cell>
          <cell r="I17415" t="str">
            <v>BULKY ITEM PICK UP - RES</v>
          </cell>
        </row>
        <row r="17416">
          <cell r="H17416" t="str">
            <v>EP96GWC-RES</v>
          </cell>
          <cell r="I17416" t="str">
            <v>EXTRA PICK UP 96 GW - RES</v>
          </cell>
        </row>
        <row r="17417">
          <cell r="H17417" t="str">
            <v>EXTRA-RES</v>
          </cell>
          <cell r="I17417" t="str">
            <v>EXTRA CAN, BAG, BOX - RES</v>
          </cell>
        </row>
        <row r="17418">
          <cell r="H17418" t="str">
            <v>EXTRA65-RES</v>
          </cell>
          <cell r="I17418" t="str">
            <v>EXTRA 65 GL RES</v>
          </cell>
        </row>
        <row r="17419">
          <cell r="H17419" t="str">
            <v>EXTRA95-RES</v>
          </cell>
          <cell r="I17419" t="str">
            <v>EXTRA 95 GL RES</v>
          </cell>
        </row>
        <row r="17420">
          <cell r="H17420" t="str">
            <v>EXTRAGWC-RES</v>
          </cell>
          <cell r="I17420" t="str">
            <v>EXTRA GREENWASTE FEE - RE</v>
          </cell>
        </row>
        <row r="17421">
          <cell r="H17421" t="str">
            <v>GWRES</v>
          </cell>
          <cell r="I17421" t="str">
            <v>GREENWASTE SERVICE - RES</v>
          </cell>
        </row>
        <row r="17422">
          <cell r="H17422" t="str">
            <v>OC-RES</v>
          </cell>
          <cell r="I17422" t="str">
            <v>ON CALL SERVICE - RES</v>
          </cell>
        </row>
        <row r="17423">
          <cell r="H17423" t="str">
            <v>OS-RES</v>
          </cell>
          <cell r="I17423" t="str">
            <v>OVERSIZE CAN - RES</v>
          </cell>
        </row>
        <row r="17424">
          <cell r="H17424" t="str">
            <v>OW-RES</v>
          </cell>
          <cell r="I17424" t="str">
            <v>OVERFILL / OVERWEIGHT CAN</v>
          </cell>
        </row>
        <row r="17425">
          <cell r="H17425" t="str">
            <v>RECPROGADJ-RES</v>
          </cell>
          <cell r="I17425" t="str">
            <v>RECYCLING PROGRAM ADJUSTM</v>
          </cell>
        </row>
        <row r="17426">
          <cell r="H17426" t="str">
            <v>RECVALRES</v>
          </cell>
          <cell r="I17426" t="str">
            <v>RECYCLABLES VALUE - RES</v>
          </cell>
        </row>
        <row r="17427">
          <cell r="H17427" t="str">
            <v>REDEL-RES</v>
          </cell>
          <cell r="I17427" t="str">
            <v>REDELIVER FEE - RES</v>
          </cell>
        </row>
        <row r="17428">
          <cell r="H17428" t="str">
            <v>REINSTATE-RES</v>
          </cell>
          <cell r="I17428" t="str">
            <v>REINSTATE FEE - RES</v>
          </cell>
        </row>
        <row r="17429">
          <cell r="H17429" t="str">
            <v>RTRNCART65-RES</v>
          </cell>
          <cell r="I17429" t="str">
            <v>RETURN TRIP 65 GL - RES</v>
          </cell>
        </row>
        <row r="17430">
          <cell r="H17430" t="str">
            <v>RTRNCART95-RES</v>
          </cell>
          <cell r="I17430" t="str">
            <v>RETURN TRIP 95 GL - RES</v>
          </cell>
        </row>
        <row r="17431">
          <cell r="H17431" t="str">
            <v>RTRNCART96REC-RES</v>
          </cell>
          <cell r="I17431" t="str">
            <v>RETURN TRIP 96 GL REC - RES</v>
          </cell>
        </row>
        <row r="17432">
          <cell r="H17432" t="str">
            <v>SL035.0G1W001WREC</v>
          </cell>
          <cell r="I17432" t="str">
            <v>35 GL 1X WK W/ RECY 1</v>
          </cell>
        </row>
        <row r="17433">
          <cell r="H17433" t="str">
            <v>SL035.0GEO001WREC</v>
          </cell>
          <cell r="I17433" t="str">
            <v>35 GL EOW W/RECY 1</v>
          </cell>
        </row>
        <row r="17434">
          <cell r="H17434" t="str">
            <v>SL065.0G1W001WREC</v>
          </cell>
          <cell r="I17434" t="str">
            <v>65 GL 1X WK W/RECY 1</v>
          </cell>
        </row>
        <row r="17435">
          <cell r="H17435" t="str">
            <v>SL065.0GEO001WREC</v>
          </cell>
          <cell r="I17435" t="str">
            <v>65 GL EOW W/RECY 1</v>
          </cell>
        </row>
        <row r="17436">
          <cell r="H17436" t="str">
            <v>SL095.0G1W001WREC</v>
          </cell>
          <cell r="I17436" t="str">
            <v>95 GL 1X WK W/RECY 1</v>
          </cell>
        </row>
        <row r="17437">
          <cell r="H17437" t="str">
            <v>SPECIAL-RES</v>
          </cell>
          <cell r="I17437" t="str">
            <v>SPECIAL SERVICE - RES</v>
          </cell>
        </row>
        <row r="17438">
          <cell r="H17438" t="str">
            <v>SPGRAD1-RES</v>
          </cell>
          <cell r="I17438" t="str">
            <v>SPECIAL GRADUATED 1-2 - R</v>
          </cell>
        </row>
        <row r="17439">
          <cell r="H17439" t="str">
            <v>TIME-RES</v>
          </cell>
          <cell r="I17439" t="str">
            <v>TIME FEE 1 - RES</v>
          </cell>
        </row>
        <row r="17440">
          <cell r="H17440" t="str">
            <v>ACCESS-RES</v>
          </cell>
          <cell r="I17440" t="str">
            <v>ACCESS FEE - RES</v>
          </cell>
        </row>
        <row r="17441">
          <cell r="H17441" t="str">
            <v>DRIVEIN-RES</v>
          </cell>
          <cell r="I17441" t="str">
            <v>DRIVE IN SERVICE - RES</v>
          </cell>
        </row>
        <row r="17442">
          <cell r="H17442" t="str">
            <v>DRIVEINMUL-RES</v>
          </cell>
          <cell r="I17442" t="str">
            <v>DRIVE IN SVC MULTIPLE</v>
          </cell>
        </row>
        <row r="17443">
          <cell r="H17443" t="str">
            <v>EMPLOYEER</v>
          </cell>
          <cell r="I17443" t="str">
            <v>EMPLOYEE SERVICE RES</v>
          </cell>
        </row>
        <row r="17444">
          <cell r="H17444" t="str">
            <v>GWRES</v>
          </cell>
          <cell r="I17444" t="str">
            <v>GREENWASTE SERVICE - RES</v>
          </cell>
        </row>
        <row r="17445">
          <cell r="H17445" t="str">
            <v>RECBINONLYR</v>
          </cell>
          <cell r="I17445" t="str">
            <v>RECYCLE SERVICE ONLY</v>
          </cell>
        </row>
        <row r="17446">
          <cell r="H17446" t="str">
            <v>RECPROGADJ-RES</v>
          </cell>
          <cell r="I17446" t="str">
            <v>RECYCLING PROGRAM ADJUSTM</v>
          </cell>
        </row>
        <row r="17447">
          <cell r="H17447" t="str">
            <v>RECVALRES</v>
          </cell>
          <cell r="I17447" t="str">
            <v>RECYCLABLES VALUE - RES</v>
          </cell>
        </row>
        <row r="17448">
          <cell r="H17448" t="str">
            <v>RL020.0G1W001</v>
          </cell>
          <cell r="I17448" t="str">
            <v>20 GL 1X WK 1</v>
          </cell>
        </row>
        <row r="17449">
          <cell r="H17449" t="str">
            <v>RL032.0G1M001NOREC</v>
          </cell>
          <cell r="I17449" t="str">
            <v>32 GL 1X MO NO RECY 1</v>
          </cell>
        </row>
        <row r="17450">
          <cell r="H17450" t="str">
            <v>RL032.0G1M001WREC</v>
          </cell>
          <cell r="I17450" t="str">
            <v>32 GL 1X MO W/RECY 1</v>
          </cell>
        </row>
        <row r="17451">
          <cell r="H17451" t="str">
            <v>RL032.0G1W001NOREC</v>
          </cell>
          <cell r="I17451" t="str">
            <v>32 GL 1X WK NO RECY 1</v>
          </cell>
        </row>
        <row r="17452">
          <cell r="H17452" t="str">
            <v>RL032.0G1W001WREC</v>
          </cell>
          <cell r="I17452" t="str">
            <v>32 GL 1X WK W/RECY 1</v>
          </cell>
        </row>
        <row r="17453">
          <cell r="H17453" t="str">
            <v>RL032.0G1W002NOREC</v>
          </cell>
          <cell r="I17453" t="str">
            <v>32 GL 1X WK NO RECY 2</v>
          </cell>
        </row>
        <row r="17454">
          <cell r="H17454" t="str">
            <v>RL032.0G1W002WREC</v>
          </cell>
          <cell r="I17454" t="str">
            <v>32 GL 1X WK W/RECY 2</v>
          </cell>
        </row>
        <row r="17455">
          <cell r="H17455" t="str">
            <v>RL032.0G1W003WREC</v>
          </cell>
          <cell r="I17455" t="str">
            <v>32 GL 1X WK W/RECY 3</v>
          </cell>
        </row>
        <row r="17456">
          <cell r="H17456" t="str">
            <v>RL032.0G1W004NOREC</v>
          </cell>
          <cell r="I17456" t="str">
            <v>32 GL 1X WK NO RECY 4</v>
          </cell>
        </row>
        <row r="17457">
          <cell r="H17457" t="str">
            <v>RL032.0G1W004WREC</v>
          </cell>
          <cell r="I17457" t="str">
            <v>32 GL 1X WK W/RECY 4</v>
          </cell>
        </row>
        <row r="17458">
          <cell r="H17458" t="str">
            <v>SL035.0G1M001WREC</v>
          </cell>
          <cell r="I17458" t="str">
            <v>35 GL 1X MO W/RECY 1</v>
          </cell>
        </row>
        <row r="17459">
          <cell r="H17459" t="str">
            <v>SL035.0G1W001NOREC</v>
          </cell>
          <cell r="I17459" t="str">
            <v>35 GL 1X WK NO RECY 1</v>
          </cell>
        </row>
        <row r="17460">
          <cell r="H17460" t="str">
            <v>SL035.0G1W001WREC</v>
          </cell>
          <cell r="I17460" t="str">
            <v>35 GL 1X WK W/ RECY 1</v>
          </cell>
        </row>
        <row r="17461">
          <cell r="H17461" t="str">
            <v>SL035.0G1W002WREC</v>
          </cell>
          <cell r="I17461" t="str">
            <v>35 GL 1X WK W/RECY 2</v>
          </cell>
        </row>
        <row r="17462">
          <cell r="H17462" t="str">
            <v>SL035.0GEO001NOREC</v>
          </cell>
          <cell r="I17462" t="str">
            <v>35 GL EOW NO RECY 1</v>
          </cell>
        </row>
        <row r="17463">
          <cell r="H17463" t="str">
            <v>SL035.0GEO001WREC</v>
          </cell>
          <cell r="I17463" t="str">
            <v>35 GL EOW W/RECY 1</v>
          </cell>
        </row>
        <row r="17464">
          <cell r="H17464" t="str">
            <v>SL060.0G1M001WREC</v>
          </cell>
          <cell r="I17464" t="str">
            <v>60 GL 1X MO W/RECY 1</v>
          </cell>
        </row>
        <row r="17465">
          <cell r="H17465" t="str">
            <v>SL065.0G1M001NOREC</v>
          </cell>
          <cell r="I17465" t="str">
            <v>65 GL 1X MO NO RECY 1</v>
          </cell>
        </row>
        <row r="17466">
          <cell r="H17466" t="str">
            <v>SL065.0G1M001WREC</v>
          </cell>
          <cell r="I17466" t="str">
            <v>65 GL 1X MO W/RECY 1</v>
          </cell>
        </row>
        <row r="17467">
          <cell r="H17467" t="str">
            <v>SL065.0G1W001</v>
          </cell>
          <cell r="I17467" t="str">
            <v>65 GL 1X WK 1</v>
          </cell>
        </row>
        <row r="17468">
          <cell r="H17468" t="str">
            <v>SL065.0G1W001NOREC</v>
          </cell>
          <cell r="I17468" t="str">
            <v>65 GL 1X WK NO RECY 1</v>
          </cell>
        </row>
        <row r="17469">
          <cell r="H17469" t="str">
            <v>SL065.0G1W001WREC</v>
          </cell>
          <cell r="I17469" t="str">
            <v>65 GL 1X WK W/RECY 1</v>
          </cell>
        </row>
        <row r="17470">
          <cell r="H17470" t="str">
            <v>SL065.0GEO001NOREC</v>
          </cell>
          <cell r="I17470" t="str">
            <v>65 GL EOW NO RECY 1</v>
          </cell>
        </row>
        <row r="17471">
          <cell r="H17471" t="str">
            <v>SL065.0GEO001WREC</v>
          </cell>
          <cell r="I17471" t="str">
            <v>65 GL EOW W/RECY 1</v>
          </cell>
        </row>
        <row r="17472">
          <cell r="H17472" t="str">
            <v>SL095.0G1M001NOREC</v>
          </cell>
          <cell r="I17472" t="str">
            <v>95 GL 1X MO NO RECY 1</v>
          </cell>
        </row>
        <row r="17473">
          <cell r="H17473" t="str">
            <v>SL095.0G1M001WREC</v>
          </cell>
          <cell r="I17473" t="str">
            <v>95 GL 1X MO W/RECY 1</v>
          </cell>
        </row>
        <row r="17474">
          <cell r="H17474" t="str">
            <v>SL095.0G1W001NOREC</v>
          </cell>
          <cell r="I17474" t="str">
            <v>95 GL 1X WK NO RECY 1</v>
          </cell>
        </row>
        <row r="17475">
          <cell r="H17475" t="str">
            <v>SL095.0G1W001WREC</v>
          </cell>
          <cell r="I17475" t="str">
            <v>95 GL 1X WK W/RECY 1</v>
          </cell>
        </row>
        <row r="17476">
          <cell r="H17476" t="str">
            <v>SL095.0GEO001NOREC</v>
          </cell>
          <cell r="I17476" t="str">
            <v>95 GL EOW NO RECY 1</v>
          </cell>
        </row>
        <row r="17477">
          <cell r="H17477" t="str">
            <v>SL095.0GEO001WREC</v>
          </cell>
          <cell r="I17477" t="str">
            <v>95 GL EOW W/RECY 1</v>
          </cell>
        </row>
        <row r="17478">
          <cell r="H17478" t="str">
            <v>WI-RES</v>
          </cell>
          <cell r="I17478" t="str">
            <v>WALK IN 6-25' - RES</v>
          </cell>
        </row>
        <row r="17479">
          <cell r="H17479" t="str">
            <v>WI1-RES</v>
          </cell>
          <cell r="I17479" t="str">
            <v>WALK IN 6-25' - RES</v>
          </cell>
        </row>
        <row r="17480">
          <cell r="H17480" t="str">
            <v>WI2-RES</v>
          </cell>
          <cell r="I17480" t="str">
            <v>WALK IN 26-50' - RES</v>
          </cell>
        </row>
        <row r="17481">
          <cell r="H17481" t="str">
            <v>ADJ-RES</v>
          </cell>
          <cell r="I17481" t="str">
            <v>ADJUSTMENT SERVICE - RES</v>
          </cell>
        </row>
        <row r="17482">
          <cell r="H17482" t="str">
            <v>BULKY-RES</v>
          </cell>
          <cell r="I17482" t="str">
            <v>BULKY ITEM PICK UP - RES</v>
          </cell>
        </row>
        <row r="17483">
          <cell r="H17483" t="str">
            <v>EXTRA-RES</v>
          </cell>
          <cell r="I17483" t="str">
            <v>EXTRA CAN, BAG, BOX - RES</v>
          </cell>
        </row>
        <row r="17484">
          <cell r="H17484" t="str">
            <v>EXTRA65-RES</v>
          </cell>
          <cell r="I17484" t="str">
            <v>EXTRA 65 GL RES</v>
          </cell>
        </row>
        <row r="17485">
          <cell r="H17485" t="str">
            <v>EXTRA95-RES</v>
          </cell>
          <cell r="I17485" t="str">
            <v>EXTRA 95 GL RES</v>
          </cell>
        </row>
        <row r="17486">
          <cell r="H17486" t="str">
            <v>EXTRAGWC-RES</v>
          </cell>
          <cell r="I17486" t="str">
            <v>EXTRA GREENWASTE FEE - RE</v>
          </cell>
        </row>
        <row r="17487">
          <cell r="H17487" t="str">
            <v>GWRES</v>
          </cell>
          <cell r="I17487" t="str">
            <v>GREENWASTE SERVICE - RES</v>
          </cell>
        </row>
        <row r="17488">
          <cell r="H17488" t="str">
            <v>OC-RES</v>
          </cell>
          <cell r="I17488" t="str">
            <v>ON CALL SERVICE - RES</v>
          </cell>
        </row>
        <row r="17489">
          <cell r="H17489" t="str">
            <v>OS-RES</v>
          </cell>
          <cell r="I17489" t="str">
            <v>OVERSIZE CAN - RES</v>
          </cell>
        </row>
        <row r="17490">
          <cell r="H17490" t="str">
            <v>OW-RES</v>
          </cell>
          <cell r="I17490" t="str">
            <v>OVERFILL / OVERWEIGHT CAN</v>
          </cell>
        </row>
        <row r="17491">
          <cell r="H17491" t="str">
            <v>RECPROGADJ-RES</v>
          </cell>
          <cell r="I17491" t="str">
            <v>RECYCLING PROGRAM ADJUSTM</v>
          </cell>
        </row>
        <row r="17492">
          <cell r="H17492" t="str">
            <v>RECVALRES</v>
          </cell>
          <cell r="I17492" t="str">
            <v>RECYCLABLES VALUE - RES</v>
          </cell>
        </row>
        <row r="17493">
          <cell r="H17493" t="str">
            <v>REDEL-RES</v>
          </cell>
          <cell r="I17493" t="str">
            <v>REDELIVER FEE - RES</v>
          </cell>
        </row>
        <row r="17494">
          <cell r="H17494" t="str">
            <v>REINSTATE-RES</v>
          </cell>
          <cell r="I17494" t="str">
            <v>REINSTATE FEE - RES</v>
          </cell>
        </row>
        <row r="17495">
          <cell r="H17495" t="str">
            <v>RL032.0G1W001NOREC</v>
          </cell>
          <cell r="I17495" t="str">
            <v>32 GL 1X WK NO RECY 1</v>
          </cell>
        </row>
        <row r="17496">
          <cell r="H17496" t="str">
            <v>RL032.0G1W002NOREC</v>
          </cell>
          <cell r="I17496" t="str">
            <v>32 GL 1X WK NO RECY 2</v>
          </cell>
        </row>
        <row r="17497">
          <cell r="H17497" t="str">
            <v>RTRNCART65-RES</v>
          </cell>
          <cell r="I17497" t="str">
            <v>RETURN TRIP 65 GL - RES</v>
          </cell>
        </row>
        <row r="17498">
          <cell r="H17498" t="str">
            <v>RTRNCART95-RES</v>
          </cell>
          <cell r="I17498" t="str">
            <v>RETURN TRIP 95 GL - RES</v>
          </cell>
        </row>
        <row r="17499">
          <cell r="H17499" t="str">
            <v>RTRNCART96REC-RES</v>
          </cell>
          <cell r="I17499" t="str">
            <v>RETURN TRIP 96 GL REC - RES</v>
          </cell>
        </row>
        <row r="17500">
          <cell r="H17500" t="str">
            <v>SL065.0G1W001WREC</v>
          </cell>
          <cell r="I17500" t="str">
            <v>65 GL 1X WK W/RECY 1</v>
          </cell>
        </row>
        <row r="17501">
          <cell r="H17501" t="str">
            <v>SL065.0GEO001WREC</v>
          </cell>
          <cell r="I17501" t="str">
            <v>65 GL EOW W/RECY 1</v>
          </cell>
        </row>
        <row r="17502">
          <cell r="H17502" t="str">
            <v>SL095.0G1W001WREC</v>
          </cell>
          <cell r="I17502" t="str">
            <v>95 GL 1X WK W/RECY 1</v>
          </cell>
        </row>
        <row r="17503">
          <cell r="H17503" t="str">
            <v>TIME-RES</v>
          </cell>
          <cell r="I17503" t="str">
            <v>TIME FEE 1 - RES</v>
          </cell>
        </row>
        <row r="17504">
          <cell r="H17504" t="str">
            <v>GWRES</v>
          </cell>
          <cell r="I17504" t="str">
            <v>GREENWASTE SERVICE - RES</v>
          </cell>
        </row>
        <row r="17505">
          <cell r="H17505" t="str">
            <v>RECPROGADJ-RES</v>
          </cell>
          <cell r="I17505" t="str">
            <v>RECYCLING PROGRAM ADJUSTM</v>
          </cell>
        </row>
        <row r="17506">
          <cell r="H17506" t="str">
            <v>RECVALRES</v>
          </cell>
          <cell r="I17506" t="str">
            <v>RECYCLABLES VALUE - RES</v>
          </cell>
        </row>
        <row r="17507">
          <cell r="H17507" t="str">
            <v>SL065.0G1W001NOREC</v>
          </cell>
          <cell r="I17507" t="str">
            <v>65 GL 1X WK NO RECY 1</v>
          </cell>
        </row>
        <row r="17508">
          <cell r="H17508" t="str">
            <v>DISP-RES</v>
          </cell>
          <cell r="I17508" t="str">
            <v>DISPOSAL FEE -RES</v>
          </cell>
        </row>
        <row r="17509">
          <cell r="H17509" t="str">
            <v>DISPCMGL-RES</v>
          </cell>
          <cell r="I17509" t="str">
            <v>DISPOSAL COMINGLE - RES</v>
          </cell>
        </row>
        <row r="17510">
          <cell r="H17510" t="str">
            <v>DISPFEDMSW-RES</v>
          </cell>
          <cell r="I17510" t="str">
            <v>DISPOSAL FEDERAL MSW - RE</v>
          </cell>
        </row>
        <row r="17511">
          <cell r="H17511" t="str">
            <v>DISPGW-RES</v>
          </cell>
          <cell r="I17511" t="str">
            <v>DISPOSAL FEE GREENWASTE -</v>
          </cell>
        </row>
        <row r="17512">
          <cell r="H17512" t="str">
            <v>EXTRA-RES</v>
          </cell>
          <cell r="I17512" t="str">
            <v>EXTRA CAN, BAG, BOX - RES</v>
          </cell>
        </row>
        <row r="17513">
          <cell r="H17513" t="str">
            <v>EXTRAGWC-RES</v>
          </cell>
          <cell r="I17513" t="str">
            <v>EXTRA GREENWASTE FEE - RE</v>
          </cell>
        </row>
        <row r="17514">
          <cell r="H17514" t="str">
            <v>OC-RES</v>
          </cell>
          <cell r="I17514" t="str">
            <v>ON CALL SERVICE - RES</v>
          </cell>
        </row>
        <row r="17515">
          <cell r="H17515" t="str">
            <v>OW-RES</v>
          </cell>
          <cell r="I17515" t="str">
            <v>OVERFILL / OVERWEIGHT CAN</v>
          </cell>
        </row>
        <row r="17516">
          <cell r="H17516" t="str">
            <v>REINSTATE-RES</v>
          </cell>
          <cell r="I17516" t="str">
            <v>REINSTATE FEE - RES</v>
          </cell>
        </row>
        <row r="17517">
          <cell r="H17517" t="str">
            <v>TIME-RES</v>
          </cell>
          <cell r="I17517" t="str">
            <v>TIME FEE 1 - RES</v>
          </cell>
        </row>
        <row r="17518">
          <cell r="H17518" t="str">
            <v>DISP-RES</v>
          </cell>
          <cell r="I17518" t="str">
            <v>DISPOSAL FEE -RES</v>
          </cell>
        </row>
        <row r="17519">
          <cell r="H17519" t="str">
            <v>DISPCMGL-RES</v>
          </cell>
          <cell r="I17519" t="str">
            <v>DISPOSAL COMINGLE - RES</v>
          </cell>
        </row>
        <row r="17520">
          <cell r="H17520" t="str">
            <v>DISPGW-RES</v>
          </cell>
          <cell r="I17520" t="str">
            <v>DISPOSAL FEE GREENWASTE -</v>
          </cell>
        </row>
        <row r="17521">
          <cell r="H17521" t="str">
            <v>HAUL20-RO</v>
          </cell>
          <cell r="I17521" t="str">
            <v>HAUL 20 YD - RO</v>
          </cell>
        </row>
        <row r="17522">
          <cell r="H17522" t="str">
            <v>LIDRO</v>
          </cell>
          <cell r="I17522" t="str">
            <v>LID CHARGE - RO</v>
          </cell>
        </row>
        <row r="17523">
          <cell r="H17523" t="str">
            <v>RENT10MO-RO</v>
          </cell>
          <cell r="I17523" t="str">
            <v>RENTAL FEE 10 YD MONTHLY</v>
          </cell>
        </row>
        <row r="17524">
          <cell r="H17524" t="str">
            <v>RENT20MO-RO</v>
          </cell>
          <cell r="I17524" t="str">
            <v>RENTAL FEE 20 YD MONTHLY</v>
          </cell>
        </row>
        <row r="17525">
          <cell r="H17525" t="str">
            <v>RENT30MO-RO</v>
          </cell>
          <cell r="I17525" t="str">
            <v>RENTAL FEE 30 YD MONTHLY</v>
          </cell>
        </row>
        <row r="17526">
          <cell r="H17526" t="str">
            <v>RENT40MO-RO</v>
          </cell>
          <cell r="I17526" t="str">
            <v>RENTAL FEE 40 YD MONTHLY</v>
          </cell>
        </row>
        <row r="17527">
          <cell r="H17527" t="str">
            <v>CLEAN30-RO</v>
          </cell>
          <cell r="I17527" t="str">
            <v>CLEANING FEE 30 YD - RO</v>
          </cell>
        </row>
        <row r="17528">
          <cell r="H17528" t="str">
            <v>COMMODITY</v>
          </cell>
          <cell r="I17528" t="str">
            <v>COMMODITY</v>
          </cell>
        </row>
        <row r="17529">
          <cell r="H17529" t="str">
            <v>DEL20-RO</v>
          </cell>
          <cell r="I17529" t="str">
            <v>DELIVERY FEE 20 YD - RO</v>
          </cell>
        </row>
        <row r="17530">
          <cell r="H17530" t="str">
            <v>DEL20TEMP-RO</v>
          </cell>
          <cell r="I17530" t="str">
            <v>DELIVERY FEE 20 YD TEMP -</v>
          </cell>
        </row>
        <row r="17531">
          <cell r="H17531" t="str">
            <v>DEL30-RO</v>
          </cell>
          <cell r="I17531" t="str">
            <v>DELIVERY FEE 30 YD - RO</v>
          </cell>
        </row>
        <row r="17532">
          <cell r="H17532" t="str">
            <v>DEL30TEMP-RO</v>
          </cell>
          <cell r="I17532" t="str">
            <v>DELIVERY FEE 30 YD TEMP -</v>
          </cell>
        </row>
        <row r="17533">
          <cell r="H17533" t="str">
            <v>DEL40-RO</v>
          </cell>
          <cell r="I17533" t="str">
            <v>DELIVERY FEE 40 YD - RO</v>
          </cell>
        </row>
        <row r="17534">
          <cell r="H17534" t="str">
            <v>DEL40TEMP-RO</v>
          </cell>
          <cell r="I17534" t="str">
            <v>DELIVERY FEE 40 YD TEMP -</v>
          </cell>
        </row>
        <row r="17535">
          <cell r="H17535" t="str">
            <v>DISCO-CP</v>
          </cell>
          <cell r="I17535" t="str">
            <v xml:space="preserve">COMPACTOR DISCONNECT FEE </v>
          </cell>
        </row>
        <row r="17536">
          <cell r="H17536" t="str">
            <v>DISP-RO</v>
          </cell>
          <cell r="I17536" t="str">
            <v>DISPOSAL CHARGE - RO</v>
          </cell>
        </row>
        <row r="17537">
          <cell r="H17537" t="str">
            <v>DISPCMGL-RO</v>
          </cell>
          <cell r="I17537" t="str">
            <v xml:space="preserve">DISPOSAL FEE COMMINGLE - </v>
          </cell>
        </row>
        <row r="17538">
          <cell r="H17538" t="str">
            <v>DISPDEMO-RO</v>
          </cell>
          <cell r="I17538" t="str">
            <v>DISPOSAL FEE DEMO - RO</v>
          </cell>
        </row>
        <row r="17539">
          <cell r="H17539" t="str">
            <v>DISPGLASS-RO</v>
          </cell>
          <cell r="I17539" t="str">
            <v>DISPOSAL FEE GLASS - RO</v>
          </cell>
        </row>
        <row r="17540">
          <cell r="H17540" t="str">
            <v>DISPTOTERS-RO</v>
          </cell>
          <cell r="I17540" t="str">
            <v>DISPOSAL FEE TOTERS</v>
          </cell>
        </row>
        <row r="17541">
          <cell r="H17541" t="str">
            <v>DISPTRANS-RO</v>
          </cell>
          <cell r="I17541" t="str">
            <v>DISPOSAL FEE TRANSFER HAU</v>
          </cell>
        </row>
        <row r="17542">
          <cell r="H17542" t="str">
            <v>EXWGHT-RO</v>
          </cell>
          <cell r="I17542" t="str">
            <v>EXCESS WEIGHT - RO</v>
          </cell>
        </row>
        <row r="17543">
          <cell r="H17543" t="str">
            <v>FERRY-RO</v>
          </cell>
          <cell r="I17543" t="str">
            <v>FERRY FEE - RO</v>
          </cell>
        </row>
        <row r="17544">
          <cell r="H17544" t="str">
            <v>FINAL20-RO</v>
          </cell>
          <cell r="I17544" t="str">
            <v>FINAL PULL 20 YD - RO</v>
          </cell>
        </row>
        <row r="17545">
          <cell r="H17545" t="str">
            <v>FINAL20TEMP-RO</v>
          </cell>
          <cell r="I17545" t="str">
            <v>FINAL PULL 20 YD TEMP - R</v>
          </cell>
        </row>
        <row r="17546">
          <cell r="H17546" t="str">
            <v>FINAL30-RO</v>
          </cell>
          <cell r="I17546" t="str">
            <v>FINAL PULL 30 YD - RO</v>
          </cell>
        </row>
        <row r="17547">
          <cell r="H17547" t="str">
            <v>FINAL30TEMP-RO</v>
          </cell>
          <cell r="I17547" t="str">
            <v>FINAL PULL 30 YD TEMP - R</v>
          </cell>
        </row>
        <row r="17548">
          <cell r="H17548" t="str">
            <v>FINAL40TEMP-RO</v>
          </cell>
          <cell r="I17548" t="str">
            <v>FINAL PULL 40 YD TEMP - R</v>
          </cell>
        </row>
        <row r="17549">
          <cell r="H17549" t="str">
            <v>HAUL10-CP</v>
          </cell>
          <cell r="I17549" t="str">
            <v>COMPACTOR HAUL 10 YD - RO</v>
          </cell>
        </row>
        <row r="17550">
          <cell r="H17550" t="str">
            <v>HAUL20-CP</v>
          </cell>
          <cell r="I17550" t="str">
            <v>COMPACTOR HAUL 20 YD - RO</v>
          </cell>
        </row>
        <row r="17551">
          <cell r="H17551" t="str">
            <v>HAUL20-RO</v>
          </cell>
          <cell r="I17551" t="str">
            <v>HAUL 20 YD - RO</v>
          </cell>
        </row>
        <row r="17552">
          <cell r="H17552" t="str">
            <v>HAUL20CUST-RO</v>
          </cell>
          <cell r="I17552" t="str">
            <v>HAUL 20 YD CUST - RO</v>
          </cell>
        </row>
        <row r="17553">
          <cell r="H17553" t="str">
            <v>HAUL20TEMP-RO</v>
          </cell>
          <cell r="I17553" t="str">
            <v>HAUL 20 YD TEMP - RO</v>
          </cell>
        </row>
        <row r="17554">
          <cell r="H17554" t="str">
            <v>HAUL25-CP</v>
          </cell>
          <cell r="I17554" t="str">
            <v>COMPACTOR HAUL 25 YD - RO</v>
          </cell>
        </row>
        <row r="17555">
          <cell r="H17555" t="str">
            <v>HAUL30-CP</v>
          </cell>
          <cell r="I17555" t="str">
            <v>COMPACTOR HAUL 30 YD</v>
          </cell>
        </row>
        <row r="17556">
          <cell r="H17556" t="str">
            <v>HAUL30-RO</v>
          </cell>
          <cell r="I17556" t="str">
            <v>HAUL 30 YD - RO</v>
          </cell>
        </row>
        <row r="17557">
          <cell r="H17557" t="str">
            <v>HAUL30TEMP-RO</v>
          </cell>
          <cell r="I17557" t="str">
            <v>HAUL 30 YD TEMP - RO</v>
          </cell>
        </row>
        <row r="17558">
          <cell r="H17558" t="str">
            <v>HAUL40-CP</v>
          </cell>
          <cell r="I17558" t="str">
            <v>COMPACTOR HAUL 40 YD</v>
          </cell>
        </row>
        <row r="17559">
          <cell r="H17559" t="str">
            <v>HAUL40-RO</v>
          </cell>
          <cell r="I17559" t="str">
            <v>HAUL 40 YD - RO</v>
          </cell>
        </row>
        <row r="17560">
          <cell r="H17560" t="str">
            <v>HAUL40TEMP-RO</v>
          </cell>
          <cell r="I17560" t="str">
            <v>HAUL 40 YD TEMP - RO</v>
          </cell>
        </row>
        <row r="17561">
          <cell r="H17561" t="str">
            <v>MILE-RO</v>
          </cell>
          <cell r="I17561" t="str">
            <v>MILEAGE FEE - RO</v>
          </cell>
        </row>
        <row r="17562">
          <cell r="H17562" t="str">
            <v>RENT20TEMP-RO</v>
          </cell>
          <cell r="I17562" t="str">
            <v>RENTAL FEE 20 YD TEMP - R</v>
          </cell>
        </row>
        <row r="17563">
          <cell r="H17563" t="str">
            <v>RENT30TEMP-RO</v>
          </cell>
          <cell r="I17563" t="str">
            <v>RENTAL FEE 30 YD TEMP - R</v>
          </cell>
        </row>
        <row r="17564">
          <cell r="H17564" t="str">
            <v>RENT40TEMP-RO</v>
          </cell>
          <cell r="I17564" t="str">
            <v>RENTAL FEE 40 YD TEMP - R</v>
          </cell>
        </row>
        <row r="17565">
          <cell r="H17565" t="str">
            <v>RTRNTRIP-RO</v>
          </cell>
          <cell r="I17565" t="str">
            <v>RETURN TRIP FEE - RO</v>
          </cell>
        </row>
        <row r="17566">
          <cell r="H17566" t="str">
            <v>TIME-RO</v>
          </cell>
          <cell r="I17566" t="str">
            <v>TIME FEE - RO</v>
          </cell>
        </row>
        <row r="17567">
          <cell r="H17567" t="str">
            <v>DISPGLASS-RO</v>
          </cell>
          <cell r="I17567" t="str">
            <v>DISPOSAL FEE GLASS - RO</v>
          </cell>
        </row>
        <row r="17568">
          <cell r="H17568" t="str">
            <v>HAUL30-RO</v>
          </cell>
          <cell r="I17568" t="str">
            <v>HAUL 30 YD - RO</v>
          </cell>
        </row>
        <row r="17569">
          <cell r="H17569" t="str">
            <v>COMMODITY SURCHARGE</v>
          </cell>
          <cell r="I17569" t="str">
            <v>COMMODITY SURCHARGE</v>
          </cell>
        </row>
        <row r="17570">
          <cell r="H17570" t="str">
            <v>COMMODITY SURCHARGE</v>
          </cell>
          <cell r="I17570" t="str">
            <v>COMMODITY SURCHARGE</v>
          </cell>
        </row>
        <row r="17571">
          <cell r="H17571" t="str">
            <v>COMMODITY SURCHARGE</v>
          </cell>
          <cell r="I17571" t="str">
            <v>COMMODITY SURCHARGE</v>
          </cell>
        </row>
        <row r="17572">
          <cell r="H17572" t="str">
            <v xml:space="preserve">PIERCE COUNTY REFUSE </v>
          </cell>
          <cell r="I17572" t="str">
            <v>3.6% PIERCE COUNTY REFUSE</v>
          </cell>
        </row>
        <row r="17573">
          <cell r="H17573" t="str">
            <v xml:space="preserve">PIERCE COUNTY REFUSE  </v>
          </cell>
          <cell r="I17573" t="str">
            <v>3.6% PIERCE COUNTY REFUSE</v>
          </cell>
        </row>
        <row r="17574">
          <cell r="H17574" t="str">
            <v>PIERCE REFUSE TAX</v>
          </cell>
          <cell r="I17574" t="str">
            <v>3.6% WA STATE REFUSE TAX</v>
          </cell>
        </row>
        <row r="17575">
          <cell r="H17575" t="str">
            <v xml:space="preserve">PIERCE COUNTY REFUSE </v>
          </cell>
          <cell r="I17575" t="str">
            <v>3.6% PIERCE COUNTY REFUSE</v>
          </cell>
        </row>
        <row r="17576">
          <cell r="H17576" t="str">
            <v xml:space="preserve">PIERCE COUNTY REFUSE  </v>
          </cell>
          <cell r="I17576" t="str">
            <v>3.6% PIERCE COUNTY REFUSE</v>
          </cell>
        </row>
        <row r="17577">
          <cell r="H17577" t="str">
            <v>PIERCE COUNTY REFUSE</v>
          </cell>
          <cell r="I17577" t="str">
            <v>3.6% PIERCE COUNTY REFUSE</v>
          </cell>
        </row>
        <row r="17578">
          <cell r="H17578" t="str">
            <v>PIERCE COUNTY SALES 7.9%</v>
          </cell>
          <cell r="I17578" t="str">
            <v>7.9% WA STATE SALES TAX</v>
          </cell>
        </row>
        <row r="17579">
          <cell r="H17579" t="str">
            <v>PIERCE COUNTY SALES 9.3%</v>
          </cell>
          <cell r="I17579" t="str">
            <v>9.3% WA STATE SALES TAX</v>
          </cell>
        </row>
        <row r="17580">
          <cell r="H17580" t="str">
            <v>PIERCE REFUSE TAX</v>
          </cell>
          <cell r="I17580" t="str">
            <v>3.6% WA STATE REFUSE TAX</v>
          </cell>
        </row>
        <row r="17581">
          <cell r="H17581" t="str">
            <v>PIERCE STATE SALES TAX</v>
          </cell>
          <cell r="I17581" t="str">
            <v>9.9% WA STATE SALES TAX</v>
          </cell>
        </row>
        <row r="17582">
          <cell r="H17582" t="str">
            <v xml:space="preserve">PIERCE COUNTY REFUSE </v>
          </cell>
          <cell r="I17582" t="str">
            <v>3.6% PIERCE COUNTY REFUSE</v>
          </cell>
        </row>
        <row r="17583">
          <cell r="H17583" t="str">
            <v xml:space="preserve">PIERCE COUNTY REFUSE  </v>
          </cell>
          <cell r="I17583" t="str">
            <v>3.6% PIERCE COUNTY REFUSE</v>
          </cell>
        </row>
        <row r="17584">
          <cell r="H17584" t="str">
            <v>PIERCE COUNTY REFUSE</v>
          </cell>
          <cell r="I17584" t="str">
            <v>3.6% PIERCE COUNTY REFUSE</v>
          </cell>
        </row>
        <row r="17585">
          <cell r="H17585" t="str">
            <v>PIERCE REFUSE TAX</v>
          </cell>
          <cell r="I17585" t="str">
            <v>3.6% WA STATE REFUSE TAX</v>
          </cell>
        </row>
        <row r="17586">
          <cell r="H17586" t="str">
            <v>PIERCE STATE SALES TAX</v>
          </cell>
          <cell r="I17586" t="str">
            <v>9.9% WA STATE SALES TAX</v>
          </cell>
        </row>
        <row r="17587">
          <cell r="H17587" t="str">
            <v xml:space="preserve">PIERCE COUNTY REFUSE </v>
          </cell>
          <cell r="I17587" t="str">
            <v>3.6% PIERCE COUNTY REFUSE</v>
          </cell>
        </row>
        <row r="17588">
          <cell r="H17588" t="str">
            <v xml:space="preserve">PIERCE COUNTY REFUSE  </v>
          </cell>
          <cell r="I17588" t="str">
            <v>3.6% PIERCE COUNTY REFUSE</v>
          </cell>
        </row>
        <row r="17589">
          <cell r="H17589" t="str">
            <v>PIERCE COUNTY REFUSE</v>
          </cell>
          <cell r="I17589" t="str">
            <v>3.6% PIERCE COUNTY REFUSE</v>
          </cell>
        </row>
        <row r="17590">
          <cell r="H17590" t="str">
            <v>PIERCE REFUSE TAX</v>
          </cell>
          <cell r="I17590" t="str">
            <v>3.6% WA STATE REFUSE TAX</v>
          </cell>
        </row>
        <row r="17591">
          <cell r="H17591" t="str">
            <v xml:space="preserve">PIERCE COUNTY REFUSE </v>
          </cell>
          <cell r="I17591" t="str">
            <v>3.6% PIERCE COUNTY REFUSE</v>
          </cell>
        </row>
        <row r="17592">
          <cell r="H17592" t="str">
            <v xml:space="preserve">PIERCE COUNTY REFUSE  </v>
          </cell>
          <cell r="I17592" t="str">
            <v>3.6% PIERCE COUNTY REFUSE</v>
          </cell>
        </row>
        <row r="17593">
          <cell r="H17593" t="str">
            <v>PIERCE COUNTY REFUSE</v>
          </cell>
          <cell r="I17593" t="str">
            <v>3.6% PIERCE COUNTY REFUSE</v>
          </cell>
        </row>
        <row r="17594">
          <cell r="H17594" t="str">
            <v>PIERCE REFUSE TAX</v>
          </cell>
          <cell r="I17594" t="str">
            <v>3.6% WA STATE REFUSE TAX</v>
          </cell>
        </row>
        <row r="17595">
          <cell r="H17595" t="str">
            <v xml:space="preserve">PIERCE COUNTY REFUSE </v>
          </cell>
          <cell r="I17595" t="str">
            <v>3.6% PIERCE COUNTY REFUSE</v>
          </cell>
        </row>
        <row r="17596">
          <cell r="H17596" t="str">
            <v xml:space="preserve">PIERCE COUNTY REFUSE  </v>
          </cell>
          <cell r="I17596" t="str">
            <v>3.6% PIERCE COUNTY REFUSE</v>
          </cell>
        </row>
        <row r="17597">
          <cell r="H17597" t="str">
            <v>PIERCE COUNTY SALES 7.9%</v>
          </cell>
          <cell r="I17597" t="str">
            <v>7.9% WA STATE SALES TAX</v>
          </cell>
        </row>
        <row r="17598">
          <cell r="H17598" t="str">
            <v>PIERCE COUNTY SALES 9.3%</v>
          </cell>
          <cell r="I17598" t="str">
            <v>9.3% WA STATE SALES TAX</v>
          </cell>
        </row>
        <row r="17599">
          <cell r="H17599" t="str">
            <v>PIERCE REFUSE TAX</v>
          </cell>
          <cell r="I17599" t="str">
            <v>3.6% WA STATE REFUSE TAX</v>
          </cell>
        </row>
        <row r="17600">
          <cell r="H17600" t="str">
            <v>PIERCE STATE SALES TAX</v>
          </cell>
          <cell r="I17600" t="str">
            <v>9.9% WA STATE SALES TAX</v>
          </cell>
        </row>
        <row r="17601">
          <cell r="H17601" t="str">
            <v>PIERCE REFUSE TAX</v>
          </cell>
          <cell r="I17601" t="str">
            <v>3.6% WA STATE REFUSE TAX</v>
          </cell>
        </row>
        <row r="17602">
          <cell r="H17602" t="str">
            <v>FINCHG</v>
          </cell>
          <cell r="I17602" t="str">
            <v>LATE FEE</v>
          </cell>
        </row>
        <row r="17603">
          <cell r="H17603" t="str">
            <v>BD</v>
          </cell>
          <cell r="I17603" t="str">
            <v>BAD DEBT WRITE OFF</v>
          </cell>
        </row>
        <row r="17604">
          <cell r="H17604" t="str">
            <v>BDR</v>
          </cell>
          <cell r="I17604" t="str">
            <v>BAD DEBT RECOVERY</v>
          </cell>
        </row>
        <row r="17605">
          <cell r="H17605" t="str">
            <v>COLLFEE</v>
          </cell>
          <cell r="I17605" t="str">
            <v>COLLECTION AGENCY FEE</v>
          </cell>
        </row>
        <row r="17606">
          <cell r="H17606" t="str">
            <v>FINCHG</v>
          </cell>
          <cell r="I17606" t="str">
            <v>LATE FEE</v>
          </cell>
        </row>
        <row r="17607">
          <cell r="H17607" t="str">
            <v>MM</v>
          </cell>
          <cell r="I17607" t="str">
            <v>ADJUST BALANCE (MM)</v>
          </cell>
        </row>
        <row r="17608">
          <cell r="H17608" t="str">
            <v>MM</v>
          </cell>
          <cell r="I17608" t="str">
            <v>ADJUST BALANCE (MM)</v>
          </cell>
        </row>
        <row r="17609">
          <cell r="H17609" t="str">
            <v>REFUND</v>
          </cell>
          <cell r="I17609" t="str">
            <v>REFUND</v>
          </cell>
        </row>
        <row r="17610">
          <cell r="H17610" t="str">
            <v>ACCESS-COMM</v>
          </cell>
          <cell r="I17610" t="str">
            <v>ACCESS FEE - COMM</v>
          </cell>
        </row>
        <row r="17611">
          <cell r="H17611" t="str">
            <v>DONATIONC</v>
          </cell>
          <cell r="I17611" t="str">
            <v>DONATED SERVICE COMM</v>
          </cell>
        </row>
        <row r="17612">
          <cell r="H17612" t="str">
            <v>DRIVEIN1-COMM</v>
          </cell>
          <cell r="I17612" t="str">
            <v>DRIVE IN 125-250' - COMM</v>
          </cell>
        </row>
        <row r="17613">
          <cell r="H17613" t="str">
            <v>FL001.0Y1W001</v>
          </cell>
          <cell r="I17613" t="str">
            <v>1 YD 1X WK 1</v>
          </cell>
        </row>
        <row r="17614">
          <cell r="H17614" t="str">
            <v>FL001.0Y1W001MF</v>
          </cell>
          <cell r="I17614" t="str">
            <v>1 YD 1X WK MULTI-FAMILY 1</v>
          </cell>
        </row>
        <row r="17615">
          <cell r="H17615" t="str">
            <v>FL001.5Y1W001</v>
          </cell>
          <cell r="I17615" t="str">
            <v>1.5 YD 1X WK 1</v>
          </cell>
        </row>
        <row r="17616">
          <cell r="H17616" t="str">
            <v>FL001.5Y1W001MF</v>
          </cell>
          <cell r="I17616" t="str">
            <v>1.5 YD 1X WK MULTI-FAMILY 1</v>
          </cell>
        </row>
        <row r="17617">
          <cell r="H17617" t="str">
            <v>FL001.5Y2W001</v>
          </cell>
          <cell r="I17617" t="str">
            <v>1.5 YD 2X WK 1</v>
          </cell>
        </row>
        <row r="17618">
          <cell r="H17618" t="str">
            <v>FL001.5Y2W001MF</v>
          </cell>
          <cell r="I17618" t="str">
            <v>1.5 YD 2X WK MULTI-FAMILY 1</v>
          </cell>
        </row>
        <row r="17619">
          <cell r="H17619" t="str">
            <v>FL002.0Y1W001</v>
          </cell>
          <cell r="I17619" t="str">
            <v>2 YD 1X WK 1</v>
          </cell>
        </row>
        <row r="17620">
          <cell r="H17620" t="str">
            <v>FL002.0Y1W001MF</v>
          </cell>
          <cell r="I17620" t="str">
            <v>2 YD 1X WK MULTI-FAMILY 1</v>
          </cell>
        </row>
        <row r="17621">
          <cell r="H17621" t="str">
            <v>FL002.0Y2W001</v>
          </cell>
          <cell r="I17621" t="str">
            <v>2 YD 2X WK 1</v>
          </cell>
        </row>
        <row r="17622">
          <cell r="H17622" t="str">
            <v>FL002.0Y2W001MF</v>
          </cell>
          <cell r="I17622" t="str">
            <v>2 YD 2X WK MULTI-FAMILY 1</v>
          </cell>
        </row>
        <row r="17623">
          <cell r="H17623" t="str">
            <v>FL003.0Y1W001MF</v>
          </cell>
          <cell r="I17623" t="str">
            <v>3 YD 1X WK MULTI-FAMILY 1</v>
          </cell>
        </row>
        <row r="17624">
          <cell r="H17624" t="str">
            <v>FL004.0Y1W001</v>
          </cell>
          <cell r="I17624" t="str">
            <v>4 YD 1X WK 1</v>
          </cell>
        </row>
        <row r="17625">
          <cell r="H17625" t="str">
            <v>FL004.0Y1W001MF</v>
          </cell>
          <cell r="I17625" t="str">
            <v>4 YD 1X WK MULTI-FAMILY 1</v>
          </cell>
        </row>
        <row r="17626">
          <cell r="H17626" t="str">
            <v>FL004.0Y2W001MF</v>
          </cell>
          <cell r="I17626" t="str">
            <v>4 YD 2X WK MULTI-FAMILY 1</v>
          </cell>
        </row>
        <row r="17627">
          <cell r="H17627" t="str">
            <v>FL006.0Y1W001</v>
          </cell>
          <cell r="I17627" t="str">
            <v>6 YD 1X WK 1</v>
          </cell>
        </row>
        <row r="17628">
          <cell r="H17628" t="str">
            <v>FL006.0Y1W001MF</v>
          </cell>
          <cell r="I17628" t="str">
            <v>6 YD 1X WK MULTI-FAMILY 1</v>
          </cell>
        </row>
        <row r="17629">
          <cell r="H17629" t="str">
            <v>FL006.0Y2W001</v>
          </cell>
          <cell r="I17629" t="str">
            <v>6 YD 2X WK 1</v>
          </cell>
        </row>
        <row r="17630">
          <cell r="H17630" t="str">
            <v>GWCOMM</v>
          </cell>
          <cell r="I17630" t="str">
            <v>GREENWASTE SERVICE - COMM</v>
          </cell>
        </row>
        <row r="17631">
          <cell r="H17631" t="str">
            <v>RL032.0G1W001WRECC</v>
          </cell>
          <cell r="I17631" t="str">
            <v>32 GL 1X WK W/RECY COMM 1</v>
          </cell>
        </row>
        <row r="17632">
          <cell r="H17632" t="str">
            <v>RL032.0G1W002WRECC</v>
          </cell>
          <cell r="I17632" t="str">
            <v>32 GL 1X WK W/RECY COMM 2</v>
          </cell>
        </row>
        <row r="17633">
          <cell r="H17633" t="str">
            <v>RL032.0G1W006WRECC</v>
          </cell>
          <cell r="I17633" t="str">
            <v>32 GL 1X WK W/RECY COMM 6</v>
          </cell>
        </row>
        <row r="17634">
          <cell r="H17634" t="str">
            <v>SL065.0G1W001WRECC</v>
          </cell>
          <cell r="I17634" t="str">
            <v>65 GL 1X WK W/RECY COMM 1</v>
          </cell>
        </row>
        <row r="17635">
          <cell r="H17635" t="str">
            <v>SL065.0GEO001WRECC</v>
          </cell>
          <cell r="I17635" t="str">
            <v>65 GL EOW W/RECY COMM 1</v>
          </cell>
        </row>
        <row r="17636">
          <cell r="H17636" t="str">
            <v>SL095.0G1W001WRECC</v>
          </cell>
          <cell r="I17636" t="str">
            <v>95 GL 1X WK W/RECY COMM 1</v>
          </cell>
        </row>
        <row r="17637">
          <cell r="H17637" t="str">
            <v>SL095.0GEO001WRECC</v>
          </cell>
          <cell r="I17637" t="str">
            <v>95 GL EOW W/RECY COMM 1</v>
          </cell>
        </row>
        <row r="17638">
          <cell r="H17638" t="str">
            <v>WI1-COMM</v>
          </cell>
          <cell r="I17638" t="str">
            <v>WALK IN 6-25' - COMM</v>
          </cell>
        </row>
        <row r="17639">
          <cell r="H17639" t="str">
            <v>CLEAN2-COMM</v>
          </cell>
          <cell r="I17639" t="str">
            <v>CLEANING FEE 2 YD - COMM</v>
          </cell>
        </row>
        <row r="17640">
          <cell r="H17640" t="str">
            <v>DEL-COMM</v>
          </cell>
          <cell r="I17640" t="str">
            <v>DELIVERY FEE - COMM</v>
          </cell>
        </row>
        <row r="17641">
          <cell r="H17641" t="str">
            <v>DEL2TEMP-COMM</v>
          </cell>
          <cell r="I17641" t="str">
            <v xml:space="preserve">DELIVERY FEE 2 YD TEMP - </v>
          </cell>
        </row>
        <row r="17642">
          <cell r="H17642" t="str">
            <v>EXTRA-COMM</v>
          </cell>
          <cell r="I17642" t="str">
            <v>EXTRA CAN, BAG, BOX - COM</v>
          </cell>
        </row>
        <row r="17643">
          <cell r="H17643" t="str">
            <v>EXTRAGRAD1-COMM</v>
          </cell>
          <cell r="I17643" t="str">
            <v>EXTRAS GRADUATED 1-2 - COMM</v>
          </cell>
        </row>
        <row r="17644">
          <cell r="H17644" t="str">
            <v>FL002.0YXX001TEMPC</v>
          </cell>
          <cell r="I17644" t="str">
            <v xml:space="preserve">2 YD TEMP </v>
          </cell>
        </row>
        <row r="17645">
          <cell r="H17645" t="str">
            <v>REINSTATE-COMM</v>
          </cell>
          <cell r="I17645" t="str">
            <v>REINSTATE FEE - COMM</v>
          </cell>
        </row>
        <row r="17646">
          <cell r="H17646" t="str">
            <v>RENT2TEMP-COMM</v>
          </cell>
          <cell r="I17646" t="str">
            <v>RENT 2 YD TEMP - COMM</v>
          </cell>
        </row>
        <row r="17647">
          <cell r="H17647" t="str">
            <v>SP2-COMM</v>
          </cell>
          <cell r="I17647" t="str">
            <v>SPECIAL PICK UP 2 YD - CO</v>
          </cell>
        </row>
        <row r="17648">
          <cell r="H17648" t="str">
            <v>FL002.0Y1W001BCMGL</v>
          </cell>
          <cell r="I17648" t="str">
            <v>2 YD 1X WK BUS CMGL 1</v>
          </cell>
        </row>
        <row r="17649">
          <cell r="H17649" t="str">
            <v>FL002.0Y1W001BOCC</v>
          </cell>
          <cell r="I17649" t="str">
            <v>2 YD 1X WK BUS OCC 1</v>
          </cell>
        </row>
        <row r="17650">
          <cell r="H17650" t="str">
            <v>FL002.0Y1W001SCMGL</v>
          </cell>
          <cell r="I17650" t="str">
            <v>2 YD 1X WK SCHL CMGL 1</v>
          </cell>
        </row>
        <row r="17651">
          <cell r="H17651" t="str">
            <v>FL002.0Y2W001BCMGL</v>
          </cell>
          <cell r="I17651" t="str">
            <v>2 YD 2X WK BUS CMGL 1</v>
          </cell>
        </row>
        <row r="17652">
          <cell r="H17652" t="str">
            <v>FL002.0Y2W001SCMGL</v>
          </cell>
          <cell r="I17652" t="str">
            <v>2 YD 2X WK SCHL CMGL 1</v>
          </cell>
        </row>
        <row r="17653">
          <cell r="H17653" t="str">
            <v>FL006.0Y2W001SCMGL</v>
          </cell>
          <cell r="I17653" t="str">
            <v>6 YD 2X WK SCHL CMGL 1</v>
          </cell>
        </row>
        <row r="17654">
          <cell r="H17654" t="str">
            <v>MFWBINS</v>
          </cell>
          <cell r="I17654" t="str">
            <v>MULTI-FAMILY REC UNIT W/B</v>
          </cell>
        </row>
        <row r="17655">
          <cell r="H17655" t="str">
            <v>SL096.0G1W001BCMGLOUT</v>
          </cell>
          <cell r="I17655" t="str">
            <v>96 GL WKLY BUS CMGL OUT</v>
          </cell>
        </row>
        <row r="17656">
          <cell r="H17656" t="str">
            <v>SL096.0G1W001SCMGLOUT</v>
          </cell>
          <cell r="I17656" t="str">
            <v>96 GL WKLY SCHL CMGL OUT</v>
          </cell>
        </row>
        <row r="17657">
          <cell r="H17657" t="str">
            <v>SL096.0GEO001BCMGLOUT</v>
          </cell>
          <cell r="I17657" t="str">
            <v>96 GL EOW BUS CMGL OUT</v>
          </cell>
        </row>
        <row r="17658">
          <cell r="H17658" t="str">
            <v>SL096.0GEO001SCMGLOUT</v>
          </cell>
          <cell r="I17658" t="str">
            <v>96 GL EOW SCHL CMGL OUT</v>
          </cell>
        </row>
        <row r="17659">
          <cell r="H17659" t="str">
            <v>CC-KOL</v>
          </cell>
          <cell r="I17659" t="str">
            <v>ONLINE PAYMENT-CC</v>
          </cell>
        </row>
        <row r="17660">
          <cell r="H17660" t="str">
            <v>CCREF-KOL</v>
          </cell>
          <cell r="I17660" t="str">
            <v>CREDIT CARD REFUND</v>
          </cell>
        </row>
        <row r="17661">
          <cell r="H17661" t="str">
            <v>PAY</v>
          </cell>
          <cell r="I17661" t="str">
            <v>PAYMENT THANK YOU</v>
          </cell>
        </row>
        <row r="17662">
          <cell r="H17662" t="str">
            <v>PAY-CFREE</v>
          </cell>
          <cell r="I17662" t="str">
            <v>CHECKFREE PAYMENT</v>
          </cell>
        </row>
        <row r="17663">
          <cell r="H17663" t="str">
            <v>PAY-KOL</v>
          </cell>
          <cell r="I17663" t="str">
            <v>PAYMENT-THANK YOU - OL</v>
          </cell>
        </row>
        <row r="17664">
          <cell r="H17664" t="str">
            <v>PAY-ORCC</v>
          </cell>
          <cell r="I17664" t="str">
            <v>ORCC PAYMENT</v>
          </cell>
        </row>
        <row r="17665">
          <cell r="H17665" t="str">
            <v>PAY-RPPS</v>
          </cell>
          <cell r="I17665" t="str">
            <v>RPPS MASTERCARD PAYMENT</v>
          </cell>
        </row>
        <row r="17666">
          <cell r="H17666" t="str">
            <v>PAYL</v>
          </cell>
          <cell r="I17666" t="str">
            <v>PAYMENT THANK YOU</v>
          </cell>
        </row>
        <row r="17667">
          <cell r="H17667" t="str">
            <v>PAYMET</v>
          </cell>
          <cell r="I17667" t="str">
            <v>METAVANTE ONLINE PAYMENT</v>
          </cell>
        </row>
        <row r="17668">
          <cell r="H17668" t="str">
            <v>PAYUSBL</v>
          </cell>
          <cell r="I17668" t="str">
            <v>PAYMENT THANK YOU</v>
          </cell>
        </row>
        <row r="17669">
          <cell r="H17669" t="str">
            <v>RET-KOL</v>
          </cell>
          <cell r="I17669" t="str">
            <v>ONLINE PAYMENT RETURN</v>
          </cell>
        </row>
        <row r="17670">
          <cell r="H17670" t="str">
            <v>DRIVEIN1-RES</v>
          </cell>
          <cell r="I17670" t="str">
            <v>DRIVE IN 1 - RES</v>
          </cell>
        </row>
        <row r="17671">
          <cell r="H17671" t="str">
            <v>DRIVEIN2-RES</v>
          </cell>
          <cell r="I17671" t="str">
            <v>DRIVE IN 2 - RES</v>
          </cell>
        </row>
        <row r="17672">
          <cell r="H17672" t="str">
            <v>GW3RES</v>
          </cell>
          <cell r="I17672" t="str">
            <v>GREENWASTE SVC 3 - RES</v>
          </cell>
        </row>
        <row r="17673">
          <cell r="H17673" t="str">
            <v>GWRES</v>
          </cell>
          <cell r="I17673" t="str">
            <v>GREENWASTE SERVICE - RES</v>
          </cell>
        </row>
        <row r="17674">
          <cell r="H17674" t="str">
            <v>RECBINONLYR</v>
          </cell>
          <cell r="I17674" t="str">
            <v>RECYCLE SERVICE ONLY</v>
          </cell>
        </row>
        <row r="17675">
          <cell r="H17675" t="str">
            <v>RL010.0G1W001WREC</v>
          </cell>
          <cell r="I17675" t="str">
            <v>10 GL 1X WK RECYCLE 1</v>
          </cell>
        </row>
        <row r="17676">
          <cell r="H17676" t="str">
            <v>RL020.0G1W001</v>
          </cell>
          <cell r="I17676" t="str">
            <v>20 GL 1X WK 1</v>
          </cell>
        </row>
        <row r="17677">
          <cell r="H17677" t="str">
            <v>RL032.0G1W001WREC</v>
          </cell>
          <cell r="I17677" t="str">
            <v>32 GL 1X WK W/RECY 1</v>
          </cell>
        </row>
        <row r="17678">
          <cell r="H17678" t="str">
            <v>RL032.0G1W002WREC</v>
          </cell>
          <cell r="I17678" t="str">
            <v>32 GL 1X WK W/RECY 2</v>
          </cell>
        </row>
        <row r="17679">
          <cell r="H17679" t="str">
            <v>RL032.0G1W003WREC</v>
          </cell>
          <cell r="I17679" t="str">
            <v>32 GL 1X WK W/RECY 3</v>
          </cell>
        </row>
        <row r="17680">
          <cell r="H17680" t="str">
            <v>RL032.0G1W004WREC</v>
          </cell>
          <cell r="I17680" t="str">
            <v>32 GL 1X WK W/RECY 4</v>
          </cell>
        </row>
        <row r="17681">
          <cell r="H17681" t="str">
            <v>SL032.0G1W001FOOD</v>
          </cell>
          <cell r="I17681" t="str">
            <v>32 GL 1X WK FOOD 1</v>
          </cell>
        </row>
        <row r="17682">
          <cell r="H17682" t="str">
            <v>SL035.0G1W001WREC</v>
          </cell>
          <cell r="I17682" t="str">
            <v>35 GL 1X WK W/ RECY 1</v>
          </cell>
        </row>
        <row r="17683">
          <cell r="H17683" t="str">
            <v>SL065.0G1M001WREC</v>
          </cell>
          <cell r="I17683" t="str">
            <v>65 GL 1X MO W/RECY 1</v>
          </cell>
        </row>
        <row r="17684">
          <cell r="H17684" t="str">
            <v>SL065.0G1W001WREC</v>
          </cell>
          <cell r="I17684" t="str">
            <v>65 GL 1X WK W/RECY 1</v>
          </cell>
        </row>
        <row r="17685">
          <cell r="H17685" t="str">
            <v>SL065.0GEO001WREC</v>
          </cell>
          <cell r="I17685" t="str">
            <v>65 GL EOW W/RECY 1</v>
          </cell>
        </row>
        <row r="17686">
          <cell r="H17686" t="str">
            <v>SL095.0G1W001WREC</v>
          </cell>
          <cell r="I17686" t="str">
            <v>95 GL 1X WK W/RECY 1</v>
          </cell>
        </row>
        <row r="17687">
          <cell r="H17687" t="str">
            <v>SL095.0GEO001WREC</v>
          </cell>
          <cell r="I17687" t="str">
            <v>95 GL EOW W/RECY 1</v>
          </cell>
        </row>
        <row r="17688">
          <cell r="H17688" t="str">
            <v>WI1-RES</v>
          </cell>
          <cell r="I17688" t="str">
            <v>WALK IN 6-25' - RES</v>
          </cell>
        </row>
        <row r="17689">
          <cell r="H17689" t="str">
            <v>BULKY-RES</v>
          </cell>
          <cell r="I17689" t="str">
            <v>BULKY ITEM PICK UP - RES</v>
          </cell>
        </row>
        <row r="17690">
          <cell r="H17690" t="str">
            <v>EXTRA-RES</v>
          </cell>
          <cell r="I17690" t="str">
            <v>EXTRA CAN, BAG, BOX - RES</v>
          </cell>
        </row>
        <row r="17691">
          <cell r="H17691" t="str">
            <v>GWRES</v>
          </cell>
          <cell r="I17691" t="str">
            <v>GREENWASTE SERVICE - RES</v>
          </cell>
        </row>
        <row r="17692">
          <cell r="H17692" t="str">
            <v>OW-RES</v>
          </cell>
          <cell r="I17692" t="str">
            <v>OVERFILL / OVERWEIGHT CAN</v>
          </cell>
        </row>
        <row r="17693">
          <cell r="H17693" t="str">
            <v>REINSTATE-RES</v>
          </cell>
          <cell r="I17693" t="str">
            <v>REINSTATE FEE - RES</v>
          </cell>
        </row>
        <row r="17694">
          <cell r="H17694" t="str">
            <v>RL032.0G1W001WREC</v>
          </cell>
          <cell r="I17694" t="str">
            <v>32 GL 1X WK W/RECY 1</v>
          </cell>
        </row>
        <row r="17695">
          <cell r="H17695" t="str">
            <v>RTRNCART65-RES</v>
          </cell>
          <cell r="I17695" t="str">
            <v>RETURN TRIP 65 GL - RES</v>
          </cell>
        </row>
        <row r="17696">
          <cell r="H17696" t="str">
            <v>SP65-RES</v>
          </cell>
          <cell r="I17696" t="str">
            <v>SPECIAL PICK UP 65 GL - R</v>
          </cell>
        </row>
        <row r="17697">
          <cell r="H17697" t="str">
            <v>SP95-RES</v>
          </cell>
          <cell r="I17697" t="str">
            <v>SPECIAL PICK UP 95 GL - R</v>
          </cell>
        </row>
        <row r="17698">
          <cell r="H17698" t="str">
            <v>LIDRO</v>
          </cell>
          <cell r="I17698" t="str">
            <v>LID CHARGE - RO</v>
          </cell>
        </row>
        <row r="17699">
          <cell r="H17699" t="str">
            <v>RENT20MO-RO</v>
          </cell>
          <cell r="I17699" t="str">
            <v>RENTAL FEE 20 YD MONTHLY</v>
          </cell>
        </row>
        <row r="17700">
          <cell r="H17700" t="str">
            <v>DISCO-CP</v>
          </cell>
          <cell r="I17700" t="str">
            <v xml:space="preserve">COMPACTOR DISCONNECT FEE </v>
          </cell>
        </row>
        <row r="17701">
          <cell r="H17701" t="str">
            <v>DISP-RO</v>
          </cell>
          <cell r="I17701" t="str">
            <v>DISPOSAL CHARGE - RO</v>
          </cell>
        </row>
        <row r="17702">
          <cell r="H17702" t="str">
            <v>DISPCMGL-RO</v>
          </cell>
          <cell r="I17702" t="str">
            <v xml:space="preserve">DISPOSAL FEE COMMINGLE - </v>
          </cell>
        </row>
        <row r="17703">
          <cell r="H17703" t="str">
            <v>DISPOCC-RO</v>
          </cell>
          <cell r="I17703" t="str">
            <v xml:space="preserve">DISPOSAL FEE CARDBOARD - </v>
          </cell>
        </row>
        <row r="17704">
          <cell r="H17704" t="str">
            <v>HAUL20-CP</v>
          </cell>
          <cell r="I17704" t="str">
            <v>COMPACTOR HAUL 20 YD - RO</v>
          </cell>
        </row>
        <row r="17705">
          <cell r="H17705" t="str">
            <v>HAUL25-CP</v>
          </cell>
          <cell r="I17705" t="str">
            <v>COMPACTOR HAUL 25 YD - RO</v>
          </cell>
        </row>
        <row r="17706">
          <cell r="H17706" t="str">
            <v>HAUL30-RO</v>
          </cell>
          <cell r="I17706" t="str">
            <v>HAUL 30 YD - RO</v>
          </cell>
        </row>
        <row r="17707">
          <cell r="H17707" t="str">
            <v>RENT20TEMP-RO</v>
          </cell>
          <cell r="I17707" t="str">
            <v>RENTAL FEE 20 YD TEMP - R</v>
          </cell>
        </row>
        <row r="17708">
          <cell r="H17708" t="str">
            <v>DISPGLASS-RO</v>
          </cell>
          <cell r="I17708" t="str">
            <v>DISPOSAL FEE GLASS - RO</v>
          </cell>
        </row>
        <row r="17709">
          <cell r="H17709" t="str">
            <v>HAUL30-RO</v>
          </cell>
          <cell r="I17709" t="str">
            <v>HAUL 30 YD - RO</v>
          </cell>
        </row>
        <row r="17710">
          <cell r="H17710" t="str">
            <v>COMMODITY SURCHARGE</v>
          </cell>
          <cell r="I17710" t="str">
            <v>COMMODITY SURCHARGE</v>
          </cell>
        </row>
        <row r="17711">
          <cell r="H17711" t="str">
            <v>STEILACOOM CITY  TAX</v>
          </cell>
          <cell r="I17711" t="str">
            <v>6% CITY UTILITY TAX</v>
          </cell>
        </row>
        <row r="17712">
          <cell r="H17712" t="str">
            <v>STEILACOOM REFUSE TAX</v>
          </cell>
          <cell r="I17712" t="str">
            <v>3.6% WA STATE REFUSE TAX</v>
          </cell>
        </row>
        <row r="17713">
          <cell r="H17713" t="str">
            <v>STEILACOOM CITY  TAX</v>
          </cell>
          <cell r="I17713" t="str">
            <v>6% CITY UTILITY TAX</v>
          </cell>
        </row>
        <row r="17714">
          <cell r="H17714" t="str">
            <v>STEILACOOM REFUSE TAX</v>
          </cell>
          <cell r="I17714" t="str">
            <v>3.6% WA STATE REFUSE TAX</v>
          </cell>
        </row>
        <row r="17715">
          <cell r="H17715" t="str">
            <v>STEILACOOM ST SALES TAX</v>
          </cell>
          <cell r="I17715" t="str">
            <v>9.9% WA STATE SALES TAX</v>
          </cell>
        </row>
        <row r="17716">
          <cell r="H17716" t="str">
            <v>STEILACOOM CITY  TAX</v>
          </cell>
          <cell r="I17716" t="str">
            <v>6% CITY UTILITY TAX</v>
          </cell>
        </row>
        <row r="17717">
          <cell r="H17717" t="str">
            <v>STEILACOOM REFUSE TAX</v>
          </cell>
          <cell r="I17717" t="str">
            <v>3.6% WA STATE REFUSE TAX</v>
          </cell>
        </row>
        <row r="17718">
          <cell r="H17718" t="str">
            <v>STEILACOOM ST SALES TAX</v>
          </cell>
          <cell r="I17718" t="str">
            <v>9.9% WA STATE SALES TAX</v>
          </cell>
        </row>
        <row r="17719">
          <cell r="H17719" t="str">
            <v>STEILACOOM CITY  TAX</v>
          </cell>
          <cell r="I17719" t="str">
            <v>6% CITY UTILITY TAX</v>
          </cell>
        </row>
        <row r="17720">
          <cell r="H17720" t="str">
            <v>STEILACOOM REFUSE TAX</v>
          </cell>
          <cell r="I17720" t="str">
            <v>3.6% WA STATE REFUSE TAX</v>
          </cell>
        </row>
        <row r="17721">
          <cell r="H17721" t="str">
            <v>STEILACOOM CITY  TAX</v>
          </cell>
          <cell r="I17721" t="str">
            <v>6% CITY UTILITY TAX</v>
          </cell>
        </row>
        <row r="17722">
          <cell r="H17722" t="str">
            <v>STEILACOOM REFUSE TAX</v>
          </cell>
          <cell r="I17722" t="str">
            <v>3.6% WA STATE REFUSE TAX</v>
          </cell>
        </row>
        <row r="17723">
          <cell r="H17723" t="str">
            <v>STEILACOOM ST SALES TAX</v>
          </cell>
          <cell r="I17723" t="str">
            <v>9.9% WA STATE SALES TAX</v>
          </cell>
        </row>
        <row r="17724">
          <cell r="H17724" t="str">
            <v>STEILACOOM CITY  TAX</v>
          </cell>
          <cell r="I17724" t="str">
            <v>6% CITY UTILITY TAX</v>
          </cell>
        </row>
        <row r="17725">
          <cell r="H17725" t="str">
            <v>STEILACOOM REFUSE TAX</v>
          </cell>
          <cell r="I17725" t="str">
            <v>3.6% WA STATE REFUSE TAX</v>
          </cell>
        </row>
        <row r="17726">
          <cell r="H17726" t="str">
            <v>BD</v>
          </cell>
          <cell r="I17726" t="str">
            <v>BAD DEBT WRITE OFF</v>
          </cell>
        </row>
        <row r="17727">
          <cell r="H17727" t="str">
            <v>FINCHG</v>
          </cell>
          <cell r="I17727" t="str">
            <v>LATE FEE</v>
          </cell>
        </row>
        <row r="17728">
          <cell r="H17728" t="str">
            <v>FINCHG</v>
          </cell>
          <cell r="I17728" t="str">
            <v>LATE FEE</v>
          </cell>
        </row>
        <row r="17729">
          <cell r="H17729" t="str">
            <v>ACCESS-COMM</v>
          </cell>
          <cell r="I17729" t="str">
            <v>ACCESS FEE - COMM</v>
          </cell>
        </row>
        <row r="17730">
          <cell r="H17730" t="str">
            <v>FL001.0Y1W001</v>
          </cell>
          <cell r="I17730" t="str">
            <v>1 YD 1X WK 1</v>
          </cell>
        </row>
        <row r="17731">
          <cell r="H17731" t="str">
            <v>FL001.5Y1W001</v>
          </cell>
          <cell r="I17731" t="str">
            <v>1.5 YD 1X WK 1</v>
          </cell>
        </row>
        <row r="17732">
          <cell r="H17732" t="str">
            <v>FL002.0Y1W001</v>
          </cell>
          <cell r="I17732" t="str">
            <v>2 YD 1X WK 1</v>
          </cell>
        </row>
        <row r="17733">
          <cell r="H17733" t="str">
            <v>FL002.0Y2W001</v>
          </cell>
          <cell r="I17733" t="str">
            <v>2 YD 2X WK 1</v>
          </cell>
        </row>
        <row r="17734">
          <cell r="H17734" t="str">
            <v>FL002.0Y4W001</v>
          </cell>
          <cell r="I17734" t="str">
            <v>2 YD 4X WK 1</v>
          </cell>
        </row>
        <row r="17735">
          <cell r="H17735" t="str">
            <v>FL003.0Y2W001</v>
          </cell>
          <cell r="I17735" t="str">
            <v>3 YD 2X WK 1</v>
          </cell>
        </row>
        <row r="17736">
          <cell r="H17736" t="str">
            <v>FL004.0Y1W001</v>
          </cell>
          <cell r="I17736" t="str">
            <v>4 YD 1X WK 1</v>
          </cell>
        </row>
        <row r="17737">
          <cell r="H17737" t="str">
            <v>FL006.0Y1W001</v>
          </cell>
          <cell r="I17737" t="str">
            <v>6 YD 1X WK 1</v>
          </cell>
        </row>
        <row r="17738">
          <cell r="H17738" t="str">
            <v>FL006.0Y2W001</v>
          </cell>
          <cell r="I17738" t="str">
            <v>6 YD 2X WK 1</v>
          </cell>
        </row>
        <row r="17739">
          <cell r="H17739" t="str">
            <v>SL065.0G1W001NORECC</v>
          </cell>
          <cell r="I17739" t="str">
            <v xml:space="preserve">65 GL 1X WK NO RECY COMM </v>
          </cell>
        </row>
        <row r="17740">
          <cell r="H17740" t="str">
            <v>SL065.0G1W001WRECC</v>
          </cell>
          <cell r="I17740" t="str">
            <v>65 GL 1X WK W/RECY COMM 1</v>
          </cell>
        </row>
        <row r="17741">
          <cell r="H17741" t="str">
            <v>SL065.0GEO001WRECC</v>
          </cell>
          <cell r="I17741" t="str">
            <v>65 GL EOW W/RECY COMM 1</v>
          </cell>
        </row>
        <row r="17742">
          <cell r="H17742" t="str">
            <v>SL095.0G1W001WRECC</v>
          </cell>
          <cell r="I17742" t="str">
            <v>95 GL 1X WK W/RECY COMM 1</v>
          </cell>
        </row>
        <row r="17743">
          <cell r="H17743" t="str">
            <v>EXTRA-COMM</v>
          </cell>
          <cell r="I17743" t="str">
            <v>EXTRA CAN, BAG, BOX - COM</v>
          </cell>
        </row>
        <row r="17744">
          <cell r="H17744" t="str">
            <v>EXTRAYDG-COM</v>
          </cell>
          <cell r="I17744" t="str">
            <v>EXTRA YARDAGE - COMM</v>
          </cell>
        </row>
        <row r="17745">
          <cell r="H17745" t="str">
            <v>SP6-COMM</v>
          </cell>
          <cell r="I17745" t="str">
            <v>SPECIAL PICK UP 6 YD - CO</v>
          </cell>
        </row>
        <row r="17746">
          <cell r="H17746" t="str">
            <v>FL005.0Y1W001BOCC</v>
          </cell>
          <cell r="I17746" t="str">
            <v>5 YD 1X WK BUS OCC 1</v>
          </cell>
        </row>
        <row r="17747">
          <cell r="H17747" t="str">
            <v>FL005.0Y3W001BOCC</v>
          </cell>
          <cell r="I17747" t="str">
            <v>5 YD 3X WK BUS OCC 1</v>
          </cell>
        </row>
        <row r="17748">
          <cell r="H17748" t="str">
            <v>MFWBINS</v>
          </cell>
          <cell r="I17748" t="str">
            <v>MULTI-FAMILY REC UNIT W/B</v>
          </cell>
        </row>
        <row r="17749">
          <cell r="H17749" t="str">
            <v>SL096.0G1W001BCMGLOUT</v>
          </cell>
          <cell r="I17749" t="str">
            <v>96 GL WKLY BUS CMGL OUT</v>
          </cell>
        </row>
        <row r="17750">
          <cell r="H17750" t="str">
            <v>SL096.0GEO001BCMGLOUT</v>
          </cell>
          <cell r="I17750" t="str">
            <v>96 GL EOW BUS CMGL OUT</v>
          </cell>
        </row>
        <row r="17751">
          <cell r="H17751" t="str">
            <v>CC-KOL</v>
          </cell>
          <cell r="I17751" t="str">
            <v>ONLINE PAYMENT-CC</v>
          </cell>
        </row>
        <row r="17752">
          <cell r="H17752" t="str">
            <v>PAY</v>
          </cell>
          <cell r="I17752" t="str">
            <v>PAYMENT THANK YOU</v>
          </cell>
        </row>
        <row r="17753">
          <cell r="H17753" t="str">
            <v>PAY-CFREE</v>
          </cell>
          <cell r="I17753" t="str">
            <v>CHECKFREE PAYMENT</v>
          </cell>
        </row>
        <row r="17754">
          <cell r="H17754" t="str">
            <v>PAY-KOL</v>
          </cell>
          <cell r="I17754" t="str">
            <v>PAYMENT-THANK YOU - OL</v>
          </cell>
        </row>
        <row r="17755">
          <cell r="H17755" t="str">
            <v>PAY-ORCC</v>
          </cell>
          <cell r="I17755" t="str">
            <v>ORCC PAYMENT</v>
          </cell>
        </row>
        <row r="17756">
          <cell r="H17756" t="str">
            <v>PAY-RPPS</v>
          </cell>
          <cell r="I17756" t="str">
            <v>RPPS MASTERCARD PAYMENT</v>
          </cell>
        </row>
        <row r="17757">
          <cell r="H17757" t="str">
            <v>PAYMET</v>
          </cell>
          <cell r="I17757" t="str">
            <v>METAVANTE ONLINE PAYMENT</v>
          </cell>
        </row>
        <row r="17758">
          <cell r="H17758" t="str">
            <v>PAYUSBL</v>
          </cell>
          <cell r="I17758" t="str">
            <v>PAYMENT THANK YOU</v>
          </cell>
        </row>
        <row r="17759">
          <cell r="H17759" t="str">
            <v>CC-KOL</v>
          </cell>
          <cell r="I17759" t="str">
            <v>ONLINE PAYMENT-CC</v>
          </cell>
        </row>
        <row r="17760">
          <cell r="H17760" t="str">
            <v>PAY</v>
          </cell>
          <cell r="I17760" t="str">
            <v>PAYMENT THANK YOU</v>
          </cell>
        </row>
        <row r="17761">
          <cell r="H17761" t="str">
            <v>PAY-CFREE</v>
          </cell>
          <cell r="I17761" t="str">
            <v>CHECKFREE PAYMENT</v>
          </cell>
        </row>
        <row r="17762">
          <cell r="H17762" t="str">
            <v>PAY-KOL</v>
          </cell>
          <cell r="I17762" t="str">
            <v>PAYMENT-THANK YOU - OL</v>
          </cell>
        </row>
        <row r="17763">
          <cell r="H17763" t="str">
            <v>PAYMET</v>
          </cell>
          <cell r="I17763" t="str">
            <v>METAVANTE ONLINE PAYMENT</v>
          </cell>
        </row>
        <row r="17764">
          <cell r="H17764" t="str">
            <v>PAYUSBL</v>
          </cell>
          <cell r="I17764" t="str">
            <v>PAYMENT THANK YOU</v>
          </cell>
        </row>
        <row r="17765">
          <cell r="H17765" t="str">
            <v>CC-KOL</v>
          </cell>
          <cell r="I17765" t="str">
            <v>ONLINE PAYMENT-CC</v>
          </cell>
        </row>
        <row r="17766">
          <cell r="H17766" t="str">
            <v>PAY</v>
          </cell>
          <cell r="I17766" t="str">
            <v>PAYMENT THANK YOU</v>
          </cell>
        </row>
        <row r="17767">
          <cell r="H17767" t="str">
            <v>PAY-CFREE</v>
          </cell>
          <cell r="I17767" t="str">
            <v>CHECKFREE PAYMENT</v>
          </cell>
        </row>
        <row r="17768">
          <cell r="H17768" t="str">
            <v>PAY-KOL</v>
          </cell>
          <cell r="I17768" t="str">
            <v>PAYMENT-THANK YOU - OL</v>
          </cell>
        </row>
        <row r="17769">
          <cell r="H17769" t="str">
            <v>PAY-OAK</v>
          </cell>
          <cell r="I17769" t="str">
            <v>OAKLEAF PAYMENT</v>
          </cell>
        </row>
        <row r="17770">
          <cell r="H17770" t="str">
            <v>PAY-RPPS</v>
          </cell>
          <cell r="I17770" t="str">
            <v>RPPS MASTERCARD PAYMENT</v>
          </cell>
        </row>
        <row r="17771">
          <cell r="H17771" t="str">
            <v>PAYMET</v>
          </cell>
          <cell r="I17771" t="str">
            <v>METAVANTE ONLINE PAYMENT</v>
          </cell>
        </row>
        <row r="17772">
          <cell r="H17772" t="str">
            <v>PAYUSBL</v>
          </cell>
          <cell r="I17772" t="str">
            <v>PAYMENT THANK YOU</v>
          </cell>
        </row>
        <row r="17773">
          <cell r="H17773" t="str">
            <v>GWRES</v>
          </cell>
          <cell r="I17773" t="str">
            <v>GREENWASTE SERVICE - RES</v>
          </cell>
        </row>
        <row r="17774">
          <cell r="H17774" t="str">
            <v>EXTRA-RES</v>
          </cell>
          <cell r="I17774" t="str">
            <v>EXTRA CAN, BAG, BOX - RES</v>
          </cell>
        </row>
        <row r="17775">
          <cell r="H17775" t="str">
            <v>OW-RES</v>
          </cell>
          <cell r="I17775" t="str">
            <v>OVERFILL / OVERWEIGHT CAN</v>
          </cell>
        </row>
        <row r="17776">
          <cell r="H17776" t="str">
            <v>REINSTATE-RES</v>
          </cell>
          <cell r="I17776" t="str">
            <v>REINSTATE FEE - RES</v>
          </cell>
        </row>
        <row r="17777">
          <cell r="H17777" t="str">
            <v>GWRES</v>
          </cell>
          <cell r="I17777" t="str">
            <v>GREENWASTE SERVICE - RES</v>
          </cell>
        </row>
        <row r="17778">
          <cell r="H17778" t="str">
            <v>RECBINONLYR</v>
          </cell>
          <cell r="I17778" t="str">
            <v>RECYCLE SERVICE ONLY</v>
          </cell>
        </row>
        <row r="17779">
          <cell r="H17779" t="str">
            <v>SL035.0GEO001WREC</v>
          </cell>
          <cell r="I17779" t="str">
            <v>35 GL EOW W/RECY 1</v>
          </cell>
        </row>
        <row r="17780">
          <cell r="H17780" t="str">
            <v>SL065.0G1W001WREC</v>
          </cell>
          <cell r="I17780" t="str">
            <v>65 GL 1X WK W/RECY 1</v>
          </cell>
        </row>
        <row r="17781">
          <cell r="H17781" t="str">
            <v>SL065.0GEO001NOREC</v>
          </cell>
          <cell r="I17781" t="str">
            <v>65 GL EOW NO RECY 1</v>
          </cell>
        </row>
        <row r="17782">
          <cell r="H17782" t="str">
            <v>SL065.0GEO001WREC</v>
          </cell>
          <cell r="I17782" t="str">
            <v>65 GL EOW W/RECY 1</v>
          </cell>
        </row>
        <row r="17783">
          <cell r="H17783" t="str">
            <v>SL095.0G1W001WREC</v>
          </cell>
          <cell r="I17783" t="str">
            <v>95 GL 1X WK W/RECY 1</v>
          </cell>
        </row>
        <row r="17784">
          <cell r="H17784" t="str">
            <v>EXTRA-RES</v>
          </cell>
          <cell r="I17784" t="str">
            <v>EXTRA CAN, BAG, BOX - RES</v>
          </cell>
        </row>
        <row r="17785">
          <cell r="H17785" t="str">
            <v>EXTRAGWC-RES</v>
          </cell>
          <cell r="I17785" t="str">
            <v>EXTRA GREENWASTE FEE - RE</v>
          </cell>
        </row>
        <row r="17786">
          <cell r="H17786" t="str">
            <v>OW-RES</v>
          </cell>
          <cell r="I17786" t="str">
            <v>OVERFILL / OVERWEIGHT CAN</v>
          </cell>
        </row>
        <row r="17787">
          <cell r="H17787" t="str">
            <v>RENT20MO-RO</v>
          </cell>
          <cell r="I17787" t="str">
            <v>RENTAL FEE 20 YD MONTHLY</v>
          </cell>
        </row>
        <row r="17788">
          <cell r="H17788" t="str">
            <v>DISCO-CP</v>
          </cell>
          <cell r="I17788" t="str">
            <v xml:space="preserve">COMPACTOR DISCONNECT FEE </v>
          </cell>
        </row>
        <row r="17789">
          <cell r="H17789" t="str">
            <v>DISP-RO</v>
          </cell>
          <cell r="I17789" t="str">
            <v>DISPOSAL CHARGE - RO</v>
          </cell>
        </row>
        <row r="17790">
          <cell r="H17790" t="str">
            <v>FINAL30TEMP-RO</v>
          </cell>
          <cell r="I17790" t="str">
            <v>FINAL PULL 30 YD TEMP - R</v>
          </cell>
        </row>
        <row r="17791">
          <cell r="H17791" t="str">
            <v>HAUL25-CP</v>
          </cell>
          <cell r="I17791" t="str">
            <v>COMPACTOR HAUL 25 YD - RO</v>
          </cell>
        </row>
        <row r="17792">
          <cell r="H17792" t="str">
            <v>RENT30TEMP-RO</v>
          </cell>
          <cell r="I17792" t="str">
            <v>RENTAL FEE 30 YD TEMP - R</v>
          </cell>
        </row>
        <row r="17793">
          <cell r="H17793" t="str">
            <v>COMMODITY SURCHARGE</v>
          </cell>
          <cell r="I17793" t="str">
            <v>COMMODITY SURCHARGE</v>
          </cell>
        </row>
        <row r="17794">
          <cell r="H17794" t="str">
            <v>UP CITY UTILITY TAX</v>
          </cell>
          <cell r="I17794" t="str">
            <v>6% CITY UTILITY TAX</v>
          </cell>
        </row>
        <row r="17795">
          <cell r="H17795" t="str">
            <v>UP CITY ONLY</v>
          </cell>
          <cell r="I17795" t="str">
            <v>6% CITY UTILITY TAX</v>
          </cell>
        </row>
        <row r="17796">
          <cell r="H17796" t="str">
            <v>UP CITY UTILITY TAX</v>
          </cell>
          <cell r="I17796" t="str">
            <v>6% CITY UTILITY TAX</v>
          </cell>
        </row>
        <row r="17797">
          <cell r="H17797" t="str">
            <v>UP REFUSE TAX</v>
          </cell>
          <cell r="I17797" t="str">
            <v>3.6% WA STATE REFUSE TAX</v>
          </cell>
        </row>
        <row r="17798">
          <cell r="H17798" t="str">
            <v>UP CITY UTILITY TAX</v>
          </cell>
          <cell r="I17798" t="str">
            <v>6% CITY UTILITY TAX</v>
          </cell>
        </row>
        <row r="17799">
          <cell r="H17799" t="str">
            <v>UP REFUSE TAX</v>
          </cell>
          <cell r="I17799" t="str">
            <v>3.6% WA STATE REFUSE TAX</v>
          </cell>
        </row>
        <row r="17800">
          <cell r="H17800" t="str">
            <v>UP CITY UTILITY TAX</v>
          </cell>
          <cell r="I17800" t="str">
            <v>6% CITY UTILITY TAX</v>
          </cell>
        </row>
        <row r="17801">
          <cell r="H17801" t="str">
            <v>UP REFUSE TAX</v>
          </cell>
          <cell r="I17801" t="str">
            <v>3.6% WA STATE REFUSE TAX</v>
          </cell>
        </row>
        <row r="17802">
          <cell r="H17802" t="str">
            <v>UP CITY UTILITY TAX</v>
          </cell>
          <cell r="I17802" t="str">
            <v>6% CITY UTILITY TAX</v>
          </cell>
        </row>
        <row r="17803">
          <cell r="H17803" t="str">
            <v>UP REFUSE TAX</v>
          </cell>
          <cell r="I17803" t="str">
            <v>3.6% WA STATE REFUSE TAX</v>
          </cell>
        </row>
        <row r="17804">
          <cell r="H17804" t="str">
            <v>UP CITY UTILITY TAX</v>
          </cell>
          <cell r="I17804" t="str">
            <v>6% CITY UTILITY TAX</v>
          </cell>
        </row>
        <row r="17805">
          <cell r="H17805" t="str">
            <v>UP REFUSE TAX</v>
          </cell>
          <cell r="I17805" t="str">
            <v>3.6% WA STATE REFUSE TAX</v>
          </cell>
        </row>
        <row r="17806">
          <cell r="H17806" t="str">
            <v>UP STATE SALES TAX</v>
          </cell>
          <cell r="I17806" t="str">
            <v>9.9% WA STATE SALES TAX</v>
          </cell>
        </row>
      </sheetData>
      <sheetData sheetId="19"/>
      <sheetData sheetId="20"/>
      <sheetData sheetId="21"/>
      <sheetData sheetId="22"/>
      <sheetData sheetId="23"/>
      <sheetData sheetId="24"/>
      <sheetData sheetId="25"/>
      <sheetData sheetId="26"/>
      <sheetData sheetId="27">
        <row r="1">
          <cell r="G1" t="str">
            <v>svc_code_alpha</v>
          </cell>
          <cell r="H1" t="str">
            <v>descript</v>
          </cell>
        </row>
        <row r="2">
          <cell r="G2" t="str">
            <v>ACCESS-COMM</v>
          </cell>
          <cell r="H2" t="str">
            <v>ACCESS FEE - COMM</v>
          </cell>
        </row>
        <row r="3">
          <cell r="G3" t="str">
            <v>ACCESS-COMM</v>
          </cell>
          <cell r="H3" t="str">
            <v>ACCESS FEE - COMM</v>
          </cell>
        </row>
        <row r="4">
          <cell r="G4" t="str">
            <v>ACCESS-COMM</v>
          </cell>
          <cell r="H4" t="str">
            <v>ACCESS FEE - COMM</v>
          </cell>
        </row>
        <row r="5">
          <cell r="G5" t="str">
            <v>ACCESS-COMM</v>
          </cell>
          <cell r="H5" t="str">
            <v>ACCESS FEE - COMM</v>
          </cell>
        </row>
        <row r="6">
          <cell r="G6" t="str">
            <v>ACCESS-COMM</v>
          </cell>
          <cell r="H6" t="str">
            <v>ACCESS FEE - COMM</v>
          </cell>
        </row>
        <row r="7">
          <cell r="G7" t="str">
            <v>ACCESS-COMM</v>
          </cell>
          <cell r="H7" t="str">
            <v>ACCESS FEE - COMM</v>
          </cell>
        </row>
        <row r="8">
          <cell r="G8" t="str">
            <v>ACCESS-COMM</v>
          </cell>
          <cell r="H8" t="str">
            <v>ACCESS FEE - COMM</v>
          </cell>
        </row>
        <row r="9">
          <cell r="G9" t="str">
            <v>ACCESS-MF</v>
          </cell>
          <cell r="H9" t="str">
            <v>ACCESS FEE - MF</v>
          </cell>
        </row>
        <row r="10">
          <cell r="G10" t="str">
            <v>ACCESS-MF</v>
          </cell>
          <cell r="H10" t="str">
            <v>ACCESS FEE - MF</v>
          </cell>
        </row>
        <row r="11">
          <cell r="G11" t="str">
            <v>ACCESS-MF</v>
          </cell>
          <cell r="H11" t="str">
            <v>ACCESS FEE - MF</v>
          </cell>
        </row>
        <row r="12">
          <cell r="G12" t="str">
            <v>ACCESS-RES</v>
          </cell>
          <cell r="H12" t="str">
            <v>ACCESS FEE - RES</v>
          </cell>
        </row>
        <row r="13">
          <cell r="G13" t="str">
            <v>ACCESS-RES</v>
          </cell>
          <cell r="H13" t="str">
            <v>ACCESS FEE - RES</v>
          </cell>
        </row>
        <row r="14">
          <cell r="G14" t="str">
            <v>ACCESS-RES</v>
          </cell>
          <cell r="H14" t="str">
            <v>ACCESS FEE - RES</v>
          </cell>
        </row>
        <row r="15">
          <cell r="G15" t="str">
            <v>ACCESS-RES</v>
          </cell>
          <cell r="H15" t="str">
            <v>ACCESS FEE - RES</v>
          </cell>
        </row>
        <row r="16">
          <cell r="G16" t="str">
            <v>ACCESS-RES</v>
          </cell>
          <cell r="H16" t="str">
            <v>ACCESS FEE - RES</v>
          </cell>
        </row>
        <row r="17">
          <cell r="G17" t="str">
            <v>ACCESSCREC-COMM</v>
          </cell>
          <cell r="H17" t="str">
            <v>ACCESS FEE COMM RECY - CO</v>
          </cell>
        </row>
        <row r="18">
          <cell r="G18" t="str">
            <v>ACCESSCREC-COMM</v>
          </cell>
          <cell r="H18" t="str">
            <v>ACCESS FEE COMM RECY - CO</v>
          </cell>
        </row>
        <row r="19">
          <cell r="G19" t="str">
            <v>ACCESSCREC-COMM</v>
          </cell>
          <cell r="H19" t="str">
            <v>ACCESS FEE COMM RECY - CO</v>
          </cell>
        </row>
        <row r="20">
          <cell r="G20" t="str">
            <v>ACCESSCREC-COMM</v>
          </cell>
          <cell r="H20" t="str">
            <v>ACCESS FEE COMM RECY - CO</v>
          </cell>
        </row>
        <row r="21">
          <cell r="G21" t="str">
            <v>ACCESSCREC-COMM</v>
          </cell>
          <cell r="H21" t="str">
            <v>ACCESS FEE COMM RECY - CO</v>
          </cell>
        </row>
        <row r="22">
          <cell r="G22" t="str">
            <v>ACCESSCREC-COMM</v>
          </cell>
          <cell r="H22" t="str">
            <v>ACCESS FEE COMM RECY - CO</v>
          </cell>
        </row>
        <row r="23">
          <cell r="G23" t="str">
            <v>ACCESSCREC-COMM</v>
          </cell>
          <cell r="H23" t="str">
            <v>ACCESS FEE COMM RECY - CO</v>
          </cell>
        </row>
        <row r="24">
          <cell r="G24" t="str">
            <v>ACCESSCREC-COMM</v>
          </cell>
          <cell r="H24" t="str">
            <v>ACCESS FEE COMM RECY - CO</v>
          </cell>
        </row>
        <row r="25">
          <cell r="G25" t="str">
            <v>ACCESSCREC-COMM</v>
          </cell>
          <cell r="H25" t="str">
            <v>ACCESS FEE COMM RECY - CO</v>
          </cell>
        </row>
        <row r="26">
          <cell r="G26" t="str">
            <v>ADD32GLCOMM</v>
          </cell>
          <cell r="H26" t="str">
            <v>ADDITIONAL 32 GL COMM</v>
          </cell>
        </row>
        <row r="27">
          <cell r="G27" t="str">
            <v>ADD32GLCOMM</v>
          </cell>
          <cell r="H27" t="str">
            <v>ADDITIONAL 32 GL COMM</v>
          </cell>
        </row>
        <row r="28">
          <cell r="G28" t="str">
            <v>APPLIANCEC</v>
          </cell>
          <cell r="H28" t="str">
            <v>APPLIANCE REMOVAL - COMM</v>
          </cell>
        </row>
        <row r="29">
          <cell r="G29" t="str">
            <v>APPLIANCEC</v>
          </cell>
          <cell r="H29" t="str">
            <v>APPLIANCE REMOVAL - COMM</v>
          </cell>
        </row>
        <row r="30">
          <cell r="G30" t="str">
            <v>APPLIANCER</v>
          </cell>
          <cell r="H30" t="str">
            <v>APPLIANCE REMOVAL - RES</v>
          </cell>
        </row>
        <row r="31">
          <cell r="G31" t="str">
            <v>APPLIANCER</v>
          </cell>
          <cell r="H31" t="str">
            <v>APPLIANCE REMOVAL - RES</v>
          </cell>
        </row>
        <row r="32">
          <cell r="G32" t="str">
            <v>APPLIANCER</v>
          </cell>
          <cell r="H32" t="str">
            <v>APPLIANCE REMOVAL - RES</v>
          </cell>
        </row>
        <row r="33">
          <cell r="G33" t="str">
            <v>BULKY-COMM</v>
          </cell>
          <cell r="H33" t="str">
            <v>BULKY ITEM PICK UP - COMM</v>
          </cell>
        </row>
        <row r="34">
          <cell r="G34" t="str">
            <v>BULKY-COMM</v>
          </cell>
          <cell r="H34" t="str">
            <v>BULKY ITEM PICK UP - COMM</v>
          </cell>
        </row>
        <row r="35">
          <cell r="G35" t="str">
            <v>BULKY-COMM</v>
          </cell>
          <cell r="H35" t="str">
            <v>BULKY ITEM PICK UP - COMM</v>
          </cell>
        </row>
        <row r="36">
          <cell r="G36" t="str">
            <v>BULKY-COMM</v>
          </cell>
          <cell r="H36" t="str">
            <v>BULKY ITEM PICK UP - COMM</v>
          </cell>
        </row>
        <row r="37">
          <cell r="G37" t="str">
            <v>BULKY-COMM</v>
          </cell>
          <cell r="H37" t="str">
            <v>BULKY ITEM PICK UP - COMM</v>
          </cell>
        </row>
        <row r="38">
          <cell r="G38" t="str">
            <v>BULKY-RES</v>
          </cell>
          <cell r="H38" t="str">
            <v>BULKY ITEM PICK UP - RES</v>
          </cell>
        </row>
        <row r="39">
          <cell r="G39" t="str">
            <v>BULKY-RES</v>
          </cell>
          <cell r="H39" t="str">
            <v>BULKY ITEM PICK UP - RES</v>
          </cell>
        </row>
        <row r="40">
          <cell r="G40" t="str">
            <v>BULKY-RES</v>
          </cell>
          <cell r="H40" t="str">
            <v>BULKY ITEM PICK UP - RES</v>
          </cell>
        </row>
        <row r="41">
          <cell r="G41" t="str">
            <v>BULKY-RES</v>
          </cell>
          <cell r="H41" t="str">
            <v>BULKY ITEM PICK UP - RES</v>
          </cell>
        </row>
        <row r="42">
          <cell r="G42" t="str">
            <v>CANCOUNT-COMM</v>
          </cell>
          <cell r="H42" t="str">
            <v>CAN COUNT - COMM</v>
          </cell>
        </row>
        <row r="43">
          <cell r="G43" t="str">
            <v>CANCOUNT-COMM</v>
          </cell>
          <cell r="H43" t="str">
            <v>CAN COUNT - COMM</v>
          </cell>
        </row>
        <row r="44">
          <cell r="G44" t="str">
            <v>CANCOUNT-COMM</v>
          </cell>
          <cell r="H44" t="str">
            <v>CAN COUNT - COMM</v>
          </cell>
        </row>
        <row r="45">
          <cell r="G45" t="str">
            <v>CANCOUNT-COMM</v>
          </cell>
          <cell r="H45" t="str">
            <v>CAN COUNT - COMM</v>
          </cell>
        </row>
        <row r="46">
          <cell r="G46" t="str">
            <v>CANCOUNT65-COMM</v>
          </cell>
          <cell r="H46" t="str">
            <v>CAN COUNT 65 GL - COMM</v>
          </cell>
        </row>
        <row r="47">
          <cell r="G47" t="str">
            <v>CANCOUNT65-COMM</v>
          </cell>
          <cell r="H47" t="str">
            <v>CAN COUNT 65 GL - COMM</v>
          </cell>
        </row>
        <row r="48">
          <cell r="G48" t="str">
            <v>CANCOUNT95-COMM</v>
          </cell>
          <cell r="H48" t="str">
            <v>CAN COUNT 95 GL - COMM</v>
          </cell>
        </row>
        <row r="49">
          <cell r="G49" t="str">
            <v>CANCOUNT95-COMM</v>
          </cell>
          <cell r="H49" t="str">
            <v>CAN COUNT 95 GL - COMM</v>
          </cell>
        </row>
        <row r="50">
          <cell r="G50" t="str">
            <v>CANCOUNTCARRY-COMM</v>
          </cell>
          <cell r="H50" t="str">
            <v>CAN COUNT W/ CARRYOUT - C</v>
          </cell>
        </row>
        <row r="51">
          <cell r="G51" t="str">
            <v>CANCOUNTCARRY-COMM</v>
          </cell>
          <cell r="H51" t="str">
            <v>CAN COUNT W/ CARRYOUT - C</v>
          </cell>
        </row>
        <row r="52">
          <cell r="G52" t="str">
            <v>CANCOUNTCARRY-COMM</v>
          </cell>
          <cell r="H52" t="str">
            <v>CAN COUNT W/ CARRYOUT - C</v>
          </cell>
        </row>
        <row r="53">
          <cell r="G53" t="str">
            <v>CANCOUNTFD65-COMM</v>
          </cell>
          <cell r="H53" t="str">
            <v>CAN COUNT FOOD 65 GL - CO</v>
          </cell>
        </row>
        <row r="54">
          <cell r="G54" t="str">
            <v>CANCOUNTFD65-COMM</v>
          </cell>
          <cell r="H54" t="str">
            <v>CAN COUNT FOOD 65 GL - CO</v>
          </cell>
        </row>
        <row r="55">
          <cell r="G55" t="str">
            <v>CANCOUNTFD95-COMM</v>
          </cell>
          <cell r="H55" t="str">
            <v>CAN COUNT FOOD 95 GL - CO</v>
          </cell>
        </row>
        <row r="56">
          <cell r="G56" t="str">
            <v>CANCOUNTFD95-COMM</v>
          </cell>
          <cell r="H56" t="str">
            <v>CAN COUNT FOOD 95 GL - CO</v>
          </cell>
        </row>
        <row r="57">
          <cell r="G57" t="str">
            <v>CANGRP-COMM</v>
          </cell>
          <cell r="H57" t="str">
            <v>CAN GROUP - COMM</v>
          </cell>
        </row>
        <row r="58">
          <cell r="G58" t="str">
            <v>CANGRPCARRY-COMM</v>
          </cell>
          <cell r="H58" t="str">
            <v>CAN GROUP W/ CARRYOUT - COMM</v>
          </cell>
        </row>
        <row r="59">
          <cell r="G59" t="str">
            <v>CLEAN-COMM</v>
          </cell>
          <cell r="H59" t="str">
            <v xml:space="preserve">CONTAINER CLEANING FEE - </v>
          </cell>
        </row>
        <row r="60">
          <cell r="G60" t="str">
            <v>CLEAN-COMM</v>
          </cell>
          <cell r="H60" t="str">
            <v xml:space="preserve">CONTAINER CLEANING FEE - </v>
          </cell>
        </row>
        <row r="61">
          <cell r="G61" t="str">
            <v>CLEAN-COMM</v>
          </cell>
          <cell r="H61" t="str">
            <v xml:space="preserve">CONTAINER CLEANING FEE - </v>
          </cell>
        </row>
        <row r="62">
          <cell r="G62" t="str">
            <v>CLEAN-COMM</v>
          </cell>
          <cell r="H62" t="str">
            <v xml:space="preserve">CONTAINER CLEANING FEE - </v>
          </cell>
        </row>
        <row r="63">
          <cell r="G63" t="str">
            <v>CLEAN-COMM</v>
          </cell>
          <cell r="H63" t="str">
            <v xml:space="preserve">CONTAINER CLEANING FEE - </v>
          </cell>
        </row>
        <row r="64">
          <cell r="G64" t="str">
            <v>CLEAN-COMM</v>
          </cell>
          <cell r="H64" t="str">
            <v xml:space="preserve">CONTAINER CLEANING FEE - </v>
          </cell>
        </row>
        <row r="65">
          <cell r="G65" t="str">
            <v>CLEAN-RO</v>
          </cell>
          <cell r="H65" t="str">
            <v>CLEANING FEE - RO</v>
          </cell>
        </row>
        <row r="66">
          <cell r="G66" t="str">
            <v>CLEAN1-COMM</v>
          </cell>
          <cell r="H66" t="str">
            <v>CLEANING FEE 1 YD - COMM</v>
          </cell>
        </row>
        <row r="67">
          <cell r="G67" t="str">
            <v>CLEAN1-COMM</v>
          </cell>
          <cell r="H67" t="str">
            <v>CLEANING FEE 1 YD - COMM</v>
          </cell>
        </row>
        <row r="68">
          <cell r="G68" t="str">
            <v>CLEAN1-COMM</v>
          </cell>
          <cell r="H68" t="str">
            <v>CLEANING FEE 1 YD - COMM</v>
          </cell>
        </row>
        <row r="69">
          <cell r="G69" t="str">
            <v>CLEAN1-COMM</v>
          </cell>
          <cell r="H69" t="str">
            <v>CLEANING FEE 1 YD - COMM</v>
          </cell>
        </row>
        <row r="70">
          <cell r="G70" t="str">
            <v>CLEAN1-COMM</v>
          </cell>
          <cell r="H70" t="str">
            <v>CLEANING FEE 1 YD - COMM</v>
          </cell>
        </row>
        <row r="71">
          <cell r="G71" t="str">
            <v>CLEAN1.5-COMM</v>
          </cell>
          <cell r="H71" t="str">
            <v>CLEANING FEE 1.5 YD - COM</v>
          </cell>
        </row>
        <row r="72">
          <cell r="G72" t="str">
            <v>CLEAN1.5-COMM</v>
          </cell>
          <cell r="H72" t="str">
            <v>CLEANING FEE 1.5 YD - COM</v>
          </cell>
        </row>
        <row r="73">
          <cell r="G73" t="str">
            <v>CLEAN1.5-COMM</v>
          </cell>
          <cell r="H73" t="str">
            <v>CLEANING FEE 1.5 YD - COM</v>
          </cell>
        </row>
        <row r="74">
          <cell r="G74" t="str">
            <v>CLEAN1.5-COMM</v>
          </cell>
          <cell r="H74" t="str">
            <v>CLEANING FEE 1.5 YD - COM</v>
          </cell>
        </row>
        <row r="75">
          <cell r="G75" t="str">
            <v>CLEAN1.5-COMM</v>
          </cell>
          <cell r="H75" t="str">
            <v>CLEANING FEE 1.5 YD - COM</v>
          </cell>
        </row>
        <row r="76">
          <cell r="G76" t="str">
            <v>CLEAN10-RO</v>
          </cell>
          <cell r="H76" t="str">
            <v>CLEANING FEE 10 YD - RO</v>
          </cell>
        </row>
        <row r="77">
          <cell r="G77" t="str">
            <v>CLEAN10-RO</v>
          </cell>
          <cell r="H77" t="str">
            <v>CLEANING FEE 10 YD - RO</v>
          </cell>
        </row>
        <row r="78">
          <cell r="G78" t="str">
            <v>CLEAN10-RO</v>
          </cell>
          <cell r="H78" t="str">
            <v>CLEANING FEE 10 YD - RO</v>
          </cell>
        </row>
        <row r="79">
          <cell r="G79" t="str">
            <v>CLEAN10-RO</v>
          </cell>
          <cell r="H79" t="str">
            <v>CLEANING FEE 10 YD - RO</v>
          </cell>
        </row>
        <row r="80">
          <cell r="G80" t="str">
            <v>CLEAN10-RO</v>
          </cell>
          <cell r="H80" t="str">
            <v>CLEANING FEE 10 YD - RO</v>
          </cell>
        </row>
        <row r="81">
          <cell r="G81" t="str">
            <v>CLEAN15-RO</v>
          </cell>
          <cell r="H81" t="str">
            <v>CLEANING FEE 15 YD - RO</v>
          </cell>
        </row>
        <row r="82">
          <cell r="G82" t="str">
            <v>CLEAN2-COMM</v>
          </cell>
          <cell r="H82" t="str">
            <v>CLEANING FEE 2 YD - COMM</v>
          </cell>
        </row>
        <row r="83">
          <cell r="G83" t="str">
            <v>CLEAN2-COMM</v>
          </cell>
          <cell r="H83" t="str">
            <v>CLEANING FEE 2 YD - COMM</v>
          </cell>
        </row>
        <row r="84">
          <cell r="G84" t="str">
            <v>CLEAN2-COMM</v>
          </cell>
          <cell r="H84" t="str">
            <v>CLEANING FEE 2 YD - COMM</v>
          </cell>
        </row>
        <row r="85">
          <cell r="G85" t="str">
            <v>CLEAN2-COMM</v>
          </cell>
          <cell r="H85" t="str">
            <v>CLEANING FEE 2 YD - COMM</v>
          </cell>
        </row>
        <row r="86">
          <cell r="G86" t="str">
            <v>CLEAN2-COMM</v>
          </cell>
          <cell r="H86" t="str">
            <v>CLEANING FEE 2 YD - COMM</v>
          </cell>
        </row>
        <row r="87">
          <cell r="G87" t="str">
            <v>CLEAN20-RO</v>
          </cell>
          <cell r="H87" t="str">
            <v>CLEANING FEE 20 YD - RO</v>
          </cell>
        </row>
        <row r="88">
          <cell r="G88" t="str">
            <v>CLEAN20-RO</v>
          </cell>
          <cell r="H88" t="str">
            <v>CLEANING FEE 20 YD - RO</v>
          </cell>
        </row>
        <row r="89">
          <cell r="G89" t="str">
            <v>CLEAN20-RO</v>
          </cell>
          <cell r="H89" t="str">
            <v>CLEANING FEE 20 YD - RO</v>
          </cell>
        </row>
        <row r="90">
          <cell r="G90" t="str">
            <v>CLEAN20-RO</v>
          </cell>
          <cell r="H90" t="str">
            <v>CLEANING FEE 20 YD - RO</v>
          </cell>
        </row>
        <row r="91">
          <cell r="G91" t="str">
            <v>CLEAN20-RO</v>
          </cell>
          <cell r="H91" t="str">
            <v>CLEANING FEE 20 YD - RO</v>
          </cell>
        </row>
        <row r="92">
          <cell r="G92" t="str">
            <v>CLEAN20-RO</v>
          </cell>
          <cell r="H92" t="str">
            <v>CLEANING FEE 20 YD - RO</v>
          </cell>
        </row>
        <row r="93">
          <cell r="G93" t="str">
            <v>CLEAN20-RO</v>
          </cell>
          <cell r="H93" t="str">
            <v>CLEANING FEE 20 YD - RO</v>
          </cell>
        </row>
        <row r="94">
          <cell r="G94" t="str">
            <v>CLEAN20-RO</v>
          </cell>
          <cell r="H94" t="str">
            <v>CLEANING FEE 20 YD - RO</v>
          </cell>
        </row>
        <row r="95">
          <cell r="G95" t="str">
            <v>CLEAN25-RO</v>
          </cell>
          <cell r="H95" t="str">
            <v>CLEANING FEE 25 YD - RO</v>
          </cell>
        </row>
        <row r="96">
          <cell r="G96" t="str">
            <v>CLEAN25-RO</v>
          </cell>
          <cell r="H96" t="str">
            <v>CLEANING FEE 25 YD - RO</v>
          </cell>
        </row>
        <row r="97">
          <cell r="G97" t="str">
            <v>CLEAN25-RO</v>
          </cell>
          <cell r="H97" t="str">
            <v>CLEANING FEE 25 YD - RO</v>
          </cell>
        </row>
        <row r="98">
          <cell r="G98" t="str">
            <v>CLEAN25-RO</v>
          </cell>
          <cell r="H98" t="str">
            <v>CLEANING FEE 25 YD - RO</v>
          </cell>
        </row>
        <row r="99">
          <cell r="G99" t="str">
            <v>CLEAN25-RO</v>
          </cell>
          <cell r="H99" t="str">
            <v>CLEANING FEE 25 YD - RO</v>
          </cell>
        </row>
        <row r="100">
          <cell r="G100" t="str">
            <v>CLEAN25-RO</v>
          </cell>
          <cell r="H100" t="str">
            <v>CLEANING FEE 25 YD - RO</v>
          </cell>
        </row>
        <row r="101">
          <cell r="G101" t="str">
            <v>CLEAN25-RO</v>
          </cell>
          <cell r="H101" t="str">
            <v>CLEANING FEE 25 YD - RO</v>
          </cell>
        </row>
        <row r="102">
          <cell r="G102" t="str">
            <v>CLEAN3-COMM</v>
          </cell>
          <cell r="H102" t="str">
            <v>CLEANING FEE 3 YD - COMM</v>
          </cell>
        </row>
        <row r="103">
          <cell r="G103" t="str">
            <v>CLEAN3-COMM</v>
          </cell>
          <cell r="H103" t="str">
            <v>CLEANING FEE 3 YD - COMM</v>
          </cell>
        </row>
        <row r="104">
          <cell r="G104" t="str">
            <v>CLEAN3-COMM</v>
          </cell>
          <cell r="H104" t="str">
            <v>CLEANING FEE 3 YD - COMM</v>
          </cell>
        </row>
        <row r="105">
          <cell r="G105" t="str">
            <v>CLEAN3-COMM</v>
          </cell>
          <cell r="H105" t="str">
            <v>CLEANING FEE 3 YD - COMM</v>
          </cell>
        </row>
        <row r="106">
          <cell r="G106" t="str">
            <v>CLEAN3-COMM</v>
          </cell>
          <cell r="H106" t="str">
            <v>CLEANING FEE 3 YD - COMM</v>
          </cell>
        </row>
        <row r="107">
          <cell r="G107" t="str">
            <v>CLEAN30-RO</v>
          </cell>
          <cell r="H107" t="str">
            <v>CLEANING FEE 30 YD - RO</v>
          </cell>
        </row>
        <row r="108">
          <cell r="G108" t="str">
            <v>CLEAN30-RO</v>
          </cell>
          <cell r="H108" t="str">
            <v>CLEANING FEE 30 YD - RO</v>
          </cell>
        </row>
        <row r="109">
          <cell r="G109" t="str">
            <v>CLEAN30-RO</v>
          </cell>
          <cell r="H109" t="str">
            <v>CLEANING FEE 30 YD - RO</v>
          </cell>
        </row>
        <row r="110">
          <cell r="G110" t="str">
            <v>CLEAN30-RO</v>
          </cell>
          <cell r="H110" t="str">
            <v>CLEANING FEE 30 YD - RO</v>
          </cell>
        </row>
        <row r="111">
          <cell r="G111" t="str">
            <v>CLEAN30-RO</v>
          </cell>
          <cell r="H111" t="str">
            <v>CLEANING FEE 30 YD - RO</v>
          </cell>
        </row>
        <row r="112">
          <cell r="G112" t="str">
            <v>CLEAN30-RO</v>
          </cell>
          <cell r="H112" t="str">
            <v>CLEANING FEE 30 YD - RO</v>
          </cell>
        </row>
        <row r="113">
          <cell r="G113" t="str">
            <v>CLEAN30-RO</v>
          </cell>
          <cell r="H113" t="str">
            <v>CLEANING FEE 30 YD - RO</v>
          </cell>
        </row>
        <row r="114">
          <cell r="G114" t="str">
            <v>CLEAN30-RO</v>
          </cell>
          <cell r="H114" t="str">
            <v>CLEANING FEE 30 YD - RO</v>
          </cell>
        </row>
        <row r="115">
          <cell r="G115" t="str">
            <v>CLEAN4-COMM</v>
          </cell>
          <cell r="H115" t="str">
            <v>CLEANING FEE 4 YD - COMM</v>
          </cell>
        </row>
        <row r="116">
          <cell r="G116" t="str">
            <v>CLEAN4-COMM</v>
          </cell>
          <cell r="H116" t="str">
            <v>CLEANING FEE 4 YD - COMM</v>
          </cell>
        </row>
        <row r="117">
          <cell r="G117" t="str">
            <v>CLEAN4-COMM</v>
          </cell>
          <cell r="H117" t="str">
            <v>CLEANING FEE 4 YD - COMM</v>
          </cell>
        </row>
        <row r="118">
          <cell r="G118" t="str">
            <v>CLEAN4-COMM</v>
          </cell>
          <cell r="H118" t="str">
            <v>CLEANING FEE 4 YD - COMM</v>
          </cell>
        </row>
        <row r="119">
          <cell r="G119" t="str">
            <v>CLEAN4-COMM</v>
          </cell>
          <cell r="H119" t="str">
            <v>CLEANING FEE 4 YD - COMM</v>
          </cell>
        </row>
        <row r="120">
          <cell r="G120" t="str">
            <v>CLEAN40-RO</v>
          </cell>
          <cell r="H120" t="str">
            <v>CLEANING FEE 40 YD - RO</v>
          </cell>
        </row>
        <row r="121">
          <cell r="G121" t="str">
            <v>CLEAN40-RO</v>
          </cell>
          <cell r="H121" t="str">
            <v>CLEANING FEE 40 YD - RO</v>
          </cell>
        </row>
        <row r="122">
          <cell r="G122" t="str">
            <v>CLEAN40-RO</v>
          </cell>
          <cell r="H122" t="str">
            <v>CLEANING FEE 40 YD - RO</v>
          </cell>
        </row>
        <row r="123">
          <cell r="G123" t="str">
            <v>CLEAN40-RO</v>
          </cell>
          <cell r="H123" t="str">
            <v>CLEANING FEE 40 YD - RO</v>
          </cell>
        </row>
        <row r="124">
          <cell r="G124" t="str">
            <v>CLEAN40-RO</v>
          </cell>
          <cell r="H124" t="str">
            <v>CLEANING FEE 40 YD - RO</v>
          </cell>
        </row>
        <row r="125">
          <cell r="G125" t="str">
            <v>CLEAN40-RO</v>
          </cell>
          <cell r="H125" t="str">
            <v>CLEANING FEE 40 YD - RO</v>
          </cell>
        </row>
        <row r="126">
          <cell r="G126" t="str">
            <v>CLEAN40-RO</v>
          </cell>
          <cell r="H126" t="str">
            <v>CLEANING FEE 40 YD - RO</v>
          </cell>
        </row>
        <row r="127">
          <cell r="G127" t="str">
            <v>CLEAN40-RO</v>
          </cell>
          <cell r="H127" t="str">
            <v>CLEANING FEE 40 YD - RO</v>
          </cell>
        </row>
        <row r="128">
          <cell r="G128" t="str">
            <v>CLEAN50-RO</v>
          </cell>
          <cell r="H128" t="str">
            <v>CLEANING FEE 50 YD - RO</v>
          </cell>
        </row>
        <row r="129">
          <cell r="G129" t="str">
            <v>CLEAN50-RO</v>
          </cell>
          <cell r="H129" t="str">
            <v>CLEANING FEE 50 YD - RO</v>
          </cell>
        </row>
        <row r="130">
          <cell r="G130" t="str">
            <v>CLEAN50-RO</v>
          </cell>
          <cell r="H130" t="str">
            <v>CLEANING FEE 50 YD - RO</v>
          </cell>
        </row>
        <row r="131">
          <cell r="G131" t="str">
            <v>CLEAN50-RO</v>
          </cell>
          <cell r="H131" t="str">
            <v>CLEANING FEE 50 YD - RO</v>
          </cell>
        </row>
        <row r="132">
          <cell r="G132" t="str">
            <v>CLEAN50-RO</v>
          </cell>
          <cell r="H132" t="str">
            <v>CLEANING FEE 50 YD - RO</v>
          </cell>
        </row>
        <row r="133">
          <cell r="G133" t="str">
            <v>CLEAN50-RO</v>
          </cell>
          <cell r="H133" t="str">
            <v>CLEANING FEE 50 YD - RO</v>
          </cell>
        </row>
        <row r="134">
          <cell r="G134" t="str">
            <v>CLEAN6-COMM</v>
          </cell>
          <cell r="H134" t="str">
            <v>CLEANING FEE 6 YD - COMM</v>
          </cell>
        </row>
        <row r="135">
          <cell r="G135" t="str">
            <v>CLEAN6-COMM</v>
          </cell>
          <cell r="H135" t="str">
            <v>CLEANING FEE 6 YD - COMM</v>
          </cell>
        </row>
        <row r="136">
          <cell r="G136" t="str">
            <v>CLEAN6-COMM</v>
          </cell>
          <cell r="H136" t="str">
            <v>CLEANING FEE 6 YD - COMM</v>
          </cell>
        </row>
        <row r="137">
          <cell r="G137" t="str">
            <v>CLEAN6-COMM</v>
          </cell>
          <cell r="H137" t="str">
            <v>CLEANING FEE 6 YD - COMM</v>
          </cell>
        </row>
        <row r="138">
          <cell r="G138" t="str">
            <v>CLEAN6-COMM</v>
          </cell>
          <cell r="H138" t="str">
            <v>CLEANING FEE 6 YD - COMM</v>
          </cell>
        </row>
        <row r="139">
          <cell r="G139" t="str">
            <v>CLEAN6-COMM</v>
          </cell>
          <cell r="H139" t="str">
            <v>CLEANING FEE 6 YD - COMM</v>
          </cell>
        </row>
        <row r="140">
          <cell r="G140" t="str">
            <v>CLEANFW-COMM</v>
          </cell>
          <cell r="H140" t="str">
            <v>CLEAN FOODWASTE CONT - CO</v>
          </cell>
        </row>
        <row r="141">
          <cell r="G141" t="str">
            <v>CLEANFW-COMM</v>
          </cell>
          <cell r="H141" t="str">
            <v>CLEAN FOODWASTE CONT - CO</v>
          </cell>
        </row>
        <row r="142">
          <cell r="G142" t="str">
            <v>DEL-COMM</v>
          </cell>
          <cell r="H142" t="str">
            <v>DELIVERY FEE - COMM</v>
          </cell>
        </row>
        <row r="143">
          <cell r="G143" t="str">
            <v>DEL-COMM</v>
          </cell>
          <cell r="H143" t="str">
            <v>DELIVERY FEE - COMM</v>
          </cell>
        </row>
        <row r="144">
          <cell r="G144" t="str">
            <v>DEL1.5TEMP-COMM</v>
          </cell>
          <cell r="H144" t="str">
            <v xml:space="preserve">DELIVERY FEE 1.5 YD TEMP </v>
          </cell>
        </row>
        <row r="145">
          <cell r="G145" t="str">
            <v>DEL1.5TEMP-COMM</v>
          </cell>
          <cell r="H145" t="str">
            <v xml:space="preserve">DELIVERY FEE 1.5 YD TEMP </v>
          </cell>
        </row>
        <row r="146">
          <cell r="G146" t="str">
            <v>DEL1.5TEMP-COMM</v>
          </cell>
          <cell r="H146" t="str">
            <v xml:space="preserve">DELIVERY FEE 1.5 YD TEMP </v>
          </cell>
        </row>
        <row r="147">
          <cell r="G147" t="str">
            <v>DEL1.5TEMP-COMM</v>
          </cell>
          <cell r="H147" t="str">
            <v xml:space="preserve">DELIVERY FEE 1.5 YD TEMP </v>
          </cell>
        </row>
        <row r="148">
          <cell r="G148" t="str">
            <v>DEL1.5TEMP-COMM</v>
          </cell>
          <cell r="H148" t="str">
            <v xml:space="preserve">DELIVERY FEE 1.5 YD TEMP </v>
          </cell>
        </row>
        <row r="149">
          <cell r="G149" t="str">
            <v>DEL15TEMP-RO</v>
          </cell>
          <cell r="H149" t="str">
            <v>DELIVERY FEE 15 YD TEMP - RO</v>
          </cell>
        </row>
        <row r="150">
          <cell r="G150" t="str">
            <v>DEL1TEMP-COMM</v>
          </cell>
          <cell r="H150" t="str">
            <v xml:space="preserve">DELIVERY FEE 1 YD TEMP - </v>
          </cell>
        </row>
        <row r="151">
          <cell r="G151" t="str">
            <v>DEL1TEMP-COMM</v>
          </cell>
          <cell r="H151" t="str">
            <v xml:space="preserve">DELIVERY FEE 1 YD TEMP - </v>
          </cell>
        </row>
        <row r="152">
          <cell r="G152" t="str">
            <v>DEL1TEMP-COMM</v>
          </cell>
          <cell r="H152" t="str">
            <v xml:space="preserve">DELIVERY FEE 1 YD TEMP - </v>
          </cell>
        </row>
        <row r="153">
          <cell r="G153" t="str">
            <v>DEL1TEMP-COMM</v>
          </cell>
          <cell r="H153" t="str">
            <v xml:space="preserve">DELIVERY FEE 1 YD TEMP - </v>
          </cell>
        </row>
        <row r="154">
          <cell r="G154" t="str">
            <v>DEL1TEMP-COMM</v>
          </cell>
          <cell r="H154" t="str">
            <v xml:space="preserve">DELIVERY FEE 1 YD TEMP - </v>
          </cell>
        </row>
        <row r="155">
          <cell r="G155" t="str">
            <v>DEL20TEMP-RO</v>
          </cell>
          <cell r="H155" t="str">
            <v>DELIVERY FEE 20 YD TEMP -</v>
          </cell>
        </row>
        <row r="156">
          <cell r="G156" t="str">
            <v>DEL20TEMP-RO</v>
          </cell>
          <cell r="H156" t="str">
            <v>DELIVERY FEE 20 YD TEMP -</v>
          </cell>
        </row>
        <row r="157">
          <cell r="G157" t="str">
            <v>DEL20TEMP-RO</v>
          </cell>
          <cell r="H157" t="str">
            <v>DELIVERY FEE 20 YD TEMP -</v>
          </cell>
        </row>
        <row r="158">
          <cell r="G158" t="str">
            <v>DEL20TEMP-RO</v>
          </cell>
          <cell r="H158" t="str">
            <v>DELIVERY FEE 20 YD TEMP -</v>
          </cell>
        </row>
        <row r="159">
          <cell r="G159" t="str">
            <v>DEL20TEMP-RO</v>
          </cell>
          <cell r="H159" t="str">
            <v>DELIVERY FEE 20 YD TEMP -</v>
          </cell>
        </row>
        <row r="160">
          <cell r="G160" t="str">
            <v>DEL20TEMP-RO</v>
          </cell>
          <cell r="H160" t="str">
            <v>DELIVERY FEE 20 YD TEMP -</v>
          </cell>
        </row>
        <row r="161">
          <cell r="G161" t="str">
            <v>DEL20TEMP-RO</v>
          </cell>
          <cell r="H161" t="str">
            <v>DELIVERY FEE 20 YD TEMP -</v>
          </cell>
        </row>
        <row r="162">
          <cell r="G162" t="str">
            <v>DEL20TEMP-RO</v>
          </cell>
          <cell r="H162" t="str">
            <v>DELIVERY FEE 20 YD TEMP -</v>
          </cell>
        </row>
        <row r="163">
          <cell r="G163" t="str">
            <v>DEL25TEMP-RO</v>
          </cell>
          <cell r="H163" t="str">
            <v>DELIVERY FEE 25 YD TEMP - RO</v>
          </cell>
        </row>
        <row r="164">
          <cell r="G164" t="str">
            <v>DEL25TEMP-RO</v>
          </cell>
          <cell r="H164" t="str">
            <v>DELIVERY FEE 25 YD TEMP - RO</v>
          </cell>
        </row>
        <row r="165">
          <cell r="G165" t="str">
            <v>DEL2TEMP-COMM</v>
          </cell>
          <cell r="H165" t="str">
            <v xml:space="preserve">DELIVERY FEE 2 YD TEMP - </v>
          </cell>
        </row>
        <row r="166">
          <cell r="G166" t="str">
            <v>DEL2TEMP-COMM</v>
          </cell>
          <cell r="H166" t="str">
            <v xml:space="preserve">DELIVERY FEE 2 YD TEMP - </v>
          </cell>
        </row>
        <row r="167">
          <cell r="G167" t="str">
            <v>DEL2TEMP-COMM</v>
          </cell>
          <cell r="H167" t="str">
            <v xml:space="preserve">DELIVERY FEE 2 YD TEMP - </v>
          </cell>
        </row>
        <row r="168">
          <cell r="G168" t="str">
            <v>DEL2TEMP-COMM</v>
          </cell>
          <cell r="H168" t="str">
            <v xml:space="preserve">DELIVERY FEE 2 YD TEMP - </v>
          </cell>
        </row>
        <row r="169">
          <cell r="G169" t="str">
            <v>DEL2TEMP-COMM</v>
          </cell>
          <cell r="H169" t="str">
            <v xml:space="preserve">DELIVERY FEE 2 YD TEMP - </v>
          </cell>
        </row>
        <row r="170">
          <cell r="G170" t="str">
            <v>DEL2TEMP-COMM</v>
          </cell>
          <cell r="H170" t="str">
            <v xml:space="preserve">DELIVERY FEE 2 YD TEMP - </v>
          </cell>
        </row>
        <row r="171">
          <cell r="G171" t="str">
            <v>DEL30TEMP-RO</v>
          </cell>
          <cell r="H171" t="str">
            <v>DELIVERY FEE 30 YD TEMP -</v>
          </cell>
        </row>
        <row r="172">
          <cell r="G172" t="str">
            <v>DEL30TEMP-RO</v>
          </cell>
          <cell r="H172" t="str">
            <v>DELIVERY FEE 30 YD TEMP -</v>
          </cell>
        </row>
        <row r="173">
          <cell r="G173" t="str">
            <v>DEL30TEMP-RO</v>
          </cell>
          <cell r="H173" t="str">
            <v>DELIVERY FEE 30 YD TEMP -</v>
          </cell>
        </row>
        <row r="174">
          <cell r="G174" t="str">
            <v>DEL30TEMP-RO</v>
          </cell>
          <cell r="H174" t="str">
            <v>DELIVERY FEE 30 YD TEMP -</v>
          </cell>
        </row>
        <row r="175">
          <cell r="G175" t="str">
            <v>DEL30TEMP-RO</v>
          </cell>
          <cell r="H175" t="str">
            <v>DELIVERY FEE 30 YD TEMP -</v>
          </cell>
        </row>
        <row r="176">
          <cell r="G176" t="str">
            <v>DEL30TEMP-RO</v>
          </cell>
          <cell r="H176" t="str">
            <v>DELIVERY FEE 30 YD TEMP -</v>
          </cell>
        </row>
        <row r="177">
          <cell r="G177" t="str">
            <v>DEL30TEMP-RO</v>
          </cell>
          <cell r="H177" t="str">
            <v>DELIVERY FEE 30 YD TEMP -</v>
          </cell>
        </row>
        <row r="178">
          <cell r="G178" t="str">
            <v>DEL30TEMP-RO</v>
          </cell>
          <cell r="H178" t="str">
            <v>DELIVERY FEE 30 YD TEMP -</v>
          </cell>
        </row>
        <row r="179">
          <cell r="G179" t="str">
            <v>DEL35TEMP-RO</v>
          </cell>
          <cell r="H179" t="str">
            <v>DELIVERY FEE 35 YD TEMP - RO</v>
          </cell>
        </row>
        <row r="180">
          <cell r="G180" t="str">
            <v>DEL3TEMP-COMM</v>
          </cell>
          <cell r="H180" t="str">
            <v xml:space="preserve">DELIVERY FEE 3 YD TEMP - </v>
          </cell>
        </row>
        <row r="181">
          <cell r="G181" t="str">
            <v>DEL3TEMP-COMM</v>
          </cell>
          <cell r="H181" t="str">
            <v xml:space="preserve">DELIVERY FEE 3 YD TEMP - </v>
          </cell>
        </row>
        <row r="182">
          <cell r="G182" t="str">
            <v>DEL3TEMP-COMM</v>
          </cell>
          <cell r="H182" t="str">
            <v xml:space="preserve">DELIVERY FEE 3 YD TEMP - </v>
          </cell>
        </row>
        <row r="183">
          <cell r="G183" t="str">
            <v>DEL3TEMP-COMM</v>
          </cell>
          <cell r="H183" t="str">
            <v xml:space="preserve">DELIVERY FEE 3 YD TEMP - </v>
          </cell>
        </row>
        <row r="184">
          <cell r="G184" t="str">
            <v>DEL40TEMP-RO</v>
          </cell>
          <cell r="H184" t="str">
            <v>DELIVERY FEE 40 YD TEMP -</v>
          </cell>
        </row>
        <row r="185">
          <cell r="G185" t="str">
            <v>DEL40TEMP-RO</v>
          </cell>
          <cell r="H185" t="str">
            <v>DELIVERY FEE 40 YD TEMP -</v>
          </cell>
        </row>
        <row r="186">
          <cell r="G186" t="str">
            <v>DEL40TEMP-RO</v>
          </cell>
          <cell r="H186" t="str">
            <v>DELIVERY FEE 40 YD TEMP -</v>
          </cell>
        </row>
        <row r="187">
          <cell r="G187" t="str">
            <v>DEL40TEMP-RO</v>
          </cell>
          <cell r="H187" t="str">
            <v>DELIVERY FEE 40 YD TEMP -</v>
          </cell>
        </row>
        <row r="188">
          <cell r="G188" t="str">
            <v>DEL40TEMP-RO</v>
          </cell>
          <cell r="H188" t="str">
            <v>DELIVERY FEE 40 YD TEMP -</v>
          </cell>
        </row>
        <row r="189">
          <cell r="G189" t="str">
            <v>DEL40TEMP-RO</v>
          </cell>
          <cell r="H189" t="str">
            <v>DELIVERY FEE 40 YD TEMP -</v>
          </cell>
        </row>
        <row r="190">
          <cell r="G190" t="str">
            <v>DEL40TEMP-RO</v>
          </cell>
          <cell r="H190" t="str">
            <v>DELIVERY FEE 40 YD TEMP -</v>
          </cell>
        </row>
        <row r="191">
          <cell r="G191" t="str">
            <v>DEL40TEMP-RO</v>
          </cell>
          <cell r="H191" t="str">
            <v>DELIVERY FEE 40 YD TEMP -</v>
          </cell>
        </row>
        <row r="192">
          <cell r="G192" t="str">
            <v>DEL4TEMP-COMM</v>
          </cell>
          <cell r="H192" t="str">
            <v xml:space="preserve">DELIVERY FEE 4 YD TEMP - </v>
          </cell>
        </row>
        <row r="193">
          <cell r="G193" t="str">
            <v>DEL4TEMP-COMM</v>
          </cell>
          <cell r="H193" t="str">
            <v xml:space="preserve">DELIVERY FEE 4 YD TEMP - </v>
          </cell>
        </row>
        <row r="194">
          <cell r="G194" t="str">
            <v>DEL4TEMP-COMM</v>
          </cell>
          <cell r="H194" t="str">
            <v xml:space="preserve">DELIVERY FEE 4 YD TEMP - </v>
          </cell>
        </row>
        <row r="195">
          <cell r="G195" t="str">
            <v>DEL4TEMP-COMM</v>
          </cell>
          <cell r="H195" t="str">
            <v xml:space="preserve">DELIVERY FEE 4 YD TEMP - </v>
          </cell>
        </row>
        <row r="196">
          <cell r="G196" t="str">
            <v>DEL6TEMP-COMM</v>
          </cell>
          <cell r="H196" t="str">
            <v xml:space="preserve">DELIVERY FEE 6 YD TEMP - </v>
          </cell>
        </row>
        <row r="197">
          <cell r="G197" t="str">
            <v>DEL6TEMP-COMM</v>
          </cell>
          <cell r="H197" t="str">
            <v xml:space="preserve">DELIVERY FEE 6 YD TEMP - </v>
          </cell>
        </row>
        <row r="198">
          <cell r="G198" t="str">
            <v>DEL6TEMP-COMM</v>
          </cell>
          <cell r="H198" t="str">
            <v xml:space="preserve">DELIVERY FEE 6 YD TEMP - </v>
          </cell>
        </row>
        <row r="199">
          <cell r="G199" t="str">
            <v>DEL6TEMP-COMM</v>
          </cell>
          <cell r="H199" t="str">
            <v xml:space="preserve">DELIVERY FEE 6 YD TEMP - </v>
          </cell>
        </row>
        <row r="200">
          <cell r="G200" t="str">
            <v>DEL6TEMP-COMM</v>
          </cell>
          <cell r="H200" t="str">
            <v xml:space="preserve">DELIVERY FEE 6 YD TEMP - </v>
          </cell>
        </row>
        <row r="201">
          <cell r="G201" t="str">
            <v>DEL6TEMP-COMM</v>
          </cell>
          <cell r="H201" t="str">
            <v xml:space="preserve">DELIVERY FEE 6 YD TEMP - </v>
          </cell>
        </row>
        <row r="202">
          <cell r="G202" t="str">
            <v>DELFW-COMM</v>
          </cell>
          <cell r="H202" t="str">
            <v xml:space="preserve">DELIVER FOODWASTE CONT - </v>
          </cell>
        </row>
        <row r="203">
          <cell r="G203" t="str">
            <v>DELFW-COMM</v>
          </cell>
          <cell r="H203" t="str">
            <v xml:space="preserve">DELIVER FOODWASTE CONT - </v>
          </cell>
        </row>
        <row r="204">
          <cell r="G204" t="str">
            <v>DEM30-RO</v>
          </cell>
          <cell r="H204" t="str">
            <v>DEMURRAGE 30 YD - RO</v>
          </cell>
        </row>
        <row r="205">
          <cell r="G205" t="str">
            <v>DISCO-CP</v>
          </cell>
          <cell r="H205" t="str">
            <v xml:space="preserve">COMPACTOR DISCONNECT FEE </v>
          </cell>
        </row>
        <row r="206">
          <cell r="G206" t="str">
            <v>DISCO-CP</v>
          </cell>
          <cell r="H206" t="str">
            <v xml:space="preserve">COMPACTOR DISCONNECT FEE </v>
          </cell>
        </row>
        <row r="207">
          <cell r="G207" t="str">
            <v>DISCO-CP</v>
          </cell>
          <cell r="H207" t="str">
            <v xml:space="preserve">COMPACTOR DISCONNECT FEE </v>
          </cell>
        </row>
        <row r="208">
          <cell r="G208" t="str">
            <v>DISCO-CP</v>
          </cell>
          <cell r="H208" t="str">
            <v xml:space="preserve">COMPACTOR DISCONNECT FEE </v>
          </cell>
        </row>
        <row r="209">
          <cell r="G209" t="str">
            <v>DISCO-CP</v>
          </cell>
          <cell r="H209" t="str">
            <v xml:space="preserve">COMPACTOR DISCONNECT FEE </v>
          </cell>
        </row>
        <row r="210">
          <cell r="G210" t="str">
            <v>DISCO-CP</v>
          </cell>
          <cell r="H210" t="str">
            <v xml:space="preserve">COMPACTOR DISCONNECT FEE </v>
          </cell>
        </row>
        <row r="211">
          <cell r="G211" t="str">
            <v>DISCO-CP</v>
          </cell>
          <cell r="H211" t="str">
            <v xml:space="preserve">COMPACTOR DISCONNECT FEE </v>
          </cell>
        </row>
        <row r="212">
          <cell r="G212" t="str">
            <v>DISCO-CP</v>
          </cell>
          <cell r="H212" t="str">
            <v xml:space="preserve">COMPACTOR DISCONNECT FEE </v>
          </cell>
        </row>
        <row r="213">
          <cell r="G213" t="str">
            <v>DISCO1XW-CP</v>
          </cell>
          <cell r="H213" t="str">
            <v>CP DISCONNECT FEE 1X WK</v>
          </cell>
        </row>
        <row r="214">
          <cell r="G214" t="str">
            <v>DISCO1XW-CP</v>
          </cell>
          <cell r="H214" t="str">
            <v>CP DISCONNECT FEE 1X WK</v>
          </cell>
        </row>
        <row r="215">
          <cell r="G215" t="str">
            <v>DISCO1XW-CP</v>
          </cell>
          <cell r="H215" t="str">
            <v>CP DISCONNECT FEE 1X WK</v>
          </cell>
        </row>
        <row r="216">
          <cell r="G216" t="str">
            <v>DISCO1XW-CP</v>
          </cell>
          <cell r="H216" t="str">
            <v>CP DISCONNECT FEE 1X WK</v>
          </cell>
        </row>
        <row r="217">
          <cell r="G217" t="str">
            <v>DISCO1XW-CP</v>
          </cell>
          <cell r="H217" t="str">
            <v>CP DISCONNECT FEE 1X WK</v>
          </cell>
        </row>
        <row r="218">
          <cell r="G218" t="str">
            <v>DISCO1XW-CP</v>
          </cell>
          <cell r="H218" t="str">
            <v>CP DISCONNECT FEE 1X WK</v>
          </cell>
        </row>
        <row r="219">
          <cell r="G219" t="str">
            <v>DISCO1XW-CP</v>
          </cell>
          <cell r="H219" t="str">
            <v>CP DISCONNECT FEE 1X WK</v>
          </cell>
        </row>
        <row r="220">
          <cell r="G220" t="str">
            <v>DISCO2XW-CP</v>
          </cell>
          <cell r="H220" t="str">
            <v>CP DISCONNECT FEE 2X WEEK</v>
          </cell>
        </row>
        <row r="221">
          <cell r="G221" t="str">
            <v>DISCO2XW-CP</v>
          </cell>
          <cell r="H221" t="str">
            <v>CP DISCONNECT FEE 2X WEEK</v>
          </cell>
        </row>
        <row r="222">
          <cell r="G222" t="str">
            <v>DISCO2XW-CP</v>
          </cell>
          <cell r="H222" t="str">
            <v>CP DISCONNECT FEE 2X WEEK</v>
          </cell>
        </row>
        <row r="223">
          <cell r="G223" t="str">
            <v>DISCO2XW-CP</v>
          </cell>
          <cell r="H223" t="str">
            <v>CP DISCONNECT FEE 2X WEEK</v>
          </cell>
        </row>
        <row r="224">
          <cell r="G224" t="str">
            <v>DISCO2XW-CP</v>
          </cell>
          <cell r="H224" t="str">
            <v>CP DISCONNECT FEE 2X WEEK</v>
          </cell>
        </row>
        <row r="225">
          <cell r="G225" t="str">
            <v>DISCO2XW-CP</v>
          </cell>
          <cell r="H225" t="str">
            <v>CP DISCONNECT FEE 2X WEEK</v>
          </cell>
        </row>
        <row r="226">
          <cell r="G226" t="str">
            <v>DISCO2XW-CP</v>
          </cell>
          <cell r="H226" t="str">
            <v>CP DISCONNECT FEE 2X WEEK</v>
          </cell>
        </row>
        <row r="227">
          <cell r="G227" t="str">
            <v>DISP-COMM</v>
          </cell>
          <cell r="H227" t="str">
            <v>DISPOSAL FEE - COMM</v>
          </cell>
        </row>
        <row r="228">
          <cell r="G228" t="str">
            <v>DISP-DONATION</v>
          </cell>
          <cell r="H228" t="str">
            <v>DONATED DISPOSAL</v>
          </cell>
        </row>
        <row r="229">
          <cell r="G229" t="str">
            <v>DISP-RO</v>
          </cell>
          <cell r="H229" t="str">
            <v>DISPOSAL CHARGE - RO</v>
          </cell>
        </row>
        <row r="230">
          <cell r="G230" t="str">
            <v>DISP-RO</v>
          </cell>
          <cell r="H230" t="str">
            <v>DISPOSAL CHARGE - RO</v>
          </cell>
        </row>
        <row r="231">
          <cell r="G231" t="str">
            <v>DISP-RO</v>
          </cell>
          <cell r="H231" t="str">
            <v>DISPOSAL CHARGE - RO</v>
          </cell>
        </row>
        <row r="232">
          <cell r="G232" t="str">
            <v>DISP-RO</v>
          </cell>
          <cell r="H232" t="str">
            <v>DISPOSAL CHARGE - RO</v>
          </cell>
        </row>
        <row r="233">
          <cell r="G233" t="str">
            <v>DISP-RO</v>
          </cell>
          <cell r="H233" t="str">
            <v>DISPOSAL CHARGE - RO</v>
          </cell>
        </row>
        <row r="234">
          <cell r="G234" t="str">
            <v>DISP-RO</v>
          </cell>
          <cell r="H234" t="str">
            <v>DISPOSAL CHARGE - RO</v>
          </cell>
        </row>
        <row r="235">
          <cell r="G235" t="str">
            <v>DISPFEDMSW-RES</v>
          </cell>
          <cell r="H235" t="str">
            <v>DISPOSAL FEDERAL MSW - RE</v>
          </cell>
        </row>
        <row r="236">
          <cell r="G236" t="str">
            <v>DISPFEDMSW-RO</v>
          </cell>
          <cell r="H236" t="str">
            <v xml:space="preserve">DISPOSAL FEE FEDERAL MSW </v>
          </cell>
        </row>
        <row r="237">
          <cell r="G237" t="str">
            <v>DISPFEDMSW-RO</v>
          </cell>
          <cell r="H237" t="str">
            <v xml:space="preserve">DISPOSAL FEE FEDERAL MSW </v>
          </cell>
        </row>
        <row r="238">
          <cell r="G238" t="str">
            <v>DIST1CAN-COMM</v>
          </cell>
          <cell r="H238" t="str">
            <v>DISTRIBUTED 1 CAN - COMM</v>
          </cell>
        </row>
        <row r="239">
          <cell r="G239" t="str">
            <v>DIST1CAN-COMM</v>
          </cell>
          <cell r="H239" t="str">
            <v>DISTRIBUTED 1 CAN - COMM</v>
          </cell>
        </row>
        <row r="240">
          <cell r="G240" t="str">
            <v>DIST1CAN-COMM</v>
          </cell>
          <cell r="H240" t="str">
            <v>DISTRIBUTED 1 CAN - COMM</v>
          </cell>
        </row>
        <row r="241">
          <cell r="G241" t="str">
            <v>DIST2CAN-COMM</v>
          </cell>
          <cell r="H241" t="str">
            <v>DISTRIBUTED 2 CANS - COMM</v>
          </cell>
        </row>
        <row r="242">
          <cell r="G242" t="str">
            <v>DIST2CAN-COMM</v>
          </cell>
          <cell r="H242" t="str">
            <v>DISTRIBUTED 2 CANS - COMM</v>
          </cell>
        </row>
        <row r="243">
          <cell r="G243" t="str">
            <v>DIST2CAN-COMM</v>
          </cell>
          <cell r="H243" t="str">
            <v>DISTRIBUTED 2 CANS - COMM</v>
          </cell>
        </row>
        <row r="244">
          <cell r="G244" t="str">
            <v>DIST3CAN-COMM</v>
          </cell>
          <cell r="H244" t="str">
            <v>DISTRIBUTED 3 CANS - COMM</v>
          </cell>
        </row>
        <row r="245">
          <cell r="G245" t="str">
            <v>DIST3CAN-COMM</v>
          </cell>
          <cell r="H245" t="str">
            <v>DISTRIBUTED 3 CANS - COMM</v>
          </cell>
        </row>
        <row r="246">
          <cell r="G246" t="str">
            <v>DIST3CAN-COMM</v>
          </cell>
          <cell r="H246" t="str">
            <v>DISTRIBUTED 3 CANS - COMM</v>
          </cell>
        </row>
        <row r="247">
          <cell r="G247" t="str">
            <v>DIST4CAN-COMM</v>
          </cell>
          <cell r="H247" t="str">
            <v>DISTRIBUTED 4 CANS - COMM</v>
          </cell>
        </row>
        <row r="248">
          <cell r="G248" t="str">
            <v>DIST4CAN-COMM</v>
          </cell>
          <cell r="H248" t="str">
            <v>DISTRIBUTED 4 CANS - COMM</v>
          </cell>
        </row>
        <row r="249">
          <cell r="G249" t="str">
            <v>DIST4CAN-COMM</v>
          </cell>
          <cell r="H249" t="str">
            <v>DISTRIBUTED 4 CANS - COMM</v>
          </cell>
        </row>
        <row r="250">
          <cell r="G250" t="str">
            <v>DIST5CAN-COMM</v>
          </cell>
          <cell r="H250" t="str">
            <v>DISTRIBUTED 5 CANS - COMM</v>
          </cell>
        </row>
        <row r="251">
          <cell r="G251" t="str">
            <v>DIST5CAN-COMM</v>
          </cell>
          <cell r="H251" t="str">
            <v>DISTRIBUTED 5 CANS - COMM</v>
          </cell>
        </row>
        <row r="252">
          <cell r="G252" t="str">
            <v>DIST5CAN-COMM</v>
          </cell>
          <cell r="H252" t="str">
            <v>DISTRIBUTED 5 CANS - COMM</v>
          </cell>
        </row>
        <row r="253">
          <cell r="G253" t="str">
            <v>DRIVEIN-RES</v>
          </cell>
          <cell r="H253" t="str">
            <v>DRIVE IN SERVICE - RES</v>
          </cell>
        </row>
        <row r="254">
          <cell r="G254" t="str">
            <v>DRIVEIN-RES</v>
          </cell>
          <cell r="H254" t="str">
            <v>DRIVE IN SERVICE - RES</v>
          </cell>
        </row>
        <row r="255">
          <cell r="G255" t="str">
            <v>DRIVEIN-RES</v>
          </cell>
          <cell r="H255" t="str">
            <v>DRIVE IN SERVICE - RES</v>
          </cell>
        </row>
        <row r="256">
          <cell r="G256" t="str">
            <v>DRIVEIN-RES</v>
          </cell>
          <cell r="H256" t="str">
            <v>DRIVE IN SERVICE - RES</v>
          </cell>
        </row>
        <row r="257">
          <cell r="G257" t="str">
            <v>DRIVEIN1-COMM</v>
          </cell>
          <cell r="H257" t="str">
            <v>DRIVE IN 125-250' - COMM</v>
          </cell>
        </row>
        <row r="258">
          <cell r="G258" t="str">
            <v>DRIVEIN1-COMM</v>
          </cell>
          <cell r="H258" t="str">
            <v>DRIVE IN 125-250' - COMM</v>
          </cell>
        </row>
        <row r="259">
          <cell r="G259" t="str">
            <v>DRIVEIN1-COMM</v>
          </cell>
          <cell r="H259" t="str">
            <v>DRIVE IN 125-250' - COMM</v>
          </cell>
        </row>
        <row r="260">
          <cell r="G260" t="str">
            <v>DRIVEIN1-COMM</v>
          </cell>
          <cell r="H260" t="str">
            <v>DRIVE IN 125-250' - COMM</v>
          </cell>
        </row>
        <row r="261">
          <cell r="G261" t="str">
            <v>DRIVEIN1-COMM</v>
          </cell>
          <cell r="H261" t="str">
            <v>DRIVE IN 125-250' - COMM</v>
          </cell>
        </row>
        <row r="262">
          <cell r="G262" t="str">
            <v>DRIVEIN1-COMM</v>
          </cell>
          <cell r="H262" t="str">
            <v>DRIVE IN 125-250' - COMM</v>
          </cell>
        </row>
        <row r="263">
          <cell r="G263" t="str">
            <v>DRIVEIN1-RES</v>
          </cell>
          <cell r="H263" t="str">
            <v>DRIVE IN 1 - RES</v>
          </cell>
        </row>
        <row r="264">
          <cell r="G264" t="str">
            <v>DRIVEIN1-RES</v>
          </cell>
          <cell r="H264" t="str">
            <v>DRIVE IN 1 - RES</v>
          </cell>
        </row>
        <row r="265">
          <cell r="G265" t="str">
            <v>DRIVEIN2-COMM</v>
          </cell>
          <cell r="H265" t="str">
            <v>DRIVE IN 251-778' - COMM</v>
          </cell>
        </row>
        <row r="266">
          <cell r="G266" t="str">
            <v>DRIVEIN2-COMM</v>
          </cell>
          <cell r="H266" t="str">
            <v>DRIVE IN 251-778' - COMM</v>
          </cell>
        </row>
        <row r="267">
          <cell r="G267" t="str">
            <v>DRIVEIN2-COMM</v>
          </cell>
          <cell r="H267" t="str">
            <v>DRIVE IN 251-778' - COMM</v>
          </cell>
        </row>
        <row r="268">
          <cell r="G268" t="str">
            <v>DRIVEIN2-COMM</v>
          </cell>
          <cell r="H268" t="str">
            <v>DRIVE IN 251-778' - COMM</v>
          </cell>
        </row>
        <row r="269">
          <cell r="G269" t="str">
            <v>DRIVEIN2-RES</v>
          </cell>
          <cell r="H269" t="str">
            <v>DRIVE IN 2 - RES</v>
          </cell>
        </row>
        <row r="270">
          <cell r="G270" t="str">
            <v>DRIVEIN2-RES</v>
          </cell>
          <cell r="H270" t="str">
            <v>DRIVE IN 2 - RES</v>
          </cell>
        </row>
        <row r="271">
          <cell r="G271" t="str">
            <v>DRIVEIN2-RES</v>
          </cell>
          <cell r="H271" t="str">
            <v>DRIVE IN 2 - RES</v>
          </cell>
        </row>
        <row r="272">
          <cell r="G272" t="str">
            <v>DRIVEIN3-COMM</v>
          </cell>
          <cell r="H272" t="str">
            <v>DRIVE IN 779-1306' - COMM</v>
          </cell>
        </row>
        <row r="273">
          <cell r="G273" t="str">
            <v>DRIVEIN3-COMM</v>
          </cell>
          <cell r="H273" t="str">
            <v>DRIVE IN 779-1306' - COMM</v>
          </cell>
        </row>
        <row r="274">
          <cell r="G274" t="str">
            <v>DRIVEIN3-COMM</v>
          </cell>
          <cell r="H274" t="str">
            <v>DRIVE IN 779-1306' - COMM</v>
          </cell>
        </row>
        <row r="275">
          <cell r="G275" t="str">
            <v>DRIVEIN3-COMM</v>
          </cell>
          <cell r="H275" t="str">
            <v>DRIVE IN 779-1306' - COMM</v>
          </cell>
        </row>
        <row r="276">
          <cell r="G276" t="str">
            <v>DRIVEIN3-RES</v>
          </cell>
          <cell r="H276" t="str">
            <v>DRIVE IN 3 - RES</v>
          </cell>
        </row>
        <row r="277">
          <cell r="G277" t="str">
            <v>DRIVEIN3-RES</v>
          </cell>
          <cell r="H277" t="str">
            <v>DRIVE IN 3 - RES</v>
          </cell>
        </row>
        <row r="278">
          <cell r="G278" t="str">
            <v>DRIVEIN3-RES</v>
          </cell>
          <cell r="H278" t="str">
            <v>DRIVE IN 3 - RES</v>
          </cell>
        </row>
        <row r="279">
          <cell r="G279" t="str">
            <v>DRIVEIN4-COMM</v>
          </cell>
          <cell r="H279" t="str">
            <v>DRIVE IN 1307-1834' - COM</v>
          </cell>
        </row>
        <row r="280">
          <cell r="G280" t="str">
            <v>DRIVEIN4-COMM</v>
          </cell>
          <cell r="H280" t="str">
            <v>DRIVE IN 1307-1834' - COM</v>
          </cell>
        </row>
        <row r="281">
          <cell r="G281" t="str">
            <v>DRIVEIN4-COMM</v>
          </cell>
          <cell r="H281" t="str">
            <v>DRIVE IN 1307-1834' - COM</v>
          </cell>
        </row>
        <row r="282">
          <cell r="G282" t="str">
            <v>DRIVEIN4-COMM</v>
          </cell>
          <cell r="H282" t="str">
            <v>DRIVE IN 1307-1834' - COM</v>
          </cell>
        </row>
        <row r="283">
          <cell r="G283" t="str">
            <v>DRIVEIN4-RES</v>
          </cell>
          <cell r="H283" t="str">
            <v>DRIVE IN 4 - RES</v>
          </cell>
        </row>
        <row r="284">
          <cell r="G284" t="str">
            <v>DRIVEIN4-RES</v>
          </cell>
          <cell r="H284" t="str">
            <v>DRIVE IN 4 - RES</v>
          </cell>
        </row>
        <row r="285">
          <cell r="G285" t="str">
            <v>DRIVEIN4-RES</v>
          </cell>
          <cell r="H285" t="str">
            <v>DRIVE IN 4 - RES</v>
          </cell>
        </row>
        <row r="286">
          <cell r="G286" t="str">
            <v>DRIVEIN5-COMM</v>
          </cell>
          <cell r="H286" t="str">
            <v>DRIVE IN 1835-2362' - COM</v>
          </cell>
        </row>
        <row r="287">
          <cell r="G287" t="str">
            <v>DRIVEIN5-COMM</v>
          </cell>
          <cell r="H287" t="str">
            <v>DRIVE IN 1835-2362' - COM</v>
          </cell>
        </row>
        <row r="288">
          <cell r="G288" t="str">
            <v>DRIVEIN5-COMM</v>
          </cell>
          <cell r="H288" t="str">
            <v>DRIVE IN 1835-2362' - COM</v>
          </cell>
        </row>
        <row r="289">
          <cell r="G289" t="str">
            <v>DRIVEIN5-COMM</v>
          </cell>
          <cell r="H289" t="str">
            <v>DRIVE IN 1835-2362' - COM</v>
          </cell>
        </row>
        <row r="290">
          <cell r="G290" t="str">
            <v>DRIVEIN5-RES</v>
          </cell>
          <cell r="H290" t="str">
            <v>DRIVE IN 5 - RES</v>
          </cell>
        </row>
        <row r="291">
          <cell r="G291" t="str">
            <v>DRIVEIN5-RES</v>
          </cell>
          <cell r="H291" t="str">
            <v>DRIVE IN 5 - RES</v>
          </cell>
        </row>
        <row r="292">
          <cell r="G292" t="str">
            <v>DRIVEIN5-RES</v>
          </cell>
          <cell r="H292" t="str">
            <v>DRIVE IN 5 - RES</v>
          </cell>
        </row>
        <row r="293">
          <cell r="G293" t="str">
            <v>DRIVEIN6-RES</v>
          </cell>
          <cell r="H293" t="str">
            <v>DRIVE IN 6 - RES</v>
          </cell>
        </row>
        <row r="294">
          <cell r="G294" t="str">
            <v>DRIVEIN7-RES</v>
          </cell>
          <cell r="H294" t="str">
            <v>DRIVE IN 7 - RES</v>
          </cell>
        </row>
        <row r="295">
          <cell r="G295" t="str">
            <v>DRIVEINMUL-RES</v>
          </cell>
          <cell r="H295" t="str">
            <v>DRIVE IN SVC MULTIPLE</v>
          </cell>
        </row>
        <row r="296">
          <cell r="G296" t="str">
            <v>EP 1.5-MF</v>
          </cell>
          <cell r="H296" t="str">
            <v>EXTRA PICK UP 1.5 YD - MF</v>
          </cell>
        </row>
        <row r="297">
          <cell r="G297" t="str">
            <v>EP1-COMM</v>
          </cell>
          <cell r="H297" t="str">
            <v>EXTRA PICK UP 1 YD - COMM</v>
          </cell>
        </row>
        <row r="298">
          <cell r="G298" t="str">
            <v>EP1-MF</v>
          </cell>
          <cell r="H298" t="str">
            <v>EXTRA PICK UP 1 YD - MF</v>
          </cell>
        </row>
        <row r="299">
          <cell r="G299" t="str">
            <v>EP1.5-COMM</v>
          </cell>
          <cell r="H299" t="str">
            <v>EXTRA PICK UP 1.5 YD - CO</v>
          </cell>
        </row>
        <row r="300">
          <cell r="G300" t="str">
            <v>EP2-COMM</v>
          </cell>
          <cell r="H300" t="str">
            <v>EXTRA PICK UP 2 YD - COMM</v>
          </cell>
        </row>
        <row r="301">
          <cell r="G301" t="str">
            <v>EP2-MF</v>
          </cell>
          <cell r="H301" t="str">
            <v>EXTRA PICK UP 2 YD - MF</v>
          </cell>
        </row>
        <row r="302">
          <cell r="G302" t="str">
            <v>EP3-COMM</v>
          </cell>
          <cell r="H302" t="str">
            <v>EXTRA PICK UP 3 YD - COMM</v>
          </cell>
        </row>
        <row r="303">
          <cell r="G303" t="str">
            <v>EP3-MF</v>
          </cell>
          <cell r="H303" t="str">
            <v>EXTRA PICK UP 3 YD - MF</v>
          </cell>
        </row>
        <row r="304">
          <cell r="G304" t="str">
            <v>EP4-COMM</v>
          </cell>
          <cell r="H304" t="str">
            <v>EXTRA PICK UP 4 YD - COMM</v>
          </cell>
        </row>
        <row r="305">
          <cell r="G305" t="str">
            <v>EP4-MF</v>
          </cell>
          <cell r="H305" t="str">
            <v>EXTRA PICK UP 4 YD - MF</v>
          </cell>
        </row>
        <row r="306">
          <cell r="G306" t="str">
            <v>EP6-COMM</v>
          </cell>
          <cell r="H306" t="str">
            <v>EXTRA PICK UP 6 YD - COMM</v>
          </cell>
        </row>
        <row r="307">
          <cell r="G307" t="str">
            <v>EP6-MF</v>
          </cell>
          <cell r="H307" t="str">
            <v>EXTRA PICK UP 6 YD - MF</v>
          </cell>
        </row>
        <row r="308">
          <cell r="G308" t="str">
            <v>EP96GW-COMM</v>
          </cell>
          <cell r="H308" t="str">
            <v>EXTRA PICK UP 96 GW -COMM</v>
          </cell>
        </row>
        <row r="309">
          <cell r="G309" t="str">
            <v>EP96GW-COMM</v>
          </cell>
          <cell r="H309" t="str">
            <v>EXTRA PICK UP 96 GW -COMM</v>
          </cell>
        </row>
        <row r="310">
          <cell r="G310" t="str">
            <v>EP96GW-COMM</v>
          </cell>
          <cell r="H310" t="str">
            <v>EXTRA PICK UP 96 GW -COMM</v>
          </cell>
        </row>
        <row r="311">
          <cell r="G311" t="str">
            <v>EP96GW-COMM</v>
          </cell>
          <cell r="H311" t="str">
            <v>EXTRA PICK UP 96 GW -COMM</v>
          </cell>
        </row>
        <row r="312">
          <cell r="G312" t="str">
            <v>EP96GW-COMM</v>
          </cell>
          <cell r="H312" t="str">
            <v>EXTRA PICK UP 96 GW -COMM</v>
          </cell>
        </row>
        <row r="313">
          <cell r="G313" t="str">
            <v>EP96GWC-RES</v>
          </cell>
          <cell r="H313" t="str">
            <v>EXTRA PICK UP 96 GW - RES</v>
          </cell>
        </row>
        <row r="314">
          <cell r="G314" t="str">
            <v>EP96GWC-RES</v>
          </cell>
          <cell r="H314" t="str">
            <v>EXTRA PICK UP 96 GW - RES</v>
          </cell>
        </row>
        <row r="315">
          <cell r="G315" t="str">
            <v>EP96GWC-RES</v>
          </cell>
          <cell r="H315" t="str">
            <v>EXTRA PICK UP 96 GW - RES</v>
          </cell>
        </row>
        <row r="316">
          <cell r="G316" t="str">
            <v>EP96GWC-RES</v>
          </cell>
          <cell r="H316" t="str">
            <v>EXTRA PICK UP 96 GW - RES</v>
          </cell>
        </row>
        <row r="317">
          <cell r="G317" t="str">
            <v>EP96GWC-RES</v>
          </cell>
          <cell r="H317" t="str">
            <v>EXTRA PICK UP 96 GW - RES</v>
          </cell>
        </row>
        <row r="318">
          <cell r="G318" t="str">
            <v>EQUIP-COMM</v>
          </cell>
          <cell r="H318" t="str">
            <v>EQUIPMENT CHARGE - COMM</v>
          </cell>
        </row>
        <row r="319">
          <cell r="G319" t="str">
            <v>EXTRA-COMM</v>
          </cell>
          <cell r="H319" t="str">
            <v>EXTRA CAN, BAG, BOX - COM</v>
          </cell>
        </row>
        <row r="320">
          <cell r="G320" t="str">
            <v>EXTRA-COMM</v>
          </cell>
          <cell r="H320" t="str">
            <v>EXTRA CAN, BAG, BOX - COM</v>
          </cell>
        </row>
        <row r="321">
          <cell r="G321" t="str">
            <v>EXTRA-COMM</v>
          </cell>
          <cell r="H321" t="str">
            <v>EXTRA CAN, BAG, BOX - COM</v>
          </cell>
        </row>
        <row r="322">
          <cell r="G322" t="str">
            <v>EXTRA-COMM</v>
          </cell>
          <cell r="H322" t="str">
            <v>EXTRA CAN, BAG, BOX - COM</v>
          </cell>
        </row>
        <row r="323">
          <cell r="G323" t="str">
            <v>EXTRA-COMM</v>
          </cell>
          <cell r="H323" t="str">
            <v>EXTRA CAN, BAG, BOX - COM</v>
          </cell>
        </row>
        <row r="324">
          <cell r="G324" t="str">
            <v>EXTRA-COMM</v>
          </cell>
          <cell r="H324" t="str">
            <v>EXTRA CAN, BAG, BOX - COM</v>
          </cell>
        </row>
        <row r="325">
          <cell r="G325" t="str">
            <v>EXTRA-RES</v>
          </cell>
          <cell r="H325" t="str">
            <v>EXTRA CAN, BAG, BOX - RES</v>
          </cell>
        </row>
        <row r="326">
          <cell r="G326" t="str">
            <v>EXTRA-RES</v>
          </cell>
          <cell r="H326" t="str">
            <v>EXTRA CAN, BAG, BOX - RES</v>
          </cell>
        </row>
        <row r="327">
          <cell r="G327" t="str">
            <v>EXTRA-RES</v>
          </cell>
          <cell r="H327" t="str">
            <v>EXTRA CAN, BAG, BOX - RES</v>
          </cell>
        </row>
        <row r="328">
          <cell r="G328" t="str">
            <v>EXTRA-RES</v>
          </cell>
          <cell r="H328" t="str">
            <v>EXTRA CAN, BAG, BOX - RES</v>
          </cell>
        </row>
        <row r="329">
          <cell r="G329" t="str">
            <v>EXTRA-RES</v>
          </cell>
          <cell r="H329" t="str">
            <v>EXTRA CAN, BAG, BOX - RES</v>
          </cell>
        </row>
        <row r="330">
          <cell r="G330" t="str">
            <v>EXTRA65-RES</v>
          </cell>
          <cell r="H330" t="str">
            <v>EXTRA 65 GL RES</v>
          </cell>
        </row>
        <row r="331">
          <cell r="G331" t="str">
            <v>EXTRA95-RES</v>
          </cell>
          <cell r="H331" t="str">
            <v>EXTRA 95 GL RES</v>
          </cell>
        </row>
        <row r="332">
          <cell r="G332" t="str">
            <v>EXTRAGRAD1-COMM</v>
          </cell>
          <cell r="H332" t="str">
            <v>EXTRAS GRADUATED 1-2 - COMM</v>
          </cell>
        </row>
        <row r="333">
          <cell r="G333" t="str">
            <v>EXTRAGRAD1-RES</v>
          </cell>
          <cell r="H333" t="str">
            <v>EXTRAS GRADUATED 1-2 - RES</v>
          </cell>
        </row>
        <row r="334">
          <cell r="G334" t="str">
            <v>EXTRAGRAD2-COMM</v>
          </cell>
          <cell r="H334" t="str">
            <v>EXTRAS GRADUATED 3+ - COMM</v>
          </cell>
        </row>
        <row r="335">
          <cell r="G335" t="str">
            <v>EXTRAGRAD2-RES</v>
          </cell>
          <cell r="H335" t="str">
            <v>EXTRAS GRADUATED 3+ - RES</v>
          </cell>
        </row>
        <row r="336">
          <cell r="G336" t="str">
            <v>EXTRAGWC-COMM</v>
          </cell>
          <cell r="H336" t="str">
            <v>EXTRA GREENWASTE FEE - CO</v>
          </cell>
        </row>
        <row r="337">
          <cell r="G337" t="str">
            <v>EXTRAGWC-COMM</v>
          </cell>
          <cell r="H337" t="str">
            <v>EXTRA GREENWASTE FEE - CO</v>
          </cell>
        </row>
        <row r="338">
          <cell r="G338" t="str">
            <v>EXTRAGWC-COMM</v>
          </cell>
          <cell r="H338" t="str">
            <v>EXTRA GREENWASTE FEE - CO</v>
          </cell>
        </row>
        <row r="339">
          <cell r="G339" t="str">
            <v>EXTRAGWC-COMM</v>
          </cell>
          <cell r="H339" t="str">
            <v>EXTRA GREENWASTE FEE - CO</v>
          </cell>
        </row>
        <row r="340">
          <cell r="G340" t="str">
            <v>EXTRAGWC-COMM</v>
          </cell>
          <cell r="H340" t="str">
            <v>EXTRA GREENWASTE FEE - CO</v>
          </cell>
        </row>
        <row r="341">
          <cell r="G341" t="str">
            <v>EXTRAGWC-RES</v>
          </cell>
          <cell r="H341" t="str">
            <v>EXTRA GREENWASTE FEE - RE</v>
          </cell>
        </row>
        <row r="342">
          <cell r="G342" t="str">
            <v>EXTRAGWC-RES</v>
          </cell>
          <cell r="H342" t="str">
            <v>EXTRA GREENWASTE FEE - RE</v>
          </cell>
        </row>
        <row r="343">
          <cell r="G343" t="str">
            <v>EXTRAGWC-RES</v>
          </cell>
          <cell r="H343" t="str">
            <v>EXTRA GREENWASTE FEE - RE</v>
          </cell>
        </row>
        <row r="344">
          <cell r="G344" t="str">
            <v>EXTRAGWC-RES</v>
          </cell>
          <cell r="H344" t="str">
            <v>EXTRA GREENWASTE FEE - RE</v>
          </cell>
        </row>
        <row r="345">
          <cell r="G345" t="str">
            <v>EXTRAGWC-RES</v>
          </cell>
          <cell r="H345" t="str">
            <v>EXTRA GREENWASTE FEE - RE</v>
          </cell>
        </row>
        <row r="346">
          <cell r="G346" t="str">
            <v>EXTRAGWSPCL-RES</v>
          </cell>
          <cell r="H346" t="str">
            <v>EXTRA GREENWASTE S/D - RES</v>
          </cell>
        </row>
        <row r="347">
          <cell r="G347" t="str">
            <v>EXTRAYDG-COM</v>
          </cell>
          <cell r="H347" t="str">
            <v>EXTRA YARDAGE - COMM</v>
          </cell>
        </row>
        <row r="348">
          <cell r="G348" t="str">
            <v>EXTRAYDG-COM</v>
          </cell>
          <cell r="H348" t="str">
            <v>EXTRA YARDAGE - COMM</v>
          </cell>
        </row>
        <row r="349">
          <cell r="G349" t="str">
            <v>EXTRAYDG-COM</v>
          </cell>
          <cell r="H349" t="str">
            <v>EXTRA YARDAGE - COMM</v>
          </cell>
        </row>
        <row r="350">
          <cell r="G350" t="str">
            <v>EXTRAYDG-COM</v>
          </cell>
          <cell r="H350" t="str">
            <v>EXTRA YARDAGE - COMM</v>
          </cell>
        </row>
        <row r="351">
          <cell r="G351" t="str">
            <v>EXTRAYDG-COM</v>
          </cell>
          <cell r="H351" t="str">
            <v>EXTRA YARDAGE - COMM</v>
          </cell>
        </row>
        <row r="352">
          <cell r="G352" t="str">
            <v>EXTRAYDG-COM</v>
          </cell>
          <cell r="H352" t="str">
            <v>EXTRA YARDAGE - COMM</v>
          </cell>
        </row>
        <row r="353">
          <cell r="G353" t="str">
            <v>EXTRAYDG-MF</v>
          </cell>
          <cell r="H353" t="str">
            <v>EXTRA YARDAGE - MF</v>
          </cell>
        </row>
        <row r="354">
          <cell r="G354" t="str">
            <v>EXTRAYDG-RES</v>
          </cell>
          <cell r="H354" t="str">
            <v>EXTRA YARDAGE - RES</v>
          </cell>
        </row>
        <row r="355">
          <cell r="G355" t="str">
            <v>EXTRAYDG-RO</v>
          </cell>
          <cell r="H355" t="str">
            <v>EXTRA YARDAGE - RO</v>
          </cell>
        </row>
        <row r="356">
          <cell r="G356" t="str">
            <v>EXWGHT-RO</v>
          </cell>
          <cell r="H356" t="str">
            <v>EXCESS WEIGHT - RO</v>
          </cell>
        </row>
        <row r="357">
          <cell r="G357" t="str">
            <v>EXWGHT-RO</v>
          </cell>
          <cell r="H357" t="str">
            <v>EXCESS WEIGHT - RO</v>
          </cell>
        </row>
        <row r="358">
          <cell r="G358" t="str">
            <v>EXWGHT-RO</v>
          </cell>
          <cell r="H358" t="str">
            <v>EXCESS WEIGHT - RO</v>
          </cell>
        </row>
        <row r="359">
          <cell r="G359" t="str">
            <v>EXWGHT-RO</v>
          </cell>
          <cell r="H359" t="str">
            <v>EXCESS WEIGHT - RO</v>
          </cell>
        </row>
        <row r="360">
          <cell r="G360" t="str">
            <v>EXWGHT-RO</v>
          </cell>
          <cell r="H360" t="str">
            <v>EXCESS WEIGHT - RO</v>
          </cell>
        </row>
        <row r="361">
          <cell r="G361" t="str">
            <v>EXWGHT-RO</v>
          </cell>
          <cell r="H361" t="str">
            <v>EXCESS WEIGHT - RO</v>
          </cell>
        </row>
        <row r="362">
          <cell r="G362" t="str">
            <v>EXWGHT-RO</v>
          </cell>
          <cell r="H362" t="str">
            <v>EXCESS WEIGHT - RO</v>
          </cell>
        </row>
        <row r="363">
          <cell r="G363" t="str">
            <v>FDWASTE-COMM</v>
          </cell>
          <cell r="H363" t="str">
            <v>FOOD WASTE SERVICE - COMM</v>
          </cell>
        </row>
        <row r="364">
          <cell r="G364" t="str">
            <v>FDWASTE-COMM</v>
          </cell>
          <cell r="H364" t="str">
            <v>FOOD WASTE SERVICE - COMM</v>
          </cell>
        </row>
        <row r="365">
          <cell r="G365" t="str">
            <v>FINAL15-RO</v>
          </cell>
          <cell r="H365" t="str">
            <v>FINAL PULL 15 YD - RO</v>
          </cell>
        </row>
        <row r="366">
          <cell r="G366" t="str">
            <v>FINAL15TEMP-RO</v>
          </cell>
          <cell r="H366" t="str">
            <v>FINAL PULL 15 YD TEMP - RO</v>
          </cell>
        </row>
        <row r="367">
          <cell r="G367" t="str">
            <v>FINAL20-RO</v>
          </cell>
          <cell r="H367" t="str">
            <v>FINAL PULL 20 YD - RO</v>
          </cell>
        </row>
        <row r="368">
          <cell r="G368" t="str">
            <v>FINAL20-RO</v>
          </cell>
          <cell r="H368" t="str">
            <v>FINAL PULL 20 YD - RO</v>
          </cell>
        </row>
        <row r="369">
          <cell r="G369" t="str">
            <v>FINAL20-RO</v>
          </cell>
          <cell r="H369" t="str">
            <v>FINAL PULL 20 YD - RO</v>
          </cell>
        </row>
        <row r="370">
          <cell r="G370" t="str">
            <v>FINAL20-RO</v>
          </cell>
          <cell r="H370" t="str">
            <v>FINAL PULL 20 YD - RO</v>
          </cell>
        </row>
        <row r="371">
          <cell r="G371" t="str">
            <v>FINAL20-RO</v>
          </cell>
          <cell r="H371" t="str">
            <v>FINAL PULL 20 YD - RO</v>
          </cell>
        </row>
        <row r="372">
          <cell r="G372" t="str">
            <v>FINAL20-RO</v>
          </cell>
          <cell r="H372" t="str">
            <v>FINAL PULL 20 YD - RO</v>
          </cell>
        </row>
        <row r="373">
          <cell r="G373" t="str">
            <v>FINAL20-RO</v>
          </cell>
          <cell r="H373" t="str">
            <v>FINAL PULL 20 YD - RO</v>
          </cell>
        </row>
        <row r="374">
          <cell r="G374" t="str">
            <v>FINAL20-RO</v>
          </cell>
          <cell r="H374" t="str">
            <v>FINAL PULL 20 YD - RO</v>
          </cell>
        </row>
        <row r="375">
          <cell r="G375" t="str">
            <v>FINAL20TEMP-RO</v>
          </cell>
          <cell r="H375" t="str">
            <v>FINAL PULL 20 YD TEMP - R</v>
          </cell>
        </row>
        <row r="376">
          <cell r="G376" t="str">
            <v>FINAL20TEMP-RO</v>
          </cell>
          <cell r="H376" t="str">
            <v>FINAL PULL 20 YD TEMP - R</v>
          </cell>
        </row>
        <row r="377">
          <cell r="G377" t="str">
            <v>FINAL20TEMP-RO</v>
          </cell>
          <cell r="H377" t="str">
            <v>FINAL PULL 20 YD TEMP - R</v>
          </cell>
        </row>
        <row r="378">
          <cell r="G378" t="str">
            <v>FINAL20TEMP-RO</v>
          </cell>
          <cell r="H378" t="str">
            <v>FINAL PULL 20 YD TEMP - R</v>
          </cell>
        </row>
        <row r="379">
          <cell r="G379" t="str">
            <v>FINAL20TEMP-RO</v>
          </cell>
          <cell r="H379" t="str">
            <v>FINAL PULL 20 YD TEMP - R</v>
          </cell>
        </row>
        <row r="380">
          <cell r="G380" t="str">
            <v>FINAL20TEMP-RO</v>
          </cell>
          <cell r="H380" t="str">
            <v>FINAL PULL 20 YD TEMP - R</v>
          </cell>
        </row>
        <row r="381">
          <cell r="G381" t="str">
            <v>FINAL20TEMP-RO</v>
          </cell>
          <cell r="H381" t="str">
            <v>FINAL PULL 20 YD TEMP - R</v>
          </cell>
        </row>
        <row r="382">
          <cell r="G382" t="str">
            <v>FINAL20TEMP-RO</v>
          </cell>
          <cell r="H382" t="str">
            <v>FINAL PULL 20 YD TEMP - R</v>
          </cell>
        </row>
        <row r="383">
          <cell r="G383" t="str">
            <v>FINAL25-RO</v>
          </cell>
          <cell r="H383" t="str">
            <v>FINAL PULL 25 YD - RO</v>
          </cell>
        </row>
        <row r="384">
          <cell r="G384" t="str">
            <v>FINAL25-RO</v>
          </cell>
          <cell r="H384" t="str">
            <v>FINAL PULL 25 YD - RO</v>
          </cell>
        </row>
        <row r="385">
          <cell r="G385" t="str">
            <v>FINAL25TEMP-RO</v>
          </cell>
          <cell r="H385" t="str">
            <v>FINAL PULL 25 YD TEMP - RO</v>
          </cell>
        </row>
        <row r="386">
          <cell r="G386" t="str">
            <v>FINAL25TEMP-RO</v>
          </cell>
          <cell r="H386" t="str">
            <v>FINAL PULL 25 YD TEMP - RO</v>
          </cell>
        </row>
        <row r="387">
          <cell r="G387" t="str">
            <v>FINAL30-RO</v>
          </cell>
          <cell r="H387" t="str">
            <v>FINAL PULL 30 YD - RO</v>
          </cell>
        </row>
        <row r="388">
          <cell r="G388" t="str">
            <v>FINAL30-RO</v>
          </cell>
          <cell r="H388" t="str">
            <v>FINAL PULL 30 YD - RO</v>
          </cell>
        </row>
        <row r="389">
          <cell r="G389" t="str">
            <v>FINAL30-RO</v>
          </cell>
          <cell r="H389" t="str">
            <v>FINAL PULL 30 YD - RO</v>
          </cell>
        </row>
        <row r="390">
          <cell r="G390" t="str">
            <v>FINAL30-RO</v>
          </cell>
          <cell r="H390" t="str">
            <v>FINAL PULL 30 YD - RO</v>
          </cell>
        </row>
        <row r="391">
          <cell r="G391" t="str">
            <v>FINAL30-RO</v>
          </cell>
          <cell r="H391" t="str">
            <v>FINAL PULL 30 YD - RO</v>
          </cell>
        </row>
        <row r="392">
          <cell r="G392" t="str">
            <v>FINAL30-RO</v>
          </cell>
          <cell r="H392" t="str">
            <v>FINAL PULL 30 YD - RO</v>
          </cell>
        </row>
        <row r="393">
          <cell r="G393" t="str">
            <v>FINAL30-RO</v>
          </cell>
          <cell r="H393" t="str">
            <v>FINAL PULL 30 YD - RO</v>
          </cell>
        </row>
        <row r="394">
          <cell r="G394" t="str">
            <v>FINAL30-RO</v>
          </cell>
          <cell r="H394" t="str">
            <v>FINAL PULL 30 YD - RO</v>
          </cell>
        </row>
        <row r="395">
          <cell r="G395" t="str">
            <v>FINAL30TEMP-RO</v>
          </cell>
          <cell r="H395" t="str">
            <v>FINAL PULL 30 YD TEMP - R</v>
          </cell>
        </row>
        <row r="396">
          <cell r="G396" t="str">
            <v>FINAL30TEMP-RO</v>
          </cell>
          <cell r="H396" t="str">
            <v>FINAL PULL 30 YD TEMP - R</v>
          </cell>
        </row>
        <row r="397">
          <cell r="G397" t="str">
            <v>FINAL30TEMP-RO</v>
          </cell>
          <cell r="H397" t="str">
            <v>FINAL PULL 30 YD TEMP - R</v>
          </cell>
        </row>
        <row r="398">
          <cell r="G398" t="str">
            <v>FINAL30TEMP-RO</v>
          </cell>
          <cell r="H398" t="str">
            <v>FINAL PULL 30 YD TEMP - R</v>
          </cell>
        </row>
        <row r="399">
          <cell r="G399" t="str">
            <v>FINAL30TEMP-RO</v>
          </cell>
          <cell r="H399" t="str">
            <v>FINAL PULL 30 YD TEMP - R</v>
          </cell>
        </row>
        <row r="400">
          <cell r="G400" t="str">
            <v>FINAL30TEMP-RO</v>
          </cell>
          <cell r="H400" t="str">
            <v>FINAL PULL 30 YD TEMP - R</v>
          </cell>
        </row>
        <row r="401">
          <cell r="G401" t="str">
            <v>FINAL30TEMP-RO</v>
          </cell>
          <cell r="H401" t="str">
            <v>FINAL PULL 30 YD TEMP - R</v>
          </cell>
        </row>
        <row r="402">
          <cell r="G402" t="str">
            <v>FINAL30TEMP-RO</v>
          </cell>
          <cell r="H402" t="str">
            <v>FINAL PULL 30 YD TEMP - R</v>
          </cell>
        </row>
        <row r="403">
          <cell r="G403" t="str">
            <v>FINAL40-RO</v>
          </cell>
          <cell r="H403" t="str">
            <v>FINAL PULL 40 YD - RO</v>
          </cell>
        </row>
        <row r="404">
          <cell r="G404" t="str">
            <v>FINAL40-RO</v>
          </cell>
          <cell r="H404" t="str">
            <v>FINAL PULL 40 YD - RO</v>
          </cell>
        </row>
        <row r="405">
          <cell r="G405" t="str">
            <v>FINAL40-RO</v>
          </cell>
          <cell r="H405" t="str">
            <v>FINAL PULL 40 YD - RO</v>
          </cell>
        </row>
        <row r="406">
          <cell r="G406" t="str">
            <v>FINAL40-RO</v>
          </cell>
          <cell r="H406" t="str">
            <v>FINAL PULL 40 YD - RO</v>
          </cell>
        </row>
        <row r="407">
          <cell r="G407" t="str">
            <v>FINAL40-RO</v>
          </cell>
          <cell r="H407" t="str">
            <v>FINAL PULL 40 YD - RO</v>
          </cell>
        </row>
        <row r="408">
          <cell r="G408" t="str">
            <v>FINAL40-RO</v>
          </cell>
          <cell r="H408" t="str">
            <v>FINAL PULL 40 YD - RO</v>
          </cell>
        </row>
        <row r="409">
          <cell r="G409" t="str">
            <v>FINAL40-RO</v>
          </cell>
          <cell r="H409" t="str">
            <v>FINAL PULL 40 YD - RO</v>
          </cell>
        </row>
        <row r="410">
          <cell r="G410" t="str">
            <v>FINAL40-RO</v>
          </cell>
          <cell r="H410" t="str">
            <v>FINAL PULL 40 YD - RO</v>
          </cell>
        </row>
        <row r="411">
          <cell r="G411" t="str">
            <v>FINAL40TEMP-RO</v>
          </cell>
          <cell r="H411" t="str">
            <v>FINAL PULL 40 YD TEMP - R</v>
          </cell>
        </row>
        <row r="412">
          <cell r="G412" t="str">
            <v>FINAL40TEMP-RO</v>
          </cell>
          <cell r="H412" t="str">
            <v>FINAL PULL 40 YD TEMP - R</v>
          </cell>
        </row>
        <row r="413">
          <cell r="G413" t="str">
            <v>FINAL40TEMP-RO</v>
          </cell>
          <cell r="H413" t="str">
            <v>FINAL PULL 40 YD TEMP - R</v>
          </cell>
        </row>
        <row r="414">
          <cell r="G414" t="str">
            <v>FINAL40TEMP-RO</v>
          </cell>
          <cell r="H414" t="str">
            <v>FINAL PULL 40 YD TEMP - R</v>
          </cell>
        </row>
        <row r="415">
          <cell r="G415" t="str">
            <v>FINAL40TEMP-RO</v>
          </cell>
          <cell r="H415" t="str">
            <v>FINAL PULL 40 YD TEMP - R</v>
          </cell>
        </row>
        <row r="416">
          <cell r="G416" t="str">
            <v>FINAL40TEMP-RO</v>
          </cell>
          <cell r="H416" t="str">
            <v>FINAL PULL 40 YD TEMP - R</v>
          </cell>
        </row>
        <row r="417">
          <cell r="G417" t="str">
            <v>FINAL40TEMP-RO</v>
          </cell>
          <cell r="H417" t="str">
            <v>FINAL PULL 40 YD TEMP - R</v>
          </cell>
        </row>
        <row r="418">
          <cell r="G418" t="str">
            <v>FINAL40TEMP-RO</v>
          </cell>
          <cell r="H418" t="str">
            <v>FINAL PULL 40 YD TEMP - R</v>
          </cell>
        </row>
        <row r="419">
          <cell r="G419" t="str">
            <v>FL001.0Y1W001</v>
          </cell>
          <cell r="H419" t="str">
            <v>1 YD 1X WK 1</v>
          </cell>
        </row>
        <row r="420">
          <cell r="G420" t="str">
            <v>FL001.0Y1W001</v>
          </cell>
          <cell r="H420" t="str">
            <v>1 YD 1X WK 1</v>
          </cell>
        </row>
        <row r="421">
          <cell r="G421" t="str">
            <v>FL001.0Y1W001</v>
          </cell>
          <cell r="H421" t="str">
            <v>1 YD 1X WK 1</v>
          </cell>
        </row>
        <row r="422">
          <cell r="G422" t="str">
            <v>FL001.0Y1W001</v>
          </cell>
          <cell r="H422" t="str">
            <v>1 YD 1X WK 1</v>
          </cell>
        </row>
        <row r="423">
          <cell r="G423" t="str">
            <v>FL001.0Y1W001</v>
          </cell>
          <cell r="H423" t="str">
            <v>1 YD 1X WK 1</v>
          </cell>
        </row>
        <row r="424">
          <cell r="G424" t="str">
            <v>FL001.0Y1W001</v>
          </cell>
          <cell r="H424" t="str">
            <v>1 YD 1X WK 1</v>
          </cell>
        </row>
        <row r="425">
          <cell r="G425" t="str">
            <v>FL001.0Y1W001</v>
          </cell>
          <cell r="H425" t="str">
            <v>1 YD 1X WK 1</v>
          </cell>
        </row>
        <row r="426">
          <cell r="G426" t="str">
            <v>FL001.0Y1W001</v>
          </cell>
          <cell r="H426" t="str">
            <v>1 YD 1X WK 1</v>
          </cell>
        </row>
        <row r="427">
          <cell r="G427" t="str">
            <v>FL001.0Y1W001MF</v>
          </cell>
          <cell r="H427" t="str">
            <v>1 YD 1X WK MULTI-FAMILY 1</v>
          </cell>
        </row>
        <row r="428">
          <cell r="G428" t="str">
            <v>FL001.0Y2W001</v>
          </cell>
          <cell r="H428" t="str">
            <v>1 YD 2X WK 1</v>
          </cell>
        </row>
        <row r="429">
          <cell r="G429" t="str">
            <v>FL001.0Y2W001</v>
          </cell>
          <cell r="H429" t="str">
            <v>1 YD 2X WK 1</v>
          </cell>
        </row>
        <row r="430">
          <cell r="G430" t="str">
            <v>FL001.0Y2W001</v>
          </cell>
          <cell r="H430" t="str">
            <v>1 YD 2X WK 1</v>
          </cell>
        </row>
        <row r="431">
          <cell r="G431" t="str">
            <v>FL001.0Y2W001</v>
          </cell>
          <cell r="H431" t="str">
            <v>1 YD 2X WK 1</v>
          </cell>
        </row>
        <row r="432">
          <cell r="G432" t="str">
            <v>FL001.0Y2W001</v>
          </cell>
          <cell r="H432" t="str">
            <v>1 YD 2X WK 1</v>
          </cell>
        </row>
        <row r="433">
          <cell r="G433" t="str">
            <v>FL001.0Y2W001</v>
          </cell>
          <cell r="H433" t="str">
            <v>1 YD 2X WK 1</v>
          </cell>
        </row>
        <row r="434">
          <cell r="G434" t="str">
            <v>FL001.0Y2W001</v>
          </cell>
          <cell r="H434" t="str">
            <v>1 YD 2X WK 1</v>
          </cell>
        </row>
        <row r="435">
          <cell r="G435" t="str">
            <v>FL001.0Y2W001MF</v>
          </cell>
          <cell r="H435" t="str">
            <v>1 YD 2X WK MULTI-FAMILY 1</v>
          </cell>
        </row>
        <row r="436">
          <cell r="G436" t="str">
            <v>FL001.0Y3W001</v>
          </cell>
          <cell r="H436" t="str">
            <v>1 YD 3X WK 1</v>
          </cell>
        </row>
        <row r="437">
          <cell r="G437" t="str">
            <v>FL001.0Y3W001</v>
          </cell>
          <cell r="H437" t="str">
            <v>1 YD 3X WK 1</v>
          </cell>
        </row>
        <row r="438">
          <cell r="G438" t="str">
            <v>FL001.0Y3W001</v>
          </cell>
          <cell r="H438" t="str">
            <v>1 YD 3X WK 1</v>
          </cell>
        </row>
        <row r="439">
          <cell r="G439" t="str">
            <v>FL001.0Y3W001</v>
          </cell>
          <cell r="H439" t="str">
            <v>1 YD 3X WK 1</v>
          </cell>
        </row>
        <row r="440">
          <cell r="G440" t="str">
            <v>FL001.0Y3W001</v>
          </cell>
          <cell r="H440" t="str">
            <v>1 YD 3X WK 1</v>
          </cell>
        </row>
        <row r="441">
          <cell r="G441" t="str">
            <v>FL001.0Y3W001</v>
          </cell>
          <cell r="H441" t="str">
            <v>1 YD 3X WK 1</v>
          </cell>
        </row>
        <row r="442">
          <cell r="G442" t="str">
            <v>FL001.0Y3W001MF</v>
          </cell>
          <cell r="H442" t="str">
            <v>1 YD 3X WK MULTI-FAMILY 1</v>
          </cell>
        </row>
        <row r="443">
          <cell r="G443" t="str">
            <v>FL001.0Y4W001</v>
          </cell>
          <cell r="H443" t="str">
            <v>1 YD 4X WK 1</v>
          </cell>
        </row>
        <row r="444">
          <cell r="G444" t="str">
            <v>FL001.0Y4W001</v>
          </cell>
          <cell r="H444" t="str">
            <v>1 YD 4X WK 1</v>
          </cell>
        </row>
        <row r="445">
          <cell r="G445" t="str">
            <v>FL001.0Y4W001</v>
          </cell>
          <cell r="H445" t="str">
            <v>1 YD 4X WK 1</v>
          </cell>
        </row>
        <row r="446">
          <cell r="G446" t="str">
            <v>FL001.0Y4W001</v>
          </cell>
          <cell r="H446" t="str">
            <v>1 YD 4X WK 1</v>
          </cell>
        </row>
        <row r="447">
          <cell r="G447" t="str">
            <v>FL001.0Y4W001</v>
          </cell>
          <cell r="H447" t="str">
            <v>1 YD 4X WK 1</v>
          </cell>
        </row>
        <row r="448">
          <cell r="G448" t="str">
            <v>FL001.0Y4W001</v>
          </cell>
          <cell r="H448" t="str">
            <v>1 YD 4X WK 1</v>
          </cell>
        </row>
        <row r="449">
          <cell r="G449" t="str">
            <v>FL001.0Y4W001MF</v>
          </cell>
          <cell r="H449" t="str">
            <v>1 YD 4X WK MULTI-FAMILY 1</v>
          </cell>
        </row>
        <row r="450">
          <cell r="G450" t="str">
            <v>FL001.0Y5W001</v>
          </cell>
          <cell r="H450" t="str">
            <v>1 YD 5X WK 1</v>
          </cell>
        </row>
        <row r="451">
          <cell r="G451" t="str">
            <v>FL001.0Y5W001</v>
          </cell>
          <cell r="H451" t="str">
            <v>1 YD 5X WK 1</v>
          </cell>
        </row>
        <row r="452">
          <cell r="G452" t="str">
            <v>FL001.0Y5W001</v>
          </cell>
          <cell r="H452" t="str">
            <v>1 YD 5X WK 1</v>
          </cell>
        </row>
        <row r="453">
          <cell r="G453" t="str">
            <v>FL001.0Y5W001</v>
          </cell>
          <cell r="H453" t="str">
            <v>1 YD 5X WK 1</v>
          </cell>
        </row>
        <row r="454">
          <cell r="G454" t="str">
            <v>FL001.0Y5W001</v>
          </cell>
          <cell r="H454" t="str">
            <v>1 YD 5X WK 1</v>
          </cell>
        </row>
        <row r="455">
          <cell r="G455" t="str">
            <v>FL001.0Y5W001</v>
          </cell>
          <cell r="H455" t="str">
            <v>1 YD 5X WK 1</v>
          </cell>
        </row>
        <row r="456">
          <cell r="G456" t="str">
            <v>FL001.0Y5W001MF</v>
          </cell>
          <cell r="H456" t="str">
            <v>1 YD 5X WK MULTI-FAMILY 1</v>
          </cell>
        </row>
        <row r="457">
          <cell r="G457" t="str">
            <v>FL001.0YEO001</v>
          </cell>
          <cell r="H457" t="str">
            <v>1 YD EOW 1</v>
          </cell>
        </row>
        <row r="458">
          <cell r="G458" t="str">
            <v>FL001.0YTEMPMF</v>
          </cell>
          <cell r="H458" t="str">
            <v>1 YD TEMP - MF</v>
          </cell>
        </row>
        <row r="459">
          <cell r="G459" t="str">
            <v>FL001.0YXX001TEMPC</v>
          </cell>
          <cell r="H459" t="str">
            <v xml:space="preserve">1 YD TEMP </v>
          </cell>
        </row>
        <row r="460">
          <cell r="G460" t="str">
            <v>FL001.0YXX001TEMPC</v>
          </cell>
          <cell r="H460" t="str">
            <v xml:space="preserve">1 YD TEMP </v>
          </cell>
        </row>
        <row r="461">
          <cell r="G461" t="str">
            <v>FL001.0YXX001TEMPC</v>
          </cell>
          <cell r="H461" t="str">
            <v xml:space="preserve">1 YD TEMP </v>
          </cell>
        </row>
        <row r="462">
          <cell r="G462" t="str">
            <v>FL001.0YXX001TEMPC</v>
          </cell>
          <cell r="H462" t="str">
            <v xml:space="preserve">1 YD TEMP </v>
          </cell>
        </row>
        <row r="463">
          <cell r="G463" t="str">
            <v>FL001.0YXX001TEMPC</v>
          </cell>
          <cell r="H463" t="str">
            <v xml:space="preserve">1 YD TEMP </v>
          </cell>
        </row>
        <row r="464">
          <cell r="G464" t="str">
            <v>FL001.0YXX001TEMPC</v>
          </cell>
          <cell r="H464" t="str">
            <v xml:space="preserve">1 YD TEMP </v>
          </cell>
        </row>
        <row r="465">
          <cell r="G465" t="str">
            <v>FL001.0YXX001TEMPC</v>
          </cell>
          <cell r="H465" t="str">
            <v xml:space="preserve">1 YD TEMP </v>
          </cell>
        </row>
        <row r="466">
          <cell r="G466" t="str">
            <v>FL001.5Y1W001</v>
          </cell>
          <cell r="H466" t="str">
            <v>1.5 YD 1X WK 1</v>
          </cell>
        </row>
        <row r="467">
          <cell r="G467" t="str">
            <v>FL001.5Y1W001</v>
          </cell>
          <cell r="H467" t="str">
            <v>1.5 YD 1X WK 1</v>
          </cell>
        </row>
        <row r="468">
          <cell r="G468" t="str">
            <v>FL001.5Y1W001</v>
          </cell>
          <cell r="H468" t="str">
            <v>1.5 YD 1X WK 1</v>
          </cell>
        </row>
        <row r="469">
          <cell r="G469" t="str">
            <v>FL001.5Y1W001</v>
          </cell>
          <cell r="H469" t="str">
            <v>1.5 YD 1X WK 1</v>
          </cell>
        </row>
        <row r="470">
          <cell r="G470" t="str">
            <v>FL001.5Y1W001</v>
          </cell>
          <cell r="H470" t="str">
            <v>1.5 YD 1X WK 1</v>
          </cell>
        </row>
        <row r="471">
          <cell r="G471" t="str">
            <v>FL001.5Y1W001</v>
          </cell>
          <cell r="H471" t="str">
            <v>1.5 YD 1X WK 1</v>
          </cell>
        </row>
        <row r="472">
          <cell r="G472" t="str">
            <v>FL001.5Y1W001</v>
          </cell>
          <cell r="H472" t="str">
            <v>1.5 YD 1X WK 1</v>
          </cell>
        </row>
        <row r="473">
          <cell r="G473" t="str">
            <v>FL001.5Y1W001MF</v>
          </cell>
          <cell r="H473" t="str">
            <v>1.5 YD 1X WK MULTI-FAMILY 1</v>
          </cell>
        </row>
        <row r="474">
          <cell r="G474" t="str">
            <v>FL001.5Y2W001</v>
          </cell>
          <cell r="H474" t="str">
            <v>1.5 YD 2X WK 1</v>
          </cell>
        </row>
        <row r="475">
          <cell r="G475" t="str">
            <v>FL001.5Y2W001</v>
          </cell>
          <cell r="H475" t="str">
            <v>1.5 YD 2X WK 1</v>
          </cell>
        </row>
        <row r="476">
          <cell r="G476" t="str">
            <v>FL001.5Y2W001</v>
          </cell>
          <cell r="H476" t="str">
            <v>1.5 YD 2X WK 1</v>
          </cell>
        </row>
        <row r="477">
          <cell r="G477" t="str">
            <v>FL001.5Y2W001</v>
          </cell>
          <cell r="H477" t="str">
            <v>1.5 YD 2X WK 1</v>
          </cell>
        </row>
        <row r="478">
          <cell r="G478" t="str">
            <v>FL001.5Y2W001</v>
          </cell>
          <cell r="H478" t="str">
            <v>1.5 YD 2X WK 1</v>
          </cell>
        </row>
        <row r="479">
          <cell r="G479" t="str">
            <v>FL001.5Y2W001</v>
          </cell>
          <cell r="H479" t="str">
            <v>1.5 YD 2X WK 1</v>
          </cell>
        </row>
        <row r="480">
          <cell r="G480" t="str">
            <v>FL001.5Y2W001</v>
          </cell>
          <cell r="H480" t="str">
            <v>1.5 YD 2X WK 1</v>
          </cell>
        </row>
        <row r="481">
          <cell r="G481" t="str">
            <v>FL001.5Y2W001MF</v>
          </cell>
          <cell r="H481" t="str">
            <v>1.5 YD 2X WK MULTI-FAMILY 1</v>
          </cell>
        </row>
        <row r="482">
          <cell r="G482" t="str">
            <v>FL001.5Y3W001</v>
          </cell>
          <cell r="H482" t="str">
            <v>1.5 YD 3X WK 1</v>
          </cell>
        </row>
        <row r="483">
          <cell r="G483" t="str">
            <v>FL001.5Y3W001</v>
          </cell>
          <cell r="H483" t="str">
            <v>1.5 YD 3X WK 1</v>
          </cell>
        </row>
        <row r="484">
          <cell r="G484" t="str">
            <v>FL001.5Y3W001</v>
          </cell>
          <cell r="H484" t="str">
            <v>1.5 YD 3X WK 1</v>
          </cell>
        </row>
        <row r="485">
          <cell r="G485" t="str">
            <v>FL001.5Y3W001</v>
          </cell>
          <cell r="H485" t="str">
            <v>1.5 YD 3X WK 1</v>
          </cell>
        </row>
        <row r="486">
          <cell r="G486" t="str">
            <v>FL001.5Y3W001</v>
          </cell>
          <cell r="H486" t="str">
            <v>1.5 YD 3X WK 1</v>
          </cell>
        </row>
        <row r="487">
          <cell r="G487" t="str">
            <v>FL001.5Y3W001</v>
          </cell>
          <cell r="H487" t="str">
            <v>1.5 YD 3X WK 1</v>
          </cell>
        </row>
        <row r="488">
          <cell r="G488" t="str">
            <v>FL001.5Y3W001MF</v>
          </cell>
          <cell r="H488" t="str">
            <v>1.5 YD 3X WK MULTI-FAMILY 1</v>
          </cell>
        </row>
        <row r="489">
          <cell r="G489" t="str">
            <v>FL001.5Y4W001</v>
          </cell>
          <cell r="H489" t="str">
            <v>1.5 YD 4X WK 1</v>
          </cell>
        </row>
        <row r="490">
          <cell r="G490" t="str">
            <v>FL001.5Y4W001</v>
          </cell>
          <cell r="H490" t="str">
            <v>1.5 YD 4X WK 1</v>
          </cell>
        </row>
        <row r="491">
          <cell r="G491" t="str">
            <v>FL001.5Y4W001</v>
          </cell>
          <cell r="H491" t="str">
            <v>1.5 YD 4X WK 1</v>
          </cell>
        </row>
        <row r="492">
          <cell r="G492" t="str">
            <v>FL001.5Y4W001</v>
          </cell>
          <cell r="H492" t="str">
            <v>1.5 YD 4X WK 1</v>
          </cell>
        </row>
        <row r="493">
          <cell r="G493" t="str">
            <v>FL001.5Y4W001</v>
          </cell>
          <cell r="H493" t="str">
            <v>1.5 YD 4X WK 1</v>
          </cell>
        </row>
        <row r="494">
          <cell r="G494" t="str">
            <v>FL001.5Y4W001</v>
          </cell>
          <cell r="H494" t="str">
            <v>1.5 YD 4X WK 1</v>
          </cell>
        </row>
        <row r="495">
          <cell r="G495" t="str">
            <v>FL001.5Y4W001MF</v>
          </cell>
          <cell r="H495" t="str">
            <v>1.5 YD 4X WK MULTI-FAMILY 1</v>
          </cell>
        </row>
        <row r="496">
          <cell r="G496" t="str">
            <v>FL001.5Y5W001</v>
          </cell>
          <cell r="H496" t="str">
            <v>1.5 YD 5X WK 1</v>
          </cell>
        </row>
        <row r="497">
          <cell r="G497" t="str">
            <v>FL001.5Y5W001</v>
          </cell>
          <cell r="H497" t="str">
            <v>1.5 YD 5X WK 1</v>
          </cell>
        </row>
        <row r="498">
          <cell r="G498" t="str">
            <v>FL001.5Y5W001</v>
          </cell>
          <cell r="H498" t="str">
            <v>1.5 YD 5X WK 1</v>
          </cell>
        </row>
        <row r="499">
          <cell r="G499" t="str">
            <v>FL001.5Y5W001</v>
          </cell>
          <cell r="H499" t="str">
            <v>1.5 YD 5X WK 1</v>
          </cell>
        </row>
        <row r="500">
          <cell r="G500" t="str">
            <v>FL001.5Y5W001</v>
          </cell>
          <cell r="H500" t="str">
            <v>1.5 YD 5X WK 1</v>
          </cell>
        </row>
        <row r="501">
          <cell r="G501" t="str">
            <v>FL001.5Y5W001</v>
          </cell>
          <cell r="H501" t="str">
            <v>1.5 YD 5X WK 1</v>
          </cell>
        </row>
        <row r="502">
          <cell r="G502" t="str">
            <v>FL001.5Y5W001MF</v>
          </cell>
          <cell r="H502" t="str">
            <v>1.5 YD 5X WK MULTI-FAMILY 1</v>
          </cell>
        </row>
        <row r="503">
          <cell r="G503" t="str">
            <v>FL001.5YEO001</v>
          </cell>
          <cell r="H503" t="str">
            <v>1.5 YD EOW 1</v>
          </cell>
        </row>
        <row r="504">
          <cell r="G504" t="str">
            <v>FL001.5YTEMPMF</v>
          </cell>
          <cell r="H504" t="str">
            <v>1.5 YD TEMP - MF</v>
          </cell>
        </row>
        <row r="505">
          <cell r="G505" t="str">
            <v>FL001.5YXX001TEMPC</v>
          </cell>
          <cell r="H505" t="str">
            <v xml:space="preserve">1.5 YD TEMP </v>
          </cell>
        </row>
        <row r="506">
          <cell r="G506" t="str">
            <v>FL001.5YXX001TEMPC</v>
          </cell>
          <cell r="H506" t="str">
            <v xml:space="preserve">1.5 YD TEMP </v>
          </cell>
        </row>
        <row r="507">
          <cell r="G507" t="str">
            <v>FL001.5YXX001TEMPC</v>
          </cell>
          <cell r="H507" t="str">
            <v xml:space="preserve">1.5 YD TEMP </v>
          </cell>
        </row>
        <row r="508">
          <cell r="G508" t="str">
            <v>FL001.5YXX001TEMPC</v>
          </cell>
          <cell r="H508" t="str">
            <v xml:space="preserve">1.5 YD TEMP </v>
          </cell>
        </row>
        <row r="509">
          <cell r="G509" t="str">
            <v>FL001.5YXX001TEMPC</v>
          </cell>
          <cell r="H509" t="str">
            <v xml:space="preserve">1.5 YD TEMP </v>
          </cell>
        </row>
        <row r="510">
          <cell r="G510" t="str">
            <v>FL001.5YXX001TEMPC</v>
          </cell>
          <cell r="H510" t="str">
            <v xml:space="preserve">1.5 YD TEMP </v>
          </cell>
        </row>
        <row r="511">
          <cell r="G511" t="str">
            <v>FL001.5YXX001TEMPC</v>
          </cell>
          <cell r="H511" t="str">
            <v xml:space="preserve">1.5 YD TEMP </v>
          </cell>
        </row>
        <row r="512">
          <cell r="G512" t="str">
            <v>FL002.0Y1M001BCMGL</v>
          </cell>
          <cell r="H512" t="str">
            <v>2 YD 1X MO BUS CMGL 1</v>
          </cell>
        </row>
        <row r="513">
          <cell r="G513" t="str">
            <v>FL002.0Y1M001BCMGL</v>
          </cell>
          <cell r="H513" t="str">
            <v>2 YD 1X MO BUS CMGL 1</v>
          </cell>
        </row>
        <row r="514">
          <cell r="G514" t="str">
            <v>FL002.0Y1M001BCMGL</v>
          </cell>
          <cell r="H514" t="str">
            <v>2 YD 1X MO BUS CMGL 1</v>
          </cell>
        </row>
        <row r="515">
          <cell r="G515" t="str">
            <v>FL002.0Y1M001BCMGL</v>
          </cell>
          <cell r="H515" t="str">
            <v>2 YD 1X MO BUS CMGL 1</v>
          </cell>
        </row>
        <row r="516">
          <cell r="G516" t="str">
            <v>FL002.0Y1M001BCMGL</v>
          </cell>
          <cell r="H516" t="str">
            <v>2 YD 1X MO BUS CMGL 1</v>
          </cell>
        </row>
        <row r="517">
          <cell r="G517" t="str">
            <v>FL002.0Y1M001BCMGL</v>
          </cell>
          <cell r="H517" t="str">
            <v>2 YD 1X MO BUS CMGL 1</v>
          </cell>
        </row>
        <row r="518">
          <cell r="G518" t="str">
            <v>FL002.0Y1M001BCMGL</v>
          </cell>
          <cell r="H518" t="str">
            <v>2 YD 1X MO BUS CMGL 1</v>
          </cell>
        </row>
        <row r="519">
          <cell r="G519" t="str">
            <v>FL002.0Y1M001BCMGL</v>
          </cell>
          <cell r="H519" t="str">
            <v>2 YD 1X MO BUS CMGL 1</v>
          </cell>
        </row>
        <row r="520">
          <cell r="G520" t="str">
            <v>FL002.0Y1M001BCMGL</v>
          </cell>
          <cell r="H520" t="str">
            <v>2 YD 1X MO BUS CMGL 1</v>
          </cell>
        </row>
        <row r="521">
          <cell r="G521" t="str">
            <v>FL002.0Y1W001</v>
          </cell>
          <cell r="H521" t="str">
            <v>2 YD 1X WK 1</v>
          </cell>
        </row>
        <row r="522">
          <cell r="G522" t="str">
            <v>FL002.0Y1W001</v>
          </cell>
          <cell r="H522" t="str">
            <v>2 YD 1X WK 1</v>
          </cell>
        </row>
        <row r="523">
          <cell r="G523" t="str">
            <v>FL002.0Y1W001</v>
          </cell>
          <cell r="H523" t="str">
            <v>2 YD 1X WK 1</v>
          </cell>
        </row>
        <row r="524">
          <cell r="G524" t="str">
            <v>FL002.0Y1W001</v>
          </cell>
          <cell r="H524" t="str">
            <v>2 YD 1X WK 1</v>
          </cell>
        </row>
        <row r="525">
          <cell r="G525" t="str">
            <v>FL002.0Y1W001</v>
          </cell>
          <cell r="H525" t="str">
            <v>2 YD 1X WK 1</v>
          </cell>
        </row>
        <row r="526">
          <cell r="G526" t="str">
            <v>FL002.0Y1W001</v>
          </cell>
          <cell r="H526" t="str">
            <v>2 YD 1X WK 1</v>
          </cell>
        </row>
        <row r="527">
          <cell r="G527" t="str">
            <v>FL002.0Y1W001</v>
          </cell>
          <cell r="H527" t="str">
            <v>2 YD 1X WK 1</v>
          </cell>
        </row>
        <row r="528">
          <cell r="G528" t="str">
            <v>FL002.0Y1W001</v>
          </cell>
          <cell r="H528" t="str">
            <v>2 YD 1X WK 1</v>
          </cell>
        </row>
        <row r="529">
          <cell r="G529" t="str">
            <v>FL002.0Y1W001BCMGL</v>
          </cell>
          <cell r="H529" t="str">
            <v>2 YD 1X WK BUS CMGL 1</v>
          </cell>
        </row>
        <row r="530">
          <cell r="G530" t="str">
            <v>FL002.0Y1W001BCMGL</v>
          </cell>
          <cell r="H530" t="str">
            <v>2 YD 1X WK BUS CMGL 1</v>
          </cell>
        </row>
        <row r="531">
          <cell r="G531" t="str">
            <v>FL002.0Y1W001BCMGL</v>
          </cell>
          <cell r="H531" t="str">
            <v>2 YD 1X WK BUS CMGL 1</v>
          </cell>
        </row>
        <row r="532">
          <cell r="G532" t="str">
            <v>FL002.0Y1W001BCMGL</v>
          </cell>
          <cell r="H532" t="str">
            <v>2 YD 1X WK BUS CMGL 1</v>
          </cell>
        </row>
        <row r="533">
          <cell r="G533" t="str">
            <v>FL002.0Y1W001BCMGL</v>
          </cell>
          <cell r="H533" t="str">
            <v>2 YD 1X WK BUS CMGL 1</v>
          </cell>
        </row>
        <row r="534">
          <cell r="G534" t="str">
            <v>FL002.0Y1W001BCMGL</v>
          </cell>
          <cell r="H534" t="str">
            <v>2 YD 1X WK BUS CMGL 1</v>
          </cell>
        </row>
        <row r="535">
          <cell r="G535" t="str">
            <v>FL002.0Y1W001BCMGL</v>
          </cell>
          <cell r="H535" t="str">
            <v>2 YD 1X WK BUS CMGL 1</v>
          </cell>
        </row>
        <row r="536">
          <cell r="G536" t="str">
            <v>FL002.0Y1W001BCMGL</v>
          </cell>
          <cell r="H536" t="str">
            <v>2 YD 1X WK BUS CMGL 1</v>
          </cell>
        </row>
        <row r="537">
          <cell r="G537" t="str">
            <v>FL002.0Y1W001BCMGL</v>
          </cell>
          <cell r="H537" t="str">
            <v>2 YD 1X WK BUS CMGL 1</v>
          </cell>
        </row>
        <row r="538">
          <cell r="G538" t="str">
            <v>FL002.0Y1W001BOCC</v>
          </cell>
          <cell r="H538" t="str">
            <v>2 YD 1X WK BUS OCC 1</v>
          </cell>
        </row>
        <row r="539">
          <cell r="G539" t="str">
            <v>FL002.0Y1W001BOCC</v>
          </cell>
          <cell r="H539" t="str">
            <v>2 YD 1X WK BUS OCC 1</v>
          </cell>
        </row>
        <row r="540">
          <cell r="G540" t="str">
            <v>FL002.0Y1W001BOCC</v>
          </cell>
          <cell r="H540" t="str">
            <v>2 YD 1X WK BUS OCC 1</v>
          </cell>
        </row>
        <row r="541">
          <cell r="G541" t="str">
            <v>FL002.0Y1W001BOCC</v>
          </cell>
          <cell r="H541" t="str">
            <v>2 YD 1X WK BUS OCC 1</v>
          </cell>
        </row>
        <row r="542">
          <cell r="G542" t="str">
            <v>FL002.0Y1W001BOCC</v>
          </cell>
          <cell r="H542" t="str">
            <v>2 YD 1X WK BUS OCC 1</v>
          </cell>
        </row>
        <row r="543">
          <cell r="G543" t="str">
            <v>FL002.0Y1W001BOCC</v>
          </cell>
          <cell r="H543" t="str">
            <v>2 YD 1X WK BUS OCC 1</v>
          </cell>
        </row>
        <row r="544">
          <cell r="G544" t="str">
            <v>FL002.0Y1W001BOCC</v>
          </cell>
          <cell r="H544" t="str">
            <v>2 YD 1X WK BUS OCC 1</v>
          </cell>
        </row>
        <row r="545">
          <cell r="G545" t="str">
            <v>FL002.0Y1W001BOCC</v>
          </cell>
          <cell r="H545" t="str">
            <v>2 YD 1X WK BUS OCC 1</v>
          </cell>
        </row>
        <row r="546">
          <cell r="G546" t="str">
            <v>FL002.0Y1W001BOCC</v>
          </cell>
          <cell r="H546" t="str">
            <v>2 YD 1X WK BUS OCC 1</v>
          </cell>
        </row>
        <row r="547">
          <cell r="G547" t="str">
            <v>FL002.0Y1W001CMP</v>
          </cell>
          <cell r="H547" t="str">
            <v>2 YD 1X WK COMP 1</v>
          </cell>
        </row>
        <row r="548">
          <cell r="G548" t="str">
            <v>FL002.0Y1W001MF</v>
          </cell>
          <cell r="H548" t="str">
            <v>2 YD 1X WK MULTI-FAMILY 1</v>
          </cell>
        </row>
        <row r="549">
          <cell r="G549" t="str">
            <v>FL002.0Y1W001OCC</v>
          </cell>
          <cell r="H549" t="str">
            <v>2 YD 1X WK OCC 1</v>
          </cell>
        </row>
        <row r="550">
          <cell r="G550" t="str">
            <v>FL002.0Y1W001OCCCMP</v>
          </cell>
          <cell r="H550" t="str">
            <v>2 YD 1X WK OCC COMP</v>
          </cell>
        </row>
        <row r="551">
          <cell r="G551" t="str">
            <v>FL002.0Y1W001OCCCMP</v>
          </cell>
          <cell r="H551" t="str">
            <v>2 YD 1X WK OCC COMP</v>
          </cell>
        </row>
        <row r="552">
          <cell r="G552" t="str">
            <v>FL002.0Y1W001OCCCMP</v>
          </cell>
          <cell r="H552" t="str">
            <v>2 YD 1X WK OCC COMP</v>
          </cell>
        </row>
        <row r="553">
          <cell r="G553" t="str">
            <v>FL002.0Y1W001SCMGL</v>
          </cell>
          <cell r="H553" t="str">
            <v>2 YD 1X WK SCHL CMGL 1</v>
          </cell>
        </row>
        <row r="554">
          <cell r="G554" t="str">
            <v>FL002.0Y1W001SCMGL</v>
          </cell>
          <cell r="H554" t="str">
            <v>2 YD 1X WK SCHL CMGL 1</v>
          </cell>
        </row>
        <row r="555">
          <cell r="G555" t="str">
            <v>FL002.0Y1W001SCMGL</v>
          </cell>
          <cell r="H555" t="str">
            <v>2 YD 1X WK SCHL CMGL 1</v>
          </cell>
        </row>
        <row r="556">
          <cell r="G556" t="str">
            <v>FL002.0Y1W001SCMGL</v>
          </cell>
          <cell r="H556" t="str">
            <v>2 YD 1X WK SCHL CMGL 1</v>
          </cell>
        </row>
        <row r="557">
          <cell r="G557" t="str">
            <v>FL002.0Y1W001SCMGL</v>
          </cell>
          <cell r="H557" t="str">
            <v>2 YD 1X WK SCHL CMGL 1</v>
          </cell>
        </row>
        <row r="558">
          <cell r="G558" t="str">
            <v>FL002.0Y1W001SCMGL</v>
          </cell>
          <cell r="H558" t="str">
            <v>2 YD 1X WK SCHL CMGL 1</v>
          </cell>
        </row>
        <row r="559">
          <cell r="G559" t="str">
            <v>FL002.0Y1W001SCMGL</v>
          </cell>
          <cell r="H559" t="str">
            <v>2 YD 1X WK SCHL CMGL 1</v>
          </cell>
        </row>
        <row r="560">
          <cell r="G560" t="str">
            <v>FL002.0Y1W001SCMGL</v>
          </cell>
          <cell r="H560" t="str">
            <v>2 YD 1X WK SCHL CMGL 1</v>
          </cell>
        </row>
        <row r="561">
          <cell r="G561" t="str">
            <v>FL002.0Y1W001SCMGL</v>
          </cell>
          <cell r="H561" t="str">
            <v>2 YD 1X WK SCHL CMGL 1</v>
          </cell>
        </row>
        <row r="562">
          <cell r="G562" t="str">
            <v>FL002.0Y1W001SOCC</v>
          </cell>
          <cell r="H562" t="str">
            <v>2 YD 1X WK SCHOOL OCC</v>
          </cell>
        </row>
        <row r="563">
          <cell r="G563" t="str">
            <v>FL002.0Y1W001SOCC</v>
          </cell>
          <cell r="H563" t="str">
            <v>2 YD 1X WK SCHOOL OCC</v>
          </cell>
        </row>
        <row r="564">
          <cell r="G564" t="str">
            <v>FL002.0Y1W001SOCC</v>
          </cell>
          <cell r="H564" t="str">
            <v>2 YD 1X WK SCHOOL OCC</v>
          </cell>
        </row>
        <row r="565">
          <cell r="G565" t="str">
            <v>FL002.0Y1W001SOCC</v>
          </cell>
          <cell r="H565" t="str">
            <v>2 YD 1X WK SCHOOL OCC</v>
          </cell>
        </row>
        <row r="566">
          <cell r="G566" t="str">
            <v>FL002.0Y1W001SOCC</v>
          </cell>
          <cell r="H566" t="str">
            <v>2 YD 1X WK SCHOOL OCC</v>
          </cell>
        </row>
        <row r="567">
          <cell r="G567" t="str">
            <v>FL002.0Y1W001SOCC</v>
          </cell>
          <cell r="H567" t="str">
            <v>2 YD 1X WK SCHOOL OCC</v>
          </cell>
        </row>
        <row r="568">
          <cell r="G568" t="str">
            <v>FL002.0Y1W001SOCC</v>
          </cell>
          <cell r="H568" t="str">
            <v>2 YD 1X WK SCHOOL OCC</v>
          </cell>
        </row>
        <row r="569">
          <cell r="G569" t="str">
            <v>FL002.0Y1W001SOCC</v>
          </cell>
          <cell r="H569" t="str">
            <v>2 YD 1X WK SCHOOL OCC</v>
          </cell>
        </row>
        <row r="570">
          <cell r="G570" t="str">
            <v>FL002.0Y1W001SOCC</v>
          </cell>
          <cell r="H570" t="str">
            <v>2 YD 1X WK SCHOOL OCC</v>
          </cell>
        </row>
        <row r="571">
          <cell r="G571" t="str">
            <v>FL002.0Y2W001</v>
          </cell>
          <cell r="H571" t="str">
            <v>2 YD 2X WK 1</v>
          </cell>
        </row>
        <row r="572">
          <cell r="G572" t="str">
            <v>FL002.0Y2W001</v>
          </cell>
          <cell r="H572" t="str">
            <v>2 YD 2X WK 1</v>
          </cell>
        </row>
        <row r="573">
          <cell r="G573" t="str">
            <v>FL002.0Y2W001</v>
          </cell>
          <cell r="H573" t="str">
            <v>2 YD 2X WK 1</v>
          </cell>
        </row>
        <row r="574">
          <cell r="G574" t="str">
            <v>FL002.0Y2W001</v>
          </cell>
          <cell r="H574" t="str">
            <v>2 YD 2X WK 1</v>
          </cell>
        </row>
        <row r="575">
          <cell r="G575" t="str">
            <v>FL002.0Y2W001</v>
          </cell>
          <cell r="H575" t="str">
            <v>2 YD 2X WK 1</v>
          </cell>
        </row>
        <row r="576">
          <cell r="G576" t="str">
            <v>FL002.0Y2W001</v>
          </cell>
          <cell r="H576" t="str">
            <v>2 YD 2X WK 1</v>
          </cell>
        </row>
        <row r="577">
          <cell r="G577" t="str">
            <v>FL002.0Y2W001</v>
          </cell>
          <cell r="H577" t="str">
            <v>2 YD 2X WK 1</v>
          </cell>
        </row>
        <row r="578">
          <cell r="G578" t="str">
            <v>FL002.0Y2W001BCMGL</v>
          </cell>
          <cell r="H578" t="str">
            <v>2 YD 2X WK BUS CMGL 1</v>
          </cell>
        </row>
        <row r="579">
          <cell r="G579" t="str">
            <v>FL002.0Y2W001BCMGL</v>
          </cell>
          <cell r="H579" t="str">
            <v>2 YD 2X WK BUS CMGL 1</v>
          </cell>
        </row>
        <row r="580">
          <cell r="G580" t="str">
            <v>FL002.0Y2W001BCMGL</v>
          </cell>
          <cell r="H580" t="str">
            <v>2 YD 2X WK BUS CMGL 1</v>
          </cell>
        </row>
        <row r="581">
          <cell r="G581" t="str">
            <v>FL002.0Y2W001BCMGL</v>
          </cell>
          <cell r="H581" t="str">
            <v>2 YD 2X WK BUS CMGL 1</v>
          </cell>
        </row>
        <row r="582">
          <cell r="G582" t="str">
            <v>FL002.0Y2W001BCMGL</v>
          </cell>
          <cell r="H582" t="str">
            <v>2 YD 2X WK BUS CMGL 1</v>
          </cell>
        </row>
        <row r="583">
          <cell r="G583" t="str">
            <v>FL002.0Y2W001BCMGL</v>
          </cell>
          <cell r="H583" t="str">
            <v>2 YD 2X WK BUS CMGL 1</v>
          </cell>
        </row>
        <row r="584">
          <cell r="G584" t="str">
            <v>FL002.0Y2W001BCMGL</v>
          </cell>
          <cell r="H584" t="str">
            <v>2 YD 2X WK BUS CMGL 1</v>
          </cell>
        </row>
        <row r="585">
          <cell r="G585" t="str">
            <v>FL002.0Y2W001BCMGL</v>
          </cell>
          <cell r="H585" t="str">
            <v>2 YD 2X WK BUS CMGL 1</v>
          </cell>
        </row>
        <row r="586">
          <cell r="G586" t="str">
            <v>FL002.0Y2W001BCMGL</v>
          </cell>
          <cell r="H586" t="str">
            <v>2 YD 2X WK BUS CMGL 1</v>
          </cell>
        </row>
        <row r="587">
          <cell r="G587" t="str">
            <v>FL002.0Y2W001BOCC</v>
          </cell>
          <cell r="H587" t="str">
            <v>2 YD 2X WK BUS OCC 1</v>
          </cell>
        </row>
        <row r="588">
          <cell r="G588" t="str">
            <v>FL002.0Y2W001BOCC</v>
          </cell>
          <cell r="H588" t="str">
            <v>2 YD 2X WK BUS OCC 1</v>
          </cell>
        </row>
        <row r="589">
          <cell r="G589" t="str">
            <v>FL002.0Y2W001BOCC</v>
          </cell>
          <cell r="H589" t="str">
            <v>2 YD 2X WK BUS OCC 1</v>
          </cell>
        </row>
        <row r="590">
          <cell r="G590" t="str">
            <v>FL002.0Y2W001BOCC</v>
          </cell>
          <cell r="H590" t="str">
            <v>2 YD 2X WK BUS OCC 1</v>
          </cell>
        </row>
        <row r="591">
          <cell r="G591" t="str">
            <v>FL002.0Y2W001BOCC</v>
          </cell>
          <cell r="H591" t="str">
            <v>2 YD 2X WK BUS OCC 1</v>
          </cell>
        </row>
        <row r="592">
          <cell r="G592" t="str">
            <v>FL002.0Y2W001BOCC</v>
          </cell>
          <cell r="H592" t="str">
            <v>2 YD 2X WK BUS OCC 1</v>
          </cell>
        </row>
        <row r="593">
          <cell r="G593" t="str">
            <v>FL002.0Y2W001BOCC</v>
          </cell>
          <cell r="H593" t="str">
            <v>2 YD 2X WK BUS OCC 1</v>
          </cell>
        </row>
        <row r="594">
          <cell r="G594" t="str">
            <v>FL002.0Y2W001BOCC</v>
          </cell>
          <cell r="H594" t="str">
            <v>2 YD 2X WK BUS OCC 1</v>
          </cell>
        </row>
        <row r="595">
          <cell r="G595" t="str">
            <v>FL002.0Y2W001BOCC</v>
          </cell>
          <cell r="H595" t="str">
            <v>2 YD 2X WK BUS OCC 1</v>
          </cell>
        </row>
        <row r="596">
          <cell r="G596" t="str">
            <v>FL002.0Y2W001CMP</v>
          </cell>
          <cell r="H596" t="str">
            <v>2 YD 2X WK COMP 1</v>
          </cell>
        </row>
        <row r="597">
          <cell r="G597" t="str">
            <v>FL002.0Y2W001MF</v>
          </cell>
          <cell r="H597" t="str">
            <v>2 YD 2X WK MULTI-FAMILY 1</v>
          </cell>
        </row>
        <row r="598">
          <cell r="G598" t="str">
            <v>FL002.0Y2W001OCCCMP</v>
          </cell>
          <cell r="H598" t="str">
            <v>2 YD 2X WK OCC COMP</v>
          </cell>
        </row>
        <row r="599">
          <cell r="G599" t="str">
            <v>FL002.0Y2W001OCCCMP</v>
          </cell>
          <cell r="H599" t="str">
            <v>2 YD 2X WK OCC COMP</v>
          </cell>
        </row>
        <row r="600">
          <cell r="G600" t="str">
            <v>FL002.0Y2W001OCCCMP</v>
          </cell>
          <cell r="H600" t="str">
            <v>2 YD 2X WK OCC COMP</v>
          </cell>
        </row>
        <row r="601">
          <cell r="G601" t="str">
            <v>FL002.0Y2W001SCMGL</v>
          </cell>
          <cell r="H601" t="str">
            <v>2 YD 2X WK SCHL CMGL 1</v>
          </cell>
        </row>
        <row r="602">
          <cell r="G602" t="str">
            <v>FL002.0Y2W001SCMGL</v>
          </cell>
          <cell r="H602" t="str">
            <v>2 YD 2X WK SCHL CMGL 1</v>
          </cell>
        </row>
        <row r="603">
          <cell r="G603" t="str">
            <v>FL002.0Y2W001SCMGL</v>
          </cell>
          <cell r="H603" t="str">
            <v>2 YD 2X WK SCHL CMGL 1</v>
          </cell>
        </row>
        <row r="604">
          <cell r="G604" t="str">
            <v>FL002.0Y2W001SCMGL</v>
          </cell>
          <cell r="H604" t="str">
            <v>2 YD 2X WK SCHL CMGL 1</v>
          </cell>
        </row>
        <row r="605">
          <cell r="G605" t="str">
            <v>FL002.0Y2W001SCMGL</v>
          </cell>
          <cell r="H605" t="str">
            <v>2 YD 2X WK SCHL CMGL 1</v>
          </cell>
        </row>
        <row r="606">
          <cell r="G606" t="str">
            <v>FL002.0Y2W001SCMGL</v>
          </cell>
          <cell r="H606" t="str">
            <v>2 YD 2X WK SCHL CMGL 1</v>
          </cell>
        </row>
        <row r="607">
          <cell r="G607" t="str">
            <v>FL002.0Y2W001SCMGL</v>
          </cell>
          <cell r="H607" t="str">
            <v>2 YD 2X WK SCHL CMGL 1</v>
          </cell>
        </row>
        <row r="608">
          <cell r="G608" t="str">
            <v>FL002.0Y2W001SCMGL</v>
          </cell>
          <cell r="H608" t="str">
            <v>2 YD 2X WK SCHL CMGL 1</v>
          </cell>
        </row>
        <row r="609">
          <cell r="G609" t="str">
            <v>FL002.0Y2W001SCMGL</v>
          </cell>
          <cell r="H609" t="str">
            <v>2 YD 2X WK SCHL CMGL 1</v>
          </cell>
        </row>
        <row r="610">
          <cell r="G610" t="str">
            <v>FL002.0Y2W001SOCC</v>
          </cell>
          <cell r="H610" t="str">
            <v>2 YD 2X WK SCHOOL OCC</v>
          </cell>
        </row>
        <row r="611">
          <cell r="G611" t="str">
            <v>FL002.0Y2W001SOCC</v>
          </cell>
          <cell r="H611" t="str">
            <v>2 YD 2X WK SCHOOL OCC</v>
          </cell>
        </row>
        <row r="612">
          <cell r="G612" t="str">
            <v>FL002.0Y2W001SOCC</v>
          </cell>
          <cell r="H612" t="str">
            <v>2 YD 2X WK SCHOOL OCC</v>
          </cell>
        </row>
        <row r="613">
          <cell r="G613" t="str">
            <v>FL002.0Y2W001SOCC</v>
          </cell>
          <cell r="H613" t="str">
            <v>2 YD 2X WK SCHOOL OCC</v>
          </cell>
        </row>
        <row r="614">
          <cell r="G614" t="str">
            <v>FL002.0Y2W001SOCC</v>
          </cell>
          <cell r="H614" t="str">
            <v>2 YD 2X WK SCHOOL OCC</v>
          </cell>
        </row>
        <row r="615">
          <cell r="G615" t="str">
            <v>FL002.0Y2W001SOCC</v>
          </cell>
          <cell r="H615" t="str">
            <v>2 YD 2X WK SCHOOL OCC</v>
          </cell>
        </row>
        <row r="616">
          <cell r="G616" t="str">
            <v>FL002.0Y2W001SOCC</v>
          </cell>
          <cell r="H616" t="str">
            <v>2 YD 2X WK SCHOOL OCC</v>
          </cell>
        </row>
        <row r="617">
          <cell r="G617" t="str">
            <v>FL002.0Y2W001SOCC</v>
          </cell>
          <cell r="H617" t="str">
            <v>2 YD 2X WK SCHOOL OCC</v>
          </cell>
        </row>
        <row r="618">
          <cell r="G618" t="str">
            <v>FL002.0Y2W001SOCC</v>
          </cell>
          <cell r="H618" t="str">
            <v>2 YD 2X WK SCHOOL OCC</v>
          </cell>
        </row>
        <row r="619">
          <cell r="G619" t="str">
            <v>FL002.0Y3W001</v>
          </cell>
          <cell r="H619" t="str">
            <v>2 YD 3X WK 1</v>
          </cell>
        </row>
        <row r="620">
          <cell r="G620" t="str">
            <v>FL002.0Y3W001</v>
          </cell>
          <cell r="H620" t="str">
            <v>2 YD 3X WK 1</v>
          </cell>
        </row>
        <row r="621">
          <cell r="G621" t="str">
            <v>FL002.0Y3W001</v>
          </cell>
          <cell r="H621" t="str">
            <v>2 YD 3X WK 1</v>
          </cell>
        </row>
        <row r="622">
          <cell r="G622" t="str">
            <v>FL002.0Y3W001</v>
          </cell>
          <cell r="H622" t="str">
            <v>2 YD 3X WK 1</v>
          </cell>
        </row>
        <row r="623">
          <cell r="G623" t="str">
            <v>FL002.0Y3W001</v>
          </cell>
          <cell r="H623" t="str">
            <v>2 YD 3X WK 1</v>
          </cell>
        </row>
        <row r="624">
          <cell r="G624" t="str">
            <v>FL002.0Y3W001</v>
          </cell>
          <cell r="H624" t="str">
            <v>2 YD 3X WK 1</v>
          </cell>
        </row>
        <row r="625">
          <cell r="G625" t="str">
            <v>FL002.0Y3W001BCMGL</v>
          </cell>
          <cell r="H625" t="str">
            <v>2 YD 3X WK BUS CMGL 1</v>
          </cell>
        </row>
        <row r="626">
          <cell r="G626" t="str">
            <v>FL002.0Y3W001BOCC</v>
          </cell>
          <cell r="H626" t="str">
            <v>2 YD 3X WK BUS OCC 1</v>
          </cell>
        </row>
        <row r="627">
          <cell r="G627" t="str">
            <v>FL002.0Y3W001BOCC</v>
          </cell>
          <cell r="H627" t="str">
            <v>2 YD 3X WK BUS OCC 1</v>
          </cell>
        </row>
        <row r="628">
          <cell r="G628" t="str">
            <v>FL002.0Y3W001BOCC</v>
          </cell>
          <cell r="H628" t="str">
            <v>2 YD 3X WK BUS OCC 1</v>
          </cell>
        </row>
        <row r="629">
          <cell r="G629" t="str">
            <v>FL002.0Y3W001BOCC</v>
          </cell>
          <cell r="H629" t="str">
            <v>2 YD 3X WK BUS OCC 1</v>
          </cell>
        </row>
        <row r="630">
          <cell r="G630" t="str">
            <v>FL002.0Y3W001BOCC</v>
          </cell>
          <cell r="H630" t="str">
            <v>2 YD 3X WK BUS OCC 1</v>
          </cell>
        </row>
        <row r="631">
          <cell r="G631" t="str">
            <v>FL002.0Y3W001BOCC</v>
          </cell>
          <cell r="H631" t="str">
            <v>2 YD 3X WK BUS OCC 1</v>
          </cell>
        </row>
        <row r="632">
          <cell r="G632" t="str">
            <v>FL002.0Y3W001BOCC</v>
          </cell>
          <cell r="H632" t="str">
            <v>2 YD 3X WK BUS OCC 1</v>
          </cell>
        </row>
        <row r="633">
          <cell r="G633" t="str">
            <v>FL002.0Y3W001BOCC</v>
          </cell>
          <cell r="H633" t="str">
            <v>2 YD 3X WK BUS OCC 1</v>
          </cell>
        </row>
        <row r="634">
          <cell r="G634" t="str">
            <v>FL002.0Y3W001BOCC</v>
          </cell>
          <cell r="H634" t="str">
            <v>2 YD 3X WK BUS OCC 1</v>
          </cell>
        </row>
        <row r="635">
          <cell r="G635" t="str">
            <v>FL002.0Y3W001CMP</v>
          </cell>
          <cell r="H635" t="str">
            <v>2 YD 3X WK COMP 1</v>
          </cell>
        </row>
        <row r="636">
          <cell r="G636" t="str">
            <v>FL002.0Y3W001MF</v>
          </cell>
          <cell r="H636" t="str">
            <v>2 YD 3X WK MULTI-FAMILY 1</v>
          </cell>
        </row>
        <row r="637">
          <cell r="G637" t="str">
            <v>FL002.0Y3W001OCCCMP</v>
          </cell>
          <cell r="H637" t="str">
            <v>2 YD 3X WK OCC COMP</v>
          </cell>
        </row>
        <row r="638">
          <cell r="G638" t="str">
            <v>FL002.0Y3W001OCCCMP</v>
          </cell>
          <cell r="H638" t="str">
            <v>2 YD 3X WK OCC COMP</v>
          </cell>
        </row>
        <row r="639">
          <cell r="G639" t="str">
            <v>FL002.0Y3W001OCCCMP</v>
          </cell>
          <cell r="H639" t="str">
            <v>2 YD 3X WK OCC COMP</v>
          </cell>
        </row>
        <row r="640">
          <cell r="G640" t="str">
            <v>FL002.0Y3W001SOCC</v>
          </cell>
          <cell r="H640" t="str">
            <v>2 YD 3X WK SCHOOL OCC</v>
          </cell>
        </row>
        <row r="641">
          <cell r="G641" t="str">
            <v>FL002.0Y3W001SOCC</v>
          </cell>
          <cell r="H641" t="str">
            <v>2 YD 3X WK SCHOOL OCC</v>
          </cell>
        </row>
        <row r="642">
          <cell r="G642" t="str">
            <v>FL002.0Y3W001SOCC</v>
          </cell>
          <cell r="H642" t="str">
            <v>2 YD 3X WK SCHOOL OCC</v>
          </cell>
        </row>
        <row r="643">
          <cell r="G643" t="str">
            <v>FL002.0Y3W001SOCC</v>
          </cell>
          <cell r="H643" t="str">
            <v>2 YD 3X WK SCHOOL OCC</v>
          </cell>
        </row>
        <row r="644">
          <cell r="G644" t="str">
            <v>FL002.0Y3W001SOCC</v>
          </cell>
          <cell r="H644" t="str">
            <v>2 YD 3X WK SCHOOL OCC</v>
          </cell>
        </row>
        <row r="645">
          <cell r="G645" t="str">
            <v>FL002.0Y3W001SOCC</v>
          </cell>
          <cell r="H645" t="str">
            <v>2 YD 3X WK SCHOOL OCC</v>
          </cell>
        </row>
        <row r="646">
          <cell r="G646" t="str">
            <v>FL002.0Y3W001SOCC</v>
          </cell>
          <cell r="H646" t="str">
            <v>2 YD 3X WK SCHOOL OCC</v>
          </cell>
        </row>
        <row r="647">
          <cell r="G647" t="str">
            <v>FL002.0Y3W001SOCC</v>
          </cell>
          <cell r="H647" t="str">
            <v>2 YD 3X WK SCHOOL OCC</v>
          </cell>
        </row>
        <row r="648">
          <cell r="G648" t="str">
            <v>FL002.0Y3W001SOCC</v>
          </cell>
          <cell r="H648" t="str">
            <v>2 YD 3X WK SCHOOL OCC</v>
          </cell>
        </row>
        <row r="649">
          <cell r="G649" t="str">
            <v>FL002.0Y4W001</v>
          </cell>
          <cell r="H649" t="str">
            <v>2 YD 4X WK 1</v>
          </cell>
        </row>
        <row r="650">
          <cell r="G650" t="str">
            <v>FL002.0Y4W001</v>
          </cell>
          <cell r="H650" t="str">
            <v>2 YD 4X WK 1</v>
          </cell>
        </row>
        <row r="651">
          <cell r="G651" t="str">
            <v>FL002.0Y4W001</v>
          </cell>
          <cell r="H651" t="str">
            <v>2 YD 4X WK 1</v>
          </cell>
        </row>
        <row r="652">
          <cell r="G652" t="str">
            <v>FL002.0Y4W001</v>
          </cell>
          <cell r="H652" t="str">
            <v>2 YD 4X WK 1</v>
          </cell>
        </row>
        <row r="653">
          <cell r="G653" t="str">
            <v>FL002.0Y4W001</v>
          </cell>
          <cell r="H653" t="str">
            <v>2 YD 4X WK 1</v>
          </cell>
        </row>
        <row r="654">
          <cell r="G654" t="str">
            <v>FL002.0Y4W001</v>
          </cell>
          <cell r="H654" t="str">
            <v>2 YD 4X WK 1</v>
          </cell>
        </row>
        <row r="655">
          <cell r="G655" t="str">
            <v>FL002.0Y4W001BCMGL</v>
          </cell>
          <cell r="H655" t="str">
            <v>2 YD 4X WK BUS CMGL 1</v>
          </cell>
        </row>
        <row r="656">
          <cell r="G656" t="str">
            <v>FL002.0Y4W001BOCC</v>
          </cell>
          <cell r="H656" t="str">
            <v>2 YD 4X WK BUS OCC 1</v>
          </cell>
        </row>
        <row r="657">
          <cell r="G657" t="str">
            <v>FL002.0Y4W001BOCC</v>
          </cell>
          <cell r="H657" t="str">
            <v>2 YD 4X WK BUS OCC 1</v>
          </cell>
        </row>
        <row r="658">
          <cell r="G658" t="str">
            <v>FL002.0Y4W001BOCC</v>
          </cell>
          <cell r="H658" t="str">
            <v>2 YD 4X WK BUS OCC 1</v>
          </cell>
        </row>
        <row r="659">
          <cell r="G659" t="str">
            <v>FL002.0Y4W001BOCC</v>
          </cell>
          <cell r="H659" t="str">
            <v>2 YD 4X WK BUS OCC 1</v>
          </cell>
        </row>
        <row r="660">
          <cell r="G660" t="str">
            <v>FL002.0Y4W001BOCC</v>
          </cell>
          <cell r="H660" t="str">
            <v>2 YD 4X WK BUS OCC 1</v>
          </cell>
        </row>
        <row r="661">
          <cell r="G661" t="str">
            <v>FL002.0Y4W001BOCC</v>
          </cell>
          <cell r="H661" t="str">
            <v>2 YD 4X WK BUS OCC 1</v>
          </cell>
        </row>
        <row r="662">
          <cell r="G662" t="str">
            <v>FL002.0Y4W001BOCC</v>
          </cell>
          <cell r="H662" t="str">
            <v>2 YD 4X WK BUS OCC 1</v>
          </cell>
        </row>
        <row r="663">
          <cell r="G663" t="str">
            <v>FL002.0Y4W001BOCC</v>
          </cell>
          <cell r="H663" t="str">
            <v>2 YD 4X WK BUS OCC 1</v>
          </cell>
        </row>
        <row r="664">
          <cell r="G664" t="str">
            <v>FL002.0Y4W001BOCC</v>
          </cell>
          <cell r="H664" t="str">
            <v>2 YD 4X WK BUS OCC 1</v>
          </cell>
        </row>
        <row r="665">
          <cell r="G665" t="str">
            <v>FL002.0Y4W001CMP</v>
          </cell>
          <cell r="H665" t="str">
            <v>2 YD 4X WK COMP 1</v>
          </cell>
        </row>
        <row r="666">
          <cell r="G666" t="str">
            <v>FL002.0Y4W001MF</v>
          </cell>
          <cell r="H666" t="str">
            <v>2 YD 4X WK MULTI-FAMILY 1</v>
          </cell>
        </row>
        <row r="667">
          <cell r="G667" t="str">
            <v>FL002.0Y4W001SOCC</v>
          </cell>
          <cell r="H667" t="str">
            <v>2 YD 4X WK SCHOOL OCC</v>
          </cell>
        </row>
        <row r="668">
          <cell r="G668" t="str">
            <v>FL002.0Y4W001SOCC</v>
          </cell>
          <cell r="H668" t="str">
            <v>2 YD 4X WK SCHOOL OCC</v>
          </cell>
        </row>
        <row r="669">
          <cell r="G669" t="str">
            <v>FL002.0Y4W001SOCC</v>
          </cell>
          <cell r="H669" t="str">
            <v>2 YD 4X WK SCHOOL OCC</v>
          </cell>
        </row>
        <row r="670">
          <cell r="G670" t="str">
            <v>FL002.0Y4W001SOCC</v>
          </cell>
          <cell r="H670" t="str">
            <v>2 YD 4X WK SCHOOL OCC</v>
          </cell>
        </row>
        <row r="671">
          <cell r="G671" t="str">
            <v>FL002.0Y4W001SOCC</v>
          </cell>
          <cell r="H671" t="str">
            <v>2 YD 4X WK SCHOOL OCC</v>
          </cell>
        </row>
        <row r="672">
          <cell r="G672" t="str">
            <v>FL002.0Y4W001SOCC</v>
          </cell>
          <cell r="H672" t="str">
            <v>2 YD 4X WK SCHOOL OCC</v>
          </cell>
        </row>
        <row r="673">
          <cell r="G673" t="str">
            <v>FL002.0Y4W001SOCC</v>
          </cell>
          <cell r="H673" t="str">
            <v>2 YD 4X WK SCHOOL OCC</v>
          </cell>
        </row>
        <row r="674">
          <cell r="G674" t="str">
            <v>FL002.0Y4W001SOCC</v>
          </cell>
          <cell r="H674" t="str">
            <v>2 YD 4X WK SCHOOL OCC</v>
          </cell>
        </row>
        <row r="675">
          <cell r="G675" t="str">
            <v>FL002.0Y4W001SOCC</v>
          </cell>
          <cell r="H675" t="str">
            <v>2 YD 4X WK SCHOOL OCC</v>
          </cell>
        </row>
        <row r="676">
          <cell r="G676" t="str">
            <v>FL002.0Y5W001</v>
          </cell>
          <cell r="H676" t="str">
            <v>2 YD 5X WK 1</v>
          </cell>
        </row>
        <row r="677">
          <cell r="G677" t="str">
            <v>FL002.0Y5W001</v>
          </cell>
          <cell r="H677" t="str">
            <v>2 YD 5X WK 1</v>
          </cell>
        </row>
        <row r="678">
          <cell r="G678" t="str">
            <v>FL002.0Y5W001</v>
          </cell>
          <cell r="H678" t="str">
            <v>2 YD 5X WK 1</v>
          </cell>
        </row>
        <row r="679">
          <cell r="G679" t="str">
            <v>FL002.0Y5W001</v>
          </cell>
          <cell r="H679" t="str">
            <v>2 YD 5X WK 1</v>
          </cell>
        </row>
        <row r="680">
          <cell r="G680" t="str">
            <v>FL002.0Y5W001</v>
          </cell>
          <cell r="H680" t="str">
            <v>2 YD 5X WK 1</v>
          </cell>
        </row>
        <row r="681">
          <cell r="G681" t="str">
            <v>FL002.0Y5W001</v>
          </cell>
          <cell r="H681" t="str">
            <v>2 YD 5X WK 1</v>
          </cell>
        </row>
        <row r="682">
          <cell r="G682" t="str">
            <v>FL002.0Y5W001BCMGL</v>
          </cell>
          <cell r="H682" t="str">
            <v>2 YD 5X WK BUS CMGL 1</v>
          </cell>
        </row>
        <row r="683">
          <cell r="G683" t="str">
            <v>FL002.0Y5W001BOCC</v>
          </cell>
          <cell r="H683" t="str">
            <v>2 YD 5X WK BUS OCC 1</v>
          </cell>
        </row>
        <row r="684">
          <cell r="G684" t="str">
            <v>FL002.0Y5W001BOCC</v>
          </cell>
          <cell r="H684" t="str">
            <v>2 YD 5X WK BUS OCC 1</v>
          </cell>
        </row>
        <row r="685">
          <cell r="G685" t="str">
            <v>FL002.0Y5W001BOCC</v>
          </cell>
          <cell r="H685" t="str">
            <v>2 YD 5X WK BUS OCC 1</v>
          </cell>
        </row>
        <row r="686">
          <cell r="G686" t="str">
            <v>FL002.0Y5W001BOCC</v>
          </cell>
          <cell r="H686" t="str">
            <v>2 YD 5X WK BUS OCC 1</v>
          </cell>
        </row>
        <row r="687">
          <cell r="G687" t="str">
            <v>FL002.0Y5W001BOCC</v>
          </cell>
          <cell r="H687" t="str">
            <v>2 YD 5X WK BUS OCC 1</v>
          </cell>
        </row>
        <row r="688">
          <cell r="G688" t="str">
            <v>FL002.0Y5W001BOCC</v>
          </cell>
          <cell r="H688" t="str">
            <v>2 YD 5X WK BUS OCC 1</v>
          </cell>
        </row>
        <row r="689">
          <cell r="G689" t="str">
            <v>FL002.0Y5W001BOCC</v>
          </cell>
          <cell r="H689" t="str">
            <v>2 YD 5X WK BUS OCC 1</v>
          </cell>
        </row>
        <row r="690">
          <cell r="G690" t="str">
            <v>FL002.0Y5W001BOCC</v>
          </cell>
          <cell r="H690" t="str">
            <v>2 YD 5X WK BUS OCC 1</v>
          </cell>
        </row>
        <row r="691">
          <cell r="G691" t="str">
            <v>FL002.0Y5W001BOCC</v>
          </cell>
          <cell r="H691" t="str">
            <v>2 YD 5X WK BUS OCC 1</v>
          </cell>
        </row>
        <row r="692">
          <cell r="G692" t="str">
            <v>FL002.0Y5W001CMP</v>
          </cell>
          <cell r="H692" t="str">
            <v>2 YD 5X WK COMP 1</v>
          </cell>
        </row>
        <row r="693">
          <cell r="G693" t="str">
            <v>FL002.0Y5W001MF</v>
          </cell>
          <cell r="H693" t="str">
            <v>2 YD 5X WK MULTI-FAMILY 1</v>
          </cell>
        </row>
        <row r="694">
          <cell r="G694" t="str">
            <v>FL002.0Y5W001SOCC</v>
          </cell>
          <cell r="H694" t="str">
            <v>2 YD 5X WK SCHOOL OCC</v>
          </cell>
        </row>
        <row r="695">
          <cell r="G695" t="str">
            <v>FL002.0Y5W001SOCC</v>
          </cell>
          <cell r="H695" t="str">
            <v>2 YD 5X WK SCHOOL OCC</v>
          </cell>
        </row>
        <row r="696">
          <cell r="G696" t="str">
            <v>FL002.0Y5W001SOCC</v>
          </cell>
          <cell r="H696" t="str">
            <v>2 YD 5X WK SCHOOL OCC</v>
          </cell>
        </row>
        <row r="697">
          <cell r="G697" t="str">
            <v>FL002.0Y5W001SOCC</v>
          </cell>
          <cell r="H697" t="str">
            <v>2 YD 5X WK SCHOOL OCC</v>
          </cell>
        </row>
        <row r="698">
          <cell r="G698" t="str">
            <v>FL002.0Y5W001SOCC</v>
          </cell>
          <cell r="H698" t="str">
            <v>2 YD 5X WK SCHOOL OCC</v>
          </cell>
        </row>
        <row r="699">
          <cell r="G699" t="str">
            <v>FL002.0Y5W001SOCC</v>
          </cell>
          <cell r="H699" t="str">
            <v>2 YD 5X WK SCHOOL OCC</v>
          </cell>
        </row>
        <row r="700">
          <cell r="G700" t="str">
            <v>FL002.0Y5W001SOCC</v>
          </cell>
          <cell r="H700" t="str">
            <v>2 YD 5X WK SCHOOL OCC</v>
          </cell>
        </row>
        <row r="701">
          <cell r="G701" t="str">
            <v>FL002.0Y5W001SOCC</v>
          </cell>
          <cell r="H701" t="str">
            <v>2 YD 5X WK SCHOOL OCC</v>
          </cell>
        </row>
        <row r="702">
          <cell r="G702" t="str">
            <v>FL002.0Y5W001SOCC</v>
          </cell>
          <cell r="H702" t="str">
            <v>2 YD 5X WK SCHOOL OCC</v>
          </cell>
        </row>
        <row r="703">
          <cell r="G703" t="str">
            <v>FL002.0YTEMPMF</v>
          </cell>
          <cell r="H703" t="str">
            <v>2 YD TEMP - MF</v>
          </cell>
        </row>
        <row r="704">
          <cell r="G704" t="str">
            <v>FL002.0YXX001TEMPC</v>
          </cell>
          <cell r="H704" t="str">
            <v xml:space="preserve">2 YD TEMP </v>
          </cell>
        </row>
        <row r="705">
          <cell r="G705" t="str">
            <v>FL002.0YXX001TEMPC</v>
          </cell>
          <cell r="H705" t="str">
            <v xml:space="preserve">2 YD TEMP </v>
          </cell>
        </row>
        <row r="706">
          <cell r="G706" t="str">
            <v>FL002.0YXX001TEMPC</v>
          </cell>
          <cell r="H706" t="str">
            <v xml:space="preserve">2 YD TEMP </v>
          </cell>
        </row>
        <row r="707">
          <cell r="G707" t="str">
            <v>FL002.0YXX001TEMPC</v>
          </cell>
          <cell r="H707" t="str">
            <v xml:space="preserve">2 YD TEMP </v>
          </cell>
        </row>
        <row r="708">
          <cell r="G708" t="str">
            <v>FL002.0YXX001TEMPC</v>
          </cell>
          <cell r="H708" t="str">
            <v xml:space="preserve">2 YD TEMP </v>
          </cell>
        </row>
        <row r="709">
          <cell r="G709" t="str">
            <v>FL002.0YXX001TEMPC</v>
          </cell>
          <cell r="H709" t="str">
            <v xml:space="preserve">2 YD TEMP </v>
          </cell>
        </row>
        <row r="710">
          <cell r="G710" t="str">
            <v>FL002.0YXX001TEMPC</v>
          </cell>
          <cell r="H710" t="str">
            <v xml:space="preserve">2 YD TEMP </v>
          </cell>
        </row>
        <row r="711">
          <cell r="G711" t="str">
            <v>FL003.0Y1W001</v>
          </cell>
          <cell r="H711" t="str">
            <v>3 YD 1X WK 1</v>
          </cell>
        </row>
        <row r="712">
          <cell r="G712" t="str">
            <v>FL003.0Y1W001</v>
          </cell>
          <cell r="H712" t="str">
            <v>3 YD 1X WK 1</v>
          </cell>
        </row>
        <row r="713">
          <cell r="G713" t="str">
            <v>FL003.0Y1W001</v>
          </cell>
          <cell r="H713" t="str">
            <v>3 YD 1X WK 1</v>
          </cell>
        </row>
        <row r="714">
          <cell r="G714" t="str">
            <v>FL003.0Y1W001</v>
          </cell>
          <cell r="H714" t="str">
            <v>3 YD 1X WK 1</v>
          </cell>
        </row>
        <row r="715">
          <cell r="G715" t="str">
            <v>FL003.0Y1W001</v>
          </cell>
          <cell r="H715" t="str">
            <v>3 YD 1X WK 1</v>
          </cell>
        </row>
        <row r="716">
          <cell r="G716" t="str">
            <v>FL003.0Y1W001</v>
          </cell>
          <cell r="H716" t="str">
            <v>3 YD 1X WK 1</v>
          </cell>
        </row>
        <row r="717">
          <cell r="G717" t="str">
            <v>FL003.0Y1W001</v>
          </cell>
          <cell r="H717" t="str">
            <v>3 YD 1X WK 1</v>
          </cell>
        </row>
        <row r="718">
          <cell r="G718" t="str">
            <v>FL003.0Y1W001CMP</v>
          </cell>
          <cell r="H718" t="str">
            <v>3 YD 1X WK COMP 1</v>
          </cell>
        </row>
        <row r="719">
          <cell r="G719" t="str">
            <v>FL003.0Y1W001CMP</v>
          </cell>
          <cell r="H719" t="str">
            <v>3 YD 1X WK COMP 1</v>
          </cell>
        </row>
        <row r="720">
          <cell r="G720" t="str">
            <v>FL003.0Y1W001CMP</v>
          </cell>
          <cell r="H720" t="str">
            <v>3 YD 1X WK COMP 1</v>
          </cell>
        </row>
        <row r="721">
          <cell r="G721" t="str">
            <v>FL003.0Y1W001MF</v>
          </cell>
          <cell r="H721" t="str">
            <v>3 YD 1X WK MULTI-FAMILY 1</v>
          </cell>
        </row>
        <row r="722">
          <cell r="G722" t="str">
            <v>FL003.0Y2W001</v>
          </cell>
          <cell r="H722" t="str">
            <v>3 YD 2X WK 1</v>
          </cell>
        </row>
        <row r="723">
          <cell r="G723" t="str">
            <v>FL003.0Y2W001</v>
          </cell>
          <cell r="H723" t="str">
            <v>3 YD 2X WK 1</v>
          </cell>
        </row>
        <row r="724">
          <cell r="G724" t="str">
            <v>FL003.0Y2W001</v>
          </cell>
          <cell r="H724" t="str">
            <v>3 YD 2X WK 1</v>
          </cell>
        </row>
        <row r="725">
          <cell r="G725" t="str">
            <v>FL003.0Y2W001</v>
          </cell>
          <cell r="H725" t="str">
            <v>3 YD 2X WK 1</v>
          </cell>
        </row>
        <row r="726">
          <cell r="G726" t="str">
            <v>FL003.0Y2W001</v>
          </cell>
          <cell r="H726" t="str">
            <v>3 YD 2X WK 1</v>
          </cell>
        </row>
        <row r="727">
          <cell r="G727" t="str">
            <v>FL003.0Y2W001</v>
          </cell>
          <cell r="H727" t="str">
            <v>3 YD 2X WK 1</v>
          </cell>
        </row>
        <row r="728">
          <cell r="G728" t="str">
            <v>FL003.0Y2W001</v>
          </cell>
          <cell r="H728" t="str">
            <v>3 YD 2X WK 1</v>
          </cell>
        </row>
        <row r="729">
          <cell r="G729" t="str">
            <v>FL003.0Y2W001CMP</v>
          </cell>
          <cell r="H729" t="str">
            <v>3 YD 2X WK COMP 1</v>
          </cell>
        </row>
        <row r="730">
          <cell r="G730" t="str">
            <v>FL003.0Y2W001CMP</v>
          </cell>
          <cell r="H730" t="str">
            <v>3 YD 2X WK COMP 1</v>
          </cell>
        </row>
        <row r="731">
          <cell r="G731" t="str">
            <v>FL003.0Y2W001MF</v>
          </cell>
          <cell r="H731" t="str">
            <v>3 YD 2X WK MULTI-FAMILY 1</v>
          </cell>
        </row>
        <row r="732">
          <cell r="G732" t="str">
            <v>FL003.0Y3W001</v>
          </cell>
          <cell r="H732" t="str">
            <v>3 YD 3X WK 1</v>
          </cell>
        </row>
        <row r="733">
          <cell r="G733" t="str">
            <v>FL003.0Y3W001</v>
          </cell>
          <cell r="H733" t="str">
            <v>3 YD 3X WK 1</v>
          </cell>
        </row>
        <row r="734">
          <cell r="G734" t="str">
            <v>FL003.0Y3W001</v>
          </cell>
          <cell r="H734" t="str">
            <v>3 YD 3X WK 1</v>
          </cell>
        </row>
        <row r="735">
          <cell r="G735" t="str">
            <v>FL003.0Y3W001</v>
          </cell>
          <cell r="H735" t="str">
            <v>3 YD 3X WK 1</v>
          </cell>
        </row>
        <row r="736">
          <cell r="G736" t="str">
            <v>FL003.0Y3W001</v>
          </cell>
          <cell r="H736" t="str">
            <v>3 YD 3X WK 1</v>
          </cell>
        </row>
        <row r="737">
          <cell r="G737" t="str">
            <v>FL003.0Y3W001</v>
          </cell>
          <cell r="H737" t="str">
            <v>3 YD 3X WK 1</v>
          </cell>
        </row>
        <row r="738">
          <cell r="G738" t="str">
            <v>FL003.0Y3W001CMP</v>
          </cell>
          <cell r="H738" t="str">
            <v>3 YD 3X WK COMP 1</v>
          </cell>
        </row>
        <row r="739">
          <cell r="G739" t="str">
            <v>FL003.0Y3W001CMP</v>
          </cell>
          <cell r="H739" t="str">
            <v>3 YD 3X WK COMP 1</v>
          </cell>
        </row>
        <row r="740">
          <cell r="G740" t="str">
            <v>FL003.0Y3W001MF</v>
          </cell>
          <cell r="H740" t="str">
            <v>3 YD 3X WK MULTI-FAMILY 1</v>
          </cell>
        </row>
        <row r="741">
          <cell r="G741" t="str">
            <v>FL003.0Y4W001</v>
          </cell>
          <cell r="H741" t="str">
            <v>3 YD 4X WK 1</v>
          </cell>
        </row>
        <row r="742">
          <cell r="G742" t="str">
            <v>FL003.0Y4W001</v>
          </cell>
          <cell r="H742" t="str">
            <v>3 YD 4X WK 1</v>
          </cell>
        </row>
        <row r="743">
          <cell r="G743" t="str">
            <v>FL003.0Y4W001</v>
          </cell>
          <cell r="H743" t="str">
            <v>3 YD 4X WK 1</v>
          </cell>
        </row>
        <row r="744">
          <cell r="G744" t="str">
            <v>FL003.0Y4W001</v>
          </cell>
          <cell r="H744" t="str">
            <v>3 YD 4X WK 1</v>
          </cell>
        </row>
        <row r="745">
          <cell r="G745" t="str">
            <v>FL003.0Y4W001</v>
          </cell>
          <cell r="H745" t="str">
            <v>3 YD 4X WK 1</v>
          </cell>
        </row>
        <row r="746">
          <cell r="G746" t="str">
            <v>FL003.0Y4W001</v>
          </cell>
          <cell r="H746" t="str">
            <v>3 YD 4X WK 1</v>
          </cell>
        </row>
        <row r="747">
          <cell r="G747" t="str">
            <v>FL003.0Y4W001CMP</v>
          </cell>
          <cell r="H747" t="str">
            <v>3 YD 4X WK COMP 1</v>
          </cell>
        </row>
        <row r="748">
          <cell r="G748" t="str">
            <v>FL003.0Y4W001CMP</v>
          </cell>
          <cell r="H748" t="str">
            <v>3 YD 4X WK COMP 1</v>
          </cell>
        </row>
        <row r="749">
          <cell r="G749" t="str">
            <v>FL003.0Y4W001MF</v>
          </cell>
          <cell r="H749" t="str">
            <v>3 YD 4X WK MULTI-FAMILY 1</v>
          </cell>
        </row>
        <row r="750">
          <cell r="G750" t="str">
            <v>FL003.0Y5W001</v>
          </cell>
          <cell r="H750" t="str">
            <v>3 YD 5X WK 1</v>
          </cell>
        </row>
        <row r="751">
          <cell r="G751" t="str">
            <v>FL003.0Y5W001</v>
          </cell>
          <cell r="H751" t="str">
            <v>3 YD 5X WK 1</v>
          </cell>
        </row>
        <row r="752">
          <cell r="G752" t="str">
            <v>FL003.0Y5W001</v>
          </cell>
          <cell r="H752" t="str">
            <v>3 YD 5X WK 1</v>
          </cell>
        </row>
        <row r="753">
          <cell r="G753" t="str">
            <v>FL003.0Y5W001</v>
          </cell>
          <cell r="H753" t="str">
            <v>3 YD 5X WK 1</v>
          </cell>
        </row>
        <row r="754">
          <cell r="G754" t="str">
            <v>FL003.0Y5W001</v>
          </cell>
          <cell r="H754" t="str">
            <v>3 YD 5X WK 1</v>
          </cell>
        </row>
        <row r="755">
          <cell r="G755" t="str">
            <v>FL003.0Y5W001</v>
          </cell>
          <cell r="H755" t="str">
            <v>3 YD 5X WK 1</v>
          </cell>
        </row>
        <row r="756">
          <cell r="G756" t="str">
            <v>FL003.0Y5W001CMP</v>
          </cell>
          <cell r="H756" t="str">
            <v>3 YD 5X WK COMP 1</v>
          </cell>
        </row>
        <row r="757">
          <cell r="G757" t="str">
            <v>FL003.0Y5W001CMP</v>
          </cell>
          <cell r="H757" t="str">
            <v>3 YD 5X WK COMP 1</v>
          </cell>
        </row>
        <row r="758">
          <cell r="G758" t="str">
            <v>FL003.0Y5W001MF</v>
          </cell>
          <cell r="H758" t="str">
            <v>3 YD 5X WK MULTI-FAMILY 1</v>
          </cell>
        </row>
        <row r="759">
          <cell r="G759" t="str">
            <v>FL003.0YXX001TEMPC</v>
          </cell>
          <cell r="H759" t="str">
            <v xml:space="preserve">3 YD TEMP </v>
          </cell>
        </row>
        <row r="760">
          <cell r="G760" t="str">
            <v>FL003.0YXX001TEMPC</v>
          </cell>
          <cell r="H760" t="str">
            <v xml:space="preserve">3 YD TEMP </v>
          </cell>
        </row>
        <row r="761">
          <cell r="G761" t="str">
            <v>FL003.0YXX001TEMPC</v>
          </cell>
          <cell r="H761" t="str">
            <v xml:space="preserve">3 YD TEMP </v>
          </cell>
        </row>
        <row r="762">
          <cell r="G762" t="str">
            <v>FL003.0YXX001TEMPC</v>
          </cell>
          <cell r="H762" t="str">
            <v xml:space="preserve">3 YD TEMP </v>
          </cell>
        </row>
        <row r="763">
          <cell r="G763" t="str">
            <v>FL003.0YXX001TEMPC</v>
          </cell>
          <cell r="H763" t="str">
            <v xml:space="preserve">3 YD TEMP </v>
          </cell>
        </row>
        <row r="764">
          <cell r="G764" t="str">
            <v>FL003.0YXX001TEMPC</v>
          </cell>
          <cell r="H764" t="str">
            <v xml:space="preserve">3 YD TEMP </v>
          </cell>
        </row>
        <row r="765">
          <cell r="G765" t="str">
            <v>FL004.0Y1W001</v>
          </cell>
          <cell r="H765" t="str">
            <v>4 YD 1X WK 1</v>
          </cell>
        </row>
        <row r="766">
          <cell r="G766" t="str">
            <v>FL004.0Y1W001</v>
          </cell>
          <cell r="H766" t="str">
            <v>4 YD 1X WK 1</v>
          </cell>
        </row>
        <row r="767">
          <cell r="G767" t="str">
            <v>FL004.0Y1W001</v>
          </cell>
          <cell r="H767" t="str">
            <v>4 YD 1X WK 1</v>
          </cell>
        </row>
        <row r="768">
          <cell r="G768" t="str">
            <v>FL004.0Y1W001</v>
          </cell>
          <cell r="H768" t="str">
            <v>4 YD 1X WK 1</v>
          </cell>
        </row>
        <row r="769">
          <cell r="G769" t="str">
            <v>FL004.0Y1W001</v>
          </cell>
          <cell r="H769" t="str">
            <v>4 YD 1X WK 1</v>
          </cell>
        </row>
        <row r="770">
          <cell r="G770" t="str">
            <v>FL004.0Y1W001</v>
          </cell>
          <cell r="H770" t="str">
            <v>4 YD 1X WK 1</v>
          </cell>
        </row>
        <row r="771">
          <cell r="G771" t="str">
            <v>FL004.0Y1W001</v>
          </cell>
          <cell r="H771" t="str">
            <v>4 YD 1X WK 1</v>
          </cell>
        </row>
        <row r="772">
          <cell r="G772" t="str">
            <v>FL004.0Y1W001</v>
          </cell>
          <cell r="H772" t="str">
            <v>4 YD 1X WK 1</v>
          </cell>
        </row>
        <row r="773">
          <cell r="G773" t="str">
            <v>FL004.0Y1W001CMGL</v>
          </cell>
          <cell r="H773" t="str">
            <v>4 YD 1X WK BUS CMGL 1</v>
          </cell>
        </row>
        <row r="774">
          <cell r="G774" t="str">
            <v>FL004.0Y1W001CMGL</v>
          </cell>
          <cell r="H774" t="str">
            <v>4 YD 1X WK BUS CMGL 1</v>
          </cell>
        </row>
        <row r="775">
          <cell r="G775" t="str">
            <v>FL004.0Y1W001CMGL</v>
          </cell>
          <cell r="H775" t="str">
            <v>4 YD 1X WK BUS CMGL 1</v>
          </cell>
        </row>
        <row r="776">
          <cell r="G776" t="str">
            <v>FL004.0Y1W001CMGL</v>
          </cell>
          <cell r="H776" t="str">
            <v>4 YD 1X WK BUS CMGL 1</v>
          </cell>
        </row>
        <row r="777">
          <cell r="G777" t="str">
            <v>FL004.0Y1W001CMGL</v>
          </cell>
          <cell r="H777" t="str">
            <v>4 YD 1X WK BUS CMGL 1</v>
          </cell>
        </row>
        <row r="778">
          <cell r="G778" t="str">
            <v>FL004.0Y1W001CMGL</v>
          </cell>
          <cell r="H778" t="str">
            <v>4 YD 1X WK BUS CMGL 1</v>
          </cell>
        </row>
        <row r="779">
          <cell r="G779" t="str">
            <v>FL004.0Y1W001CMGL</v>
          </cell>
          <cell r="H779" t="str">
            <v>4 YD 1X WK BUS CMGL 1</v>
          </cell>
        </row>
        <row r="780">
          <cell r="G780" t="str">
            <v>FL004.0Y1W001CMGL</v>
          </cell>
          <cell r="H780" t="str">
            <v>4 YD 1X WK BUS CMGL 1</v>
          </cell>
        </row>
        <row r="781">
          <cell r="G781" t="str">
            <v>FL004.0Y1W001CMGL</v>
          </cell>
          <cell r="H781" t="str">
            <v>4 YD 1X WK BUS CMGL 1</v>
          </cell>
        </row>
        <row r="782">
          <cell r="G782" t="str">
            <v>FL004.0Y1W001CMP</v>
          </cell>
          <cell r="H782" t="str">
            <v>4 YD 1X WK COMP 1</v>
          </cell>
        </row>
        <row r="783">
          <cell r="G783" t="str">
            <v>FL004.0Y1W001CMP</v>
          </cell>
          <cell r="H783" t="str">
            <v>4 YD 1X WK COMP 1</v>
          </cell>
        </row>
        <row r="784">
          <cell r="G784" t="str">
            <v>FL004.0Y1W001CMP</v>
          </cell>
          <cell r="H784" t="str">
            <v>4 YD 1X WK COMP 1</v>
          </cell>
        </row>
        <row r="785">
          <cell r="G785" t="str">
            <v>FL004.0Y1W001MF</v>
          </cell>
          <cell r="H785" t="str">
            <v>4 YD 1X WK MULTI-FAMILY 1</v>
          </cell>
        </row>
        <row r="786">
          <cell r="G786" t="str">
            <v>FL004.0Y1W001OCCCMP</v>
          </cell>
          <cell r="H786" t="str">
            <v>4 YD 1X WK OCC COMP</v>
          </cell>
        </row>
        <row r="787">
          <cell r="G787" t="str">
            <v>FL004.0Y1W001OCCCMP</v>
          </cell>
          <cell r="H787" t="str">
            <v>4 YD 1X WK OCC COMP</v>
          </cell>
        </row>
        <row r="788">
          <cell r="G788" t="str">
            <v>FL004.0Y1W001OCCCMP</v>
          </cell>
          <cell r="H788" t="str">
            <v>4 YD 1X WK OCC COMP</v>
          </cell>
        </row>
        <row r="789">
          <cell r="G789" t="str">
            <v>FL004.0Y1W001SCMGL</v>
          </cell>
          <cell r="H789" t="str">
            <v>4 YD 1X WK SCH CMGL 1</v>
          </cell>
        </row>
        <row r="790">
          <cell r="G790" t="str">
            <v>FL004.0Y1W001SCMGL</v>
          </cell>
          <cell r="H790" t="str">
            <v>4 YD 1X WK SCH CMGL 1</v>
          </cell>
        </row>
        <row r="791">
          <cell r="G791" t="str">
            <v>FL004.0Y1W001SCMGL</v>
          </cell>
          <cell r="H791" t="str">
            <v>4 YD 1X WK SCH CMGL 1</v>
          </cell>
        </row>
        <row r="792">
          <cell r="G792" t="str">
            <v>FL004.0Y1W001SCMGL</v>
          </cell>
          <cell r="H792" t="str">
            <v>4 YD 1X WK SCH CMGL 1</v>
          </cell>
        </row>
        <row r="793">
          <cell r="G793" t="str">
            <v>FL004.0Y1W001SCMGL</v>
          </cell>
          <cell r="H793" t="str">
            <v>4 YD 1X WK SCH CMGL 1</v>
          </cell>
        </row>
        <row r="794">
          <cell r="G794" t="str">
            <v>FL004.0Y1W001SCMGL</v>
          </cell>
          <cell r="H794" t="str">
            <v>4 YD 1X WK SCH CMGL 1</v>
          </cell>
        </row>
        <row r="795">
          <cell r="G795" t="str">
            <v>FL004.0Y1W001SCMGL</v>
          </cell>
          <cell r="H795" t="str">
            <v>4 YD 1X WK SCH CMGL 1</v>
          </cell>
        </row>
        <row r="796">
          <cell r="G796" t="str">
            <v>FL004.0Y1W001SCMGL</v>
          </cell>
          <cell r="H796" t="str">
            <v>4 YD 1X WK SCH CMGL 1</v>
          </cell>
        </row>
        <row r="797">
          <cell r="G797" t="str">
            <v>FL004.0Y2W001</v>
          </cell>
          <cell r="H797" t="str">
            <v>4 YD 2X WK 1</v>
          </cell>
        </row>
        <row r="798">
          <cell r="G798" t="str">
            <v>FL004.0Y2W001</v>
          </cell>
          <cell r="H798" t="str">
            <v>4 YD 2X WK 1</v>
          </cell>
        </row>
        <row r="799">
          <cell r="G799" t="str">
            <v>FL004.0Y2W001</v>
          </cell>
          <cell r="H799" t="str">
            <v>4 YD 2X WK 1</v>
          </cell>
        </row>
        <row r="800">
          <cell r="G800" t="str">
            <v>FL004.0Y2W001</v>
          </cell>
          <cell r="H800" t="str">
            <v>4 YD 2X WK 1</v>
          </cell>
        </row>
        <row r="801">
          <cell r="G801" t="str">
            <v>FL004.0Y2W001</v>
          </cell>
          <cell r="H801" t="str">
            <v>4 YD 2X WK 1</v>
          </cell>
        </row>
        <row r="802">
          <cell r="G802" t="str">
            <v>FL004.0Y2W001</v>
          </cell>
          <cell r="H802" t="str">
            <v>4 YD 2X WK 1</v>
          </cell>
        </row>
        <row r="803">
          <cell r="G803" t="str">
            <v>FL004.0Y2W001</v>
          </cell>
          <cell r="H803" t="str">
            <v>4 YD 2X WK 1</v>
          </cell>
        </row>
        <row r="804">
          <cell r="G804" t="str">
            <v>FL004.0Y2W001CMGL</v>
          </cell>
          <cell r="H804" t="str">
            <v>4 YD 2X WK BUS CMGL 1</v>
          </cell>
        </row>
        <row r="805">
          <cell r="G805" t="str">
            <v>FL004.0Y2W001CMGL</v>
          </cell>
          <cell r="H805" t="str">
            <v>4 YD 2X WK BUS CMGL 1</v>
          </cell>
        </row>
        <row r="806">
          <cell r="G806" t="str">
            <v>FL004.0Y2W001CMGL</v>
          </cell>
          <cell r="H806" t="str">
            <v>4 YD 2X WK BUS CMGL 1</v>
          </cell>
        </row>
        <row r="807">
          <cell r="G807" t="str">
            <v>FL004.0Y2W001CMGL</v>
          </cell>
          <cell r="H807" t="str">
            <v>4 YD 2X WK BUS CMGL 1</v>
          </cell>
        </row>
        <row r="808">
          <cell r="G808" t="str">
            <v>FL004.0Y2W001CMGL</v>
          </cell>
          <cell r="H808" t="str">
            <v>4 YD 2X WK BUS CMGL 1</v>
          </cell>
        </row>
        <row r="809">
          <cell r="G809" t="str">
            <v>FL004.0Y2W001CMGL</v>
          </cell>
          <cell r="H809" t="str">
            <v>4 YD 2X WK BUS CMGL 1</v>
          </cell>
        </row>
        <row r="810">
          <cell r="G810" t="str">
            <v>FL004.0Y2W001CMGL</v>
          </cell>
          <cell r="H810" t="str">
            <v>4 YD 2X WK BUS CMGL 1</v>
          </cell>
        </row>
        <row r="811">
          <cell r="G811" t="str">
            <v>FL004.0Y2W001CMGL</v>
          </cell>
          <cell r="H811" t="str">
            <v>4 YD 2X WK BUS CMGL 1</v>
          </cell>
        </row>
        <row r="812">
          <cell r="G812" t="str">
            <v>FL004.0Y2W001CMGL</v>
          </cell>
          <cell r="H812" t="str">
            <v>4 YD 2X WK BUS CMGL 1</v>
          </cell>
        </row>
        <row r="813">
          <cell r="G813" t="str">
            <v>FL004.0Y2W001CMP</v>
          </cell>
          <cell r="H813" t="str">
            <v>4 YD 2X WK COMP 1</v>
          </cell>
        </row>
        <row r="814">
          <cell r="G814" t="str">
            <v>FL004.0Y2W001CMP</v>
          </cell>
          <cell r="H814" t="str">
            <v>4 YD 2X WK COMP 1</v>
          </cell>
        </row>
        <row r="815">
          <cell r="G815" t="str">
            <v>FL004.0Y2W001MF</v>
          </cell>
          <cell r="H815" t="str">
            <v>4 YD 2X WK MULTI-FAMILY 1</v>
          </cell>
        </row>
        <row r="816">
          <cell r="G816" t="str">
            <v>FL004.0Y2W001MF</v>
          </cell>
          <cell r="H816" t="str">
            <v>4 YD 2X WK MULTI-FAMILY 1</v>
          </cell>
        </row>
        <row r="817">
          <cell r="G817" t="str">
            <v>FL004.0Y2W001OCCCMP</v>
          </cell>
          <cell r="H817" t="str">
            <v>4 YD 2X WK OCC COMP</v>
          </cell>
        </row>
        <row r="818">
          <cell r="G818" t="str">
            <v>FL004.0Y2W001OCCCMP</v>
          </cell>
          <cell r="H818" t="str">
            <v>4 YD 2X WK OCC COMP</v>
          </cell>
        </row>
        <row r="819">
          <cell r="G819" t="str">
            <v>FL004.0Y2W001OCCCMP</v>
          </cell>
          <cell r="H819" t="str">
            <v>4 YD 2X WK OCC COMP</v>
          </cell>
        </row>
        <row r="820">
          <cell r="G820" t="str">
            <v>FL004.0Y2W001SCMGL</v>
          </cell>
          <cell r="H820" t="str">
            <v>4 YD 2X WK SCH CMGL 1</v>
          </cell>
        </row>
        <row r="821">
          <cell r="G821" t="str">
            <v>FL004.0Y2W001SCMGL</v>
          </cell>
          <cell r="H821" t="str">
            <v>4 YD 2X WK SCH CMGL 1</v>
          </cell>
        </row>
        <row r="822">
          <cell r="G822" t="str">
            <v>FL004.0Y2W001SCMGL</v>
          </cell>
          <cell r="H822" t="str">
            <v>4 YD 2X WK SCH CMGL 1</v>
          </cell>
        </row>
        <row r="823">
          <cell r="G823" t="str">
            <v>FL004.0Y2W001SCMGL</v>
          </cell>
          <cell r="H823" t="str">
            <v>4 YD 2X WK SCH CMGL 1</v>
          </cell>
        </row>
        <row r="824">
          <cell r="G824" t="str">
            <v>FL004.0Y2W001SCMGL</v>
          </cell>
          <cell r="H824" t="str">
            <v>4 YD 2X WK SCH CMGL 1</v>
          </cell>
        </row>
        <row r="825">
          <cell r="G825" t="str">
            <v>FL004.0Y2W001SCMGL</v>
          </cell>
          <cell r="H825" t="str">
            <v>4 YD 2X WK SCH CMGL 1</v>
          </cell>
        </row>
        <row r="826">
          <cell r="G826" t="str">
            <v>FL004.0Y2W001SCMGL</v>
          </cell>
          <cell r="H826" t="str">
            <v>4 YD 2X WK SCH CMGL 1</v>
          </cell>
        </row>
        <row r="827">
          <cell r="G827" t="str">
            <v>FL004.0Y2W001SCMGL</v>
          </cell>
          <cell r="H827" t="str">
            <v>4 YD 2X WK SCH CMGL 1</v>
          </cell>
        </row>
        <row r="828">
          <cell r="G828" t="str">
            <v>FL004.0Y3W001</v>
          </cell>
          <cell r="H828" t="str">
            <v>4 YD 3X WK 1</v>
          </cell>
        </row>
        <row r="829">
          <cell r="G829" t="str">
            <v>FL004.0Y3W001</v>
          </cell>
          <cell r="H829" t="str">
            <v>4 YD 3X WK 1</v>
          </cell>
        </row>
        <row r="830">
          <cell r="G830" t="str">
            <v>FL004.0Y3W001</v>
          </cell>
          <cell r="H830" t="str">
            <v>4 YD 3X WK 1</v>
          </cell>
        </row>
        <row r="831">
          <cell r="G831" t="str">
            <v>FL004.0Y3W001</v>
          </cell>
          <cell r="H831" t="str">
            <v>4 YD 3X WK 1</v>
          </cell>
        </row>
        <row r="832">
          <cell r="G832" t="str">
            <v>FL004.0Y3W001</v>
          </cell>
          <cell r="H832" t="str">
            <v>4 YD 3X WK 1</v>
          </cell>
        </row>
        <row r="833">
          <cell r="G833" t="str">
            <v>FL004.0Y3W001</v>
          </cell>
          <cell r="H833" t="str">
            <v>4 YD 3X WK 1</v>
          </cell>
        </row>
        <row r="834">
          <cell r="G834" t="str">
            <v>FL004.0Y3W001BCMGL</v>
          </cell>
          <cell r="H834" t="str">
            <v>4 YD 3X WK BUS CMGL 1</v>
          </cell>
        </row>
        <row r="835">
          <cell r="G835" t="str">
            <v>FL004.0Y3W001BCMGL</v>
          </cell>
          <cell r="H835" t="str">
            <v>4 YD 3X WK BUS CMGL 1</v>
          </cell>
        </row>
        <row r="836">
          <cell r="G836" t="str">
            <v>FL004.0Y3W001BCMGL</v>
          </cell>
          <cell r="H836" t="str">
            <v>4 YD 3X WK BUS CMGL 1</v>
          </cell>
        </row>
        <row r="837">
          <cell r="G837" t="str">
            <v>FL004.0Y3W001BCMGL</v>
          </cell>
          <cell r="H837" t="str">
            <v>4 YD 3X WK BUS CMGL 1</v>
          </cell>
        </row>
        <row r="838">
          <cell r="G838" t="str">
            <v>FL004.0Y3W001BCMGL</v>
          </cell>
          <cell r="H838" t="str">
            <v>4 YD 3X WK BUS CMGL 1</v>
          </cell>
        </row>
        <row r="839">
          <cell r="G839" t="str">
            <v>FL004.0Y3W001BCMGL</v>
          </cell>
          <cell r="H839" t="str">
            <v>4 YD 3X WK BUS CMGL 1</v>
          </cell>
        </row>
        <row r="840">
          <cell r="G840" t="str">
            <v>FL004.0Y3W001BCMGL</v>
          </cell>
          <cell r="H840" t="str">
            <v>4 YD 3X WK BUS CMGL 1</v>
          </cell>
        </row>
        <row r="841">
          <cell r="G841" t="str">
            <v>FL004.0Y3W001BCMGL</v>
          </cell>
          <cell r="H841" t="str">
            <v>4 YD 3X WK BUS CMGL 1</v>
          </cell>
        </row>
        <row r="842">
          <cell r="G842" t="str">
            <v>FL004.0Y3W001BCMGL</v>
          </cell>
          <cell r="H842" t="str">
            <v>4 YD 3X WK BUS CMGL 1</v>
          </cell>
        </row>
        <row r="843">
          <cell r="G843" t="str">
            <v>FL004.0Y3W001CMP</v>
          </cell>
          <cell r="H843" t="str">
            <v>4 YD 3X WK COMP 1</v>
          </cell>
        </row>
        <row r="844">
          <cell r="G844" t="str">
            <v>FL004.0Y3W001CMP</v>
          </cell>
          <cell r="H844" t="str">
            <v>4 YD 3X WK COMP 1</v>
          </cell>
        </row>
        <row r="845">
          <cell r="G845" t="str">
            <v>FL004.0Y3W001MF</v>
          </cell>
          <cell r="H845" t="str">
            <v>4 YD 3X WK MULTI-FAMILY 1</v>
          </cell>
        </row>
        <row r="846">
          <cell r="G846" t="str">
            <v>FL004.0Y3W001OCCCMP</v>
          </cell>
          <cell r="H846" t="str">
            <v>4 YD 3X WK OCC COMP</v>
          </cell>
        </row>
        <row r="847">
          <cell r="G847" t="str">
            <v>FL004.0Y3W001OCCCMP</v>
          </cell>
          <cell r="H847" t="str">
            <v>4 YD 3X WK OCC COMP</v>
          </cell>
        </row>
        <row r="848">
          <cell r="G848" t="str">
            <v>FL004.0Y3W001OCCCMP</v>
          </cell>
          <cell r="H848" t="str">
            <v>4 YD 3X WK OCC COMP</v>
          </cell>
        </row>
        <row r="849">
          <cell r="G849" t="str">
            <v>FL004.0Y4W001</v>
          </cell>
          <cell r="H849" t="str">
            <v>4 YD 4X WK 1</v>
          </cell>
        </row>
        <row r="850">
          <cell r="G850" t="str">
            <v>FL004.0Y4W001</v>
          </cell>
          <cell r="H850" t="str">
            <v>4 YD 4X WK 1</v>
          </cell>
        </row>
        <row r="851">
          <cell r="G851" t="str">
            <v>FL004.0Y4W001</v>
          </cell>
          <cell r="H851" t="str">
            <v>4 YD 4X WK 1</v>
          </cell>
        </row>
        <row r="852">
          <cell r="G852" t="str">
            <v>FL004.0Y4W001</v>
          </cell>
          <cell r="H852" t="str">
            <v>4 YD 4X WK 1</v>
          </cell>
        </row>
        <row r="853">
          <cell r="G853" t="str">
            <v>FL004.0Y4W001</v>
          </cell>
          <cell r="H853" t="str">
            <v>4 YD 4X WK 1</v>
          </cell>
        </row>
        <row r="854">
          <cell r="G854" t="str">
            <v>FL004.0Y4W001</v>
          </cell>
          <cell r="H854" t="str">
            <v>4 YD 4X WK 1</v>
          </cell>
        </row>
        <row r="855">
          <cell r="G855" t="str">
            <v>FL004.0Y4W001BCMGL</v>
          </cell>
          <cell r="H855" t="str">
            <v>4 YD 4X WK BUS CMGL 1</v>
          </cell>
        </row>
        <row r="856">
          <cell r="G856" t="str">
            <v>FL004.0Y4W001BCMGL</v>
          </cell>
          <cell r="H856" t="str">
            <v>4 YD 4X WK BUS CMGL 1</v>
          </cell>
        </row>
        <row r="857">
          <cell r="G857" t="str">
            <v>FL004.0Y4W001BCMGL</v>
          </cell>
          <cell r="H857" t="str">
            <v>4 YD 4X WK BUS CMGL 1</v>
          </cell>
        </row>
        <row r="858">
          <cell r="G858" t="str">
            <v>FL004.0Y4W001BCMGL</v>
          </cell>
          <cell r="H858" t="str">
            <v>4 YD 4X WK BUS CMGL 1</v>
          </cell>
        </row>
        <row r="859">
          <cell r="G859" t="str">
            <v>FL004.0Y4W001BCMGL</v>
          </cell>
          <cell r="H859" t="str">
            <v>4 YD 4X WK BUS CMGL 1</v>
          </cell>
        </row>
        <row r="860">
          <cell r="G860" t="str">
            <v>FL004.0Y4W001BCMGL</v>
          </cell>
          <cell r="H860" t="str">
            <v>4 YD 4X WK BUS CMGL 1</v>
          </cell>
        </row>
        <row r="861">
          <cell r="G861" t="str">
            <v>FL004.0Y4W001BCMGL</v>
          </cell>
          <cell r="H861" t="str">
            <v>4 YD 4X WK BUS CMGL 1</v>
          </cell>
        </row>
        <row r="862">
          <cell r="G862" t="str">
            <v>FL004.0Y4W001BCMGL</v>
          </cell>
          <cell r="H862" t="str">
            <v>4 YD 4X WK BUS CMGL 1</v>
          </cell>
        </row>
        <row r="863">
          <cell r="G863" t="str">
            <v>FL004.0Y4W001BCMGL</v>
          </cell>
          <cell r="H863" t="str">
            <v>4 YD 4X WK BUS CMGL 1</v>
          </cell>
        </row>
        <row r="864">
          <cell r="G864" t="str">
            <v>FL004.0Y4W001CMP</v>
          </cell>
          <cell r="H864" t="str">
            <v>4 YD 4X WK COMP 1</v>
          </cell>
        </row>
        <row r="865">
          <cell r="G865" t="str">
            <v>FL004.0Y4W001CMP</v>
          </cell>
          <cell r="H865" t="str">
            <v>4 YD 4X WK COMP 1</v>
          </cell>
        </row>
        <row r="866">
          <cell r="G866" t="str">
            <v>FL004.0Y4W001MF</v>
          </cell>
          <cell r="H866" t="str">
            <v>4 YD 4X WK MULTI-FAMILY 1</v>
          </cell>
        </row>
        <row r="867">
          <cell r="G867" t="str">
            <v>FL004.0Y5W001</v>
          </cell>
          <cell r="H867" t="str">
            <v>4 YD 5X WK 1</v>
          </cell>
        </row>
        <row r="868">
          <cell r="G868" t="str">
            <v>FL004.0Y5W001</v>
          </cell>
          <cell r="H868" t="str">
            <v>4 YD 5X WK 1</v>
          </cell>
        </row>
        <row r="869">
          <cell r="G869" t="str">
            <v>FL004.0Y5W001</v>
          </cell>
          <cell r="H869" t="str">
            <v>4 YD 5X WK 1</v>
          </cell>
        </row>
        <row r="870">
          <cell r="G870" t="str">
            <v>FL004.0Y5W001</v>
          </cell>
          <cell r="H870" t="str">
            <v>4 YD 5X WK 1</v>
          </cell>
        </row>
        <row r="871">
          <cell r="G871" t="str">
            <v>FL004.0Y5W001</v>
          </cell>
          <cell r="H871" t="str">
            <v>4 YD 5X WK 1</v>
          </cell>
        </row>
        <row r="872">
          <cell r="G872" t="str">
            <v>FL004.0Y5W001</v>
          </cell>
          <cell r="H872" t="str">
            <v>4 YD 5X WK 1</v>
          </cell>
        </row>
        <row r="873">
          <cell r="G873" t="str">
            <v>FL004.0Y5W001BCMGL</v>
          </cell>
          <cell r="H873" t="str">
            <v>4 YD 5X WK BUS CMGL 1</v>
          </cell>
        </row>
        <row r="874">
          <cell r="G874" t="str">
            <v>FL004.0Y5W001CMP</v>
          </cell>
          <cell r="H874" t="str">
            <v>4 YD 5X WK COMP 1</v>
          </cell>
        </row>
        <row r="875">
          <cell r="G875" t="str">
            <v>FL004.0Y5W001CMP</v>
          </cell>
          <cell r="H875" t="str">
            <v>4 YD 5X WK COMP 1</v>
          </cell>
        </row>
        <row r="876">
          <cell r="G876" t="str">
            <v>FL004.0Y5W001MF</v>
          </cell>
          <cell r="H876" t="str">
            <v>4 YD 5X WK MULTI-FAMILY 1</v>
          </cell>
        </row>
        <row r="877">
          <cell r="G877" t="str">
            <v>FL004.0YXX001TEMPC</v>
          </cell>
          <cell r="H877" t="str">
            <v>4 YD TEMP 1</v>
          </cell>
        </row>
        <row r="878">
          <cell r="G878" t="str">
            <v>FL004.0YXX001TEMPC</v>
          </cell>
          <cell r="H878" t="str">
            <v>4 YD TEMP 1</v>
          </cell>
        </row>
        <row r="879">
          <cell r="G879" t="str">
            <v>FL004.0YXX001TEMPC</v>
          </cell>
          <cell r="H879" t="str">
            <v>4 YD TEMP 1</v>
          </cell>
        </row>
        <row r="880">
          <cell r="G880" t="str">
            <v>FL004.0YXX001TEMPC</v>
          </cell>
          <cell r="H880" t="str">
            <v>4 YD TEMP 1</v>
          </cell>
        </row>
        <row r="881">
          <cell r="G881" t="str">
            <v>FL004.0YXX001TEMPC</v>
          </cell>
          <cell r="H881" t="str">
            <v>4 YD TEMP 1</v>
          </cell>
        </row>
        <row r="882">
          <cell r="G882" t="str">
            <v>FL004.0YXX001TEMPC</v>
          </cell>
          <cell r="H882" t="str">
            <v>4 YD TEMP 1</v>
          </cell>
        </row>
        <row r="883">
          <cell r="G883" t="str">
            <v>FL005.0Y1W001BOCC</v>
          </cell>
          <cell r="H883" t="str">
            <v>5 YD 1X WK BUS OCC 1</v>
          </cell>
        </row>
        <row r="884">
          <cell r="G884" t="str">
            <v>FL005.0Y1W001BOCC</v>
          </cell>
          <cell r="H884" t="str">
            <v>5 YD 1X WK BUS OCC 1</v>
          </cell>
        </row>
        <row r="885">
          <cell r="G885" t="str">
            <v>FL005.0Y1W001BOCC</v>
          </cell>
          <cell r="H885" t="str">
            <v>5 YD 1X WK BUS OCC 1</v>
          </cell>
        </row>
        <row r="886">
          <cell r="G886" t="str">
            <v>FL005.0Y1W001BOCC</v>
          </cell>
          <cell r="H886" t="str">
            <v>5 YD 1X WK BUS OCC 1</v>
          </cell>
        </row>
        <row r="887">
          <cell r="G887" t="str">
            <v>FL005.0Y1W001BOCC</v>
          </cell>
          <cell r="H887" t="str">
            <v>5 YD 1X WK BUS OCC 1</v>
          </cell>
        </row>
        <row r="888">
          <cell r="G888" t="str">
            <v>FL005.0Y1W001BOCC</v>
          </cell>
          <cell r="H888" t="str">
            <v>5 YD 1X WK BUS OCC 1</v>
          </cell>
        </row>
        <row r="889">
          <cell r="G889" t="str">
            <v>FL005.0Y1W001BOCC</v>
          </cell>
          <cell r="H889" t="str">
            <v>5 YD 1X WK BUS OCC 1</v>
          </cell>
        </row>
        <row r="890">
          <cell r="G890" t="str">
            <v>FL005.0Y1W001BOCC</v>
          </cell>
          <cell r="H890" t="str">
            <v>5 YD 1X WK BUS OCC 1</v>
          </cell>
        </row>
        <row r="891">
          <cell r="G891" t="str">
            <v>FL005.0Y1W001BOCC</v>
          </cell>
          <cell r="H891" t="str">
            <v>5 YD 1X WK BUS OCC 1</v>
          </cell>
        </row>
        <row r="892">
          <cell r="G892" t="str">
            <v>FL005.0Y1W001CMP</v>
          </cell>
          <cell r="H892" t="str">
            <v>5 YD 1X WK COMP 1</v>
          </cell>
        </row>
        <row r="893">
          <cell r="G893" t="str">
            <v>FL005.0Y1W001OCC</v>
          </cell>
          <cell r="H893" t="str">
            <v>5 YD 1X WK OCC  1</v>
          </cell>
        </row>
        <row r="894">
          <cell r="G894" t="str">
            <v>FL005.0Y1W001SOCC</v>
          </cell>
          <cell r="H894" t="str">
            <v>5 YD 1X WK SCHOOL OCC</v>
          </cell>
        </row>
        <row r="895">
          <cell r="G895" t="str">
            <v>FL005.0Y1W001SOCC</v>
          </cell>
          <cell r="H895" t="str">
            <v>5 YD 1X WK SCHOOL OCC</v>
          </cell>
        </row>
        <row r="896">
          <cell r="G896" t="str">
            <v>FL005.0Y1W001SOCC</v>
          </cell>
          <cell r="H896" t="str">
            <v>5 YD 1X WK SCHOOL OCC</v>
          </cell>
        </row>
        <row r="897">
          <cell r="G897" t="str">
            <v>FL005.0Y1W001SOCC</v>
          </cell>
          <cell r="H897" t="str">
            <v>5 YD 1X WK SCHOOL OCC</v>
          </cell>
        </row>
        <row r="898">
          <cell r="G898" t="str">
            <v>FL005.0Y1W001SOCC</v>
          </cell>
          <cell r="H898" t="str">
            <v>5 YD 1X WK SCHOOL OCC</v>
          </cell>
        </row>
        <row r="899">
          <cell r="G899" t="str">
            <v>FL005.0Y1W001SOCC</v>
          </cell>
          <cell r="H899" t="str">
            <v>5 YD 1X WK SCHOOL OCC</v>
          </cell>
        </row>
        <row r="900">
          <cell r="G900" t="str">
            <v>FL005.0Y1W001SOCC</v>
          </cell>
          <cell r="H900" t="str">
            <v>5 YD 1X WK SCHOOL OCC</v>
          </cell>
        </row>
        <row r="901">
          <cell r="G901" t="str">
            <v>FL005.0Y1W001SOCC</v>
          </cell>
          <cell r="H901" t="str">
            <v>5 YD 1X WK SCHOOL OCC</v>
          </cell>
        </row>
        <row r="902">
          <cell r="G902" t="str">
            <v>FL005.0Y1W001SOCC</v>
          </cell>
          <cell r="H902" t="str">
            <v>5 YD 1X WK SCHOOL OCC</v>
          </cell>
        </row>
        <row r="903">
          <cell r="G903" t="str">
            <v>FL005.0Y2W001BOCC</v>
          </cell>
          <cell r="H903" t="str">
            <v>5 YD 2X WK BUS OCC 1</v>
          </cell>
        </row>
        <row r="904">
          <cell r="G904" t="str">
            <v>FL005.0Y2W001BOCC</v>
          </cell>
          <cell r="H904" t="str">
            <v>5 YD 2X WK BUS OCC 1</v>
          </cell>
        </row>
        <row r="905">
          <cell r="G905" t="str">
            <v>FL005.0Y2W001BOCC</v>
          </cell>
          <cell r="H905" t="str">
            <v>5 YD 2X WK BUS OCC 1</v>
          </cell>
        </row>
        <row r="906">
          <cell r="G906" t="str">
            <v>FL005.0Y2W001BOCC</v>
          </cell>
          <cell r="H906" t="str">
            <v>5 YD 2X WK BUS OCC 1</v>
          </cell>
        </row>
        <row r="907">
          <cell r="G907" t="str">
            <v>FL005.0Y2W001BOCC</v>
          </cell>
          <cell r="H907" t="str">
            <v>5 YD 2X WK BUS OCC 1</v>
          </cell>
        </row>
        <row r="908">
          <cell r="G908" t="str">
            <v>FL005.0Y2W001BOCC</v>
          </cell>
          <cell r="H908" t="str">
            <v>5 YD 2X WK BUS OCC 1</v>
          </cell>
        </row>
        <row r="909">
          <cell r="G909" t="str">
            <v>FL005.0Y2W001BOCC</v>
          </cell>
          <cell r="H909" t="str">
            <v>5 YD 2X WK BUS OCC 1</v>
          </cell>
        </row>
        <row r="910">
          <cell r="G910" t="str">
            <v>FL005.0Y2W001BOCC</v>
          </cell>
          <cell r="H910" t="str">
            <v>5 YD 2X WK BUS OCC 1</v>
          </cell>
        </row>
        <row r="911">
          <cell r="G911" t="str">
            <v>FL005.0Y2W001BOCC</v>
          </cell>
          <cell r="H911" t="str">
            <v>5 YD 2X WK BUS OCC 1</v>
          </cell>
        </row>
        <row r="912">
          <cell r="G912" t="str">
            <v>FL005.0Y2W001SOCC</v>
          </cell>
          <cell r="H912" t="str">
            <v>5 YD 2X WK SCHOOL OCC</v>
          </cell>
        </row>
        <row r="913">
          <cell r="G913" t="str">
            <v>FL005.0Y2W001SOCC</v>
          </cell>
          <cell r="H913" t="str">
            <v>5 YD 2X WK SCHOOL OCC</v>
          </cell>
        </row>
        <row r="914">
          <cell r="G914" t="str">
            <v>FL005.0Y2W001SOCC</v>
          </cell>
          <cell r="H914" t="str">
            <v>5 YD 2X WK SCHOOL OCC</v>
          </cell>
        </row>
        <row r="915">
          <cell r="G915" t="str">
            <v>FL005.0Y2W001SOCC</v>
          </cell>
          <cell r="H915" t="str">
            <v>5 YD 2X WK SCHOOL OCC</v>
          </cell>
        </row>
        <row r="916">
          <cell r="G916" t="str">
            <v>FL005.0Y2W001SOCC</v>
          </cell>
          <cell r="H916" t="str">
            <v>5 YD 2X WK SCHOOL OCC</v>
          </cell>
        </row>
        <row r="917">
          <cell r="G917" t="str">
            <v>FL005.0Y2W001SOCC</v>
          </cell>
          <cell r="H917" t="str">
            <v>5 YD 2X WK SCHOOL OCC</v>
          </cell>
        </row>
        <row r="918">
          <cell r="G918" t="str">
            <v>FL005.0Y2W001SOCC</v>
          </cell>
          <cell r="H918" t="str">
            <v>5 YD 2X WK SCHOOL OCC</v>
          </cell>
        </row>
        <row r="919">
          <cell r="G919" t="str">
            <v>FL005.0Y2W001SOCC</v>
          </cell>
          <cell r="H919" t="str">
            <v>5 YD 2X WK SCHOOL OCC</v>
          </cell>
        </row>
        <row r="920">
          <cell r="G920" t="str">
            <v>FL005.0Y2W001SOCC</v>
          </cell>
          <cell r="H920" t="str">
            <v>5 YD 2X WK SCHOOL OCC</v>
          </cell>
        </row>
        <row r="921">
          <cell r="G921" t="str">
            <v>FL005.0Y3W001BOCC</v>
          </cell>
          <cell r="H921" t="str">
            <v>5 YD 3X WK BUS OCC 1</v>
          </cell>
        </row>
        <row r="922">
          <cell r="G922" t="str">
            <v>FL005.0Y3W001BOCC</v>
          </cell>
          <cell r="H922" t="str">
            <v>5 YD 3X WK BUS OCC 1</v>
          </cell>
        </row>
        <row r="923">
          <cell r="G923" t="str">
            <v>FL005.0Y3W001BOCC</v>
          </cell>
          <cell r="H923" t="str">
            <v>5 YD 3X WK BUS OCC 1</v>
          </cell>
        </row>
        <row r="924">
          <cell r="G924" t="str">
            <v>FL005.0Y3W001BOCC</v>
          </cell>
          <cell r="H924" t="str">
            <v>5 YD 3X WK BUS OCC 1</v>
          </cell>
        </row>
        <row r="925">
          <cell r="G925" t="str">
            <v>FL005.0Y3W001BOCC</v>
          </cell>
          <cell r="H925" t="str">
            <v>5 YD 3X WK BUS OCC 1</v>
          </cell>
        </row>
        <row r="926">
          <cell r="G926" t="str">
            <v>FL005.0Y3W001BOCC</v>
          </cell>
          <cell r="H926" t="str">
            <v>5 YD 3X WK BUS OCC 1</v>
          </cell>
        </row>
        <row r="927">
          <cell r="G927" t="str">
            <v>FL005.0Y3W001BOCC</v>
          </cell>
          <cell r="H927" t="str">
            <v>5 YD 3X WK BUS OCC 1</v>
          </cell>
        </row>
        <row r="928">
          <cell r="G928" t="str">
            <v>FL005.0Y3W001BOCC</v>
          </cell>
          <cell r="H928" t="str">
            <v>5 YD 3X WK BUS OCC 1</v>
          </cell>
        </row>
        <row r="929">
          <cell r="G929" t="str">
            <v>FL005.0Y3W001BOCC</v>
          </cell>
          <cell r="H929" t="str">
            <v>5 YD 3X WK BUS OCC 1</v>
          </cell>
        </row>
        <row r="930">
          <cell r="G930" t="str">
            <v>FL005.0Y3W001SOCC</v>
          </cell>
          <cell r="H930" t="str">
            <v>5 YD 3X WK SCHOOL OCC</v>
          </cell>
        </row>
        <row r="931">
          <cell r="G931" t="str">
            <v>FL005.0Y3W001SOCC</v>
          </cell>
          <cell r="H931" t="str">
            <v>5 YD 3X WK SCHOOL OCC</v>
          </cell>
        </row>
        <row r="932">
          <cell r="G932" t="str">
            <v>FL005.0Y3W001SOCC</v>
          </cell>
          <cell r="H932" t="str">
            <v>5 YD 3X WK SCHOOL OCC</v>
          </cell>
        </row>
        <row r="933">
          <cell r="G933" t="str">
            <v>FL005.0Y3W001SOCC</v>
          </cell>
          <cell r="H933" t="str">
            <v>5 YD 3X WK SCHOOL OCC</v>
          </cell>
        </row>
        <row r="934">
          <cell r="G934" t="str">
            <v>FL005.0Y3W001SOCC</v>
          </cell>
          <cell r="H934" t="str">
            <v>5 YD 3X WK SCHOOL OCC</v>
          </cell>
        </row>
        <row r="935">
          <cell r="G935" t="str">
            <v>FL005.0Y3W001SOCC</v>
          </cell>
          <cell r="H935" t="str">
            <v>5 YD 3X WK SCHOOL OCC</v>
          </cell>
        </row>
        <row r="936">
          <cell r="G936" t="str">
            <v>FL005.0Y3W001SOCC</v>
          </cell>
          <cell r="H936" t="str">
            <v>5 YD 3X WK SCHOOL OCC</v>
          </cell>
        </row>
        <row r="937">
          <cell r="G937" t="str">
            <v>FL005.0Y3W001SOCC</v>
          </cell>
          <cell r="H937" t="str">
            <v>5 YD 3X WK SCHOOL OCC</v>
          </cell>
        </row>
        <row r="938">
          <cell r="G938" t="str">
            <v>FL005.0Y3W001SOCC</v>
          </cell>
          <cell r="H938" t="str">
            <v>5 YD 3X WK SCHOOL OCC</v>
          </cell>
        </row>
        <row r="939">
          <cell r="G939" t="str">
            <v>FL005.0Y4W001BOCC</v>
          </cell>
          <cell r="H939" t="str">
            <v>5 YD 4X WK BUS OCC 1</v>
          </cell>
        </row>
        <row r="940">
          <cell r="G940" t="str">
            <v>FL005.0Y4W001BOCC</v>
          </cell>
          <cell r="H940" t="str">
            <v>5 YD 4X WK BUS OCC 1</v>
          </cell>
        </row>
        <row r="941">
          <cell r="G941" t="str">
            <v>FL005.0Y4W001BOCC</v>
          </cell>
          <cell r="H941" t="str">
            <v>5 YD 4X WK BUS OCC 1</v>
          </cell>
        </row>
        <row r="942">
          <cell r="G942" t="str">
            <v>FL005.0Y4W001BOCC</v>
          </cell>
          <cell r="H942" t="str">
            <v>5 YD 4X WK BUS OCC 1</v>
          </cell>
        </row>
        <row r="943">
          <cell r="G943" t="str">
            <v>FL005.0Y4W001BOCC</v>
          </cell>
          <cell r="H943" t="str">
            <v>5 YD 4X WK BUS OCC 1</v>
          </cell>
        </row>
        <row r="944">
          <cell r="G944" t="str">
            <v>FL005.0Y4W001BOCC</v>
          </cell>
          <cell r="H944" t="str">
            <v>5 YD 4X WK BUS OCC 1</v>
          </cell>
        </row>
        <row r="945">
          <cell r="G945" t="str">
            <v>FL005.0Y4W001BOCC</v>
          </cell>
          <cell r="H945" t="str">
            <v>5 YD 4X WK BUS OCC 1</v>
          </cell>
        </row>
        <row r="946">
          <cell r="G946" t="str">
            <v>FL005.0Y4W001BOCC</v>
          </cell>
          <cell r="H946" t="str">
            <v>5 YD 4X WK BUS OCC 1</v>
          </cell>
        </row>
        <row r="947">
          <cell r="G947" t="str">
            <v>FL005.0Y4W001BOCC</v>
          </cell>
          <cell r="H947" t="str">
            <v>5 YD 4X WK BUS OCC 1</v>
          </cell>
        </row>
        <row r="948">
          <cell r="G948" t="str">
            <v>FL005.0Y4W001SOCC</v>
          </cell>
          <cell r="H948" t="str">
            <v>5 YD 4X WK SCHOOL OCC</v>
          </cell>
        </row>
        <row r="949">
          <cell r="G949" t="str">
            <v>FL005.0Y4W001SOCC</v>
          </cell>
          <cell r="H949" t="str">
            <v>5 YD 4X WK SCHOOL OCC</v>
          </cell>
        </row>
        <row r="950">
          <cell r="G950" t="str">
            <v>FL005.0Y4W001SOCC</v>
          </cell>
          <cell r="H950" t="str">
            <v>5 YD 4X WK SCHOOL OCC</v>
          </cell>
        </row>
        <row r="951">
          <cell r="G951" t="str">
            <v>FL005.0Y4W001SOCC</v>
          </cell>
          <cell r="H951" t="str">
            <v>5 YD 4X WK SCHOOL OCC</v>
          </cell>
        </row>
        <row r="952">
          <cell r="G952" t="str">
            <v>FL005.0Y4W001SOCC</v>
          </cell>
          <cell r="H952" t="str">
            <v>5 YD 4X WK SCHOOL OCC</v>
          </cell>
        </row>
        <row r="953">
          <cell r="G953" t="str">
            <v>FL005.0Y4W001SOCC</v>
          </cell>
          <cell r="H953" t="str">
            <v>5 YD 4X WK SCHOOL OCC</v>
          </cell>
        </row>
        <row r="954">
          <cell r="G954" t="str">
            <v>FL005.0Y4W001SOCC</v>
          </cell>
          <cell r="H954" t="str">
            <v>5 YD 4X WK SCHOOL OCC</v>
          </cell>
        </row>
        <row r="955">
          <cell r="G955" t="str">
            <v>FL005.0Y4W001SOCC</v>
          </cell>
          <cell r="H955" t="str">
            <v>5 YD 4X WK SCHOOL OCC</v>
          </cell>
        </row>
        <row r="956">
          <cell r="G956" t="str">
            <v>FL005.0Y4W001SOCC</v>
          </cell>
          <cell r="H956" t="str">
            <v>5 YD 4X WK SCHOOL OCC</v>
          </cell>
        </row>
        <row r="957">
          <cell r="G957" t="str">
            <v>FL005.0Y5W001BOCC</v>
          </cell>
          <cell r="H957" t="str">
            <v>5 YD 5X WK BUS OCC 1</v>
          </cell>
        </row>
        <row r="958">
          <cell r="G958" t="str">
            <v>FL005.0Y5W001BOCC</v>
          </cell>
          <cell r="H958" t="str">
            <v>5 YD 5X WK BUS OCC 1</v>
          </cell>
        </row>
        <row r="959">
          <cell r="G959" t="str">
            <v>FL005.0Y5W001BOCC</v>
          </cell>
          <cell r="H959" t="str">
            <v>5 YD 5X WK BUS OCC 1</v>
          </cell>
        </row>
        <row r="960">
          <cell r="G960" t="str">
            <v>FL005.0Y5W001BOCC</v>
          </cell>
          <cell r="H960" t="str">
            <v>5 YD 5X WK BUS OCC 1</v>
          </cell>
        </row>
        <row r="961">
          <cell r="G961" t="str">
            <v>FL005.0Y5W001BOCC</v>
          </cell>
          <cell r="H961" t="str">
            <v>5 YD 5X WK BUS OCC 1</v>
          </cell>
        </row>
        <row r="962">
          <cell r="G962" t="str">
            <v>FL005.0Y5W001BOCC</v>
          </cell>
          <cell r="H962" t="str">
            <v>5 YD 5X WK BUS OCC 1</v>
          </cell>
        </row>
        <row r="963">
          <cell r="G963" t="str">
            <v>FL005.0Y5W001BOCC</v>
          </cell>
          <cell r="H963" t="str">
            <v>5 YD 5X WK BUS OCC 1</v>
          </cell>
        </row>
        <row r="964">
          <cell r="G964" t="str">
            <v>FL005.0Y5W001BOCC</v>
          </cell>
          <cell r="H964" t="str">
            <v>5 YD 5X WK BUS OCC 1</v>
          </cell>
        </row>
        <row r="965">
          <cell r="G965" t="str">
            <v>FL005.0Y5W001BOCC</v>
          </cell>
          <cell r="H965" t="str">
            <v>5 YD 5X WK BUS OCC 1</v>
          </cell>
        </row>
        <row r="966">
          <cell r="G966" t="str">
            <v>FL005.0Y5W001SOCC</v>
          </cell>
          <cell r="H966" t="str">
            <v>5 YD 5X WK SCHOOL OCC</v>
          </cell>
        </row>
        <row r="967">
          <cell r="G967" t="str">
            <v>FL005.0Y5W001SOCC</v>
          </cell>
          <cell r="H967" t="str">
            <v>5 YD 5X WK SCHOOL OCC</v>
          </cell>
        </row>
        <row r="968">
          <cell r="G968" t="str">
            <v>FL005.0Y5W001SOCC</v>
          </cell>
          <cell r="H968" t="str">
            <v>5 YD 5X WK SCHOOL OCC</v>
          </cell>
        </row>
        <row r="969">
          <cell r="G969" t="str">
            <v>FL005.0Y5W001SOCC</v>
          </cell>
          <cell r="H969" t="str">
            <v>5 YD 5X WK SCHOOL OCC</v>
          </cell>
        </row>
        <row r="970">
          <cell r="G970" t="str">
            <v>FL005.0Y5W001SOCC</v>
          </cell>
          <cell r="H970" t="str">
            <v>5 YD 5X WK SCHOOL OCC</v>
          </cell>
        </row>
        <row r="971">
          <cell r="G971" t="str">
            <v>FL005.0Y5W001SOCC</v>
          </cell>
          <cell r="H971" t="str">
            <v>5 YD 5X WK SCHOOL OCC</v>
          </cell>
        </row>
        <row r="972">
          <cell r="G972" t="str">
            <v>FL005.0Y5W001SOCC</v>
          </cell>
          <cell r="H972" t="str">
            <v>5 YD 5X WK SCHOOL OCC</v>
          </cell>
        </row>
        <row r="973">
          <cell r="G973" t="str">
            <v>FL005.0Y5W001SOCC</v>
          </cell>
          <cell r="H973" t="str">
            <v>5 YD 5X WK SCHOOL OCC</v>
          </cell>
        </row>
        <row r="974">
          <cell r="G974" t="str">
            <v>FL005.0Y5W001SOCC</v>
          </cell>
          <cell r="H974" t="str">
            <v>5 YD 5X WK SCHOOL OCC</v>
          </cell>
        </row>
        <row r="975">
          <cell r="G975" t="str">
            <v>FL005.0YEO001OCC</v>
          </cell>
          <cell r="H975" t="str">
            <v>5 YD EOW OCC 1</v>
          </cell>
        </row>
        <row r="976">
          <cell r="G976" t="str">
            <v>FL006.0Y1W001</v>
          </cell>
          <cell r="H976" t="str">
            <v>6 YD 1X WK 1</v>
          </cell>
        </row>
        <row r="977">
          <cell r="G977" t="str">
            <v>FL006.0Y1W001</v>
          </cell>
          <cell r="H977" t="str">
            <v>6 YD 1X WK 1</v>
          </cell>
        </row>
        <row r="978">
          <cell r="G978" t="str">
            <v>FL006.0Y1W001</v>
          </cell>
          <cell r="H978" t="str">
            <v>6 YD 1X WK 1</v>
          </cell>
        </row>
        <row r="979">
          <cell r="G979" t="str">
            <v>FL006.0Y1W001</v>
          </cell>
          <cell r="H979" t="str">
            <v>6 YD 1X WK 1</v>
          </cell>
        </row>
        <row r="980">
          <cell r="G980" t="str">
            <v>FL006.0Y1W001</v>
          </cell>
          <cell r="H980" t="str">
            <v>6 YD 1X WK 1</v>
          </cell>
        </row>
        <row r="981">
          <cell r="G981" t="str">
            <v>FL006.0Y1W001</v>
          </cell>
          <cell r="H981" t="str">
            <v>6 YD 1X WK 1</v>
          </cell>
        </row>
        <row r="982">
          <cell r="G982" t="str">
            <v>FL006.0Y1W001</v>
          </cell>
          <cell r="H982" t="str">
            <v>6 YD 1X WK 1</v>
          </cell>
        </row>
        <row r="983">
          <cell r="G983" t="str">
            <v>FL006.0Y1W001</v>
          </cell>
          <cell r="H983" t="str">
            <v>6 YD 1X WK 1</v>
          </cell>
        </row>
        <row r="984">
          <cell r="G984" t="str">
            <v>FL006.0Y1W001BCMGL</v>
          </cell>
          <cell r="H984" t="str">
            <v>6 YD 1X WK BUS COMINGLE 1</v>
          </cell>
        </row>
        <row r="985">
          <cell r="G985" t="str">
            <v>FL006.0Y1W001BCMGL</v>
          </cell>
          <cell r="H985" t="str">
            <v>6 YD 1X WK BUS COMINGLE 1</v>
          </cell>
        </row>
        <row r="986">
          <cell r="G986" t="str">
            <v>FL006.0Y1W001BCMGL</v>
          </cell>
          <cell r="H986" t="str">
            <v>6 YD 1X WK BUS COMINGLE 1</v>
          </cell>
        </row>
        <row r="987">
          <cell r="G987" t="str">
            <v>FL006.0Y1W001BCMGL</v>
          </cell>
          <cell r="H987" t="str">
            <v>6 YD 1X WK BUS COMINGLE 1</v>
          </cell>
        </row>
        <row r="988">
          <cell r="G988" t="str">
            <v>FL006.0Y1W001BCMGL</v>
          </cell>
          <cell r="H988" t="str">
            <v>6 YD 1X WK BUS COMINGLE 1</v>
          </cell>
        </row>
        <row r="989">
          <cell r="G989" t="str">
            <v>FL006.0Y1W001BCMGL</v>
          </cell>
          <cell r="H989" t="str">
            <v>6 YD 1X WK BUS COMINGLE 1</v>
          </cell>
        </row>
        <row r="990">
          <cell r="G990" t="str">
            <v>FL006.0Y1W001BCMGL</v>
          </cell>
          <cell r="H990" t="str">
            <v>6 YD 1X WK BUS COMINGLE 1</v>
          </cell>
        </row>
        <row r="991">
          <cell r="G991" t="str">
            <v>FL006.0Y1W001BCMGL</v>
          </cell>
          <cell r="H991" t="str">
            <v>6 YD 1X WK BUS COMINGLE 1</v>
          </cell>
        </row>
        <row r="992">
          <cell r="G992" t="str">
            <v>FL006.0Y1W001BCMGL</v>
          </cell>
          <cell r="H992" t="str">
            <v>6 YD 1X WK BUS COMINGLE 1</v>
          </cell>
        </row>
        <row r="993">
          <cell r="G993" t="str">
            <v>FL006.0Y1W001CMP</v>
          </cell>
          <cell r="H993" t="str">
            <v>6 YD 1X WK COMP 1</v>
          </cell>
        </row>
        <row r="994">
          <cell r="G994" t="str">
            <v>FL006.0Y1W001CMP</v>
          </cell>
          <cell r="H994" t="str">
            <v>6 YD 1X WK COMP 1</v>
          </cell>
        </row>
        <row r="995">
          <cell r="G995" t="str">
            <v>FL006.0Y1W001CMP</v>
          </cell>
          <cell r="H995" t="str">
            <v>6 YD 1X WK COMP 1</v>
          </cell>
        </row>
        <row r="996">
          <cell r="G996" t="str">
            <v>FL006.0Y1W001MF</v>
          </cell>
          <cell r="H996" t="str">
            <v>6 YD 1X WK MULTI-FAMILY 1</v>
          </cell>
        </row>
        <row r="997">
          <cell r="G997" t="str">
            <v>FL006.0Y1W001MF</v>
          </cell>
          <cell r="H997" t="str">
            <v>6 YD 1X WK MULTI-FAMILY 1</v>
          </cell>
        </row>
        <row r="998">
          <cell r="G998" t="str">
            <v>FL006.0Y1W001OCCCMP</v>
          </cell>
          <cell r="H998" t="str">
            <v>6 YD 1X WK OCC COMP</v>
          </cell>
        </row>
        <row r="999">
          <cell r="G999" t="str">
            <v>FL006.0Y1W001OCCCMP</v>
          </cell>
          <cell r="H999" t="str">
            <v>6 YD 1X WK OCC COMP</v>
          </cell>
        </row>
        <row r="1000">
          <cell r="G1000" t="str">
            <v>FL006.0Y1W001OCCCMP</v>
          </cell>
          <cell r="H1000" t="str">
            <v>6 YD 1X WK OCC COMP</v>
          </cell>
        </row>
        <row r="1001">
          <cell r="G1001" t="str">
            <v>FL006.0Y1W001SCMGL</v>
          </cell>
          <cell r="H1001" t="str">
            <v>6 YD 1X WK SCHL CMGL 1</v>
          </cell>
        </row>
        <row r="1002">
          <cell r="G1002" t="str">
            <v>FL006.0Y1W001SCMGL</v>
          </cell>
          <cell r="H1002" t="str">
            <v>6 YD 1X WK SCHL CMGL 1</v>
          </cell>
        </row>
        <row r="1003">
          <cell r="G1003" t="str">
            <v>FL006.0Y1W001SCMGL</v>
          </cell>
          <cell r="H1003" t="str">
            <v>6 YD 1X WK SCHL CMGL 1</v>
          </cell>
        </row>
        <row r="1004">
          <cell r="G1004" t="str">
            <v>FL006.0Y1W001SCMGL</v>
          </cell>
          <cell r="H1004" t="str">
            <v>6 YD 1X WK SCHL CMGL 1</v>
          </cell>
        </row>
        <row r="1005">
          <cell r="G1005" t="str">
            <v>FL006.0Y1W001SCMGL</v>
          </cell>
          <cell r="H1005" t="str">
            <v>6 YD 1X WK SCHL CMGL 1</v>
          </cell>
        </row>
        <row r="1006">
          <cell r="G1006" t="str">
            <v>FL006.0Y1W001SCMGL</v>
          </cell>
          <cell r="H1006" t="str">
            <v>6 YD 1X WK SCHL CMGL 1</v>
          </cell>
        </row>
        <row r="1007">
          <cell r="G1007" t="str">
            <v>FL006.0Y1W001SCMGL</v>
          </cell>
          <cell r="H1007" t="str">
            <v>6 YD 1X WK SCHL CMGL 1</v>
          </cell>
        </row>
        <row r="1008">
          <cell r="G1008" t="str">
            <v>FL006.0Y1W001SCMGL</v>
          </cell>
          <cell r="H1008" t="str">
            <v>6 YD 1X WK SCHL CMGL 1</v>
          </cell>
        </row>
        <row r="1009">
          <cell r="G1009" t="str">
            <v>FL006.0Y1W001SCMGL</v>
          </cell>
          <cell r="H1009" t="str">
            <v>6 YD 1X WK SCHL CMGL 1</v>
          </cell>
        </row>
        <row r="1010">
          <cell r="G1010" t="str">
            <v>FL006.0Y2W001</v>
          </cell>
          <cell r="H1010" t="str">
            <v>6 YD 2X WK 1</v>
          </cell>
        </row>
        <row r="1011">
          <cell r="G1011" t="str">
            <v>FL006.0Y2W001</v>
          </cell>
          <cell r="H1011" t="str">
            <v>6 YD 2X WK 1</v>
          </cell>
        </row>
        <row r="1012">
          <cell r="G1012" t="str">
            <v>FL006.0Y2W001</v>
          </cell>
          <cell r="H1012" t="str">
            <v>6 YD 2X WK 1</v>
          </cell>
        </row>
        <row r="1013">
          <cell r="G1013" t="str">
            <v>FL006.0Y2W001</v>
          </cell>
          <cell r="H1013" t="str">
            <v>6 YD 2X WK 1</v>
          </cell>
        </row>
        <row r="1014">
          <cell r="G1014" t="str">
            <v>FL006.0Y2W001</v>
          </cell>
          <cell r="H1014" t="str">
            <v>6 YD 2X WK 1</v>
          </cell>
        </row>
        <row r="1015">
          <cell r="G1015" t="str">
            <v>FL006.0Y2W001</v>
          </cell>
          <cell r="H1015" t="str">
            <v>6 YD 2X WK 1</v>
          </cell>
        </row>
        <row r="1016">
          <cell r="G1016" t="str">
            <v>FL006.0Y2W001</v>
          </cell>
          <cell r="H1016" t="str">
            <v>6 YD 2X WK 1</v>
          </cell>
        </row>
        <row r="1017">
          <cell r="G1017" t="str">
            <v>FL006.0Y2W001BCMGL</v>
          </cell>
          <cell r="H1017" t="str">
            <v>6 YD 2X WK BUS COMINGLE 1</v>
          </cell>
        </row>
        <row r="1018">
          <cell r="G1018" t="str">
            <v>FL006.0Y2W001BCMGL</v>
          </cell>
          <cell r="H1018" t="str">
            <v>6 YD 2X WK BUS COMINGLE 1</v>
          </cell>
        </row>
        <row r="1019">
          <cell r="G1019" t="str">
            <v>FL006.0Y2W001BCMGL</v>
          </cell>
          <cell r="H1019" t="str">
            <v>6 YD 2X WK BUS COMINGLE 1</v>
          </cell>
        </row>
        <row r="1020">
          <cell r="G1020" t="str">
            <v>FL006.0Y2W001BCMGL</v>
          </cell>
          <cell r="H1020" t="str">
            <v>6 YD 2X WK BUS COMINGLE 1</v>
          </cell>
        </row>
        <row r="1021">
          <cell r="G1021" t="str">
            <v>FL006.0Y2W001BCMGL</v>
          </cell>
          <cell r="H1021" t="str">
            <v>6 YD 2X WK BUS COMINGLE 1</v>
          </cell>
        </row>
        <row r="1022">
          <cell r="G1022" t="str">
            <v>FL006.0Y2W001BCMGL</v>
          </cell>
          <cell r="H1022" t="str">
            <v>6 YD 2X WK BUS COMINGLE 1</v>
          </cell>
        </row>
        <row r="1023">
          <cell r="G1023" t="str">
            <v>FL006.0Y2W001BCMGL</v>
          </cell>
          <cell r="H1023" t="str">
            <v>6 YD 2X WK BUS COMINGLE 1</v>
          </cell>
        </row>
        <row r="1024">
          <cell r="G1024" t="str">
            <v>FL006.0Y2W001BCMGL</v>
          </cell>
          <cell r="H1024" t="str">
            <v>6 YD 2X WK BUS COMINGLE 1</v>
          </cell>
        </row>
        <row r="1025">
          <cell r="G1025" t="str">
            <v>FL006.0Y2W001BCMGL</v>
          </cell>
          <cell r="H1025" t="str">
            <v>6 YD 2X WK BUS COMINGLE 1</v>
          </cell>
        </row>
        <row r="1026">
          <cell r="G1026" t="str">
            <v>FL006.0Y2W001CMP</v>
          </cell>
          <cell r="H1026" t="str">
            <v>6 YD 2X WK COMP 1</v>
          </cell>
        </row>
        <row r="1027">
          <cell r="G1027" t="str">
            <v>FL006.0Y2W001CMP</v>
          </cell>
          <cell r="H1027" t="str">
            <v>6 YD 2X WK COMP 1</v>
          </cell>
        </row>
        <row r="1028">
          <cell r="G1028" t="str">
            <v>FL006.0Y2W001MF</v>
          </cell>
          <cell r="H1028" t="str">
            <v>6 YD 2X WK MULTI-FAMILY 1</v>
          </cell>
        </row>
        <row r="1029">
          <cell r="G1029" t="str">
            <v>FL006.0Y2W001MF</v>
          </cell>
          <cell r="H1029" t="str">
            <v>6 YD 2X WK MULTI-FAMILY 1</v>
          </cell>
        </row>
        <row r="1030">
          <cell r="G1030" t="str">
            <v>FL006.0Y2W001OCCCMP</v>
          </cell>
          <cell r="H1030" t="str">
            <v>6 YD 2X WK OCC COMP</v>
          </cell>
        </row>
        <row r="1031">
          <cell r="G1031" t="str">
            <v>FL006.0Y2W001OCCCMP</v>
          </cell>
          <cell r="H1031" t="str">
            <v>6 YD 2X WK OCC COMP</v>
          </cell>
        </row>
        <row r="1032">
          <cell r="G1032" t="str">
            <v>FL006.0Y2W001OCCCMP</v>
          </cell>
          <cell r="H1032" t="str">
            <v>6 YD 2X WK OCC COMP</v>
          </cell>
        </row>
        <row r="1033">
          <cell r="G1033" t="str">
            <v>FL006.0Y2W001SCMGL</v>
          </cell>
          <cell r="H1033" t="str">
            <v>6 YD 2X WK SCHL CMGL 1</v>
          </cell>
        </row>
        <row r="1034">
          <cell r="G1034" t="str">
            <v>FL006.0Y2W001SCMGL</v>
          </cell>
          <cell r="H1034" t="str">
            <v>6 YD 2X WK SCHL CMGL 1</v>
          </cell>
        </row>
        <row r="1035">
          <cell r="G1035" t="str">
            <v>FL006.0Y2W001SCMGL</v>
          </cell>
          <cell r="H1035" t="str">
            <v>6 YD 2X WK SCHL CMGL 1</v>
          </cell>
        </row>
        <row r="1036">
          <cell r="G1036" t="str">
            <v>FL006.0Y2W001SCMGL</v>
          </cell>
          <cell r="H1036" t="str">
            <v>6 YD 2X WK SCHL CMGL 1</v>
          </cell>
        </row>
        <row r="1037">
          <cell r="G1037" t="str">
            <v>FL006.0Y2W001SCMGL</v>
          </cell>
          <cell r="H1037" t="str">
            <v>6 YD 2X WK SCHL CMGL 1</v>
          </cell>
        </row>
        <row r="1038">
          <cell r="G1038" t="str">
            <v>FL006.0Y2W001SCMGL</v>
          </cell>
          <cell r="H1038" t="str">
            <v>6 YD 2X WK SCHL CMGL 1</v>
          </cell>
        </row>
        <row r="1039">
          <cell r="G1039" t="str">
            <v>FL006.0Y2W001SCMGL</v>
          </cell>
          <cell r="H1039" t="str">
            <v>6 YD 2X WK SCHL CMGL 1</v>
          </cell>
        </row>
        <row r="1040">
          <cell r="G1040" t="str">
            <v>FL006.0Y2W001SCMGL</v>
          </cell>
          <cell r="H1040" t="str">
            <v>6 YD 2X WK SCHL CMGL 1</v>
          </cell>
        </row>
        <row r="1041">
          <cell r="G1041" t="str">
            <v>FL006.0Y2W001SCMGL</v>
          </cell>
          <cell r="H1041" t="str">
            <v>6 YD 2X WK SCHL CMGL 1</v>
          </cell>
        </row>
        <row r="1042">
          <cell r="G1042" t="str">
            <v>FL006.0Y3W001</v>
          </cell>
          <cell r="H1042" t="str">
            <v>6 YD 3X WK 1</v>
          </cell>
        </row>
        <row r="1043">
          <cell r="G1043" t="str">
            <v>FL006.0Y3W001</v>
          </cell>
          <cell r="H1043" t="str">
            <v>6 YD 3X WK 1</v>
          </cell>
        </row>
        <row r="1044">
          <cell r="G1044" t="str">
            <v>FL006.0Y3W001</v>
          </cell>
          <cell r="H1044" t="str">
            <v>6 YD 3X WK 1</v>
          </cell>
        </row>
        <row r="1045">
          <cell r="G1045" t="str">
            <v>FL006.0Y3W001</v>
          </cell>
          <cell r="H1045" t="str">
            <v>6 YD 3X WK 1</v>
          </cell>
        </row>
        <row r="1046">
          <cell r="G1046" t="str">
            <v>FL006.0Y3W001</v>
          </cell>
          <cell r="H1046" t="str">
            <v>6 YD 3X WK 1</v>
          </cell>
        </row>
        <row r="1047">
          <cell r="G1047" t="str">
            <v>FL006.0Y3W001</v>
          </cell>
          <cell r="H1047" t="str">
            <v>6 YD 3X WK 1</v>
          </cell>
        </row>
        <row r="1048">
          <cell r="G1048" t="str">
            <v>FL006.0Y3W001BCMGL</v>
          </cell>
          <cell r="H1048" t="str">
            <v>6 YD 3X WK BUS CMGL 1</v>
          </cell>
        </row>
        <row r="1049">
          <cell r="G1049" t="str">
            <v>FL006.0Y3W001BCMGL</v>
          </cell>
          <cell r="H1049" t="str">
            <v>6 YD 3X WK BUS CMGL 1</v>
          </cell>
        </row>
        <row r="1050">
          <cell r="G1050" t="str">
            <v>FL006.0Y3W001BCMGL</v>
          </cell>
          <cell r="H1050" t="str">
            <v>6 YD 3X WK BUS CMGL 1</v>
          </cell>
        </row>
        <row r="1051">
          <cell r="G1051" t="str">
            <v>FL006.0Y3W001BCMGL</v>
          </cell>
          <cell r="H1051" t="str">
            <v>6 YD 3X WK BUS CMGL 1</v>
          </cell>
        </row>
        <row r="1052">
          <cell r="G1052" t="str">
            <v>FL006.0Y3W001BCMGL</v>
          </cell>
          <cell r="H1052" t="str">
            <v>6 YD 3X WK BUS CMGL 1</v>
          </cell>
        </row>
        <row r="1053">
          <cell r="G1053" t="str">
            <v>FL006.0Y3W001BCMGL</v>
          </cell>
          <cell r="H1053" t="str">
            <v>6 YD 3X WK BUS CMGL 1</v>
          </cell>
        </row>
        <row r="1054">
          <cell r="G1054" t="str">
            <v>FL006.0Y3W001BCMGL</v>
          </cell>
          <cell r="H1054" t="str">
            <v>6 YD 3X WK BUS CMGL 1</v>
          </cell>
        </row>
        <row r="1055">
          <cell r="G1055" t="str">
            <v>FL006.0Y3W001BCMGL</v>
          </cell>
          <cell r="H1055" t="str">
            <v>6 YD 3X WK BUS CMGL 1</v>
          </cell>
        </row>
        <row r="1056">
          <cell r="G1056" t="str">
            <v>FL006.0Y3W001BCMGL</v>
          </cell>
          <cell r="H1056" t="str">
            <v>6 YD 3X WK BUS CMGL 1</v>
          </cell>
        </row>
        <row r="1057">
          <cell r="G1057" t="str">
            <v>FL006.0Y3W001CMP</v>
          </cell>
          <cell r="H1057" t="str">
            <v>6 YD 3X WK COMP 1</v>
          </cell>
        </row>
        <row r="1058">
          <cell r="G1058" t="str">
            <v>FL006.0Y3W001CMP</v>
          </cell>
          <cell r="H1058" t="str">
            <v>6 YD 3X WK COMP 1</v>
          </cell>
        </row>
        <row r="1059">
          <cell r="G1059" t="str">
            <v>FL006.0Y3W001MF</v>
          </cell>
          <cell r="H1059" t="str">
            <v>6 YD 3X WK MULTI-FAMILY 1</v>
          </cell>
        </row>
        <row r="1060">
          <cell r="G1060" t="str">
            <v>FL006.0Y3W001OCCCMP</v>
          </cell>
          <cell r="H1060" t="str">
            <v>6 YD 3X WK OCC COMP</v>
          </cell>
        </row>
        <row r="1061">
          <cell r="G1061" t="str">
            <v>FL006.0Y3W001OCCCMP</v>
          </cell>
          <cell r="H1061" t="str">
            <v>6 YD 3X WK OCC COMP</v>
          </cell>
        </row>
        <row r="1062">
          <cell r="G1062" t="str">
            <v>FL006.0Y3W001OCCCMP</v>
          </cell>
          <cell r="H1062" t="str">
            <v>6 YD 3X WK OCC COMP</v>
          </cell>
        </row>
        <row r="1063">
          <cell r="G1063" t="str">
            <v>FL006.0Y4W001</v>
          </cell>
          <cell r="H1063" t="str">
            <v>6 YD 4X WK 1</v>
          </cell>
        </row>
        <row r="1064">
          <cell r="G1064" t="str">
            <v>FL006.0Y4W001</v>
          </cell>
          <cell r="H1064" t="str">
            <v>6 YD 4X WK 1</v>
          </cell>
        </row>
        <row r="1065">
          <cell r="G1065" t="str">
            <v>FL006.0Y4W001</v>
          </cell>
          <cell r="H1065" t="str">
            <v>6 YD 4X WK 1</v>
          </cell>
        </row>
        <row r="1066">
          <cell r="G1066" t="str">
            <v>FL006.0Y4W001</v>
          </cell>
          <cell r="H1066" t="str">
            <v>6 YD 4X WK 1</v>
          </cell>
        </row>
        <row r="1067">
          <cell r="G1067" t="str">
            <v>FL006.0Y4W001</v>
          </cell>
          <cell r="H1067" t="str">
            <v>6 YD 4X WK 1</v>
          </cell>
        </row>
        <row r="1068">
          <cell r="G1068" t="str">
            <v>FL006.0Y4W001</v>
          </cell>
          <cell r="H1068" t="str">
            <v>6 YD 4X WK 1</v>
          </cell>
        </row>
        <row r="1069">
          <cell r="G1069" t="str">
            <v>FL006.0Y4W001CMP</v>
          </cell>
          <cell r="H1069" t="str">
            <v>6 YD 4X WK COMP 1</v>
          </cell>
        </row>
        <row r="1070">
          <cell r="G1070" t="str">
            <v>FL006.0Y4W001CMP</v>
          </cell>
          <cell r="H1070" t="str">
            <v>6 YD 4X WK COMP 1</v>
          </cell>
        </row>
        <row r="1071">
          <cell r="G1071" t="str">
            <v>FL006.0Y4W001MF</v>
          </cell>
          <cell r="H1071" t="str">
            <v>6 YD 4X WK MULTI-FAMILY 1</v>
          </cell>
        </row>
        <row r="1072">
          <cell r="G1072" t="str">
            <v>FL006.0Y5W001</v>
          </cell>
          <cell r="H1072" t="str">
            <v>6 YD 5X WK 1</v>
          </cell>
        </row>
        <row r="1073">
          <cell r="G1073" t="str">
            <v>FL006.0Y5W001</v>
          </cell>
          <cell r="H1073" t="str">
            <v>6 YD 5X WK 1</v>
          </cell>
        </row>
        <row r="1074">
          <cell r="G1074" t="str">
            <v>FL006.0Y5W001</v>
          </cell>
          <cell r="H1074" t="str">
            <v>6 YD 5X WK 1</v>
          </cell>
        </row>
        <row r="1075">
          <cell r="G1075" t="str">
            <v>FL006.0Y5W001</v>
          </cell>
          <cell r="H1075" t="str">
            <v>6 YD 5X WK 1</v>
          </cell>
        </row>
        <row r="1076">
          <cell r="G1076" t="str">
            <v>FL006.0Y5W001</v>
          </cell>
          <cell r="H1076" t="str">
            <v>6 YD 5X WK 1</v>
          </cell>
        </row>
        <row r="1077">
          <cell r="G1077" t="str">
            <v>FL006.0Y5W001</v>
          </cell>
          <cell r="H1077" t="str">
            <v>6 YD 5X WK 1</v>
          </cell>
        </row>
        <row r="1078">
          <cell r="G1078" t="str">
            <v>FL006.0Y5W001CMP</v>
          </cell>
          <cell r="H1078" t="str">
            <v>6 YD 5X WK COMP 1</v>
          </cell>
        </row>
        <row r="1079">
          <cell r="G1079" t="str">
            <v>FL006.0Y5W001CMP</v>
          </cell>
          <cell r="H1079" t="str">
            <v>6 YD 5X WK COMP 1</v>
          </cell>
        </row>
        <row r="1080">
          <cell r="G1080" t="str">
            <v>FL006.0Y5W001MF</v>
          </cell>
          <cell r="H1080" t="str">
            <v>6 YD 5X WK MULTI-FAMILY 1</v>
          </cell>
        </row>
        <row r="1081">
          <cell r="G1081" t="str">
            <v>FL006.0YEO001SCMGL</v>
          </cell>
          <cell r="H1081" t="str">
            <v>6 YD EOW SCHL CMGL 1</v>
          </cell>
        </row>
        <row r="1082">
          <cell r="G1082" t="str">
            <v>FL006.0YEO001SCMGL</v>
          </cell>
          <cell r="H1082" t="str">
            <v>6 YD EOW SCHL CMGL 1</v>
          </cell>
        </row>
        <row r="1083">
          <cell r="G1083" t="str">
            <v>FL006.0YEO001SCMGL</v>
          </cell>
          <cell r="H1083" t="str">
            <v>6 YD EOW SCHL CMGL 1</v>
          </cell>
        </row>
        <row r="1084">
          <cell r="G1084" t="str">
            <v>FL006.0YEO001SCMGL</v>
          </cell>
          <cell r="H1084" t="str">
            <v>6 YD EOW SCHL CMGL 1</v>
          </cell>
        </row>
        <row r="1085">
          <cell r="G1085" t="str">
            <v>FL006.0YEO001SCMGL</v>
          </cell>
          <cell r="H1085" t="str">
            <v>6 YD EOW SCHL CMGL 1</v>
          </cell>
        </row>
        <row r="1086">
          <cell r="G1086" t="str">
            <v>FL006.0YEO001SCMGL</v>
          </cell>
          <cell r="H1086" t="str">
            <v>6 YD EOW SCHL CMGL 1</v>
          </cell>
        </row>
        <row r="1087">
          <cell r="G1087" t="str">
            <v>FL006.0YEO001SCMGL</v>
          </cell>
          <cell r="H1087" t="str">
            <v>6 YD EOW SCHL CMGL 1</v>
          </cell>
        </row>
        <row r="1088">
          <cell r="G1088" t="str">
            <v>FL006.0YEO001SCMGL</v>
          </cell>
          <cell r="H1088" t="str">
            <v>6 YD EOW SCHL CMGL 1</v>
          </cell>
        </row>
        <row r="1089">
          <cell r="G1089" t="str">
            <v>FL006.0YEO001SCMGL</v>
          </cell>
          <cell r="H1089" t="str">
            <v>6 YD EOW SCHL CMGL 1</v>
          </cell>
        </row>
        <row r="1090">
          <cell r="G1090" t="str">
            <v>FL006.0YXX001TEMPC</v>
          </cell>
          <cell r="H1090" t="str">
            <v>6 YD TEMP 1</v>
          </cell>
        </row>
        <row r="1091">
          <cell r="G1091" t="str">
            <v>FL006.0YXX001TEMPC</v>
          </cell>
          <cell r="H1091" t="str">
            <v>6 YD TEMP 1</v>
          </cell>
        </row>
        <row r="1092">
          <cell r="G1092" t="str">
            <v>FL006.0YXX001TEMPC</v>
          </cell>
          <cell r="H1092" t="str">
            <v>6 YD TEMP 1</v>
          </cell>
        </row>
        <row r="1093">
          <cell r="G1093" t="str">
            <v>FL006.0YXX001TEMPC</v>
          </cell>
          <cell r="H1093" t="str">
            <v>6 YD TEMP 1</v>
          </cell>
        </row>
        <row r="1094">
          <cell r="G1094" t="str">
            <v>FL006.0YXX001TEMPC</v>
          </cell>
          <cell r="H1094" t="str">
            <v>6 YD TEMP 1</v>
          </cell>
        </row>
        <row r="1095">
          <cell r="G1095" t="str">
            <v>FL006.0YXX001TEMPC</v>
          </cell>
          <cell r="H1095" t="str">
            <v>6 YD TEMP 1</v>
          </cell>
        </row>
        <row r="1096">
          <cell r="G1096" t="str">
            <v>FL006.0YXX001TEMPC</v>
          </cell>
          <cell r="H1096" t="str">
            <v>6 YD TEMP 1</v>
          </cell>
        </row>
        <row r="1097">
          <cell r="G1097" t="str">
            <v>GATE-RO</v>
          </cell>
          <cell r="H1097" t="str">
            <v>GATE CHARGE - RO</v>
          </cell>
        </row>
        <row r="1098">
          <cell r="G1098" t="str">
            <v>GATE-RO</v>
          </cell>
          <cell r="H1098" t="str">
            <v>GATE CHARGE - RO</v>
          </cell>
        </row>
        <row r="1099">
          <cell r="G1099" t="str">
            <v>GATE-RO</v>
          </cell>
          <cell r="H1099" t="str">
            <v>GATE CHARGE - RO</v>
          </cell>
        </row>
        <row r="1100">
          <cell r="G1100" t="str">
            <v>GATE-RO</v>
          </cell>
          <cell r="H1100" t="str">
            <v>GATE CHARGE - RO</v>
          </cell>
        </row>
        <row r="1101">
          <cell r="G1101" t="str">
            <v>GATE-RO</v>
          </cell>
          <cell r="H1101" t="str">
            <v>GATE CHARGE - RO</v>
          </cell>
        </row>
        <row r="1102">
          <cell r="G1102" t="str">
            <v>GW3RES</v>
          </cell>
          <cell r="H1102" t="str">
            <v>GREENWASTE SVC 3 - RES</v>
          </cell>
        </row>
        <row r="1103">
          <cell r="G1103" t="str">
            <v>GWCOMM</v>
          </cell>
          <cell r="H1103" t="str">
            <v>GREENWASTE SERVICE - COMM</v>
          </cell>
        </row>
        <row r="1104">
          <cell r="G1104" t="str">
            <v>GWCOMM</v>
          </cell>
          <cell r="H1104" t="str">
            <v>GREENWASTE SERVICE - COMM</v>
          </cell>
        </row>
        <row r="1105">
          <cell r="G1105" t="str">
            <v>GWCOMM</v>
          </cell>
          <cell r="H1105" t="str">
            <v>GREENWASTE SERVICE - COMM</v>
          </cell>
        </row>
        <row r="1106">
          <cell r="G1106" t="str">
            <v>GWCOMM</v>
          </cell>
          <cell r="H1106" t="str">
            <v>GREENWASTE SERVICE - COMM</v>
          </cell>
        </row>
        <row r="1107">
          <cell r="G1107" t="str">
            <v>GWCOMM</v>
          </cell>
          <cell r="H1107" t="str">
            <v>GREENWASTE SERVICE - COMM</v>
          </cell>
        </row>
        <row r="1108">
          <cell r="G1108" t="str">
            <v>GWCOMM</v>
          </cell>
          <cell r="H1108" t="str">
            <v>GREENWASTE SERVICE - COMM</v>
          </cell>
        </row>
        <row r="1109">
          <cell r="G1109" t="str">
            <v>GWCOMM</v>
          </cell>
          <cell r="H1109" t="str">
            <v>GREENWASTE SERVICE - COMM</v>
          </cell>
        </row>
        <row r="1110">
          <cell r="G1110" t="str">
            <v>GWONLYRES</v>
          </cell>
          <cell r="H1110" t="str">
            <v>GREENWASTE ONLY - RES</v>
          </cell>
        </row>
        <row r="1111">
          <cell r="G1111" t="str">
            <v>GWRES</v>
          </cell>
          <cell r="H1111" t="str">
            <v>GREENWASTE SERVICE - RES</v>
          </cell>
        </row>
        <row r="1112">
          <cell r="G1112" t="str">
            <v>GWRES</v>
          </cell>
          <cell r="H1112" t="str">
            <v>GREENWASTE SERVICE - RES</v>
          </cell>
        </row>
        <row r="1113">
          <cell r="G1113" t="str">
            <v>GWRES</v>
          </cell>
          <cell r="H1113" t="str">
            <v>GREENWASTE SERVICE - RES</v>
          </cell>
        </row>
        <row r="1114">
          <cell r="G1114" t="str">
            <v>GWRES</v>
          </cell>
          <cell r="H1114" t="str">
            <v>GREENWASTE SERVICE - RES</v>
          </cell>
        </row>
        <row r="1115">
          <cell r="G1115" t="str">
            <v>GWRES</v>
          </cell>
          <cell r="H1115" t="str">
            <v>GREENWASTE SERVICE - RES</v>
          </cell>
        </row>
        <row r="1116">
          <cell r="G1116" t="str">
            <v>GWRES</v>
          </cell>
          <cell r="H1116" t="str">
            <v>GREENWASTE SERVICE - RES</v>
          </cell>
        </row>
        <row r="1117">
          <cell r="G1117" t="str">
            <v>GWRES</v>
          </cell>
          <cell r="H1117" t="str">
            <v>GREENWASTE SERVICE - RES</v>
          </cell>
        </row>
        <row r="1118">
          <cell r="G1118" t="str">
            <v>GWSPCL-RES</v>
          </cell>
          <cell r="H1118" t="str">
            <v>GREENWASTE SEN/DIS - RES</v>
          </cell>
        </row>
        <row r="1119">
          <cell r="G1119" t="str">
            <v>HAUL10-CP</v>
          </cell>
          <cell r="H1119" t="str">
            <v>COMPACTOR HAUL 10 YD - RO</v>
          </cell>
        </row>
        <row r="1120">
          <cell r="G1120" t="str">
            <v>HAUL10-CP</v>
          </cell>
          <cell r="H1120" t="str">
            <v>COMPACTOR HAUL 10 YD - RO</v>
          </cell>
        </row>
        <row r="1121">
          <cell r="G1121" t="str">
            <v>HAUL10-CP</v>
          </cell>
          <cell r="H1121" t="str">
            <v>COMPACTOR HAUL 10 YD - RO</v>
          </cell>
        </row>
        <row r="1122">
          <cell r="G1122" t="str">
            <v>HAUL10-CP</v>
          </cell>
          <cell r="H1122" t="str">
            <v>COMPACTOR HAUL 10 YD - RO</v>
          </cell>
        </row>
        <row r="1123">
          <cell r="G1123" t="str">
            <v>HAUL12-CP</v>
          </cell>
          <cell r="H1123" t="str">
            <v>COMPACTOR HAUL 12 YD - RO</v>
          </cell>
        </row>
        <row r="1124">
          <cell r="G1124" t="str">
            <v>HAUL15-CP</v>
          </cell>
          <cell r="H1124" t="str">
            <v>COMPACTOR HAUL 15 YD</v>
          </cell>
        </row>
        <row r="1125">
          <cell r="G1125" t="str">
            <v>HAUL15-CP</v>
          </cell>
          <cell r="H1125" t="str">
            <v>COMPACTOR HAUL 15 YD</v>
          </cell>
        </row>
        <row r="1126">
          <cell r="G1126" t="str">
            <v>HAUL15-CP</v>
          </cell>
          <cell r="H1126" t="str">
            <v>COMPACTOR HAUL 15 YD</v>
          </cell>
        </row>
        <row r="1127">
          <cell r="G1127" t="str">
            <v>HAUL15-CP</v>
          </cell>
          <cell r="H1127" t="str">
            <v>COMPACTOR HAUL 15 YD</v>
          </cell>
        </row>
        <row r="1128">
          <cell r="G1128" t="str">
            <v>HAUL15-RO</v>
          </cell>
          <cell r="H1128" t="str">
            <v>HAUL 15 YD - RO</v>
          </cell>
        </row>
        <row r="1129">
          <cell r="G1129" t="str">
            <v>HAUL15TEMP-RO</v>
          </cell>
          <cell r="H1129" t="str">
            <v>HAUL 15 YD TEMP - RO</v>
          </cell>
        </row>
        <row r="1130">
          <cell r="G1130" t="str">
            <v>HAUL20-CP</v>
          </cell>
          <cell r="H1130" t="str">
            <v>COMPACTOR HAUL 20 YD - RO</v>
          </cell>
        </row>
        <row r="1131">
          <cell r="G1131" t="str">
            <v>HAUL20-CP</v>
          </cell>
          <cell r="H1131" t="str">
            <v>COMPACTOR HAUL 20 YD - RO</v>
          </cell>
        </row>
        <row r="1132">
          <cell r="G1132" t="str">
            <v>HAUL20-CP</v>
          </cell>
          <cell r="H1132" t="str">
            <v>COMPACTOR HAUL 20 YD - RO</v>
          </cell>
        </row>
        <row r="1133">
          <cell r="G1133" t="str">
            <v>HAUL20-CP</v>
          </cell>
          <cell r="H1133" t="str">
            <v>COMPACTOR HAUL 20 YD - RO</v>
          </cell>
        </row>
        <row r="1134">
          <cell r="G1134" t="str">
            <v>HAUL20-CP</v>
          </cell>
          <cell r="H1134" t="str">
            <v>COMPACTOR HAUL 20 YD - RO</v>
          </cell>
        </row>
        <row r="1135">
          <cell r="G1135" t="str">
            <v>HAUL20-CP</v>
          </cell>
          <cell r="H1135" t="str">
            <v>COMPACTOR HAUL 20 YD - RO</v>
          </cell>
        </row>
        <row r="1136">
          <cell r="G1136" t="str">
            <v>HAUL20-CP</v>
          </cell>
          <cell r="H1136" t="str">
            <v>COMPACTOR HAUL 20 YD - RO</v>
          </cell>
        </row>
        <row r="1137">
          <cell r="G1137" t="str">
            <v>HAUL20-RO</v>
          </cell>
          <cell r="H1137" t="str">
            <v>HAUL 20 YD - RO</v>
          </cell>
        </row>
        <row r="1138">
          <cell r="G1138" t="str">
            <v>HAUL20-RO</v>
          </cell>
          <cell r="H1138" t="str">
            <v>HAUL 20 YD - RO</v>
          </cell>
        </row>
        <row r="1139">
          <cell r="G1139" t="str">
            <v>HAUL20-RO</v>
          </cell>
          <cell r="H1139" t="str">
            <v>HAUL 20 YD - RO</v>
          </cell>
        </row>
        <row r="1140">
          <cell r="G1140" t="str">
            <v>HAUL20-RO</v>
          </cell>
          <cell r="H1140" t="str">
            <v>HAUL 20 YD - RO</v>
          </cell>
        </row>
        <row r="1141">
          <cell r="G1141" t="str">
            <v>HAUL20-RO</v>
          </cell>
          <cell r="H1141" t="str">
            <v>HAUL 20 YD - RO</v>
          </cell>
        </row>
        <row r="1142">
          <cell r="G1142" t="str">
            <v>HAUL20-RO</v>
          </cell>
          <cell r="H1142" t="str">
            <v>HAUL 20 YD - RO</v>
          </cell>
        </row>
        <row r="1143">
          <cell r="G1143" t="str">
            <v>HAUL20-RO</v>
          </cell>
          <cell r="H1143" t="str">
            <v>HAUL 20 YD - RO</v>
          </cell>
        </row>
        <row r="1144">
          <cell r="G1144" t="str">
            <v>HAUL20-RO</v>
          </cell>
          <cell r="H1144" t="str">
            <v>HAUL 20 YD - RO</v>
          </cell>
        </row>
        <row r="1145">
          <cell r="G1145" t="str">
            <v>HAUL20CUST-RO</v>
          </cell>
          <cell r="H1145" t="str">
            <v>HAUL 20 YD CUST - RO</v>
          </cell>
        </row>
        <row r="1146">
          <cell r="G1146" t="str">
            <v>HAUL20CUST-RO</v>
          </cell>
          <cell r="H1146" t="str">
            <v>HAUL 20 YD CUST - RO</v>
          </cell>
        </row>
        <row r="1147">
          <cell r="G1147" t="str">
            <v>HAUL20TEMP-RO</v>
          </cell>
          <cell r="H1147" t="str">
            <v>HAUL 20 YD TEMP - RO</v>
          </cell>
        </row>
        <row r="1148">
          <cell r="G1148" t="str">
            <v>HAUL20TEMP-RO</v>
          </cell>
          <cell r="H1148" t="str">
            <v>HAUL 20 YD TEMP - RO</v>
          </cell>
        </row>
        <row r="1149">
          <cell r="G1149" t="str">
            <v>HAUL20TEMP-RO</v>
          </cell>
          <cell r="H1149" t="str">
            <v>HAUL 20 YD TEMP - RO</v>
          </cell>
        </row>
        <row r="1150">
          <cell r="G1150" t="str">
            <v>HAUL20TEMP-RO</v>
          </cell>
          <cell r="H1150" t="str">
            <v>HAUL 20 YD TEMP - RO</v>
          </cell>
        </row>
        <row r="1151">
          <cell r="G1151" t="str">
            <v>HAUL20TEMP-RO</v>
          </cell>
          <cell r="H1151" t="str">
            <v>HAUL 20 YD TEMP - RO</v>
          </cell>
        </row>
        <row r="1152">
          <cell r="G1152" t="str">
            <v>HAUL20TEMP-RO</v>
          </cell>
          <cell r="H1152" t="str">
            <v>HAUL 20 YD TEMP - RO</v>
          </cell>
        </row>
        <row r="1153">
          <cell r="G1153" t="str">
            <v>HAUL20TEMP-RO</v>
          </cell>
          <cell r="H1153" t="str">
            <v>HAUL 20 YD TEMP - RO</v>
          </cell>
        </row>
        <row r="1154">
          <cell r="G1154" t="str">
            <v>HAUL20TEMP-RO</v>
          </cell>
          <cell r="H1154" t="str">
            <v>HAUL 20 YD TEMP - RO</v>
          </cell>
        </row>
        <row r="1155">
          <cell r="G1155" t="str">
            <v>HAUL24-CP</v>
          </cell>
          <cell r="H1155" t="str">
            <v>COMPACTOR HAUL 24 YD - RO</v>
          </cell>
        </row>
        <row r="1156">
          <cell r="G1156" t="str">
            <v>HAUL25-CP</v>
          </cell>
          <cell r="H1156" t="str">
            <v>COMPACTOR HAUL 25 YD - RO</v>
          </cell>
        </row>
        <row r="1157">
          <cell r="G1157" t="str">
            <v>HAUL25-CP</v>
          </cell>
          <cell r="H1157" t="str">
            <v>COMPACTOR HAUL 25 YD - RO</v>
          </cell>
        </row>
        <row r="1158">
          <cell r="G1158" t="str">
            <v>HAUL25-CP</v>
          </cell>
          <cell r="H1158" t="str">
            <v>COMPACTOR HAUL 25 YD - RO</v>
          </cell>
        </row>
        <row r="1159">
          <cell r="G1159" t="str">
            <v>HAUL25-CP</v>
          </cell>
          <cell r="H1159" t="str">
            <v>COMPACTOR HAUL 25 YD - RO</v>
          </cell>
        </row>
        <row r="1160">
          <cell r="G1160" t="str">
            <v>HAUL25-CP</v>
          </cell>
          <cell r="H1160" t="str">
            <v>COMPACTOR HAUL 25 YD - RO</v>
          </cell>
        </row>
        <row r="1161">
          <cell r="G1161" t="str">
            <v>HAUL25-CP</v>
          </cell>
          <cell r="H1161" t="str">
            <v>COMPACTOR HAUL 25 YD - RO</v>
          </cell>
        </row>
        <row r="1162">
          <cell r="G1162" t="str">
            <v>HAUL25-CP</v>
          </cell>
          <cell r="H1162" t="str">
            <v>COMPACTOR HAUL 25 YD - RO</v>
          </cell>
        </row>
        <row r="1163">
          <cell r="G1163" t="str">
            <v>HAUL25-RO</v>
          </cell>
          <cell r="H1163" t="str">
            <v>HAUL 25 YD - RO</v>
          </cell>
        </row>
        <row r="1164">
          <cell r="G1164" t="str">
            <v>HAUL25-RO</v>
          </cell>
          <cell r="H1164" t="str">
            <v>HAUL 25 YD - RO</v>
          </cell>
        </row>
        <row r="1165">
          <cell r="G1165" t="str">
            <v>HAUL25TEMP-RO</v>
          </cell>
          <cell r="H1165" t="str">
            <v>HAUL 25 YD TEMP - RO</v>
          </cell>
        </row>
        <row r="1166">
          <cell r="G1166" t="str">
            <v>HAUL25TEMP-RO</v>
          </cell>
          <cell r="H1166" t="str">
            <v>HAUL 25 YD TEMP - RO</v>
          </cell>
        </row>
        <row r="1167">
          <cell r="G1167" t="str">
            <v>HAUL26-CP</v>
          </cell>
          <cell r="H1167" t="str">
            <v>COMPACTOR HAUL 26 YD - RO</v>
          </cell>
        </row>
        <row r="1168">
          <cell r="G1168" t="str">
            <v>HAUL26-CP</v>
          </cell>
          <cell r="H1168" t="str">
            <v>COMPACTOR HAUL 26 YD - RO</v>
          </cell>
        </row>
        <row r="1169">
          <cell r="G1169" t="str">
            <v>HAUL26-CP</v>
          </cell>
          <cell r="H1169" t="str">
            <v>COMPACTOR HAUL 26 YD - RO</v>
          </cell>
        </row>
        <row r="1170">
          <cell r="G1170" t="str">
            <v>HAUL30-CP</v>
          </cell>
          <cell r="H1170" t="str">
            <v>COMPACTOR HAUL 30 YD</v>
          </cell>
        </row>
        <row r="1171">
          <cell r="G1171" t="str">
            <v>HAUL30-CP</v>
          </cell>
          <cell r="H1171" t="str">
            <v>COMPACTOR HAUL 30 YD</v>
          </cell>
        </row>
        <row r="1172">
          <cell r="G1172" t="str">
            <v>HAUL30-CP</v>
          </cell>
          <cell r="H1172" t="str">
            <v>COMPACTOR HAUL 30 YD</v>
          </cell>
        </row>
        <row r="1173">
          <cell r="G1173" t="str">
            <v>HAUL30-CP</v>
          </cell>
          <cell r="H1173" t="str">
            <v>COMPACTOR HAUL 30 YD</v>
          </cell>
        </row>
        <row r="1174">
          <cell r="G1174" t="str">
            <v>HAUL30-CP</v>
          </cell>
          <cell r="H1174" t="str">
            <v>COMPACTOR HAUL 30 YD</v>
          </cell>
        </row>
        <row r="1175">
          <cell r="G1175" t="str">
            <v>HAUL30-CP</v>
          </cell>
          <cell r="H1175" t="str">
            <v>COMPACTOR HAUL 30 YD</v>
          </cell>
        </row>
        <row r="1176">
          <cell r="G1176" t="str">
            <v>HAUL30-CP</v>
          </cell>
          <cell r="H1176" t="str">
            <v>COMPACTOR HAUL 30 YD</v>
          </cell>
        </row>
        <row r="1177">
          <cell r="G1177" t="str">
            <v>HAUL30-RO</v>
          </cell>
          <cell r="H1177" t="str">
            <v>HAUL 30 YD - RO</v>
          </cell>
        </row>
        <row r="1178">
          <cell r="G1178" t="str">
            <v>HAUL30-RO</v>
          </cell>
          <cell r="H1178" t="str">
            <v>HAUL 30 YD - RO</v>
          </cell>
        </row>
        <row r="1179">
          <cell r="G1179" t="str">
            <v>HAUL30-RO</v>
          </cell>
          <cell r="H1179" t="str">
            <v>HAUL 30 YD - RO</v>
          </cell>
        </row>
        <row r="1180">
          <cell r="G1180" t="str">
            <v>HAUL30-RO</v>
          </cell>
          <cell r="H1180" t="str">
            <v>HAUL 30 YD - RO</v>
          </cell>
        </row>
        <row r="1181">
          <cell r="G1181" t="str">
            <v>HAUL30-RO</v>
          </cell>
          <cell r="H1181" t="str">
            <v>HAUL 30 YD - RO</v>
          </cell>
        </row>
        <row r="1182">
          <cell r="G1182" t="str">
            <v>HAUL30-RO</v>
          </cell>
          <cell r="H1182" t="str">
            <v>HAUL 30 YD - RO</v>
          </cell>
        </row>
        <row r="1183">
          <cell r="G1183" t="str">
            <v>HAUL30-RO</v>
          </cell>
          <cell r="H1183" t="str">
            <v>HAUL 30 YD - RO</v>
          </cell>
        </row>
        <row r="1184">
          <cell r="G1184" t="str">
            <v>HAUL30-RO</v>
          </cell>
          <cell r="H1184" t="str">
            <v>HAUL 30 YD - RO</v>
          </cell>
        </row>
        <row r="1185">
          <cell r="G1185" t="str">
            <v>HAUL30CUST-RO</v>
          </cell>
          <cell r="H1185" t="str">
            <v>HAUL 30 YD CUST - RO</v>
          </cell>
        </row>
        <row r="1186">
          <cell r="G1186" t="str">
            <v>HAUL30CUST-RO</v>
          </cell>
          <cell r="H1186" t="str">
            <v>HAUL 30 YD CUST - RO</v>
          </cell>
        </row>
        <row r="1187">
          <cell r="G1187" t="str">
            <v>HAUL30TEMP-RO</v>
          </cell>
          <cell r="H1187" t="str">
            <v>HAUL 30 YD TEMP - RO</v>
          </cell>
        </row>
        <row r="1188">
          <cell r="G1188" t="str">
            <v>HAUL30TEMP-RO</v>
          </cell>
          <cell r="H1188" t="str">
            <v>HAUL 30 YD TEMP - RO</v>
          </cell>
        </row>
        <row r="1189">
          <cell r="G1189" t="str">
            <v>HAUL30TEMP-RO</v>
          </cell>
          <cell r="H1189" t="str">
            <v>HAUL 30 YD TEMP - RO</v>
          </cell>
        </row>
        <row r="1190">
          <cell r="G1190" t="str">
            <v>HAUL30TEMP-RO</v>
          </cell>
          <cell r="H1190" t="str">
            <v>HAUL 30 YD TEMP - RO</v>
          </cell>
        </row>
        <row r="1191">
          <cell r="G1191" t="str">
            <v>HAUL30TEMP-RO</v>
          </cell>
          <cell r="H1191" t="str">
            <v>HAUL 30 YD TEMP - RO</v>
          </cell>
        </row>
        <row r="1192">
          <cell r="G1192" t="str">
            <v>HAUL30TEMP-RO</v>
          </cell>
          <cell r="H1192" t="str">
            <v>HAUL 30 YD TEMP - RO</v>
          </cell>
        </row>
        <row r="1193">
          <cell r="G1193" t="str">
            <v>HAUL30TEMP-RO</v>
          </cell>
          <cell r="H1193" t="str">
            <v>HAUL 30 YD TEMP - RO</v>
          </cell>
        </row>
        <row r="1194">
          <cell r="G1194" t="str">
            <v>HAUL30TEMP-RO</v>
          </cell>
          <cell r="H1194" t="str">
            <v>HAUL 30 YD TEMP - RO</v>
          </cell>
        </row>
        <row r="1195">
          <cell r="G1195" t="str">
            <v>HAUL35-CP</v>
          </cell>
          <cell r="H1195" t="str">
            <v>COMPACTOR HAUL 35 YD - RO</v>
          </cell>
        </row>
        <row r="1196">
          <cell r="G1196" t="str">
            <v>HAUL35-CP</v>
          </cell>
          <cell r="H1196" t="str">
            <v>COMPACTOR HAUL 35 YD - RO</v>
          </cell>
        </row>
        <row r="1197">
          <cell r="G1197" t="str">
            <v>HAUL35-CP</v>
          </cell>
          <cell r="H1197" t="str">
            <v>COMPACTOR HAUL 35 YD - RO</v>
          </cell>
        </row>
        <row r="1198">
          <cell r="G1198" t="str">
            <v>HAUL35-CP</v>
          </cell>
          <cell r="H1198" t="str">
            <v>COMPACTOR HAUL 35 YD - RO</v>
          </cell>
        </row>
        <row r="1199">
          <cell r="G1199" t="str">
            <v>HAUL35-CP</v>
          </cell>
          <cell r="H1199" t="str">
            <v>COMPACTOR HAUL 35 YD - RO</v>
          </cell>
        </row>
        <row r="1200">
          <cell r="G1200" t="str">
            <v>HAUL40-CP</v>
          </cell>
          <cell r="H1200" t="str">
            <v>COMPACTOR HAUL 40 YD</v>
          </cell>
        </row>
        <row r="1201">
          <cell r="G1201" t="str">
            <v>HAUL40-CP</v>
          </cell>
          <cell r="H1201" t="str">
            <v>COMPACTOR HAUL 40 YD</v>
          </cell>
        </row>
        <row r="1202">
          <cell r="G1202" t="str">
            <v>HAUL40-CP</v>
          </cell>
          <cell r="H1202" t="str">
            <v>COMPACTOR HAUL 40 YD</v>
          </cell>
        </row>
        <row r="1203">
          <cell r="G1203" t="str">
            <v>HAUL40-CP</v>
          </cell>
          <cell r="H1203" t="str">
            <v>COMPACTOR HAUL 40 YD</v>
          </cell>
        </row>
        <row r="1204">
          <cell r="G1204" t="str">
            <v>HAUL40-CP</v>
          </cell>
          <cell r="H1204" t="str">
            <v>COMPACTOR HAUL 40 YD</v>
          </cell>
        </row>
        <row r="1205">
          <cell r="G1205" t="str">
            <v>HAUL40-CP</v>
          </cell>
          <cell r="H1205" t="str">
            <v>COMPACTOR HAUL 40 YD</v>
          </cell>
        </row>
        <row r="1206">
          <cell r="G1206" t="str">
            <v>HAUL40-RO</v>
          </cell>
          <cell r="H1206" t="str">
            <v>HAUL 40 YD - RO</v>
          </cell>
        </row>
        <row r="1207">
          <cell r="G1207" t="str">
            <v>HAUL40-RO</v>
          </cell>
          <cell r="H1207" t="str">
            <v>HAUL 40 YD - RO</v>
          </cell>
        </row>
        <row r="1208">
          <cell r="G1208" t="str">
            <v>HAUL40-RO</v>
          </cell>
          <cell r="H1208" t="str">
            <v>HAUL 40 YD - RO</v>
          </cell>
        </row>
        <row r="1209">
          <cell r="G1209" t="str">
            <v>HAUL40-RO</v>
          </cell>
          <cell r="H1209" t="str">
            <v>HAUL 40 YD - RO</v>
          </cell>
        </row>
        <row r="1210">
          <cell r="G1210" t="str">
            <v>HAUL40-RO</v>
          </cell>
          <cell r="H1210" t="str">
            <v>HAUL 40 YD - RO</v>
          </cell>
        </row>
        <row r="1211">
          <cell r="G1211" t="str">
            <v>HAUL40-RO</v>
          </cell>
          <cell r="H1211" t="str">
            <v>HAUL 40 YD - RO</v>
          </cell>
        </row>
        <row r="1212">
          <cell r="G1212" t="str">
            <v>HAUL40-RO</v>
          </cell>
          <cell r="H1212" t="str">
            <v>HAUL 40 YD - RO</v>
          </cell>
        </row>
        <row r="1213">
          <cell r="G1213" t="str">
            <v>HAUL40-RO</v>
          </cell>
          <cell r="H1213" t="str">
            <v>HAUL 40 YD - RO</v>
          </cell>
        </row>
        <row r="1214">
          <cell r="G1214" t="str">
            <v>HAUL40CUST-RO</v>
          </cell>
          <cell r="H1214" t="str">
            <v>HAUL 40 YD CUST - RO</v>
          </cell>
        </row>
        <row r="1215">
          <cell r="G1215" t="str">
            <v>HAUL40CUST-RO</v>
          </cell>
          <cell r="H1215" t="str">
            <v>HAUL 40 YD CUST - RO</v>
          </cell>
        </row>
        <row r="1216">
          <cell r="G1216" t="str">
            <v>HAUL40TEMP-RO</v>
          </cell>
          <cell r="H1216" t="str">
            <v>HAUL 40 YD TEMP - RO</v>
          </cell>
        </row>
        <row r="1217">
          <cell r="G1217" t="str">
            <v>HAUL40TEMP-RO</v>
          </cell>
          <cell r="H1217" t="str">
            <v>HAUL 40 YD TEMP - RO</v>
          </cell>
        </row>
        <row r="1218">
          <cell r="G1218" t="str">
            <v>HAUL40TEMP-RO</v>
          </cell>
          <cell r="H1218" t="str">
            <v>HAUL 40 YD TEMP - RO</v>
          </cell>
        </row>
        <row r="1219">
          <cell r="G1219" t="str">
            <v>HAUL40TEMP-RO</v>
          </cell>
          <cell r="H1219" t="str">
            <v>HAUL 40 YD TEMP - RO</v>
          </cell>
        </row>
        <row r="1220">
          <cell r="G1220" t="str">
            <v>HAUL40TEMP-RO</v>
          </cell>
          <cell r="H1220" t="str">
            <v>HAUL 40 YD TEMP - RO</v>
          </cell>
        </row>
        <row r="1221">
          <cell r="G1221" t="str">
            <v>HAUL40TEMP-RO</v>
          </cell>
          <cell r="H1221" t="str">
            <v>HAUL 40 YD TEMP - RO</v>
          </cell>
        </row>
        <row r="1222">
          <cell r="G1222" t="str">
            <v>HAUL40TEMP-RO</v>
          </cell>
          <cell r="H1222" t="str">
            <v>HAUL 40 YD TEMP - RO</v>
          </cell>
        </row>
        <row r="1223">
          <cell r="G1223" t="str">
            <v>HAUL40TEMP-RO</v>
          </cell>
          <cell r="H1223" t="str">
            <v>HAUL 40 YD TEMP - RO</v>
          </cell>
        </row>
        <row r="1224">
          <cell r="G1224" t="str">
            <v>HAULFLUFF-RO</v>
          </cell>
          <cell r="H1224" t="str">
            <v>HAUL FLUFF - RO</v>
          </cell>
        </row>
        <row r="1225">
          <cell r="G1225" t="str">
            <v>JHBP-SW</v>
          </cell>
          <cell r="H1225" t="str">
            <v>JAMES HARDIE-SPECIAL WASTE</v>
          </cell>
        </row>
        <row r="1226">
          <cell r="G1226" t="str">
            <v>LABOR1.5X-RO</v>
          </cell>
          <cell r="H1226" t="str">
            <v>LABOR TIME AND A HALF - R</v>
          </cell>
        </row>
        <row r="1227">
          <cell r="G1227" t="str">
            <v>LABOR1.5X-RO</v>
          </cell>
          <cell r="H1227" t="str">
            <v>LABOR TIME AND A HALF - R</v>
          </cell>
        </row>
        <row r="1228">
          <cell r="G1228" t="str">
            <v>LABOR1.5X-RO</v>
          </cell>
          <cell r="H1228" t="str">
            <v>LABOR TIME AND A HALF - R</v>
          </cell>
        </row>
        <row r="1229">
          <cell r="G1229" t="str">
            <v>LABOR1.5X-RO</v>
          </cell>
          <cell r="H1229" t="str">
            <v>LABOR TIME AND A HALF - R</v>
          </cell>
        </row>
        <row r="1230">
          <cell r="G1230" t="str">
            <v>LABOR2X-RO</v>
          </cell>
          <cell r="H1230" t="str">
            <v>LABOR DOUBLE TIME - RO</v>
          </cell>
        </row>
        <row r="1231">
          <cell r="G1231" t="str">
            <v>LABOR2X-RO</v>
          </cell>
          <cell r="H1231" t="str">
            <v>LABOR DOUBLE TIME - RO</v>
          </cell>
        </row>
        <row r="1232">
          <cell r="G1232" t="str">
            <v>LABOR2X-RO</v>
          </cell>
          <cell r="H1232" t="str">
            <v>LABOR DOUBLE TIME - RO</v>
          </cell>
        </row>
        <row r="1233">
          <cell r="G1233" t="str">
            <v>LABOR2X-RO</v>
          </cell>
          <cell r="H1233" t="str">
            <v>LABOR DOUBLE TIME - RO</v>
          </cell>
        </row>
        <row r="1234">
          <cell r="G1234" t="str">
            <v>LCKC</v>
          </cell>
          <cell r="H1234" t="str">
            <v>LOCK CHARGE - COMM</v>
          </cell>
        </row>
        <row r="1235">
          <cell r="G1235" t="str">
            <v>LCKC</v>
          </cell>
          <cell r="H1235" t="str">
            <v>LOCK CHARGE - COMM</v>
          </cell>
        </row>
        <row r="1236">
          <cell r="G1236" t="str">
            <v>LCKC</v>
          </cell>
          <cell r="H1236" t="str">
            <v>LOCK CHARGE - COMM</v>
          </cell>
        </row>
        <row r="1237">
          <cell r="G1237" t="str">
            <v>LCKC</v>
          </cell>
          <cell r="H1237" t="str">
            <v>LOCK CHARGE - COMM</v>
          </cell>
        </row>
        <row r="1238">
          <cell r="G1238" t="str">
            <v>LCKC</v>
          </cell>
          <cell r="H1238" t="str">
            <v>LOCK CHARGE - COMM</v>
          </cell>
        </row>
        <row r="1239">
          <cell r="G1239" t="str">
            <v>LIDRO</v>
          </cell>
          <cell r="H1239" t="str">
            <v>LID CHARGE - RO</v>
          </cell>
        </row>
        <row r="1240">
          <cell r="G1240" t="str">
            <v>LIDRO</v>
          </cell>
          <cell r="H1240" t="str">
            <v>LID CHARGE - RO</v>
          </cell>
        </row>
        <row r="1241">
          <cell r="G1241" t="str">
            <v>LIDRO</v>
          </cell>
          <cell r="H1241" t="str">
            <v>LID CHARGE - RO</v>
          </cell>
        </row>
        <row r="1242">
          <cell r="G1242" t="str">
            <v>LIDRO</v>
          </cell>
          <cell r="H1242" t="str">
            <v>LID CHARGE - RO</v>
          </cell>
        </row>
        <row r="1243">
          <cell r="G1243" t="str">
            <v>LIDRO</v>
          </cell>
          <cell r="H1243" t="str">
            <v>LID CHARGE - RO</v>
          </cell>
        </row>
        <row r="1244">
          <cell r="G1244" t="str">
            <v>LIDRO</v>
          </cell>
          <cell r="H1244" t="str">
            <v>LID CHARGE - RO</v>
          </cell>
        </row>
        <row r="1245">
          <cell r="G1245" t="str">
            <v>LIDRO</v>
          </cell>
          <cell r="H1245" t="str">
            <v>LID CHARGE - RO</v>
          </cell>
        </row>
        <row r="1246">
          <cell r="G1246" t="str">
            <v>LIDRO</v>
          </cell>
          <cell r="H1246" t="str">
            <v>LID CHARGE - RO</v>
          </cell>
        </row>
        <row r="1247">
          <cell r="G1247" t="str">
            <v>LOCK-RO</v>
          </cell>
          <cell r="H1247" t="str">
            <v>LOCK CHARGE - RO</v>
          </cell>
        </row>
        <row r="1248">
          <cell r="G1248" t="str">
            <v>LOCK-RO</v>
          </cell>
          <cell r="H1248" t="str">
            <v>LOCK CHARGE - RO</v>
          </cell>
        </row>
        <row r="1249">
          <cell r="G1249" t="str">
            <v>LOCK-RO</v>
          </cell>
          <cell r="H1249" t="str">
            <v>LOCK CHARGE - RO</v>
          </cell>
        </row>
        <row r="1250">
          <cell r="G1250" t="str">
            <v>MFNBINS</v>
          </cell>
          <cell r="H1250" t="str">
            <v>MULTI-FAMILY REC UNIT N/B</v>
          </cell>
        </row>
        <row r="1251">
          <cell r="G1251" t="str">
            <v>MFNBINS</v>
          </cell>
          <cell r="H1251" t="str">
            <v>MULTI-FAMILY REC UNIT N/B</v>
          </cell>
        </row>
        <row r="1252">
          <cell r="G1252" t="str">
            <v>MFNBINS</v>
          </cell>
          <cell r="H1252" t="str">
            <v>MULTI-FAMILY REC UNIT N/B</v>
          </cell>
        </row>
        <row r="1253">
          <cell r="G1253" t="str">
            <v>MFNBINS</v>
          </cell>
          <cell r="H1253" t="str">
            <v>MULTI-FAMILY REC UNIT N/B</v>
          </cell>
        </row>
        <row r="1254">
          <cell r="G1254" t="str">
            <v>MFWBINS</v>
          </cell>
          <cell r="H1254" t="str">
            <v>MULTI-FAMILY REC UNIT W/B</v>
          </cell>
        </row>
        <row r="1255">
          <cell r="G1255" t="str">
            <v>MFWBINS</v>
          </cell>
          <cell r="H1255" t="str">
            <v>MULTI-FAMILY REC UNIT W/B</v>
          </cell>
        </row>
        <row r="1256">
          <cell r="G1256" t="str">
            <v>MFWBINS</v>
          </cell>
          <cell r="H1256" t="str">
            <v>MULTI-FAMILY REC UNIT W/B</v>
          </cell>
        </row>
        <row r="1257">
          <cell r="G1257" t="str">
            <v>MFWBINS</v>
          </cell>
          <cell r="H1257" t="str">
            <v>MULTI-FAMILY REC UNIT W/B</v>
          </cell>
        </row>
        <row r="1258">
          <cell r="G1258" t="str">
            <v>MFWBINS</v>
          </cell>
          <cell r="H1258" t="str">
            <v>MULTI-FAMILY REC UNIT W/B</v>
          </cell>
        </row>
        <row r="1259">
          <cell r="G1259" t="str">
            <v>MFWBINS</v>
          </cell>
          <cell r="H1259" t="str">
            <v>MULTI-FAMILY REC UNIT W/B</v>
          </cell>
        </row>
        <row r="1260">
          <cell r="G1260" t="str">
            <v>MFWBINS</v>
          </cell>
          <cell r="H1260" t="str">
            <v>MULTI-FAMILY REC UNIT W/B</v>
          </cell>
        </row>
        <row r="1261">
          <cell r="G1261" t="str">
            <v>MFWBINS</v>
          </cell>
          <cell r="H1261" t="str">
            <v>MULTI-FAMILY REC UNIT W/B</v>
          </cell>
        </row>
        <row r="1262">
          <cell r="G1262" t="str">
            <v>MILE-RO</v>
          </cell>
          <cell r="H1262" t="str">
            <v>MILEAGE FEE - RO</v>
          </cell>
        </row>
        <row r="1263">
          <cell r="G1263" t="str">
            <v>MILE-RO</v>
          </cell>
          <cell r="H1263" t="str">
            <v>MILEAGE FEE - RO</v>
          </cell>
        </row>
        <row r="1264">
          <cell r="G1264" t="str">
            <v>MILE-RO</v>
          </cell>
          <cell r="H1264" t="str">
            <v>MILEAGE FEE - RO</v>
          </cell>
        </row>
        <row r="1265">
          <cell r="G1265" t="str">
            <v>MILE-RO</v>
          </cell>
          <cell r="H1265" t="str">
            <v>MILEAGE FEE - RO</v>
          </cell>
        </row>
        <row r="1266">
          <cell r="G1266" t="str">
            <v>MILE-RO</v>
          </cell>
          <cell r="H1266" t="str">
            <v>MILEAGE FEE - RO</v>
          </cell>
        </row>
        <row r="1267">
          <cell r="G1267" t="str">
            <v>MILE-RO</v>
          </cell>
          <cell r="H1267" t="str">
            <v>MILEAGE FEE - RO</v>
          </cell>
        </row>
        <row r="1268">
          <cell r="G1268" t="str">
            <v>MILE-RO</v>
          </cell>
          <cell r="H1268" t="str">
            <v>MILEAGE FEE - RO</v>
          </cell>
        </row>
        <row r="1269">
          <cell r="G1269" t="str">
            <v>MILE-RO</v>
          </cell>
          <cell r="H1269" t="str">
            <v>MILEAGE FEE - RO</v>
          </cell>
        </row>
        <row r="1270">
          <cell r="G1270" t="str">
            <v>OC-COMM</v>
          </cell>
          <cell r="H1270" t="str">
            <v>ON CALL SERVICE - COMM</v>
          </cell>
        </row>
        <row r="1271">
          <cell r="G1271" t="str">
            <v>OC-RES</v>
          </cell>
          <cell r="H1271" t="str">
            <v>ON CALL SERVICE - RES</v>
          </cell>
        </row>
        <row r="1272">
          <cell r="G1272" t="str">
            <v>OC-RES</v>
          </cell>
          <cell r="H1272" t="str">
            <v>ON CALL SERVICE - RES</v>
          </cell>
        </row>
        <row r="1273">
          <cell r="G1273" t="str">
            <v>OC-RES</v>
          </cell>
          <cell r="H1273" t="str">
            <v>ON CALL SERVICE - RES</v>
          </cell>
        </row>
        <row r="1274">
          <cell r="G1274" t="str">
            <v>OC-RES</v>
          </cell>
          <cell r="H1274" t="str">
            <v>ON CALL SERVICE - RES</v>
          </cell>
        </row>
        <row r="1275">
          <cell r="G1275" t="str">
            <v>OC-RES</v>
          </cell>
          <cell r="H1275" t="str">
            <v>ON CALL SERVICE - RES</v>
          </cell>
        </row>
        <row r="1276">
          <cell r="G1276" t="str">
            <v>OFOWCONT-COMM</v>
          </cell>
          <cell r="H1276" t="str">
            <v>OVERFILL / OVERWEIGHT CAN</v>
          </cell>
        </row>
        <row r="1277">
          <cell r="G1277" t="str">
            <v>OFOWCONT-COMM</v>
          </cell>
          <cell r="H1277" t="str">
            <v>OVERFILL / OVERWEIGHT CAN</v>
          </cell>
        </row>
        <row r="1278">
          <cell r="G1278" t="str">
            <v>OFOWCONT-COMM</v>
          </cell>
          <cell r="H1278" t="str">
            <v>OVERFILL / OVERWEIGHT CAN</v>
          </cell>
        </row>
        <row r="1279">
          <cell r="G1279" t="str">
            <v>OFOWCONT-COMM</v>
          </cell>
          <cell r="H1279" t="str">
            <v>OVERFILL / OVERWEIGHT CAN</v>
          </cell>
        </row>
        <row r="1280">
          <cell r="G1280" t="str">
            <v>OFOWCONT-COMM</v>
          </cell>
          <cell r="H1280" t="str">
            <v>OVERFILL / OVERWEIGHT CAN</v>
          </cell>
        </row>
        <row r="1281">
          <cell r="G1281" t="str">
            <v>OS-COMM</v>
          </cell>
          <cell r="H1281" t="str">
            <v>OVERSIZE CAN - COMM</v>
          </cell>
        </row>
        <row r="1282">
          <cell r="G1282" t="str">
            <v>OS-COMM</v>
          </cell>
          <cell r="H1282" t="str">
            <v>OVERSIZE CAN - COMM</v>
          </cell>
        </row>
        <row r="1283">
          <cell r="G1283" t="str">
            <v>OS-COMM</v>
          </cell>
          <cell r="H1283" t="str">
            <v>OVERSIZE CAN - COMM</v>
          </cell>
        </row>
        <row r="1284">
          <cell r="G1284" t="str">
            <v>OS-COMM</v>
          </cell>
          <cell r="H1284" t="str">
            <v>OVERSIZE CAN - COMM</v>
          </cell>
        </row>
        <row r="1285">
          <cell r="G1285" t="str">
            <v>OS-COMM</v>
          </cell>
          <cell r="H1285" t="str">
            <v>OVERSIZE CAN - COMM</v>
          </cell>
        </row>
        <row r="1286">
          <cell r="G1286" t="str">
            <v>OS-RES</v>
          </cell>
          <cell r="H1286" t="str">
            <v>OVERSIZE CAN - RES</v>
          </cell>
        </row>
        <row r="1287">
          <cell r="G1287" t="str">
            <v>OS-RES</v>
          </cell>
          <cell r="H1287" t="str">
            <v>OVERSIZE CAN - RES</v>
          </cell>
        </row>
        <row r="1288">
          <cell r="G1288" t="str">
            <v>OS-RES</v>
          </cell>
          <cell r="H1288" t="str">
            <v>OVERSIZE CAN - RES</v>
          </cell>
        </row>
        <row r="1289">
          <cell r="G1289" t="str">
            <v>OS-RES</v>
          </cell>
          <cell r="H1289" t="str">
            <v>OVERSIZE CAN - RES</v>
          </cell>
        </row>
        <row r="1290">
          <cell r="G1290" t="str">
            <v>OS-RES</v>
          </cell>
          <cell r="H1290" t="str">
            <v>OVERSIZE CAN - RES</v>
          </cell>
        </row>
        <row r="1291">
          <cell r="G1291" t="str">
            <v>OW-RES</v>
          </cell>
          <cell r="H1291" t="str">
            <v>OVERFILL / OVERWEIGHT CAN</v>
          </cell>
        </row>
        <row r="1292">
          <cell r="G1292" t="str">
            <v>OW-RES</v>
          </cell>
          <cell r="H1292" t="str">
            <v>OVERFILL / OVERWEIGHT CAN</v>
          </cell>
        </row>
        <row r="1293">
          <cell r="G1293" t="str">
            <v>OW-RES</v>
          </cell>
          <cell r="H1293" t="str">
            <v>OVERFILL / OVERWEIGHT CAN</v>
          </cell>
        </row>
        <row r="1294">
          <cell r="G1294" t="str">
            <v>OW-RES</v>
          </cell>
          <cell r="H1294" t="str">
            <v>OVERFILL / OVERWEIGHT CAN</v>
          </cell>
        </row>
        <row r="1295">
          <cell r="G1295" t="str">
            <v>OW-RES</v>
          </cell>
          <cell r="H1295" t="str">
            <v>OVERFILL / OVERWEIGHT CAN</v>
          </cell>
        </row>
        <row r="1296">
          <cell r="G1296" t="str">
            <v>OW-RES</v>
          </cell>
          <cell r="H1296" t="str">
            <v>OVERFILL / OVERWEIGHT CAN</v>
          </cell>
        </row>
        <row r="1297">
          <cell r="G1297" t="str">
            <v>PDBAG-COMM</v>
          </cell>
          <cell r="H1297" t="str">
            <v>PREPAID BAG - COMM</v>
          </cell>
        </row>
        <row r="1298">
          <cell r="G1298" t="str">
            <v>PDBAG-COMM</v>
          </cell>
          <cell r="H1298" t="str">
            <v>PREPAID BAG - COMM</v>
          </cell>
        </row>
        <row r="1299">
          <cell r="G1299" t="str">
            <v>PDBAG-COMM</v>
          </cell>
          <cell r="H1299" t="str">
            <v>PREPAID BAG - COMM</v>
          </cell>
        </row>
        <row r="1300">
          <cell r="G1300" t="str">
            <v>PDBAG-COMM</v>
          </cell>
          <cell r="H1300" t="str">
            <v>PREPAID BAG - COMM</v>
          </cell>
        </row>
        <row r="1301">
          <cell r="G1301" t="str">
            <v>PDBAG-COMM</v>
          </cell>
          <cell r="H1301" t="str">
            <v>PREPAID BAG - COMM</v>
          </cell>
        </row>
        <row r="1302">
          <cell r="G1302" t="str">
            <v>PDBAG-COMM</v>
          </cell>
          <cell r="H1302" t="str">
            <v>PREPAID BAG - COMM</v>
          </cell>
        </row>
        <row r="1303">
          <cell r="G1303" t="str">
            <v>PDBAG-RES</v>
          </cell>
          <cell r="H1303" t="str">
            <v>PREPAID BAG - RES</v>
          </cell>
        </row>
        <row r="1304">
          <cell r="G1304" t="str">
            <v>PDBAG-RES</v>
          </cell>
          <cell r="H1304" t="str">
            <v>PREPAID BAG - RES</v>
          </cell>
        </row>
        <row r="1305">
          <cell r="G1305" t="str">
            <v>PDBAG-RES</v>
          </cell>
          <cell r="H1305" t="str">
            <v>PREPAID BAG - RES</v>
          </cell>
        </row>
        <row r="1306">
          <cell r="G1306" t="str">
            <v>PDBAG-RES</v>
          </cell>
          <cell r="H1306" t="str">
            <v>PREPAID BAG - RES</v>
          </cell>
        </row>
        <row r="1307">
          <cell r="G1307" t="str">
            <v>PUREDEL-COMM</v>
          </cell>
          <cell r="H1307" t="str">
            <v>CONT PICKUP/REDELIVERY</v>
          </cell>
        </row>
        <row r="1308">
          <cell r="G1308" t="str">
            <v>PUREDEL-RO</v>
          </cell>
          <cell r="H1308" t="str">
            <v>RO PICKUP/REDELIVERY</v>
          </cell>
        </row>
        <row r="1309">
          <cell r="G1309" t="str">
            <v>RECBINONLYR</v>
          </cell>
          <cell r="H1309" t="str">
            <v>RECYCLE SERVICE ONLY</v>
          </cell>
        </row>
        <row r="1310">
          <cell r="G1310" t="str">
            <v>RECBINONLYR</v>
          </cell>
          <cell r="H1310" t="str">
            <v>RECYCLE SERVICE ONLY</v>
          </cell>
        </row>
        <row r="1311">
          <cell r="G1311" t="str">
            <v>RECBINONLYR</v>
          </cell>
          <cell r="H1311" t="str">
            <v>RECYCLE SERVICE ONLY</v>
          </cell>
        </row>
        <row r="1312">
          <cell r="G1312" t="str">
            <v>RECBINONLYR</v>
          </cell>
          <cell r="H1312" t="str">
            <v>RECYCLE SERVICE ONLY</v>
          </cell>
        </row>
        <row r="1313">
          <cell r="G1313" t="str">
            <v>RECBINONLYR</v>
          </cell>
          <cell r="H1313" t="str">
            <v>RECYCLE SERVICE ONLY</v>
          </cell>
        </row>
        <row r="1314">
          <cell r="G1314" t="str">
            <v>RECBINONLYR</v>
          </cell>
          <cell r="H1314" t="str">
            <v>RECYCLE SERVICE ONLY</v>
          </cell>
        </row>
        <row r="1315">
          <cell r="G1315" t="str">
            <v>RECBINONLYR</v>
          </cell>
          <cell r="H1315" t="str">
            <v>RECYCLE SERVICE ONLY</v>
          </cell>
        </row>
        <row r="1316">
          <cell r="G1316" t="str">
            <v>RECBINSCOMSVC</v>
          </cell>
          <cell r="H1316" t="str">
            <v>COMMERCIAL RECYCLE SVC BI</v>
          </cell>
        </row>
        <row r="1317">
          <cell r="G1317" t="str">
            <v>RECBINSCOMSVC</v>
          </cell>
          <cell r="H1317" t="str">
            <v>COMMERCIAL RECYCLE SVC BI</v>
          </cell>
        </row>
        <row r="1318">
          <cell r="G1318" t="str">
            <v>RECBINSCOMSVC</v>
          </cell>
          <cell r="H1318" t="str">
            <v>COMMERCIAL RECYCLE SVC BI</v>
          </cell>
        </row>
        <row r="1319">
          <cell r="G1319" t="str">
            <v>RECBINSCOMSVC</v>
          </cell>
          <cell r="H1319" t="str">
            <v>COMMERCIAL RECYCLE SVC BI</v>
          </cell>
        </row>
        <row r="1320">
          <cell r="G1320" t="str">
            <v>RECBINSCOMSVC</v>
          </cell>
          <cell r="H1320" t="str">
            <v>COMMERCIAL RECYCLE SVC BI</v>
          </cell>
        </row>
        <row r="1321">
          <cell r="G1321" t="str">
            <v>RECBINSCOMSVC</v>
          </cell>
          <cell r="H1321" t="str">
            <v>COMMERCIAL RECYCLE SVC BI</v>
          </cell>
        </row>
        <row r="1322">
          <cell r="G1322" t="str">
            <v>RECBINSCOMSVC</v>
          </cell>
          <cell r="H1322" t="str">
            <v>COMMERCIAL RECYCLE SVC BI</v>
          </cell>
        </row>
        <row r="1323">
          <cell r="G1323" t="str">
            <v>RECBINSCOMSVC</v>
          </cell>
          <cell r="H1323" t="str">
            <v>COMMERCIAL RECYCLE SVC BI</v>
          </cell>
        </row>
        <row r="1324">
          <cell r="G1324" t="str">
            <v>RECBINSCOMSVC</v>
          </cell>
          <cell r="H1324" t="str">
            <v>COMMERCIAL RECYCLE SVC BI</v>
          </cell>
        </row>
        <row r="1325">
          <cell r="G1325" t="str">
            <v>RECPROGADJ-RES</v>
          </cell>
          <cell r="H1325" t="str">
            <v>RECYCLING PROGRAM ADJUSTM</v>
          </cell>
        </row>
        <row r="1326">
          <cell r="G1326" t="str">
            <v>RECPROGADJ-RES</v>
          </cell>
          <cell r="H1326" t="str">
            <v>RECYCLING PROGRAM ADJUSTM</v>
          </cell>
        </row>
        <row r="1327">
          <cell r="G1327" t="str">
            <v>RECPROGADJ-RES</v>
          </cell>
          <cell r="H1327" t="str">
            <v>RECYCLING PROGRAM ADJUSTM</v>
          </cell>
        </row>
        <row r="1328">
          <cell r="G1328" t="str">
            <v>RECVALRES</v>
          </cell>
          <cell r="H1328" t="str">
            <v>RECYCLABLES VALUE - RES</v>
          </cell>
        </row>
        <row r="1329">
          <cell r="G1329" t="str">
            <v>RECVALRES</v>
          </cell>
          <cell r="H1329" t="str">
            <v>RECYCLABLES VALUE - RES</v>
          </cell>
        </row>
        <row r="1330">
          <cell r="G1330" t="str">
            <v>REDEL-COMM</v>
          </cell>
          <cell r="H1330" t="str">
            <v>REDELIVER FEE LVL 1 - COM</v>
          </cell>
        </row>
        <row r="1331">
          <cell r="G1331" t="str">
            <v>REDEL-COMM</v>
          </cell>
          <cell r="H1331" t="str">
            <v>REDELIVER FEE LVL 1 - COM</v>
          </cell>
        </row>
        <row r="1332">
          <cell r="G1332" t="str">
            <v>REDEL-COMM</v>
          </cell>
          <cell r="H1332" t="str">
            <v>REDELIVER FEE LVL 1 - COM</v>
          </cell>
        </row>
        <row r="1333">
          <cell r="G1333" t="str">
            <v>REDEL-COMM</v>
          </cell>
          <cell r="H1333" t="str">
            <v>REDELIVER FEE LVL 1 - COM</v>
          </cell>
        </row>
        <row r="1334">
          <cell r="G1334" t="str">
            <v>REDEL-COMM</v>
          </cell>
          <cell r="H1334" t="str">
            <v>REDELIVER FEE LVL 1 - COM</v>
          </cell>
        </row>
        <row r="1335">
          <cell r="G1335" t="str">
            <v>REDEL-RES</v>
          </cell>
          <cell r="H1335" t="str">
            <v>REDELIVER FEE - RES</v>
          </cell>
        </row>
        <row r="1336">
          <cell r="G1336" t="str">
            <v>REDEL-RES</v>
          </cell>
          <cell r="H1336" t="str">
            <v>REDELIVER FEE - RES</v>
          </cell>
        </row>
        <row r="1337">
          <cell r="G1337" t="str">
            <v>REDEL-RES</v>
          </cell>
          <cell r="H1337" t="str">
            <v>REDELIVER FEE - RES</v>
          </cell>
        </row>
        <row r="1338">
          <cell r="G1338" t="str">
            <v>REDEL-RES</v>
          </cell>
          <cell r="H1338" t="str">
            <v>REDELIVER FEE - RES</v>
          </cell>
        </row>
        <row r="1339">
          <cell r="G1339" t="str">
            <v>REDEL-RES</v>
          </cell>
          <cell r="H1339" t="str">
            <v>REDELIVER FEE - RES</v>
          </cell>
        </row>
        <row r="1340">
          <cell r="G1340" t="str">
            <v>REFURB1-COMM</v>
          </cell>
          <cell r="H1340" t="str">
            <v>REFURBISH FEE 1 YD - COMM</v>
          </cell>
        </row>
        <row r="1341">
          <cell r="G1341" t="str">
            <v>REFURB1-COMM</v>
          </cell>
          <cell r="H1341" t="str">
            <v>REFURBISH FEE 1 YD - COMM</v>
          </cell>
        </row>
        <row r="1342">
          <cell r="G1342" t="str">
            <v>REFURB1.5-COMM</v>
          </cell>
          <cell r="H1342" t="str">
            <v>REFURBISH FEE 1.5 YD - COMM</v>
          </cell>
        </row>
        <row r="1343">
          <cell r="G1343" t="str">
            <v>REFURB1.5-COMM</v>
          </cell>
          <cell r="H1343" t="str">
            <v>REFURBISH FEE 1.5 YD - COMM</v>
          </cell>
        </row>
        <row r="1344">
          <cell r="G1344" t="str">
            <v>REFURB2-COMM</v>
          </cell>
          <cell r="H1344" t="str">
            <v>REFURBISH FEE 2 YD - COMM</v>
          </cell>
        </row>
        <row r="1345">
          <cell r="G1345" t="str">
            <v>REFURB2-COMM</v>
          </cell>
          <cell r="H1345" t="str">
            <v>REFURBISH FEE 2 YD - COMM</v>
          </cell>
        </row>
        <row r="1346">
          <cell r="G1346" t="str">
            <v>REFURB3-COMM</v>
          </cell>
          <cell r="H1346" t="str">
            <v>REFURBISH FEE 3 YD - COMM</v>
          </cell>
        </row>
        <row r="1347">
          <cell r="G1347" t="str">
            <v>REFURB3-COMM</v>
          </cell>
          <cell r="H1347" t="str">
            <v>REFURBISH FEE 3 YD - COMM</v>
          </cell>
        </row>
        <row r="1348">
          <cell r="G1348" t="str">
            <v>REFURB4-COMM</v>
          </cell>
          <cell r="H1348" t="str">
            <v>REFURBISH FEE 4 YD - COMM</v>
          </cell>
        </row>
        <row r="1349">
          <cell r="G1349" t="str">
            <v>REFURB4-COMM</v>
          </cell>
          <cell r="H1349" t="str">
            <v>REFURBISH FEE 4 YD - COMM</v>
          </cell>
        </row>
        <row r="1350">
          <cell r="G1350" t="str">
            <v>REFURB6-COMM</v>
          </cell>
          <cell r="H1350" t="str">
            <v>REFURBISH FEE 6 YD - COMM</v>
          </cell>
        </row>
        <row r="1351">
          <cell r="G1351" t="str">
            <v>REFURB6-COMM</v>
          </cell>
          <cell r="H1351" t="str">
            <v>REFURBISH FEE 6 YD - COMM</v>
          </cell>
        </row>
        <row r="1352">
          <cell r="G1352" t="str">
            <v>REINSTATE-COMM</v>
          </cell>
          <cell r="H1352" t="str">
            <v>REINSTATE FEE - COMM</v>
          </cell>
        </row>
        <row r="1353">
          <cell r="G1353" t="str">
            <v>REINSTATE-COMM</v>
          </cell>
          <cell r="H1353" t="str">
            <v>REINSTATE FEE - COMM</v>
          </cell>
        </row>
        <row r="1354">
          <cell r="G1354" t="str">
            <v>REINSTATE-COMM</v>
          </cell>
          <cell r="H1354" t="str">
            <v>REINSTATE FEE - COMM</v>
          </cell>
        </row>
        <row r="1355">
          <cell r="G1355" t="str">
            <v>REINSTATE-COMM</v>
          </cell>
          <cell r="H1355" t="str">
            <v>REINSTATE FEE - COMM</v>
          </cell>
        </row>
        <row r="1356">
          <cell r="G1356" t="str">
            <v>REINSTATE-COMM</v>
          </cell>
          <cell r="H1356" t="str">
            <v>REINSTATE FEE - COMM</v>
          </cell>
        </row>
        <row r="1357">
          <cell r="G1357" t="str">
            <v>REINSTATE-COMM</v>
          </cell>
          <cell r="H1357" t="str">
            <v>REINSTATE FEE - COMM</v>
          </cell>
        </row>
        <row r="1358">
          <cell r="G1358" t="str">
            <v>REINSTATE-COMM</v>
          </cell>
          <cell r="H1358" t="str">
            <v>REINSTATE FEE - COMM</v>
          </cell>
        </row>
        <row r="1359">
          <cell r="G1359" t="str">
            <v>REINSTATE-RES</v>
          </cell>
          <cell r="H1359" t="str">
            <v>REINSTATE FEE - RES</v>
          </cell>
        </row>
        <row r="1360">
          <cell r="G1360" t="str">
            <v>REINSTATE-RES</v>
          </cell>
          <cell r="H1360" t="str">
            <v>REINSTATE FEE - RES</v>
          </cell>
        </row>
        <row r="1361">
          <cell r="G1361" t="str">
            <v>REINSTATE-RES</v>
          </cell>
          <cell r="H1361" t="str">
            <v>REINSTATE FEE - RES</v>
          </cell>
        </row>
        <row r="1362">
          <cell r="G1362" t="str">
            <v>REINSTATE-RES</v>
          </cell>
          <cell r="H1362" t="str">
            <v>REINSTATE FEE - RES</v>
          </cell>
        </row>
        <row r="1363">
          <cell r="G1363" t="str">
            <v>REINSTATE-RES</v>
          </cell>
          <cell r="H1363" t="str">
            <v>REINSTATE FEE - RES</v>
          </cell>
        </row>
        <row r="1364">
          <cell r="G1364" t="str">
            <v>REINSTATE-RES</v>
          </cell>
          <cell r="H1364" t="str">
            <v>REINSTATE FEE - RES</v>
          </cell>
        </row>
        <row r="1365">
          <cell r="G1365" t="str">
            <v>RELO-RO</v>
          </cell>
          <cell r="H1365" t="str">
            <v>RELOCATION FEE - RO</v>
          </cell>
        </row>
        <row r="1366">
          <cell r="G1366" t="str">
            <v>RELO-RO</v>
          </cell>
          <cell r="H1366" t="str">
            <v>RELOCATION FEE - RO</v>
          </cell>
        </row>
        <row r="1367">
          <cell r="G1367" t="str">
            <v>RELO-RO</v>
          </cell>
          <cell r="H1367" t="str">
            <v>RELOCATION FEE - RO</v>
          </cell>
        </row>
        <row r="1368">
          <cell r="G1368" t="str">
            <v>RELO-RO</v>
          </cell>
          <cell r="H1368" t="str">
            <v>RELOCATION FEE - RO</v>
          </cell>
        </row>
        <row r="1369">
          <cell r="G1369" t="str">
            <v>RENT1.5TEMP-COMM</v>
          </cell>
          <cell r="H1369" t="str">
            <v>RENT 1.5 YD TEMP - COMM</v>
          </cell>
        </row>
        <row r="1370">
          <cell r="G1370" t="str">
            <v>RENT1.5TEMP-COMM</v>
          </cell>
          <cell r="H1370" t="str">
            <v>RENT 1.5 YD TEMP - COMM</v>
          </cell>
        </row>
        <row r="1371">
          <cell r="G1371" t="str">
            <v>RENT1.5TEMP-COMM</v>
          </cell>
          <cell r="H1371" t="str">
            <v>RENT 1.5 YD TEMP - COMM</v>
          </cell>
        </row>
        <row r="1372">
          <cell r="G1372" t="str">
            <v>RENT1.5TEMP-COMM</v>
          </cell>
          <cell r="H1372" t="str">
            <v>RENT 1.5 YD TEMP - COMM</v>
          </cell>
        </row>
        <row r="1373">
          <cell r="G1373" t="str">
            <v>RENT1.5TEMP-COMM</v>
          </cell>
          <cell r="H1373" t="str">
            <v>RENT 1.5 YD TEMP - COMM</v>
          </cell>
        </row>
        <row r="1374">
          <cell r="G1374" t="str">
            <v>RENT1.5TEMP-COMM</v>
          </cell>
          <cell r="H1374" t="str">
            <v>RENT 1.5 YD TEMP - COMM</v>
          </cell>
        </row>
        <row r="1375">
          <cell r="G1375" t="str">
            <v>RENT1.5TEMP-COMM</v>
          </cell>
          <cell r="H1375" t="str">
            <v>RENT 1.5 YD TEMP - COMM</v>
          </cell>
        </row>
        <row r="1376">
          <cell r="G1376" t="str">
            <v>RENT15MO-RO</v>
          </cell>
          <cell r="H1376" t="str">
            <v>RENTAL FEE 15 YD MONTHLY</v>
          </cell>
        </row>
        <row r="1377">
          <cell r="G1377" t="str">
            <v>RENT15TEMP-RO</v>
          </cell>
          <cell r="H1377" t="str">
            <v>RENTAL FEE 15 YD TEMP - R</v>
          </cell>
        </row>
        <row r="1378">
          <cell r="G1378" t="str">
            <v>RENT15TEMP-RO</v>
          </cell>
          <cell r="H1378" t="str">
            <v>RENTAL FEE 15 YD TEMP - R</v>
          </cell>
        </row>
        <row r="1379">
          <cell r="G1379" t="str">
            <v>RENT1TEMP-COMM</v>
          </cell>
          <cell r="H1379" t="str">
            <v>RENT 1 YD TEMP - COMM</v>
          </cell>
        </row>
        <row r="1380">
          <cell r="G1380" t="str">
            <v>RENT1TEMP-COMM</v>
          </cell>
          <cell r="H1380" t="str">
            <v>RENT 1 YD TEMP - COMM</v>
          </cell>
        </row>
        <row r="1381">
          <cell r="G1381" t="str">
            <v>RENT1TEMP-COMM</v>
          </cell>
          <cell r="H1381" t="str">
            <v>RENT 1 YD TEMP - COMM</v>
          </cell>
        </row>
        <row r="1382">
          <cell r="G1382" t="str">
            <v>RENT1TEMP-COMM</v>
          </cell>
          <cell r="H1382" t="str">
            <v>RENT 1 YD TEMP - COMM</v>
          </cell>
        </row>
        <row r="1383">
          <cell r="G1383" t="str">
            <v>RENT1TEMP-COMM</v>
          </cell>
          <cell r="H1383" t="str">
            <v>RENT 1 YD TEMP - COMM</v>
          </cell>
        </row>
        <row r="1384">
          <cell r="G1384" t="str">
            <v>RENT1TEMP-COMM</v>
          </cell>
          <cell r="H1384" t="str">
            <v>RENT 1 YD TEMP - COMM</v>
          </cell>
        </row>
        <row r="1385">
          <cell r="G1385" t="str">
            <v>RENT1TEMP-COMM</v>
          </cell>
          <cell r="H1385" t="str">
            <v>RENT 1 YD TEMP - COMM</v>
          </cell>
        </row>
        <row r="1386">
          <cell r="G1386" t="str">
            <v>RENT20MO-RO</v>
          </cell>
          <cell r="H1386" t="str">
            <v>RENTAL FEE 20 YD MONTHLY</v>
          </cell>
        </row>
        <row r="1387">
          <cell r="G1387" t="str">
            <v>RENT20MO-RO</v>
          </cell>
          <cell r="H1387" t="str">
            <v>RENTAL FEE 20 YD MONTHLY</v>
          </cell>
        </row>
        <row r="1388">
          <cell r="G1388" t="str">
            <v>RENT20MO-RO</v>
          </cell>
          <cell r="H1388" t="str">
            <v>RENTAL FEE 20 YD MONTHLY</v>
          </cell>
        </row>
        <row r="1389">
          <cell r="G1389" t="str">
            <v>RENT20MO-RO</v>
          </cell>
          <cell r="H1389" t="str">
            <v>RENTAL FEE 20 YD MONTHLY</v>
          </cell>
        </row>
        <row r="1390">
          <cell r="G1390" t="str">
            <v>RENT20MO-RO</v>
          </cell>
          <cell r="H1390" t="str">
            <v>RENTAL FEE 20 YD MONTHLY</v>
          </cell>
        </row>
        <row r="1391">
          <cell r="G1391" t="str">
            <v>RENT20MO-RO</v>
          </cell>
          <cell r="H1391" t="str">
            <v>RENTAL FEE 20 YD MONTHLY</v>
          </cell>
        </row>
        <row r="1392">
          <cell r="G1392" t="str">
            <v>RENT20MO-RO</v>
          </cell>
          <cell r="H1392" t="str">
            <v>RENTAL FEE 20 YD MONTHLY</v>
          </cell>
        </row>
        <row r="1393">
          <cell r="G1393" t="str">
            <v>RENT20MO-RO</v>
          </cell>
          <cell r="H1393" t="str">
            <v>RENTAL FEE 20 YD MONTHLY</v>
          </cell>
        </row>
        <row r="1394">
          <cell r="G1394" t="str">
            <v>RENT20TEMP-RO</v>
          </cell>
          <cell r="H1394" t="str">
            <v>RENTAL FEE 20 YD TEMP - R</v>
          </cell>
        </row>
        <row r="1395">
          <cell r="G1395" t="str">
            <v>RENT20TEMP-RO</v>
          </cell>
          <cell r="H1395" t="str">
            <v>RENTAL FEE 20 YD TEMP - R</v>
          </cell>
        </row>
        <row r="1396">
          <cell r="G1396" t="str">
            <v>RENT20TEMP-RO</v>
          </cell>
          <cell r="H1396" t="str">
            <v>RENTAL FEE 20 YD TEMP - R</v>
          </cell>
        </row>
        <row r="1397">
          <cell r="G1397" t="str">
            <v>RENT20TEMP-RO</v>
          </cell>
          <cell r="H1397" t="str">
            <v>RENTAL FEE 20 YD TEMP - R</v>
          </cell>
        </row>
        <row r="1398">
          <cell r="G1398" t="str">
            <v>RENT20TEMP-RO</v>
          </cell>
          <cell r="H1398" t="str">
            <v>RENTAL FEE 20 YD TEMP - R</v>
          </cell>
        </row>
        <row r="1399">
          <cell r="G1399" t="str">
            <v>RENT20TEMP-RO</v>
          </cell>
          <cell r="H1399" t="str">
            <v>RENTAL FEE 20 YD TEMP - R</v>
          </cell>
        </row>
        <row r="1400">
          <cell r="G1400" t="str">
            <v>RENT20TEMP-RO</v>
          </cell>
          <cell r="H1400" t="str">
            <v>RENTAL FEE 20 YD TEMP - R</v>
          </cell>
        </row>
        <row r="1401">
          <cell r="G1401" t="str">
            <v>RENT20TEMP-RO</v>
          </cell>
          <cell r="H1401" t="str">
            <v>RENTAL FEE 20 YD TEMP - R</v>
          </cell>
        </row>
        <row r="1402">
          <cell r="G1402" t="str">
            <v>RENT25MO-RO</v>
          </cell>
          <cell r="H1402" t="str">
            <v>RENTAL FEE 25 YD MONTHLY</v>
          </cell>
        </row>
        <row r="1403">
          <cell r="G1403" t="str">
            <v>RENT25TEMP-RO</v>
          </cell>
          <cell r="H1403" t="str">
            <v>RENTAL FEE 25 YD TEMP - R</v>
          </cell>
        </row>
        <row r="1404">
          <cell r="G1404" t="str">
            <v>RENT25TEMP-RO</v>
          </cell>
          <cell r="H1404" t="str">
            <v>RENTAL FEE 25 YD TEMP - R</v>
          </cell>
        </row>
        <row r="1405">
          <cell r="G1405" t="str">
            <v>RENT2TEMP-COMM</v>
          </cell>
          <cell r="H1405" t="str">
            <v>RENT 2 YD TEMP - COMM</v>
          </cell>
        </row>
        <row r="1406">
          <cell r="G1406" t="str">
            <v>RENT2TEMP-COMM</v>
          </cell>
          <cell r="H1406" t="str">
            <v>RENT 2 YD TEMP - COMM</v>
          </cell>
        </row>
        <row r="1407">
          <cell r="G1407" t="str">
            <v>RENT2TEMP-COMM</v>
          </cell>
          <cell r="H1407" t="str">
            <v>RENT 2 YD TEMP - COMM</v>
          </cell>
        </row>
        <row r="1408">
          <cell r="G1408" t="str">
            <v>RENT2TEMP-COMM</v>
          </cell>
          <cell r="H1408" t="str">
            <v>RENT 2 YD TEMP - COMM</v>
          </cell>
        </row>
        <row r="1409">
          <cell r="G1409" t="str">
            <v>RENT2TEMP-COMM</v>
          </cell>
          <cell r="H1409" t="str">
            <v>RENT 2 YD TEMP - COMM</v>
          </cell>
        </row>
        <row r="1410">
          <cell r="G1410" t="str">
            <v>RENT2TEMP-COMM</v>
          </cell>
          <cell r="H1410" t="str">
            <v>RENT 2 YD TEMP - COMM</v>
          </cell>
        </row>
        <row r="1411">
          <cell r="G1411" t="str">
            <v>RENT2TEMP-COMM</v>
          </cell>
          <cell r="H1411" t="str">
            <v>RENT 2 YD TEMP - COMM</v>
          </cell>
        </row>
        <row r="1412">
          <cell r="G1412" t="str">
            <v>RENT2TEMP-COMM</v>
          </cell>
          <cell r="H1412" t="str">
            <v>RENT 2 YD TEMP - COMM</v>
          </cell>
        </row>
        <row r="1413">
          <cell r="G1413" t="str">
            <v>RENT30MO-RO</v>
          </cell>
          <cell r="H1413" t="str">
            <v>RENTAL FEE 30 YD MONTHLY</v>
          </cell>
        </row>
        <row r="1414">
          <cell r="G1414" t="str">
            <v>RENT30MO-RO</v>
          </cell>
          <cell r="H1414" t="str">
            <v>RENTAL FEE 30 YD MONTHLY</v>
          </cell>
        </row>
        <row r="1415">
          <cell r="G1415" t="str">
            <v>RENT30MO-RO</v>
          </cell>
          <cell r="H1415" t="str">
            <v>RENTAL FEE 30 YD MONTHLY</v>
          </cell>
        </row>
        <row r="1416">
          <cell r="G1416" t="str">
            <v>RENT30MO-RO</v>
          </cell>
          <cell r="H1416" t="str">
            <v>RENTAL FEE 30 YD MONTHLY</v>
          </cell>
        </row>
        <row r="1417">
          <cell r="G1417" t="str">
            <v>RENT30MO-RO</v>
          </cell>
          <cell r="H1417" t="str">
            <v>RENTAL FEE 30 YD MONTHLY</v>
          </cell>
        </row>
        <row r="1418">
          <cell r="G1418" t="str">
            <v>RENT30MO-RO</v>
          </cell>
          <cell r="H1418" t="str">
            <v>RENTAL FEE 30 YD MONTHLY</v>
          </cell>
        </row>
        <row r="1419">
          <cell r="G1419" t="str">
            <v>RENT30MO-RO</v>
          </cell>
          <cell r="H1419" t="str">
            <v>RENTAL FEE 30 YD MONTHLY</v>
          </cell>
        </row>
        <row r="1420">
          <cell r="G1420" t="str">
            <v>RENT30MO-RO</v>
          </cell>
          <cell r="H1420" t="str">
            <v>RENTAL FEE 30 YD MONTHLY</v>
          </cell>
        </row>
        <row r="1421">
          <cell r="G1421" t="str">
            <v>RENT30TEMP-RO</v>
          </cell>
          <cell r="H1421" t="str">
            <v>RENTAL FEE 30 YD TEMP - R</v>
          </cell>
        </row>
        <row r="1422">
          <cell r="G1422" t="str">
            <v>RENT30TEMP-RO</v>
          </cell>
          <cell r="H1422" t="str">
            <v>RENTAL FEE 30 YD TEMP - R</v>
          </cell>
        </row>
        <row r="1423">
          <cell r="G1423" t="str">
            <v>RENT30TEMP-RO</v>
          </cell>
          <cell r="H1423" t="str">
            <v>RENTAL FEE 30 YD TEMP - R</v>
          </cell>
        </row>
        <row r="1424">
          <cell r="G1424" t="str">
            <v>RENT30TEMP-RO</v>
          </cell>
          <cell r="H1424" t="str">
            <v>RENTAL FEE 30 YD TEMP - R</v>
          </cell>
        </row>
        <row r="1425">
          <cell r="G1425" t="str">
            <v>RENT30TEMP-RO</v>
          </cell>
          <cell r="H1425" t="str">
            <v>RENTAL FEE 30 YD TEMP - R</v>
          </cell>
        </row>
        <row r="1426">
          <cell r="G1426" t="str">
            <v>RENT30TEMP-RO</v>
          </cell>
          <cell r="H1426" t="str">
            <v>RENTAL FEE 30 YD TEMP - R</v>
          </cell>
        </row>
        <row r="1427">
          <cell r="G1427" t="str">
            <v>RENT30TEMP-RO</v>
          </cell>
          <cell r="H1427" t="str">
            <v>RENTAL FEE 30 YD TEMP - R</v>
          </cell>
        </row>
        <row r="1428">
          <cell r="G1428" t="str">
            <v>RENT3TEMP-COMM</v>
          </cell>
          <cell r="H1428" t="str">
            <v>RENT 3 YD TEMP - COMM</v>
          </cell>
        </row>
        <row r="1429">
          <cell r="G1429" t="str">
            <v>RENT3TEMP-COMM</v>
          </cell>
          <cell r="H1429" t="str">
            <v>RENT 3 YD TEMP - COMM</v>
          </cell>
        </row>
        <row r="1430">
          <cell r="G1430" t="str">
            <v>RENT3TEMP-COMM</v>
          </cell>
          <cell r="H1430" t="str">
            <v>RENT 3 YD TEMP - COMM</v>
          </cell>
        </row>
        <row r="1431">
          <cell r="G1431" t="str">
            <v>RENT3TEMP-COMM</v>
          </cell>
          <cell r="H1431" t="str">
            <v>RENT 3 YD TEMP - COMM</v>
          </cell>
        </row>
        <row r="1432">
          <cell r="G1432" t="str">
            <v>RENT3TEMP-COMM</v>
          </cell>
          <cell r="H1432" t="str">
            <v>RENT 3 YD TEMP - COMM</v>
          </cell>
        </row>
        <row r="1433">
          <cell r="G1433" t="str">
            <v>RENT3TEMP-COMM</v>
          </cell>
          <cell r="H1433" t="str">
            <v>RENT 3 YD TEMP - COMM</v>
          </cell>
        </row>
        <row r="1434">
          <cell r="G1434" t="str">
            <v>RENT40MO-RO</v>
          </cell>
          <cell r="H1434" t="str">
            <v>RENTAL FEE 40 YD MONTHLY</v>
          </cell>
        </row>
        <row r="1435">
          <cell r="G1435" t="str">
            <v>RENT40MO-RO</v>
          </cell>
          <cell r="H1435" t="str">
            <v>RENTAL FEE 40 YD MONTHLY</v>
          </cell>
        </row>
        <row r="1436">
          <cell r="G1436" t="str">
            <v>RENT40MO-RO</v>
          </cell>
          <cell r="H1436" t="str">
            <v>RENTAL FEE 40 YD MONTHLY</v>
          </cell>
        </row>
        <row r="1437">
          <cell r="G1437" t="str">
            <v>RENT40MO-RO</v>
          </cell>
          <cell r="H1437" t="str">
            <v>RENTAL FEE 40 YD MONTHLY</v>
          </cell>
        </row>
        <row r="1438">
          <cell r="G1438" t="str">
            <v>RENT40MO-RO</v>
          </cell>
          <cell r="H1438" t="str">
            <v>RENTAL FEE 40 YD MONTHLY</v>
          </cell>
        </row>
        <row r="1439">
          <cell r="G1439" t="str">
            <v>RENT40MO-RO</v>
          </cell>
          <cell r="H1439" t="str">
            <v>RENTAL FEE 40 YD MONTHLY</v>
          </cell>
        </row>
        <row r="1440">
          <cell r="G1440" t="str">
            <v>RENT40MO-RO</v>
          </cell>
          <cell r="H1440" t="str">
            <v>RENTAL FEE 40 YD MONTHLY</v>
          </cell>
        </row>
        <row r="1441">
          <cell r="G1441" t="str">
            <v>RENT40TEMP-RO</v>
          </cell>
          <cell r="H1441" t="str">
            <v>RENTAL FEE 40 YD TEMP - R</v>
          </cell>
        </row>
        <row r="1442">
          <cell r="G1442" t="str">
            <v>RENT40TEMP-RO</v>
          </cell>
          <cell r="H1442" t="str">
            <v>RENTAL FEE 40 YD TEMP - R</v>
          </cell>
        </row>
        <row r="1443">
          <cell r="G1443" t="str">
            <v>RENT40TEMP-RO</v>
          </cell>
          <cell r="H1443" t="str">
            <v>RENTAL FEE 40 YD TEMP - R</v>
          </cell>
        </row>
        <row r="1444">
          <cell r="G1444" t="str">
            <v>RENT40TEMP-RO</v>
          </cell>
          <cell r="H1444" t="str">
            <v>RENTAL FEE 40 YD TEMP - R</v>
          </cell>
        </row>
        <row r="1445">
          <cell r="G1445" t="str">
            <v>RENT40TEMP-RO</v>
          </cell>
          <cell r="H1445" t="str">
            <v>RENTAL FEE 40 YD TEMP - R</v>
          </cell>
        </row>
        <row r="1446">
          <cell r="G1446" t="str">
            <v>RENT40TEMP-RO</v>
          </cell>
          <cell r="H1446" t="str">
            <v>RENTAL FEE 40 YD TEMP - R</v>
          </cell>
        </row>
        <row r="1447">
          <cell r="G1447" t="str">
            <v>RENT40TEMP-RO</v>
          </cell>
          <cell r="H1447" t="str">
            <v>RENTAL FEE 40 YD TEMP - R</v>
          </cell>
        </row>
        <row r="1448">
          <cell r="G1448" t="str">
            <v>RENT40TEMP-RO</v>
          </cell>
          <cell r="H1448" t="str">
            <v>RENTAL FEE 40 YD TEMP - R</v>
          </cell>
        </row>
        <row r="1449">
          <cell r="G1449" t="str">
            <v>RENT4TEMP-COMM</v>
          </cell>
          <cell r="H1449" t="str">
            <v>RENT 4 YD TEMP - COMM</v>
          </cell>
        </row>
        <row r="1450">
          <cell r="G1450" t="str">
            <v>RENT4TEMP-COMM</v>
          </cell>
          <cell r="H1450" t="str">
            <v>RENT 4 YD TEMP - COMM</v>
          </cell>
        </row>
        <row r="1451">
          <cell r="G1451" t="str">
            <v>RENT4TEMP-COMM</v>
          </cell>
          <cell r="H1451" t="str">
            <v>RENT 4 YD TEMP - COMM</v>
          </cell>
        </row>
        <row r="1452">
          <cell r="G1452" t="str">
            <v>RENT4TEMP-COMM</v>
          </cell>
          <cell r="H1452" t="str">
            <v>RENT 4 YD TEMP - COMM</v>
          </cell>
        </row>
        <row r="1453">
          <cell r="G1453" t="str">
            <v>RENT4TEMP-COMM</v>
          </cell>
          <cell r="H1453" t="str">
            <v>RENT 4 YD TEMP - COMM</v>
          </cell>
        </row>
        <row r="1454">
          <cell r="G1454" t="str">
            <v>RENT4TEMP-COMM</v>
          </cell>
          <cell r="H1454" t="str">
            <v>RENT 4 YD TEMP - COMM</v>
          </cell>
        </row>
        <row r="1455">
          <cell r="G1455" t="str">
            <v>RENT6TEMP-COMM</v>
          </cell>
          <cell r="H1455" t="str">
            <v>RENT 6 YD TEMP - COMM</v>
          </cell>
        </row>
        <row r="1456">
          <cell r="G1456" t="str">
            <v>RENT6TEMP-COMM</v>
          </cell>
          <cell r="H1456" t="str">
            <v>RENT 6 YD TEMP - COMM</v>
          </cell>
        </row>
        <row r="1457">
          <cell r="G1457" t="str">
            <v>RENT6TEMP-COMM</v>
          </cell>
          <cell r="H1457" t="str">
            <v>RENT 6 YD TEMP - COMM</v>
          </cell>
        </row>
        <row r="1458">
          <cell r="G1458" t="str">
            <v>RENT6TEMP-COMM</v>
          </cell>
          <cell r="H1458" t="str">
            <v>RENT 6 YD TEMP - COMM</v>
          </cell>
        </row>
        <row r="1459">
          <cell r="G1459" t="str">
            <v>RENT6TEMP-COMM</v>
          </cell>
          <cell r="H1459" t="str">
            <v>RENT 6 YD TEMP - COMM</v>
          </cell>
        </row>
        <row r="1460">
          <cell r="G1460" t="str">
            <v>RENT6TEMP-COMM</v>
          </cell>
          <cell r="H1460" t="str">
            <v>RENT 6 YD TEMP - COMM</v>
          </cell>
        </row>
        <row r="1461">
          <cell r="G1461" t="str">
            <v>RENT6TEMP-COMM</v>
          </cell>
          <cell r="H1461" t="str">
            <v>RENT 6 YD TEMP - COMM</v>
          </cell>
        </row>
        <row r="1462">
          <cell r="G1462" t="str">
            <v>RENTFOOD-COMM</v>
          </cell>
          <cell r="H1462" t="str">
            <v>RENT FOODWASTE CONT - COM</v>
          </cell>
        </row>
        <row r="1463">
          <cell r="G1463" t="str">
            <v>RENTMO-CP</v>
          </cell>
          <cell r="H1463" t="str">
            <v>RENTAL FEE MONTHLY - COMP</v>
          </cell>
        </row>
        <row r="1464">
          <cell r="G1464" t="str">
            <v>RENTRECCNT-COMM</v>
          </cell>
          <cell r="H1464" t="str">
            <v>RENTAL FEE RECYCLE CONTAI</v>
          </cell>
        </row>
        <row r="1465">
          <cell r="G1465" t="str">
            <v>RENTRECCNT-COMM</v>
          </cell>
          <cell r="H1465" t="str">
            <v>RENTAL FEE RECYCLE CONTAI</v>
          </cell>
        </row>
        <row r="1466">
          <cell r="G1466" t="str">
            <v>RENTRECCNT-COMM</v>
          </cell>
          <cell r="H1466" t="str">
            <v>RENTAL FEE RECYCLE CONTAI</v>
          </cell>
        </row>
        <row r="1467">
          <cell r="G1467" t="str">
            <v>RENTRECCNT-COMM</v>
          </cell>
          <cell r="H1467" t="str">
            <v>RENTAL FEE RECYCLE CONTAI</v>
          </cell>
        </row>
        <row r="1468">
          <cell r="G1468" t="str">
            <v>RENTRECCNT-COMM</v>
          </cell>
          <cell r="H1468" t="str">
            <v>RENTAL FEE RECYCLE CONTAI</v>
          </cell>
        </row>
        <row r="1469">
          <cell r="G1469" t="str">
            <v>RENTRECCNT-COMM</v>
          </cell>
          <cell r="H1469" t="str">
            <v>RENTAL FEE RECYCLE CONTAI</v>
          </cell>
        </row>
        <row r="1470">
          <cell r="G1470" t="str">
            <v>RENTRECCNT-COMM</v>
          </cell>
          <cell r="H1470" t="str">
            <v>RENTAL FEE RECYCLE CONTAI</v>
          </cell>
        </row>
        <row r="1471">
          <cell r="G1471" t="str">
            <v>RENTRECCNT-COMM</v>
          </cell>
          <cell r="H1471" t="str">
            <v>RENTAL FEE RECYCLE CONTAI</v>
          </cell>
        </row>
        <row r="1472">
          <cell r="G1472" t="str">
            <v>RENTRECCNT-COMM</v>
          </cell>
          <cell r="H1472" t="str">
            <v>RENTAL FEE RECYCLE CONTAI</v>
          </cell>
        </row>
        <row r="1473">
          <cell r="G1473" t="str">
            <v>RETCKC</v>
          </cell>
          <cell r="H1473" t="str">
            <v>RETURN CHECK CHARGE</v>
          </cell>
        </row>
        <row r="1474">
          <cell r="G1474" t="str">
            <v>RETCKC</v>
          </cell>
          <cell r="H1474" t="str">
            <v>RETURN CHECK CHARGE</v>
          </cell>
        </row>
        <row r="1475">
          <cell r="G1475" t="str">
            <v>RETCKC</v>
          </cell>
          <cell r="H1475" t="str">
            <v>RETURN CHECK CHARGE</v>
          </cell>
        </row>
        <row r="1476">
          <cell r="G1476" t="str">
            <v>RETCKC</v>
          </cell>
          <cell r="H1476" t="str">
            <v>RETURN CHECK CHARGE</v>
          </cell>
        </row>
        <row r="1477">
          <cell r="G1477" t="str">
            <v>RETCKC</v>
          </cell>
          <cell r="H1477" t="str">
            <v>RETURN CHECK CHARGE</v>
          </cell>
        </row>
        <row r="1478">
          <cell r="G1478" t="str">
            <v>RETCKC</v>
          </cell>
          <cell r="H1478" t="str">
            <v>RETURN CHECK CHARGE</v>
          </cell>
        </row>
        <row r="1479">
          <cell r="G1479" t="str">
            <v>RETCKC</v>
          </cell>
          <cell r="H1479" t="str">
            <v>RETURN CHECK CHARGE</v>
          </cell>
        </row>
        <row r="1480">
          <cell r="G1480" t="str">
            <v>RL001.0Y1W001</v>
          </cell>
          <cell r="H1480" t="str">
            <v>1 YD 1X WK 1</v>
          </cell>
        </row>
        <row r="1481">
          <cell r="G1481" t="str">
            <v>RL001.0Y2W001</v>
          </cell>
          <cell r="H1481" t="str">
            <v>1 YD 2X WK 1</v>
          </cell>
        </row>
        <row r="1482">
          <cell r="G1482" t="str">
            <v>RL001.5Y1W001</v>
          </cell>
          <cell r="H1482" t="str">
            <v>1.5 YD 1X WK 1</v>
          </cell>
        </row>
        <row r="1483">
          <cell r="G1483" t="str">
            <v>RL001.5Y2W001</v>
          </cell>
          <cell r="H1483" t="str">
            <v>1.5 YD 2X WK 1</v>
          </cell>
        </row>
        <row r="1484">
          <cell r="G1484" t="str">
            <v>RL002.0Y1W001</v>
          </cell>
          <cell r="H1484" t="str">
            <v>2 YD 1X WK 1</v>
          </cell>
        </row>
        <row r="1485">
          <cell r="G1485" t="str">
            <v>RL002.0Y1W001OCC</v>
          </cell>
          <cell r="H1485" t="str">
            <v>2 YD 1X WK OCC 1</v>
          </cell>
        </row>
        <row r="1486">
          <cell r="G1486" t="str">
            <v>RL002.0Y1W001OCC</v>
          </cell>
          <cell r="H1486" t="str">
            <v>2 YD 1X WK OCC 1</v>
          </cell>
        </row>
        <row r="1487">
          <cell r="G1487" t="str">
            <v>RL002.0Y2W001</v>
          </cell>
          <cell r="H1487" t="str">
            <v>2 YD 2X WK 1</v>
          </cell>
        </row>
        <row r="1488">
          <cell r="G1488" t="str">
            <v>RL002.0Y2W001OCC</v>
          </cell>
          <cell r="H1488" t="str">
            <v>2 YD 2X WK OCC 1</v>
          </cell>
        </row>
        <row r="1489">
          <cell r="G1489" t="str">
            <v>RL002.0Y3W001OCC</v>
          </cell>
          <cell r="H1489" t="str">
            <v>2 YD 3X WK OCC 1</v>
          </cell>
        </row>
        <row r="1490">
          <cell r="G1490" t="str">
            <v>RL004.0Y1W001</v>
          </cell>
          <cell r="H1490" t="str">
            <v>4 YD 1X WK 1</v>
          </cell>
        </row>
        <row r="1491">
          <cell r="G1491" t="str">
            <v>RL006.0Y1W001</v>
          </cell>
          <cell r="H1491" t="str">
            <v>6 YD 1X WK 1</v>
          </cell>
        </row>
        <row r="1492">
          <cell r="G1492" t="str">
            <v>RL010.0G1W001WREC</v>
          </cell>
          <cell r="H1492" t="str">
            <v>10 GL 1X WK RECYCLE 1</v>
          </cell>
        </row>
        <row r="1493">
          <cell r="G1493" t="str">
            <v>RL010.0G1W001WREC</v>
          </cell>
          <cell r="H1493" t="str">
            <v>10 GL 1X WK RECYCLE 1</v>
          </cell>
        </row>
        <row r="1494">
          <cell r="G1494" t="str">
            <v>RL020.0G1W001</v>
          </cell>
          <cell r="H1494" t="str">
            <v>20 GL 1X WK 1</v>
          </cell>
        </row>
        <row r="1495">
          <cell r="G1495" t="str">
            <v>RL020.0G1W001</v>
          </cell>
          <cell r="H1495" t="str">
            <v>20 GL 1X WK 1</v>
          </cell>
        </row>
        <row r="1496">
          <cell r="G1496" t="str">
            <v>RL020.0G1W001</v>
          </cell>
          <cell r="H1496" t="str">
            <v>20 GL 1X WK 1</v>
          </cell>
        </row>
        <row r="1497">
          <cell r="G1497" t="str">
            <v>RL020.0G1W001COMM</v>
          </cell>
          <cell r="H1497" t="str">
            <v>20 GL 1X WK COMM 1</v>
          </cell>
        </row>
        <row r="1498">
          <cell r="G1498" t="str">
            <v>RL020.0G1W001COMM</v>
          </cell>
          <cell r="H1498" t="str">
            <v>20 GL 1X WK COMM 1</v>
          </cell>
        </row>
        <row r="1499">
          <cell r="G1499" t="str">
            <v>RL020.0G1W001NOREC</v>
          </cell>
          <cell r="H1499" t="str">
            <v>20 GL 1X WK NO RECY 1</v>
          </cell>
        </row>
        <row r="1500">
          <cell r="G1500" t="str">
            <v>RL020.0G1W001NOREC</v>
          </cell>
          <cell r="H1500" t="str">
            <v>20 GL 1X WK NO RECY 1</v>
          </cell>
        </row>
        <row r="1501">
          <cell r="G1501" t="str">
            <v>RL020.0G1W001NORECSPCL</v>
          </cell>
          <cell r="H1501" t="str">
            <v>20 GL 1X WK NO RECY S/D 1</v>
          </cell>
        </row>
        <row r="1502">
          <cell r="G1502" t="str">
            <v>RL032.0G1M001NOREC</v>
          </cell>
          <cell r="H1502" t="str">
            <v>32 GL 1X MO NO RECY 1</v>
          </cell>
        </row>
        <row r="1503">
          <cell r="G1503" t="str">
            <v>RL032.0G1M001NOREC</v>
          </cell>
          <cell r="H1503" t="str">
            <v>32 GL 1X MO NO RECY 1</v>
          </cell>
        </row>
        <row r="1504">
          <cell r="G1504" t="str">
            <v>RL032.0G1M001WREC</v>
          </cell>
          <cell r="H1504" t="str">
            <v>32 GL 1X MO W/RECY 1</v>
          </cell>
        </row>
        <row r="1505">
          <cell r="G1505" t="str">
            <v>RL032.0G1M001WREC</v>
          </cell>
          <cell r="H1505" t="str">
            <v>32 GL 1X MO W/RECY 1</v>
          </cell>
        </row>
        <row r="1506">
          <cell r="G1506" t="str">
            <v>RL032.0G1M001WRECSPCL</v>
          </cell>
          <cell r="H1506" t="str">
            <v>32 GL 1X MO S/D W/RECY</v>
          </cell>
        </row>
        <row r="1507">
          <cell r="G1507" t="str">
            <v>RL032.0G1W001MFNR</v>
          </cell>
          <cell r="H1507" t="str">
            <v>MULTI-FAMILY CANS NON REC</v>
          </cell>
        </row>
        <row r="1508">
          <cell r="G1508" t="str">
            <v>RL032.0G1W001MFNR</v>
          </cell>
          <cell r="H1508" t="str">
            <v>MULTI-FAMILY CANS NON REC</v>
          </cell>
        </row>
        <row r="1509">
          <cell r="G1509" t="str">
            <v>RL032.0G1W001MFNR</v>
          </cell>
          <cell r="H1509" t="str">
            <v>MULTI-FAMILY CANS NON REC</v>
          </cell>
        </row>
        <row r="1510">
          <cell r="G1510" t="str">
            <v>RL032.0G1W001NOREC</v>
          </cell>
          <cell r="H1510" t="str">
            <v>32 GL 1X WK NO RECY 1</v>
          </cell>
        </row>
        <row r="1511">
          <cell r="G1511" t="str">
            <v>RL032.0G1W001NOREC</v>
          </cell>
          <cell r="H1511" t="str">
            <v>32 GL 1X WK NO RECY 1</v>
          </cell>
        </row>
        <row r="1512">
          <cell r="G1512" t="str">
            <v>RL032.0G1W001NORECC</v>
          </cell>
          <cell r="H1512" t="str">
            <v xml:space="preserve">32 GL 1X WK NO RECY COMM </v>
          </cell>
        </row>
        <row r="1513">
          <cell r="G1513" t="str">
            <v>RL032.0G1W001NORECC</v>
          </cell>
          <cell r="H1513" t="str">
            <v xml:space="preserve">32 GL 1X WK NO RECY COMM </v>
          </cell>
        </row>
        <row r="1514">
          <cell r="G1514" t="str">
            <v>RL032.0G1W001NORECSPCL</v>
          </cell>
          <cell r="H1514" t="str">
            <v>32 GL 1X WK NO RECY S/D</v>
          </cell>
        </row>
        <row r="1515">
          <cell r="G1515" t="str">
            <v>RL032.0G1W001WREC</v>
          </cell>
          <cell r="H1515" t="str">
            <v>32 GL 1X WK W/RECY 1</v>
          </cell>
        </row>
        <row r="1516">
          <cell r="G1516" t="str">
            <v>RL032.0G1W001WREC</v>
          </cell>
          <cell r="H1516" t="str">
            <v>32 GL 1X WK W/RECY 1</v>
          </cell>
        </row>
        <row r="1517">
          <cell r="G1517" t="str">
            <v>RL032.0G1W001WREC</v>
          </cell>
          <cell r="H1517" t="str">
            <v>32 GL 1X WK W/RECY 1</v>
          </cell>
        </row>
        <row r="1518">
          <cell r="G1518" t="str">
            <v>RL032.0G1W001WRECC</v>
          </cell>
          <cell r="H1518" t="str">
            <v>32 GL 1X WK W/RECY COMM 1</v>
          </cell>
        </row>
        <row r="1519">
          <cell r="G1519" t="str">
            <v>RL032.0G1W001WRECC</v>
          </cell>
          <cell r="H1519" t="str">
            <v>32 GL 1X WK W/RECY COMM 1</v>
          </cell>
        </row>
        <row r="1520">
          <cell r="G1520" t="str">
            <v>RL032.0G1W001WRECC</v>
          </cell>
          <cell r="H1520" t="str">
            <v>32 GL 1X WK W/RECY COMM 1</v>
          </cell>
        </row>
        <row r="1521">
          <cell r="G1521" t="str">
            <v>RL032.0G1W001WRECSPCL</v>
          </cell>
          <cell r="H1521" t="str">
            <v>32 GL 1X WK W/RECY S/D 1</v>
          </cell>
        </row>
        <row r="1522">
          <cell r="G1522" t="str">
            <v>RL032.0G1W002NOREC</v>
          </cell>
          <cell r="H1522" t="str">
            <v>32 GL 1X WK NO RECY 2</v>
          </cell>
        </row>
        <row r="1523">
          <cell r="G1523" t="str">
            <v>RL032.0G1W002NOREC</v>
          </cell>
          <cell r="H1523" t="str">
            <v>32 GL 1X WK NO RECY 2</v>
          </cell>
        </row>
        <row r="1524">
          <cell r="G1524" t="str">
            <v>RL032.0G1W002NORECC</v>
          </cell>
          <cell r="H1524" t="str">
            <v xml:space="preserve">32 GL 1X WK NO RECY COMM </v>
          </cell>
        </row>
        <row r="1525">
          <cell r="G1525" t="str">
            <v>RL032.0G1W002NORECC</v>
          </cell>
          <cell r="H1525" t="str">
            <v xml:space="preserve">32 GL 1X WK NO RECY COMM </v>
          </cell>
        </row>
        <row r="1526">
          <cell r="G1526" t="str">
            <v>RL032.0G1W002NORECSPCL</v>
          </cell>
          <cell r="H1526" t="str">
            <v>32 GL 1X WK NO RECY S/D 2</v>
          </cell>
        </row>
        <row r="1527">
          <cell r="G1527" t="str">
            <v>RL032.0G1W002WREC</v>
          </cell>
          <cell r="H1527" t="str">
            <v>32 GL 1X WK W/RECY 2</v>
          </cell>
        </row>
        <row r="1528">
          <cell r="G1528" t="str">
            <v>RL032.0G1W002WREC</v>
          </cell>
          <cell r="H1528" t="str">
            <v>32 GL 1X WK W/RECY 2</v>
          </cell>
        </row>
        <row r="1529">
          <cell r="G1529" t="str">
            <v>RL032.0G1W002WREC</v>
          </cell>
          <cell r="H1529" t="str">
            <v>32 GL 1X WK W/RECY 2</v>
          </cell>
        </row>
        <row r="1530">
          <cell r="G1530" t="str">
            <v>RL032.0G1W002WRECC</v>
          </cell>
          <cell r="H1530" t="str">
            <v>32 GL 1X WK W/RECY COMM 2</v>
          </cell>
        </row>
        <row r="1531">
          <cell r="G1531" t="str">
            <v>RL032.0G1W002WRECC</v>
          </cell>
          <cell r="H1531" t="str">
            <v>32 GL 1X WK W/RECY COMM 2</v>
          </cell>
        </row>
        <row r="1532">
          <cell r="G1532" t="str">
            <v>RL032.0G1W002WRECC</v>
          </cell>
          <cell r="H1532" t="str">
            <v>32 GL 1X WK W/RECY COMM 2</v>
          </cell>
        </row>
        <row r="1533">
          <cell r="G1533" t="str">
            <v>RL032.0G1W002WRECSPCL</v>
          </cell>
          <cell r="H1533" t="str">
            <v>32 GL 1X WK W/RECY S/D 2</v>
          </cell>
        </row>
        <row r="1534">
          <cell r="G1534" t="str">
            <v>RL032.0G1W003NOREC</v>
          </cell>
          <cell r="H1534" t="str">
            <v>32 GL 1X WK NO RECY 3</v>
          </cell>
        </row>
        <row r="1535">
          <cell r="G1535" t="str">
            <v>RL032.0G1W003NOREC</v>
          </cell>
          <cell r="H1535" t="str">
            <v>32 GL 1X WK NO RECY 3</v>
          </cell>
        </row>
        <row r="1536">
          <cell r="G1536" t="str">
            <v>RL032.0G1W003NORECC</v>
          </cell>
          <cell r="H1536" t="str">
            <v xml:space="preserve">32 GL 1X WK NO RECY COMM </v>
          </cell>
        </row>
        <row r="1537">
          <cell r="G1537" t="str">
            <v>RL032.0G1W003NORECC</v>
          </cell>
          <cell r="H1537" t="str">
            <v xml:space="preserve">32 GL 1X WK NO RECY COMM </v>
          </cell>
        </row>
        <row r="1538">
          <cell r="G1538" t="str">
            <v>RL032.0G1W003NORECSPCL</v>
          </cell>
          <cell r="H1538" t="str">
            <v>32 GL 1X WK NO RECY S/D 3</v>
          </cell>
        </row>
        <row r="1539">
          <cell r="G1539" t="str">
            <v>RL032.0G1W003WREC</v>
          </cell>
          <cell r="H1539" t="str">
            <v>32 GL 1X WK W/RECY 3</v>
          </cell>
        </row>
        <row r="1540">
          <cell r="G1540" t="str">
            <v>RL032.0G1W003WREC</v>
          </cell>
          <cell r="H1540" t="str">
            <v>32 GL 1X WK W/RECY 3</v>
          </cell>
        </row>
        <row r="1541">
          <cell r="G1541" t="str">
            <v>RL032.0G1W003WREC</v>
          </cell>
          <cell r="H1541" t="str">
            <v>32 GL 1X WK W/RECY 3</v>
          </cell>
        </row>
        <row r="1542">
          <cell r="G1542" t="str">
            <v>RL032.0G1W003WRECC</v>
          </cell>
          <cell r="H1542" t="str">
            <v>32 GL 1X WK W/RECY COMM 3</v>
          </cell>
        </row>
        <row r="1543">
          <cell r="G1543" t="str">
            <v>RL032.0G1W003WRECC</v>
          </cell>
          <cell r="H1543" t="str">
            <v>32 GL 1X WK W/RECY COMM 3</v>
          </cell>
        </row>
        <row r="1544">
          <cell r="G1544" t="str">
            <v>RL032.0G1W003WRECC</v>
          </cell>
          <cell r="H1544" t="str">
            <v>32 GL 1X WK W/RECY COMM 3</v>
          </cell>
        </row>
        <row r="1545">
          <cell r="G1545" t="str">
            <v>RL032.0G1W003WRECSPCL</v>
          </cell>
          <cell r="H1545" t="str">
            <v>32 GL 1X WK W/RECY S/D 3</v>
          </cell>
        </row>
        <row r="1546">
          <cell r="G1546" t="str">
            <v>RL032.0G1W004NOREC</v>
          </cell>
          <cell r="H1546" t="str">
            <v>32 GL 1X WK NO RECY 4</v>
          </cell>
        </row>
        <row r="1547">
          <cell r="G1547" t="str">
            <v>RL032.0G1W004NOREC</v>
          </cell>
          <cell r="H1547" t="str">
            <v>32 GL 1X WK NO RECY 4</v>
          </cell>
        </row>
        <row r="1548">
          <cell r="G1548" t="str">
            <v>RL032.0G1W004NORECC</v>
          </cell>
          <cell r="H1548" t="str">
            <v xml:space="preserve">32 GL 1X WK NO RECY COMM </v>
          </cell>
        </row>
        <row r="1549">
          <cell r="G1549" t="str">
            <v>RL032.0G1W004NORECC</v>
          </cell>
          <cell r="H1549" t="str">
            <v xml:space="preserve">32 GL 1X WK NO RECY COMM </v>
          </cell>
        </row>
        <row r="1550">
          <cell r="G1550" t="str">
            <v>RL032.0G1W004NORECSPCL</v>
          </cell>
          <cell r="H1550" t="str">
            <v>32 GL 1X WK NO RECY S/D 4</v>
          </cell>
        </row>
        <row r="1551">
          <cell r="G1551" t="str">
            <v>RL032.0G1W004WREC</v>
          </cell>
          <cell r="H1551" t="str">
            <v>32 GL 1X WK W/RECY 4</v>
          </cell>
        </row>
        <row r="1552">
          <cell r="G1552" t="str">
            <v>RL032.0G1W004WREC</v>
          </cell>
          <cell r="H1552" t="str">
            <v>32 GL 1X WK W/RECY 4</v>
          </cell>
        </row>
        <row r="1553">
          <cell r="G1553" t="str">
            <v>RL032.0G1W004WREC</v>
          </cell>
          <cell r="H1553" t="str">
            <v>32 GL 1X WK W/RECY 4</v>
          </cell>
        </row>
        <row r="1554">
          <cell r="G1554" t="str">
            <v>RL032.0G1W004WRECC</v>
          </cell>
          <cell r="H1554" t="str">
            <v>32 GL 1X WK W/RECY COMM 4</v>
          </cell>
        </row>
        <row r="1555">
          <cell r="G1555" t="str">
            <v>RL032.0G1W004WRECC</v>
          </cell>
          <cell r="H1555" t="str">
            <v>32 GL 1X WK W/RECY COMM 4</v>
          </cell>
        </row>
        <row r="1556">
          <cell r="G1556" t="str">
            <v>RL032.0G1W004WRECC</v>
          </cell>
          <cell r="H1556" t="str">
            <v>32 GL 1X WK W/RECY COMM 4</v>
          </cell>
        </row>
        <row r="1557">
          <cell r="G1557" t="str">
            <v>RL032.0G1W004WRECSPCL</v>
          </cell>
          <cell r="H1557" t="str">
            <v>32 GL 1X WK W/RECY S/D 4</v>
          </cell>
        </row>
        <row r="1558">
          <cell r="G1558" t="str">
            <v>RL032.0G1W005NOREC</v>
          </cell>
          <cell r="H1558" t="str">
            <v>32 GL 1X WK NO RECY 5</v>
          </cell>
        </row>
        <row r="1559">
          <cell r="G1559" t="str">
            <v>RL032.0G1W005NOREC</v>
          </cell>
          <cell r="H1559" t="str">
            <v>32 GL 1X WK NO RECY 5</v>
          </cell>
        </row>
        <row r="1560">
          <cell r="G1560" t="str">
            <v>RL032.0G1W005NORECC</v>
          </cell>
          <cell r="H1560" t="str">
            <v xml:space="preserve">32 GL 1X WK NO RECY COMM </v>
          </cell>
        </row>
        <row r="1561">
          <cell r="G1561" t="str">
            <v>RL032.0G1W005NORECC</v>
          </cell>
          <cell r="H1561" t="str">
            <v xml:space="preserve">32 GL 1X WK NO RECY COMM </v>
          </cell>
        </row>
        <row r="1562">
          <cell r="G1562" t="str">
            <v>RL032.0G1W005NORECSPCL</v>
          </cell>
          <cell r="H1562" t="str">
            <v>32 GL 1X WK NO RECY S/D 5</v>
          </cell>
        </row>
        <row r="1563">
          <cell r="G1563" t="str">
            <v>RL032.0G1W005WREC</v>
          </cell>
          <cell r="H1563" t="str">
            <v>32 GL 1X WK W/RECY 5</v>
          </cell>
        </row>
        <row r="1564">
          <cell r="G1564" t="str">
            <v>RL032.0G1W005WREC</v>
          </cell>
          <cell r="H1564" t="str">
            <v>32 GL 1X WK W/RECY 5</v>
          </cell>
        </row>
        <row r="1565">
          <cell r="G1565" t="str">
            <v>RL032.0G1W005WREC</v>
          </cell>
          <cell r="H1565" t="str">
            <v>32 GL 1X WK W/RECY 5</v>
          </cell>
        </row>
        <row r="1566">
          <cell r="G1566" t="str">
            <v>RL032.0G1W005WRECC</v>
          </cell>
          <cell r="H1566" t="str">
            <v>32 GL 1X WK W/RECY COMM 5</v>
          </cell>
        </row>
        <row r="1567">
          <cell r="G1567" t="str">
            <v>RL032.0G1W005WRECC</v>
          </cell>
          <cell r="H1567" t="str">
            <v>32 GL 1X WK W/RECY COMM 5</v>
          </cell>
        </row>
        <row r="1568">
          <cell r="G1568" t="str">
            <v>RL032.0G1W005WRECC</v>
          </cell>
          <cell r="H1568" t="str">
            <v>32 GL 1X WK W/RECY COMM 5</v>
          </cell>
        </row>
        <row r="1569">
          <cell r="G1569" t="str">
            <v>RL032.0G1W005WRECSPCL</v>
          </cell>
          <cell r="H1569" t="str">
            <v>32 GL 1X WK W/RECY S/D 5</v>
          </cell>
        </row>
        <row r="1570">
          <cell r="G1570" t="str">
            <v>RL032.0G1W006NOREC</v>
          </cell>
          <cell r="H1570" t="str">
            <v>32 GL 1X WK NO RECY 6</v>
          </cell>
        </row>
        <row r="1571">
          <cell r="G1571" t="str">
            <v>RL032.0G1W006NOREC</v>
          </cell>
          <cell r="H1571" t="str">
            <v>32 GL 1X WK NO RECY 6</v>
          </cell>
        </row>
        <row r="1572">
          <cell r="G1572" t="str">
            <v>RL032.0G1W006NORECSPCL</v>
          </cell>
          <cell r="H1572" t="str">
            <v>32 GL 1X WK NO RECY S/D 6</v>
          </cell>
        </row>
        <row r="1573">
          <cell r="G1573" t="str">
            <v>RL032.0G1W006WREC</v>
          </cell>
          <cell r="H1573" t="str">
            <v>32 GL 1X WK W/RECY 6</v>
          </cell>
        </row>
        <row r="1574">
          <cell r="G1574" t="str">
            <v>RL032.0G1W006WRECC</v>
          </cell>
          <cell r="H1574" t="str">
            <v>32 GL 1X WK W/RECY COMM 6</v>
          </cell>
        </row>
        <row r="1575">
          <cell r="G1575" t="str">
            <v>RL032.0G1W006WRECC</v>
          </cell>
          <cell r="H1575" t="str">
            <v>32 GL 1X WK W/RECY COMM 6</v>
          </cell>
        </row>
        <row r="1576">
          <cell r="G1576" t="str">
            <v>RL032.0G1W006WRECSPCL</v>
          </cell>
          <cell r="H1576" t="str">
            <v>32 GL 1X WK W/RECY S/D 6</v>
          </cell>
        </row>
        <row r="1577">
          <cell r="G1577" t="str">
            <v>RL035.0G1W001NORECC</v>
          </cell>
          <cell r="H1577" t="str">
            <v>35 GL 1X WK NO RECY COMM</v>
          </cell>
        </row>
        <row r="1578">
          <cell r="G1578" t="str">
            <v>RL035.0G1W001NORECC</v>
          </cell>
          <cell r="H1578" t="str">
            <v>35 GL 1X WK NO RECY COMM</v>
          </cell>
        </row>
        <row r="1579">
          <cell r="G1579" t="str">
            <v>RL035.0G1W001WRECC</v>
          </cell>
          <cell r="H1579" t="str">
            <v>35 GL 1X WK W/RECY COMM 1</v>
          </cell>
        </row>
        <row r="1580">
          <cell r="G1580" t="str">
            <v>RL035.0G1W001WRECC</v>
          </cell>
          <cell r="H1580" t="str">
            <v>35 GL 1X WK W/RECY COMM 1</v>
          </cell>
        </row>
        <row r="1581">
          <cell r="G1581" t="str">
            <v>RL035.0G1W001WRECC</v>
          </cell>
          <cell r="H1581" t="str">
            <v>35 GL 1X WK W/RECY COMM 1</v>
          </cell>
        </row>
        <row r="1582">
          <cell r="G1582" t="str">
            <v>RL32R-OC</v>
          </cell>
          <cell r="H1582" t="str">
            <v>32 GL ON CALL - RES</v>
          </cell>
        </row>
        <row r="1583">
          <cell r="G1583" t="str">
            <v>ROLL-COMM</v>
          </cell>
          <cell r="H1583" t="str">
            <v>ROLL OUT CHARGE - COMM</v>
          </cell>
        </row>
        <row r="1584">
          <cell r="G1584" t="str">
            <v>ROLL-COMM</v>
          </cell>
          <cell r="H1584" t="str">
            <v>ROLL OUT CHARGE - COMM</v>
          </cell>
        </row>
        <row r="1585">
          <cell r="G1585" t="str">
            <v>ROLL-COMM</v>
          </cell>
          <cell r="H1585" t="str">
            <v>ROLL OUT CHARGE - COMM</v>
          </cell>
        </row>
        <row r="1586">
          <cell r="G1586" t="str">
            <v>ROLL-COMM</v>
          </cell>
          <cell r="H1586" t="str">
            <v>ROLL OUT CHARGE - COMM</v>
          </cell>
        </row>
        <row r="1587">
          <cell r="G1587" t="str">
            <v>ROLL-REC</v>
          </cell>
          <cell r="H1587" t="str">
            <v>ROLL OUT CHARGE - RECYCLI</v>
          </cell>
        </row>
        <row r="1588">
          <cell r="G1588" t="str">
            <v>ROLL-REC</v>
          </cell>
          <cell r="H1588" t="str">
            <v>ROLL OUT CHARGE - RECYCLI</v>
          </cell>
        </row>
        <row r="1589">
          <cell r="G1589" t="str">
            <v>ROLL-REC</v>
          </cell>
          <cell r="H1589" t="str">
            <v>ROLL OUT CHARGE - RECYCLI</v>
          </cell>
        </row>
        <row r="1590">
          <cell r="G1590" t="str">
            <v>ROLL-REC</v>
          </cell>
          <cell r="H1590" t="str">
            <v>ROLL OUT CHARGE - RECYCLI</v>
          </cell>
        </row>
        <row r="1591">
          <cell r="G1591" t="str">
            <v>ROLL-REC</v>
          </cell>
          <cell r="H1591" t="str">
            <v>ROLL OUT CHARGE - RECYCLI</v>
          </cell>
        </row>
        <row r="1592">
          <cell r="G1592" t="str">
            <v>ROLL-REC</v>
          </cell>
          <cell r="H1592" t="str">
            <v>ROLL OUT CHARGE - RECYCLI</v>
          </cell>
        </row>
        <row r="1593">
          <cell r="G1593" t="str">
            <v>ROLL1W-COMM</v>
          </cell>
          <cell r="H1593" t="str">
            <v>ROLL OUT 1X WK - COMM</v>
          </cell>
        </row>
        <row r="1594">
          <cell r="G1594" t="str">
            <v>ROLL1W-MF</v>
          </cell>
          <cell r="H1594" t="str">
            <v>ROLL OUT 1X WK - MF</v>
          </cell>
        </row>
        <row r="1595">
          <cell r="G1595" t="str">
            <v>ROLL2W-COMM</v>
          </cell>
          <cell r="H1595" t="str">
            <v>ROLL OUT 2X WK - COMM</v>
          </cell>
        </row>
        <row r="1596">
          <cell r="G1596" t="str">
            <v>ROLL2W-MF</v>
          </cell>
          <cell r="H1596" t="str">
            <v>ROLL OUT 2X WK - MF</v>
          </cell>
        </row>
        <row r="1597">
          <cell r="G1597" t="str">
            <v>ROLL3W-COMM</v>
          </cell>
          <cell r="H1597" t="str">
            <v>ROLL OUT 3X WK - COMM</v>
          </cell>
        </row>
        <row r="1598">
          <cell r="G1598" t="str">
            <v>ROLL3W-MF</v>
          </cell>
          <cell r="H1598" t="str">
            <v>ROLL OUT 3X WK - MF</v>
          </cell>
        </row>
        <row r="1599">
          <cell r="G1599" t="str">
            <v>ROLL4W-COMM</v>
          </cell>
          <cell r="H1599" t="str">
            <v>ROLL OUT 4X WK - COMM</v>
          </cell>
        </row>
        <row r="1600">
          <cell r="G1600" t="str">
            <v>ROLL4W-MF</v>
          </cell>
          <cell r="H1600" t="str">
            <v>ROLL OUT 4X WK - MF</v>
          </cell>
        </row>
        <row r="1601">
          <cell r="G1601" t="str">
            <v>ROLL5W-COMM</v>
          </cell>
          <cell r="H1601" t="str">
            <v>ROLL OUT 5X WK - COMM</v>
          </cell>
        </row>
        <row r="1602">
          <cell r="G1602" t="str">
            <v>ROLL5W-MF</v>
          </cell>
          <cell r="H1602" t="str">
            <v>ROLL OUT 5X WK - MF</v>
          </cell>
        </row>
        <row r="1603">
          <cell r="G1603" t="str">
            <v>RT000.0RNT00XCNTCOMM</v>
          </cell>
          <cell r="H1603" t="str">
            <v>RENTAL FEE COMM CONT MONT</v>
          </cell>
        </row>
        <row r="1604">
          <cell r="G1604" t="str">
            <v>RT000.0RNT00XCNTCOMM</v>
          </cell>
          <cell r="H1604" t="str">
            <v>RENTAL FEE COMM CONT MONT</v>
          </cell>
        </row>
        <row r="1605">
          <cell r="G1605" t="str">
            <v>RTRNCAN-COMM</v>
          </cell>
          <cell r="H1605" t="str">
            <v>RETURN TRIP FEE CAN - COM</v>
          </cell>
        </row>
        <row r="1606">
          <cell r="G1606" t="str">
            <v>RTRNCAN-COMM</v>
          </cell>
          <cell r="H1606" t="str">
            <v>RETURN TRIP FEE CAN - COM</v>
          </cell>
        </row>
        <row r="1607">
          <cell r="G1607" t="str">
            <v>RTRNCART32-COMM</v>
          </cell>
          <cell r="H1607" t="str">
            <v>RETURN TRIP 32 GL - COMM</v>
          </cell>
        </row>
        <row r="1608">
          <cell r="G1608" t="str">
            <v>RTRNCART32-COMM</v>
          </cell>
          <cell r="H1608" t="str">
            <v>RETURN TRIP 32 GL - COMM</v>
          </cell>
        </row>
        <row r="1609">
          <cell r="G1609" t="str">
            <v>RTRNCART32-COMM</v>
          </cell>
          <cell r="H1609" t="str">
            <v>RETURN TRIP 32 GL - COMM</v>
          </cell>
        </row>
        <row r="1610">
          <cell r="G1610" t="str">
            <v>RTRNCART32-COMM</v>
          </cell>
          <cell r="H1610" t="str">
            <v>RETURN TRIP 32 GL - COMM</v>
          </cell>
        </row>
        <row r="1611">
          <cell r="G1611" t="str">
            <v>RTRNCART32-COMM</v>
          </cell>
          <cell r="H1611" t="str">
            <v>RETURN TRIP 32 GL - COMM</v>
          </cell>
        </row>
        <row r="1612">
          <cell r="G1612" t="str">
            <v>RTRNCART32-RES</v>
          </cell>
          <cell r="H1612" t="str">
            <v>RETURN TRIP 32 GL - RES</v>
          </cell>
        </row>
        <row r="1613">
          <cell r="G1613" t="str">
            <v>RTRNCART32-RES</v>
          </cell>
          <cell r="H1613" t="str">
            <v>RETURN TRIP 32 GL - RES</v>
          </cell>
        </row>
        <row r="1614">
          <cell r="G1614" t="str">
            <v>RTRNCART32-RES</v>
          </cell>
          <cell r="H1614" t="str">
            <v>RETURN TRIP 32 GL - RES</v>
          </cell>
        </row>
        <row r="1615">
          <cell r="G1615" t="str">
            <v>RTRNCART32-RES</v>
          </cell>
          <cell r="H1615" t="str">
            <v>RETURN TRIP 32 GL - RES</v>
          </cell>
        </row>
        <row r="1616">
          <cell r="G1616" t="str">
            <v>RTRNCART32-RES</v>
          </cell>
          <cell r="H1616" t="str">
            <v>RETURN TRIP 32 GL - RES</v>
          </cell>
        </row>
        <row r="1617">
          <cell r="G1617" t="str">
            <v>RTRNCART32-RES</v>
          </cell>
          <cell r="H1617" t="str">
            <v>RETURN TRIP 32 GL - RES</v>
          </cell>
        </row>
        <row r="1618">
          <cell r="G1618" t="str">
            <v>RTRNCART35-COMM</v>
          </cell>
          <cell r="H1618" t="str">
            <v>RETURN TRIP FEE 35 GL - COMM</v>
          </cell>
        </row>
        <row r="1619">
          <cell r="G1619" t="str">
            <v>RTRNCART35-COMM</v>
          </cell>
          <cell r="H1619" t="str">
            <v>RETURN TRIP FEE 35 GL - COMM</v>
          </cell>
        </row>
        <row r="1620">
          <cell r="G1620" t="str">
            <v>RTRNCART35-COMM</v>
          </cell>
          <cell r="H1620" t="str">
            <v>RETURN TRIP FEE 35 GL - COMM</v>
          </cell>
        </row>
        <row r="1621">
          <cell r="G1621" t="str">
            <v>RTRNCART35-COMM</v>
          </cell>
          <cell r="H1621" t="str">
            <v>RETURN TRIP FEE 35 GL - COMM</v>
          </cell>
        </row>
        <row r="1622">
          <cell r="G1622" t="str">
            <v>RTRNCART35-COMM</v>
          </cell>
          <cell r="H1622" t="str">
            <v>RETURN TRIP FEE 35 GL - COMM</v>
          </cell>
        </row>
        <row r="1623">
          <cell r="G1623" t="str">
            <v>RTRNCART45-RES</v>
          </cell>
          <cell r="H1623" t="str">
            <v>RETURN TRIP 45 GL - RES</v>
          </cell>
        </row>
        <row r="1624">
          <cell r="G1624" t="str">
            <v>RTRNCART45-RES</v>
          </cell>
          <cell r="H1624" t="str">
            <v>RETURN TRIP 45 GL - RES</v>
          </cell>
        </row>
        <row r="1625">
          <cell r="G1625" t="str">
            <v>RTRNCART64REC-COMM</v>
          </cell>
          <cell r="H1625" t="str">
            <v>RETURN TRIP 64 GL REC - COMM</v>
          </cell>
        </row>
        <row r="1626">
          <cell r="G1626" t="str">
            <v>RTRNCART64REC-COMM</v>
          </cell>
          <cell r="H1626" t="str">
            <v>RETURN TRIP 64 GL REC - COMM</v>
          </cell>
        </row>
        <row r="1627">
          <cell r="G1627" t="str">
            <v>RTRNCART64REC-COMM</v>
          </cell>
          <cell r="H1627" t="str">
            <v>RETURN TRIP 64 GL REC - COMM</v>
          </cell>
        </row>
        <row r="1628">
          <cell r="G1628" t="str">
            <v>RTRNCART64REC-COMM</v>
          </cell>
          <cell r="H1628" t="str">
            <v>RETURN TRIP 64 GL REC - COMM</v>
          </cell>
        </row>
        <row r="1629">
          <cell r="G1629" t="str">
            <v>RTRNCART64REC-COMM</v>
          </cell>
          <cell r="H1629" t="str">
            <v>RETURN TRIP 64 GL REC - COMM</v>
          </cell>
        </row>
        <row r="1630">
          <cell r="G1630" t="str">
            <v>RTRNCART64REC-COMM</v>
          </cell>
          <cell r="H1630" t="str">
            <v>RETURN TRIP 64 GL REC - COMM</v>
          </cell>
        </row>
        <row r="1631">
          <cell r="G1631" t="str">
            <v>RTRNCART64REC-COMM</v>
          </cell>
          <cell r="H1631" t="str">
            <v>RETURN TRIP 64 GL REC - COMM</v>
          </cell>
        </row>
        <row r="1632">
          <cell r="G1632" t="str">
            <v>RTRNCART64REC-COMM</v>
          </cell>
          <cell r="H1632" t="str">
            <v>RETURN TRIP 64 GL REC - COMM</v>
          </cell>
        </row>
        <row r="1633">
          <cell r="G1633" t="str">
            <v>RTRNCART64REC-COMM</v>
          </cell>
          <cell r="H1633" t="str">
            <v>RETURN TRIP 64 GL REC - COMM</v>
          </cell>
        </row>
        <row r="1634">
          <cell r="G1634" t="str">
            <v>RTRNCART64REC-RES</v>
          </cell>
          <cell r="H1634" t="str">
            <v>RETURN TRIP 64 GL REC - RES</v>
          </cell>
        </row>
        <row r="1635">
          <cell r="G1635" t="str">
            <v>RTRNCART64REC-RES</v>
          </cell>
          <cell r="H1635" t="str">
            <v>RETURN TRIP 64 GL REC - RES</v>
          </cell>
        </row>
        <row r="1636">
          <cell r="G1636" t="str">
            <v>RTRNCART64REC-RES</v>
          </cell>
          <cell r="H1636" t="str">
            <v>RETURN TRIP 64 GL REC - RES</v>
          </cell>
        </row>
        <row r="1637">
          <cell r="G1637" t="str">
            <v>RTRNCART64S-COMM</v>
          </cell>
          <cell r="H1637" t="str">
            <v>RETURN TRIP 64 GL SCHL - COMM</v>
          </cell>
        </row>
        <row r="1638">
          <cell r="G1638" t="str">
            <v>RTRNCART64S-COMM</v>
          </cell>
          <cell r="H1638" t="str">
            <v>RETURN TRIP 64 GL SCHL - COMM</v>
          </cell>
        </row>
        <row r="1639">
          <cell r="G1639" t="str">
            <v>RTRNCART64S-COMM</v>
          </cell>
          <cell r="H1639" t="str">
            <v>RETURN TRIP 64 GL SCHL - COMM</v>
          </cell>
        </row>
        <row r="1640">
          <cell r="G1640" t="str">
            <v>RTRNCART64S-COMM</v>
          </cell>
          <cell r="H1640" t="str">
            <v>RETURN TRIP 64 GL SCHL - COMM</v>
          </cell>
        </row>
        <row r="1641">
          <cell r="G1641" t="str">
            <v>RTRNCART64S-COMM</v>
          </cell>
          <cell r="H1641" t="str">
            <v>RETURN TRIP 64 GL SCHL - COMM</v>
          </cell>
        </row>
        <row r="1642">
          <cell r="G1642" t="str">
            <v>RTRNCART64S-COMM</v>
          </cell>
          <cell r="H1642" t="str">
            <v>RETURN TRIP 64 GL SCHL - COMM</v>
          </cell>
        </row>
        <row r="1643">
          <cell r="G1643" t="str">
            <v>RTRNCART65-COMM</v>
          </cell>
          <cell r="H1643" t="str">
            <v>RETURN TRIP 65 GL - COMM</v>
          </cell>
        </row>
        <row r="1644">
          <cell r="G1644" t="str">
            <v>RTRNCART65-COMM</v>
          </cell>
          <cell r="H1644" t="str">
            <v>RETURN TRIP 65 GL - COMM</v>
          </cell>
        </row>
        <row r="1645">
          <cell r="G1645" t="str">
            <v>RTRNCART65-COMM</v>
          </cell>
          <cell r="H1645" t="str">
            <v>RETURN TRIP 65 GL - COMM</v>
          </cell>
        </row>
        <row r="1646">
          <cell r="G1646" t="str">
            <v>RTRNCART65-COMM</v>
          </cell>
          <cell r="H1646" t="str">
            <v>RETURN TRIP 65 GL - COMM</v>
          </cell>
        </row>
        <row r="1647">
          <cell r="G1647" t="str">
            <v>RTRNCART65-COMM</v>
          </cell>
          <cell r="H1647" t="str">
            <v>RETURN TRIP 65 GL - COMM</v>
          </cell>
        </row>
        <row r="1648">
          <cell r="G1648" t="str">
            <v>RTRNCART65-RES</v>
          </cell>
          <cell r="H1648" t="str">
            <v>RETURN TRIP 65 GL - RES</v>
          </cell>
        </row>
        <row r="1649">
          <cell r="G1649" t="str">
            <v>RTRNCART65-RES</v>
          </cell>
          <cell r="H1649" t="str">
            <v>RETURN TRIP 65 GL - RES</v>
          </cell>
        </row>
        <row r="1650">
          <cell r="G1650" t="str">
            <v>RTRNCART65-RES</v>
          </cell>
          <cell r="H1650" t="str">
            <v>RETURN TRIP 65 GL - RES</v>
          </cell>
        </row>
        <row r="1651">
          <cell r="G1651" t="str">
            <v>RTRNCART65-RES</v>
          </cell>
          <cell r="H1651" t="str">
            <v>RETURN TRIP 65 GL - RES</v>
          </cell>
        </row>
        <row r="1652">
          <cell r="G1652" t="str">
            <v>RTRNCART65-RES</v>
          </cell>
          <cell r="H1652" t="str">
            <v>RETURN TRIP 65 GL - RES</v>
          </cell>
        </row>
        <row r="1653">
          <cell r="G1653" t="str">
            <v>RTRNCART65-RES</v>
          </cell>
          <cell r="H1653" t="str">
            <v>RETURN TRIP 65 GL - RES</v>
          </cell>
        </row>
        <row r="1654">
          <cell r="G1654" t="str">
            <v>RTRNCART65-RES</v>
          </cell>
          <cell r="H1654" t="str">
            <v>RETURN TRIP 65 GL - RES</v>
          </cell>
        </row>
        <row r="1655">
          <cell r="G1655" t="str">
            <v>RTRNCART95-COMM</v>
          </cell>
          <cell r="H1655" t="str">
            <v>RETURN TRIP 95 GL - COMM</v>
          </cell>
        </row>
        <row r="1656">
          <cell r="G1656" t="str">
            <v>RTRNCART95-COMM</v>
          </cell>
          <cell r="H1656" t="str">
            <v>RETURN TRIP 95 GL - COMM</v>
          </cell>
        </row>
        <row r="1657">
          <cell r="G1657" t="str">
            <v>RTRNCART95-COMM</v>
          </cell>
          <cell r="H1657" t="str">
            <v>RETURN TRIP 95 GL - COMM</v>
          </cell>
        </row>
        <row r="1658">
          <cell r="G1658" t="str">
            <v>RTRNCART95-COMM</v>
          </cell>
          <cell r="H1658" t="str">
            <v>RETURN TRIP 95 GL - COMM</v>
          </cell>
        </row>
        <row r="1659">
          <cell r="G1659" t="str">
            <v>RTRNCART95-COMM</v>
          </cell>
          <cell r="H1659" t="str">
            <v>RETURN TRIP 95 GL - COMM</v>
          </cell>
        </row>
        <row r="1660">
          <cell r="G1660" t="str">
            <v>RTRNCART95-RES</v>
          </cell>
          <cell r="H1660" t="str">
            <v>RETURN TRIP 95 GL - RES</v>
          </cell>
        </row>
        <row r="1661">
          <cell r="G1661" t="str">
            <v>RTRNCART95-RES</v>
          </cell>
          <cell r="H1661" t="str">
            <v>RETURN TRIP 95 GL - RES</v>
          </cell>
        </row>
        <row r="1662">
          <cell r="G1662" t="str">
            <v>RTRNCART95-RES</v>
          </cell>
          <cell r="H1662" t="str">
            <v>RETURN TRIP 95 GL - RES</v>
          </cell>
        </row>
        <row r="1663">
          <cell r="G1663" t="str">
            <v>RTRNCART95-RES</v>
          </cell>
          <cell r="H1663" t="str">
            <v>RETURN TRIP 95 GL - RES</v>
          </cell>
        </row>
        <row r="1664">
          <cell r="G1664" t="str">
            <v>RTRNCART95-RES</v>
          </cell>
          <cell r="H1664" t="str">
            <v>RETURN TRIP 95 GL - RES</v>
          </cell>
        </row>
        <row r="1665">
          <cell r="G1665" t="str">
            <v>RTRNCART95-RES</v>
          </cell>
          <cell r="H1665" t="str">
            <v>RETURN TRIP 95 GL - RES</v>
          </cell>
        </row>
        <row r="1666">
          <cell r="G1666" t="str">
            <v>RTRNCART96REC-COMM</v>
          </cell>
          <cell r="H1666" t="str">
            <v>RETURN TRIP 96 GL REC - C</v>
          </cell>
        </row>
        <row r="1667">
          <cell r="G1667" t="str">
            <v>RTRNCART96REC-COMM</v>
          </cell>
          <cell r="H1667" t="str">
            <v>RETURN TRIP 96 GL REC - C</v>
          </cell>
        </row>
        <row r="1668">
          <cell r="G1668" t="str">
            <v>RTRNCART96REC-COMM</v>
          </cell>
          <cell r="H1668" t="str">
            <v>RETURN TRIP 96 GL REC - C</v>
          </cell>
        </row>
        <row r="1669">
          <cell r="G1669" t="str">
            <v>RTRNCART96REC-COMM</v>
          </cell>
          <cell r="H1669" t="str">
            <v>RETURN TRIP 96 GL REC - C</v>
          </cell>
        </row>
        <row r="1670">
          <cell r="G1670" t="str">
            <v>RTRNCART96REC-COMM</v>
          </cell>
          <cell r="H1670" t="str">
            <v>RETURN TRIP 96 GL REC - C</v>
          </cell>
        </row>
        <row r="1671">
          <cell r="G1671" t="str">
            <v>RTRNCART96REC-COMM</v>
          </cell>
          <cell r="H1671" t="str">
            <v>RETURN TRIP 96 GL REC - C</v>
          </cell>
        </row>
        <row r="1672">
          <cell r="G1672" t="str">
            <v>RTRNCART96REC-COMM</v>
          </cell>
          <cell r="H1672" t="str">
            <v>RETURN TRIP 96 GL REC - C</v>
          </cell>
        </row>
        <row r="1673">
          <cell r="G1673" t="str">
            <v>RTRNCART96REC-COMM</v>
          </cell>
          <cell r="H1673" t="str">
            <v>RETURN TRIP 96 GL REC - C</v>
          </cell>
        </row>
        <row r="1674">
          <cell r="G1674" t="str">
            <v>RTRNCART96REC-COMM</v>
          </cell>
          <cell r="H1674" t="str">
            <v>RETURN TRIP 96 GL REC - C</v>
          </cell>
        </row>
        <row r="1675">
          <cell r="G1675" t="str">
            <v>RTRNCART96REC-RES</v>
          </cell>
          <cell r="H1675" t="str">
            <v>RETURN TRIP 96 GL REC - RES</v>
          </cell>
        </row>
        <row r="1676">
          <cell r="G1676" t="str">
            <v>RTRNCART96REC-RES</v>
          </cell>
          <cell r="H1676" t="str">
            <v>RETURN TRIP 96 GL REC - RES</v>
          </cell>
        </row>
        <row r="1677">
          <cell r="G1677" t="str">
            <v>RTRNCART96REC-RES</v>
          </cell>
          <cell r="H1677" t="str">
            <v>RETURN TRIP 96 GL REC - RES</v>
          </cell>
        </row>
        <row r="1678">
          <cell r="G1678" t="str">
            <v>RTRNCART96REC-RES</v>
          </cell>
          <cell r="H1678" t="str">
            <v>RETURN TRIP 96 GL REC - RES</v>
          </cell>
        </row>
        <row r="1679">
          <cell r="G1679" t="str">
            <v>RTRNCART96REC-RES</v>
          </cell>
          <cell r="H1679" t="str">
            <v>RETURN TRIP 96 GL REC - RES</v>
          </cell>
        </row>
        <row r="1680">
          <cell r="G1680" t="str">
            <v>RTRNCART96REC-RES</v>
          </cell>
          <cell r="H1680" t="str">
            <v>RETURN TRIP 96 GL REC - RES</v>
          </cell>
        </row>
        <row r="1681">
          <cell r="G1681" t="str">
            <v>RTRNCART96S-COMM</v>
          </cell>
          <cell r="H1681" t="str">
            <v>RETURN TRIP 96 GL SCHL - COMM</v>
          </cell>
        </row>
        <row r="1682">
          <cell r="G1682" t="str">
            <v>RTRNCART96S-COMM</v>
          </cell>
          <cell r="H1682" t="str">
            <v>RETURN TRIP 96 GL SCHL - COMM</v>
          </cell>
        </row>
        <row r="1683">
          <cell r="G1683" t="str">
            <v>RTRNCART96S-COMM</v>
          </cell>
          <cell r="H1683" t="str">
            <v>RETURN TRIP 96 GL SCHL - COMM</v>
          </cell>
        </row>
        <row r="1684">
          <cell r="G1684" t="str">
            <v>RTRNCART96S-COMM</v>
          </cell>
          <cell r="H1684" t="str">
            <v>RETURN TRIP 96 GL SCHL - COMM</v>
          </cell>
        </row>
        <row r="1685">
          <cell r="G1685" t="str">
            <v>RTRNCART96S-COMM</v>
          </cell>
          <cell r="H1685" t="str">
            <v>RETURN TRIP 96 GL SCHL - COMM</v>
          </cell>
        </row>
        <row r="1686">
          <cell r="G1686" t="str">
            <v>RTRNCART96S-COMM</v>
          </cell>
          <cell r="H1686" t="str">
            <v>RETURN TRIP 96 GL SCHL - COMM</v>
          </cell>
        </row>
        <row r="1687">
          <cell r="G1687" t="str">
            <v>RTRNCARTREC-COMM</v>
          </cell>
          <cell r="H1687" t="str">
            <v xml:space="preserve">RETURN TRIP RECYCLE CART </v>
          </cell>
        </row>
        <row r="1688">
          <cell r="G1688" t="str">
            <v>RTRNCARTREC-COMM</v>
          </cell>
          <cell r="H1688" t="str">
            <v xml:space="preserve">RETURN TRIP RECYCLE CART </v>
          </cell>
        </row>
        <row r="1689">
          <cell r="G1689" t="str">
            <v>RTRNTRIP-COMM</v>
          </cell>
          <cell r="H1689" t="str">
            <v>RETURN TRIP FEE - COMM</v>
          </cell>
        </row>
        <row r="1690">
          <cell r="G1690" t="str">
            <v>RTRNTRIP-COMM</v>
          </cell>
          <cell r="H1690" t="str">
            <v>RETURN TRIP FEE - COMM</v>
          </cell>
        </row>
        <row r="1691">
          <cell r="G1691" t="str">
            <v>RTRNTRIP-COMM</v>
          </cell>
          <cell r="H1691" t="str">
            <v>RETURN TRIP FEE - COMM</v>
          </cell>
        </row>
        <row r="1692">
          <cell r="G1692" t="str">
            <v>RTRNTRIP-COMM</v>
          </cell>
          <cell r="H1692" t="str">
            <v>RETURN TRIP FEE - COMM</v>
          </cell>
        </row>
        <row r="1693">
          <cell r="G1693" t="str">
            <v>RTRNTRIP-COMM</v>
          </cell>
          <cell r="H1693" t="str">
            <v>RETURN TRIP FEE - COMM</v>
          </cell>
        </row>
        <row r="1694">
          <cell r="G1694" t="str">
            <v>RTRNTRIP-COMM</v>
          </cell>
          <cell r="H1694" t="str">
            <v>RETURN TRIP FEE - COMM</v>
          </cell>
        </row>
        <row r="1695">
          <cell r="G1695" t="str">
            <v>RTRNTRIP-MF</v>
          </cell>
          <cell r="H1695" t="str">
            <v>RETURN TRIP MULTI-FAMILY</v>
          </cell>
        </row>
        <row r="1696">
          <cell r="G1696" t="str">
            <v>RTRNTRIP-RES</v>
          </cell>
          <cell r="H1696" t="str">
            <v>RETURN TRIP FEE - RES</v>
          </cell>
        </row>
        <row r="1697">
          <cell r="G1697" t="str">
            <v>RTRNTRIP-RES</v>
          </cell>
          <cell r="H1697" t="str">
            <v>RETURN TRIP FEE - RES</v>
          </cell>
        </row>
        <row r="1698">
          <cell r="G1698" t="str">
            <v>RTRNTRIP-RES</v>
          </cell>
          <cell r="H1698" t="str">
            <v>RETURN TRIP FEE - RES</v>
          </cell>
        </row>
        <row r="1699">
          <cell r="G1699" t="str">
            <v>RTRNTRIP-RO</v>
          </cell>
          <cell r="H1699" t="str">
            <v>RETURN TRIP FEE - RO</v>
          </cell>
        </row>
        <row r="1700">
          <cell r="G1700" t="str">
            <v>RTRNTRIP-RO</v>
          </cell>
          <cell r="H1700" t="str">
            <v>RETURN TRIP FEE - RO</v>
          </cell>
        </row>
        <row r="1701">
          <cell r="G1701" t="str">
            <v>RTRNTRIP-RO</v>
          </cell>
          <cell r="H1701" t="str">
            <v>RETURN TRIP FEE - RO</v>
          </cell>
        </row>
        <row r="1702">
          <cell r="G1702" t="str">
            <v>RTRNTRIP-RO</v>
          </cell>
          <cell r="H1702" t="str">
            <v>RETURN TRIP FEE - RO</v>
          </cell>
        </row>
        <row r="1703">
          <cell r="G1703" t="str">
            <v>RTRNTRIP-RO</v>
          </cell>
          <cell r="H1703" t="str">
            <v>RETURN TRIP FEE - RO</v>
          </cell>
        </row>
        <row r="1704">
          <cell r="G1704" t="str">
            <v>RTRNTRIP-RO</v>
          </cell>
          <cell r="H1704" t="str">
            <v>RETURN TRIP FEE - RO</v>
          </cell>
        </row>
        <row r="1705">
          <cell r="G1705" t="str">
            <v>S45G1W1</v>
          </cell>
          <cell r="H1705" t="str">
            <v>45 GL 1X WK 1</v>
          </cell>
        </row>
        <row r="1706">
          <cell r="G1706" t="str">
            <v>S45G1W2</v>
          </cell>
          <cell r="H1706" t="str">
            <v>45 GL 1X WK 2</v>
          </cell>
        </row>
        <row r="1707">
          <cell r="G1707" t="str">
            <v>S45G1W3</v>
          </cell>
          <cell r="H1707" t="str">
            <v>45 GL 1X WK 3</v>
          </cell>
        </row>
        <row r="1708">
          <cell r="G1708" t="str">
            <v>S45G1W4</v>
          </cell>
          <cell r="H1708" t="str">
            <v>45 GL 1X WK 4</v>
          </cell>
        </row>
        <row r="1709">
          <cell r="G1709" t="str">
            <v>S45GEO1</v>
          </cell>
          <cell r="H1709" t="str">
            <v>45 GL EOW 1</v>
          </cell>
        </row>
        <row r="1710">
          <cell r="G1710" t="str">
            <v>SL020.0G1W001</v>
          </cell>
          <cell r="H1710" t="str">
            <v>20 GL 1X WK 1</v>
          </cell>
        </row>
        <row r="1711">
          <cell r="G1711" t="str">
            <v>SL032.0G1W001WREC</v>
          </cell>
          <cell r="H1711" t="str">
            <v>32 GL 1X WK W/RECY 1</v>
          </cell>
        </row>
        <row r="1712">
          <cell r="G1712" t="str">
            <v>SL035.0G1M001NOREC</v>
          </cell>
          <cell r="H1712" t="str">
            <v>35 GL 1X MO NO RECY 1</v>
          </cell>
        </row>
        <row r="1713">
          <cell r="G1713" t="str">
            <v>SL035.0G1M001NOREC</v>
          </cell>
          <cell r="H1713" t="str">
            <v>35 GL 1X MO NO RECY 1</v>
          </cell>
        </row>
        <row r="1714">
          <cell r="G1714" t="str">
            <v>SL035.0G1M001NOREC</v>
          </cell>
          <cell r="H1714" t="str">
            <v>35 GL 1X MO NO RECY 1</v>
          </cell>
        </row>
        <row r="1715">
          <cell r="G1715" t="str">
            <v>SL035.0G1M001WREC</v>
          </cell>
          <cell r="H1715" t="str">
            <v>35 GL 1X MO W/RECY 1</v>
          </cell>
        </row>
        <row r="1716">
          <cell r="G1716" t="str">
            <v>SL035.0G1M001WREC</v>
          </cell>
          <cell r="H1716" t="str">
            <v>35 GL 1X MO W/RECY 1</v>
          </cell>
        </row>
        <row r="1717">
          <cell r="G1717" t="str">
            <v>SL035.0G1M001WREC</v>
          </cell>
          <cell r="H1717" t="str">
            <v>35 GL 1X MO W/RECY 1</v>
          </cell>
        </row>
        <row r="1718">
          <cell r="G1718" t="str">
            <v>SL035.0G1M001WREC</v>
          </cell>
          <cell r="H1718" t="str">
            <v>35 GL 1X MO W/RECY 1</v>
          </cell>
        </row>
        <row r="1719">
          <cell r="G1719" t="str">
            <v>SL035.0G1M001WRECC</v>
          </cell>
          <cell r="H1719" t="str">
            <v>35 GL 1X MO W/RECY COMM 1</v>
          </cell>
        </row>
        <row r="1720">
          <cell r="G1720" t="str">
            <v>SL035.0G1W001NOREC</v>
          </cell>
          <cell r="H1720" t="str">
            <v>35 GL 1X WK NO RECY 1</v>
          </cell>
        </row>
        <row r="1721">
          <cell r="G1721" t="str">
            <v>SL035.0G1W001NOREC</v>
          </cell>
          <cell r="H1721" t="str">
            <v>35 GL 1X WK NO RECY 1</v>
          </cell>
        </row>
        <row r="1722">
          <cell r="G1722" t="str">
            <v>SL035.0G1W001NOREC</v>
          </cell>
          <cell r="H1722" t="str">
            <v>35 GL 1X WK NO RECY 1</v>
          </cell>
        </row>
        <row r="1723">
          <cell r="G1723" t="str">
            <v>SL035.0G1W001NORECC</v>
          </cell>
          <cell r="H1723" t="str">
            <v>35 GL 1X WK NO RECY COMM 1</v>
          </cell>
        </row>
        <row r="1724">
          <cell r="G1724" t="str">
            <v>SL035.0G1W001WREC</v>
          </cell>
          <cell r="H1724" t="str">
            <v>35 GL 1X WK W/ RECY 1</v>
          </cell>
        </row>
        <row r="1725">
          <cell r="G1725" t="str">
            <v>SL035.0G1W001WREC</v>
          </cell>
          <cell r="H1725" t="str">
            <v>35 GL 1X WK W/ RECY 1</v>
          </cell>
        </row>
        <row r="1726">
          <cell r="G1726" t="str">
            <v>SL035.0G1W001WREC</v>
          </cell>
          <cell r="H1726" t="str">
            <v>35 GL 1X WK W/ RECY 1</v>
          </cell>
        </row>
        <row r="1727">
          <cell r="G1727" t="str">
            <v>SL035.0G1W001WRECC</v>
          </cell>
          <cell r="H1727" t="str">
            <v>35 GL 1X WK W/RECY COMM 1</v>
          </cell>
        </row>
        <row r="1728">
          <cell r="G1728" t="str">
            <v>SL035.0G1W001WRECC</v>
          </cell>
          <cell r="H1728" t="str">
            <v>35 GL 1X WK W/RECY COMM 1</v>
          </cell>
        </row>
        <row r="1729">
          <cell r="G1729" t="str">
            <v>SL035.0G1W002NOREC</v>
          </cell>
          <cell r="H1729" t="str">
            <v>35 GL 1X WK NO RECY 2</v>
          </cell>
        </row>
        <row r="1730">
          <cell r="G1730" t="str">
            <v>SL035.0G1W002WREC</v>
          </cell>
          <cell r="H1730" t="str">
            <v>35 GL 1X WK W/RECY 2</v>
          </cell>
        </row>
        <row r="1731">
          <cell r="G1731" t="str">
            <v>SL035.0G1W002WREC</v>
          </cell>
          <cell r="H1731" t="str">
            <v>35 GL 1X WK W/RECY 2</v>
          </cell>
        </row>
        <row r="1732">
          <cell r="G1732" t="str">
            <v>SL035.0G1W003NOREC</v>
          </cell>
          <cell r="H1732" t="str">
            <v>35 GL 1X WK NO RECY 3</v>
          </cell>
        </row>
        <row r="1733">
          <cell r="G1733" t="str">
            <v>SL035.0G1W003WREC</v>
          </cell>
          <cell r="H1733" t="str">
            <v>35 GL 1X WK W/RECY 3</v>
          </cell>
        </row>
        <row r="1734">
          <cell r="G1734" t="str">
            <v>SL035.0G1W003WREC</v>
          </cell>
          <cell r="H1734" t="str">
            <v>35 GL 1X WK W/RECY 3</v>
          </cell>
        </row>
        <row r="1735">
          <cell r="G1735" t="str">
            <v>SL035.0G1W004NOREC</v>
          </cell>
          <cell r="H1735" t="str">
            <v>35 GL 1X WK NO RECY 4</v>
          </cell>
        </row>
        <row r="1736">
          <cell r="G1736" t="str">
            <v>SL035.0G1W004WREC</v>
          </cell>
          <cell r="H1736" t="str">
            <v>35 GL 1X WK W/RECY 4</v>
          </cell>
        </row>
        <row r="1737">
          <cell r="G1737" t="str">
            <v>SL035.0G1W004WREC</v>
          </cell>
          <cell r="H1737" t="str">
            <v>35 GL 1X WK W/RECY 4</v>
          </cell>
        </row>
        <row r="1738">
          <cell r="G1738" t="str">
            <v>SL035.0G1W005NOREC</v>
          </cell>
          <cell r="H1738" t="str">
            <v>35 GL 1X WK NO RECY 5</v>
          </cell>
        </row>
        <row r="1739">
          <cell r="G1739" t="str">
            <v>SL035.0G1W005WREC</v>
          </cell>
          <cell r="H1739" t="str">
            <v>35 GL 1X WK W/RECY 5</v>
          </cell>
        </row>
        <row r="1740">
          <cell r="G1740" t="str">
            <v>SL035.0GEO001NOREC</v>
          </cell>
          <cell r="H1740" t="str">
            <v>35 GL EOW NO RECY 1</v>
          </cell>
        </row>
        <row r="1741">
          <cell r="G1741" t="str">
            <v>SL035.0GEO001NOREC</v>
          </cell>
          <cell r="H1741" t="str">
            <v>35 GL EOW NO RECY 1</v>
          </cell>
        </row>
        <row r="1742">
          <cell r="G1742" t="str">
            <v>SL035.0GEO001NOREC</v>
          </cell>
          <cell r="H1742" t="str">
            <v>35 GL EOW NO RECY 1</v>
          </cell>
        </row>
        <row r="1743">
          <cell r="G1743" t="str">
            <v>SL035.0GEO001WREC</v>
          </cell>
          <cell r="H1743" t="str">
            <v>35 GL EOW W/RECY 1</v>
          </cell>
        </row>
        <row r="1744">
          <cell r="G1744" t="str">
            <v>SL035.0GEO001WREC</v>
          </cell>
          <cell r="H1744" t="str">
            <v>35 GL EOW W/RECY 1</v>
          </cell>
        </row>
        <row r="1745">
          <cell r="G1745" t="str">
            <v>SL035.0GEO001WREC</v>
          </cell>
          <cell r="H1745" t="str">
            <v>35 GL EOW W/RECY 1</v>
          </cell>
        </row>
        <row r="1746">
          <cell r="G1746" t="str">
            <v>SL064.0G1M001BCMGLIN</v>
          </cell>
          <cell r="H1746" t="str">
            <v>64 GL MTHLY BUS CMGL IN</v>
          </cell>
        </row>
        <row r="1747">
          <cell r="G1747" t="str">
            <v>SL064.0G1M001BCMGLIN</v>
          </cell>
          <cell r="H1747" t="str">
            <v>64 GL MTHLY BUS CMGL IN</v>
          </cell>
        </row>
        <row r="1748">
          <cell r="G1748" t="str">
            <v>SL064.0G1M001BCMGLIN</v>
          </cell>
          <cell r="H1748" t="str">
            <v>64 GL MTHLY BUS CMGL IN</v>
          </cell>
        </row>
        <row r="1749">
          <cell r="G1749" t="str">
            <v>SL064.0G1M001BCMGLIN</v>
          </cell>
          <cell r="H1749" t="str">
            <v>64 GL MTHLY BUS CMGL IN</v>
          </cell>
        </row>
        <row r="1750">
          <cell r="G1750" t="str">
            <v>SL064.0G1M001BCMGLIN</v>
          </cell>
          <cell r="H1750" t="str">
            <v>64 GL MTHLY BUS CMGL IN</v>
          </cell>
        </row>
        <row r="1751">
          <cell r="G1751" t="str">
            <v>SL064.0G1M001BCMGLIN</v>
          </cell>
          <cell r="H1751" t="str">
            <v>64 GL MTHLY BUS CMGL IN</v>
          </cell>
        </row>
        <row r="1752">
          <cell r="G1752" t="str">
            <v>SL064.0G1M001BCMGLIN</v>
          </cell>
          <cell r="H1752" t="str">
            <v>64 GL MTHLY BUS CMGL IN</v>
          </cell>
        </row>
        <row r="1753">
          <cell r="G1753" t="str">
            <v>SL064.0G1M001BCMGLIN</v>
          </cell>
          <cell r="H1753" t="str">
            <v>64 GL MTHLY BUS CMGL IN</v>
          </cell>
        </row>
        <row r="1754">
          <cell r="G1754" t="str">
            <v>SL064.0G1M001BCMGLIN</v>
          </cell>
          <cell r="H1754" t="str">
            <v>64 GL MTHLY BUS CMGL IN</v>
          </cell>
        </row>
        <row r="1755">
          <cell r="G1755" t="str">
            <v>SL064.0G1M001BCMGLOUT</v>
          </cell>
          <cell r="H1755" t="str">
            <v>64 GL MTHLY BUS CMGL OUT</v>
          </cell>
        </row>
        <row r="1756">
          <cell r="G1756" t="str">
            <v>SL064.0G1M001BCMGLOUT</v>
          </cell>
          <cell r="H1756" t="str">
            <v>64 GL MTHLY BUS CMGL OUT</v>
          </cell>
        </row>
        <row r="1757">
          <cell r="G1757" t="str">
            <v>SL064.0G1M001BCMGLOUT</v>
          </cell>
          <cell r="H1757" t="str">
            <v>64 GL MTHLY BUS CMGL OUT</v>
          </cell>
        </row>
        <row r="1758">
          <cell r="G1758" t="str">
            <v>SL064.0G1M001BCMGLOUT</v>
          </cell>
          <cell r="H1758" t="str">
            <v>64 GL MTHLY BUS CMGL OUT</v>
          </cell>
        </row>
        <row r="1759">
          <cell r="G1759" t="str">
            <v>SL064.0G1M001BCMGLOUT</v>
          </cell>
          <cell r="H1759" t="str">
            <v>64 GL MTHLY BUS CMGL OUT</v>
          </cell>
        </row>
        <row r="1760">
          <cell r="G1760" t="str">
            <v>SL064.0G1M001BCMGLOUT</v>
          </cell>
          <cell r="H1760" t="str">
            <v>64 GL MTHLY BUS CMGL OUT</v>
          </cell>
        </row>
        <row r="1761">
          <cell r="G1761" t="str">
            <v>SL064.0G1M001BCMGLOUT</v>
          </cell>
          <cell r="H1761" t="str">
            <v>64 GL MTHLY BUS CMGL OUT</v>
          </cell>
        </row>
        <row r="1762">
          <cell r="G1762" t="str">
            <v>SL064.0G1M001BCMGLOUT</v>
          </cell>
          <cell r="H1762" t="str">
            <v>64 GL MTHLY BUS CMGL OUT</v>
          </cell>
        </row>
        <row r="1763">
          <cell r="G1763" t="str">
            <v>SL064.0G1M001BCMGLOUT</v>
          </cell>
          <cell r="H1763" t="str">
            <v>64 GL MTHLY BUS CMGL OUT</v>
          </cell>
        </row>
        <row r="1764">
          <cell r="G1764" t="str">
            <v>SL064.0G1M001SCMGLIN</v>
          </cell>
          <cell r="H1764" t="str">
            <v>64 GL MTHLY SCHL CMGL IN</v>
          </cell>
        </row>
        <row r="1765">
          <cell r="G1765" t="str">
            <v>SL064.0G1M001SCMGLIN</v>
          </cell>
          <cell r="H1765" t="str">
            <v>64 GL MTHLY SCHL CMGL IN</v>
          </cell>
        </row>
        <row r="1766">
          <cell r="G1766" t="str">
            <v>SL064.0G1M001SCMGLIN</v>
          </cell>
          <cell r="H1766" t="str">
            <v>64 GL MTHLY SCHL CMGL IN</v>
          </cell>
        </row>
        <row r="1767">
          <cell r="G1767" t="str">
            <v>SL064.0G1M001SCMGLIN</v>
          </cell>
          <cell r="H1767" t="str">
            <v>64 GL MTHLY SCHL CMGL IN</v>
          </cell>
        </row>
        <row r="1768">
          <cell r="G1768" t="str">
            <v>SL064.0G1M001SCMGLIN</v>
          </cell>
          <cell r="H1768" t="str">
            <v>64 GL MTHLY SCHL CMGL IN</v>
          </cell>
        </row>
        <row r="1769">
          <cell r="G1769" t="str">
            <v>SL064.0G1M001SCMGLIN</v>
          </cell>
          <cell r="H1769" t="str">
            <v>64 GL MTHLY SCHL CMGL IN</v>
          </cell>
        </row>
        <row r="1770">
          <cell r="G1770" t="str">
            <v>SL064.0G1M001SCMGLIN</v>
          </cell>
          <cell r="H1770" t="str">
            <v>64 GL MTHLY SCHL CMGL IN</v>
          </cell>
        </row>
        <row r="1771">
          <cell r="G1771" t="str">
            <v>SL064.0G1M001SCMGLIN</v>
          </cell>
          <cell r="H1771" t="str">
            <v>64 GL MTHLY SCHL CMGL IN</v>
          </cell>
        </row>
        <row r="1772">
          <cell r="G1772" t="str">
            <v>SL064.0G1M001SCMGLIN</v>
          </cell>
          <cell r="H1772" t="str">
            <v>64 GL MTHLY SCHL CMGL IN</v>
          </cell>
        </row>
        <row r="1773">
          <cell r="G1773" t="str">
            <v>SL064.0G1M001SCMGLOUT</v>
          </cell>
          <cell r="H1773" t="str">
            <v>64 GL MTHLY SCHL CMGL OUT</v>
          </cell>
        </row>
        <row r="1774">
          <cell r="G1774" t="str">
            <v>SL064.0G1M001SCMGLOUT</v>
          </cell>
          <cell r="H1774" t="str">
            <v>64 GL MTHLY SCHL CMGL OUT</v>
          </cell>
        </row>
        <row r="1775">
          <cell r="G1775" t="str">
            <v>SL064.0G1M001SCMGLOUT</v>
          </cell>
          <cell r="H1775" t="str">
            <v>64 GL MTHLY SCHL CMGL OUT</v>
          </cell>
        </row>
        <row r="1776">
          <cell r="G1776" t="str">
            <v>SL064.0G1M001SCMGLOUT</v>
          </cell>
          <cell r="H1776" t="str">
            <v>64 GL MTHLY SCHL CMGL OUT</v>
          </cell>
        </row>
        <row r="1777">
          <cell r="G1777" t="str">
            <v>SL064.0G1M001SCMGLOUT</v>
          </cell>
          <cell r="H1777" t="str">
            <v>64 GL MTHLY SCHL CMGL OUT</v>
          </cell>
        </row>
        <row r="1778">
          <cell r="G1778" t="str">
            <v>SL064.0G1M001SCMGLOUT</v>
          </cell>
          <cell r="H1778" t="str">
            <v>64 GL MTHLY SCHL CMGL OUT</v>
          </cell>
        </row>
        <row r="1779">
          <cell r="G1779" t="str">
            <v>SL064.0G1M001SCMGLOUT</v>
          </cell>
          <cell r="H1779" t="str">
            <v>64 GL MTHLY SCHL CMGL OUT</v>
          </cell>
        </row>
        <row r="1780">
          <cell r="G1780" t="str">
            <v>SL064.0G1M001SCMGLOUT</v>
          </cell>
          <cell r="H1780" t="str">
            <v>64 GL MTHLY SCHL CMGL OUT</v>
          </cell>
        </row>
        <row r="1781">
          <cell r="G1781" t="str">
            <v>SL064.0G1M001SCMGLOUT</v>
          </cell>
          <cell r="H1781" t="str">
            <v>64 GL MTHLY SCHL CMGL OUT</v>
          </cell>
        </row>
        <row r="1782">
          <cell r="G1782" t="str">
            <v>SL064.0G1W001BCMGLIN</v>
          </cell>
          <cell r="H1782" t="str">
            <v>64 GL WKLY BUS CMGL IN</v>
          </cell>
        </row>
        <row r="1783">
          <cell r="G1783" t="str">
            <v>SL064.0G1W001BCMGLIN</v>
          </cell>
          <cell r="H1783" t="str">
            <v>64 GL WKLY BUS CMGL IN</v>
          </cell>
        </row>
        <row r="1784">
          <cell r="G1784" t="str">
            <v>SL064.0G1W001BCMGLIN</v>
          </cell>
          <cell r="H1784" t="str">
            <v>64 GL WKLY BUS CMGL IN</v>
          </cell>
        </row>
        <row r="1785">
          <cell r="G1785" t="str">
            <v>SL064.0G1W001BCMGLIN</v>
          </cell>
          <cell r="H1785" t="str">
            <v>64 GL WKLY BUS CMGL IN</v>
          </cell>
        </row>
        <row r="1786">
          <cell r="G1786" t="str">
            <v>SL064.0G1W001BCMGLIN</v>
          </cell>
          <cell r="H1786" t="str">
            <v>64 GL WKLY BUS CMGL IN</v>
          </cell>
        </row>
        <row r="1787">
          <cell r="G1787" t="str">
            <v>SL064.0G1W001BCMGLIN</v>
          </cell>
          <cell r="H1787" t="str">
            <v>64 GL WKLY BUS CMGL IN</v>
          </cell>
        </row>
        <row r="1788">
          <cell r="G1788" t="str">
            <v>SL064.0G1W001BCMGLIN</v>
          </cell>
          <cell r="H1788" t="str">
            <v>64 GL WKLY BUS CMGL IN</v>
          </cell>
        </row>
        <row r="1789">
          <cell r="G1789" t="str">
            <v>SL064.0G1W001BCMGLIN</v>
          </cell>
          <cell r="H1789" t="str">
            <v>64 GL WKLY BUS CMGL IN</v>
          </cell>
        </row>
        <row r="1790">
          <cell r="G1790" t="str">
            <v>SL064.0G1W001BCMGLIN</v>
          </cell>
          <cell r="H1790" t="str">
            <v>64 GL WKLY BUS CMGL IN</v>
          </cell>
        </row>
        <row r="1791">
          <cell r="G1791" t="str">
            <v>SL064.0G1W001BCMGLOUT</v>
          </cell>
          <cell r="H1791" t="str">
            <v>64 GL WKLY BUS CMGL OUT</v>
          </cell>
        </row>
        <row r="1792">
          <cell r="G1792" t="str">
            <v>SL064.0G1W001BCMGLOUT</v>
          </cell>
          <cell r="H1792" t="str">
            <v>64 GL WKLY BUS CMGL OUT</v>
          </cell>
        </row>
        <row r="1793">
          <cell r="G1793" t="str">
            <v>SL064.0G1W001BCMGLOUT</v>
          </cell>
          <cell r="H1793" t="str">
            <v>64 GL WKLY BUS CMGL OUT</v>
          </cell>
        </row>
        <row r="1794">
          <cell r="G1794" t="str">
            <v>SL064.0G1W001BCMGLOUT</v>
          </cell>
          <cell r="H1794" t="str">
            <v>64 GL WKLY BUS CMGL OUT</v>
          </cell>
        </row>
        <row r="1795">
          <cell r="G1795" t="str">
            <v>SL064.0G1W001BCMGLOUT</v>
          </cell>
          <cell r="H1795" t="str">
            <v>64 GL WKLY BUS CMGL OUT</v>
          </cell>
        </row>
        <row r="1796">
          <cell r="G1796" t="str">
            <v>SL064.0G1W001BCMGLOUT</v>
          </cell>
          <cell r="H1796" t="str">
            <v>64 GL WKLY BUS CMGL OUT</v>
          </cell>
        </row>
        <row r="1797">
          <cell r="G1797" t="str">
            <v>SL064.0G1W001BCMGLOUT</v>
          </cell>
          <cell r="H1797" t="str">
            <v>64 GL WKLY BUS CMGL OUT</v>
          </cell>
        </row>
        <row r="1798">
          <cell r="G1798" t="str">
            <v>SL064.0G1W001BCMGLOUT</v>
          </cell>
          <cell r="H1798" t="str">
            <v>64 GL WKLY BUS CMGL OUT</v>
          </cell>
        </row>
        <row r="1799">
          <cell r="G1799" t="str">
            <v>SL064.0G1W001BCMGLOUT</v>
          </cell>
          <cell r="H1799" t="str">
            <v>64 GL WKLY BUS CMGL OUT</v>
          </cell>
        </row>
        <row r="1800">
          <cell r="G1800" t="str">
            <v>SL064.0G1W001SCMGLIN</v>
          </cell>
          <cell r="H1800" t="str">
            <v>64 GL WKLY SCHL CMGL IN</v>
          </cell>
        </row>
        <row r="1801">
          <cell r="G1801" t="str">
            <v>SL064.0G1W001SCMGLIN</v>
          </cell>
          <cell r="H1801" t="str">
            <v>64 GL WKLY SCHL CMGL IN</v>
          </cell>
        </row>
        <row r="1802">
          <cell r="G1802" t="str">
            <v>SL064.0G1W001SCMGLIN</v>
          </cell>
          <cell r="H1802" t="str">
            <v>64 GL WKLY SCHL CMGL IN</v>
          </cell>
        </row>
        <row r="1803">
          <cell r="G1803" t="str">
            <v>SL064.0G1W001SCMGLIN</v>
          </cell>
          <cell r="H1803" t="str">
            <v>64 GL WKLY SCHL CMGL IN</v>
          </cell>
        </row>
        <row r="1804">
          <cell r="G1804" t="str">
            <v>SL064.0G1W001SCMGLIN</v>
          </cell>
          <cell r="H1804" t="str">
            <v>64 GL WKLY SCHL CMGL IN</v>
          </cell>
        </row>
        <row r="1805">
          <cell r="G1805" t="str">
            <v>SL064.0G1W001SCMGLIN</v>
          </cell>
          <cell r="H1805" t="str">
            <v>64 GL WKLY SCHL CMGL IN</v>
          </cell>
        </row>
        <row r="1806">
          <cell r="G1806" t="str">
            <v>SL064.0G1W001SCMGLIN</v>
          </cell>
          <cell r="H1806" t="str">
            <v>64 GL WKLY SCHL CMGL IN</v>
          </cell>
        </row>
        <row r="1807">
          <cell r="G1807" t="str">
            <v>SL064.0G1W001SCMGLIN</v>
          </cell>
          <cell r="H1807" t="str">
            <v>64 GL WKLY SCHL CMGL IN</v>
          </cell>
        </row>
        <row r="1808">
          <cell r="G1808" t="str">
            <v>SL064.0G1W001SCMGLIN</v>
          </cell>
          <cell r="H1808" t="str">
            <v>64 GL WKLY SCHL CMGL IN</v>
          </cell>
        </row>
        <row r="1809">
          <cell r="G1809" t="str">
            <v>SL064.0G1W001SCMGLOUT</v>
          </cell>
          <cell r="H1809" t="str">
            <v>64 GL WKLY SCHL CMGL OUT</v>
          </cell>
        </row>
        <row r="1810">
          <cell r="G1810" t="str">
            <v>SL064.0G1W001SCMGLOUT</v>
          </cell>
          <cell r="H1810" t="str">
            <v>64 GL WKLY SCHL CMGL OUT</v>
          </cell>
        </row>
        <row r="1811">
          <cell r="G1811" t="str">
            <v>SL064.0G1W001SCMGLOUT</v>
          </cell>
          <cell r="H1811" t="str">
            <v>64 GL WKLY SCHL CMGL OUT</v>
          </cell>
        </row>
        <row r="1812">
          <cell r="G1812" t="str">
            <v>SL064.0G1W001SCMGLOUT</v>
          </cell>
          <cell r="H1812" t="str">
            <v>64 GL WKLY SCHL CMGL OUT</v>
          </cell>
        </row>
        <row r="1813">
          <cell r="G1813" t="str">
            <v>SL064.0G1W001SCMGLOUT</v>
          </cell>
          <cell r="H1813" t="str">
            <v>64 GL WKLY SCHL CMGL OUT</v>
          </cell>
        </row>
        <row r="1814">
          <cell r="G1814" t="str">
            <v>SL064.0G1W001SCMGLOUT</v>
          </cell>
          <cell r="H1814" t="str">
            <v>64 GL WKLY SCHL CMGL OUT</v>
          </cell>
        </row>
        <row r="1815">
          <cell r="G1815" t="str">
            <v>SL064.0G1W001SCMGLOUT</v>
          </cell>
          <cell r="H1815" t="str">
            <v>64 GL WKLY SCHL CMGL OUT</v>
          </cell>
        </row>
        <row r="1816">
          <cell r="G1816" t="str">
            <v>SL064.0G1W001SCMGLOUT</v>
          </cell>
          <cell r="H1816" t="str">
            <v>64 GL WKLY SCHL CMGL OUT</v>
          </cell>
        </row>
        <row r="1817">
          <cell r="G1817" t="str">
            <v>SL064.0G1W001SCMGLOUT</v>
          </cell>
          <cell r="H1817" t="str">
            <v>64 GL WKLY SCHL CMGL OUT</v>
          </cell>
        </row>
        <row r="1818">
          <cell r="G1818" t="str">
            <v>SL064.0GEO001BCMGLIN</v>
          </cell>
          <cell r="H1818" t="str">
            <v>64 GL EOW BUS CMGL IN</v>
          </cell>
        </row>
        <row r="1819">
          <cell r="G1819" t="str">
            <v>SL064.0GEO001BCMGLIN</v>
          </cell>
          <cell r="H1819" t="str">
            <v>64 GL EOW BUS CMGL IN</v>
          </cell>
        </row>
        <row r="1820">
          <cell r="G1820" t="str">
            <v>SL064.0GEO001BCMGLIN</v>
          </cell>
          <cell r="H1820" t="str">
            <v>64 GL EOW BUS CMGL IN</v>
          </cell>
        </row>
        <row r="1821">
          <cell r="G1821" t="str">
            <v>SL064.0GEO001BCMGLIN</v>
          </cell>
          <cell r="H1821" t="str">
            <v>64 GL EOW BUS CMGL IN</v>
          </cell>
        </row>
        <row r="1822">
          <cell r="G1822" t="str">
            <v>SL064.0GEO001BCMGLIN</v>
          </cell>
          <cell r="H1822" t="str">
            <v>64 GL EOW BUS CMGL IN</v>
          </cell>
        </row>
        <row r="1823">
          <cell r="G1823" t="str">
            <v>SL064.0GEO001BCMGLIN</v>
          </cell>
          <cell r="H1823" t="str">
            <v>64 GL EOW BUS CMGL IN</v>
          </cell>
        </row>
        <row r="1824">
          <cell r="G1824" t="str">
            <v>SL064.0GEO001BCMGLIN</v>
          </cell>
          <cell r="H1824" t="str">
            <v>64 GL EOW BUS CMGL IN</v>
          </cell>
        </row>
        <row r="1825">
          <cell r="G1825" t="str">
            <v>SL064.0GEO001BCMGLIN</v>
          </cell>
          <cell r="H1825" t="str">
            <v>64 GL EOW BUS CMGL IN</v>
          </cell>
        </row>
        <row r="1826">
          <cell r="G1826" t="str">
            <v>SL064.0GEO001BCMGLIN</v>
          </cell>
          <cell r="H1826" t="str">
            <v>64 GL EOW BUS CMGL IN</v>
          </cell>
        </row>
        <row r="1827">
          <cell r="G1827" t="str">
            <v>SL064.0GEO001BCMGLOUT</v>
          </cell>
          <cell r="H1827" t="str">
            <v>64 GL EOW BUS CMGL OUT</v>
          </cell>
        </row>
        <row r="1828">
          <cell r="G1828" t="str">
            <v>SL064.0GEO001BCMGLOUT</v>
          </cell>
          <cell r="H1828" t="str">
            <v>64 GL EOW BUS CMGL OUT</v>
          </cell>
        </row>
        <row r="1829">
          <cell r="G1829" t="str">
            <v>SL064.0GEO001BCMGLOUT</v>
          </cell>
          <cell r="H1829" t="str">
            <v>64 GL EOW BUS CMGL OUT</v>
          </cell>
        </row>
        <row r="1830">
          <cell r="G1830" t="str">
            <v>SL064.0GEO001BCMGLOUT</v>
          </cell>
          <cell r="H1830" t="str">
            <v>64 GL EOW BUS CMGL OUT</v>
          </cell>
        </row>
        <row r="1831">
          <cell r="G1831" t="str">
            <v>SL064.0GEO001BCMGLOUT</v>
          </cell>
          <cell r="H1831" t="str">
            <v>64 GL EOW BUS CMGL OUT</v>
          </cell>
        </row>
        <row r="1832">
          <cell r="G1832" t="str">
            <v>SL064.0GEO001BCMGLOUT</v>
          </cell>
          <cell r="H1832" t="str">
            <v>64 GL EOW BUS CMGL OUT</v>
          </cell>
        </row>
        <row r="1833">
          <cell r="G1833" t="str">
            <v>SL064.0GEO001BCMGLOUT</v>
          </cell>
          <cell r="H1833" t="str">
            <v>64 GL EOW BUS CMGL OUT</v>
          </cell>
        </row>
        <row r="1834">
          <cell r="G1834" t="str">
            <v>SL064.0GEO001BCMGLOUT</v>
          </cell>
          <cell r="H1834" t="str">
            <v>64 GL EOW BUS CMGL OUT</v>
          </cell>
        </row>
        <row r="1835">
          <cell r="G1835" t="str">
            <v>SL064.0GEO001BCMGLOUT</v>
          </cell>
          <cell r="H1835" t="str">
            <v>64 GL EOW BUS CMGL OUT</v>
          </cell>
        </row>
        <row r="1836">
          <cell r="G1836" t="str">
            <v>SL064.0GEO001SCMGLIN</v>
          </cell>
          <cell r="H1836" t="str">
            <v>64 GL EOW SCHL CMGL IN</v>
          </cell>
        </row>
        <row r="1837">
          <cell r="G1837" t="str">
            <v>SL064.0GEO001SCMGLIN</v>
          </cell>
          <cell r="H1837" t="str">
            <v>64 GL EOW SCHL CMGL IN</v>
          </cell>
        </row>
        <row r="1838">
          <cell r="G1838" t="str">
            <v>SL064.0GEO001SCMGLIN</v>
          </cell>
          <cell r="H1838" t="str">
            <v>64 GL EOW SCHL CMGL IN</v>
          </cell>
        </row>
        <row r="1839">
          <cell r="G1839" t="str">
            <v>SL064.0GEO001SCMGLIN</v>
          </cell>
          <cell r="H1839" t="str">
            <v>64 GL EOW SCHL CMGL IN</v>
          </cell>
        </row>
        <row r="1840">
          <cell r="G1840" t="str">
            <v>SL064.0GEO001SCMGLIN</v>
          </cell>
          <cell r="H1840" t="str">
            <v>64 GL EOW SCHL CMGL IN</v>
          </cell>
        </row>
        <row r="1841">
          <cell r="G1841" t="str">
            <v>SL064.0GEO001SCMGLIN</v>
          </cell>
          <cell r="H1841" t="str">
            <v>64 GL EOW SCHL CMGL IN</v>
          </cell>
        </row>
        <row r="1842">
          <cell r="G1842" t="str">
            <v>SL064.0GEO001SCMGLIN</v>
          </cell>
          <cell r="H1842" t="str">
            <v>64 GL EOW SCHL CMGL IN</v>
          </cell>
        </row>
        <row r="1843">
          <cell r="G1843" t="str">
            <v>SL064.0GEO001SCMGLIN</v>
          </cell>
          <cell r="H1843" t="str">
            <v>64 GL EOW SCHL CMGL IN</v>
          </cell>
        </row>
        <row r="1844">
          <cell r="G1844" t="str">
            <v>SL064.0GEO001SCMGLIN</v>
          </cell>
          <cell r="H1844" t="str">
            <v>64 GL EOW SCHL CMGL IN</v>
          </cell>
        </row>
        <row r="1845">
          <cell r="G1845" t="str">
            <v>SL064.0GEO001SCMGLOUT</v>
          </cell>
          <cell r="H1845" t="str">
            <v>64 GL EOW SCHL CMGL OUT</v>
          </cell>
        </row>
        <row r="1846">
          <cell r="G1846" t="str">
            <v>SL064.0GEO001SCMGLOUT</v>
          </cell>
          <cell r="H1846" t="str">
            <v>64 GL EOW SCHL CMGL OUT</v>
          </cell>
        </row>
        <row r="1847">
          <cell r="G1847" t="str">
            <v>SL064.0GEO001SCMGLOUT</v>
          </cell>
          <cell r="H1847" t="str">
            <v>64 GL EOW SCHL CMGL OUT</v>
          </cell>
        </row>
        <row r="1848">
          <cell r="G1848" t="str">
            <v>SL064.0GEO001SCMGLOUT</v>
          </cell>
          <cell r="H1848" t="str">
            <v>64 GL EOW SCHL CMGL OUT</v>
          </cell>
        </row>
        <row r="1849">
          <cell r="G1849" t="str">
            <v>SL064.0GEO001SCMGLOUT</v>
          </cell>
          <cell r="H1849" t="str">
            <v>64 GL EOW SCHL CMGL OUT</v>
          </cell>
        </row>
        <row r="1850">
          <cell r="G1850" t="str">
            <v>SL064.0GEO001SCMGLOUT</v>
          </cell>
          <cell r="H1850" t="str">
            <v>64 GL EOW SCHL CMGL OUT</v>
          </cell>
        </row>
        <row r="1851">
          <cell r="G1851" t="str">
            <v>SL064.0GEO001SCMGLOUT</v>
          </cell>
          <cell r="H1851" t="str">
            <v>64 GL EOW SCHL CMGL OUT</v>
          </cell>
        </row>
        <row r="1852">
          <cell r="G1852" t="str">
            <v>SL064.0GEO001SCMGLOUT</v>
          </cell>
          <cell r="H1852" t="str">
            <v>64 GL EOW SCHL CMGL OUT</v>
          </cell>
        </row>
        <row r="1853">
          <cell r="G1853" t="str">
            <v>SL064.0GEO001SCMGLOUT</v>
          </cell>
          <cell r="H1853" t="str">
            <v>64 GL EOW SCHL CMGL OUT</v>
          </cell>
        </row>
        <row r="1854">
          <cell r="G1854" t="str">
            <v>SL065.0G1M001NOREC</v>
          </cell>
          <cell r="H1854" t="str">
            <v>65 GL 1X MO NO RECY 1</v>
          </cell>
        </row>
        <row r="1855">
          <cell r="G1855" t="str">
            <v>SL065.0G1M001NOREC</v>
          </cell>
          <cell r="H1855" t="str">
            <v>65 GL 1X MO NO RECY 1</v>
          </cell>
        </row>
        <row r="1856">
          <cell r="G1856" t="str">
            <v>SL065.0G1M001NOREC</v>
          </cell>
          <cell r="H1856" t="str">
            <v>65 GL 1X MO NO RECY 1</v>
          </cell>
        </row>
        <row r="1857">
          <cell r="G1857" t="str">
            <v>SL065.0G1M001NORECC</v>
          </cell>
          <cell r="H1857" t="str">
            <v xml:space="preserve">65 GL 1X MO NO RECY COMM </v>
          </cell>
        </row>
        <row r="1858">
          <cell r="G1858" t="str">
            <v>SL065.0G1M001NORECC</v>
          </cell>
          <cell r="H1858" t="str">
            <v xml:space="preserve">65 GL 1X MO NO RECY COMM </v>
          </cell>
        </row>
        <row r="1859">
          <cell r="G1859" t="str">
            <v>SL065.0G1M001SPCLNOREC</v>
          </cell>
          <cell r="H1859" t="str">
            <v>65 GL 1X MO S/D NO REC 1</v>
          </cell>
        </row>
        <row r="1860">
          <cell r="G1860" t="str">
            <v>SL065.0G1M001WREC</v>
          </cell>
          <cell r="H1860" t="str">
            <v>65 GL 1X MO W/RECY 1</v>
          </cell>
        </row>
        <row r="1861">
          <cell r="G1861" t="str">
            <v>SL065.0G1M001WREC</v>
          </cell>
          <cell r="H1861" t="str">
            <v>65 GL 1X MO W/RECY 1</v>
          </cell>
        </row>
        <row r="1862">
          <cell r="G1862" t="str">
            <v>SL065.0G1M001WREC</v>
          </cell>
          <cell r="H1862" t="str">
            <v>65 GL 1X MO W/RECY 1</v>
          </cell>
        </row>
        <row r="1863">
          <cell r="G1863" t="str">
            <v>SL065.0G1M001WREC</v>
          </cell>
          <cell r="H1863" t="str">
            <v>65 GL 1X MO W/RECY 1</v>
          </cell>
        </row>
        <row r="1864">
          <cell r="G1864" t="str">
            <v>SL065.0G1M001WRECC</v>
          </cell>
          <cell r="H1864" t="str">
            <v>65 GL 1X MO W/RECY COMM 1</v>
          </cell>
        </row>
        <row r="1865">
          <cell r="G1865" t="str">
            <v>SL065.0G1M001WRECC</v>
          </cell>
          <cell r="H1865" t="str">
            <v>65 GL 1X MO W/RECY COMM 1</v>
          </cell>
        </row>
        <row r="1866">
          <cell r="G1866" t="str">
            <v>SL065.0G1M001WRECSPCL</v>
          </cell>
          <cell r="H1866" t="str">
            <v>65 GL 1X MO W/RECY S/D 1</v>
          </cell>
        </row>
        <row r="1867">
          <cell r="G1867" t="str">
            <v>SL065.0G1W001NOREC</v>
          </cell>
          <cell r="H1867" t="str">
            <v>65 GL 1X WK NO RECY 1</v>
          </cell>
        </row>
        <row r="1868">
          <cell r="G1868" t="str">
            <v>SL065.0G1W001NOREC</v>
          </cell>
          <cell r="H1868" t="str">
            <v>65 GL 1X WK NO RECY 1</v>
          </cell>
        </row>
        <row r="1869">
          <cell r="G1869" t="str">
            <v>SL065.0G1W001NOREC</v>
          </cell>
          <cell r="H1869" t="str">
            <v>65 GL 1X WK NO RECY 1</v>
          </cell>
        </row>
        <row r="1870">
          <cell r="G1870" t="str">
            <v>SL065.0G1W001NORECC</v>
          </cell>
          <cell r="H1870" t="str">
            <v xml:space="preserve">65 GL 1X WK NO RECY COMM </v>
          </cell>
        </row>
        <row r="1871">
          <cell r="G1871" t="str">
            <v>SL065.0G1W001NORECC</v>
          </cell>
          <cell r="H1871" t="str">
            <v xml:space="preserve">65 GL 1X WK NO RECY COMM </v>
          </cell>
        </row>
        <row r="1872">
          <cell r="G1872" t="str">
            <v>SL065.0G1W001NORECC</v>
          </cell>
          <cell r="H1872" t="str">
            <v xml:space="preserve">65 GL 1X WK NO RECY COMM </v>
          </cell>
        </row>
        <row r="1873">
          <cell r="G1873" t="str">
            <v>SL065.0G1W001NORECC</v>
          </cell>
          <cell r="H1873" t="str">
            <v xml:space="preserve">65 GL 1X WK NO RECY COMM </v>
          </cell>
        </row>
        <row r="1874">
          <cell r="G1874" t="str">
            <v>SL065.0G1W001NORECC</v>
          </cell>
          <cell r="H1874" t="str">
            <v xml:space="preserve">65 GL 1X WK NO RECY COMM </v>
          </cell>
        </row>
        <row r="1875">
          <cell r="G1875" t="str">
            <v>SL065.0G1W001NORECC</v>
          </cell>
          <cell r="H1875" t="str">
            <v xml:space="preserve">65 GL 1X WK NO RECY COMM </v>
          </cell>
        </row>
        <row r="1876">
          <cell r="G1876" t="str">
            <v>SL065.0G1W001NORECC</v>
          </cell>
          <cell r="H1876" t="str">
            <v xml:space="preserve">65 GL 1X WK NO RECY COMM </v>
          </cell>
        </row>
        <row r="1877">
          <cell r="G1877" t="str">
            <v>SL065.0G1W001SPCLNOREC</v>
          </cell>
          <cell r="H1877" t="str">
            <v>65 GL 1X WK S/D NO REC 1</v>
          </cell>
        </row>
        <row r="1878">
          <cell r="G1878" t="str">
            <v>SL065.0G1W001SPCLWREC</v>
          </cell>
          <cell r="H1878" t="str">
            <v>65 GL 1X WK S/D W/REC 1</v>
          </cell>
        </row>
        <row r="1879">
          <cell r="G1879" t="str">
            <v>SL065.0G1W001WREC</v>
          </cell>
          <cell r="H1879" t="str">
            <v>65 GL 1X WK W/RECY 1</v>
          </cell>
        </row>
        <row r="1880">
          <cell r="G1880" t="str">
            <v>SL065.0G1W001WREC</v>
          </cell>
          <cell r="H1880" t="str">
            <v>65 GL 1X WK W/RECY 1</v>
          </cell>
        </row>
        <row r="1881">
          <cell r="G1881" t="str">
            <v>SL065.0G1W001WREC</v>
          </cell>
          <cell r="H1881" t="str">
            <v>65 GL 1X WK W/RECY 1</v>
          </cell>
        </row>
        <row r="1882">
          <cell r="G1882" t="str">
            <v>SL065.0G1W001WREC</v>
          </cell>
          <cell r="H1882" t="str">
            <v>65 GL 1X WK W/RECY 1</v>
          </cell>
        </row>
        <row r="1883">
          <cell r="G1883" t="str">
            <v>SL065.0G1W001WREC</v>
          </cell>
          <cell r="H1883" t="str">
            <v>65 GL 1X WK W/RECY 1</v>
          </cell>
        </row>
        <row r="1884">
          <cell r="G1884" t="str">
            <v>SL065.0G1W001WREC</v>
          </cell>
          <cell r="H1884" t="str">
            <v>65 GL 1X WK W/RECY 1</v>
          </cell>
        </row>
        <row r="1885">
          <cell r="G1885" t="str">
            <v>SL065.0G1W001WREC</v>
          </cell>
          <cell r="H1885" t="str">
            <v>65 GL 1X WK W/RECY 1</v>
          </cell>
        </row>
        <row r="1886">
          <cell r="G1886" t="str">
            <v>SL065.0G1W001WRECC</v>
          </cell>
          <cell r="H1886" t="str">
            <v>65 GL 1X WK W/RECY COMM 1</v>
          </cell>
        </row>
        <row r="1887">
          <cell r="G1887" t="str">
            <v>SL065.0G1W001WRECC</v>
          </cell>
          <cell r="H1887" t="str">
            <v>65 GL 1X WK W/RECY COMM 1</v>
          </cell>
        </row>
        <row r="1888">
          <cell r="G1888" t="str">
            <v>SL065.0G1W001WRECC</v>
          </cell>
          <cell r="H1888" t="str">
            <v>65 GL 1X WK W/RECY COMM 1</v>
          </cell>
        </row>
        <row r="1889">
          <cell r="G1889" t="str">
            <v>SL065.0G1W001WRECC</v>
          </cell>
          <cell r="H1889" t="str">
            <v>65 GL 1X WK W/RECY COMM 1</v>
          </cell>
        </row>
        <row r="1890">
          <cell r="G1890" t="str">
            <v>SL065.0G1W001WRECC</v>
          </cell>
          <cell r="H1890" t="str">
            <v>65 GL 1X WK W/RECY COMM 1</v>
          </cell>
        </row>
        <row r="1891">
          <cell r="G1891" t="str">
            <v>SL065.0G1W001WRECC</v>
          </cell>
          <cell r="H1891" t="str">
            <v>65 GL 1X WK W/RECY COMM 1</v>
          </cell>
        </row>
        <row r="1892">
          <cell r="G1892" t="str">
            <v>SL065.0G1W001WRECC</v>
          </cell>
          <cell r="H1892" t="str">
            <v>65 GL 1X WK W/RECY COMM 1</v>
          </cell>
        </row>
        <row r="1893">
          <cell r="G1893" t="str">
            <v>SL065.0G1W001WRECC</v>
          </cell>
          <cell r="H1893" t="str">
            <v>65 GL 1X WK W/RECY COMM 1</v>
          </cell>
        </row>
        <row r="1894">
          <cell r="G1894" t="str">
            <v>SL065.0G1W002COMM</v>
          </cell>
          <cell r="H1894" t="str">
            <v>65 GL 1X WK COMM 2</v>
          </cell>
        </row>
        <row r="1895">
          <cell r="G1895" t="str">
            <v>SL065.0G1W002NOREC</v>
          </cell>
          <cell r="H1895" t="str">
            <v>65 GL 1X WK NO RECY 2</v>
          </cell>
        </row>
        <row r="1896">
          <cell r="G1896" t="str">
            <v>SL065.0G1W002NORECC</v>
          </cell>
          <cell r="H1896" t="str">
            <v>65 GL 1X WK NO REC COMM 2</v>
          </cell>
        </row>
        <row r="1897">
          <cell r="G1897" t="str">
            <v>SL065.0G1W002WREC</v>
          </cell>
          <cell r="H1897" t="str">
            <v>65 GL 1X WK W/RECY 2</v>
          </cell>
        </row>
        <row r="1898">
          <cell r="G1898" t="str">
            <v>SL065.0G1W002WRECC</v>
          </cell>
          <cell r="H1898" t="str">
            <v>65 GL 1X WK W/RECY COMM 2</v>
          </cell>
        </row>
        <row r="1899">
          <cell r="G1899" t="str">
            <v>SL065.0G1W003NOREC</v>
          </cell>
          <cell r="H1899" t="str">
            <v>65 GL 1X WK NO RECY 3</v>
          </cell>
        </row>
        <row r="1900">
          <cell r="G1900" t="str">
            <v>SL065.0G1W003NORECC</v>
          </cell>
          <cell r="H1900" t="str">
            <v>65 GL 1X WK NO REC COMM 3</v>
          </cell>
        </row>
        <row r="1901">
          <cell r="G1901" t="str">
            <v>SL065.0G1W003WREC</v>
          </cell>
          <cell r="H1901" t="str">
            <v>65 GL 1X WK W/RECY 3</v>
          </cell>
        </row>
        <row r="1902">
          <cell r="G1902" t="str">
            <v>SL065.0G1W003WRECC</v>
          </cell>
          <cell r="H1902" t="str">
            <v>65 GL 1X WK W/RECY COMM 3</v>
          </cell>
        </row>
        <row r="1903">
          <cell r="G1903" t="str">
            <v>SL065.0G1W004NORECC</v>
          </cell>
          <cell r="H1903" t="str">
            <v>65 GL 1X WK NO REC COMM 4</v>
          </cell>
        </row>
        <row r="1904">
          <cell r="G1904" t="str">
            <v>SL065.0G1W004WRECC</v>
          </cell>
          <cell r="H1904" t="str">
            <v>65 GL 1X WK W/RECY COMM 4</v>
          </cell>
        </row>
        <row r="1905">
          <cell r="G1905" t="str">
            <v>SL065.0G1W005NORECC</v>
          </cell>
          <cell r="H1905" t="str">
            <v>65 GL 1X WK NO REC COMM 5</v>
          </cell>
        </row>
        <row r="1906">
          <cell r="G1906" t="str">
            <v>SL065.0G1W005WRECC</v>
          </cell>
          <cell r="H1906" t="str">
            <v>65 GL 1X WK W/RECY COMM 5</v>
          </cell>
        </row>
        <row r="1907">
          <cell r="G1907" t="str">
            <v>SL065.0GEO001</v>
          </cell>
          <cell r="H1907" t="str">
            <v>65 GL EOW 1</v>
          </cell>
        </row>
        <row r="1908">
          <cell r="G1908" t="str">
            <v>SL065.0GEO001NOREC</v>
          </cell>
          <cell r="H1908" t="str">
            <v>65 GL EOW NO RECY 1</v>
          </cell>
        </row>
        <row r="1909">
          <cell r="G1909" t="str">
            <v>SL065.0GEO001NOREC</v>
          </cell>
          <cell r="H1909" t="str">
            <v>65 GL EOW NO RECY 1</v>
          </cell>
        </row>
        <row r="1910">
          <cell r="G1910" t="str">
            <v>SL065.0GEO001NOREC</v>
          </cell>
          <cell r="H1910" t="str">
            <v>65 GL EOW NO RECY 1</v>
          </cell>
        </row>
        <row r="1911">
          <cell r="G1911" t="str">
            <v>SL065.0GEO001NORECC</v>
          </cell>
          <cell r="H1911" t="str">
            <v>65 GL EOW NO RECY COMM 1</v>
          </cell>
        </row>
        <row r="1912">
          <cell r="G1912" t="str">
            <v>SL065.0GEO001NORECC</v>
          </cell>
          <cell r="H1912" t="str">
            <v>65 GL EOW NO RECY COMM 1</v>
          </cell>
        </row>
        <row r="1913">
          <cell r="G1913" t="str">
            <v>SL065.0GEO001NORECC</v>
          </cell>
          <cell r="H1913" t="str">
            <v>65 GL EOW NO RECY COMM 1</v>
          </cell>
        </row>
        <row r="1914">
          <cell r="G1914" t="str">
            <v>SL065.0GEO001NORECC</v>
          </cell>
          <cell r="H1914" t="str">
            <v>65 GL EOW NO RECY COMM 1</v>
          </cell>
        </row>
        <row r="1915">
          <cell r="G1915" t="str">
            <v>SL065.0GEO001SPCLNOREC</v>
          </cell>
          <cell r="H1915" t="str">
            <v>65 GL EOW S/D NO RECY 1</v>
          </cell>
        </row>
        <row r="1916">
          <cell r="G1916" t="str">
            <v>SL065.0GEO001SPCLWREC</v>
          </cell>
          <cell r="H1916" t="str">
            <v>65 GL EOW S/D W/RECY 1</v>
          </cell>
        </row>
        <row r="1917">
          <cell r="G1917" t="str">
            <v>SL065.0GEO001WREC</v>
          </cell>
          <cell r="H1917" t="str">
            <v>65 GL EOW W/RECY 1</v>
          </cell>
        </row>
        <row r="1918">
          <cell r="G1918" t="str">
            <v>SL065.0GEO001WREC</v>
          </cell>
          <cell r="H1918" t="str">
            <v>65 GL EOW W/RECY 1</v>
          </cell>
        </row>
        <row r="1919">
          <cell r="G1919" t="str">
            <v>SL065.0GEO001WREC</v>
          </cell>
          <cell r="H1919" t="str">
            <v>65 GL EOW W/RECY 1</v>
          </cell>
        </row>
        <row r="1920">
          <cell r="G1920" t="str">
            <v>SL065.0GEO001WREC</v>
          </cell>
          <cell r="H1920" t="str">
            <v>65 GL EOW W/RECY 1</v>
          </cell>
        </row>
        <row r="1921">
          <cell r="G1921" t="str">
            <v>SL065.0GEO001WREC</v>
          </cell>
          <cell r="H1921" t="str">
            <v>65 GL EOW W/RECY 1</v>
          </cell>
        </row>
        <row r="1922">
          <cell r="G1922" t="str">
            <v>SL065.0GEO001WRECC</v>
          </cell>
          <cell r="H1922" t="str">
            <v>65 GL EOW W/RECY COMM 1</v>
          </cell>
        </row>
        <row r="1923">
          <cell r="G1923" t="str">
            <v>SL065.0GEO001WRECC</v>
          </cell>
          <cell r="H1923" t="str">
            <v>65 GL EOW W/RECY COMM 1</v>
          </cell>
        </row>
        <row r="1924">
          <cell r="G1924" t="str">
            <v>SL065.0GEO001WRECC</v>
          </cell>
          <cell r="H1924" t="str">
            <v>65 GL EOW W/RECY COMM 1</v>
          </cell>
        </row>
        <row r="1925">
          <cell r="G1925" t="str">
            <v>SL065.0GEO001WRECC</v>
          </cell>
          <cell r="H1925" t="str">
            <v>65 GL EOW W/RECY COMM 1</v>
          </cell>
        </row>
        <row r="1926">
          <cell r="G1926" t="str">
            <v>SL065.0GEO001WRECC</v>
          </cell>
          <cell r="H1926" t="str">
            <v>65 GL EOW W/RECY COMM 1</v>
          </cell>
        </row>
        <row r="1927">
          <cell r="G1927" t="str">
            <v>SL065.0GEO001WRECC</v>
          </cell>
          <cell r="H1927" t="str">
            <v>65 GL EOW W/RECY COMM 1</v>
          </cell>
        </row>
        <row r="1928">
          <cell r="G1928" t="str">
            <v>SL065.0GEO002NOREC</v>
          </cell>
          <cell r="H1928" t="str">
            <v>65 GL EOW NO RECY 2</v>
          </cell>
        </row>
        <row r="1929">
          <cell r="G1929" t="str">
            <v>SL065.0GEO002NORECC</v>
          </cell>
          <cell r="H1929" t="str">
            <v>65 GL EOW NO REC COMM 2</v>
          </cell>
        </row>
        <row r="1930">
          <cell r="G1930" t="str">
            <v>SL065.0GEO002WREC</v>
          </cell>
          <cell r="H1930" t="str">
            <v>65 GL EOW W/RECY 2</v>
          </cell>
        </row>
        <row r="1931">
          <cell r="G1931" t="str">
            <v>SL065.0GEO002WRECC</v>
          </cell>
          <cell r="H1931" t="str">
            <v>65 GL EOW W/RECY COMM 2</v>
          </cell>
        </row>
        <row r="1932">
          <cell r="G1932" t="str">
            <v>SL065.0GEO003NOREC</v>
          </cell>
          <cell r="H1932" t="str">
            <v>65 GL EOW NO RECY 3</v>
          </cell>
        </row>
        <row r="1933">
          <cell r="G1933" t="str">
            <v>SL065.0GEO003NORECC</v>
          </cell>
          <cell r="H1933" t="str">
            <v>65 GL EOW NO REC COMM 3</v>
          </cell>
        </row>
        <row r="1934">
          <cell r="G1934" t="str">
            <v>SL065.0GEO003WREC</v>
          </cell>
          <cell r="H1934" t="str">
            <v>65 GL EOW W/RECY 3</v>
          </cell>
        </row>
        <row r="1935">
          <cell r="G1935" t="str">
            <v>SL065.0GEO003WRECC</v>
          </cell>
          <cell r="H1935" t="str">
            <v>65 GL EOW W/RECY COMM 3</v>
          </cell>
        </row>
        <row r="1936">
          <cell r="G1936" t="str">
            <v>SL065.0GEO004NORECC</v>
          </cell>
          <cell r="H1936" t="str">
            <v>65 GL EOW NO REC COMM 4</v>
          </cell>
        </row>
        <row r="1937">
          <cell r="G1937" t="str">
            <v>SL065.0GEO004WRECC</v>
          </cell>
          <cell r="H1937" t="str">
            <v>65 GL EOW W/RECY COMM 4</v>
          </cell>
        </row>
        <row r="1938">
          <cell r="G1938" t="str">
            <v>SL065.0GEO005NORECC</v>
          </cell>
          <cell r="H1938" t="str">
            <v>65 GL EOW NO REC COMM 5</v>
          </cell>
        </row>
        <row r="1939">
          <cell r="G1939" t="str">
            <v>SL065.0GEO005WRECC</v>
          </cell>
          <cell r="H1939" t="str">
            <v>65 GL EOW W/RECY COMM 5</v>
          </cell>
        </row>
        <row r="1940">
          <cell r="G1940" t="str">
            <v>SL095.0G1M0001WRECSPCL</v>
          </cell>
          <cell r="H1940" t="str">
            <v>95 GL 1X MO S/D W/RECY 1</v>
          </cell>
        </row>
        <row r="1941">
          <cell r="G1941" t="str">
            <v>SL095.0G1M001NOREC</v>
          </cell>
          <cell r="H1941" t="str">
            <v>95 GL 1X MO NO RECY 1</v>
          </cell>
        </row>
        <row r="1942">
          <cell r="G1942" t="str">
            <v>SL095.0G1M001NOREC</v>
          </cell>
          <cell r="H1942" t="str">
            <v>95 GL 1X MO NO RECY 1</v>
          </cell>
        </row>
        <row r="1943">
          <cell r="G1943" t="str">
            <v>SL095.0G1M001NORECSPCL</v>
          </cell>
          <cell r="H1943" t="str">
            <v>95 GL 1X MO S/D NO REC 1</v>
          </cell>
        </row>
        <row r="1944">
          <cell r="G1944" t="str">
            <v>SL095.0G1M001WREC</v>
          </cell>
          <cell r="H1944" t="str">
            <v>95 GL 1X MO W/RECY 1</v>
          </cell>
        </row>
        <row r="1945">
          <cell r="G1945" t="str">
            <v>SL095.0G1M001WREC</v>
          </cell>
          <cell r="H1945" t="str">
            <v>95 GL 1X MO W/RECY 1</v>
          </cell>
        </row>
        <row r="1946">
          <cell r="G1946" t="str">
            <v>SL095.0G1M001WREC</v>
          </cell>
          <cell r="H1946" t="str">
            <v>95 GL 1X MO W/RECY 1</v>
          </cell>
        </row>
        <row r="1947">
          <cell r="G1947" t="str">
            <v>SL095.0G1W001NOREC</v>
          </cell>
          <cell r="H1947" t="str">
            <v>95 GL 1X WK NO RECY 1</v>
          </cell>
        </row>
        <row r="1948">
          <cell r="G1948" t="str">
            <v>SL095.0G1W001NOREC</v>
          </cell>
          <cell r="H1948" t="str">
            <v>95 GL 1X WK NO RECY 1</v>
          </cell>
        </row>
        <row r="1949">
          <cell r="G1949" t="str">
            <v>SL095.0G1W001NOREC</v>
          </cell>
          <cell r="H1949" t="str">
            <v>95 GL 1X WK NO RECY 1</v>
          </cell>
        </row>
        <row r="1950">
          <cell r="G1950" t="str">
            <v>SL095.0G1W001NORECC</v>
          </cell>
          <cell r="H1950" t="str">
            <v xml:space="preserve">95 GL 1X WK NO RECY COMM </v>
          </cell>
        </row>
        <row r="1951">
          <cell r="G1951" t="str">
            <v>SL095.0G1W001NORECC</v>
          </cell>
          <cell r="H1951" t="str">
            <v xml:space="preserve">95 GL 1X WK NO RECY COMM </v>
          </cell>
        </row>
        <row r="1952">
          <cell r="G1952" t="str">
            <v>SL095.0G1W001NORECC</v>
          </cell>
          <cell r="H1952" t="str">
            <v xml:space="preserve">95 GL 1X WK NO RECY COMM </v>
          </cell>
        </row>
        <row r="1953">
          <cell r="G1953" t="str">
            <v>SL095.0G1W001NORECC</v>
          </cell>
          <cell r="H1953" t="str">
            <v xml:space="preserve">95 GL 1X WK NO RECY COMM </v>
          </cell>
        </row>
        <row r="1954">
          <cell r="G1954" t="str">
            <v>SL095.0G1W001NORECC</v>
          </cell>
          <cell r="H1954" t="str">
            <v xml:space="preserve">95 GL 1X WK NO RECY COMM </v>
          </cell>
        </row>
        <row r="1955">
          <cell r="G1955" t="str">
            <v>SL095.0G1W001NORECC</v>
          </cell>
          <cell r="H1955" t="str">
            <v xml:space="preserve">95 GL 1X WK NO RECY COMM </v>
          </cell>
        </row>
        <row r="1956">
          <cell r="G1956" t="str">
            <v>SL095.0G1W001SPCLNOREC</v>
          </cell>
          <cell r="H1956" t="str">
            <v>95 GL 1X WK S/D NO REC 1</v>
          </cell>
        </row>
        <row r="1957">
          <cell r="G1957" t="str">
            <v>SL095.0G1W001SPCLWREC</v>
          </cell>
          <cell r="H1957" t="str">
            <v>95 GL 1X WK S/D W/REC 1</v>
          </cell>
        </row>
        <row r="1958">
          <cell r="G1958" t="str">
            <v>SL095.0G1W001WREC</v>
          </cell>
          <cell r="H1958" t="str">
            <v>95 GL 1X WK W/RECY 1</v>
          </cell>
        </row>
        <row r="1959">
          <cell r="G1959" t="str">
            <v>SL095.0G1W001WREC</v>
          </cell>
          <cell r="H1959" t="str">
            <v>95 GL 1X WK W/RECY 1</v>
          </cell>
        </row>
        <row r="1960">
          <cell r="G1960" t="str">
            <v>SL095.0G1W001WREC</v>
          </cell>
          <cell r="H1960" t="str">
            <v>95 GL 1X WK W/RECY 1</v>
          </cell>
        </row>
        <row r="1961">
          <cell r="G1961" t="str">
            <v>SL095.0G1W001WREC</v>
          </cell>
          <cell r="H1961" t="str">
            <v>95 GL 1X WK W/RECY 1</v>
          </cell>
        </row>
        <row r="1962">
          <cell r="G1962" t="str">
            <v>SL095.0G1W001WREC</v>
          </cell>
          <cell r="H1962" t="str">
            <v>95 GL 1X WK W/RECY 1</v>
          </cell>
        </row>
        <row r="1963">
          <cell r="G1963" t="str">
            <v>SL095.0G1W001WREC</v>
          </cell>
          <cell r="H1963" t="str">
            <v>95 GL 1X WK W/RECY 1</v>
          </cell>
        </row>
        <row r="1964">
          <cell r="G1964" t="str">
            <v>SL095.0G1W001WREC</v>
          </cell>
          <cell r="H1964" t="str">
            <v>95 GL 1X WK W/RECY 1</v>
          </cell>
        </row>
        <row r="1965">
          <cell r="G1965" t="str">
            <v>SL095.0G1W001WRECC</v>
          </cell>
          <cell r="H1965" t="str">
            <v>95 GL 1X WK W/RECY COMM 1</v>
          </cell>
        </row>
        <row r="1966">
          <cell r="G1966" t="str">
            <v>SL095.0G1W001WRECC</v>
          </cell>
          <cell r="H1966" t="str">
            <v>95 GL 1X WK W/RECY COMM 1</v>
          </cell>
        </row>
        <row r="1967">
          <cell r="G1967" t="str">
            <v>SL095.0G1W001WRECC</v>
          </cell>
          <cell r="H1967" t="str">
            <v>95 GL 1X WK W/RECY COMM 1</v>
          </cell>
        </row>
        <row r="1968">
          <cell r="G1968" t="str">
            <v>SL095.0G1W001WRECC</v>
          </cell>
          <cell r="H1968" t="str">
            <v>95 GL 1X WK W/RECY COMM 1</v>
          </cell>
        </row>
        <row r="1969">
          <cell r="G1969" t="str">
            <v>SL095.0G1W001WRECC</v>
          </cell>
          <cell r="H1969" t="str">
            <v>95 GL 1X WK W/RECY COMM 1</v>
          </cell>
        </row>
        <row r="1970">
          <cell r="G1970" t="str">
            <v>SL095.0G1W001WRECC</v>
          </cell>
          <cell r="H1970" t="str">
            <v>95 GL 1X WK W/RECY COMM 1</v>
          </cell>
        </row>
        <row r="1971">
          <cell r="G1971" t="str">
            <v>SL095.0G1W001WRECC</v>
          </cell>
          <cell r="H1971" t="str">
            <v>95 GL 1X WK W/RECY COMM 1</v>
          </cell>
        </row>
        <row r="1972">
          <cell r="G1972" t="str">
            <v>SL095.0G1W001WRECC</v>
          </cell>
          <cell r="H1972" t="str">
            <v>95 GL 1X WK W/RECY COMM 1</v>
          </cell>
        </row>
        <row r="1973">
          <cell r="G1973" t="str">
            <v>SL095.0G1W002NOREC</v>
          </cell>
          <cell r="H1973" t="str">
            <v>95 GL 1X WK NO RECY 2</v>
          </cell>
        </row>
        <row r="1974">
          <cell r="G1974" t="str">
            <v>SL095.0G1W002NORECC</v>
          </cell>
          <cell r="H1974" t="str">
            <v>95 GL 1X WK NO REC COMM 2</v>
          </cell>
        </row>
        <row r="1975">
          <cell r="G1975" t="str">
            <v>SL095.0G1W002NORECC</v>
          </cell>
          <cell r="H1975" t="str">
            <v>95 GL 1X WK NO REC COMM 2</v>
          </cell>
        </row>
        <row r="1976">
          <cell r="G1976" t="str">
            <v>SL095.0G1W002WREC</v>
          </cell>
          <cell r="H1976" t="str">
            <v>95 GL 1X WK W/RECY 2</v>
          </cell>
        </row>
        <row r="1977">
          <cell r="G1977" t="str">
            <v>SL095.0G1W002WRECC</v>
          </cell>
          <cell r="H1977" t="str">
            <v>95 GL 1X WK W/RECY COMM 2</v>
          </cell>
        </row>
        <row r="1978">
          <cell r="G1978" t="str">
            <v>SL095.0G1W003NOREC</v>
          </cell>
          <cell r="H1978" t="str">
            <v>95 GL 1X WK NO RECY 3</v>
          </cell>
        </row>
        <row r="1979">
          <cell r="G1979" t="str">
            <v>SL095.0G1W003NORECC</v>
          </cell>
          <cell r="H1979" t="str">
            <v>95 GL 1X WK NO REC COMM 3</v>
          </cell>
        </row>
        <row r="1980">
          <cell r="G1980" t="str">
            <v>SL095.0G1W003WREC</v>
          </cell>
          <cell r="H1980" t="str">
            <v>95 GL 1X WK W/RECY 3</v>
          </cell>
        </row>
        <row r="1981">
          <cell r="G1981" t="str">
            <v>SL095.0G1W003WRECC</v>
          </cell>
          <cell r="H1981" t="str">
            <v>95 GL 1X WK W/RECY COMM 3</v>
          </cell>
        </row>
        <row r="1982">
          <cell r="G1982" t="str">
            <v>SL095.0G1W004NORECC</v>
          </cell>
          <cell r="H1982" t="str">
            <v>95 GL 1X WK NO REC COMM 4</v>
          </cell>
        </row>
        <row r="1983">
          <cell r="G1983" t="str">
            <v>SL095.0G1W004WRECC</v>
          </cell>
          <cell r="H1983" t="str">
            <v>95 GL 1X WK W/RECY COMM 4</v>
          </cell>
        </row>
        <row r="1984">
          <cell r="G1984" t="str">
            <v>SL095.0G1W005NORECC</v>
          </cell>
          <cell r="H1984" t="str">
            <v>95 GL 1X WK NO REC COMM 5</v>
          </cell>
        </row>
        <row r="1985">
          <cell r="G1985" t="str">
            <v>SL095.0G1W005WRECC</v>
          </cell>
          <cell r="H1985" t="str">
            <v>95 GL 1X WK W/RECY COMM 5</v>
          </cell>
        </row>
        <row r="1986">
          <cell r="G1986" t="str">
            <v>SL095.0GEO001</v>
          </cell>
          <cell r="H1986" t="str">
            <v>95 GL EOW 1</v>
          </cell>
        </row>
        <row r="1987">
          <cell r="G1987" t="str">
            <v>SL095.0GEO001NOREC</v>
          </cell>
          <cell r="H1987" t="str">
            <v>95 GL EOW NO RECY 1</v>
          </cell>
        </row>
        <row r="1988">
          <cell r="G1988" t="str">
            <v>SL095.0GEO001NOREC</v>
          </cell>
          <cell r="H1988" t="str">
            <v>95 GL EOW NO RECY 1</v>
          </cell>
        </row>
        <row r="1989">
          <cell r="G1989" t="str">
            <v>SL095.0GEO001NORECC</v>
          </cell>
          <cell r="H1989" t="str">
            <v>95 GL EOW NO RECY COMM 1</v>
          </cell>
        </row>
        <row r="1990">
          <cell r="G1990" t="str">
            <v>SL095.0GEO001NORECC</v>
          </cell>
          <cell r="H1990" t="str">
            <v>95 GL EOW NO RECY COMM 1</v>
          </cell>
        </row>
        <row r="1991">
          <cell r="G1991" t="str">
            <v>SL095.0GEO001NORECC</v>
          </cell>
          <cell r="H1991" t="str">
            <v>95 GL EOW NO RECY COMM 1</v>
          </cell>
        </row>
        <row r="1992">
          <cell r="G1992" t="str">
            <v>SL095.0GEO001SPCLNOREC</v>
          </cell>
          <cell r="H1992" t="str">
            <v>95 GL EOW S/D NO RECY 1</v>
          </cell>
        </row>
        <row r="1993">
          <cell r="G1993" t="str">
            <v>SL095.0GEO001SPCLWREC</v>
          </cell>
          <cell r="H1993" t="str">
            <v>95 GL EOW S/D W/RECY 1</v>
          </cell>
        </row>
        <row r="1994">
          <cell r="G1994" t="str">
            <v>SL095.0GEO001WREC</v>
          </cell>
          <cell r="H1994" t="str">
            <v>95 GL EOW W/RECY 1</v>
          </cell>
        </row>
        <row r="1995">
          <cell r="G1995" t="str">
            <v>SL095.0GEO001WREC</v>
          </cell>
          <cell r="H1995" t="str">
            <v>95 GL EOW W/RECY 1</v>
          </cell>
        </row>
        <row r="1996">
          <cell r="G1996" t="str">
            <v>SL095.0GEO001WREC</v>
          </cell>
          <cell r="H1996" t="str">
            <v>95 GL EOW W/RECY 1</v>
          </cell>
        </row>
        <row r="1997">
          <cell r="G1997" t="str">
            <v>SL095.0GEO001WREC</v>
          </cell>
          <cell r="H1997" t="str">
            <v>95 GL EOW W/RECY 1</v>
          </cell>
        </row>
        <row r="1998">
          <cell r="G1998" t="str">
            <v>SL095.0GEO001WRECC</v>
          </cell>
          <cell r="H1998" t="str">
            <v>95 GL EOW W/RECY COMM 1</v>
          </cell>
        </row>
        <row r="1999">
          <cell r="G1999" t="str">
            <v>SL095.0GEO001WRECC</v>
          </cell>
          <cell r="H1999" t="str">
            <v>95 GL EOW W/RECY COMM 1</v>
          </cell>
        </row>
        <row r="2000">
          <cell r="G2000" t="str">
            <v>SL095.0GEO001WRECC</v>
          </cell>
          <cell r="H2000" t="str">
            <v>95 GL EOW W/RECY COMM 1</v>
          </cell>
        </row>
        <row r="2001">
          <cell r="G2001" t="str">
            <v>SL095.0GEO001WRECC</v>
          </cell>
          <cell r="H2001" t="str">
            <v>95 GL EOW W/RECY COMM 1</v>
          </cell>
        </row>
        <row r="2002">
          <cell r="G2002" t="str">
            <v>SL095.0GEO001WRECC</v>
          </cell>
          <cell r="H2002" t="str">
            <v>95 GL EOW W/RECY COMM 1</v>
          </cell>
        </row>
        <row r="2003">
          <cell r="G2003" t="str">
            <v>SL096.0G1M001BCMGLIN</v>
          </cell>
          <cell r="H2003" t="str">
            <v>96 GL MTHLY BUS CMGL IN</v>
          </cell>
        </row>
        <row r="2004">
          <cell r="G2004" t="str">
            <v>SL096.0G1M001BCMGLIN</v>
          </cell>
          <cell r="H2004" t="str">
            <v>96 GL MTHLY BUS CMGL IN</v>
          </cell>
        </row>
        <row r="2005">
          <cell r="G2005" t="str">
            <v>SL096.0G1M001BCMGLIN</v>
          </cell>
          <cell r="H2005" t="str">
            <v>96 GL MTHLY BUS CMGL IN</v>
          </cell>
        </row>
        <row r="2006">
          <cell r="G2006" t="str">
            <v>SL096.0G1M001BCMGLIN</v>
          </cell>
          <cell r="H2006" t="str">
            <v>96 GL MTHLY BUS CMGL IN</v>
          </cell>
        </row>
        <row r="2007">
          <cell r="G2007" t="str">
            <v>SL096.0G1M001BCMGLIN</v>
          </cell>
          <cell r="H2007" t="str">
            <v>96 GL MTHLY BUS CMGL IN</v>
          </cell>
        </row>
        <row r="2008">
          <cell r="G2008" t="str">
            <v>SL096.0G1M001BCMGLIN</v>
          </cell>
          <cell r="H2008" t="str">
            <v>96 GL MTHLY BUS CMGL IN</v>
          </cell>
        </row>
        <row r="2009">
          <cell r="G2009" t="str">
            <v>SL096.0G1M001BCMGLIN</v>
          </cell>
          <cell r="H2009" t="str">
            <v>96 GL MTHLY BUS CMGL IN</v>
          </cell>
        </row>
        <row r="2010">
          <cell r="G2010" t="str">
            <v>SL096.0G1M001BCMGLIN</v>
          </cell>
          <cell r="H2010" t="str">
            <v>96 GL MTHLY BUS CMGL IN</v>
          </cell>
        </row>
        <row r="2011">
          <cell r="G2011" t="str">
            <v>SL096.0G1M001BCMGLIN</v>
          </cell>
          <cell r="H2011" t="str">
            <v>96 GL MTHLY BUS CMGL IN</v>
          </cell>
        </row>
        <row r="2012">
          <cell r="G2012" t="str">
            <v>SL096.0G1M001BCMGLOUT</v>
          </cell>
          <cell r="H2012" t="str">
            <v>96 GL MTHLY BUS CMGL OUT</v>
          </cell>
        </row>
        <row r="2013">
          <cell r="G2013" t="str">
            <v>SL096.0G1M001BCMGLOUT</v>
          </cell>
          <cell r="H2013" t="str">
            <v>96 GL MTHLY BUS CMGL OUT</v>
          </cell>
        </row>
        <row r="2014">
          <cell r="G2014" t="str">
            <v>SL096.0G1M001BCMGLOUT</v>
          </cell>
          <cell r="H2014" t="str">
            <v>96 GL MTHLY BUS CMGL OUT</v>
          </cell>
        </row>
        <row r="2015">
          <cell r="G2015" t="str">
            <v>SL096.0G1M001BCMGLOUT</v>
          </cell>
          <cell r="H2015" t="str">
            <v>96 GL MTHLY BUS CMGL OUT</v>
          </cell>
        </row>
        <row r="2016">
          <cell r="G2016" t="str">
            <v>SL096.0G1M001BCMGLOUT</v>
          </cell>
          <cell r="H2016" t="str">
            <v>96 GL MTHLY BUS CMGL OUT</v>
          </cell>
        </row>
        <row r="2017">
          <cell r="G2017" t="str">
            <v>SL096.0G1M001BCMGLOUT</v>
          </cell>
          <cell r="H2017" t="str">
            <v>96 GL MTHLY BUS CMGL OUT</v>
          </cell>
        </row>
        <row r="2018">
          <cell r="G2018" t="str">
            <v>SL096.0G1M001BCMGLOUT</v>
          </cell>
          <cell r="H2018" t="str">
            <v>96 GL MTHLY BUS CMGL OUT</v>
          </cell>
        </row>
        <row r="2019">
          <cell r="G2019" t="str">
            <v>SL096.0G1M001BCMGLOUT</v>
          </cell>
          <cell r="H2019" t="str">
            <v>96 GL MTHLY BUS CMGL OUT</v>
          </cell>
        </row>
        <row r="2020">
          <cell r="G2020" t="str">
            <v>SL096.0G1M001BCMGLOUT</v>
          </cell>
          <cell r="H2020" t="str">
            <v>96 GL MTHLY BUS CMGL OUT</v>
          </cell>
        </row>
        <row r="2021">
          <cell r="G2021" t="str">
            <v>SL096.0G1M001SCMGLIN</v>
          </cell>
          <cell r="H2021" t="str">
            <v>96 GL MTHLY SCHL CMGL IN</v>
          </cell>
        </row>
        <row r="2022">
          <cell r="G2022" t="str">
            <v>SL096.0G1M001SCMGLIN</v>
          </cell>
          <cell r="H2022" t="str">
            <v>96 GL MTHLY SCHL CMGL IN</v>
          </cell>
        </row>
        <row r="2023">
          <cell r="G2023" t="str">
            <v>SL096.0G1M001SCMGLIN</v>
          </cell>
          <cell r="H2023" t="str">
            <v>96 GL MTHLY SCHL CMGL IN</v>
          </cell>
        </row>
        <row r="2024">
          <cell r="G2024" t="str">
            <v>SL096.0G1M001SCMGLIN</v>
          </cell>
          <cell r="H2024" t="str">
            <v>96 GL MTHLY SCHL CMGL IN</v>
          </cell>
        </row>
        <row r="2025">
          <cell r="G2025" t="str">
            <v>SL096.0G1M001SCMGLIN</v>
          </cell>
          <cell r="H2025" t="str">
            <v>96 GL MTHLY SCHL CMGL IN</v>
          </cell>
        </row>
        <row r="2026">
          <cell r="G2026" t="str">
            <v>SL096.0G1M001SCMGLIN</v>
          </cell>
          <cell r="H2026" t="str">
            <v>96 GL MTHLY SCHL CMGL IN</v>
          </cell>
        </row>
        <row r="2027">
          <cell r="G2027" t="str">
            <v>SL096.0G1M001SCMGLIN</v>
          </cell>
          <cell r="H2027" t="str">
            <v>96 GL MTHLY SCHL CMGL IN</v>
          </cell>
        </row>
        <row r="2028">
          <cell r="G2028" t="str">
            <v>SL096.0G1M001SCMGLIN</v>
          </cell>
          <cell r="H2028" t="str">
            <v>96 GL MTHLY SCHL CMGL IN</v>
          </cell>
        </row>
        <row r="2029">
          <cell r="G2029" t="str">
            <v>SL096.0G1M001SCMGLIN</v>
          </cell>
          <cell r="H2029" t="str">
            <v>96 GL MTHLY SCHL CMGL IN</v>
          </cell>
        </row>
        <row r="2030">
          <cell r="G2030" t="str">
            <v>SL096.0G1M001SCMGLOUT</v>
          </cell>
          <cell r="H2030" t="str">
            <v>96 GL MTHLY SCHL CMGL OUT</v>
          </cell>
        </row>
        <row r="2031">
          <cell r="G2031" t="str">
            <v>SL096.0G1M001SCMGLOUT</v>
          </cell>
          <cell r="H2031" t="str">
            <v>96 GL MTHLY SCHL CMGL OUT</v>
          </cell>
        </row>
        <row r="2032">
          <cell r="G2032" t="str">
            <v>SL096.0G1M001SCMGLOUT</v>
          </cell>
          <cell r="H2032" t="str">
            <v>96 GL MTHLY SCHL CMGL OUT</v>
          </cell>
        </row>
        <row r="2033">
          <cell r="G2033" t="str">
            <v>SL096.0G1M001SCMGLOUT</v>
          </cell>
          <cell r="H2033" t="str">
            <v>96 GL MTHLY SCHL CMGL OUT</v>
          </cell>
        </row>
        <row r="2034">
          <cell r="G2034" t="str">
            <v>SL096.0G1M001SCMGLOUT</v>
          </cell>
          <cell r="H2034" t="str">
            <v>96 GL MTHLY SCHL CMGL OUT</v>
          </cell>
        </row>
        <row r="2035">
          <cell r="G2035" t="str">
            <v>SL096.0G1M001SCMGLOUT</v>
          </cell>
          <cell r="H2035" t="str">
            <v>96 GL MTHLY SCHL CMGL OUT</v>
          </cell>
        </row>
        <row r="2036">
          <cell r="G2036" t="str">
            <v>SL096.0G1M001SCMGLOUT</v>
          </cell>
          <cell r="H2036" t="str">
            <v>96 GL MTHLY SCHL CMGL OUT</v>
          </cell>
        </row>
        <row r="2037">
          <cell r="G2037" t="str">
            <v>SL096.0G1M001SCMGLOUT</v>
          </cell>
          <cell r="H2037" t="str">
            <v>96 GL MTHLY SCHL CMGL OUT</v>
          </cell>
        </row>
        <row r="2038">
          <cell r="G2038" t="str">
            <v>SL096.0G1M001SCMGLOUT</v>
          </cell>
          <cell r="H2038" t="str">
            <v>96 GL MTHLY SCHL CMGL OUT</v>
          </cell>
        </row>
        <row r="2039">
          <cell r="G2039" t="str">
            <v>SL096.0G1W001BCMGLIN</v>
          </cell>
          <cell r="H2039" t="str">
            <v>96 GL WKLY BUS CMGL IN</v>
          </cell>
        </row>
        <row r="2040">
          <cell r="G2040" t="str">
            <v>SL096.0G1W001BCMGLIN</v>
          </cell>
          <cell r="H2040" t="str">
            <v>96 GL WKLY BUS CMGL IN</v>
          </cell>
        </row>
        <row r="2041">
          <cell r="G2041" t="str">
            <v>SL096.0G1W001BCMGLIN</v>
          </cell>
          <cell r="H2041" t="str">
            <v>96 GL WKLY BUS CMGL IN</v>
          </cell>
        </row>
        <row r="2042">
          <cell r="G2042" t="str">
            <v>SL096.0G1W001BCMGLIN</v>
          </cell>
          <cell r="H2042" t="str">
            <v>96 GL WKLY BUS CMGL IN</v>
          </cell>
        </row>
        <row r="2043">
          <cell r="G2043" t="str">
            <v>SL096.0G1W001BCMGLIN</v>
          </cell>
          <cell r="H2043" t="str">
            <v>96 GL WKLY BUS CMGL IN</v>
          </cell>
        </row>
        <row r="2044">
          <cell r="G2044" t="str">
            <v>SL096.0G1W001BCMGLIN</v>
          </cell>
          <cell r="H2044" t="str">
            <v>96 GL WKLY BUS CMGL IN</v>
          </cell>
        </row>
        <row r="2045">
          <cell r="G2045" t="str">
            <v>SL096.0G1W001BCMGLIN</v>
          </cell>
          <cell r="H2045" t="str">
            <v>96 GL WKLY BUS CMGL IN</v>
          </cell>
        </row>
        <row r="2046">
          <cell r="G2046" t="str">
            <v>SL096.0G1W001BCMGLIN</v>
          </cell>
          <cell r="H2046" t="str">
            <v>96 GL WKLY BUS CMGL IN</v>
          </cell>
        </row>
        <row r="2047">
          <cell r="G2047" t="str">
            <v>SL096.0G1W001BCMGLIN</v>
          </cell>
          <cell r="H2047" t="str">
            <v>96 GL WKLY BUS CMGL IN</v>
          </cell>
        </row>
        <row r="2048">
          <cell r="G2048" t="str">
            <v>SL096.0G1W001BCMGLOUT</v>
          </cell>
          <cell r="H2048" t="str">
            <v>96 GL WKLY BUS CMGL OUT</v>
          </cell>
        </row>
        <row r="2049">
          <cell r="G2049" t="str">
            <v>SL096.0G1W001BCMGLOUT</v>
          </cell>
          <cell r="H2049" t="str">
            <v>96 GL WKLY BUS CMGL OUT</v>
          </cell>
        </row>
        <row r="2050">
          <cell r="G2050" t="str">
            <v>SL096.0G1W001BCMGLOUT</v>
          </cell>
          <cell r="H2050" t="str">
            <v>96 GL WKLY BUS CMGL OUT</v>
          </cell>
        </row>
        <row r="2051">
          <cell r="G2051" t="str">
            <v>SL096.0G1W001BCMGLOUT</v>
          </cell>
          <cell r="H2051" t="str">
            <v>96 GL WKLY BUS CMGL OUT</v>
          </cell>
        </row>
        <row r="2052">
          <cell r="G2052" t="str">
            <v>SL096.0G1W001BCMGLOUT</v>
          </cell>
          <cell r="H2052" t="str">
            <v>96 GL WKLY BUS CMGL OUT</v>
          </cell>
        </row>
        <row r="2053">
          <cell r="G2053" t="str">
            <v>SL096.0G1W001BCMGLOUT</v>
          </cell>
          <cell r="H2053" t="str">
            <v>96 GL WKLY BUS CMGL OUT</v>
          </cell>
        </row>
        <row r="2054">
          <cell r="G2054" t="str">
            <v>SL096.0G1W001BCMGLOUT</v>
          </cell>
          <cell r="H2054" t="str">
            <v>96 GL WKLY BUS CMGL OUT</v>
          </cell>
        </row>
        <row r="2055">
          <cell r="G2055" t="str">
            <v>SL096.0G1W001BCMGLOUT</v>
          </cell>
          <cell r="H2055" t="str">
            <v>96 GL WKLY BUS CMGL OUT</v>
          </cell>
        </row>
        <row r="2056">
          <cell r="G2056" t="str">
            <v>SL096.0G1W001BCMGLOUT</v>
          </cell>
          <cell r="H2056" t="str">
            <v>96 GL WKLY BUS CMGL OUT</v>
          </cell>
        </row>
        <row r="2057">
          <cell r="G2057" t="str">
            <v>SL096.0G1W001RECC</v>
          </cell>
          <cell r="H2057" t="str">
            <v xml:space="preserve">96 GL 1X WK RECYCLE COMM </v>
          </cell>
        </row>
        <row r="2058">
          <cell r="G2058" t="str">
            <v>SL096.0G1W001RECC</v>
          </cell>
          <cell r="H2058" t="str">
            <v xml:space="preserve">96 GL 1X WK RECYCLE COMM </v>
          </cell>
        </row>
        <row r="2059">
          <cell r="G2059" t="str">
            <v>SL096.0G1W001RECC</v>
          </cell>
          <cell r="H2059" t="str">
            <v xml:space="preserve">96 GL 1X WK RECYCLE COMM </v>
          </cell>
        </row>
        <row r="2060">
          <cell r="G2060" t="str">
            <v>SL096.0G1W001RECC</v>
          </cell>
          <cell r="H2060" t="str">
            <v xml:space="preserve">96 GL 1X WK RECYCLE COMM </v>
          </cell>
        </row>
        <row r="2061">
          <cell r="G2061" t="str">
            <v>SL096.0G1W001RECC</v>
          </cell>
          <cell r="H2061" t="str">
            <v xml:space="preserve">96 GL 1X WK RECYCLE COMM </v>
          </cell>
        </row>
        <row r="2062">
          <cell r="G2062" t="str">
            <v>SL096.0G1W001RECC</v>
          </cell>
          <cell r="H2062" t="str">
            <v xml:space="preserve">96 GL 1X WK RECYCLE COMM </v>
          </cell>
        </row>
        <row r="2063">
          <cell r="G2063" t="str">
            <v>SL096.0G1W001RECC</v>
          </cell>
          <cell r="H2063" t="str">
            <v xml:space="preserve">96 GL 1X WK RECYCLE COMM </v>
          </cell>
        </row>
        <row r="2064">
          <cell r="G2064" t="str">
            <v>SL096.0G1W001RECC</v>
          </cell>
          <cell r="H2064" t="str">
            <v xml:space="preserve">96 GL 1X WK RECYCLE COMM </v>
          </cell>
        </row>
        <row r="2065">
          <cell r="G2065" t="str">
            <v>SL096.0G1W001RECC</v>
          </cell>
          <cell r="H2065" t="str">
            <v xml:space="preserve">96 GL 1X WK RECYCLE COMM </v>
          </cell>
        </row>
        <row r="2066">
          <cell r="G2066" t="str">
            <v>SL096.0G1W001SCMGLIN</v>
          </cell>
          <cell r="H2066" t="str">
            <v>96 GL WKLY SCHL CMGL IN</v>
          </cell>
        </row>
        <row r="2067">
          <cell r="G2067" t="str">
            <v>SL096.0G1W001SCMGLIN</v>
          </cell>
          <cell r="H2067" t="str">
            <v>96 GL WKLY SCHL CMGL IN</v>
          </cell>
        </row>
        <row r="2068">
          <cell r="G2068" t="str">
            <v>SL096.0G1W001SCMGLIN</v>
          </cell>
          <cell r="H2068" t="str">
            <v>96 GL WKLY SCHL CMGL IN</v>
          </cell>
        </row>
        <row r="2069">
          <cell r="G2069" t="str">
            <v>SL096.0G1W001SCMGLIN</v>
          </cell>
          <cell r="H2069" t="str">
            <v>96 GL WKLY SCHL CMGL IN</v>
          </cell>
        </row>
        <row r="2070">
          <cell r="G2070" t="str">
            <v>SL096.0G1W001SCMGLIN</v>
          </cell>
          <cell r="H2070" t="str">
            <v>96 GL WKLY SCHL CMGL IN</v>
          </cell>
        </row>
        <row r="2071">
          <cell r="G2071" t="str">
            <v>SL096.0G1W001SCMGLIN</v>
          </cell>
          <cell r="H2071" t="str">
            <v>96 GL WKLY SCHL CMGL IN</v>
          </cell>
        </row>
        <row r="2072">
          <cell r="G2072" t="str">
            <v>SL096.0G1W001SCMGLIN</v>
          </cell>
          <cell r="H2072" t="str">
            <v>96 GL WKLY SCHL CMGL IN</v>
          </cell>
        </row>
        <row r="2073">
          <cell r="G2073" t="str">
            <v>SL096.0G1W001SCMGLIN</v>
          </cell>
          <cell r="H2073" t="str">
            <v>96 GL WKLY SCHL CMGL IN</v>
          </cell>
        </row>
        <row r="2074">
          <cell r="G2074" t="str">
            <v>SL096.0G1W001SCMGLIN</v>
          </cell>
          <cell r="H2074" t="str">
            <v>96 GL WKLY SCHL CMGL IN</v>
          </cell>
        </row>
        <row r="2075">
          <cell r="G2075" t="str">
            <v>SL096.0G1W001SCMGLOUT</v>
          </cell>
          <cell r="H2075" t="str">
            <v>96 GL WKLY SCHL CMGL OUT</v>
          </cell>
        </row>
        <row r="2076">
          <cell r="G2076" t="str">
            <v>SL096.0G1W001SCMGLOUT</v>
          </cell>
          <cell r="H2076" t="str">
            <v>96 GL WKLY SCHL CMGL OUT</v>
          </cell>
        </row>
        <row r="2077">
          <cell r="G2077" t="str">
            <v>SL096.0G1W001SCMGLOUT</v>
          </cell>
          <cell r="H2077" t="str">
            <v>96 GL WKLY SCHL CMGL OUT</v>
          </cell>
        </row>
        <row r="2078">
          <cell r="G2078" t="str">
            <v>SL096.0G1W001SCMGLOUT</v>
          </cell>
          <cell r="H2078" t="str">
            <v>96 GL WKLY SCHL CMGL OUT</v>
          </cell>
        </row>
        <row r="2079">
          <cell r="G2079" t="str">
            <v>SL096.0G1W001SCMGLOUT</v>
          </cell>
          <cell r="H2079" t="str">
            <v>96 GL WKLY SCHL CMGL OUT</v>
          </cell>
        </row>
        <row r="2080">
          <cell r="G2080" t="str">
            <v>SL096.0G1W001SCMGLOUT</v>
          </cell>
          <cell r="H2080" t="str">
            <v>96 GL WKLY SCHL CMGL OUT</v>
          </cell>
        </row>
        <row r="2081">
          <cell r="G2081" t="str">
            <v>SL096.0G1W001SCMGLOUT</v>
          </cell>
          <cell r="H2081" t="str">
            <v>96 GL WKLY SCHL CMGL OUT</v>
          </cell>
        </row>
        <row r="2082">
          <cell r="G2082" t="str">
            <v>SL096.0G1W001SCMGLOUT</v>
          </cell>
          <cell r="H2082" t="str">
            <v>96 GL WKLY SCHL CMGL OUT</v>
          </cell>
        </row>
        <row r="2083">
          <cell r="G2083" t="str">
            <v>SL096.0G1W001SCMGLOUT</v>
          </cell>
          <cell r="H2083" t="str">
            <v>96 GL WKLY SCHL CMGL OUT</v>
          </cell>
        </row>
        <row r="2084">
          <cell r="G2084" t="str">
            <v>SL096.0GEO001BCMGLIN</v>
          </cell>
          <cell r="H2084" t="str">
            <v>96 GL EOW BUS CMGL IN</v>
          </cell>
        </row>
        <row r="2085">
          <cell r="G2085" t="str">
            <v>SL096.0GEO001BCMGLIN</v>
          </cell>
          <cell r="H2085" t="str">
            <v>96 GL EOW BUS CMGL IN</v>
          </cell>
        </row>
        <row r="2086">
          <cell r="G2086" t="str">
            <v>SL096.0GEO001BCMGLIN</v>
          </cell>
          <cell r="H2086" t="str">
            <v>96 GL EOW BUS CMGL IN</v>
          </cell>
        </row>
        <row r="2087">
          <cell r="G2087" t="str">
            <v>SL096.0GEO001BCMGLIN</v>
          </cell>
          <cell r="H2087" t="str">
            <v>96 GL EOW BUS CMGL IN</v>
          </cell>
        </row>
        <row r="2088">
          <cell r="G2088" t="str">
            <v>SL096.0GEO001BCMGLIN</v>
          </cell>
          <cell r="H2088" t="str">
            <v>96 GL EOW BUS CMGL IN</v>
          </cell>
        </row>
        <row r="2089">
          <cell r="G2089" t="str">
            <v>SL096.0GEO001BCMGLIN</v>
          </cell>
          <cell r="H2089" t="str">
            <v>96 GL EOW BUS CMGL IN</v>
          </cell>
        </row>
        <row r="2090">
          <cell r="G2090" t="str">
            <v>SL096.0GEO001BCMGLIN</v>
          </cell>
          <cell r="H2090" t="str">
            <v>96 GL EOW BUS CMGL IN</v>
          </cell>
        </row>
        <row r="2091">
          <cell r="G2091" t="str">
            <v>SL096.0GEO001BCMGLIN</v>
          </cell>
          <cell r="H2091" t="str">
            <v>96 GL EOW BUS CMGL IN</v>
          </cell>
        </row>
        <row r="2092">
          <cell r="G2092" t="str">
            <v>SL096.0GEO001BCMGLIN</v>
          </cell>
          <cell r="H2092" t="str">
            <v>96 GL EOW BUS CMGL IN</v>
          </cell>
        </row>
        <row r="2093">
          <cell r="G2093" t="str">
            <v>SL096.0GEO001BCMGLOUT</v>
          </cell>
          <cell r="H2093" t="str">
            <v>96 GL EOW BUS CMGL OUT</v>
          </cell>
        </row>
        <row r="2094">
          <cell r="G2094" t="str">
            <v>SL096.0GEO001BCMGLOUT</v>
          </cell>
          <cell r="H2094" t="str">
            <v>96 GL EOW BUS CMGL OUT</v>
          </cell>
        </row>
        <row r="2095">
          <cell r="G2095" t="str">
            <v>SL096.0GEO001BCMGLOUT</v>
          </cell>
          <cell r="H2095" t="str">
            <v>96 GL EOW BUS CMGL OUT</v>
          </cell>
        </row>
        <row r="2096">
          <cell r="G2096" t="str">
            <v>SL096.0GEO001BCMGLOUT</v>
          </cell>
          <cell r="H2096" t="str">
            <v>96 GL EOW BUS CMGL OUT</v>
          </cell>
        </row>
        <row r="2097">
          <cell r="G2097" t="str">
            <v>SL096.0GEO001BCMGLOUT</v>
          </cell>
          <cell r="H2097" t="str">
            <v>96 GL EOW BUS CMGL OUT</v>
          </cell>
        </row>
        <row r="2098">
          <cell r="G2098" t="str">
            <v>SL096.0GEO001BCMGLOUT</v>
          </cell>
          <cell r="H2098" t="str">
            <v>96 GL EOW BUS CMGL OUT</v>
          </cell>
        </row>
        <row r="2099">
          <cell r="G2099" t="str">
            <v>SL096.0GEO001BCMGLOUT</v>
          </cell>
          <cell r="H2099" t="str">
            <v>96 GL EOW BUS CMGL OUT</v>
          </cell>
        </row>
        <row r="2100">
          <cell r="G2100" t="str">
            <v>SL096.0GEO001BCMGLOUT</v>
          </cell>
          <cell r="H2100" t="str">
            <v>96 GL EOW BUS CMGL OUT</v>
          </cell>
        </row>
        <row r="2101">
          <cell r="G2101" t="str">
            <v>SL096.0GEO001BCMGLOUT</v>
          </cell>
          <cell r="H2101" t="str">
            <v>96 GL EOW BUS CMGL OUT</v>
          </cell>
        </row>
        <row r="2102">
          <cell r="G2102" t="str">
            <v>SL096.0GEO001SCMGLIN</v>
          </cell>
          <cell r="H2102" t="str">
            <v>96 GL EOW SCHL CMGL IN</v>
          </cell>
        </row>
        <row r="2103">
          <cell r="G2103" t="str">
            <v>SL096.0GEO001SCMGLIN</v>
          </cell>
          <cell r="H2103" t="str">
            <v>96 GL EOW SCHL CMGL IN</v>
          </cell>
        </row>
        <row r="2104">
          <cell r="G2104" t="str">
            <v>SL096.0GEO001SCMGLIN</v>
          </cell>
          <cell r="H2104" t="str">
            <v>96 GL EOW SCHL CMGL IN</v>
          </cell>
        </row>
        <row r="2105">
          <cell r="G2105" t="str">
            <v>SL096.0GEO001SCMGLIN</v>
          </cell>
          <cell r="H2105" t="str">
            <v>96 GL EOW SCHL CMGL IN</v>
          </cell>
        </row>
        <row r="2106">
          <cell r="G2106" t="str">
            <v>SL096.0GEO001SCMGLIN</v>
          </cell>
          <cell r="H2106" t="str">
            <v>96 GL EOW SCHL CMGL IN</v>
          </cell>
        </row>
        <row r="2107">
          <cell r="G2107" t="str">
            <v>SL096.0GEO001SCMGLIN</v>
          </cell>
          <cell r="H2107" t="str">
            <v>96 GL EOW SCHL CMGL IN</v>
          </cell>
        </row>
        <row r="2108">
          <cell r="G2108" t="str">
            <v>SL096.0GEO001SCMGLIN</v>
          </cell>
          <cell r="H2108" t="str">
            <v>96 GL EOW SCHL CMGL IN</v>
          </cell>
        </row>
        <row r="2109">
          <cell r="G2109" t="str">
            <v>SL096.0GEO001SCMGLIN</v>
          </cell>
          <cell r="H2109" t="str">
            <v>96 GL EOW SCHL CMGL IN</v>
          </cell>
        </row>
        <row r="2110">
          <cell r="G2110" t="str">
            <v>SL096.0GEO001SCMGLIN</v>
          </cell>
          <cell r="H2110" t="str">
            <v>96 GL EOW SCHL CMGL IN</v>
          </cell>
        </row>
        <row r="2111">
          <cell r="G2111" t="str">
            <v>SL096.0GEO001SCMGLOUT</v>
          </cell>
          <cell r="H2111" t="str">
            <v>96 GL EOW SCHL CMGL OUT</v>
          </cell>
        </row>
        <row r="2112">
          <cell r="G2112" t="str">
            <v>SL096.0GEO001SCMGLOUT</v>
          </cell>
          <cell r="H2112" t="str">
            <v>96 GL EOW SCHL CMGL OUT</v>
          </cell>
        </row>
        <row r="2113">
          <cell r="G2113" t="str">
            <v>SL096.0GEO001SCMGLOUT</v>
          </cell>
          <cell r="H2113" t="str">
            <v>96 GL EOW SCHL CMGL OUT</v>
          </cell>
        </row>
        <row r="2114">
          <cell r="G2114" t="str">
            <v>SL096.0GEO001SCMGLOUT</v>
          </cell>
          <cell r="H2114" t="str">
            <v>96 GL EOW SCHL CMGL OUT</v>
          </cell>
        </row>
        <row r="2115">
          <cell r="G2115" t="str">
            <v>SL096.0GEO001SCMGLOUT</v>
          </cell>
          <cell r="H2115" t="str">
            <v>96 GL EOW SCHL CMGL OUT</v>
          </cell>
        </row>
        <row r="2116">
          <cell r="G2116" t="str">
            <v>SL096.0GEO001SCMGLOUT</v>
          </cell>
          <cell r="H2116" t="str">
            <v>96 GL EOW SCHL CMGL OUT</v>
          </cell>
        </row>
        <row r="2117">
          <cell r="G2117" t="str">
            <v>SL096.0GEO001SCMGLOUT</v>
          </cell>
          <cell r="H2117" t="str">
            <v>96 GL EOW SCHL CMGL OUT</v>
          </cell>
        </row>
        <row r="2118">
          <cell r="G2118" t="str">
            <v>SL096.0GEO001SCMGLOUT</v>
          </cell>
          <cell r="H2118" t="str">
            <v>96 GL EOW SCHL CMGL OUT</v>
          </cell>
        </row>
        <row r="2119">
          <cell r="G2119" t="str">
            <v>SL096.0GEO001SCMGLOUT</v>
          </cell>
          <cell r="H2119" t="str">
            <v>96 GL EOW SCHL CMGL OUT</v>
          </cell>
        </row>
        <row r="2120">
          <cell r="G2120" t="str">
            <v>SP-COMM</v>
          </cell>
          <cell r="H2120" t="str">
            <v>SPECIAL HAUL - COMM</v>
          </cell>
        </row>
        <row r="2121">
          <cell r="G2121" t="str">
            <v>SP1-COMM</v>
          </cell>
          <cell r="H2121" t="str">
            <v>SPECIAL PICK UP 1 YD - CO</v>
          </cell>
        </row>
        <row r="2122">
          <cell r="G2122" t="str">
            <v>SP1-COMM</v>
          </cell>
          <cell r="H2122" t="str">
            <v>SPECIAL PICK UP 1 YD - CO</v>
          </cell>
        </row>
        <row r="2123">
          <cell r="G2123" t="str">
            <v>SP1-COMM</v>
          </cell>
          <cell r="H2123" t="str">
            <v>SPECIAL PICK UP 1 YD - CO</v>
          </cell>
        </row>
        <row r="2124">
          <cell r="G2124" t="str">
            <v>SP1-COMM</v>
          </cell>
          <cell r="H2124" t="str">
            <v>SPECIAL PICK UP 1 YD - CO</v>
          </cell>
        </row>
        <row r="2125">
          <cell r="G2125" t="str">
            <v>SP1-COMM</v>
          </cell>
          <cell r="H2125" t="str">
            <v>SPECIAL PICK UP 1 YD - CO</v>
          </cell>
        </row>
        <row r="2126">
          <cell r="G2126" t="str">
            <v>SP1-COMM</v>
          </cell>
          <cell r="H2126" t="str">
            <v>SPECIAL PICK UP 1 YD - CO</v>
          </cell>
        </row>
        <row r="2127">
          <cell r="G2127" t="str">
            <v>SP1-COMM</v>
          </cell>
          <cell r="H2127" t="str">
            <v>SPECIAL PICK UP 1 YD - CO</v>
          </cell>
        </row>
        <row r="2128">
          <cell r="G2128" t="str">
            <v>SP1-MF</v>
          </cell>
          <cell r="H2128" t="str">
            <v>SPECIAL PICK UP 1 YD - MF</v>
          </cell>
        </row>
        <row r="2129">
          <cell r="G2129" t="str">
            <v>SP1.5-COMM</v>
          </cell>
          <cell r="H2129" t="str">
            <v xml:space="preserve">SPECIAL PICK UP 1.5 YD - </v>
          </cell>
        </row>
        <row r="2130">
          <cell r="G2130" t="str">
            <v>SP1.5-COMM</v>
          </cell>
          <cell r="H2130" t="str">
            <v xml:space="preserve">SPECIAL PICK UP 1.5 YD - </v>
          </cell>
        </row>
        <row r="2131">
          <cell r="G2131" t="str">
            <v>SP1.5-COMM</v>
          </cell>
          <cell r="H2131" t="str">
            <v xml:space="preserve">SPECIAL PICK UP 1.5 YD - </v>
          </cell>
        </row>
        <row r="2132">
          <cell r="G2132" t="str">
            <v>SP1.5-COMM</v>
          </cell>
          <cell r="H2132" t="str">
            <v xml:space="preserve">SPECIAL PICK UP 1.5 YD - </v>
          </cell>
        </row>
        <row r="2133">
          <cell r="G2133" t="str">
            <v>SP1.5-COMM</v>
          </cell>
          <cell r="H2133" t="str">
            <v xml:space="preserve">SPECIAL PICK UP 1.5 YD - </v>
          </cell>
        </row>
        <row r="2134">
          <cell r="G2134" t="str">
            <v>SP1.5-COMM</v>
          </cell>
          <cell r="H2134" t="str">
            <v xml:space="preserve">SPECIAL PICK UP 1.5 YD - </v>
          </cell>
        </row>
        <row r="2135">
          <cell r="G2135" t="str">
            <v>SP1.5-COMM</v>
          </cell>
          <cell r="H2135" t="str">
            <v xml:space="preserve">SPECIAL PICK UP 1.5 YD - </v>
          </cell>
        </row>
        <row r="2136">
          <cell r="G2136" t="str">
            <v>SP1.5-MF</v>
          </cell>
          <cell r="H2136" t="str">
            <v>SPECIAL PICK UP 1.5 YD - MF</v>
          </cell>
        </row>
        <row r="2137">
          <cell r="G2137" t="str">
            <v>SP2-COMM</v>
          </cell>
          <cell r="H2137" t="str">
            <v>SPECIAL PICK UP 2 YD - CO</v>
          </cell>
        </row>
        <row r="2138">
          <cell r="G2138" t="str">
            <v>SP2-COMM</v>
          </cell>
          <cell r="H2138" t="str">
            <v>SPECIAL PICK UP 2 YD - CO</v>
          </cell>
        </row>
        <row r="2139">
          <cell r="G2139" t="str">
            <v>SP2-COMM</v>
          </cell>
          <cell r="H2139" t="str">
            <v>SPECIAL PICK UP 2 YD - CO</v>
          </cell>
        </row>
        <row r="2140">
          <cell r="G2140" t="str">
            <v>SP2-COMM</v>
          </cell>
          <cell r="H2140" t="str">
            <v>SPECIAL PICK UP 2 YD - CO</v>
          </cell>
        </row>
        <row r="2141">
          <cell r="G2141" t="str">
            <v>SP2-COMM</v>
          </cell>
          <cell r="H2141" t="str">
            <v>SPECIAL PICK UP 2 YD - CO</v>
          </cell>
        </row>
        <row r="2142">
          <cell r="G2142" t="str">
            <v>SP2-COMM</v>
          </cell>
          <cell r="H2142" t="str">
            <v>SPECIAL PICK UP 2 YD - CO</v>
          </cell>
        </row>
        <row r="2143">
          <cell r="G2143" t="str">
            <v>SP2-COMM</v>
          </cell>
          <cell r="H2143" t="str">
            <v>SPECIAL PICK UP 2 YD - CO</v>
          </cell>
        </row>
        <row r="2144">
          <cell r="G2144" t="str">
            <v>SP2-MF</v>
          </cell>
          <cell r="H2144" t="str">
            <v>SPECIAL PICK UP 2 YD - MF</v>
          </cell>
        </row>
        <row r="2145">
          <cell r="G2145" t="str">
            <v>SP2BCMGL-COMM</v>
          </cell>
          <cell r="H2145" t="str">
            <v>SPECIAL P/U 2 YD BUS CMGL</v>
          </cell>
        </row>
        <row r="2146">
          <cell r="G2146" t="str">
            <v>SP2BCMGL-COMM</v>
          </cell>
          <cell r="H2146" t="str">
            <v>SPECIAL P/U 2 YD BUS CMGL</v>
          </cell>
        </row>
        <row r="2147">
          <cell r="G2147" t="str">
            <v>SP2BCMGL-COMM</v>
          </cell>
          <cell r="H2147" t="str">
            <v>SPECIAL P/U 2 YD BUS CMGL</v>
          </cell>
        </row>
        <row r="2148">
          <cell r="G2148" t="str">
            <v>SP2BCMGL-COMM</v>
          </cell>
          <cell r="H2148" t="str">
            <v>SPECIAL P/U 2 YD BUS CMGL</v>
          </cell>
        </row>
        <row r="2149">
          <cell r="G2149" t="str">
            <v>SP2BCMGL-COMM</v>
          </cell>
          <cell r="H2149" t="str">
            <v>SPECIAL P/U 2 YD BUS CMGL</v>
          </cell>
        </row>
        <row r="2150">
          <cell r="G2150" t="str">
            <v>SP2BCMGL-COMM</v>
          </cell>
          <cell r="H2150" t="str">
            <v>SPECIAL P/U 2 YD BUS CMGL</v>
          </cell>
        </row>
        <row r="2151">
          <cell r="G2151" t="str">
            <v>SP2BCMGL-COMM</v>
          </cell>
          <cell r="H2151" t="str">
            <v>SPECIAL P/U 2 YD BUS CMGL</v>
          </cell>
        </row>
        <row r="2152">
          <cell r="G2152" t="str">
            <v>SP2BCMGL-COMM</v>
          </cell>
          <cell r="H2152" t="str">
            <v>SPECIAL P/U 2 YD BUS CMGL</v>
          </cell>
        </row>
        <row r="2153">
          <cell r="G2153" t="str">
            <v>SP2BCMGL-COMM</v>
          </cell>
          <cell r="H2153" t="str">
            <v>SPECIAL P/U 2 YD BUS CMGL</v>
          </cell>
        </row>
        <row r="2154">
          <cell r="G2154" t="str">
            <v>SP2CMP-COMM</v>
          </cell>
          <cell r="H2154" t="str">
            <v>SPECIAL PICK UP 2 YD COMP</v>
          </cell>
        </row>
        <row r="2155">
          <cell r="G2155" t="str">
            <v>SP2CMP-COMM</v>
          </cell>
          <cell r="H2155" t="str">
            <v>SPECIAL PICK UP 2 YD COMP</v>
          </cell>
        </row>
        <row r="2156">
          <cell r="G2156" t="str">
            <v>SP2OCC-COMM</v>
          </cell>
          <cell r="H2156" t="str">
            <v>SPECIAL PICKUP 2 YD OCC -</v>
          </cell>
        </row>
        <row r="2157">
          <cell r="G2157" t="str">
            <v>SP2OCC-COMM</v>
          </cell>
          <cell r="H2157" t="str">
            <v>SPECIAL PICKUP 2 YD OCC -</v>
          </cell>
        </row>
        <row r="2158">
          <cell r="G2158" t="str">
            <v>SP2OCC-COMM</v>
          </cell>
          <cell r="H2158" t="str">
            <v>SPECIAL PICKUP 2 YD OCC -</v>
          </cell>
        </row>
        <row r="2159">
          <cell r="G2159" t="str">
            <v>SP2OCC-COMM</v>
          </cell>
          <cell r="H2159" t="str">
            <v>SPECIAL PICKUP 2 YD OCC -</v>
          </cell>
        </row>
        <row r="2160">
          <cell r="G2160" t="str">
            <v>SP2OCC-COMM</v>
          </cell>
          <cell r="H2160" t="str">
            <v>SPECIAL PICKUP 2 YD OCC -</v>
          </cell>
        </row>
        <row r="2161">
          <cell r="G2161" t="str">
            <v>SP2OCC-COMM</v>
          </cell>
          <cell r="H2161" t="str">
            <v>SPECIAL PICKUP 2 YD OCC -</v>
          </cell>
        </row>
        <row r="2162">
          <cell r="G2162" t="str">
            <v>SP2OCC-COMM</v>
          </cell>
          <cell r="H2162" t="str">
            <v>SPECIAL PICKUP 2 YD OCC -</v>
          </cell>
        </row>
        <row r="2163">
          <cell r="G2163" t="str">
            <v>SP2OCC-COMM</v>
          </cell>
          <cell r="H2163" t="str">
            <v>SPECIAL PICKUP 2 YD OCC -</v>
          </cell>
        </row>
        <row r="2164">
          <cell r="G2164" t="str">
            <v>SP2OCC-COMM</v>
          </cell>
          <cell r="H2164" t="str">
            <v>SPECIAL PICKUP 2 YD OCC -</v>
          </cell>
        </row>
        <row r="2165">
          <cell r="G2165" t="str">
            <v>SP2SCMGL-COMM</v>
          </cell>
          <cell r="H2165" t="str">
            <v>SPECIAL P/U 2 YD SCHL CMGL</v>
          </cell>
        </row>
        <row r="2166">
          <cell r="G2166" t="str">
            <v>SP2SCMGL-COMM</v>
          </cell>
          <cell r="H2166" t="str">
            <v>SPECIAL P/U 2 YD SCHL CMGL</v>
          </cell>
        </row>
        <row r="2167">
          <cell r="G2167" t="str">
            <v>SP2SCMGL-COMM</v>
          </cell>
          <cell r="H2167" t="str">
            <v>SPECIAL P/U 2 YD SCHL CMGL</v>
          </cell>
        </row>
        <row r="2168">
          <cell r="G2168" t="str">
            <v>SP2SCMGL-COMM</v>
          </cell>
          <cell r="H2168" t="str">
            <v>SPECIAL P/U 2 YD SCHL CMGL</v>
          </cell>
        </row>
        <row r="2169">
          <cell r="G2169" t="str">
            <v>SP2SCMGL-COMM</v>
          </cell>
          <cell r="H2169" t="str">
            <v>SPECIAL P/U 2 YD SCHL CMGL</v>
          </cell>
        </row>
        <row r="2170">
          <cell r="G2170" t="str">
            <v>SP2SCMGL-COMM</v>
          </cell>
          <cell r="H2170" t="str">
            <v>SPECIAL P/U 2 YD SCHL CMGL</v>
          </cell>
        </row>
        <row r="2171">
          <cell r="G2171" t="str">
            <v>SP2SCMGL-COMM</v>
          </cell>
          <cell r="H2171" t="str">
            <v>SPECIAL P/U 2 YD SCHL CMGL</v>
          </cell>
        </row>
        <row r="2172">
          <cell r="G2172" t="str">
            <v>SP2SCMGL-COMM</v>
          </cell>
          <cell r="H2172" t="str">
            <v>SPECIAL P/U 2 YD SCHL CMGL</v>
          </cell>
        </row>
        <row r="2173">
          <cell r="G2173" t="str">
            <v>SP2SCMGL-COMM</v>
          </cell>
          <cell r="H2173" t="str">
            <v>SPECIAL P/U 2 YD SCHL CMGL</v>
          </cell>
        </row>
        <row r="2174">
          <cell r="G2174" t="str">
            <v>SP2SOCC-COMM</v>
          </cell>
          <cell r="H2174" t="str">
            <v>SPECIAL PU 2 YD SCHOOL OC</v>
          </cell>
        </row>
        <row r="2175">
          <cell r="G2175" t="str">
            <v>SP2SOCC-COMM</v>
          </cell>
          <cell r="H2175" t="str">
            <v>SPECIAL PU 2 YD SCHOOL OC</v>
          </cell>
        </row>
        <row r="2176">
          <cell r="G2176" t="str">
            <v>SP2SOCC-COMM</v>
          </cell>
          <cell r="H2176" t="str">
            <v>SPECIAL PU 2 YD SCHOOL OC</v>
          </cell>
        </row>
        <row r="2177">
          <cell r="G2177" t="str">
            <v>SP2SOCC-COMM</v>
          </cell>
          <cell r="H2177" t="str">
            <v>SPECIAL PU 2 YD SCHOOL OC</v>
          </cell>
        </row>
        <row r="2178">
          <cell r="G2178" t="str">
            <v>SP2SOCC-COMM</v>
          </cell>
          <cell r="H2178" t="str">
            <v>SPECIAL PU 2 YD SCHOOL OC</v>
          </cell>
        </row>
        <row r="2179">
          <cell r="G2179" t="str">
            <v>SP2SOCC-COMM</v>
          </cell>
          <cell r="H2179" t="str">
            <v>SPECIAL PU 2 YD SCHOOL OC</v>
          </cell>
        </row>
        <row r="2180">
          <cell r="G2180" t="str">
            <v>SP2SOCC-COMM</v>
          </cell>
          <cell r="H2180" t="str">
            <v>SPECIAL PU 2 YD SCHOOL OC</v>
          </cell>
        </row>
        <row r="2181">
          <cell r="G2181" t="str">
            <v>SP2SOCC-COMM</v>
          </cell>
          <cell r="H2181" t="str">
            <v>SPECIAL PU 2 YD SCHOOL OC</v>
          </cell>
        </row>
        <row r="2182">
          <cell r="G2182" t="str">
            <v>SP2SOCC-COMM</v>
          </cell>
          <cell r="H2182" t="str">
            <v>SPECIAL PU 2 YD SCHOOL OC</v>
          </cell>
        </row>
        <row r="2183">
          <cell r="G2183" t="str">
            <v>SP3-COMM</v>
          </cell>
          <cell r="H2183" t="str">
            <v>SPECIAL PICK UP 3 YD - CO</v>
          </cell>
        </row>
        <row r="2184">
          <cell r="G2184" t="str">
            <v>SP3-COMM</v>
          </cell>
          <cell r="H2184" t="str">
            <v>SPECIAL PICK UP 3 YD - CO</v>
          </cell>
        </row>
        <row r="2185">
          <cell r="G2185" t="str">
            <v>SP3-COMM</v>
          </cell>
          <cell r="H2185" t="str">
            <v>SPECIAL PICK UP 3 YD - CO</v>
          </cell>
        </row>
        <row r="2186">
          <cell r="G2186" t="str">
            <v>SP3-COMM</v>
          </cell>
          <cell r="H2186" t="str">
            <v>SPECIAL PICK UP 3 YD - CO</v>
          </cell>
        </row>
        <row r="2187">
          <cell r="G2187" t="str">
            <v>SP3-COMM</v>
          </cell>
          <cell r="H2187" t="str">
            <v>SPECIAL PICK UP 3 YD - CO</v>
          </cell>
        </row>
        <row r="2188">
          <cell r="G2188" t="str">
            <v>SP3-COMM</v>
          </cell>
          <cell r="H2188" t="str">
            <v>SPECIAL PICK UP 3 YD - CO</v>
          </cell>
        </row>
        <row r="2189">
          <cell r="G2189" t="str">
            <v>SP3-COMM</v>
          </cell>
          <cell r="H2189" t="str">
            <v>SPECIAL PICK UP 3 YD - CO</v>
          </cell>
        </row>
        <row r="2190">
          <cell r="G2190" t="str">
            <v>SP3-MF</v>
          </cell>
          <cell r="H2190" t="str">
            <v>SPECIAL PICK UP 3 YD - MF</v>
          </cell>
        </row>
        <row r="2191">
          <cell r="G2191" t="str">
            <v>SP32-RES</v>
          </cell>
          <cell r="H2191" t="str">
            <v>SPECIAL PICK UP 32 GL - RES</v>
          </cell>
        </row>
        <row r="2192">
          <cell r="G2192" t="str">
            <v>SP3CMP-COMM</v>
          </cell>
          <cell r="H2192" t="str">
            <v>SPECIAL PICK UP 3 YD COMP</v>
          </cell>
        </row>
        <row r="2193">
          <cell r="G2193" t="str">
            <v>SP3CMP-COMM</v>
          </cell>
          <cell r="H2193" t="str">
            <v>SPECIAL PICK UP 3 YD COMP</v>
          </cell>
        </row>
        <row r="2194">
          <cell r="G2194" t="str">
            <v>SP3CMP-COMM</v>
          </cell>
          <cell r="H2194" t="str">
            <v>SPECIAL PICK UP 3 YD COMP</v>
          </cell>
        </row>
        <row r="2195">
          <cell r="G2195" t="str">
            <v>SP3CMP-COMM</v>
          </cell>
          <cell r="H2195" t="str">
            <v>SPECIAL PICK UP 3 YD COMP</v>
          </cell>
        </row>
        <row r="2196">
          <cell r="G2196" t="str">
            <v>SP4-COMM</v>
          </cell>
          <cell r="H2196" t="str">
            <v>SPECIAL PICK UP 4 YD - CO</v>
          </cell>
        </row>
        <row r="2197">
          <cell r="G2197" t="str">
            <v>SP4-COMM</v>
          </cell>
          <cell r="H2197" t="str">
            <v>SPECIAL PICK UP 4 YD - CO</v>
          </cell>
        </row>
        <row r="2198">
          <cell r="G2198" t="str">
            <v>SP4-COMM</v>
          </cell>
          <cell r="H2198" t="str">
            <v>SPECIAL PICK UP 4 YD - CO</v>
          </cell>
        </row>
        <row r="2199">
          <cell r="G2199" t="str">
            <v>SP4-COMM</v>
          </cell>
          <cell r="H2199" t="str">
            <v>SPECIAL PICK UP 4 YD - CO</v>
          </cell>
        </row>
        <row r="2200">
          <cell r="G2200" t="str">
            <v>SP4-COMM</v>
          </cell>
          <cell r="H2200" t="str">
            <v>SPECIAL PICK UP 4 YD - CO</v>
          </cell>
        </row>
        <row r="2201">
          <cell r="G2201" t="str">
            <v>SP4-COMM</v>
          </cell>
          <cell r="H2201" t="str">
            <v>SPECIAL PICK UP 4 YD - CO</v>
          </cell>
        </row>
        <row r="2202">
          <cell r="G2202" t="str">
            <v>SP4-COMM</v>
          </cell>
          <cell r="H2202" t="str">
            <v>SPECIAL PICK UP 4 YD - CO</v>
          </cell>
        </row>
        <row r="2203">
          <cell r="G2203" t="str">
            <v>SP4-MF</v>
          </cell>
          <cell r="H2203" t="str">
            <v>SPECIAL PICK UP 4 YD - MF</v>
          </cell>
        </row>
        <row r="2204">
          <cell r="G2204" t="str">
            <v>SP4CMGL-COM</v>
          </cell>
          <cell r="H2204" t="str">
            <v>SPECIAL PU 4YD BUS CMGL</v>
          </cell>
        </row>
        <row r="2205">
          <cell r="G2205" t="str">
            <v>SP4CMGL-COM</v>
          </cell>
          <cell r="H2205" t="str">
            <v>SPECIAL PU 4YD BUS CMGL</v>
          </cell>
        </row>
        <row r="2206">
          <cell r="G2206" t="str">
            <v>SP4CMGL-COM</v>
          </cell>
          <cell r="H2206" t="str">
            <v>SPECIAL PU 4YD BUS CMGL</v>
          </cell>
        </row>
        <row r="2207">
          <cell r="G2207" t="str">
            <v>SP4CMGL-COM</v>
          </cell>
          <cell r="H2207" t="str">
            <v>SPECIAL PU 4YD BUS CMGL</v>
          </cell>
        </row>
        <row r="2208">
          <cell r="G2208" t="str">
            <v>SP4CMGL-COM</v>
          </cell>
          <cell r="H2208" t="str">
            <v>SPECIAL PU 4YD BUS CMGL</v>
          </cell>
        </row>
        <row r="2209">
          <cell r="G2209" t="str">
            <v>SP4CMGL-COM</v>
          </cell>
          <cell r="H2209" t="str">
            <v>SPECIAL PU 4YD BUS CMGL</v>
          </cell>
        </row>
        <row r="2210">
          <cell r="G2210" t="str">
            <v>SP4CMGL-COM</v>
          </cell>
          <cell r="H2210" t="str">
            <v>SPECIAL PU 4YD BUS CMGL</v>
          </cell>
        </row>
        <row r="2211">
          <cell r="G2211" t="str">
            <v>SP4CMGL-COM</v>
          </cell>
          <cell r="H2211" t="str">
            <v>SPECIAL PU 4YD BUS CMGL</v>
          </cell>
        </row>
        <row r="2212">
          <cell r="G2212" t="str">
            <v>SP4CMGL-COM</v>
          </cell>
          <cell r="H2212" t="str">
            <v>SPECIAL PU 4YD BUS CMGL</v>
          </cell>
        </row>
        <row r="2213">
          <cell r="G2213" t="str">
            <v>SP4CMP-COMM</v>
          </cell>
          <cell r="H2213" t="str">
            <v>SPECIAL PICK UP 4 YD COMP</v>
          </cell>
        </row>
        <row r="2214">
          <cell r="G2214" t="str">
            <v>SP4CMP-COMM</v>
          </cell>
          <cell r="H2214" t="str">
            <v>SPECIAL PICK UP 4 YD COMP</v>
          </cell>
        </row>
        <row r="2215">
          <cell r="G2215" t="str">
            <v>SP4CMP-COMM</v>
          </cell>
          <cell r="H2215" t="str">
            <v>SPECIAL PICK UP 4 YD COMP</v>
          </cell>
        </row>
        <row r="2216">
          <cell r="G2216" t="str">
            <v>SP4CMP-COMM</v>
          </cell>
          <cell r="H2216" t="str">
            <v>SPECIAL PICK UP 4 YD COMP</v>
          </cell>
        </row>
        <row r="2217">
          <cell r="G2217" t="str">
            <v>SP4SCMGL-COM</v>
          </cell>
          <cell r="H2217" t="str">
            <v>SPECIAL PU 4 YD SCH CMGL</v>
          </cell>
        </row>
        <row r="2218">
          <cell r="G2218" t="str">
            <v>SP4SCMGL-COM</v>
          </cell>
          <cell r="H2218" t="str">
            <v>SPECIAL PU 4 YD SCH CMGL</v>
          </cell>
        </row>
        <row r="2219">
          <cell r="G2219" t="str">
            <v>SP4SCMGL-COM</v>
          </cell>
          <cell r="H2219" t="str">
            <v>SPECIAL PU 4 YD SCH CMGL</v>
          </cell>
        </row>
        <row r="2220">
          <cell r="G2220" t="str">
            <v>SP4SCMGL-COM</v>
          </cell>
          <cell r="H2220" t="str">
            <v>SPECIAL PU 4 YD SCH CMGL</v>
          </cell>
        </row>
        <row r="2221">
          <cell r="G2221" t="str">
            <v>SP4SCMGL-COM</v>
          </cell>
          <cell r="H2221" t="str">
            <v>SPECIAL PU 4 YD SCH CMGL</v>
          </cell>
        </row>
        <row r="2222">
          <cell r="G2222" t="str">
            <v>SP4SCMGL-COM</v>
          </cell>
          <cell r="H2222" t="str">
            <v>SPECIAL PU 4 YD SCH CMGL</v>
          </cell>
        </row>
        <row r="2223">
          <cell r="G2223" t="str">
            <v>SP4SCMGL-COM</v>
          </cell>
          <cell r="H2223" t="str">
            <v>SPECIAL PU 4 YD SCH CMGL</v>
          </cell>
        </row>
        <row r="2224">
          <cell r="G2224" t="str">
            <v>SP4SCMGL-COM</v>
          </cell>
          <cell r="H2224" t="str">
            <v>SPECIAL PU 4 YD SCH CMGL</v>
          </cell>
        </row>
        <row r="2225">
          <cell r="G2225" t="str">
            <v>SP5CMP-COMM</v>
          </cell>
          <cell r="H2225" t="str">
            <v>SPECIAL PICK UP 5 YD COMP</v>
          </cell>
        </row>
        <row r="2226">
          <cell r="G2226" t="str">
            <v>SP5OCC-COMM</v>
          </cell>
          <cell r="H2226" t="str">
            <v>SPECIAL PICKUP 5 YD OCC -</v>
          </cell>
        </row>
        <row r="2227">
          <cell r="G2227" t="str">
            <v>SP5OCC-COMM</v>
          </cell>
          <cell r="H2227" t="str">
            <v>SPECIAL PICKUP 5 YD OCC -</v>
          </cell>
        </row>
        <row r="2228">
          <cell r="G2228" t="str">
            <v>SP5OCC-COMM</v>
          </cell>
          <cell r="H2228" t="str">
            <v>SPECIAL PICKUP 5 YD OCC -</v>
          </cell>
        </row>
        <row r="2229">
          <cell r="G2229" t="str">
            <v>SP5OCC-COMM</v>
          </cell>
          <cell r="H2229" t="str">
            <v>SPECIAL PICKUP 5 YD OCC -</v>
          </cell>
        </row>
        <row r="2230">
          <cell r="G2230" t="str">
            <v>SP5OCC-COMM</v>
          </cell>
          <cell r="H2230" t="str">
            <v>SPECIAL PICKUP 5 YD OCC -</v>
          </cell>
        </row>
        <row r="2231">
          <cell r="G2231" t="str">
            <v>SP5OCC-COMM</v>
          </cell>
          <cell r="H2231" t="str">
            <v>SPECIAL PICKUP 5 YD OCC -</v>
          </cell>
        </row>
        <row r="2232">
          <cell r="G2232" t="str">
            <v>SP5OCC-COMM</v>
          </cell>
          <cell r="H2232" t="str">
            <v>SPECIAL PICKUP 5 YD OCC -</v>
          </cell>
        </row>
        <row r="2233">
          <cell r="G2233" t="str">
            <v>SP5OCC-COMM</v>
          </cell>
          <cell r="H2233" t="str">
            <v>SPECIAL PICKUP 5 YD OCC -</v>
          </cell>
        </row>
        <row r="2234">
          <cell r="G2234" t="str">
            <v>SP5OCC-COMM</v>
          </cell>
          <cell r="H2234" t="str">
            <v>SPECIAL PICKUP 5 YD OCC -</v>
          </cell>
        </row>
        <row r="2235">
          <cell r="G2235" t="str">
            <v>SP6-COMM</v>
          </cell>
          <cell r="H2235" t="str">
            <v>SPECIAL PICK UP 6 YD - CO</v>
          </cell>
        </row>
        <row r="2236">
          <cell r="G2236" t="str">
            <v>SP6-COMM</v>
          </cell>
          <cell r="H2236" t="str">
            <v>SPECIAL PICK UP 6 YD - CO</v>
          </cell>
        </row>
        <row r="2237">
          <cell r="G2237" t="str">
            <v>SP6-COMM</v>
          </cell>
          <cell r="H2237" t="str">
            <v>SPECIAL PICK UP 6 YD - CO</v>
          </cell>
        </row>
        <row r="2238">
          <cell r="G2238" t="str">
            <v>SP6-COMM</v>
          </cell>
          <cell r="H2238" t="str">
            <v>SPECIAL PICK UP 6 YD - CO</v>
          </cell>
        </row>
        <row r="2239">
          <cell r="G2239" t="str">
            <v>SP6-COMM</v>
          </cell>
          <cell r="H2239" t="str">
            <v>SPECIAL PICK UP 6 YD - CO</v>
          </cell>
        </row>
        <row r="2240">
          <cell r="G2240" t="str">
            <v>SP6-COMM</v>
          </cell>
          <cell r="H2240" t="str">
            <v>SPECIAL PICK UP 6 YD - CO</v>
          </cell>
        </row>
        <row r="2241">
          <cell r="G2241" t="str">
            <v>SP6-COMM</v>
          </cell>
          <cell r="H2241" t="str">
            <v>SPECIAL PICK UP 6 YD - CO</v>
          </cell>
        </row>
        <row r="2242">
          <cell r="G2242" t="str">
            <v>SP6-MF</v>
          </cell>
          <cell r="H2242" t="str">
            <v>SPECIAL PICK UP 6 YD - MF</v>
          </cell>
        </row>
        <row r="2243">
          <cell r="G2243" t="str">
            <v>SP65-RES</v>
          </cell>
          <cell r="H2243" t="str">
            <v>SPECIAL PICK UP 65 GL - R</v>
          </cell>
        </row>
        <row r="2244">
          <cell r="G2244" t="str">
            <v>SP6BCMGL-COMM</v>
          </cell>
          <cell r="H2244" t="str">
            <v>SPECIAL P/U 6 YD BUS CMGL</v>
          </cell>
        </row>
        <row r="2245">
          <cell r="G2245" t="str">
            <v>SP6BCMGL-COMM</v>
          </cell>
          <cell r="H2245" t="str">
            <v>SPECIAL P/U 6 YD BUS CMGL</v>
          </cell>
        </row>
        <row r="2246">
          <cell r="G2246" t="str">
            <v>SP6BCMGL-COMM</v>
          </cell>
          <cell r="H2246" t="str">
            <v>SPECIAL P/U 6 YD BUS CMGL</v>
          </cell>
        </row>
        <row r="2247">
          <cell r="G2247" t="str">
            <v>SP6BCMGL-COMM</v>
          </cell>
          <cell r="H2247" t="str">
            <v>SPECIAL P/U 6 YD BUS CMGL</v>
          </cell>
        </row>
        <row r="2248">
          <cell r="G2248" t="str">
            <v>SP6BCMGL-COMM</v>
          </cell>
          <cell r="H2248" t="str">
            <v>SPECIAL P/U 6 YD BUS CMGL</v>
          </cell>
        </row>
        <row r="2249">
          <cell r="G2249" t="str">
            <v>SP6BCMGL-COMM</v>
          </cell>
          <cell r="H2249" t="str">
            <v>SPECIAL P/U 6 YD BUS CMGL</v>
          </cell>
        </row>
        <row r="2250">
          <cell r="G2250" t="str">
            <v>SP6BCMGL-COMM</v>
          </cell>
          <cell r="H2250" t="str">
            <v>SPECIAL P/U 6 YD BUS CMGL</v>
          </cell>
        </row>
        <row r="2251">
          <cell r="G2251" t="str">
            <v>SP6BCMGL-COMM</v>
          </cell>
          <cell r="H2251" t="str">
            <v>SPECIAL P/U 6 YD BUS CMGL</v>
          </cell>
        </row>
        <row r="2252">
          <cell r="G2252" t="str">
            <v>SP6BCMGL-COMM</v>
          </cell>
          <cell r="H2252" t="str">
            <v>SPECIAL P/U 6 YD BUS CMGL</v>
          </cell>
        </row>
        <row r="2253">
          <cell r="G2253" t="str">
            <v>SP6CMP-COMM</v>
          </cell>
          <cell r="H2253" t="str">
            <v>SPECIAL PICK UP 6 YD COMP - COMM</v>
          </cell>
        </row>
        <row r="2254">
          <cell r="G2254" t="str">
            <v>SP6CMP-COMM</v>
          </cell>
          <cell r="H2254" t="str">
            <v>SPECIAL PICK UP 6 YD COMP - COMM</v>
          </cell>
        </row>
        <row r="2255">
          <cell r="G2255" t="str">
            <v>SP6CMP-COMM</v>
          </cell>
          <cell r="H2255" t="str">
            <v>SPECIAL PICK UP 6 YD COMP - COMM</v>
          </cell>
        </row>
        <row r="2256">
          <cell r="G2256" t="str">
            <v>SP6SCMGL-COMM</v>
          </cell>
          <cell r="H2256" t="str">
            <v>SPECIAL P/U 6 YD SCHL CMGL</v>
          </cell>
        </row>
        <row r="2257">
          <cell r="G2257" t="str">
            <v>SP6SCMGL-COMM</v>
          </cell>
          <cell r="H2257" t="str">
            <v>SPECIAL P/U 6 YD SCHL CMGL</v>
          </cell>
        </row>
        <row r="2258">
          <cell r="G2258" t="str">
            <v>SP6SCMGL-COMM</v>
          </cell>
          <cell r="H2258" t="str">
            <v>SPECIAL P/U 6 YD SCHL CMGL</v>
          </cell>
        </row>
        <row r="2259">
          <cell r="G2259" t="str">
            <v>SP6SCMGL-COMM</v>
          </cell>
          <cell r="H2259" t="str">
            <v>SPECIAL P/U 6 YD SCHL CMGL</v>
          </cell>
        </row>
        <row r="2260">
          <cell r="G2260" t="str">
            <v>SP6SCMGL-COMM</v>
          </cell>
          <cell r="H2260" t="str">
            <v>SPECIAL P/U 6 YD SCHL CMGL</v>
          </cell>
        </row>
        <row r="2261">
          <cell r="G2261" t="str">
            <v>SP6SCMGL-COMM</v>
          </cell>
          <cell r="H2261" t="str">
            <v>SPECIAL P/U 6 YD SCHL CMGL</v>
          </cell>
        </row>
        <row r="2262">
          <cell r="G2262" t="str">
            <v>SP6SCMGL-COMM</v>
          </cell>
          <cell r="H2262" t="str">
            <v>SPECIAL P/U 6 YD SCHL CMGL</v>
          </cell>
        </row>
        <row r="2263">
          <cell r="G2263" t="str">
            <v>SP6SCMGL-COMM</v>
          </cell>
          <cell r="H2263" t="str">
            <v>SPECIAL P/U 6 YD SCHL CMGL</v>
          </cell>
        </row>
        <row r="2264">
          <cell r="G2264" t="str">
            <v>SP6SCMGL-COMM</v>
          </cell>
          <cell r="H2264" t="str">
            <v>SPECIAL P/U 6 YD SCHL CMGL</v>
          </cell>
        </row>
        <row r="2265">
          <cell r="G2265" t="str">
            <v>SP95-RES</v>
          </cell>
          <cell r="H2265" t="str">
            <v>SPECIAL PICK UP 95 GL - R</v>
          </cell>
        </row>
        <row r="2266">
          <cell r="G2266" t="str">
            <v>SPADD-COMM</v>
          </cell>
          <cell r="H2266" t="str">
            <v>SPECIAL ADDL UNIT - COMM</v>
          </cell>
        </row>
        <row r="2267">
          <cell r="G2267" t="str">
            <v>SPCL32-COMM</v>
          </cell>
          <cell r="H2267" t="str">
            <v>SPECIAL 32 GL - COMM</v>
          </cell>
        </row>
        <row r="2268">
          <cell r="G2268" t="str">
            <v>SPCL32-RES</v>
          </cell>
          <cell r="H2268" t="str">
            <v>SPECIAL 32 GL - RES</v>
          </cell>
        </row>
        <row r="2269">
          <cell r="G2269" t="str">
            <v>SPCL65-COMM</v>
          </cell>
          <cell r="H2269" t="str">
            <v>SPECIAL 65 GL - COMM</v>
          </cell>
        </row>
        <row r="2270">
          <cell r="G2270" t="str">
            <v>SPCL65-COMM</v>
          </cell>
          <cell r="H2270" t="str">
            <v>SPECIAL 65 GL - COMM</v>
          </cell>
        </row>
        <row r="2271">
          <cell r="G2271" t="str">
            <v>SPCL65-RES</v>
          </cell>
          <cell r="H2271" t="str">
            <v>SPECIAL 65 GL - RES</v>
          </cell>
        </row>
        <row r="2272">
          <cell r="G2272" t="str">
            <v>SPCL65-RES</v>
          </cell>
          <cell r="H2272" t="str">
            <v>SPECIAL 65 GL - RES</v>
          </cell>
        </row>
        <row r="2273">
          <cell r="G2273" t="str">
            <v>SPCL95-COMM</v>
          </cell>
          <cell r="H2273" t="str">
            <v>SPECIAL 95 GL - COMM</v>
          </cell>
        </row>
        <row r="2274">
          <cell r="G2274" t="str">
            <v>SPCL95-COMM</v>
          </cell>
          <cell r="H2274" t="str">
            <v>SPECIAL 95 GL - COMM</v>
          </cell>
        </row>
        <row r="2275">
          <cell r="G2275" t="str">
            <v>SPCL95-RES</v>
          </cell>
          <cell r="H2275" t="str">
            <v>SPECIAL 95 GL - RES</v>
          </cell>
        </row>
        <row r="2276">
          <cell r="G2276" t="str">
            <v>SPCL95-RES</v>
          </cell>
          <cell r="H2276" t="str">
            <v>SPECIAL 95 GL - RES</v>
          </cell>
        </row>
        <row r="2277">
          <cell r="G2277" t="str">
            <v>SPCLREC-COMM</v>
          </cell>
          <cell r="H2277" t="str">
            <v>SPECIAL RECYCLE - COMM</v>
          </cell>
        </row>
        <row r="2278">
          <cell r="G2278" t="str">
            <v>SPCLREC-COMM</v>
          </cell>
          <cell r="H2278" t="str">
            <v>SPECIAL RECYCLE - COMM</v>
          </cell>
        </row>
        <row r="2279">
          <cell r="G2279" t="str">
            <v>SPCLREC-RES</v>
          </cell>
          <cell r="H2279" t="str">
            <v>SPECIAL RECYCLE - RES</v>
          </cell>
        </row>
        <row r="2280">
          <cell r="G2280" t="str">
            <v>SPCLREC-RES</v>
          </cell>
          <cell r="H2280" t="str">
            <v>SPECIAL RECYCLE - RES</v>
          </cell>
        </row>
        <row r="2281">
          <cell r="G2281" t="str">
            <v>SPCLREC-RES</v>
          </cell>
          <cell r="H2281" t="str">
            <v>SPECIAL RECYCLE - RES</v>
          </cell>
        </row>
        <row r="2282">
          <cell r="G2282" t="str">
            <v>SPGRAD1-COMM</v>
          </cell>
          <cell r="H2282" t="str">
            <v>SPECIAL PICKUP GRADUATED 1 - COMM</v>
          </cell>
        </row>
        <row r="2283">
          <cell r="G2283" t="str">
            <v>SPGRAD1-COMM</v>
          </cell>
          <cell r="H2283" t="str">
            <v>SPECIAL PICKUP GRADUATED 1 - COMM</v>
          </cell>
        </row>
        <row r="2284">
          <cell r="G2284" t="str">
            <v>SPGRAD1-RES</v>
          </cell>
          <cell r="H2284" t="str">
            <v>SPECIAL GRADUATED 1-2 - R</v>
          </cell>
        </row>
        <row r="2285">
          <cell r="G2285" t="str">
            <v>SPGRAD1REC-COMM</v>
          </cell>
          <cell r="H2285" t="str">
            <v>SPECIAL UNIT GRAD1 REC - COMM</v>
          </cell>
        </row>
        <row r="2286">
          <cell r="G2286" t="str">
            <v>SPGRAD1REC-COMM</v>
          </cell>
          <cell r="H2286" t="str">
            <v>SPECIAL UNIT GRAD1 REC - COMM</v>
          </cell>
        </row>
        <row r="2287">
          <cell r="G2287" t="str">
            <v>SPGRAD1REC-COMM</v>
          </cell>
          <cell r="H2287" t="str">
            <v>SPECIAL UNIT GRAD1 REC - COMM</v>
          </cell>
        </row>
        <row r="2288">
          <cell r="G2288" t="str">
            <v>SPGRAD1REC-COMM</v>
          </cell>
          <cell r="H2288" t="str">
            <v>SPECIAL UNIT GRAD1 REC - COMM</v>
          </cell>
        </row>
        <row r="2289">
          <cell r="G2289" t="str">
            <v>SPGRAD1REC-COMM</v>
          </cell>
          <cell r="H2289" t="str">
            <v>SPECIAL UNIT GRAD1 REC - COMM</v>
          </cell>
        </row>
        <row r="2290">
          <cell r="G2290" t="str">
            <v>SPGRAD1REC-COMM</v>
          </cell>
          <cell r="H2290" t="str">
            <v>SPECIAL UNIT GRAD1 REC - COMM</v>
          </cell>
        </row>
        <row r="2291">
          <cell r="G2291" t="str">
            <v>SPGRAD1REC-COMM</v>
          </cell>
          <cell r="H2291" t="str">
            <v>SPECIAL UNIT GRAD1 REC - COMM</v>
          </cell>
        </row>
        <row r="2292">
          <cell r="G2292" t="str">
            <v>SPGRAD1REC-COMM</v>
          </cell>
          <cell r="H2292" t="str">
            <v>SPECIAL UNIT GRAD1 REC - COMM</v>
          </cell>
        </row>
        <row r="2293">
          <cell r="G2293" t="str">
            <v>SPGRAD1REC-COMM</v>
          </cell>
          <cell r="H2293" t="str">
            <v>SPECIAL UNIT GRAD1 REC - COMM</v>
          </cell>
        </row>
        <row r="2294">
          <cell r="G2294" t="str">
            <v>SPGRAD1S-COMM</v>
          </cell>
          <cell r="H2294" t="str">
            <v>SPECIAL UNIT GRAD1 SCHL - COMM</v>
          </cell>
        </row>
        <row r="2295">
          <cell r="G2295" t="str">
            <v>SPGRAD1S-COMM</v>
          </cell>
          <cell r="H2295" t="str">
            <v>SPECIAL UNIT GRAD1 SCHL - COMM</v>
          </cell>
        </row>
        <row r="2296">
          <cell r="G2296" t="str">
            <v>SPGRAD1S-COMM</v>
          </cell>
          <cell r="H2296" t="str">
            <v>SPECIAL UNIT GRAD1 SCHL - COMM</v>
          </cell>
        </row>
        <row r="2297">
          <cell r="G2297" t="str">
            <v>SPGRAD1S-COMM</v>
          </cell>
          <cell r="H2297" t="str">
            <v>SPECIAL UNIT GRAD1 SCHL - COMM</v>
          </cell>
        </row>
        <row r="2298">
          <cell r="G2298" t="str">
            <v>SPGRAD1S-COMM</v>
          </cell>
          <cell r="H2298" t="str">
            <v>SPECIAL UNIT GRAD1 SCHL - COMM</v>
          </cell>
        </row>
        <row r="2299">
          <cell r="G2299" t="str">
            <v>SPGRAD1S-COMM</v>
          </cell>
          <cell r="H2299" t="str">
            <v>SPECIAL UNIT GRAD1 SCHL - COMM</v>
          </cell>
        </row>
        <row r="2300">
          <cell r="G2300" t="str">
            <v>SPGRAD1SPCL-RES</v>
          </cell>
          <cell r="H2300" t="str">
            <v>SPECIAL GRADUATED S/D 1-2</v>
          </cell>
        </row>
        <row r="2301">
          <cell r="G2301" t="str">
            <v>SPGRAD2-COMM</v>
          </cell>
          <cell r="H2301" t="str">
            <v>SPECIAL PICKUP GRADUATED 2 - COMM</v>
          </cell>
        </row>
        <row r="2302">
          <cell r="G2302" t="str">
            <v>SPGRAD2-COMM</v>
          </cell>
          <cell r="H2302" t="str">
            <v>SPECIAL PICKUP GRADUATED 2 - COMM</v>
          </cell>
        </row>
        <row r="2303">
          <cell r="G2303" t="str">
            <v>SPGRAD2-RES</v>
          </cell>
          <cell r="H2303" t="str">
            <v>SPECIAL GRADUATED 3+ - RE</v>
          </cell>
        </row>
        <row r="2304">
          <cell r="G2304" t="str">
            <v>SPGRAD2REC-COMM</v>
          </cell>
          <cell r="H2304" t="str">
            <v>SPECIAL UNIT GRAD2 REC - COMM</v>
          </cell>
        </row>
        <row r="2305">
          <cell r="G2305" t="str">
            <v>SPGRAD2REC-COMM</v>
          </cell>
          <cell r="H2305" t="str">
            <v>SPECIAL UNIT GRAD2 REC - COMM</v>
          </cell>
        </row>
        <row r="2306">
          <cell r="G2306" t="str">
            <v>SPGRAD2REC-COMM</v>
          </cell>
          <cell r="H2306" t="str">
            <v>SPECIAL UNIT GRAD2 REC - COMM</v>
          </cell>
        </row>
        <row r="2307">
          <cell r="G2307" t="str">
            <v>SPGRAD2REC-COMM</v>
          </cell>
          <cell r="H2307" t="str">
            <v>SPECIAL UNIT GRAD2 REC - COMM</v>
          </cell>
        </row>
        <row r="2308">
          <cell r="G2308" t="str">
            <v>SPGRAD2REC-COMM</v>
          </cell>
          <cell r="H2308" t="str">
            <v>SPECIAL UNIT GRAD2 REC - COMM</v>
          </cell>
        </row>
        <row r="2309">
          <cell r="G2309" t="str">
            <v>SPGRAD2REC-COMM</v>
          </cell>
          <cell r="H2309" t="str">
            <v>SPECIAL UNIT GRAD2 REC - COMM</v>
          </cell>
        </row>
        <row r="2310">
          <cell r="G2310" t="str">
            <v>SPGRAD2REC-COMM</v>
          </cell>
          <cell r="H2310" t="str">
            <v>SPECIAL UNIT GRAD2 REC - COMM</v>
          </cell>
        </row>
        <row r="2311">
          <cell r="G2311" t="str">
            <v>SPGRAD2REC-COMM</v>
          </cell>
          <cell r="H2311" t="str">
            <v>SPECIAL UNIT GRAD2 REC - COMM</v>
          </cell>
        </row>
        <row r="2312">
          <cell r="G2312" t="str">
            <v>SPGRAD2REC-COMM</v>
          </cell>
          <cell r="H2312" t="str">
            <v>SPECIAL UNIT GRAD2 REC - COMM</v>
          </cell>
        </row>
        <row r="2313">
          <cell r="G2313" t="str">
            <v>SPGRAD2S-COMM</v>
          </cell>
          <cell r="H2313" t="str">
            <v>SPECIAL UNIT GRAD2 SCHL - COMM</v>
          </cell>
        </row>
        <row r="2314">
          <cell r="G2314" t="str">
            <v>SPGRAD2S-COMM</v>
          </cell>
          <cell r="H2314" t="str">
            <v>SPECIAL UNIT GRAD2 SCHL - COMM</v>
          </cell>
        </row>
        <row r="2315">
          <cell r="G2315" t="str">
            <v>SPGRAD2SPCL-RES</v>
          </cell>
          <cell r="H2315" t="str">
            <v xml:space="preserve">SPECIAL GRADUATED S/D 3+ </v>
          </cell>
        </row>
        <row r="2316">
          <cell r="G2316" t="str">
            <v>SPGWSPCL-RES</v>
          </cell>
          <cell r="H2316" t="str">
            <v xml:space="preserve">SPECIAL PICK UP GW S/D - </v>
          </cell>
        </row>
        <row r="2317">
          <cell r="G2317" t="str">
            <v>SPREC-RES</v>
          </cell>
          <cell r="H2317" t="str">
            <v>SPECIAL PICK UP RECYCLE - RES</v>
          </cell>
        </row>
        <row r="2318">
          <cell r="G2318" t="str">
            <v>SUNKENCAN-RES</v>
          </cell>
          <cell r="H2318" t="str">
            <v>SUNKEN CAN FEE - RES</v>
          </cell>
        </row>
        <row r="2319">
          <cell r="G2319" t="str">
            <v>SUNKENCAN-RES</v>
          </cell>
          <cell r="H2319" t="str">
            <v>SUNKEN CAN FEE - RES</v>
          </cell>
        </row>
        <row r="2320">
          <cell r="G2320" t="str">
            <v>SUNKENCANLVL1-COMM</v>
          </cell>
          <cell r="H2320" t="str">
            <v>SUNKEN CAN FEE LVL 1 - COMM</v>
          </cell>
        </row>
        <row r="2321">
          <cell r="G2321" t="str">
            <v>SUNKENCANLVL1-COMM</v>
          </cell>
          <cell r="H2321" t="str">
            <v>SUNKEN CAN FEE LVL 1 - COMM</v>
          </cell>
        </row>
        <row r="2322">
          <cell r="G2322" t="str">
            <v>SUNKENCANLVL1-COMM</v>
          </cell>
          <cell r="H2322" t="str">
            <v>SUNKEN CAN FEE LVL 1 - COMM</v>
          </cell>
        </row>
        <row r="2323">
          <cell r="G2323" t="str">
            <v>SURCHGC</v>
          </cell>
          <cell r="H2323" t="str">
            <v>SURCHARGE - COMM</v>
          </cell>
        </row>
        <row r="2324">
          <cell r="G2324" t="str">
            <v>SURCHGC</v>
          </cell>
          <cell r="H2324" t="str">
            <v>SURCHARGE - COMM</v>
          </cell>
        </row>
        <row r="2325">
          <cell r="G2325" t="str">
            <v>SURCHGR</v>
          </cell>
          <cell r="H2325" t="str">
            <v>SURCHARGE - RES</v>
          </cell>
        </row>
        <row r="2326">
          <cell r="G2326" t="str">
            <v>TIME-COMM</v>
          </cell>
          <cell r="H2326" t="str">
            <v>TIME FEE 1 - COMM</v>
          </cell>
        </row>
        <row r="2327">
          <cell r="G2327" t="str">
            <v>TIME-COMM</v>
          </cell>
          <cell r="H2327" t="str">
            <v>TIME FEE 1 - COMM</v>
          </cell>
        </row>
        <row r="2328">
          <cell r="G2328" t="str">
            <v>TIME-COMM</v>
          </cell>
          <cell r="H2328" t="str">
            <v>TIME FEE 1 - COMM</v>
          </cell>
        </row>
        <row r="2329">
          <cell r="G2329" t="str">
            <v>TIME-COMM</v>
          </cell>
          <cell r="H2329" t="str">
            <v>TIME FEE 1 - COMM</v>
          </cell>
        </row>
        <row r="2330">
          <cell r="G2330" t="str">
            <v>TIME-COMM</v>
          </cell>
          <cell r="H2330" t="str">
            <v>TIME FEE 1 - COMM</v>
          </cell>
        </row>
        <row r="2331">
          <cell r="G2331" t="str">
            <v>TIME-COMM</v>
          </cell>
          <cell r="H2331" t="str">
            <v>TIME FEE 1 - COMM</v>
          </cell>
        </row>
        <row r="2332">
          <cell r="G2332" t="str">
            <v>TIME-COMM</v>
          </cell>
          <cell r="H2332" t="str">
            <v>TIME FEE 1 - COMM</v>
          </cell>
        </row>
        <row r="2333">
          <cell r="G2333" t="str">
            <v>TIME-RES</v>
          </cell>
          <cell r="H2333" t="str">
            <v>TIME FEE 1 - RES</v>
          </cell>
        </row>
        <row r="2334">
          <cell r="G2334" t="str">
            <v>TIME-RES</v>
          </cell>
          <cell r="H2334" t="str">
            <v>TIME FEE 1 - RES</v>
          </cell>
        </row>
        <row r="2335">
          <cell r="G2335" t="str">
            <v>TIME-RES</v>
          </cell>
          <cell r="H2335" t="str">
            <v>TIME FEE 1 - RES</v>
          </cell>
        </row>
        <row r="2336">
          <cell r="G2336" t="str">
            <v>TIME-RES</v>
          </cell>
          <cell r="H2336" t="str">
            <v>TIME FEE 1 - RES</v>
          </cell>
        </row>
        <row r="2337">
          <cell r="G2337" t="str">
            <v>TIME-RES</v>
          </cell>
          <cell r="H2337" t="str">
            <v>TIME FEE 1 - RES</v>
          </cell>
        </row>
        <row r="2338">
          <cell r="G2338" t="str">
            <v>TIME-RES</v>
          </cell>
          <cell r="H2338" t="str">
            <v>TIME FEE 1 - RES</v>
          </cell>
        </row>
        <row r="2339">
          <cell r="G2339" t="str">
            <v>TIME-RO</v>
          </cell>
          <cell r="H2339" t="str">
            <v>TIME FEE - RO</v>
          </cell>
        </row>
        <row r="2340">
          <cell r="G2340" t="str">
            <v>TIME-RO</v>
          </cell>
          <cell r="H2340" t="str">
            <v>TIME FEE - RO</v>
          </cell>
        </row>
        <row r="2341">
          <cell r="G2341" t="str">
            <v>TIME-RO</v>
          </cell>
          <cell r="H2341" t="str">
            <v>TIME FEE - RO</v>
          </cell>
        </row>
        <row r="2342">
          <cell r="G2342" t="str">
            <v>TIME-RO</v>
          </cell>
          <cell r="H2342" t="str">
            <v>TIME FEE - RO</v>
          </cell>
        </row>
        <row r="2343">
          <cell r="G2343" t="str">
            <v>TIME-RO</v>
          </cell>
          <cell r="H2343" t="str">
            <v>TIME FEE - RO</v>
          </cell>
        </row>
        <row r="2344">
          <cell r="G2344" t="str">
            <v>TIME-RO</v>
          </cell>
          <cell r="H2344" t="str">
            <v>TIME FEE - RO</v>
          </cell>
        </row>
        <row r="2345">
          <cell r="G2345" t="str">
            <v>TIME-RO</v>
          </cell>
          <cell r="H2345" t="str">
            <v>TIME FEE - RO</v>
          </cell>
        </row>
        <row r="2346">
          <cell r="G2346" t="str">
            <v>TIME-RO</v>
          </cell>
          <cell r="H2346" t="str">
            <v>TIME FEE - RO</v>
          </cell>
        </row>
        <row r="2347">
          <cell r="G2347" t="str">
            <v>TIME-RO</v>
          </cell>
          <cell r="H2347" t="str">
            <v>TIME FEE - RO</v>
          </cell>
        </row>
        <row r="2348">
          <cell r="G2348" t="str">
            <v>TIRE-RO</v>
          </cell>
          <cell r="H2348" t="str">
            <v>TIRE FEE - RO</v>
          </cell>
        </row>
        <row r="2349">
          <cell r="G2349" t="str">
            <v>TIRELG-COMM</v>
          </cell>
          <cell r="H2349" t="str">
            <v>TIRE FEE LARGE - COMM</v>
          </cell>
        </row>
        <row r="2350">
          <cell r="G2350" t="str">
            <v>TIRELG-COMM</v>
          </cell>
          <cell r="H2350" t="str">
            <v>TIRE FEE LARGE - COMM</v>
          </cell>
        </row>
        <row r="2351">
          <cell r="G2351" t="str">
            <v>TIRELG-RES</v>
          </cell>
          <cell r="H2351" t="str">
            <v>TIRE FEE LARGE - RES</v>
          </cell>
        </row>
        <row r="2352">
          <cell r="G2352" t="str">
            <v>TIRELG-RES</v>
          </cell>
          <cell r="H2352" t="str">
            <v>TIRE FEE LARGE - RES</v>
          </cell>
        </row>
        <row r="2353">
          <cell r="G2353" t="str">
            <v>TIRESM-COMM</v>
          </cell>
          <cell r="H2353" t="str">
            <v>TIRE FEE SMALL - COMM</v>
          </cell>
        </row>
        <row r="2354">
          <cell r="G2354" t="str">
            <v>TIRESM-COMM</v>
          </cell>
          <cell r="H2354" t="str">
            <v>TIRE FEE SMALL - COMM</v>
          </cell>
        </row>
        <row r="2355">
          <cell r="G2355" t="str">
            <v>TIRESM-RES</v>
          </cell>
          <cell r="H2355" t="str">
            <v>TIRE FEE SMALL - RES</v>
          </cell>
        </row>
        <row r="2356">
          <cell r="G2356" t="str">
            <v>TIRESM-RES</v>
          </cell>
          <cell r="H2356" t="str">
            <v>TIRE FEE SMALL - RES</v>
          </cell>
        </row>
        <row r="2357">
          <cell r="G2357" t="str">
            <v>UNRETURN-COMM</v>
          </cell>
          <cell r="H2357" t="str">
            <v xml:space="preserve">CONTAINER UNRETURNED FEE </v>
          </cell>
        </row>
        <row r="2358">
          <cell r="G2358" t="str">
            <v>UNRETURN-COMM</v>
          </cell>
          <cell r="H2358" t="str">
            <v xml:space="preserve">CONTAINER UNRETURNED FEE </v>
          </cell>
        </row>
        <row r="2359">
          <cell r="G2359" t="str">
            <v>UNRETURN-COMM</v>
          </cell>
          <cell r="H2359" t="str">
            <v xml:space="preserve">CONTAINER UNRETURNED FEE </v>
          </cell>
        </row>
        <row r="2360">
          <cell r="G2360" t="str">
            <v>UNRETURN-COMM</v>
          </cell>
          <cell r="H2360" t="str">
            <v xml:space="preserve">CONTAINER UNRETURNED FEE </v>
          </cell>
        </row>
        <row r="2361">
          <cell r="G2361" t="str">
            <v>UNRETURN-RES</v>
          </cell>
          <cell r="H2361" t="str">
            <v xml:space="preserve">CONTAINER UNRETURNED FEE </v>
          </cell>
        </row>
        <row r="2362">
          <cell r="G2362" t="str">
            <v>UNRETURN-RES</v>
          </cell>
          <cell r="H2362" t="str">
            <v xml:space="preserve">CONTAINER UNRETURNED FEE </v>
          </cell>
        </row>
        <row r="2363">
          <cell r="G2363" t="str">
            <v>UNRETURN-RES</v>
          </cell>
          <cell r="H2363" t="str">
            <v xml:space="preserve">CONTAINER UNRETURNED FEE </v>
          </cell>
        </row>
        <row r="2364">
          <cell r="G2364" t="str">
            <v>UNRETURN-RES</v>
          </cell>
          <cell r="H2364" t="str">
            <v xml:space="preserve">CONTAINER UNRETURNED FEE </v>
          </cell>
        </row>
        <row r="2365">
          <cell r="G2365" t="str">
            <v>UNRETURN-RES</v>
          </cell>
          <cell r="H2365" t="str">
            <v xml:space="preserve">CONTAINER UNRETURNED FEE </v>
          </cell>
        </row>
        <row r="2366">
          <cell r="G2366" t="str">
            <v>UNRETURN-RES</v>
          </cell>
          <cell r="H2366" t="str">
            <v xml:space="preserve">CONTAINER UNRETURNED FEE </v>
          </cell>
        </row>
        <row r="2367">
          <cell r="G2367" t="str">
            <v>UNRETURN-RES</v>
          </cell>
          <cell r="H2367" t="str">
            <v xml:space="preserve">CONTAINER UNRETURNED FEE </v>
          </cell>
        </row>
        <row r="2368">
          <cell r="G2368" t="str">
            <v>WI1-COMM</v>
          </cell>
          <cell r="H2368" t="str">
            <v>WALK IN 6-25' - COMM</v>
          </cell>
        </row>
        <row r="2369">
          <cell r="G2369" t="str">
            <v>WI1-COMM</v>
          </cell>
          <cell r="H2369" t="str">
            <v>WALK IN 6-25' - COMM</v>
          </cell>
        </row>
        <row r="2370">
          <cell r="G2370" t="str">
            <v>WI1-COMM</v>
          </cell>
          <cell r="H2370" t="str">
            <v>WALK IN 6-25' - COMM</v>
          </cell>
        </row>
        <row r="2371">
          <cell r="G2371" t="str">
            <v>WI1-COMM</v>
          </cell>
          <cell r="H2371" t="str">
            <v>WALK IN 6-25' - COMM</v>
          </cell>
        </row>
        <row r="2372">
          <cell r="G2372" t="str">
            <v>WI1-COMM</v>
          </cell>
          <cell r="H2372" t="str">
            <v>WALK IN 6-25' - COMM</v>
          </cell>
        </row>
        <row r="2373">
          <cell r="G2373" t="str">
            <v>WI1-COMM</v>
          </cell>
          <cell r="H2373" t="str">
            <v>WALK IN 6-25' - COMM</v>
          </cell>
        </row>
        <row r="2374">
          <cell r="G2374" t="str">
            <v>WI1-RES</v>
          </cell>
          <cell r="H2374" t="str">
            <v>WALK IN 6-25' - RES</v>
          </cell>
        </row>
        <row r="2375">
          <cell r="G2375" t="str">
            <v>WI1-RES</v>
          </cell>
          <cell r="H2375" t="str">
            <v>WALK IN 6-25' - RES</v>
          </cell>
        </row>
        <row r="2376">
          <cell r="G2376" t="str">
            <v>WI1-RES</v>
          </cell>
          <cell r="H2376" t="str">
            <v>WALK IN 6-25' - RES</v>
          </cell>
        </row>
        <row r="2377">
          <cell r="G2377" t="str">
            <v>WI1-RES</v>
          </cell>
          <cell r="H2377" t="str">
            <v>WALK IN 6-25' - RES</v>
          </cell>
        </row>
        <row r="2378">
          <cell r="G2378" t="str">
            <v>WI1-RES</v>
          </cell>
          <cell r="H2378" t="str">
            <v>WALK IN 6-25' - RES</v>
          </cell>
        </row>
        <row r="2379">
          <cell r="G2379" t="str">
            <v>WI1-RES</v>
          </cell>
          <cell r="H2379" t="str">
            <v>WALK IN 6-25' - RES</v>
          </cell>
        </row>
        <row r="2380">
          <cell r="G2380" t="str">
            <v>WI2-COMM</v>
          </cell>
          <cell r="H2380" t="str">
            <v>WALK IN 26-50' - COMM</v>
          </cell>
        </row>
        <row r="2381">
          <cell r="G2381" t="str">
            <v>WI2-COMM</v>
          </cell>
          <cell r="H2381" t="str">
            <v>WALK IN 26-50' - COMM</v>
          </cell>
        </row>
        <row r="2382">
          <cell r="G2382" t="str">
            <v>WI2-COMM</v>
          </cell>
          <cell r="H2382" t="str">
            <v>WALK IN 26-50' - COMM</v>
          </cell>
        </row>
        <row r="2383">
          <cell r="G2383" t="str">
            <v>WI2-COMM</v>
          </cell>
          <cell r="H2383" t="str">
            <v>WALK IN 26-50' - COMM</v>
          </cell>
        </row>
        <row r="2384">
          <cell r="G2384" t="str">
            <v>WI2-COMM</v>
          </cell>
          <cell r="H2384" t="str">
            <v>WALK IN 26-50' - COMM</v>
          </cell>
        </row>
        <row r="2385">
          <cell r="G2385" t="str">
            <v>WI2-RES</v>
          </cell>
          <cell r="H2385" t="str">
            <v>WALK IN 26-50' - RES</v>
          </cell>
        </row>
        <row r="2386">
          <cell r="G2386" t="str">
            <v>WI2-RES</v>
          </cell>
          <cell r="H2386" t="str">
            <v>WALK IN 26-50' - RES</v>
          </cell>
        </row>
        <row r="2387">
          <cell r="G2387" t="str">
            <v>WI2-RES</v>
          </cell>
          <cell r="H2387" t="str">
            <v>WALK IN 26-50' - RES</v>
          </cell>
        </row>
        <row r="2388">
          <cell r="G2388" t="str">
            <v>WI2-RES</v>
          </cell>
          <cell r="H2388" t="str">
            <v>WALK IN 26-50' - RES</v>
          </cell>
        </row>
        <row r="2389">
          <cell r="G2389" t="str">
            <v>WI2-RES</v>
          </cell>
          <cell r="H2389" t="str">
            <v>WALK IN 26-50' - RES</v>
          </cell>
        </row>
        <row r="2390">
          <cell r="G2390" t="str">
            <v>WI2-RES</v>
          </cell>
          <cell r="H2390" t="str">
            <v>WALK IN 26-50' - RES</v>
          </cell>
        </row>
        <row r="2391">
          <cell r="G2391" t="str">
            <v>WI3-COMM</v>
          </cell>
          <cell r="H2391" t="str">
            <v>WALK IN 51-75' - COMM</v>
          </cell>
        </row>
        <row r="2392">
          <cell r="G2392" t="str">
            <v>WI3-COMM</v>
          </cell>
          <cell r="H2392" t="str">
            <v>WALK IN 51-75' - COMM</v>
          </cell>
        </row>
        <row r="2393">
          <cell r="G2393" t="str">
            <v>WI3-COMM</v>
          </cell>
          <cell r="H2393" t="str">
            <v>WALK IN 51-75' - COMM</v>
          </cell>
        </row>
        <row r="2394">
          <cell r="G2394" t="str">
            <v>WI3-COMM</v>
          </cell>
          <cell r="H2394" t="str">
            <v>WALK IN 51-75' - COMM</v>
          </cell>
        </row>
        <row r="2395">
          <cell r="G2395" t="str">
            <v>WI3-RES</v>
          </cell>
          <cell r="H2395" t="str">
            <v>WALK IN 51-75' - RES</v>
          </cell>
        </row>
        <row r="2396">
          <cell r="G2396" t="str">
            <v>WI3-RES</v>
          </cell>
          <cell r="H2396" t="str">
            <v>WALK IN 51-75' - RES</v>
          </cell>
        </row>
        <row r="2397">
          <cell r="G2397" t="str">
            <v>WI3-RES</v>
          </cell>
          <cell r="H2397" t="str">
            <v>WALK IN 51-75' - RES</v>
          </cell>
        </row>
        <row r="2398">
          <cell r="G2398" t="str">
            <v>WI3-RES</v>
          </cell>
          <cell r="H2398" t="str">
            <v>WALK IN 51-75' - RES</v>
          </cell>
        </row>
        <row r="2399">
          <cell r="G2399" t="str">
            <v>WI3-RES</v>
          </cell>
          <cell r="H2399" t="str">
            <v>WALK IN 51-75' - RES</v>
          </cell>
        </row>
        <row r="2400">
          <cell r="G2400" t="str">
            <v>WI4-COMM</v>
          </cell>
          <cell r="H2400" t="str">
            <v>WALK IN 76-100' - COMM</v>
          </cell>
        </row>
        <row r="2401">
          <cell r="G2401" t="str">
            <v>WI4-COMM</v>
          </cell>
          <cell r="H2401" t="str">
            <v>WALK IN 76-100' - COMM</v>
          </cell>
        </row>
        <row r="2402">
          <cell r="G2402" t="str">
            <v>WI4-COMM</v>
          </cell>
          <cell r="H2402" t="str">
            <v>WALK IN 76-100' - COMM</v>
          </cell>
        </row>
        <row r="2403">
          <cell r="G2403" t="str">
            <v>WI4-COMM</v>
          </cell>
          <cell r="H2403" t="str">
            <v>WALK IN 76-100' - COMM</v>
          </cell>
        </row>
        <row r="2404">
          <cell r="G2404" t="str">
            <v>WI4-RES</v>
          </cell>
          <cell r="H2404" t="str">
            <v>WALK IN 76-100' - RES</v>
          </cell>
        </row>
        <row r="2405">
          <cell r="G2405" t="str">
            <v>WI4-RES</v>
          </cell>
          <cell r="H2405" t="str">
            <v>WALK IN 76-100' - RES</v>
          </cell>
        </row>
        <row r="2406">
          <cell r="G2406" t="str">
            <v>WI4-RES</v>
          </cell>
          <cell r="H2406" t="str">
            <v>WALK IN 76-100' - RES</v>
          </cell>
        </row>
        <row r="2407">
          <cell r="G2407" t="str">
            <v>WI4-RES</v>
          </cell>
          <cell r="H2407" t="str">
            <v>WALK IN 76-100' - RES</v>
          </cell>
        </row>
        <row r="2408">
          <cell r="G2408" t="str">
            <v>WI5-COMM</v>
          </cell>
          <cell r="H2408" t="str">
            <v>WALK IN 101-125' - COMM</v>
          </cell>
        </row>
        <row r="2409">
          <cell r="G2409" t="str">
            <v>WI5-COMM</v>
          </cell>
          <cell r="H2409" t="str">
            <v>WALK IN 101-125' - COMM</v>
          </cell>
        </row>
        <row r="2410">
          <cell r="G2410" t="str">
            <v>WI5-COMM</v>
          </cell>
          <cell r="H2410" t="str">
            <v>WALK IN 101-125' - COMM</v>
          </cell>
        </row>
        <row r="2411">
          <cell r="G2411" t="str">
            <v>WI5-COMM</v>
          </cell>
          <cell r="H2411" t="str">
            <v>WALK IN 101-125' - COMM</v>
          </cell>
        </row>
        <row r="2412">
          <cell r="G2412" t="str">
            <v>WI5-RES</v>
          </cell>
          <cell r="H2412" t="str">
            <v>WALK IN 101-125' - RES</v>
          </cell>
        </row>
        <row r="2413">
          <cell r="G2413" t="str">
            <v>WI5-RES</v>
          </cell>
          <cell r="H2413" t="str">
            <v>WALK IN 101-125' - RES</v>
          </cell>
        </row>
        <row r="2414">
          <cell r="G2414" t="str">
            <v>WI5-RES</v>
          </cell>
          <cell r="H2414" t="str">
            <v>WALK IN 101-125' - RES</v>
          </cell>
        </row>
        <row r="2415">
          <cell r="G2415" t="str">
            <v>WI5-RES</v>
          </cell>
          <cell r="H2415" t="str">
            <v>WALK IN 101-125' - RES</v>
          </cell>
        </row>
        <row r="2416">
          <cell r="G2416" t="str">
            <v>WI6-COMM</v>
          </cell>
          <cell r="H2416" t="str">
            <v>WALK IN 126-150' - COMM</v>
          </cell>
        </row>
        <row r="2417">
          <cell r="G2417" t="str">
            <v>WI6-COMM</v>
          </cell>
          <cell r="H2417" t="str">
            <v>WALK IN 126-150' - COMM</v>
          </cell>
        </row>
        <row r="2418">
          <cell r="G2418" t="str">
            <v>WI6-COMM</v>
          </cell>
          <cell r="H2418" t="str">
            <v>WALK IN 126-150' - COMM</v>
          </cell>
        </row>
        <row r="2419">
          <cell r="G2419" t="str">
            <v>WI6-COMM</v>
          </cell>
          <cell r="H2419" t="str">
            <v>WALK IN 126-150' - COMM</v>
          </cell>
        </row>
        <row r="2420">
          <cell r="G2420" t="str">
            <v>WI6-RES</v>
          </cell>
          <cell r="H2420" t="str">
            <v>WALK IN 126-150' - RES</v>
          </cell>
        </row>
        <row r="2421">
          <cell r="G2421" t="str">
            <v>WI6-RES</v>
          </cell>
          <cell r="H2421" t="str">
            <v>WALK IN 126-150' - RES</v>
          </cell>
        </row>
        <row r="2422">
          <cell r="G2422" t="str">
            <v>WI6-RES</v>
          </cell>
          <cell r="H2422" t="str">
            <v>WALK IN 126-150' - RES</v>
          </cell>
        </row>
        <row r="2423">
          <cell r="G2423" t="str">
            <v>WI6-RES</v>
          </cell>
          <cell r="H2423" t="str">
            <v>WALK IN 126-150' - RES</v>
          </cell>
        </row>
        <row r="2424">
          <cell r="G2424" t="str">
            <v>WI7-COMM</v>
          </cell>
          <cell r="H2424" t="str">
            <v>WALK IN 151-175' - COMM</v>
          </cell>
        </row>
        <row r="2425">
          <cell r="G2425" t="str">
            <v>WI7-COMM</v>
          </cell>
          <cell r="H2425" t="str">
            <v>WALK IN 151-175' - COMM</v>
          </cell>
        </row>
        <row r="2426">
          <cell r="G2426" t="str">
            <v>WI7-COMM</v>
          </cell>
          <cell r="H2426" t="str">
            <v>WALK IN 151-175' - COMM</v>
          </cell>
        </row>
        <row r="2427">
          <cell r="G2427" t="str">
            <v>WI7-COMM</v>
          </cell>
          <cell r="H2427" t="str">
            <v>WALK IN 151-175' - COMM</v>
          </cell>
        </row>
        <row r="2428">
          <cell r="G2428" t="str">
            <v>WI7-RES</v>
          </cell>
          <cell r="H2428" t="str">
            <v>WALK IN 151-175' - RES</v>
          </cell>
        </row>
        <row r="2429">
          <cell r="G2429" t="str">
            <v>WI7-RES</v>
          </cell>
          <cell r="H2429" t="str">
            <v>WALK IN 151-175' - RES</v>
          </cell>
        </row>
        <row r="2430">
          <cell r="G2430" t="str">
            <v>WI7-RES</v>
          </cell>
          <cell r="H2430" t="str">
            <v>WALK IN 151-175' - RES</v>
          </cell>
        </row>
        <row r="2431">
          <cell r="G2431" t="str">
            <v>WI7-RES</v>
          </cell>
          <cell r="H2431" t="str">
            <v>WALK IN 151-175' - RES</v>
          </cell>
        </row>
        <row r="2432">
          <cell r="G2432" t="str">
            <v>WI8-COMM</v>
          </cell>
          <cell r="H2432" t="str">
            <v>WALK IN 176-200' - COMM</v>
          </cell>
        </row>
        <row r="2433">
          <cell r="G2433" t="str">
            <v>WI8-COMM</v>
          </cell>
          <cell r="H2433" t="str">
            <v>WALK IN 176-200' - COMM</v>
          </cell>
        </row>
        <row r="2434">
          <cell r="G2434" t="str">
            <v>WI8-COMM</v>
          </cell>
          <cell r="H2434" t="str">
            <v>WALK IN 176-200' - COMM</v>
          </cell>
        </row>
        <row r="2435">
          <cell r="G2435" t="str">
            <v>WI8-COMM</v>
          </cell>
          <cell r="H2435" t="str">
            <v>WALK IN 176-200' - COMM</v>
          </cell>
        </row>
        <row r="2436">
          <cell r="G2436" t="str">
            <v>WI8-RES</v>
          </cell>
          <cell r="H2436" t="str">
            <v>WALK IN 176-200' - RES</v>
          </cell>
        </row>
        <row r="2437">
          <cell r="G2437" t="str">
            <v>WI8-RES</v>
          </cell>
          <cell r="H2437" t="str">
            <v>WALK IN 176-200' - RES</v>
          </cell>
        </row>
        <row r="2438">
          <cell r="G2438" t="str">
            <v>WI8-RES</v>
          </cell>
          <cell r="H2438" t="str">
            <v>WALK IN 176-200' - RES</v>
          </cell>
        </row>
        <row r="2439">
          <cell r="G2439" t="str">
            <v>WI8-RES</v>
          </cell>
          <cell r="H2439" t="str">
            <v>WALK IN 176-200' - RES</v>
          </cell>
        </row>
        <row r="2440">
          <cell r="G2440" t="str">
            <v>WI9-COMM</v>
          </cell>
          <cell r="H2440" t="str">
            <v>WALK IN 201-225' - COMM</v>
          </cell>
        </row>
        <row r="2441">
          <cell r="G2441" t="str">
            <v>WI9-COMM</v>
          </cell>
          <cell r="H2441" t="str">
            <v>WALK IN 201-225' - COMM</v>
          </cell>
        </row>
        <row r="2442">
          <cell r="G2442" t="str">
            <v>WI9-RES</v>
          </cell>
          <cell r="H2442" t="str">
            <v>WALK IN 201-225' - RES</v>
          </cell>
        </row>
        <row r="2443">
          <cell r="G2443" t="str">
            <v>WI9-RES</v>
          </cell>
          <cell r="H2443" t="str">
            <v>WALK IN 201-225' - RES</v>
          </cell>
        </row>
        <row r="2444">
          <cell r="G2444" t="str">
            <v>WI9-RES</v>
          </cell>
          <cell r="H2444" t="str">
            <v>WALK IN 201-225' - RES</v>
          </cell>
        </row>
        <row r="2445">
          <cell r="G2445" t="str">
            <v>WI9-RES</v>
          </cell>
          <cell r="H2445" t="str">
            <v>WALK IN 201-225' - RES</v>
          </cell>
        </row>
        <row r="2446">
          <cell r="G2446" t="str">
            <v>PDBAG-RES</v>
          </cell>
          <cell r="H2446" t="str">
            <v>PREPAID BAG - RES</v>
          </cell>
        </row>
      </sheetData>
      <sheetData sheetId="2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s Check"/>
      <sheetName val="Route Summaries"/>
      <sheetName val="July Summary"/>
      <sheetName val="January Summary"/>
      <sheetName val="RO Alloc"/>
      <sheetName val="Jan RO Hrs"/>
      <sheetName val="Jan RO"/>
      <sheetName val="July RO hrs"/>
      <sheetName val="July RO"/>
      <sheetName val="July Week"/>
      <sheetName val="July Drop"/>
      <sheetName val="January Week"/>
      <sheetName val="7-22-19(A)"/>
      <sheetName val="7-22-19(B)"/>
      <sheetName val="7-23-19(A)"/>
      <sheetName val="7-23-19(B)"/>
      <sheetName val="7-24-19(A)"/>
      <sheetName val="7-24-19(B)"/>
      <sheetName val="7-25-19(A)"/>
      <sheetName val="7-25-19(B)"/>
      <sheetName val="7-26-19(A)"/>
      <sheetName val="7-26-19(B)"/>
      <sheetName val="Jan hrs check"/>
      <sheetName val="1-14-19(A)"/>
      <sheetName val="1-14-19(B)"/>
      <sheetName val="1-15-19(A)"/>
      <sheetName val="1-15-19(B)"/>
      <sheetName val="1-16-19(A)"/>
      <sheetName val="1-16-19(B)"/>
      <sheetName val="1-17-19(A)"/>
      <sheetName val="1-17-19(B)"/>
      <sheetName val="1-18-19(A)"/>
      <sheetName val="1-18-19(B)"/>
    </sheetNames>
    <sheetDataSet>
      <sheetData sheetId="0"/>
      <sheetData sheetId="1">
        <row r="44">
          <cell r="E44">
            <v>994.26204854562047</v>
          </cell>
          <cell r="F44">
            <v>98.142240794884373</v>
          </cell>
          <cell r="G44">
            <v>82.183983912045633</v>
          </cell>
          <cell r="H44">
            <v>0</v>
          </cell>
          <cell r="I44">
            <v>466.95602780691081</v>
          </cell>
        </row>
        <row r="46">
          <cell r="E46">
            <v>189.96366451507939</v>
          </cell>
          <cell r="F46">
            <v>10.027668585119047</v>
          </cell>
          <cell r="G46">
            <v>79.962003553571421</v>
          </cell>
          <cell r="H46">
            <v>0</v>
          </cell>
          <cell r="I46">
            <v>166.78666384623023</v>
          </cell>
        </row>
        <row r="48">
          <cell r="E48">
            <v>359.27880685088991</v>
          </cell>
          <cell r="F48">
            <v>6.7784761194666574</v>
          </cell>
          <cell r="G48">
            <v>0</v>
          </cell>
          <cell r="H48">
            <v>0</v>
          </cell>
          <cell r="I48">
            <v>131.98672726045822</v>
          </cell>
        </row>
        <row r="50">
          <cell r="E50">
            <v>47.853070486418346</v>
          </cell>
          <cell r="F50">
            <v>5.3654478663015759</v>
          </cell>
          <cell r="G50">
            <v>0</v>
          </cell>
          <cell r="H50">
            <v>0</v>
          </cell>
          <cell r="I50">
            <v>47.228984288004021</v>
          </cell>
        </row>
        <row r="52">
          <cell r="E52">
            <v>0</v>
          </cell>
          <cell r="F52">
            <v>0</v>
          </cell>
          <cell r="G52">
            <v>0</v>
          </cell>
          <cell r="H52">
            <v>121.84418429392196</v>
          </cell>
          <cell r="I52">
            <v>174.09998910841139</v>
          </cell>
        </row>
        <row r="54">
          <cell r="E54">
            <v>190.18389158682842</v>
          </cell>
          <cell r="F54">
            <v>4.6328395061728394</v>
          </cell>
          <cell r="G54">
            <v>0</v>
          </cell>
          <cell r="H54">
            <v>0</v>
          </cell>
          <cell r="I54">
            <v>106.16995294033198</v>
          </cell>
        </row>
        <row r="56">
          <cell r="E56">
            <v>34.152761429773086</v>
          </cell>
          <cell r="F56">
            <v>6.783895311761829</v>
          </cell>
          <cell r="G56">
            <v>12.817307828761498</v>
          </cell>
          <cell r="H56">
            <v>0</v>
          </cell>
          <cell r="I56">
            <v>66.246035429703596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reakout"/>
      <sheetName val="Data"/>
    </sheetNames>
    <sheetDataSet>
      <sheetData sheetId="0">
        <row r="29">
          <cell r="B29">
            <v>0</v>
          </cell>
          <cell r="C29">
            <v>4.2465526699432446E-2</v>
          </cell>
          <cell r="D29">
            <v>9.1210131324797078E-2</v>
          </cell>
          <cell r="E29">
            <v>0.86632434197577046</v>
          </cell>
          <cell r="G29">
            <v>0.93491518926829209</v>
          </cell>
          <cell r="H29">
            <v>2.169532487420215E-2</v>
          </cell>
          <cell r="I29">
            <v>4.3389485857505683E-2</v>
          </cell>
        </row>
        <row r="30">
          <cell r="B30">
            <v>0</v>
          </cell>
          <cell r="C30">
            <v>4.5449332656099964E-4</v>
          </cell>
          <cell r="D30">
            <v>0.18241536949209011</v>
          </cell>
          <cell r="E30">
            <v>0.81713013718134886</v>
          </cell>
        </row>
        <row r="31">
          <cell r="B31">
            <v>9.5501223349842373E-2</v>
          </cell>
          <cell r="C31">
            <v>5.5091107214724565E-2</v>
          </cell>
          <cell r="D31">
            <v>0.27218596585218191</v>
          </cell>
          <cell r="E31">
            <v>0.5772217035832512</v>
          </cell>
        </row>
        <row r="32">
          <cell r="B32">
            <v>0.10681089857301249</v>
          </cell>
          <cell r="C32">
            <v>5.6532460931348574E-2</v>
          </cell>
          <cell r="D32">
            <v>0.28460634524810907</v>
          </cell>
          <cell r="E32">
            <v>0.55205029524752991</v>
          </cell>
        </row>
        <row r="33">
          <cell r="B33">
            <v>9.5501223349842373E-2</v>
          </cell>
          <cell r="C33">
            <v>5.5091107214724565E-2</v>
          </cell>
          <cell r="D33">
            <v>0.27218596585218197</v>
          </cell>
          <cell r="E33">
            <v>0.5772217035832512</v>
          </cell>
        </row>
        <row r="34">
          <cell r="B34">
            <v>0</v>
          </cell>
          <cell r="C34">
            <v>4.2920020025993447E-2</v>
          </cell>
          <cell r="D34">
            <v>0.16730572805807403</v>
          </cell>
          <cell r="E34">
            <v>0.78977425191593253</v>
          </cell>
        </row>
      </sheetData>
      <sheetData sheetId="1"/>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 Payroll Summary"/>
      <sheetName val="2018 Pierce Payroll"/>
      <sheetName val="2183 EE Job Description"/>
      <sheetName val="2184 EE Job Description"/>
      <sheetName val="2185 EE Job Description"/>
      <sheetName val="Payroll Report Pivot"/>
      <sheetName val="EE Counts"/>
      <sheetName val="Modified Payroll Report"/>
      <sheetName val="2180 IS 2018"/>
      <sheetName val="Live Pivot"/>
      <sheetName val="JE Query - Drivers HC"/>
      <sheetName val="JE Query - Drivers"/>
      <sheetName val="JE Query - G&amp;A"/>
      <sheetName val="JE Query - Supervisor"/>
      <sheetName val="JE Query - Mechanic"/>
      <sheetName val="JE Lookup"/>
    </sheetNames>
    <sheetDataSet>
      <sheetData sheetId="0"/>
      <sheetData sheetId="1">
        <row r="21">
          <cell r="L21">
            <v>152140.90000000002</v>
          </cell>
        </row>
      </sheetData>
      <sheetData sheetId="2"/>
      <sheetData sheetId="3"/>
      <sheetData sheetId="4"/>
      <sheetData sheetId="5"/>
      <sheetData sheetId="6"/>
      <sheetData sheetId="7"/>
      <sheetData sheetId="8"/>
      <sheetData sheetId="9"/>
      <sheetData sheetId="10">
        <row r="1014">
          <cell r="J1014">
            <v>0.30666599379826454</v>
          </cell>
        </row>
        <row r="1015">
          <cell r="J1015">
            <v>0.69333400620173535</v>
          </cell>
        </row>
      </sheetData>
      <sheetData sheetId="11"/>
      <sheetData sheetId="12"/>
      <sheetData sheetId="13"/>
      <sheetData sheetId="14"/>
      <sheetData sheetId="1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s"/>
      <sheetName val="DF Calculation"/>
      <sheetName val="Mapping"/>
      <sheetName val="To Populate Tariff"/>
      <sheetName val="Disposal Schedule"/>
      <sheetName val="2180 (Reg.) - Price Out "/>
      <sheetName val="2180 (JBLM Housing) - Price Out"/>
    </sheetNames>
    <sheetDataSet>
      <sheetData sheetId="0"/>
      <sheetData sheetId="1"/>
      <sheetData sheetId="2"/>
      <sheetData sheetId="3">
        <row r="2">
          <cell r="G2">
            <v>4.2355941326543523E-2</v>
          </cell>
        </row>
        <row r="20">
          <cell r="G20">
            <v>4.2355941326544411E-2</v>
          </cell>
        </row>
        <row r="21">
          <cell r="G21">
            <v>9.1771206207511113E-2</v>
          </cell>
        </row>
        <row r="22">
          <cell r="G22">
            <v>0.18354241241502223</v>
          </cell>
        </row>
        <row r="24">
          <cell r="G24">
            <v>5.855086006904564E-2</v>
          </cell>
        </row>
        <row r="25">
          <cell r="G25">
            <v>5.855086006904564E-2</v>
          </cell>
        </row>
        <row r="27">
          <cell r="G27">
            <v>0.25372039363253052</v>
          </cell>
        </row>
        <row r="28">
          <cell r="G28">
            <v>0.12686019681626703</v>
          </cell>
        </row>
        <row r="29">
          <cell r="G29">
            <v>0.12686019681626703</v>
          </cell>
        </row>
        <row r="30">
          <cell r="G30">
            <v>8.4711882653087045E-2</v>
          </cell>
        </row>
        <row r="31">
          <cell r="G31">
            <v>8.4711882653087045E-2</v>
          </cell>
        </row>
        <row r="33">
          <cell r="G33">
            <v>0.36708482483004445</v>
          </cell>
        </row>
        <row r="34">
          <cell r="G34">
            <v>0.18354241241502223</v>
          </cell>
        </row>
        <row r="35">
          <cell r="G35">
            <v>0.18354241241502223</v>
          </cell>
        </row>
        <row r="36">
          <cell r="G36">
            <v>4.2355941326543523E-2</v>
          </cell>
        </row>
        <row r="37">
          <cell r="G37">
            <v>5.855086006904564E-2</v>
          </cell>
        </row>
        <row r="38">
          <cell r="G38">
            <v>8.4711882653087045E-2</v>
          </cell>
        </row>
        <row r="39">
          <cell r="G39">
            <v>4.2355941326543523E-2</v>
          </cell>
        </row>
        <row r="40">
          <cell r="G40">
            <v>0.15572037252405835</v>
          </cell>
        </row>
        <row r="42">
          <cell r="G42">
            <v>0.21999999999999886</v>
          </cell>
        </row>
        <row r="43">
          <cell r="G43">
            <v>0.21999999999999886</v>
          </cell>
        </row>
        <row r="44">
          <cell r="G44">
            <v>0.21999999999999886</v>
          </cell>
        </row>
        <row r="45">
          <cell r="G45">
            <v>0.22000000000000242</v>
          </cell>
        </row>
        <row r="46">
          <cell r="G46">
            <v>0.21999999999999886</v>
          </cell>
        </row>
        <row r="47">
          <cell r="G47">
            <v>0.30999999999999517</v>
          </cell>
        </row>
        <row r="48">
          <cell r="G48">
            <v>0.31000000000000227</v>
          </cell>
        </row>
        <row r="49">
          <cell r="G49">
            <v>0.31000000000000227</v>
          </cell>
        </row>
        <row r="50">
          <cell r="G50">
            <v>0.31000000000000227</v>
          </cell>
        </row>
        <row r="51">
          <cell r="G51">
            <v>0.40000000000000568</v>
          </cell>
        </row>
        <row r="52">
          <cell r="G52">
            <v>0.39999999999999858</v>
          </cell>
        </row>
        <row r="53">
          <cell r="G53">
            <v>0.40000000000000568</v>
          </cell>
        </row>
        <row r="54">
          <cell r="G54">
            <v>0.40000000000000568</v>
          </cell>
        </row>
        <row r="55">
          <cell r="G55">
            <v>0.59000000000000341</v>
          </cell>
        </row>
        <row r="56">
          <cell r="G56">
            <v>0.58999999999999631</v>
          </cell>
        </row>
        <row r="57">
          <cell r="G57">
            <v>0.59000000000000341</v>
          </cell>
        </row>
        <row r="58">
          <cell r="G58">
            <v>0.59000000000000341</v>
          </cell>
        </row>
        <row r="59">
          <cell r="G59">
            <v>0.76000000000000512</v>
          </cell>
        </row>
        <row r="60">
          <cell r="G60">
            <v>0.75999999999999801</v>
          </cell>
        </row>
        <row r="61">
          <cell r="G61">
            <v>0.75999999999999091</v>
          </cell>
        </row>
        <row r="62">
          <cell r="G62">
            <v>0.76000000000000512</v>
          </cell>
        </row>
        <row r="63">
          <cell r="G63">
            <v>1.0500000000000114</v>
          </cell>
        </row>
        <row r="64">
          <cell r="G64">
            <v>1.0499999999999972</v>
          </cell>
        </row>
        <row r="65">
          <cell r="G65">
            <v>1.0499999999999972</v>
          </cell>
        </row>
        <row r="66">
          <cell r="G66">
            <v>1.0499999999999972</v>
          </cell>
        </row>
        <row r="67">
          <cell r="G67">
            <v>0.16000000000000014</v>
          </cell>
        </row>
        <row r="75">
          <cell r="G75">
            <v>0.12686019681626703</v>
          </cell>
        </row>
        <row r="79">
          <cell r="G79">
            <v>0.18354241241502223</v>
          </cell>
        </row>
        <row r="81">
          <cell r="G81">
            <v>5.855086006904564E-2</v>
          </cell>
        </row>
        <row r="82">
          <cell r="G82">
            <v>4.2355941326543967E-2</v>
          </cell>
        </row>
        <row r="84">
          <cell r="G84">
            <v>4.2355941326544411E-2</v>
          </cell>
        </row>
        <row r="85">
          <cell r="G85">
            <v>4.2355941326543523E-2</v>
          </cell>
        </row>
        <row r="87">
          <cell r="G87">
            <v>8.4711882653087045E-2</v>
          </cell>
        </row>
        <row r="94">
          <cell r="G94">
            <v>1.2108816167470735</v>
          </cell>
        </row>
        <row r="95">
          <cell r="G95">
            <v>1.767737668893119</v>
          </cell>
        </row>
        <row r="96">
          <cell r="G96">
            <v>2.2909581205739471</v>
          </cell>
        </row>
        <row r="99">
          <cell r="G99">
            <v>3.1393227100850254</v>
          </cell>
        </row>
        <row r="100">
          <cell r="G100">
            <v>-2.228016064263727E-2</v>
          </cell>
        </row>
        <row r="101">
          <cell r="G101">
            <v>-3.2235126036155748E-2</v>
          </cell>
        </row>
        <row r="102">
          <cell r="G102">
            <v>-3.7194376195563983E-3</v>
          </cell>
        </row>
        <row r="103">
          <cell r="G103">
            <v>-2.228016064263727E-2</v>
          </cell>
        </row>
        <row r="104">
          <cell r="G104">
            <v>-3.2235126036155748E-2</v>
          </cell>
        </row>
        <row r="105">
          <cell r="G105">
            <v>-1.9144164218303672E-2</v>
          </cell>
        </row>
        <row r="106">
          <cell r="G106">
            <v>-1.9144164218305448E-2</v>
          </cell>
        </row>
        <row r="107">
          <cell r="G107">
            <v>-1.9144164218303672E-2</v>
          </cell>
        </row>
        <row r="108">
          <cell r="G108">
            <v>-1.9144164218303672E-2</v>
          </cell>
        </row>
        <row r="109">
          <cell r="G109">
            <v>-2.7348806026147088E-2</v>
          </cell>
        </row>
        <row r="110">
          <cell r="G110">
            <v>-2.734880602615064E-2</v>
          </cell>
        </row>
        <row r="111">
          <cell r="G111">
            <v>-2.734880602615064E-2</v>
          </cell>
        </row>
        <row r="112">
          <cell r="G112">
            <v>-2.7348806026154193E-2</v>
          </cell>
        </row>
        <row r="113">
          <cell r="G113">
            <v>-3.5444052609889809E-2</v>
          </cell>
        </row>
        <row r="114">
          <cell r="G114">
            <v>-3.5444052609889809E-2</v>
          </cell>
        </row>
        <row r="115">
          <cell r="G115">
            <v>-3.5444052609889809E-2</v>
          </cell>
        </row>
        <row r="116">
          <cell r="G116">
            <v>-3.5444052609889809E-2</v>
          </cell>
        </row>
        <row r="117">
          <cell r="G117">
            <v>-5.1743941001475946E-2</v>
          </cell>
        </row>
        <row r="118">
          <cell r="G118">
            <v>-5.1743941001475946E-2</v>
          </cell>
        </row>
        <row r="119">
          <cell r="G119">
            <v>-5.1743941001475946E-2</v>
          </cell>
        </row>
        <row r="120">
          <cell r="G120">
            <v>-5.1743941001475946E-2</v>
          </cell>
        </row>
        <row r="121">
          <cell r="G121">
            <v>-6.705927237612741E-2</v>
          </cell>
        </row>
        <row r="122">
          <cell r="G122">
            <v>-6.7059272376120305E-2</v>
          </cell>
        </row>
        <row r="123">
          <cell r="G123">
            <v>-6.7059272376120305E-2</v>
          </cell>
        </row>
        <row r="124">
          <cell r="G124">
            <v>-6.705927237612741E-2</v>
          </cell>
        </row>
        <row r="125">
          <cell r="G125">
            <v>-9.1891988247866152E-2</v>
          </cell>
        </row>
        <row r="126">
          <cell r="G126">
            <v>-9.1891988247866152E-2</v>
          </cell>
        </row>
        <row r="127">
          <cell r="G127">
            <v>-9.1891988247866152E-2</v>
          </cell>
        </row>
        <row r="128">
          <cell r="G128">
            <v>-9.1891988247866152E-2</v>
          </cell>
        </row>
        <row r="129">
          <cell r="G129">
            <v>-0.10720731962251762</v>
          </cell>
        </row>
        <row r="130">
          <cell r="G130">
            <v>-0.10720731962250341</v>
          </cell>
        </row>
        <row r="131">
          <cell r="G131">
            <v>-0.10720731962250341</v>
          </cell>
        </row>
        <row r="132">
          <cell r="G132">
            <v>-0.10720731962250341</v>
          </cell>
        </row>
      </sheetData>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80 Summary"/>
      <sheetName val="2180 Trucks"/>
      <sheetName val="2180 Cont, DB"/>
      <sheetName val="2180 Other"/>
      <sheetName val="2180 Trucks - Orig."/>
      <sheetName val="2180 Other - Orig."/>
    </sheetNames>
    <sheetDataSet>
      <sheetData sheetId="0">
        <row r="8">
          <cell r="A8" t="str">
            <v>RESI/COMM GARBAGE</v>
          </cell>
          <cell r="B8">
            <v>14259926.240737708</v>
          </cell>
          <cell r="D8">
            <v>14259926.240737708</v>
          </cell>
          <cell r="E8">
            <v>1423877.6555238089</v>
          </cell>
          <cell r="F8">
            <v>1543856.3333091338</v>
          </cell>
          <cell r="G8">
            <v>2937005.8628329416</v>
          </cell>
          <cell r="H8">
            <v>11329712.544571424</v>
          </cell>
        </row>
        <row r="10">
          <cell r="A10" t="str">
            <v>JBLM CONTRACT AND HOUSING GARBAGE SHARED</v>
          </cell>
          <cell r="B10">
            <v>356786.03</v>
          </cell>
          <cell r="D10">
            <v>356786.03</v>
          </cell>
          <cell r="E10">
            <v>35678.603000000003</v>
          </cell>
          <cell r="F10">
            <v>0</v>
          </cell>
          <cell r="G10">
            <v>35678.603000000003</v>
          </cell>
          <cell r="H10">
            <v>321107.42700000003</v>
          </cell>
        </row>
        <row r="12">
          <cell r="A12" t="str">
            <v>JBLM HOUSING GARBAGE EXCLUSIVE USE</v>
          </cell>
          <cell r="B12">
            <v>349200.73</v>
          </cell>
          <cell r="D12">
            <v>349200.73</v>
          </cell>
          <cell r="E12">
            <v>34920.072999999997</v>
          </cell>
          <cell r="F12">
            <v>0</v>
          </cell>
          <cell r="G12">
            <v>34920.072999999997</v>
          </cell>
          <cell r="H12">
            <v>314280.65700000001</v>
          </cell>
        </row>
        <row r="14">
          <cell r="A14" t="str">
            <v xml:space="preserve">ROLL OFF </v>
          </cell>
          <cell r="B14">
            <v>3477357.1560694766</v>
          </cell>
          <cell r="D14">
            <v>3477357.1560694766</v>
          </cell>
          <cell r="E14">
            <v>353071.06971428567</v>
          </cell>
          <cell r="F14">
            <v>347133.09592661983</v>
          </cell>
          <cell r="G14">
            <v>679368.50697423914</v>
          </cell>
          <cell r="H14">
            <v>2797988.6490952387</v>
          </cell>
        </row>
        <row r="16">
          <cell r="A16" t="str">
            <v>CURBSIDE RECYCLE</v>
          </cell>
          <cell r="B16">
            <v>7155970.1289025508</v>
          </cell>
          <cell r="D16">
            <v>7130578.1909025516</v>
          </cell>
          <cell r="E16">
            <v>655306.57703174604</v>
          </cell>
          <cell r="F16">
            <v>3729696.5561882639</v>
          </cell>
          <cell r="G16">
            <v>4372808.233220011</v>
          </cell>
          <cell r="H16">
            <v>2783161.8956825398</v>
          </cell>
        </row>
        <row r="18">
          <cell r="A18" t="str">
            <v>CURBSIDE RECYCLE - JBLM HOUSING</v>
          </cell>
          <cell r="B18">
            <v>632842.55000000005</v>
          </cell>
          <cell r="D18">
            <v>632842.55000000005</v>
          </cell>
          <cell r="E18">
            <v>76030.549999999988</v>
          </cell>
          <cell r="F18">
            <v>245981.15</v>
          </cell>
          <cell r="G18">
            <v>322011.69999999995</v>
          </cell>
          <cell r="H18">
            <v>310830.84999999998</v>
          </cell>
        </row>
        <row r="20">
          <cell r="A20" t="str">
            <v>YARD WASTE</v>
          </cell>
          <cell r="B20">
            <v>850341.38000455371</v>
          </cell>
          <cell r="D20">
            <v>850341.38000455371</v>
          </cell>
          <cell r="E20">
            <v>103492.70763492063</v>
          </cell>
          <cell r="F20">
            <v>497820.77252836328</v>
          </cell>
          <cell r="G20">
            <v>577743.99549661716</v>
          </cell>
          <cell r="H20">
            <v>272597.38450793654</v>
          </cell>
        </row>
        <row r="22">
          <cell r="A22" t="str">
            <v>COMMERCIAL RECYCLING</v>
          </cell>
          <cell r="B22">
            <v>1796627.8800000001</v>
          </cell>
          <cell r="D22">
            <v>1796627.8800000001</v>
          </cell>
          <cell r="E22">
            <v>145667.80855555556</v>
          </cell>
          <cell r="F22">
            <v>1221248.5803333335</v>
          </cell>
          <cell r="G22">
            <v>1366916.3888888885</v>
          </cell>
          <cell r="H22">
            <v>429711.49111111113</v>
          </cell>
        </row>
        <row r="24">
          <cell r="A24" t="str">
            <v>JBLM CONTRACT GARBAGE</v>
          </cell>
          <cell r="B24">
            <v>145674.21000000002</v>
          </cell>
          <cell r="D24">
            <v>145674.21000000002</v>
          </cell>
          <cell r="E24">
            <v>15473.180899999999</v>
          </cell>
          <cell r="F24">
            <v>58017.159299999999</v>
          </cell>
          <cell r="G24">
            <v>73490.340199999991</v>
          </cell>
          <cell r="H24">
            <v>72183.869799999986</v>
          </cell>
        </row>
        <row r="26">
          <cell r="A26" t="str">
            <v>JBLM CONTRACT RECYCLING</v>
          </cell>
          <cell r="B26">
            <v>649249.68999999994</v>
          </cell>
          <cell r="D26">
            <v>599568.20500000007</v>
          </cell>
          <cell r="E26">
            <v>35748.641333333333</v>
          </cell>
          <cell r="F26">
            <v>351355.92600000004</v>
          </cell>
          <cell r="G26">
            <v>387104.56733333331</v>
          </cell>
          <cell r="H26">
            <v>262145.12266666669</v>
          </cell>
        </row>
        <row r="28">
          <cell r="A28" t="str">
            <v>TRANSFER STATION EQUIPMENT</v>
          </cell>
          <cell r="B28">
            <v>260103.05</v>
          </cell>
          <cell r="D28">
            <v>212337.94440000001</v>
          </cell>
          <cell r="E28">
            <v>5166.6000000000004</v>
          </cell>
          <cell r="F28">
            <v>249769.84999999998</v>
          </cell>
          <cell r="G28">
            <v>254936.44999999998</v>
          </cell>
          <cell r="H28">
            <v>5166.5999999999985</v>
          </cell>
        </row>
        <row r="30">
          <cell r="A30" t="str">
            <v>TRANSFER STATION HAULING</v>
          </cell>
          <cell r="B30">
            <v>882782.36999999988</v>
          </cell>
          <cell r="D30">
            <v>882782.36999999988</v>
          </cell>
          <cell r="E30">
            <v>61411.609999999986</v>
          </cell>
          <cell r="F30">
            <v>703333.20666666667</v>
          </cell>
          <cell r="G30">
            <v>764744.81666666665</v>
          </cell>
          <cell r="H30">
            <v>118037.55333333334</v>
          </cell>
        </row>
        <row r="32">
          <cell r="A32" t="str">
            <v>CONTAINER DELIVERY</v>
          </cell>
          <cell r="B32">
            <v>646239.38</v>
          </cell>
          <cell r="D32">
            <v>646239.38</v>
          </cell>
          <cell r="E32">
            <v>76761.187169047611</v>
          </cell>
          <cell r="F32">
            <v>315046.88169523812</v>
          </cell>
          <cell r="G32">
            <v>379571.18753095245</v>
          </cell>
          <cell r="H32">
            <v>266668.19246904762</v>
          </cell>
        </row>
        <row r="37">
          <cell r="A37" t="str">
            <v>Garbage Containers</v>
          </cell>
          <cell r="B37">
            <v>1799740.7589999987</v>
          </cell>
          <cell r="D37">
            <v>1799740.7589999987</v>
          </cell>
          <cell r="E37">
            <v>131694.5777142857</v>
          </cell>
          <cell r="F37">
            <v>881123.01549999986</v>
          </cell>
          <cell r="G37">
            <v>1012817.5932142856</v>
          </cell>
          <cell r="H37">
            <v>786923.1657857144</v>
          </cell>
        </row>
        <row r="39">
          <cell r="A39" t="str">
            <v>JBLM Containers</v>
          </cell>
          <cell r="B39">
            <v>739961.09666666668</v>
          </cell>
          <cell r="D39">
            <v>739961.09666666668</v>
          </cell>
          <cell r="E39">
            <v>62347.399404761913</v>
          </cell>
          <cell r="F39">
            <v>340423.24495238089</v>
          </cell>
          <cell r="G39">
            <v>402770.64435714291</v>
          </cell>
          <cell r="H39">
            <v>337190.45230952388</v>
          </cell>
        </row>
        <row r="41">
          <cell r="A41" t="str">
            <v>Drop Boxes</v>
          </cell>
          <cell r="B41">
            <v>3649102.7599999988</v>
          </cell>
          <cell r="D41">
            <v>3649102.7599999988</v>
          </cell>
          <cell r="E41">
            <v>121788.75856561333</v>
          </cell>
          <cell r="F41">
            <v>2497873.0124999988</v>
          </cell>
          <cell r="G41">
            <v>2619661.7710656133</v>
          </cell>
          <cell r="H41">
            <v>1029440.9889343868</v>
          </cell>
        </row>
        <row r="43">
          <cell r="A43" t="str">
            <v>Garbage Carts</v>
          </cell>
          <cell r="B43">
            <v>3621764.3630000013</v>
          </cell>
          <cell r="D43">
            <v>3621764.3630000013</v>
          </cell>
          <cell r="E43">
            <v>332179.52328571427</v>
          </cell>
          <cell r="F43">
            <v>2039820.7088571428</v>
          </cell>
          <cell r="G43">
            <v>2372000.2321428573</v>
          </cell>
          <cell r="H43">
            <v>1249764.1308571433</v>
          </cell>
        </row>
        <row r="45">
          <cell r="A45" t="str">
            <v>Garbage Carts - Municipal</v>
          </cell>
          <cell r="B45">
            <v>165208.34</v>
          </cell>
          <cell r="D45">
            <v>165208.34</v>
          </cell>
          <cell r="E45">
            <v>23601.191428571427</v>
          </cell>
          <cell r="F45">
            <v>69464.014285714278</v>
          </cell>
          <cell r="G45">
            <v>93065.205714285708</v>
          </cell>
          <cell r="H45">
            <v>72143.134285714288</v>
          </cell>
        </row>
        <row r="47">
          <cell r="A47" t="str">
            <v>Recycling Carts</v>
          </cell>
          <cell r="B47">
            <v>3895081.9499999974</v>
          </cell>
          <cell r="D47">
            <v>3895081.9499999974</v>
          </cell>
          <cell r="E47">
            <v>157752.72713659148</v>
          </cell>
          <cell r="F47">
            <v>3149756.3185714278</v>
          </cell>
          <cell r="G47">
            <v>3307509.0457080202</v>
          </cell>
          <cell r="H47">
            <v>587572.90429197997</v>
          </cell>
        </row>
        <row r="49">
          <cell r="A49" t="str">
            <v>Yard Waste</v>
          </cell>
          <cell r="B49">
            <v>2042077.0599999998</v>
          </cell>
          <cell r="D49">
            <v>2042077.0599999998</v>
          </cell>
          <cell r="E49">
            <v>172703.26285714284</v>
          </cell>
          <cell r="F49">
            <v>1151873.0971428575</v>
          </cell>
          <cell r="G49">
            <v>1324576.3599999999</v>
          </cell>
          <cell r="H49">
            <v>717500.70000000019</v>
          </cell>
        </row>
        <row r="51">
          <cell r="A51" t="str">
            <v>Recycle Containers</v>
          </cell>
          <cell r="B51">
            <v>449752.70000000007</v>
          </cell>
          <cell r="D51">
            <v>449752.70000000007</v>
          </cell>
          <cell r="E51">
            <v>1784.3200000000002</v>
          </cell>
          <cell r="F51">
            <v>440831.10000000003</v>
          </cell>
          <cell r="G51">
            <v>442615.42000000004</v>
          </cell>
          <cell r="H51">
            <v>7137.2800000000007</v>
          </cell>
        </row>
        <row r="53">
          <cell r="A53" t="str">
            <v>Recycle Drop Boxes</v>
          </cell>
          <cell r="B53">
            <v>247823.08</v>
          </cell>
          <cell r="D53">
            <v>247823.08</v>
          </cell>
          <cell r="E53">
            <v>0</v>
          </cell>
          <cell r="F53">
            <v>247823.08</v>
          </cell>
          <cell r="G53">
            <v>247823.08</v>
          </cell>
          <cell r="H53">
            <v>0</v>
          </cell>
        </row>
      </sheetData>
      <sheetData sheetId="1"/>
      <sheetData sheetId="2"/>
      <sheetData sheetId="3">
        <row r="40">
          <cell r="N40">
            <v>447124.56000000006</v>
          </cell>
          <cell r="O40">
            <v>436612.39366500004</v>
          </cell>
          <cell r="R40">
            <v>26781.072499999995</v>
          </cell>
          <cell r="S40">
            <v>393996.255</v>
          </cell>
          <cell r="T40">
            <v>420777.32749999996</v>
          </cell>
          <cell r="U40">
            <v>26347.232500000002</v>
          </cell>
        </row>
        <row r="60">
          <cell r="N60">
            <v>332036.98</v>
          </cell>
          <cell r="O60">
            <v>332036.98</v>
          </cell>
          <cell r="R60">
            <v>30074.705809523806</v>
          </cell>
          <cell r="S60">
            <v>180484.48809523811</v>
          </cell>
          <cell r="T60">
            <v>210559.19390476192</v>
          </cell>
          <cell r="U60">
            <v>121477.78609523809</v>
          </cell>
        </row>
        <row r="110">
          <cell r="N110">
            <v>1042624.0400000004</v>
          </cell>
          <cell r="O110">
            <v>1042624.0400000004</v>
          </cell>
          <cell r="R110">
            <v>38023.9015</v>
          </cell>
          <cell r="S110">
            <v>940500.42466666689</v>
          </cell>
          <cell r="T110">
            <v>978524.32616666728</v>
          </cell>
          <cell r="U110">
            <v>64099.713833333335</v>
          </cell>
        </row>
        <row r="124">
          <cell r="N124">
            <v>547397.72000000009</v>
          </cell>
          <cell r="O124">
            <v>547397.72000000009</v>
          </cell>
          <cell r="R124">
            <v>29718.06615751921</v>
          </cell>
          <cell r="S124">
            <v>282599.03350000002</v>
          </cell>
          <cell r="T124">
            <v>312317.09965751925</v>
          </cell>
          <cell r="U124">
            <v>235080.62034248078</v>
          </cell>
        </row>
        <row r="133">
          <cell r="N133">
            <v>7433998.1899999976</v>
          </cell>
          <cell r="O133">
            <v>7433998.1899999976</v>
          </cell>
          <cell r="R133">
            <v>405873.98331503826</v>
          </cell>
          <cell r="S133">
            <v>2601899.3664999986</v>
          </cell>
          <cell r="T133">
            <v>2973599.2759999987</v>
          </cell>
          <cell r="U133">
            <v>4460398.913999998</v>
          </cell>
        </row>
        <row r="142">
          <cell r="N142">
            <v>164726.66</v>
          </cell>
          <cell r="O142">
            <v>164726.66</v>
          </cell>
          <cell r="R142">
            <v>0</v>
          </cell>
          <cell r="S142">
            <v>104522.76999999999</v>
          </cell>
          <cell r="T142">
            <v>124728.548</v>
          </cell>
          <cell r="U142">
            <v>39998.112000000001</v>
          </cell>
        </row>
        <row r="144">
          <cell r="N144">
            <v>9148000</v>
          </cell>
          <cell r="U144">
            <v>9148000</v>
          </cell>
        </row>
        <row r="146">
          <cell r="N146">
            <v>19115908.149999999</v>
          </cell>
          <cell r="O146">
            <v>9957395.9836650006</v>
          </cell>
          <cell r="R146">
            <v>530471.72928208124</v>
          </cell>
          <cell r="S146">
            <v>4504002.3377619032</v>
          </cell>
          <cell r="T146">
            <v>5020505.7712289467</v>
          </cell>
          <cell r="U146">
            <v>14095402.37877105</v>
          </cell>
        </row>
      </sheetData>
      <sheetData sheetId="4"/>
      <sheetData sheetId="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 Payroll Summary"/>
      <sheetName val="2018 Pierce Payroll"/>
      <sheetName val="2183 EE Job Description"/>
      <sheetName val="2184 EE Job Description"/>
      <sheetName val="2185 EE Job Description"/>
      <sheetName val="2180 Job Descriptions"/>
      <sheetName val="Matt Detail"/>
      <sheetName val="Payroll Report Pivot"/>
      <sheetName val="EE Counts"/>
      <sheetName val="Modified Payroll Report"/>
      <sheetName val="2180 IS 2018"/>
      <sheetName val="Live Pivot"/>
      <sheetName val="Transferred EE Pivot"/>
      <sheetName val="Transferred EE PR REport"/>
      <sheetName val="1 WCN Employee Roster - Copy"/>
      <sheetName val="Sheet6"/>
      <sheetName val="JE Query - Container"/>
      <sheetName val="JE Query - Sales"/>
      <sheetName val="JE Query - Drivers"/>
      <sheetName val="JE Query - G&amp;A"/>
      <sheetName val="JE Query - Supervisor"/>
      <sheetName val="JE Query - Mechanic"/>
      <sheetName val="JE Lookup"/>
    </sheetNames>
    <sheetDataSet>
      <sheetData sheetId="0"/>
      <sheetData sheetId="1"/>
      <sheetData sheetId="2"/>
      <sheetData sheetId="3"/>
      <sheetData sheetId="4"/>
      <sheetData sheetId="5">
        <row r="3">
          <cell r="E3" t="str">
            <v>ID</v>
          </cell>
          <cell r="F3" t="str">
            <v>Name</v>
          </cell>
          <cell r="G3" t="str">
            <v>Postion</v>
          </cell>
          <cell r="J3" t="str">
            <v>ID</v>
          </cell>
          <cell r="K3" t="str">
            <v>Name</v>
          </cell>
          <cell r="L3" t="str">
            <v>Postion</v>
          </cell>
          <cell r="M3" t="str">
            <v>Union?</v>
          </cell>
        </row>
        <row r="4">
          <cell r="E4" t="str">
            <v>150276</v>
          </cell>
          <cell r="F4" t="str">
            <v>Aaron Guisasola</v>
          </cell>
          <cell r="G4" t="str">
            <v>Transfer Tractor</v>
          </cell>
          <cell r="J4" t="str">
            <v>150276</v>
          </cell>
          <cell r="K4" t="str">
            <v>Aaron Guisasola</v>
          </cell>
          <cell r="L4" t="str">
            <v>Transfer Tractor</v>
          </cell>
          <cell r="M4" t="str">
            <v>PCS</v>
          </cell>
        </row>
        <row r="5">
          <cell r="E5" t="str">
            <v>302607</v>
          </cell>
          <cell r="F5" t="str">
            <v>Alisa Bible</v>
          </cell>
          <cell r="G5" t="str">
            <v>Recy-ASL</v>
          </cell>
          <cell r="J5" t="str">
            <v>302607</v>
          </cell>
          <cell r="K5" t="str">
            <v>Alisa Bible</v>
          </cell>
          <cell r="L5" t="str">
            <v>Recy-ASL</v>
          </cell>
          <cell r="M5" t="str">
            <v>NONU</v>
          </cell>
        </row>
        <row r="6">
          <cell r="E6" t="str">
            <v>114003</v>
          </cell>
          <cell r="F6" t="str">
            <v>Anthony Angeline</v>
          </cell>
          <cell r="G6" t="str">
            <v>Garbage-ASL</v>
          </cell>
          <cell r="J6" t="str">
            <v>114003</v>
          </cell>
          <cell r="K6" t="str">
            <v>Anthony Angeline</v>
          </cell>
          <cell r="L6" t="str">
            <v>Garbage-ASL</v>
          </cell>
          <cell r="M6" t="str">
            <v>PCS</v>
          </cell>
        </row>
        <row r="7">
          <cell r="E7" t="str">
            <v>307208</v>
          </cell>
          <cell r="F7" t="str">
            <v>Barry DeGarmo</v>
          </cell>
          <cell r="G7" t="str">
            <v>Recy-FEL</v>
          </cell>
          <cell r="J7" t="str">
            <v>307208</v>
          </cell>
          <cell r="K7" t="str">
            <v>Barry DeGarmo</v>
          </cell>
          <cell r="L7" t="str">
            <v>Recy-FEL</v>
          </cell>
          <cell r="M7" t="str">
            <v>NONU</v>
          </cell>
        </row>
        <row r="8">
          <cell r="E8" t="str">
            <v>103464</v>
          </cell>
          <cell r="F8" t="str">
            <v>Benjamin Smith</v>
          </cell>
          <cell r="G8" t="str">
            <v>Recy-Relief</v>
          </cell>
          <cell r="J8" t="str">
            <v>103464</v>
          </cell>
          <cell r="K8" t="str">
            <v>Benjamin Smith</v>
          </cell>
          <cell r="L8" t="str">
            <v>Recy-Relief</v>
          </cell>
          <cell r="M8" t="str">
            <v>NONU</v>
          </cell>
        </row>
        <row r="9">
          <cell r="E9" t="str">
            <v>114274</v>
          </cell>
          <cell r="F9" t="str">
            <v>Billy Carter</v>
          </cell>
          <cell r="G9" t="str">
            <v>Garbage-ASL</v>
          </cell>
          <cell r="J9" t="str">
            <v>114274</v>
          </cell>
          <cell r="K9" t="str">
            <v>Billy Carter</v>
          </cell>
          <cell r="L9" t="str">
            <v>Garbage-ASL</v>
          </cell>
          <cell r="M9" t="str">
            <v>PCS</v>
          </cell>
        </row>
        <row r="10">
          <cell r="E10" t="str">
            <v>302903</v>
          </cell>
          <cell r="F10" t="str">
            <v>Boutsaba Sonthixay</v>
          </cell>
          <cell r="G10" t="str">
            <v xml:space="preserve">Recy-REL </v>
          </cell>
          <cell r="J10" t="str">
            <v>302903</v>
          </cell>
          <cell r="K10" t="str">
            <v>Boutsaba Sonthixay</v>
          </cell>
          <cell r="L10" t="str">
            <v xml:space="preserve">Recy-REL </v>
          </cell>
          <cell r="M10" t="str">
            <v>NONU</v>
          </cell>
        </row>
        <row r="11">
          <cell r="E11" t="str">
            <v>158173</v>
          </cell>
          <cell r="F11" t="str">
            <v>Brian Hutt</v>
          </cell>
          <cell r="G11" t="str">
            <v>Garbage-FEL</v>
          </cell>
          <cell r="J11" t="str">
            <v>158173</v>
          </cell>
          <cell r="K11" t="str">
            <v>Brian Hutt</v>
          </cell>
          <cell r="L11" t="str">
            <v>Garbage-FEL</v>
          </cell>
          <cell r="M11" t="str">
            <v>PCS</v>
          </cell>
        </row>
        <row r="12">
          <cell r="E12" t="str">
            <v>114353</v>
          </cell>
          <cell r="F12" t="str">
            <v>Brian Sims</v>
          </cell>
          <cell r="G12" t="str">
            <v>Garbage-REL</v>
          </cell>
          <cell r="J12" t="str">
            <v>114353</v>
          </cell>
          <cell r="K12" t="str">
            <v>Brian Sims</v>
          </cell>
          <cell r="L12" t="str">
            <v>Garbage-REL</v>
          </cell>
          <cell r="M12" t="str">
            <v>PCS</v>
          </cell>
        </row>
        <row r="13">
          <cell r="E13" t="str">
            <v>115919</v>
          </cell>
          <cell r="F13" t="str">
            <v>Brian Zahler</v>
          </cell>
          <cell r="G13" t="str">
            <v>Garbage-ASL</v>
          </cell>
          <cell r="J13" t="str">
            <v>115919</v>
          </cell>
          <cell r="K13" t="str">
            <v>Brian Zahler</v>
          </cell>
          <cell r="L13" t="str">
            <v>Garbage-ASL</v>
          </cell>
          <cell r="M13" t="str">
            <v>PCS</v>
          </cell>
        </row>
        <row r="14">
          <cell r="E14" t="str">
            <v>152690</v>
          </cell>
          <cell r="F14" t="str">
            <v>Bryan Nye</v>
          </cell>
          <cell r="G14" t="str">
            <v>Garbage-REL</v>
          </cell>
          <cell r="J14" t="str">
            <v>152690</v>
          </cell>
          <cell r="K14" t="str">
            <v>Bryan Nye</v>
          </cell>
          <cell r="L14" t="str">
            <v>Garbage-REL</v>
          </cell>
          <cell r="M14" t="str">
            <v>PCS</v>
          </cell>
        </row>
        <row r="15">
          <cell r="E15" t="str">
            <v>152611</v>
          </cell>
          <cell r="F15" t="str">
            <v>Cammae Moreland</v>
          </cell>
          <cell r="G15" t="str">
            <v>Mini Truck</v>
          </cell>
          <cell r="J15" t="str">
            <v>152611</v>
          </cell>
          <cell r="K15" t="str">
            <v>Cammae Moreland</v>
          </cell>
          <cell r="L15" t="str">
            <v>Mini Truck</v>
          </cell>
          <cell r="M15" t="str">
            <v>PCS</v>
          </cell>
        </row>
        <row r="16">
          <cell r="E16" t="str">
            <v>156473</v>
          </cell>
          <cell r="F16" t="str">
            <v>Charles Mccune</v>
          </cell>
          <cell r="G16" t="str">
            <v>Recy-ASL</v>
          </cell>
          <cell r="J16" t="str">
            <v>156473</v>
          </cell>
          <cell r="K16" t="str">
            <v>Charles Mccune</v>
          </cell>
          <cell r="L16" t="str">
            <v>Recy-ASL</v>
          </cell>
          <cell r="M16" t="str">
            <v>NONU</v>
          </cell>
        </row>
        <row r="17">
          <cell r="E17" t="str">
            <v>307663</v>
          </cell>
          <cell r="F17" t="str">
            <v>Clarence Devela</v>
          </cell>
          <cell r="G17" t="str">
            <v>JBLM Recy Attendant</v>
          </cell>
          <cell r="J17" t="str">
            <v>307663</v>
          </cell>
          <cell r="K17" t="str">
            <v>Clarence Devela</v>
          </cell>
          <cell r="L17" t="str">
            <v>JBLM Recy Attendant</v>
          </cell>
          <cell r="M17" t="str">
            <v>NONU</v>
          </cell>
        </row>
        <row r="18">
          <cell r="E18" t="str">
            <v>158867</v>
          </cell>
          <cell r="F18" t="str">
            <v>Cristobal Cruz</v>
          </cell>
          <cell r="G18" t="str">
            <v>Recy-ASL</v>
          </cell>
          <cell r="J18" t="str">
            <v>158867</v>
          </cell>
          <cell r="K18" t="str">
            <v>Cristobal Cruz</v>
          </cell>
          <cell r="L18" t="str">
            <v>Recy-ASL</v>
          </cell>
          <cell r="M18" t="str">
            <v>NONU</v>
          </cell>
        </row>
        <row r="19">
          <cell r="E19" t="str">
            <v>309607</v>
          </cell>
          <cell r="F19" t="str">
            <v>Daniel Guillen</v>
          </cell>
          <cell r="G19" t="str">
            <v>Recy-ASL</v>
          </cell>
          <cell r="J19" t="str">
            <v>309607</v>
          </cell>
          <cell r="K19" t="str">
            <v>Daniel Guillen</v>
          </cell>
          <cell r="L19" t="str">
            <v>Recy-ASL</v>
          </cell>
          <cell r="M19" t="str">
            <v>NONU</v>
          </cell>
        </row>
        <row r="20">
          <cell r="E20" t="str">
            <v>114046</v>
          </cell>
          <cell r="F20" t="str">
            <v>Daniel Woodley</v>
          </cell>
          <cell r="G20" t="str">
            <v>Garbage-ASL</v>
          </cell>
          <cell r="J20" t="str">
            <v>114046</v>
          </cell>
          <cell r="K20" t="str">
            <v>Daniel Woodley</v>
          </cell>
          <cell r="L20" t="str">
            <v>Garbage-ASL</v>
          </cell>
          <cell r="M20" t="str">
            <v>PCS</v>
          </cell>
        </row>
        <row r="21">
          <cell r="E21" t="str">
            <v>114225</v>
          </cell>
          <cell r="F21" t="str">
            <v>Darryl Smith</v>
          </cell>
          <cell r="G21" t="str">
            <v>Rolloff</v>
          </cell>
          <cell r="J21" t="str">
            <v>114225</v>
          </cell>
          <cell r="K21" t="str">
            <v>Darryl Smith</v>
          </cell>
          <cell r="L21" t="str">
            <v>Rolloff</v>
          </cell>
          <cell r="M21" t="str">
            <v>PCS</v>
          </cell>
        </row>
        <row r="22">
          <cell r="E22" t="str">
            <v>114306</v>
          </cell>
          <cell r="F22" t="str">
            <v>David Maldonado</v>
          </cell>
          <cell r="G22" t="str">
            <v>Rolloff</v>
          </cell>
          <cell r="J22" t="str">
            <v>114306</v>
          </cell>
          <cell r="K22" t="str">
            <v>David Maldonado</v>
          </cell>
          <cell r="L22" t="str">
            <v>Rolloff</v>
          </cell>
          <cell r="M22" t="str">
            <v>PCS</v>
          </cell>
        </row>
        <row r="23">
          <cell r="E23" t="str">
            <v>303118</v>
          </cell>
          <cell r="F23" t="str">
            <v>David Santana</v>
          </cell>
          <cell r="G23" t="str">
            <v>Recy-FEL</v>
          </cell>
          <cell r="J23" t="str">
            <v>303118</v>
          </cell>
          <cell r="K23" t="str">
            <v>David Santana</v>
          </cell>
          <cell r="L23" t="str">
            <v>Recy-FEL</v>
          </cell>
          <cell r="M23" t="str">
            <v>NONU</v>
          </cell>
        </row>
        <row r="24">
          <cell r="E24" t="str">
            <v>155994</v>
          </cell>
          <cell r="F24" t="str">
            <v>Dawn Rowell</v>
          </cell>
          <cell r="G24" t="str">
            <v>Garbage-ASL</v>
          </cell>
          <cell r="J24" t="str">
            <v>155994</v>
          </cell>
          <cell r="K24" t="str">
            <v>Dawn Rowell</v>
          </cell>
          <cell r="L24" t="str">
            <v>Garbage-ASL</v>
          </cell>
          <cell r="M24" t="str">
            <v>PCS</v>
          </cell>
        </row>
        <row r="25">
          <cell r="E25" t="str">
            <v>315056</v>
          </cell>
          <cell r="F25" t="str">
            <v>Dewayne Long</v>
          </cell>
          <cell r="G25" t="str">
            <v>Recy-ASL</v>
          </cell>
          <cell r="J25" t="str">
            <v>315056</v>
          </cell>
          <cell r="K25" t="str">
            <v>Dewayne Long</v>
          </cell>
          <cell r="L25" t="str">
            <v>Recy-ASL</v>
          </cell>
          <cell r="M25" t="str">
            <v>NONU</v>
          </cell>
        </row>
        <row r="26">
          <cell r="E26" t="str">
            <v>115563</v>
          </cell>
          <cell r="F26" t="str">
            <v>Edward Worden</v>
          </cell>
          <cell r="G26" t="str">
            <v>Mini Truck</v>
          </cell>
          <cell r="J26" t="str">
            <v>115563</v>
          </cell>
          <cell r="K26" t="str">
            <v>Edward Worden</v>
          </cell>
          <cell r="L26" t="str">
            <v>Mini Truck</v>
          </cell>
          <cell r="M26" t="str">
            <v>PCS</v>
          </cell>
        </row>
        <row r="27">
          <cell r="E27" t="str">
            <v>314324</v>
          </cell>
          <cell r="F27" t="str">
            <v>Edwin Smith</v>
          </cell>
          <cell r="G27" t="str">
            <v>Recy-ASL</v>
          </cell>
          <cell r="J27" t="str">
            <v>314324</v>
          </cell>
          <cell r="K27" t="str">
            <v>Edwin Smith</v>
          </cell>
          <cell r="L27" t="str">
            <v>Recy-ASL</v>
          </cell>
          <cell r="M27" t="str">
            <v>NONU</v>
          </cell>
        </row>
        <row r="28">
          <cell r="E28" t="str">
            <v>157938</v>
          </cell>
          <cell r="F28" t="str">
            <v>Ethan Carpenter</v>
          </cell>
          <cell r="G28" t="str">
            <v>JBLM Garbage-FEL</v>
          </cell>
          <cell r="J28" t="str">
            <v>157938</v>
          </cell>
          <cell r="K28" t="str">
            <v>Ethan Carpenter</v>
          </cell>
          <cell r="L28" t="str">
            <v>JBLM Garbage-FEL</v>
          </cell>
          <cell r="M28" t="str">
            <v>PCS</v>
          </cell>
        </row>
        <row r="29">
          <cell r="E29" t="str">
            <v>304711</v>
          </cell>
          <cell r="F29" t="str">
            <v>Francisco Sandoval</v>
          </cell>
          <cell r="G29" t="str">
            <v>Recy-ASL</v>
          </cell>
          <cell r="J29" t="str">
            <v>304711</v>
          </cell>
          <cell r="K29" t="str">
            <v>Francisco Sandoval</v>
          </cell>
          <cell r="L29" t="str">
            <v>Recy-ASL</v>
          </cell>
          <cell r="M29" t="str">
            <v>NONU</v>
          </cell>
        </row>
        <row r="30">
          <cell r="E30" t="str">
            <v>157941</v>
          </cell>
          <cell r="F30" t="str">
            <v>Freddie Hood</v>
          </cell>
          <cell r="G30" t="str">
            <v>Recy-ASL</v>
          </cell>
          <cell r="J30" t="str">
            <v>157941</v>
          </cell>
          <cell r="K30" t="str">
            <v>Freddie Hood</v>
          </cell>
          <cell r="L30" t="str">
            <v>Recy-ASL</v>
          </cell>
          <cell r="M30" t="str">
            <v>NONU</v>
          </cell>
        </row>
        <row r="31">
          <cell r="E31" t="str">
            <v>114356</v>
          </cell>
          <cell r="F31" t="str">
            <v>Fred Matney</v>
          </cell>
          <cell r="G31" t="str">
            <v>JBLM Garbage-FEL</v>
          </cell>
          <cell r="J31" t="str">
            <v>114356</v>
          </cell>
          <cell r="K31" t="str">
            <v>Fred Matney</v>
          </cell>
          <cell r="L31" t="str">
            <v>JBLM Garbage-FEL</v>
          </cell>
          <cell r="M31" t="str">
            <v>PCS</v>
          </cell>
        </row>
        <row r="32">
          <cell r="E32" t="str">
            <v>305861</v>
          </cell>
          <cell r="F32" t="str">
            <v>Gary Del Castillo</v>
          </cell>
          <cell r="G32" t="str">
            <v>Recy-ASL</v>
          </cell>
          <cell r="J32" t="str">
            <v>305861</v>
          </cell>
          <cell r="K32" t="str">
            <v>Gary Del Castillo</v>
          </cell>
          <cell r="L32" t="str">
            <v>Recy-ASL</v>
          </cell>
          <cell r="M32" t="str">
            <v>NONU</v>
          </cell>
        </row>
        <row r="33">
          <cell r="E33" t="str">
            <v>300527</v>
          </cell>
          <cell r="F33" t="str">
            <v>Gary Savage</v>
          </cell>
          <cell r="G33" t="str">
            <v>Recy-ASL</v>
          </cell>
          <cell r="J33" t="str">
            <v>300527</v>
          </cell>
          <cell r="K33" t="str">
            <v>Gary Savage</v>
          </cell>
          <cell r="L33" t="str">
            <v>Recy-ASL</v>
          </cell>
          <cell r="M33" t="str">
            <v>NONU</v>
          </cell>
        </row>
        <row r="34">
          <cell r="E34" t="str">
            <v>153189</v>
          </cell>
          <cell r="F34" t="str">
            <v>Harvey Trautmann</v>
          </cell>
          <cell r="G34" t="str">
            <v>Garbage-REL</v>
          </cell>
          <cell r="J34" t="str">
            <v>153189</v>
          </cell>
          <cell r="K34" t="str">
            <v>Harvey Trautmann</v>
          </cell>
          <cell r="L34" t="str">
            <v>Garbage-REL</v>
          </cell>
          <cell r="M34" t="str">
            <v>PCS</v>
          </cell>
        </row>
        <row r="35">
          <cell r="E35" t="str">
            <v>301110</v>
          </cell>
          <cell r="F35" t="str">
            <v>Henry Jones</v>
          </cell>
          <cell r="G35" t="str">
            <v>Recy-ASL</v>
          </cell>
          <cell r="J35" t="str">
            <v>301110</v>
          </cell>
          <cell r="K35" t="str">
            <v>Henry Jones</v>
          </cell>
          <cell r="L35" t="str">
            <v>Recy-ASL</v>
          </cell>
          <cell r="M35" t="str">
            <v>NONU</v>
          </cell>
        </row>
        <row r="36">
          <cell r="E36" t="str">
            <v>117513</v>
          </cell>
          <cell r="F36" t="str">
            <v>Ian Marsh</v>
          </cell>
          <cell r="G36" t="str">
            <v>Garbage-REL</v>
          </cell>
          <cell r="J36" t="str">
            <v>117513</v>
          </cell>
          <cell r="K36" t="str">
            <v>Ian Marsh</v>
          </cell>
          <cell r="L36" t="str">
            <v>Garbage-REL</v>
          </cell>
          <cell r="M36" t="str">
            <v>PCS</v>
          </cell>
        </row>
        <row r="37">
          <cell r="E37" t="str">
            <v>150158</v>
          </cell>
          <cell r="F37" t="str">
            <v>James Brannon</v>
          </cell>
          <cell r="G37" t="str">
            <v>Garbage-REL</v>
          </cell>
          <cell r="J37" t="str">
            <v>150158</v>
          </cell>
          <cell r="K37" t="str">
            <v>James Brannon</v>
          </cell>
          <cell r="L37" t="str">
            <v>Garbage-REL</v>
          </cell>
          <cell r="M37" t="str">
            <v>PCS</v>
          </cell>
        </row>
        <row r="38">
          <cell r="E38" t="str">
            <v>301431</v>
          </cell>
          <cell r="F38" t="str">
            <v>James O'Neall</v>
          </cell>
          <cell r="G38" t="str">
            <v>Garbage-ASL</v>
          </cell>
          <cell r="J38" t="str">
            <v>301431</v>
          </cell>
          <cell r="K38" t="str">
            <v>James O'Neall</v>
          </cell>
          <cell r="L38" t="str">
            <v>Garbage-ASL</v>
          </cell>
          <cell r="M38" t="str">
            <v>PCS</v>
          </cell>
        </row>
        <row r="39">
          <cell r="E39" t="str">
            <v>114170</v>
          </cell>
          <cell r="F39" t="str">
            <v>James Treece</v>
          </cell>
          <cell r="G39" t="str">
            <v>Lead Driver</v>
          </cell>
          <cell r="J39" t="str">
            <v>114170</v>
          </cell>
          <cell r="K39" t="str">
            <v>James Treece</v>
          </cell>
          <cell r="L39" t="str">
            <v>Lead Driver</v>
          </cell>
          <cell r="M39" t="str">
            <v>NONU</v>
          </cell>
        </row>
        <row r="40">
          <cell r="E40" t="str">
            <v>114008</v>
          </cell>
          <cell r="F40" t="str">
            <v>Jamie Arnold</v>
          </cell>
          <cell r="G40" t="str">
            <v>JBLM Recy-REL</v>
          </cell>
          <cell r="J40" t="str">
            <v>114008</v>
          </cell>
          <cell r="K40" t="str">
            <v>Jamie Arnold</v>
          </cell>
          <cell r="L40" t="str">
            <v>JBLM Recy-REL</v>
          </cell>
          <cell r="M40" t="str">
            <v>NONU</v>
          </cell>
        </row>
        <row r="41">
          <cell r="E41" t="str">
            <v>113933</v>
          </cell>
          <cell r="F41" t="str">
            <v>Jamie Reed</v>
          </cell>
          <cell r="G41" t="str">
            <v>Garbage-ASL</v>
          </cell>
          <cell r="J41" t="str">
            <v>113933</v>
          </cell>
          <cell r="K41" t="str">
            <v>Jamie Reed</v>
          </cell>
          <cell r="L41" t="str">
            <v>Garbage-ASL</v>
          </cell>
          <cell r="M41" t="str">
            <v>PCS</v>
          </cell>
        </row>
        <row r="42">
          <cell r="E42" t="str">
            <v>114261</v>
          </cell>
          <cell r="F42" t="str">
            <v>Jamie Simatic</v>
          </cell>
          <cell r="G42" t="str">
            <v>Garbage-ASL</v>
          </cell>
          <cell r="J42" t="str">
            <v>114261</v>
          </cell>
          <cell r="K42" t="str">
            <v>Jamie Simatic</v>
          </cell>
          <cell r="L42" t="str">
            <v>Garbage-ASL</v>
          </cell>
          <cell r="M42" t="str">
            <v>PCS</v>
          </cell>
        </row>
        <row r="43">
          <cell r="E43" t="str">
            <v>158686</v>
          </cell>
          <cell r="F43" t="str">
            <v>Jarad Wise</v>
          </cell>
          <cell r="G43" t="str">
            <v>Garbage-ASL</v>
          </cell>
          <cell r="J43" t="str">
            <v>158686</v>
          </cell>
          <cell r="K43" t="str">
            <v>Jarad Wise</v>
          </cell>
          <cell r="L43" t="str">
            <v>Garbage-ASL</v>
          </cell>
          <cell r="M43" t="str">
            <v>PCS</v>
          </cell>
        </row>
        <row r="44">
          <cell r="E44" t="str">
            <v>150126</v>
          </cell>
          <cell r="F44" t="str">
            <v>Jason Stave</v>
          </cell>
          <cell r="G44" t="str">
            <v xml:space="preserve">Recy-REL </v>
          </cell>
          <cell r="J44" t="str">
            <v>150126</v>
          </cell>
          <cell r="K44" t="str">
            <v>Jason Stave</v>
          </cell>
          <cell r="L44" t="str">
            <v xml:space="preserve">Recy-REL </v>
          </cell>
          <cell r="M44" t="str">
            <v>NONU</v>
          </cell>
        </row>
        <row r="45">
          <cell r="E45" t="str">
            <v>114050</v>
          </cell>
          <cell r="F45" t="str">
            <v>Jassen Smith</v>
          </cell>
          <cell r="G45" t="str">
            <v>Recy-ASL</v>
          </cell>
          <cell r="J45" t="str">
            <v>114050</v>
          </cell>
          <cell r="K45" t="str">
            <v>Jassen Smith</v>
          </cell>
          <cell r="L45" t="str">
            <v>Recy-ASL</v>
          </cell>
          <cell r="M45" t="str">
            <v>NONU</v>
          </cell>
        </row>
        <row r="46">
          <cell r="E46" t="str">
            <v>114309</v>
          </cell>
          <cell r="F46" t="str">
            <v>Jeffrey Marsh</v>
          </cell>
          <cell r="G46" t="str">
            <v>Garbage-ASL</v>
          </cell>
          <cell r="J46" t="str">
            <v>114309</v>
          </cell>
          <cell r="K46" t="str">
            <v>Jeffrey Marsh</v>
          </cell>
          <cell r="L46" t="str">
            <v>Garbage-ASL</v>
          </cell>
          <cell r="M46" t="str">
            <v>PCS</v>
          </cell>
        </row>
        <row r="47">
          <cell r="E47" t="str">
            <v>154368</v>
          </cell>
          <cell r="F47" t="str">
            <v>Jeremy Andrews</v>
          </cell>
          <cell r="G47" t="str">
            <v>Garbage-ASL</v>
          </cell>
          <cell r="J47" t="str">
            <v>154368</v>
          </cell>
          <cell r="K47" t="str">
            <v>Jeremy Andrews</v>
          </cell>
          <cell r="L47" t="str">
            <v>Garbage-ASL</v>
          </cell>
          <cell r="M47" t="str">
            <v>PCS</v>
          </cell>
        </row>
        <row r="48">
          <cell r="E48" t="str">
            <v>114254</v>
          </cell>
          <cell r="F48" t="str">
            <v>Jessica Soto</v>
          </cell>
          <cell r="G48" t="str">
            <v>Garbage-ASL</v>
          </cell>
          <cell r="J48" t="str">
            <v>114254</v>
          </cell>
          <cell r="K48" t="str">
            <v>Jessica Soto</v>
          </cell>
          <cell r="L48" t="str">
            <v>Garbage-ASL</v>
          </cell>
          <cell r="M48" t="str">
            <v>PCS</v>
          </cell>
        </row>
        <row r="49">
          <cell r="E49" t="str">
            <v>153114</v>
          </cell>
          <cell r="F49" t="str">
            <v>Joe Foo</v>
          </cell>
          <cell r="G49" t="str">
            <v>Garbage-ASL</v>
          </cell>
          <cell r="J49" t="str">
            <v>153114</v>
          </cell>
          <cell r="K49" t="str">
            <v>Joe Foo</v>
          </cell>
          <cell r="L49" t="str">
            <v>Garbage-ASL</v>
          </cell>
          <cell r="M49" t="str">
            <v>PCS</v>
          </cell>
        </row>
        <row r="50">
          <cell r="E50" t="str">
            <v>158780</v>
          </cell>
          <cell r="F50" t="str">
            <v>John Brandalick</v>
          </cell>
          <cell r="G50" t="str">
            <v>Mini Truck</v>
          </cell>
          <cell r="J50" t="str">
            <v>158780</v>
          </cell>
          <cell r="K50" t="str">
            <v>John Brandalick</v>
          </cell>
          <cell r="L50" t="str">
            <v>Mini Truck</v>
          </cell>
          <cell r="M50" t="str">
            <v>NONU</v>
          </cell>
        </row>
        <row r="51">
          <cell r="E51" t="str">
            <v>113921</v>
          </cell>
          <cell r="F51" t="str">
            <v>John Eldridge</v>
          </cell>
          <cell r="G51" t="str">
            <v>Garbage-ASL</v>
          </cell>
          <cell r="J51" t="str">
            <v>113921</v>
          </cell>
          <cell r="K51" t="str">
            <v>John Eldridge</v>
          </cell>
          <cell r="L51" t="str">
            <v>Garbage-ASL</v>
          </cell>
          <cell r="M51" t="str">
            <v>PCS</v>
          </cell>
        </row>
        <row r="52">
          <cell r="E52" t="str">
            <v>114013</v>
          </cell>
          <cell r="F52" t="str">
            <v>John Holder</v>
          </cell>
          <cell r="G52" t="str">
            <v>Garbage-REL</v>
          </cell>
          <cell r="J52" t="str">
            <v>114013</v>
          </cell>
          <cell r="K52" t="str">
            <v>John Holder</v>
          </cell>
          <cell r="L52" t="str">
            <v>Garbage-REL</v>
          </cell>
          <cell r="M52" t="str">
            <v>PCS</v>
          </cell>
        </row>
        <row r="53">
          <cell r="E53" t="str">
            <v>118011</v>
          </cell>
          <cell r="F53" t="str">
            <v>John Nusbaum</v>
          </cell>
          <cell r="G53" t="str">
            <v>JBLM Food Waste</v>
          </cell>
          <cell r="J53" t="str">
            <v>118011</v>
          </cell>
          <cell r="K53" t="str">
            <v>John Nusbaum</v>
          </cell>
          <cell r="L53" t="str">
            <v>JBLM Food Waste</v>
          </cell>
          <cell r="M53" t="str">
            <v>NONU</v>
          </cell>
        </row>
        <row r="54">
          <cell r="E54" t="str">
            <v>153486</v>
          </cell>
          <cell r="F54" t="str">
            <v>Joshua Arvin</v>
          </cell>
          <cell r="G54" t="str">
            <v>Recy-Relief</v>
          </cell>
          <cell r="J54" t="str">
            <v>153486</v>
          </cell>
          <cell r="K54" t="str">
            <v>Joshua Arvin</v>
          </cell>
          <cell r="L54" t="str">
            <v>Recy-Relief</v>
          </cell>
          <cell r="M54" t="str">
            <v>NONU</v>
          </cell>
        </row>
        <row r="55">
          <cell r="E55" t="str">
            <v>309964</v>
          </cell>
          <cell r="F55" t="str">
            <v>Joshua Kissner</v>
          </cell>
          <cell r="G55" t="str">
            <v>Recy-FEL</v>
          </cell>
          <cell r="J55" t="str">
            <v>309964</v>
          </cell>
          <cell r="K55" t="str">
            <v>Joshua Kissner</v>
          </cell>
          <cell r="L55" t="str">
            <v>Recy-FEL</v>
          </cell>
          <cell r="M55" t="str">
            <v>NONU</v>
          </cell>
        </row>
        <row r="56">
          <cell r="E56" t="str">
            <v>301048</v>
          </cell>
          <cell r="F56" t="str">
            <v>Justin Morrow</v>
          </cell>
          <cell r="G56" t="str">
            <v>Recy-FEL</v>
          </cell>
          <cell r="J56" t="str">
            <v>301048</v>
          </cell>
          <cell r="K56" t="str">
            <v>Justin Morrow</v>
          </cell>
          <cell r="L56" t="str">
            <v>Recy-FEL</v>
          </cell>
          <cell r="M56" t="str">
            <v>NONU</v>
          </cell>
        </row>
        <row r="57">
          <cell r="E57" t="str">
            <v>158995</v>
          </cell>
          <cell r="F57" t="str">
            <v>Justin Paiva</v>
          </cell>
          <cell r="G57" t="str">
            <v>Garbage-REL</v>
          </cell>
          <cell r="J57" t="str">
            <v>158995</v>
          </cell>
          <cell r="K57" t="str">
            <v>Justin Paiva</v>
          </cell>
          <cell r="L57" t="str">
            <v>Garbage-REL</v>
          </cell>
          <cell r="M57" t="str">
            <v>PCS</v>
          </cell>
        </row>
        <row r="58">
          <cell r="E58" t="str">
            <v>113947</v>
          </cell>
          <cell r="F58" t="str">
            <v>Kendall Carver</v>
          </cell>
          <cell r="G58" t="str">
            <v>Rolloff</v>
          </cell>
          <cell r="J58" t="str">
            <v>113947</v>
          </cell>
          <cell r="K58" t="str">
            <v>Kendall Carver</v>
          </cell>
          <cell r="L58" t="str">
            <v>Rolloff</v>
          </cell>
          <cell r="M58" t="str">
            <v>PCS</v>
          </cell>
        </row>
        <row r="59">
          <cell r="E59" t="str">
            <v>114098</v>
          </cell>
          <cell r="F59" t="str">
            <v>Kenneth Bender</v>
          </cell>
          <cell r="G59" t="str">
            <v>Garbage-ASL</v>
          </cell>
          <cell r="J59" t="str">
            <v>114098</v>
          </cell>
          <cell r="K59" t="str">
            <v>Kenneth Bender</v>
          </cell>
          <cell r="L59" t="str">
            <v>Garbage-ASL</v>
          </cell>
          <cell r="M59" t="str">
            <v>PCS</v>
          </cell>
        </row>
        <row r="60">
          <cell r="E60" t="str">
            <v>113952</v>
          </cell>
          <cell r="F60" t="str">
            <v>Lance Kinchen</v>
          </cell>
          <cell r="G60" t="str">
            <v>Garbage-ASL</v>
          </cell>
          <cell r="J60" t="str">
            <v>113952</v>
          </cell>
          <cell r="K60" t="str">
            <v>Lance Kinchen</v>
          </cell>
          <cell r="L60" t="str">
            <v>Garbage-ASL</v>
          </cell>
          <cell r="M60" t="str">
            <v>PCS</v>
          </cell>
        </row>
        <row r="61">
          <cell r="E61" t="str">
            <v>301578</v>
          </cell>
          <cell r="F61" t="str">
            <v>Lucas Miller</v>
          </cell>
          <cell r="G61" t="str">
            <v>Recy-ASL</v>
          </cell>
          <cell r="J61" t="str">
            <v>301578</v>
          </cell>
          <cell r="K61" t="str">
            <v>Lucas Miller</v>
          </cell>
          <cell r="L61" t="str">
            <v>Recy-ASL</v>
          </cell>
          <cell r="M61" t="str">
            <v>NONU</v>
          </cell>
        </row>
        <row r="62">
          <cell r="E62" t="str">
            <v>300074</v>
          </cell>
          <cell r="F62" t="str">
            <v>Luis Amescua</v>
          </cell>
          <cell r="G62" t="str">
            <v>Recy-ASL</v>
          </cell>
          <cell r="J62" t="str">
            <v>300074</v>
          </cell>
          <cell r="K62" t="str">
            <v>Luis Amescua</v>
          </cell>
          <cell r="L62" t="str">
            <v>Recy-ASL</v>
          </cell>
          <cell r="M62" t="str">
            <v>NONU</v>
          </cell>
        </row>
        <row r="63">
          <cell r="E63" t="str">
            <v>158903</v>
          </cell>
          <cell r="F63" t="str">
            <v>Major Whitten</v>
          </cell>
          <cell r="G63" t="str">
            <v>Recy-ASL</v>
          </cell>
          <cell r="J63" t="str">
            <v>158903</v>
          </cell>
          <cell r="K63" t="str">
            <v>Major Whitten</v>
          </cell>
          <cell r="L63" t="str">
            <v>Recy-ASL</v>
          </cell>
          <cell r="M63" t="str">
            <v>NONU</v>
          </cell>
        </row>
        <row r="64">
          <cell r="E64" t="str">
            <v>308555</v>
          </cell>
          <cell r="F64" t="str">
            <v>Malissa Sapp</v>
          </cell>
          <cell r="G64" t="str">
            <v>JBLM Recy Attendant</v>
          </cell>
          <cell r="J64" t="str">
            <v>308555</v>
          </cell>
          <cell r="K64" t="str">
            <v>Malissa Sapp</v>
          </cell>
          <cell r="L64" t="str">
            <v>JBLM Recy Attendant</v>
          </cell>
          <cell r="M64" t="str">
            <v>NONU</v>
          </cell>
        </row>
        <row r="65">
          <cell r="E65" t="str">
            <v>159061</v>
          </cell>
          <cell r="F65" t="str">
            <v>Marco Lugo</v>
          </cell>
          <cell r="G65" t="str">
            <v>Delivery</v>
          </cell>
          <cell r="J65" t="str">
            <v>159061</v>
          </cell>
          <cell r="K65" t="str">
            <v>Marco Lugo</v>
          </cell>
          <cell r="L65" t="str">
            <v>Delivery</v>
          </cell>
          <cell r="M65" t="str">
            <v>NONU</v>
          </cell>
        </row>
        <row r="66">
          <cell r="E66" t="str">
            <v>114002</v>
          </cell>
          <cell r="F66" t="str">
            <v>Mark Young</v>
          </cell>
          <cell r="G66" t="str">
            <v>Garbage-REL</v>
          </cell>
          <cell r="J66" t="str">
            <v>114002</v>
          </cell>
          <cell r="K66" t="str">
            <v>Mark Young</v>
          </cell>
          <cell r="L66" t="str">
            <v>Garbage-REL</v>
          </cell>
          <cell r="M66" t="str">
            <v>PCS</v>
          </cell>
        </row>
        <row r="67">
          <cell r="E67" t="str">
            <v>300600</v>
          </cell>
          <cell r="F67" t="str">
            <v>Nathan Molinek</v>
          </cell>
          <cell r="G67" t="str">
            <v>Recy-ASL</v>
          </cell>
          <cell r="J67" t="str">
            <v>300600</v>
          </cell>
          <cell r="K67" t="str">
            <v>Nathan Molinek</v>
          </cell>
          <cell r="L67" t="str">
            <v>Recy-ASL</v>
          </cell>
          <cell r="M67" t="str">
            <v>NONU</v>
          </cell>
        </row>
        <row r="68">
          <cell r="E68" t="str">
            <v>155192</v>
          </cell>
          <cell r="F68" t="str">
            <v>Nathan Sanders</v>
          </cell>
          <cell r="G68" t="str">
            <v>Garbage-REL</v>
          </cell>
          <cell r="J68" t="str">
            <v>155192</v>
          </cell>
          <cell r="K68" t="str">
            <v>Nathan Sanders</v>
          </cell>
          <cell r="L68" t="str">
            <v>Garbage-REL</v>
          </cell>
          <cell r="M68" t="str">
            <v>PCS</v>
          </cell>
        </row>
        <row r="69">
          <cell r="E69" t="str">
            <v>114337</v>
          </cell>
          <cell r="F69" t="str">
            <v>Noel Cockett</v>
          </cell>
          <cell r="G69" t="str">
            <v>Rolloff</v>
          </cell>
          <cell r="J69" t="str">
            <v>114337</v>
          </cell>
          <cell r="K69" t="str">
            <v>Noel Cockett</v>
          </cell>
          <cell r="L69" t="str">
            <v>Rolloff</v>
          </cell>
          <cell r="M69" t="str">
            <v>PCS</v>
          </cell>
        </row>
        <row r="70">
          <cell r="E70" t="str">
            <v>114102</v>
          </cell>
          <cell r="F70" t="str">
            <v>Paul Herde</v>
          </cell>
          <cell r="G70" t="str">
            <v>Garbage-FEL</v>
          </cell>
          <cell r="J70" t="str">
            <v>114102</v>
          </cell>
          <cell r="K70" t="str">
            <v>Paul Herde</v>
          </cell>
          <cell r="L70" t="str">
            <v>Garbage-FEL</v>
          </cell>
          <cell r="M70" t="str">
            <v>PCS</v>
          </cell>
        </row>
        <row r="71">
          <cell r="E71" t="str">
            <v>315057</v>
          </cell>
          <cell r="F71" t="str">
            <v>Raymond Mendoza</v>
          </cell>
          <cell r="G71" t="str">
            <v>Recy-ASL</v>
          </cell>
          <cell r="J71" t="str">
            <v>315057</v>
          </cell>
          <cell r="K71" t="str">
            <v>Raymond Mendoza</v>
          </cell>
          <cell r="L71" t="str">
            <v>Recy-ASL</v>
          </cell>
          <cell r="M71" t="str">
            <v>NONU</v>
          </cell>
        </row>
        <row r="72">
          <cell r="E72" t="str">
            <v>114228</v>
          </cell>
          <cell r="F72" t="str">
            <v>Richard Amundsen</v>
          </cell>
          <cell r="G72" t="str">
            <v>Garbage-FEL</v>
          </cell>
          <cell r="J72" t="str">
            <v>114228</v>
          </cell>
          <cell r="K72" t="str">
            <v>Richard Amundsen</v>
          </cell>
          <cell r="L72" t="str">
            <v>Garbage-FEL</v>
          </cell>
          <cell r="M72" t="str">
            <v>PCS</v>
          </cell>
        </row>
        <row r="73">
          <cell r="E73" t="str">
            <v>301672</v>
          </cell>
          <cell r="F73" t="str">
            <v>Richard Bailey</v>
          </cell>
          <cell r="G73" t="str">
            <v>Garbage-ASL</v>
          </cell>
          <cell r="J73" t="str">
            <v>301672</v>
          </cell>
          <cell r="K73" t="str">
            <v>Richard Bailey</v>
          </cell>
          <cell r="L73" t="str">
            <v>Garbage-ASL</v>
          </cell>
          <cell r="M73" t="str">
            <v>PCS</v>
          </cell>
        </row>
        <row r="74">
          <cell r="E74" t="str">
            <v>158046</v>
          </cell>
          <cell r="F74" t="str">
            <v>Richard Garibay</v>
          </cell>
          <cell r="G74" t="str">
            <v>Garbage-ASL</v>
          </cell>
          <cell r="J74" t="str">
            <v>158046</v>
          </cell>
          <cell r="K74" t="str">
            <v>Richard Garibay</v>
          </cell>
          <cell r="L74" t="str">
            <v>Garbage-ASL</v>
          </cell>
          <cell r="M74" t="str">
            <v>PCS</v>
          </cell>
        </row>
        <row r="75">
          <cell r="E75" t="str">
            <v>150788</v>
          </cell>
          <cell r="F75" t="str">
            <v>Ricky Cole</v>
          </cell>
          <cell r="G75" t="str">
            <v>Garbage-ASL</v>
          </cell>
          <cell r="J75" t="str">
            <v>150788</v>
          </cell>
          <cell r="K75" t="str">
            <v>Ricky Cole</v>
          </cell>
          <cell r="L75" t="str">
            <v>Garbage-ASL</v>
          </cell>
          <cell r="M75" t="str">
            <v>PCS</v>
          </cell>
        </row>
        <row r="76">
          <cell r="E76" t="str">
            <v>114196</v>
          </cell>
          <cell r="F76" t="str">
            <v>Robert Roll</v>
          </cell>
          <cell r="G76" t="str">
            <v>Rolloff</v>
          </cell>
          <cell r="J76" t="str">
            <v>114196</v>
          </cell>
          <cell r="K76" t="str">
            <v>Robert Roll</v>
          </cell>
          <cell r="L76" t="str">
            <v>Rolloff</v>
          </cell>
          <cell r="M76" t="str">
            <v>PCS</v>
          </cell>
        </row>
        <row r="77">
          <cell r="E77" t="str">
            <v>309855</v>
          </cell>
          <cell r="F77" t="str">
            <v>Rob Feeder</v>
          </cell>
          <cell r="G77" t="str">
            <v>Recy-ASL</v>
          </cell>
          <cell r="J77" t="str">
            <v>309855</v>
          </cell>
          <cell r="K77" t="str">
            <v>Rob Feeder</v>
          </cell>
          <cell r="L77" t="str">
            <v>Recy-ASL</v>
          </cell>
          <cell r="M77" t="str">
            <v>NONU</v>
          </cell>
        </row>
        <row r="78">
          <cell r="E78" t="str">
            <v>308560</v>
          </cell>
          <cell r="F78" t="str">
            <v>Robie leach</v>
          </cell>
          <cell r="G78" t="str">
            <v>Recy-ASL</v>
          </cell>
          <cell r="J78" t="str">
            <v>308560</v>
          </cell>
          <cell r="K78" t="str">
            <v>Robie leach</v>
          </cell>
          <cell r="L78" t="str">
            <v>Recy-ASL</v>
          </cell>
          <cell r="M78" t="str">
            <v>NONU</v>
          </cell>
        </row>
        <row r="79">
          <cell r="E79" t="str">
            <v>150224</v>
          </cell>
          <cell r="F79" t="str">
            <v>Rob Lindsay</v>
          </cell>
          <cell r="G79" t="str">
            <v>JBLM Frontload Recycle</v>
          </cell>
          <cell r="J79" t="str">
            <v>150224</v>
          </cell>
          <cell r="K79" t="str">
            <v>Rob Lindsay</v>
          </cell>
          <cell r="L79" t="str">
            <v>JBLM Frontload Recycle</v>
          </cell>
          <cell r="M79" t="str">
            <v>NONU</v>
          </cell>
        </row>
        <row r="80">
          <cell r="E80" t="str">
            <v>315055</v>
          </cell>
          <cell r="F80" t="str">
            <v>Ron Baker</v>
          </cell>
          <cell r="G80" t="str">
            <v>Recy-ASL</v>
          </cell>
          <cell r="J80" t="str">
            <v>315055</v>
          </cell>
          <cell r="K80" t="str">
            <v>Ron Baker</v>
          </cell>
          <cell r="L80" t="str">
            <v>Recy-ASL</v>
          </cell>
          <cell r="M80" t="str">
            <v>NONU</v>
          </cell>
        </row>
        <row r="81">
          <cell r="E81" t="str">
            <v>158765</v>
          </cell>
          <cell r="F81" t="str">
            <v>Ryan Mcginnis</v>
          </cell>
          <cell r="G81" t="str">
            <v>Rolloff</v>
          </cell>
          <cell r="J81" t="str">
            <v>158765</v>
          </cell>
          <cell r="K81" t="str">
            <v>Ryan Mcginnis</v>
          </cell>
          <cell r="L81" t="str">
            <v>Rolloff</v>
          </cell>
          <cell r="M81" t="str">
            <v>PCS</v>
          </cell>
        </row>
        <row r="82">
          <cell r="E82" t="str">
            <v>301128</v>
          </cell>
          <cell r="F82" t="str">
            <v>Ryan Moses</v>
          </cell>
          <cell r="G82" t="str">
            <v>Recy-ASL</v>
          </cell>
          <cell r="J82" t="str">
            <v>301128</v>
          </cell>
          <cell r="K82" t="str">
            <v>Ryan Moses</v>
          </cell>
          <cell r="L82" t="str">
            <v>Recy-ASL</v>
          </cell>
          <cell r="M82" t="str">
            <v>NONU</v>
          </cell>
        </row>
        <row r="83">
          <cell r="E83" t="str">
            <v>157861</v>
          </cell>
          <cell r="F83" t="str">
            <v>Ryan Sheppard</v>
          </cell>
          <cell r="G83" t="str">
            <v>Recy-ASL</v>
          </cell>
          <cell r="J83" t="str">
            <v>157861</v>
          </cell>
          <cell r="K83" t="str">
            <v>Ryan Sheppard</v>
          </cell>
          <cell r="L83" t="str">
            <v>Recy-ASL</v>
          </cell>
          <cell r="M83" t="str">
            <v>NONU</v>
          </cell>
        </row>
        <row r="84">
          <cell r="E84" t="str">
            <v>154948</v>
          </cell>
          <cell r="F84" t="str">
            <v>Scott Hovies</v>
          </cell>
          <cell r="G84" t="str">
            <v>Lead Driver</v>
          </cell>
          <cell r="J84" t="str">
            <v>154948</v>
          </cell>
          <cell r="K84" t="str">
            <v>Scott Hovies</v>
          </cell>
          <cell r="L84" t="str">
            <v>Lead Driver</v>
          </cell>
          <cell r="M84" t="str">
            <v>NONU</v>
          </cell>
        </row>
        <row r="85">
          <cell r="E85" t="str">
            <v>114208</v>
          </cell>
          <cell r="F85" t="str">
            <v>Si Seng</v>
          </cell>
          <cell r="G85" t="str">
            <v>Transfer Tractor</v>
          </cell>
          <cell r="J85" t="str">
            <v>114208</v>
          </cell>
          <cell r="K85" t="str">
            <v>Si Seng</v>
          </cell>
          <cell r="L85" t="str">
            <v>Transfer Tractor</v>
          </cell>
          <cell r="M85" t="str">
            <v>PCS</v>
          </cell>
        </row>
        <row r="86">
          <cell r="E86" t="str">
            <v>114128</v>
          </cell>
          <cell r="F86" t="str">
            <v>Steven Palmer</v>
          </cell>
          <cell r="G86" t="str">
            <v>Garbage-REL</v>
          </cell>
          <cell r="J86" t="str">
            <v>114128</v>
          </cell>
          <cell r="K86" t="str">
            <v>Steven Palmer</v>
          </cell>
          <cell r="L86" t="str">
            <v>Garbage-REL</v>
          </cell>
          <cell r="M86" t="str">
            <v>PCS</v>
          </cell>
        </row>
        <row r="87">
          <cell r="E87" t="str">
            <v>114374</v>
          </cell>
          <cell r="F87" t="str">
            <v>Steven Zipsnis</v>
          </cell>
          <cell r="G87" t="str">
            <v>JBLM Recy Attendant</v>
          </cell>
          <cell r="J87" t="str">
            <v>114374</v>
          </cell>
          <cell r="K87" t="str">
            <v>Steven Zipsnis</v>
          </cell>
          <cell r="L87" t="str">
            <v>JBLM Recy Attendant</v>
          </cell>
          <cell r="M87" t="str">
            <v>NONU</v>
          </cell>
        </row>
        <row r="88">
          <cell r="E88" t="str">
            <v>114112</v>
          </cell>
          <cell r="F88" t="str">
            <v>Tamara Sandahl</v>
          </cell>
          <cell r="G88" t="str">
            <v>Transfer Tractor</v>
          </cell>
          <cell r="J88" t="str">
            <v>114112</v>
          </cell>
          <cell r="K88" t="str">
            <v>Tamara Sandahl</v>
          </cell>
          <cell r="L88" t="str">
            <v>Transfer Tractor</v>
          </cell>
          <cell r="M88" t="str">
            <v>PCS</v>
          </cell>
        </row>
        <row r="89">
          <cell r="E89" t="str">
            <v>150275</v>
          </cell>
          <cell r="F89" t="str">
            <v>Tami Bellows</v>
          </cell>
          <cell r="G89" t="str">
            <v>Rolloff</v>
          </cell>
          <cell r="J89" t="str">
            <v>150275</v>
          </cell>
          <cell r="K89" t="str">
            <v>Tami Bellows</v>
          </cell>
          <cell r="L89" t="str">
            <v>Rolloff</v>
          </cell>
          <cell r="M89" t="str">
            <v>PCS</v>
          </cell>
        </row>
        <row r="90">
          <cell r="E90" t="str">
            <v>156569</v>
          </cell>
          <cell r="F90" t="str">
            <v>Tanya Slack</v>
          </cell>
          <cell r="G90" t="str">
            <v>Garbage-ASL</v>
          </cell>
          <cell r="J90" t="str">
            <v>156569</v>
          </cell>
          <cell r="K90" t="str">
            <v>Tanya Slack</v>
          </cell>
          <cell r="L90" t="str">
            <v>Garbage-ASL</v>
          </cell>
          <cell r="M90" t="str">
            <v>PCS</v>
          </cell>
        </row>
        <row r="91">
          <cell r="E91" t="str">
            <v>114265</v>
          </cell>
          <cell r="F91" t="str">
            <v>Thomas Hughes</v>
          </cell>
          <cell r="G91" t="str">
            <v>Rolloff</v>
          </cell>
          <cell r="J91" t="str">
            <v>114265</v>
          </cell>
          <cell r="K91" t="str">
            <v>Thomas Hughes</v>
          </cell>
          <cell r="L91" t="str">
            <v>Rolloff</v>
          </cell>
          <cell r="M91" t="str">
            <v>PCS</v>
          </cell>
        </row>
        <row r="92">
          <cell r="E92" t="str">
            <v>113941</v>
          </cell>
          <cell r="F92" t="str">
            <v>Todd Blake</v>
          </cell>
          <cell r="G92" t="str">
            <v>Rolloff</v>
          </cell>
          <cell r="J92" t="str">
            <v>113941</v>
          </cell>
          <cell r="K92" t="str">
            <v>Todd Blake</v>
          </cell>
          <cell r="L92" t="str">
            <v>Rolloff</v>
          </cell>
          <cell r="M92" t="str">
            <v>PCS</v>
          </cell>
        </row>
        <row r="93">
          <cell r="E93" t="str">
            <v>114330</v>
          </cell>
          <cell r="F93" t="str">
            <v>Tracey Guevara</v>
          </cell>
          <cell r="G93" t="str">
            <v>Rolloff</v>
          </cell>
          <cell r="J93" t="str">
            <v>114330</v>
          </cell>
          <cell r="K93" t="str">
            <v>Tracey Guevara</v>
          </cell>
          <cell r="L93" t="str">
            <v>Rolloff</v>
          </cell>
          <cell r="M93" t="str">
            <v>PCS</v>
          </cell>
        </row>
        <row r="94">
          <cell r="E94" t="str">
            <v>311455</v>
          </cell>
          <cell r="F94" t="str">
            <v>Troy Graves</v>
          </cell>
          <cell r="G94" t="str">
            <v>Recy-ASL</v>
          </cell>
          <cell r="J94" t="str">
            <v>311455</v>
          </cell>
          <cell r="K94" t="str">
            <v>Troy Graves</v>
          </cell>
          <cell r="L94" t="str">
            <v>Recy-ASL</v>
          </cell>
          <cell r="M94" t="str">
            <v>NONU</v>
          </cell>
        </row>
        <row r="95">
          <cell r="E95" t="str">
            <v>157682</v>
          </cell>
          <cell r="F95" t="str">
            <v>Tyrone Giesen</v>
          </cell>
          <cell r="G95" t="str">
            <v>Garbage-ASL</v>
          </cell>
          <cell r="J95" t="str">
            <v>157682</v>
          </cell>
          <cell r="K95" t="str">
            <v>Tyrone Giesen</v>
          </cell>
          <cell r="L95" t="str">
            <v>Garbage-ASL</v>
          </cell>
          <cell r="M95" t="str">
            <v>PCS</v>
          </cell>
        </row>
        <row r="96">
          <cell r="E96" t="str">
            <v>154907</v>
          </cell>
          <cell r="F96" t="str">
            <v>Vernon Shockey</v>
          </cell>
          <cell r="G96" t="str">
            <v>Garbage-ASL</v>
          </cell>
          <cell r="J96" t="str">
            <v>154907</v>
          </cell>
          <cell r="K96" t="str">
            <v>Vernon Shockey</v>
          </cell>
          <cell r="L96" t="str">
            <v>Garbage-ASL</v>
          </cell>
          <cell r="M96" t="str">
            <v>PCS</v>
          </cell>
        </row>
        <row r="97">
          <cell r="E97" t="str">
            <v>153568</v>
          </cell>
          <cell r="F97" t="str">
            <v>William Esselman</v>
          </cell>
          <cell r="G97" t="str">
            <v>Garbage-ASL</v>
          </cell>
          <cell r="J97" t="str">
            <v>153568</v>
          </cell>
          <cell r="K97" t="str">
            <v>William Esselman</v>
          </cell>
          <cell r="L97" t="str">
            <v>Garbage-ASL</v>
          </cell>
          <cell r="M97" t="str">
            <v>PCS</v>
          </cell>
        </row>
        <row r="98">
          <cell r="E98" t="str">
            <v>114176</v>
          </cell>
          <cell r="F98" t="str">
            <v>William Spivey</v>
          </cell>
          <cell r="G98" t="str">
            <v>Garbage-FEL</v>
          </cell>
          <cell r="J98" t="str">
            <v>114176</v>
          </cell>
          <cell r="K98" t="str">
            <v>William Spivey</v>
          </cell>
          <cell r="L98" t="str">
            <v>Garbage-FEL</v>
          </cell>
          <cell r="M98" t="str">
            <v>PCS</v>
          </cell>
        </row>
        <row r="99">
          <cell r="E99" t="str">
            <v>114312</v>
          </cell>
          <cell r="F99" t="str">
            <v>Zacharia Phillips</v>
          </cell>
          <cell r="G99" t="str">
            <v>Garbage-FEL</v>
          </cell>
          <cell r="J99" t="str">
            <v>114312</v>
          </cell>
          <cell r="K99" t="str">
            <v>Zacharia Phillips</v>
          </cell>
          <cell r="L99" t="str">
            <v>Garbage-FEL</v>
          </cell>
          <cell r="M99" t="str">
            <v>PCS</v>
          </cell>
        </row>
        <row r="100">
          <cell r="E100" t="str">
            <v>311389</v>
          </cell>
          <cell r="F100" t="str">
            <v>Zachari ORourke</v>
          </cell>
          <cell r="G100" t="str">
            <v>Delivery</v>
          </cell>
          <cell r="J100" t="str">
            <v>311389</v>
          </cell>
          <cell r="K100" t="str">
            <v>Zachari ORourke</v>
          </cell>
          <cell r="L100" t="str">
            <v>Delivery</v>
          </cell>
          <cell r="M100" t="str">
            <v>NONU</v>
          </cell>
        </row>
        <row r="101">
          <cell r="E101" t="str">
            <v>304293</v>
          </cell>
          <cell r="F101" t="str">
            <v>Charlene Rickett (304293)</v>
          </cell>
          <cell r="G101" t="str">
            <v>Recy-ASL</v>
          </cell>
          <cell r="J101" t="str">
            <v>304293</v>
          </cell>
          <cell r="K101" t="str">
            <v>Charlene Rickett (304293)</v>
          </cell>
          <cell r="L101" t="str">
            <v>Recy-ASL</v>
          </cell>
          <cell r="M101" t="str">
            <v>NONU</v>
          </cell>
        </row>
        <row r="102">
          <cell r="E102" t="str">
            <v>312844</v>
          </cell>
          <cell r="F102" t="str">
            <v>Gunnar Grenier (312844)</v>
          </cell>
          <cell r="G102" t="str">
            <v>Transfer Station Worker</v>
          </cell>
          <cell r="J102" t="str">
            <v>312844</v>
          </cell>
          <cell r="K102" t="str">
            <v>Gunnar Grenier (312844)</v>
          </cell>
          <cell r="L102" t="str">
            <v>Transfer Station Worker</v>
          </cell>
          <cell r="M102" t="str">
            <v>NONU</v>
          </cell>
        </row>
        <row r="103">
          <cell r="E103" t="str">
            <v>301642</v>
          </cell>
          <cell r="F103" t="str">
            <v>Kenneth Huerta (301642)</v>
          </cell>
          <cell r="G103" t="str">
            <v>Transfer Station Worker</v>
          </cell>
          <cell r="J103" t="str">
            <v>301642</v>
          </cell>
          <cell r="K103" t="str">
            <v>Kenneth Huerta (301642)</v>
          </cell>
          <cell r="L103" t="str">
            <v>Transfer Station Worker</v>
          </cell>
          <cell r="M103" t="str">
            <v>NONU</v>
          </cell>
        </row>
        <row r="104">
          <cell r="E104" t="str">
            <v>314370</v>
          </cell>
          <cell r="F104" t="str">
            <v>meshac tuilaepa (314370)</v>
          </cell>
          <cell r="G104" t="str">
            <v>Transfer Station Worker</v>
          </cell>
          <cell r="J104" t="str">
            <v>314370</v>
          </cell>
          <cell r="K104" t="str">
            <v>meshac tuilaepa (314370)</v>
          </cell>
          <cell r="L104" t="str">
            <v>Transfer Station Worker</v>
          </cell>
          <cell r="M104" t="str">
            <v>NONU</v>
          </cell>
        </row>
        <row r="105">
          <cell r="E105" t="str">
            <v>307776</v>
          </cell>
          <cell r="F105" t="str">
            <v>Michael Buterbaugh (307776)</v>
          </cell>
          <cell r="G105">
            <v>2182</v>
          </cell>
          <cell r="J105" t="str">
            <v>307776</v>
          </cell>
          <cell r="K105" t="str">
            <v>Michael Buterbaugh (307776)</v>
          </cell>
          <cell r="L105">
            <v>2182</v>
          </cell>
          <cell r="M105" t="str">
            <v>NONU</v>
          </cell>
        </row>
        <row r="106">
          <cell r="E106" t="str">
            <v>312889</v>
          </cell>
          <cell r="F106" t="str">
            <v>Michael Schmierer (312889)</v>
          </cell>
          <cell r="G106">
            <v>2182</v>
          </cell>
          <cell r="J106" t="str">
            <v>312889</v>
          </cell>
          <cell r="K106" t="str">
            <v>Michael Schmierer (312889)</v>
          </cell>
          <cell r="L106">
            <v>2182</v>
          </cell>
          <cell r="M106" t="str">
            <v>NONU</v>
          </cell>
        </row>
        <row r="107">
          <cell r="E107" t="str">
            <v>115872</v>
          </cell>
          <cell r="F107" t="str">
            <v>Mikell Reynolds (115872)</v>
          </cell>
          <cell r="G107">
            <v>2182</v>
          </cell>
          <cell r="J107" t="str">
            <v>115872</v>
          </cell>
          <cell r="K107" t="str">
            <v>Mikell Reynolds (115872)</v>
          </cell>
          <cell r="L107">
            <v>2182</v>
          </cell>
          <cell r="M107" t="str">
            <v>NONU</v>
          </cell>
        </row>
        <row r="108">
          <cell r="E108" t="str">
            <v>114336</v>
          </cell>
          <cell r="F108" t="str">
            <v>Richard Miller (114336)</v>
          </cell>
          <cell r="G108" t="str">
            <v>Transfer Station Worker</v>
          </cell>
          <cell r="J108" t="str">
            <v>114336</v>
          </cell>
          <cell r="K108" t="str">
            <v>Richard Miller (114336)</v>
          </cell>
          <cell r="L108" t="str">
            <v>Transfer Station Worker</v>
          </cell>
          <cell r="M108" t="str">
            <v>NONU</v>
          </cell>
        </row>
        <row r="109">
          <cell r="E109" t="str">
            <v>151826</v>
          </cell>
          <cell r="F109" t="str">
            <v>Andrew Bossert (151826)</v>
          </cell>
          <cell r="G109" t="str">
            <v>Dispatcher</v>
          </cell>
          <cell r="J109" t="str">
            <v>116940</v>
          </cell>
          <cell r="K109" t="str">
            <v>Travis Robertson</v>
          </cell>
          <cell r="L109" t="str">
            <v>Maintenance Manager</v>
          </cell>
          <cell r="M109" t="str">
            <v>NONU</v>
          </cell>
        </row>
        <row r="110">
          <cell r="E110" t="str">
            <v>116940</v>
          </cell>
          <cell r="F110" t="str">
            <v>Travis Robertson</v>
          </cell>
          <cell r="G110" t="str">
            <v>Maintenance Manager</v>
          </cell>
          <cell r="J110" t="str">
            <v>114082</v>
          </cell>
          <cell r="K110" t="str">
            <v>Andrew Tran</v>
          </cell>
          <cell r="L110" t="str">
            <v>Mechanic</v>
          </cell>
          <cell r="M110" t="str">
            <v>NONU</v>
          </cell>
        </row>
        <row r="111">
          <cell r="E111" t="str">
            <v>114082</v>
          </cell>
          <cell r="F111" t="str">
            <v>Andrew Tran</v>
          </cell>
          <cell r="G111" t="str">
            <v>Mechanic</v>
          </cell>
          <cell r="J111" t="str">
            <v>306836</v>
          </cell>
          <cell r="K111" t="str">
            <v>Antonio Berdecia</v>
          </cell>
          <cell r="L111" t="str">
            <v>Mechanic</v>
          </cell>
          <cell r="M111" t="str">
            <v>NONU</v>
          </cell>
        </row>
        <row r="112">
          <cell r="E112" t="str">
            <v>306836</v>
          </cell>
          <cell r="F112" t="str">
            <v>Antonio Berdecia</v>
          </cell>
          <cell r="G112" t="str">
            <v>Mechanic</v>
          </cell>
          <cell r="J112" t="str">
            <v>311279</v>
          </cell>
          <cell r="K112" t="str">
            <v>Augie Serrano</v>
          </cell>
          <cell r="L112" t="str">
            <v>Mechanic</v>
          </cell>
          <cell r="M112" t="str">
            <v>NONU</v>
          </cell>
        </row>
        <row r="113">
          <cell r="E113" t="str">
            <v>311279</v>
          </cell>
          <cell r="F113" t="str">
            <v>Augie Serrano</v>
          </cell>
          <cell r="G113" t="str">
            <v>Mechanic</v>
          </cell>
          <cell r="J113" t="str">
            <v>300019</v>
          </cell>
          <cell r="K113" t="str">
            <v>Calvin Pacheco</v>
          </cell>
          <cell r="L113" t="str">
            <v>Mechanic</v>
          </cell>
          <cell r="M113" t="str">
            <v>NONU</v>
          </cell>
        </row>
        <row r="114">
          <cell r="E114" t="str">
            <v>300019</v>
          </cell>
          <cell r="F114" t="str">
            <v>Calvin Pacheco</v>
          </cell>
          <cell r="G114" t="str">
            <v>Mechanic</v>
          </cell>
          <cell r="J114" t="str">
            <v>156357</v>
          </cell>
          <cell r="K114" t="str">
            <v>Charles Gorman</v>
          </cell>
          <cell r="L114" t="str">
            <v>Mechanic</v>
          </cell>
          <cell r="M114" t="str">
            <v>NONU</v>
          </cell>
        </row>
        <row r="115">
          <cell r="E115" t="str">
            <v>156357</v>
          </cell>
          <cell r="F115" t="str">
            <v>Charles Gorman</v>
          </cell>
          <cell r="G115" t="str">
            <v>Mechanic</v>
          </cell>
          <cell r="J115" t="str">
            <v>114233</v>
          </cell>
          <cell r="K115" t="str">
            <v>Chester Goldsmith</v>
          </cell>
          <cell r="L115" t="str">
            <v>Mechanic</v>
          </cell>
          <cell r="M115" t="str">
            <v>NONU</v>
          </cell>
        </row>
        <row r="116">
          <cell r="E116" t="str">
            <v>114233</v>
          </cell>
          <cell r="F116" t="str">
            <v>Chester Goldsmith</v>
          </cell>
          <cell r="G116" t="str">
            <v>Mechanic</v>
          </cell>
          <cell r="J116" t="str">
            <v>116292</v>
          </cell>
          <cell r="K116" t="str">
            <v>Colin Piper</v>
          </cell>
          <cell r="L116" t="str">
            <v>Mechanic</v>
          </cell>
          <cell r="M116" t="str">
            <v>NONU</v>
          </cell>
        </row>
        <row r="117">
          <cell r="E117" t="str">
            <v>116292</v>
          </cell>
          <cell r="F117" t="str">
            <v>Colin Piper</v>
          </cell>
          <cell r="G117" t="str">
            <v>Mechanic</v>
          </cell>
          <cell r="J117" t="str">
            <v>315152</v>
          </cell>
          <cell r="K117" t="str">
            <v>Collin Northern</v>
          </cell>
          <cell r="L117" t="str">
            <v>Mechanic</v>
          </cell>
          <cell r="M117" t="str">
            <v>NONU</v>
          </cell>
        </row>
        <row r="118">
          <cell r="E118" t="str">
            <v>315152</v>
          </cell>
          <cell r="F118" t="str">
            <v>Collin Northern</v>
          </cell>
          <cell r="G118" t="str">
            <v>Mechanic</v>
          </cell>
          <cell r="J118" t="str">
            <v>303995</v>
          </cell>
          <cell r="K118" t="str">
            <v>Darren Laube</v>
          </cell>
          <cell r="L118" t="str">
            <v>Mechanic</v>
          </cell>
          <cell r="M118" t="str">
            <v>NONU</v>
          </cell>
        </row>
        <row r="119">
          <cell r="E119" t="str">
            <v>303995</v>
          </cell>
          <cell r="F119" t="str">
            <v>Darren Laube</v>
          </cell>
          <cell r="G119" t="str">
            <v>Mechanic</v>
          </cell>
          <cell r="J119" t="str">
            <v>300874</v>
          </cell>
          <cell r="K119" t="str">
            <v>Donald Cisney</v>
          </cell>
          <cell r="L119" t="str">
            <v>Mechanic</v>
          </cell>
          <cell r="M119" t="str">
            <v>NONU</v>
          </cell>
        </row>
        <row r="120">
          <cell r="E120" t="str">
            <v>300874</v>
          </cell>
          <cell r="F120" t="str">
            <v>Donald Cisney</v>
          </cell>
          <cell r="G120" t="str">
            <v>Mechanic</v>
          </cell>
          <cell r="J120" t="str">
            <v>114277</v>
          </cell>
          <cell r="K120" t="str">
            <v>Duane Hackney</v>
          </cell>
          <cell r="L120" t="str">
            <v>Mechanic</v>
          </cell>
          <cell r="M120" t="str">
            <v>NONU</v>
          </cell>
        </row>
        <row r="121">
          <cell r="E121" t="str">
            <v>114277</v>
          </cell>
          <cell r="F121" t="str">
            <v>Duane Hackney</v>
          </cell>
          <cell r="G121" t="str">
            <v>Mechanic</v>
          </cell>
          <cell r="J121" t="str">
            <v>114052</v>
          </cell>
          <cell r="K121" t="str">
            <v>Evan Williamson</v>
          </cell>
          <cell r="L121" t="str">
            <v>Mechanic</v>
          </cell>
          <cell r="M121" t="str">
            <v>NONU</v>
          </cell>
        </row>
        <row r="122">
          <cell r="E122" t="str">
            <v>114052</v>
          </cell>
          <cell r="F122" t="str">
            <v>Evan Williamson</v>
          </cell>
          <cell r="G122" t="str">
            <v>Mechanic</v>
          </cell>
          <cell r="J122" t="str">
            <v>303996</v>
          </cell>
          <cell r="K122" t="str">
            <v>Jacob Hyneman</v>
          </cell>
          <cell r="L122" t="str">
            <v>Parts Clerk</v>
          </cell>
          <cell r="M122" t="str">
            <v>NONU</v>
          </cell>
        </row>
        <row r="123">
          <cell r="E123" t="str">
            <v>303996</v>
          </cell>
          <cell r="F123" t="str">
            <v>Jacob Hyneman</v>
          </cell>
          <cell r="G123" t="str">
            <v>Parts Clerk</v>
          </cell>
          <cell r="J123" t="str">
            <v>158845</v>
          </cell>
          <cell r="K123" t="str">
            <v>Jason Knudtson</v>
          </cell>
          <cell r="L123" t="str">
            <v>Mechanic</v>
          </cell>
          <cell r="M123" t="str">
            <v>NONU</v>
          </cell>
        </row>
        <row r="124">
          <cell r="E124" t="str">
            <v>158845</v>
          </cell>
          <cell r="F124" t="str">
            <v>Jason Knudtson</v>
          </cell>
          <cell r="G124" t="str">
            <v>Mechanic</v>
          </cell>
          <cell r="J124" t="str">
            <v>309778</v>
          </cell>
          <cell r="K124" t="str">
            <v>Joseph Juban</v>
          </cell>
          <cell r="L124" t="str">
            <v>Mechanic</v>
          </cell>
          <cell r="M124" t="str">
            <v>NONU</v>
          </cell>
        </row>
        <row r="125">
          <cell r="E125" t="str">
            <v>309778</v>
          </cell>
          <cell r="F125" t="str">
            <v>Joseph Juban</v>
          </cell>
          <cell r="G125" t="str">
            <v>Mechanic</v>
          </cell>
          <cell r="J125" t="str">
            <v>154133</v>
          </cell>
          <cell r="K125" t="str">
            <v>Nick Fredrickson</v>
          </cell>
          <cell r="L125" t="str">
            <v>Mechanic</v>
          </cell>
          <cell r="M125" t="str">
            <v>NONU</v>
          </cell>
        </row>
        <row r="126">
          <cell r="E126" t="str">
            <v>154133</v>
          </cell>
          <cell r="F126" t="str">
            <v>Nick Fredrickson</v>
          </cell>
          <cell r="G126" t="str">
            <v>Mechanic</v>
          </cell>
          <cell r="J126" t="str">
            <v>158069</v>
          </cell>
          <cell r="K126" t="str">
            <v>Richard Slagle</v>
          </cell>
          <cell r="L126" t="str">
            <v>Mechanic</v>
          </cell>
          <cell r="M126" t="str">
            <v>NONU</v>
          </cell>
        </row>
        <row r="127">
          <cell r="E127" t="str">
            <v>158069</v>
          </cell>
          <cell r="F127" t="str">
            <v>Richard Slagle</v>
          </cell>
          <cell r="G127" t="str">
            <v>Mechanic</v>
          </cell>
          <cell r="J127" t="str">
            <v>301463</v>
          </cell>
          <cell r="K127" t="str">
            <v>Shane Moore</v>
          </cell>
          <cell r="L127" t="str">
            <v>Mechanic</v>
          </cell>
          <cell r="M127" t="str">
            <v>NONU</v>
          </cell>
        </row>
        <row r="128">
          <cell r="E128" t="str">
            <v>301463</v>
          </cell>
          <cell r="F128" t="str">
            <v>Shane Moore</v>
          </cell>
          <cell r="G128" t="str">
            <v>Mechanic</v>
          </cell>
          <cell r="J128" t="str">
            <v>154540</v>
          </cell>
          <cell r="K128" t="str">
            <v>Travis Harvey</v>
          </cell>
          <cell r="L128" t="str">
            <v>Shop Foreman</v>
          </cell>
          <cell r="M128" t="str">
            <v>NONU</v>
          </cell>
        </row>
        <row r="129">
          <cell r="E129" t="str">
            <v>154540</v>
          </cell>
          <cell r="F129" t="str">
            <v>Travis Harvey</v>
          </cell>
          <cell r="G129" t="str">
            <v>Shop Foreman</v>
          </cell>
          <cell r="J129" t="str">
            <v>150268</v>
          </cell>
          <cell r="K129" t="str">
            <v>Tyler Clepper</v>
          </cell>
          <cell r="L129" t="str">
            <v>Mechanic</v>
          </cell>
          <cell r="M129" t="str">
            <v>NONU</v>
          </cell>
        </row>
        <row r="130">
          <cell r="E130" t="str">
            <v>150268</v>
          </cell>
          <cell r="F130" t="str">
            <v>Tyler Clepper</v>
          </cell>
          <cell r="G130" t="str">
            <v>Mechanic</v>
          </cell>
          <cell r="J130" t="str">
            <v>304842</v>
          </cell>
          <cell r="K130" t="str">
            <v>Zac DeWalt</v>
          </cell>
          <cell r="L130" t="str">
            <v>Mechanic</v>
          </cell>
          <cell r="M130" t="str">
            <v>NONU</v>
          </cell>
        </row>
        <row r="131">
          <cell r="E131" t="str">
            <v>304842</v>
          </cell>
          <cell r="F131" t="str">
            <v>Zac DeWalt</v>
          </cell>
          <cell r="G131" t="str">
            <v>Mechanic</v>
          </cell>
          <cell r="J131" t="str">
            <v>114086</v>
          </cell>
          <cell r="K131" t="str">
            <v>Aaron Russell (114086)</v>
          </cell>
          <cell r="L131" t="str">
            <v>Mechanic</v>
          </cell>
          <cell r="M131" t="str">
            <v>NONU</v>
          </cell>
        </row>
        <row r="132">
          <cell r="E132" t="str">
            <v>114086</v>
          </cell>
          <cell r="F132" t="str">
            <v>Aaron Russell (114086)</v>
          </cell>
          <cell r="G132" t="str">
            <v>Mechanic</v>
          </cell>
          <cell r="J132" t="str">
            <v>301045</v>
          </cell>
          <cell r="K132" t="str">
            <v>Joshua Stephens (301045)</v>
          </cell>
          <cell r="L132" t="str">
            <v>Transfer Station Worker</v>
          </cell>
          <cell r="M132" t="str">
            <v>NONU</v>
          </cell>
        </row>
        <row r="133">
          <cell r="E133" t="str">
            <v>301045</v>
          </cell>
          <cell r="F133" t="str">
            <v>Joshua Stephens (301045)</v>
          </cell>
          <cell r="G133" t="str">
            <v>Transfer Station Worker</v>
          </cell>
          <cell r="J133" t="str">
            <v>158844</v>
          </cell>
          <cell r="K133" t="str">
            <v>Robert Harter (On Leave) (158844)</v>
          </cell>
          <cell r="L133" t="str">
            <v>Mechanic</v>
          </cell>
          <cell r="M133" t="str">
            <v>NONU</v>
          </cell>
        </row>
        <row r="134">
          <cell r="E134" t="str">
            <v>158844</v>
          </cell>
          <cell r="F134" t="str">
            <v>Robert Harter (On Leave) (158844)</v>
          </cell>
          <cell r="G134" t="str">
            <v>Mechanic</v>
          </cell>
          <cell r="J134" t="str">
            <v>315294</v>
          </cell>
          <cell r="K134" t="str">
            <v>Alex Nodtvedt</v>
          </cell>
          <cell r="L134" t="str">
            <v>Container Delivery</v>
          </cell>
          <cell r="M134" t="str">
            <v>NONU</v>
          </cell>
        </row>
        <row r="135">
          <cell r="E135" t="str">
            <v>315294</v>
          </cell>
          <cell r="F135" t="str">
            <v>Alex Nodtvedt</v>
          </cell>
          <cell r="G135" t="str">
            <v>Container Delivery</v>
          </cell>
          <cell r="J135" t="str">
            <v>114298</v>
          </cell>
          <cell r="K135" t="str">
            <v>Anthony Peterson</v>
          </cell>
          <cell r="L135" t="str">
            <v>Container Delivery</v>
          </cell>
          <cell r="M135" t="str">
            <v>NONU</v>
          </cell>
        </row>
        <row r="136">
          <cell r="E136" t="str">
            <v>114298</v>
          </cell>
          <cell r="F136" t="str">
            <v>Anthony Peterson</v>
          </cell>
          <cell r="G136" t="str">
            <v>Container Delivery</v>
          </cell>
          <cell r="J136" t="str">
            <v>114125</v>
          </cell>
          <cell r="K136" t="str">
            <v>Craig Woelke</v>
          </cell>
          <cell r="L136" t="str">
            <v>Container Repair</v>
          </cell>
          <cell r="M136" t="str">
            <v>NONU</v>
          </cell>
        </row>
        <row r="137">
          <cell r="E137" t="str">
            <v>114125</v>
          </cell>
          <cell r="F137" t="str">
            <v>Craig Woelke</v>
          </cell>
          <cell r="G137" t="str">
            <v>Container Repair</v>
          </cell>
          <cell r="J137" t="str">
            <v>158867</v>
          </cell>
          <cell r="K137" t="str">
            <v>Cristobal Cruz</v>
          </cell>
          <cell r="L137" t="str">
            <v>Recy-ASL</v>
          </cell>
          <cell r="M137" t="str">
            <v>NONU</v>
          </cell>
        </row>
        <row r="138">
          <cell r="E138" t="str">
            <v>158867</v>
          </cell>
          <cell r="F138" t="str">
            <v>Cristobal Cruz</v>
          </cell>
          <cell r="G138" t="str">
            <v>Recy-ASL</v>
          </cell>
          <cell r="J138" t="str">
            <v>156628</v>
          </cell>
          <cell r="K138" t="str">
            <v>Dylan Perry</v>
          </cell>
          <cell r="L138" t="str">
            <v>Container Repair</v>
          </cell>
          <cell r="M138" t="str">
            <v>NONU</v>
          </cell>
        </row>
        <row r="139">
          <cell r="E139" t="str">
            <v>156628</v>
          </cell>
          <cell r="F139" t="str">
            <v>Dylan Perry</v>
          </cell>
          <cell r="G139" t="str">
            <v>Container Repair</v>
          </cell>
          <cell r="J139" t="str">
            <v>303943</v>
          </cell>
          <cell r="K139" t="str">
            <v>Felicia Cort</v>
          </cell>
          <cell r="L139" t="str">
            <v>Container Delivery</v>
          </cell>
          <cell r="M139" t="str">
            <v>NONU</v>
          </cell>
        </row>
        <row r="140">
          <cell r="E140" t="str">
            <v>303943</v>
          </cell>
          <cell r="F140" t="str">
            <v>Felicia Cort</v>
          </cell>
          <cell r="G140" t="str">
            <v>Container Delivery</v>
          </cell>
          <cell r="J140" t="str">
            <v>157875</v>
          </cell>
          <cell r="K140" t="str">
            <v>James Buie</v>
          </cell>
          <cell r="L140" t="str">
            <v>Container Repair</v>
          </cell>
          <cell r="M140" t="str">
            <v>NONU</v>
          </cell>
        </row>
        <row r="141">
          <cell r="E141" t="str">
            <v>157875</v>
          </cell>
          <cell r="F141" t="str">
            <v>James Buie</v>
          </cell>
          <cell r="G141" t="str">
            <v>Container Repair</v>
          </cell>
          <cell r="J141" t="str">
            <v>153491</v>
          </cell>
          <cell r="K141" t="str">
            <v>James Joyes</v>
          </cell>
          <cell r="L141" t="str">
            <v>Container Repair</v>
          </cell>
          <cell r="M141" t="str">
            <v>NONU</v>
          </cell>
        </row>
        <row r="142">
          <cell r="E142" t="str">
            <v>153491</v>
          </cell>
          <cell r="F142" t="str">
            <v>James Joyes</v>
          </cell>
          <cell r="G142" t="str">
            <v>Container Repair</v>
          </cell>
          <cell r="J142" t="str">
            <v>156273</v>
          </cell>
          <cell r="K142" t="str">
            <v>John Atoigue-Ratliff</v>
          </cell>
          <cell r="L142" t="str">
            <v>Container Repair</v>
          </cell>
          <cell r="M142" t="str">
            <v>NONU</v>
          </cell>
        </row>
        <row r="143">
          <cell r="E143" t="str">
            <v>156273</v>
          </cell>
          <cell r="F143" t="str">
            <v>John Atoigue-Ratliff</v>
          </cell>
          <cell r="G143" t="str">
            <v>Container Repair</v>
          </cell>
          <cell r="J143" t="str">
            <v>314612</v>
          </cell>
          <cell r="K143" t="str">
            <v>Jonathan Hofner</v>
          </cell>
          <cell r="L143" t="str">
            <v>Container Repair</v>
          </cell>
          <cell r="M143" t="str">
            <v>NONU</v>
          </cell>
        </row>
        <row r="144">
          <cell r="E144" t="str">
            <v>314612</v>
          </cell>
          <cell r="F144" t="str">
            <v>Jonathan Hofner</v>
          </cell>
          <cell r="G144" t="str">
            <v>Container Repair</v>
          </cell>
          <cell r="J144" t="str">
            <v>153486</v>
          </cell>
          <cell r="K144" t="str">
            <v>Joshua Arvin</v>
          </cell>
          <cell r="L144" t="str">
            <v>Recy-Relief</v>
          </cell>
          <cell r="M144" t="str">
            <v>NONU</v>
          </cell>
        </row>
        <row r="145">
          <cell r="E145" t="str">
            <v>153486</v>
          </cell>
          <cell r="F145" t="str">
            <v>Joshua Arvin</v>
          </cell>
          <cell r="G145" t="str">
            <v>Recy-Relief</v>
          </cell>
          <cell r="J145" t="str">
            <v>114301</v>
          </cell>
          <cell r="K145" t="str">
            <v>Kevin Adams</v>
          </cell>
          <cell r="L145" t="str">
            <v>Container Repair</v>
          </cell>
          <cell r="M145" t="str">
            <v>NONU</v>
          </cell>
        </row>
        <row r="146">
          <cell r="E146" t="str">
            <v>114301</v>
          </cell>
          <cell r="F146" t="str">
            <v>Kevin Adams</v>
          </cell>
          <cell r="G146" t="str">
            <v>Container Repair</v>
          </cell>
          <cell r="J146" t="str">
            <v>159061</v>
          </cell>
          <cell r="K146" t="str">
            <v>Marco Lugo</v>
          </cell>
          <cell r="L146" t="str">
            <v>Delivery</v>
          </cell>
          <cell r="M146" t="str">
            <v>NONU</v>
          </cell>
        </row>
        <row r="147">
          <cell r="E147" t="str">
            <v>159061</v>
          </cell>
          <cell r="F147" t="str">
            <v>Marco Lugo</v>
          </cell>
          <cell r="G147" t="str">
            <v>Delivery</v>
          </cell>
          <cell r="J147" t="str">
            <v>304543</v>
          </cell>
          <cell r="K147" t="str">
            <v>Michael Savoury</v>
          </cell>
          <cell r="L147" t="str">
            <v>Container Delivery</v>
          </cell>
          <cell r="M147" t="str">
            <v>NONU</v>
          </cell>
        </row>
        <row r="148">
          <cell r="E148" t="str">
            <v>304543</v>
          </cell>
          <cell r="F148" t="str">
            <v>Michael Savoury</v>
          </cell>
          <cell r="G148" t="str">
            <v>Container Delivery</v>
          </cell>
          <cell r="J148" t="str">
            <v>158074</v>
          </cell>
          <cell r="K148" t="str">
            <v>Travis Wiese</v>
          </cell>
          <cell r="L148" t="str">
            <v>Container Repair</v>
          </cell>
          <cell r="M148" t="str">
            <v>NONU</v>
          </cell>
        </row>
        <row r="149">
          <cell r="E149" t="str">
            <v>158074</v>
          </cell>
          <cell r="F149" t="str">
            <v>Travis Wiese</v>
          </cell>
          <cell r="G149" t="str">
            <v>Container Repair</v>
          </cell>
          <cell r="J149" t="str">
            <v>114078</v>
          </cell>
          <cell r="K149" t="str">
            <v>William Fry</v>
          </cell>
          <cell r="L149" t="str">
            <v>Container Delivery</v>
          </cell>
          <cell r="M149" t="str">
            <v>NONU</v>
          </cell>
        </row>
        <row r="150">
          <cell r="E150" t="str">
            <v>114078</v>
          </cell>
          <cell r="F150" t="str">
            <v>William Fry</v>
          </cell>
          <cell r="G150" t="str">
            <v>Container Delivery</v>
          </cell>
          <cell r="J150" t="str">
            <v>311389</v>
          </cell>
          <cell r="K150" t="str">
            <v>Zachari ORourke</v>
          </cell>
          <cell r="L150" t="str">
            <v>Delivery</v>
          </cell>
          <cell r="M150" t="str">
            <v>NONU</v>
          </cell>
        </row>
        <row r="151">
          <cell r="E151" t="str">
            <v>311389</v>
          </cell>
          <cell r="F151" t="str">
            <v>Zachari ORourke</v>
          </cell>
          <cell r="G151" t="str">
            <v>Delivery</v>
          </cell>
          <cell r="J151" t="str">
            <v>151257</v>
          </cell>
          <cell r="K151" t="str">
            <v>Cory Devela</v>
          </cell>
          <cell r="L151" t="str">
            <v>Opps Supervisor</v>
          </cell>
          <cell r="M151" t="str">
            <v>NONU</v>
          </cell>
        </row>
        <row r="152">
          <cell r="E152" t="str">
            <v>151257</v>
          </cell>
          <cell r="F152" t="str">
            <v>Cory Devela</v>
          </cell>
          <cell r="G152" t="str">
            <v>Opps Supervisor</v>
          </cell>
          <cell r="J152" t="str">
            <v>114427</v>
          </cell>
          <cell r="K152" t="str">
            <v>Jeremiah Day</v>
          </cell>
          <cell r="L152" t="str">
            <v>Opps Supervisor</v>
          </cell>
          <cell r="M152" t="str">
            <v>NONU</v>
          </cell>
        </row>
        <row r="153">
          <cell r="E153" t="str">
            <v>114427</v>
          </cell>
          <cell r="F153" t="str">
            <v>Jeremiah Day</v>
          </cell>
          <cell r="G153" t="str">
            <v>Opps Supervisor</v>
          </cell>
          <cell r="J153" t="str">
            <v>114019</v>
          </cell>
          <cell r="K153" t="str">
            <v>Melissa Vanderziel</v>
          </cell>
          <cell r="L153" t="str">
            <v>Opps Supervisor</v>
          </cell>
          <cell r="M153" t="str">
            <v>NONU</v>
          </cell>
        </row>
        <row r="154">
          <cell r="E154" t="str">
            <v>114019</v>
          </cell>
          <cell r="F154" t="str">
            <v>Melissa Vanderziel</v>
          </cell>
          <cell r="G154" t="str">
            <v>Opps Supervisor</v>
          </cell>
          <cell r="J154" t="str">
            <v>301932</v>
          </cell>
          <cell r="K154" t="str">
            <v>Peter Williams</v>
          </cell>
          <cell r="L154" t="str">
            <v>Operations Manager</v>
          </cell>
          <cell r="M154" t="str">
            <v>NONU</v>
          </cell>
        </row>
        <row r="155">
          <cell r="E155" t="str">
            <v>301932</v>
          </cell>
          <cell r="F155" t="str">
            <v>Peter Williams</v>
          </cell>
          <cell r="G155" t="str">
            <v>Operations Manager</v>
          </cell>
          <cell r="J155" t="str">
            <v>103056</v>
          </cell>
          <cell r="K155" t="str">
            <v>Ryan Guild</v>
          </cell>
          <cell r="L155" t="str">
            <v>Operations Manager</v>
          </cell>
          <cell r="M155" t="str">
            <v>NONU</v>
          </cell>
        </row>
        <row r="156">
          <cell r="E156" t="str">
            <v>103056</v>
          </cell>
          <cell r="F156" t="str">
            <v>Ryan Guild</v>
          </cell>
          <cell r="G156" t="str">
            <v>Operations Manager</v>
          </cell>
          <cell r="J156" t="str">
            <v>308237</v>
          </cell>
          <cell r="K156" t="str">
            <v>Sam Upperman</v>
          </cell>
          <cell r="L156" t="str">
            <v>Opps Supervisor</v>
          </cell>
          <cell r="M156" t="str">
            <v>NONU</v>
          </cell>
        </row>
        <row r="157">
          <cell r="E157" t="str">
            <v>308237</v>
          </cell>
          <cell r="F157" t="str">
            <v>Sam Upperman</v>
          </cell>
          <cell r="G157" t="str">
            <v>Opps Supervisor</v>
          </cell>
          <cell r="J157" t="str">
            <v>150541</v>
          </cell>
          <cell r="K157" t="str">
            <v>Frederick Vahl</v>
          </cell>
          <cell r="L157" t="str">
            <v>Community Outreach</v>
          </cell>
          <cell r="M157" t="str">
            <v>NONU</v>
          </cell>
        </row>
        <row r="158">
          <cell r="E158" t="str">
            <v>150541</v>
          </cell>
          <cell r="F158" t="str">
            <v>Frederick Vahl</v>
          </cell>
          <cell r="G158" t="str">
            <v>Community Outreach</v>
          </cell>
          <cell r="J158" t="str">
            <v>114375</v>
          </cell>
          <cell r="K158" t="str">
            <v>Harold Thompson</v>
          </cell>
          <cell r="L158" t="str">
            <v>Community Outreach</v>
          </cell>
          <cell r="M158" t="str">
            <v>NONU</v>
          </cell>
        </row>
        <row r="159">
          <cell r="E159" t="str">
            <v>114375</v>
          </cell>
          <cell r="F159" t="str">
            <v>Harold Thompson</v>
          </cell>
          <cell r="G159" t="str">
            <v>Community Outreach</v>
          </cell>
          <cell r="J159" t="str">
            <v>155760</v>
          </cell>
          <cell r="K159" t="str">
            <v>Brittany Mani</v>
          </cell>
          <cell r="L159" t="str">
            <v>District Controller</v>
          </cell>
          <cell r="M159" t="str">
            <v>NONU</v>
          </cell>
        </row>
        <row r="160">
          <cell r="E160" t="str">
            <v>155760</v>
          </cell>
          <cell r="F160" t="str">
            <v>Brittany Mani</v>
          </cell>
          <cell r="G160" t="str">
            <v>District Controller</v>
          </cell>
          <cell r="J160" t="str">
            <v>102330</v>
          </cell>
          <cell r="K160" t="str">
            <v>Chris Giraldes</v>
          </cell>
          <cell r="L160" t="str">
            <v>District Manager</v>
          </cell>
          <cell r="M160" t="str">
            <v>NONU</v>
          </cell>
        </row>
        <row r="161">
          <cell r="E161" t="str">
            <v>102330</v>
          </cell>
          <cell r="F161" t="str">
            <v>Chris Giraldes</v>
          </cell>
          <cell r="G161" t="str">
            <v>District Manager</v>
          </cell>
          <cell r="J161" t="str">
            <v>152931</v>
          </cell>
          <cell r="K161" t="str">
            <v>Destini Wilson</v>
          </cell>
          <cell r="L161" t="str">
            <v>Office Manager</v>
          </cell>
          <cell r="M161" t="str">
            <v>NONU</v>
          </cell>
        </row>
        <row r="162">
          <cell r="E162" t="str">
            <v>152931</v>
          </cell>
          <cell r="F162" t="str">
            <v>Destini Wilson</v>
          </cell>
          <cell r="G162" t="str">
            <v>Office Manager</v>
          </cell>
          <cell r="J162" t="str">
            <v>313283</v>
          </cell>
          <cell r="K162" t="str">
            <v>Johnny Crowell</v>
          </cell>
          <cell r="L162" t="str">
            <v>IT</v>
          </cell>
          <cell r="M162" t="str">
            <v>NONU</v>
          </cell>
        </row>
        <row r="163">
          <cell r="E163" t="str">
            <v>313283</v>
          </cell>
          <cell r="F163" t="str">
            <v>Johnny Crowell</v>
          </cell>
          <cell r="G163" t="str">
            <v>IT</v>
          </cell>
          <cell r="J163" t="str">
            <v>102777</v>
          </cell>
          <cell r="K163" t="str">
            <v>Matthew O'Connell</v>
          </cell>
          <cell r="L163" t="str">
            <v>DVP</v>
          </cell>
          <cell r="M163" t="str">
            <v>NONU</v>
          </cell>
        </row>
        <row r="164">
          <cell r="E164" t="str">
            <v>102777</v>
          </cell>
          <cell r="F164" t="str">
            <v>Matthew O'Connell</v>
          </cell>
          <cell r="G164" t="str">
            <v>DVP</v>
          </cell>
          <cell r="J164" t="str">
            <v>312263</v>
          </cell>
          <cell r="K164" t="str">
            <v>Adriana Case</v>
          </cell>
          <cell r="L164" t="str">
            <v>CSR</v>
          </cell>
          <cell r="M164" t="str">
            <v>NONU</v>
          </cell>
        </row>
        <row r="165">
          <cell r="E165" t="str">
            <v>312263</v>
          </cell>
          <cell r="F165" t="str">
            <v>Adriana Case</v>
          </cell>
          <cell r="G165" t="str">
            <v>CSR</v>
          </cell>
          <cell r="J165" t="str">
            <v>305714</v>
          </cell>
          <cell r="K165" t="str">
            <v>Alaina Amundsen</v>
          </cell>
          <cell r="L165" t="str">
            <v>Accounting Clerk</v>
          </cell>
          <cell r="M165" t="str">
            <v>NONU</v>
          </cell>
        </row>
        <row r="166">
          <cell r="E166" t="str">
            <v>305714</v>
          </cell>
          <cell r="F166" t="str">
            <v>Alaina Amundsen</v>
          </cell>
          <cell r="G166" t="str">
            <v>Accounting Clerk</v>
          </cell>
          <cell r="J166" t="str">
            <v>306830</v>
          </cell>
          <cell r="K166" t="str">
            <v>Amanda Allen</v>
          </cell>
          <cell r="L166" t="str">
            <v>CSR</v>
          </cell>
          <cell r="M166" t="str">
            <v>NONU</v>
          </cell>
        </row>
        <row r="167">
          <cell r="E167" t="str">
            <v>306830</v>
          </cell>
          <cell r="F167" t="str">
            <v>Amanda Allen</v>
          </cell>
          <cell r="G167" t="str">
            <v>CSR</v>
          </cell>
          <cell r="J167" t="str">
            <v>157690</v>
          </cell>
          <cell r="K167" t="str">
            <v>Ashlee Calley</v>
          </cell>
          <cell r="L167" t="str">
            <v>CSR</v>
          </cell>
          <cell r="M167" t="str">
            <v>NONU</v>
          </cell>
        </row>
        <row r="168">
          <cell r="E168" t="str">
            <v>157690</v>
          </cell>
          <cell r="F168" t="str">
            <v>Ashlee Calley</v>
          </cell>
          <cell r="G168" t="str">
            <v>CSR</v>
          </cell>
          <cell r="J168" t="str">
            <v>301663</v>
          </cell>
          <cell r="K168" t="str">
            <v>Carla Arreygue</v>
          </cell>
          <cell r="L168" t="str">
            <v>CSR</v>
          </cell>
          <cell r="M168" t="str">
            <v>NONU</v>
          </cell>
        </row>
        <row r="169">
          <cell r="E169" t="str">
            <v>301663</v>
          </cell>
          <cell r="F169" t="str">
            <v>Carla Arreygue</v>
          </cell>
          <cell r="G169" t="str">
            <v>CSR</v>
          </cell>
          <cell r="J169" t="str">
            <v>114200</v>
          </cell>
          <cell r="K169" t="str">
            <v>Carla Phillips</v>
          </cell>
          <cell r="L169" t="str">
            <v>Admin</v>
          </cell>
          <cell r="M169" t="str">
            <v>NONU</v>
          </cell>
        </row>
        <row r="170">
          <cell r="E170" t="str">
            <v>114200</v>
          </cell>
          <cell r="F170" t="str">
            <v>Carla Phillips</v>
          </cell>
          <cell r="G170" t="str">
            <v>Admin</v>
          </cell>
          <cell r="J170" t="str">
            <v>152163</v>
          </cell>
          <cell r="K170" t="str">
            <v>Chalia Clark</v>
          </cell>
          <cell r="L170" t="str">
            <v>Accounting Clerk</v>
          </cell>
          <cell r="M170" t="str">
            <v>NONU</v>
          </cell>
        </row>
        <row r="171">
          <cell r="E171" t="str">
            <v>152163</v>
          </cell>
          <cell r="F171" t="str">
            <v>Chalia Clark</v>
          </cell>
          <cell r="G171" t="str">
            <v>Accounting Clerk</v>
          </cell>
          <cell r="J171" t="str">
            <v>117935</v>
          </cell>
          <cell r="K171" t="str">
            <v>Christina Moulden</v>
          </cell>
          <cell r="L171" t="str">
            <v>JBLM Coordinator</v>
          </cell>
          <cell r="M171" t="str">
            <v>NONU</v>
          </cell>
        </row>
        <row r="172">
          <cell r="E172" t="str">
            <v>117935</v>
          </cell>
          <cell r="F172" t="str">
            <v>Christina Moulden</v>
          </cell>
          <cell r="G172" t="str">
            <v>JBLM Coordinator</v>
          </cell>
          <cell r="J172" t="str">
            <v>309849</v>
          </cell>
          <cell r="K172" t="str">
            <v>Dawn Myers</v>
          </cell>
          <cell r="L172" t="str">
            <v>CSR</v>
          </cell>
          <cell r="M172" t="str">
            <v>NONU</v>
          </cell>
        </row>
        <row r="173">
          <cell r="E173" t="str">
            <v>309849</v>
          </cell>
          <cell r="F173" t="str">
            <v>Dawn Myers</v>
          </cell>
          <cell r="G173" t="str">
            <v>CSR</v>
          </cell>
          <cell r="J173" t="str">
            <v>158763</v>
          </cell>
          <cell r="K173" t="str">
            <v>Deana Gakpe</v>
          </cell>
          <cell r="L173" t="str">
            <v>CSR</v>
          </cell>
          <cell r="M173" t="str">
            <v>NONU</v>
          </cell>
        </row>
        <row r="174">
          <cell r="E174" t="str">
            <v>158763</v>
          </cell>
          <cell r="F174" t="str">
            <v>Deana Gakpe</v>
          </cell>
          <cell r="G174" t="str">
            <v>CSR</v>
          </cell>
          <cell r="J174" t="str">
            <v>114407</v>
          </cell>
          <cell r="K174" t="str">
            <v>Debbie Nowak</v>
          </cell>
          <cell r="L174" t="str">
            <v>Accounting Clerk</v>
          </cell>
          <cell r="M174" t="str">
            <v>NONU</v>
          </cell>
        </row>
        <row r="175">
          <cell r="E175" t="str">
            <v>114407</v>
          </cell>
          <cell r="F175" t="str">
            <v>Debbie Nowak</v>
          </cell>
          <cell r="G175" t="str">
            <v>Accounting Clerk</v>
          </cell>
          <cell r="J175" t="str">
            <v>302976</v>
          </cell>
          <cell r="K175" t="str">
            <v>Dianna Chhom</v>
          </cell>
          <cell r="L175" t="str">
            <v>CSR</v>
          </cell>
          <cell r="M175" t="str">
            <v>NONU</v>
          </cell>
        </row>
        <row r="176">
          <cell r="E176" t="str">
            <v>302976</v>
          </cell>
          <cell r="F176" t="str">
            <v>Dianna Chhom</v>
          </cell>
          <cell r="G176" t="str">
            <v>CSR</v>
          </cell>
          <cell r="J176" t="str">
            <v>313960</v>
          </cell>
          <cell r="K176" t="str">
            <v>Erica Schmitz</v>
          </cell>
          <cell r="L176" t="str">
            <v>CSR</v>
          </cell>
          <cell r="M176" t="str">
            <v>NONU</v>
          </cell>
        </row>
        <row r="177">
          <cell r="E177" t="str">
            <v>313960</v>
          </cell>
          <cell r="F177" t="str">
            <v>Erica Schmitz</v>
          </cell>
          <cell r="G177" t="str">
            <v>CSR</v>
          </cell>
          <cell r="J177" t="str">
            <v>311423</v>
          </cell>
          <cell r="K177" t="str">
            <v>Hannah Ljunggren</v>
          </cell>
          <cell r="L177" t="str">
            <v>CSR</v>
          </cell>
          <cell r="M177" t="str">
            <v>NONU</v>
          </cell>
        </row>
        <row r="178">
          <cell r="E178" t="str">
            <v>311423</v>
          </cell>
          <cell r="F178" t="str">
            <v>Hannah Ljunggren</v>
          </cell>
          <cell r="G178" t="str">
            <v>CSR</v>
          </cell>
          <cell r="J178" t="str">
            <v>116805</v>
          </cell>
          <cell r="K178" t="str">
            <v>Jana Maki</v>
          </cell>
          <cell r="L178" t="str">
            <v>Admin</v>
          </cell>
          <cell r="M178" t="str">
            <v>NONU</v>
          </cell>
        </row>
        <row r="179">
          <cell r="E179" t="str">
            <v>116805</v>
          </cell>
          <cell r="F179" t="str">
            <v>Jana Maki</v>
          </cell>
          <cell r="G179" t="str">
            <v>Admin</v>
          </cell>
          <cell r="J179" t="str">
            <v>309526</v>
          </cell>
          <cell r="K179" t="str">
            <v>Jennifer Dacy</v>
          </cell>
          <cell r="L179" t="str">
            <v>CSR</v>
          </cell>
          <cell r="M179" t="str">
            <v>NONU</v>
          </cell>
        </row>
        <row r="180">
          <cell r="E180" t="str">
            <v>309526</v>
          </cell>
          <cell r="F180" t="str">
            <v>Jennifer Dacy</v>
          </cell>
          <cell r="G180" t="str">
            <v>CSR</v>
          </cell>
          <cell r="J180" t="str">
            <v>114252</v>
          </cell>
          <cell r="K180" t="str">
            <v>Jennifer Dane</v>
          </cell>
          <cell r="L180" t="str">
            <v>CSR</v>
          </cell>
          <cell r="M180" t="str">
            <v>NONU</v>
          </cell>
        </row>
        <row r="181">
          <cell r="E181" t="str">
            <v>114252</v>
          </cell>
          <cell r="F181" t="str">
            <v>Jennifer Dane</v>
          </cell>
          <cell r="G181" t="str">
            <v>CSR</v>
          </cell>
          <cell r="J181" t="str">
            <v>304865</v>
          </cell>
          <cell r="K181" t="str">
            <v>Jennifer Wheat</v>
          </cell>
          <cell r="L181" t="str">
            <v>CSR</v>
          </cell>
          <cell r="M181" t="str">
            <v>NONU</v>
          </cell>
        </row>
        <row r="182">
          <cell r="E182" t="str">
            <v>304865</v>
          </cell>
          <cell r="F182" t="str">
            <v>Jennifer Wheat</v>
          </cell>
          <cell r="G182" t="str">
            <v>CSR</v>
          </cell>
          <cell r="J182" t="str">
            <v>151053</v>
          </cell>
          <cell r="K182" t="str">
            <v>Jesseka Bethke</v>
          </cell>
          <cell r="L182" t="str">
            <v>CSR</v>
          </cell>
          <cell r="M182" t="str">
            <v>NONU</v>
          </cell>
        </row>
        <row r="183">
          <cell r="E183" t="str">
            <v>151053</v>
          </cell>
          <cell r="F183" t="str">
            <v>Jesseka Bethke</v>
          </cell>
          <cell r="G183" t="str">
            <v>CSR</v>
          </cell>
          <cell r="J183" t="str">
            <v>309681</v>
          </cell>
          <cell r="K183" t="str">
            <v>Jessica Brewer</v>
          </cell>
          <cell r="L183" t="str">
            <v>CSR</v>
          </cell>
          <cell r="M183" t="str">
            <v>NONU</v>
          </cell>
        </row>
        <row r="184">
          <cell r="E184" t="str">
            <v>309681</v>
          </cell>
          <cell r="F184" t="str">
            <v>Jessica Brewer</v>
          </cell>
          <cell r="G184" t="str">
            <v>CSR</v>
          </cell>
          <cell r="J184" t="str">
            <v>304887</v>
          </cell>
          <cell r="K184" t="str">
            <v>Lourdes David-Thetadig</v>
          </cell>
          <cell r="L184" t="str">
            <v>CSR</v>
          </cell>
          <cell r="M184" t="str">
            <v>NONU</v>
          </cell>
        </row>
        <row r="185">
          <cell r="E185" t="str">
            <v>304887</v>
          </cell>
          <cell r="F185" t="str">
            <v>Lourdes David-Thetadig</v>
          </cell>
          <cell r="G185" t="str">
            <v>CSR</v>
          </cell>
          <cell r="J185" t="str">
            <v>156471</v>
          </cell>
          <cell r="K185" t="str">
            <v>Mandy Coleman</v>
          </cell>
          <cell r="L185" t="str">
            <v>CSR</v>
          </cell>
          <cell r="M185" t="str">
            <v>NONU</v>
          </cell>
        </row>
        <row r="186">
          <cell r="E186" t="str">
            <v>156471</v>
          </cell>
          <cell r="F186" t="str">
            <v>Mandy Coleman</v>
          </cell>
          <cell r="G186" t="str">
            <v>CSR</v>
          </cell>
          <cell r="J186" t="str">
            <v>116312</v>
          </cell>
          <cell r="K186" t="str">
            <v>Marie Most</v>
          </cell>
          <cell r="L186" t="str">
            <v>Admin</v>
          </cell>
          <cell r="M186" t="str">
            <v>NONU</v>
          </cell>
        </row>
        <row r="187">
          <cell r="E187" t="str">
            <v>116312</v>
          </cell>
          <cell r="F187" t="str">
            <v>Marie Most</v>
          </cell>
          <cell r="G187" t="str">
            <v>Admin</v>
          </cell>
          <cell r="J187" t="str">
            <v>156922</v>
          </cell>
          <cell r="K187" t="str">
            <v>Martina Fisher Sanehi</v>
          </cell>
          <cell r="L187" t="str">
            <v>CSR</v>
          </cell>
          <cell r="M187" t="str">
            <v>NONU</v>
          </cell>
        </row>
        <row r="188">
          <cell r="E188" t="str">
            <v>156922</v>
          </cell>
          <cell r="F188" t="str">
            <v>Martina Fisher Sanehi</v>
          </cell>
          <cell r="G188" t="str">
            <v>CSR</v>
          </cell>
          <cell r="J188" t="str">
            <v>114255</v>
          </cell>
          <cell r="K188" t="str">
            <v>Michelle Jester</v>
          </cell>
          <cell r="L188" t="str">
            <v>Admin</v>
          </cell>
          <cell r="M188" t="str">
            <v>NONU</v>
          </cell>
        </row>
        <row r="189">
          <cell r="E189" t="str">
            <v>114255</v>
          </cell>
          <cell r="F189" t="str">
            <v>Michelle Jester</v>
          </cell>
          <cell r="G189" t="str">
            <v>Admin</v>
          </cell>
          <cell r="J189" t="str">
            <v>115438</v>
          </cell>
          <cell r="K189" t="str">
            <v>Michelle Lloyd</v>
          </cell>
          <cell r="L189" t="str">
            <v>CSR</v>
          </cell>
          <cell r="M189" t="str">
            <v>NONU</v>
          </cell>
        </row>
        <row r="190">
          <cell r="E190" t="str">
            <v>115438</v>
          </cell>
          <cell r="F190" t="str">
            <v>Michelle Lloyd</v>
          </cell>
          <cell r="G190" t="str">
            <v>CSR</v>
          </cell>
          <cell r="J190" t="str">
            <v>313924</v>
          </cell>
          <cell r="K190" t="str">
            <v>Rhea Ann Nangauta</v>
          </cell>
          <cell r="L190" t="str">
            <v>CSR</v>
          </cell>
          <cell r="M190" t="str">
            <v>NONU</v>
          </cell>
        </row>
        <row r="191">
          <cell r="E191" t="str">
            <v>313924</v>
          </cell>
          <cell r="F191" t="str">
            <v>Rhea Ann Nangauta</v>
          </cell>
          <cell r="G191" t="str">
            <v>CSR</v>
          </cell>
          <cell r="J191" t="str">
            <v>300442</v>
          </cell>
          <cell r="K191" t="str">
            <v>Sandra Hurd</v>
          </cell>
          <cell r="L191" t="str">
            <v>CSR</v>
          </cell>
          <cell r="M191" t="str">
            <v>NONU</v>
          </cell>
        </row>
        <row r="192">
          <cell r="E192" t="str">
            <v>300442</v>
          </cell>
          <cell r="F192" t="str">
            <v>Sandra Hurd</v>
          </cell>
          <cell r="G192" t="str">
            <v>CSR</v>
          </cell>
          <cell r="J192" t="str">
            <v>304432</v>
          </cell>
          <cell r="K192" t="str">
            <v>Taylor Oakes</v>
          </cell>
          <cell r="L192" t="str">
            <v>CSR</v>
          </cell>
          <cell r="M192" t="str">
            <v>NONU</v>
          </cell>
        </row>
        <row r="193">
          <cell r="E193" t="str">
            <v>304432</v>
          </cell>
          <cell r="F193" t="str">
            <v>Taylor Oakes</v>
          </cell>
          <cell r="G193" t="str">
            <v>CSR</v>
          </cell>
          <cell r="J193" t="str">
            <v>100110</v>
          </cell>
          <cell r="K193" t="str">
            <v>Tera Glenn</v>
          </cell>
          <cell r="L193" t="str">
            <v>Accounting Clerk</v>
          </cell>
          <cell r="M193" t="str">
            <v>NONU</v>
          </cell>
        </row>
        <row r="194">
          <cell r="E194" t="str">
            <v>100110</v>
          </cell>
          <cell r="F194" t="str">
            <v>Tera Glenn</v>
          </cell>
          <cell r="G194" t="str">
            <v>Accounting Clerk</v>
          </cell>
          <cell r="J194" t="str">
            <v>306829</v>
          </cell>
          <cell r="K194" t="str">
            <v>Deb Muller (306829)</v>
          </cell>
          <cell r="L194" t="str">
            <v>CSR</v>
          </cell>
          <cell r="M194" t="str">
            <v>NONU</v>
          </cell>
        </row>
        <row r="195">
          <cell r="E195" t="str">
            <v>306829</v>
          </cell>
          <cell r="F195" t="str">
            <v>Deb Muller (306829)</v>
          </cell>
          <cell r="G195" t="str">
            <v>CSR</v>
          </cell>
          <cell r="J195" t="str">
            <v>151826</v>
          </cell>
          <cell r="K195" t="str">
            <v>Andrew Bossert (151826)</v>
          </cell>
          <cell r="L195" t="str">
            <v>Dispatcher</v>
          </cell>
          <cell r="M195" t="str">
            <v>NONU</v>
          </cell>
        </row>
      </sheetData>
      <sheetData sheetId="6"/>
      <sheetData sheetId="7">
        <row r="2">
          <cell r="O2">
            <v>0</v>
          </cell>
          <cell r="P2">
            <v>0</v>
          </cell>
          <cell r="Q2">
            <v>0</v>
          </cell>
          <cell r="R2">
            <v>0</v>
          </cell>
          <cell r="AP2">
            <v>0</v>
          </cell>
          <cell r="AQ2">
            <v>0</v>
          </cell>
          <cell r="AR2">
            <v>0</v>
          </cell>
        </row>
        <row r="3">
          <cell r="E3">
            <v>0</v>
          </cell>
          <cell r="F3">
            <v>0</v>
          </cell>
          <cell r="G3">
            <v>0</v>
          </cell>
          <cell r="H3">
            <v>0</v>
          </cell>
          <cell r="Y3">
            <v>0</v>
          </cell>
          <cell r="Z3">
            <v>0</v>
          </cell>
          <cell r="AA3">
            <v>0</v>
          </cell>
          <cell r="AB3">
            <v>0</v>
          </cell>
          <cell r="AH3">
            <v>0</v>
          </cell>
          <cell r="AI3">
            <v>0</v>
          </cell>
          <cell r="AJ3">
            <v>0</v>
          </cell>
          <cell r="AP3">
            <v>0</v>
          </cell>
          <cell r="AQ3">
            <v>0</v>
          </cell>
          <cell r="AR3">
            <v>0</v>
          </cell>
        </row>
        <row r="5">
          <cell r="G5" t="str">
            <v>Salaried Hours</v>
          </cell>
          <cell r="H5">
            <v>2080</v>
          </cell>
        </row>
        <row r="6">
          <cell r="E6" t="str">
            <v>Pasted Values</v>
          </cell>
          <cell r="O6" t="str">
            <v>Pasted Values</v>
          </cell>
          <cell r="AH6">
            <v>0</v>
          </cell>
          <cell r="AI6">
            <v>0</v>
          </cell>
          <cell r="AJ6">
            <v>0</v>
          </cell>
          <cell r="AP6">
            <v>0</v>
          </cell>
          <cell r="AQ6">
            <v>0</v>
          </cell>
          <cell r="AR6">
            <v>0</v>
          </cell>
        </row>
        <row r="7">
          <cell r="E7" t="str">
            <v>Employee ID</v>
          </cell>
          <cell r="F7" t="str">
            <v>Worker</v>
          </cell>
          <cell r="G7" t="str">
            <v>Total</v>
          </cell>
          <cell r="H7" t="str">
            <v>Hourly Rate</v>
          </cell>
          <cell r="O7">
            <v>0</v>
          </cell>
          <cell r="P7">
            <v>0</v>
          </cell>
          <cell r="Q7" t="str">
            <v>Values</v>
          </cell>
          <cell r="R7">
            <v>0</v>
          </cell>
          <cell r="Y7">
            <v>0</v>
          </cell>
          <cell r="Z7">
            <v>0</v>
          </cell>
          <cell r="AA7" t="str">
            <v>Values</v>
          </cell>
          <cell r="AB7">
            <v>0</v>
          </cell>
          <cell r="AH7" t="str">
            <v>Employee ID</v>
          </cell>
          <cell r="AI7" t="str">
            <v>Worker</v>
          </cell>
          <cell r="AJ7" t="str">
            <v>Total</v>
          </cell>
          <cell r="AP7" t="str">
            <v>Employee ID</v>
          </cell>
          <cell r="AQ7" t="str">
            <v>Worker</v>
          </cell>
          <cell r="AR7" t="str">
            <v>Total</v>
          </cell>
        </row>
        <row r="8">
          <cell r="E8" t="str">
            <v>150276</v>
          </cell>
          <cell r="F8" t="str">
            <v>Aaron Guisasola</v>
          </cell>
          <cell r="G8">
            <v>26.95</v>
          </cell>
          <cell r="H8">
            <v>26.95</v>
          </cell>
          <cell r="O8" t="str">
            <v>Employee ID</v>
          </cell>
          <cell r="P8" t="str">
            <v>Worker</v>
          </cell>
          <cell r="Q8" t="str">
            <v>Sum of Result Line Hours</v>
          </cell>
          <cell r="R8" t="str">
            <v>Sum of Result Line Amount</v>
          </cell>
          <cell r="Y8" t="str">
            <v>Employee ID</v>
          </cell>
          <cell r="Z8" t="str">
            <v>Worker</v>
          </cell>
          <cell r="AA8" t="str">
            <v>Sum of Result Line Hours</v>
          </cell>
          <cell r="AB8" t="str">
            <v>Sum of Result Line Amount</v>
          </cell>
          <cell r="AH8" t="str">
            <v>150276</v>
          </cell>
          <cell r="AI8" t="str">
            <v>Aaron Guisasola</v>
          </cell>
          <cell r="AJ8">
            <v>3024.9999999999964</v>
          </cell>
          <cell r="AP8" t="str">
            <v>150276</v>
          </cell>
          <cell r="AQ8" t="str">
            <v>Aaron Guisasola</v>
          </cell>
          <cell r="AR8">
            <v>3666.39</v>
          </cell>
        </row>
        <row r="9">
          <cell r="E9" t="str">
            <v>312263</v>
          </cell>
          <cell r="F9" t="str">
            <v>Adriana Case</v>
          </cell>
          <cell r="G9">
            <v>16.399999999999999</v>
          </cell>
          <cell r="H9">
            <v>16.399999999999999</v>
          </cell>
          <cell r="O9" t="str">
            <v>150276</v>
          </cell>
          <cell r="P9" t="str">
            <v>Aaron Guisasola</v>
          </cell>
          <cell r="Q9">
            <v>2101.7666680000002</v>
          </cell>
          <cell r="R9">
            <v>55933.409999999996</v>
          </cell>
          <cell r="Y9" t="str">
            <v>150276</v>
          </cell>
          <cell r="Z9" t="str">
            <v>Aaron Guisasola</v>
          </cell>
          <cell r="AA9">
            <v>364.93332500000002</v>
          </cell>
          <cell r="AB9">
            <v>14860.709999999997</v>
          </cell>
          <cell r="AH9" t="str">
            <v>155992</v>
          </cell>
          <cell r="AI9" t="str">
            <v>Adam Kenney</v>
          </cell>
          <cell r="AJ9">
            <v>2749.9999999999982</v>
          </cell>
          <cell r="AP9" t="str">
            <v>305714</v>
          </cell>
          <cell r="AQ9" t="str">
            <v>Alaina Amundsen</v>
          </cell>
          <cell r="AR9">
            <v>336</v>
          </cell>
        </row>
        <row r="10">
          <cell r="E10" t="str">
            <v>305714</v>
          </cell>
          <cell r="F10" t="str">
            <v>Alaina Amundsen</v>
          </cell>
          <cell r="G10">
            <v>22.05</v>
          </cell>
          <cell r="H10">
            <v>22.05</v>
          </cell>
          <cell r="O10" t="str">
            <v>312263</v>
          </cell>
          <cell r="P10" t="str">
            <v>Adriana Case</v>
          </cell>
          <cell r="Q10">
            <v>1158.666665</v>
          </cell>
          <cell r="R10">
            <v>18927.87</v>
          </cell>
          <cell r="Y10" t="str">
            <v>312263</v>
          </cell>
          <cell r="Z10" t="str">
            <v>Adriana Case</v>
          </cell>
          <cell r="AA10">
            <v>79.466673000000029</v>
          </cell>
          <cell r="AB10">
            <v>1958.25</v>
          </cell>
          <cell r="AH10" t="str">
            <v>312263</v>
          </cell>
          <cell r="AI10" t="str">
            <v>Adriana Case</v>
          </cell>
          <cell r="AJ10">
            <v>610</v>
          </cell>
          <cell r="AP10" t="str">
            <v>114003</v>
          </cell>
          <cell r="AQ10" t="str">
            <v>Anthony Angeline</v>
          </cell>
          <cell r="AR10">
            <v>1974.94</v>
          </cell>
        </row>
        <row r="11">
          <cell r="E11" t="str">
            <v>315294</v>
          </cell>
          <cell r="F11" t="str">
            <v>Alex Nodtvedt</v>
          </cell>
          <cell r="G11">
            <v>16.5</v>
          </cell>
          <cell r="H11">
            <v>16.5</v>
          </cell>
          <cell r="O11" t="str">
            <v>305714</v>
          </cell>
          <cell r="P11" t="str">
            <v>Alaina Amundsen</v>
          </cell>
          <cell r="Q11">
            <v>2050.3333309999998</v>
          </cell>
          <cell r="R11">
            <v>44972.76</v>
          </cell>
          <cell r="Y11" t="str">
            <v>305714</v>
          </cell>
          <cell r="Z11" t="str">
            <v>Alaina Amundsen</v>
          </cell>
          <cell r="AA11">
            <v>57.550000000000004</v>
          </cell>
          <cell r="AB11">
            <v>1898.29</v>
          </cell>
          <cell r="AH11" t="str">
            <v>302607</v>
          </cell>
          <cell r="AI11" t="str">
            <v>Alisa Bible</v>
          </cell>
          <cell r="AJ11">
            <v>1024.9999999999995</v>
          </cell>
          <cell r="AP11" t="str">
            <v>114298</v>
          </cell>
          <cell r="AQ11" t="str">
            <v>Anthony Peterson</v>
          </cell>
          <cell r="AR11">
            <v>1518.25</v>
          </cell>
        </row>
        <row r="12">
          <cell r="E12" t="str">
            <v>302607</v>
          </cell>
          <cell r="F12" t="str">
            <v>Alisa Bible</v>
          </cell>
          <cell r="G12">
            <v>28.33</v>
          </cell>
          <cell r="H12">
            <v>28.33</v>
          </cell>
          <cell r="O12" t="str">
            <v>315294</v>
          </cell>
          <cell r="P12" t="str">
            <v>Alex Nodtvedt</v>
          </cell>
          <cell r="Q12">
            <v>160</v>
          </cell>
          <cell r="R12">
            <v>2640</v>
          </cell>
          <cell r="Y12" t="str">
            <v>315294</v>
          </cell>
          <cell r="Z12" t="str">
            <v>Alex Nodtvedt</v>
          </cell>
          <cell r="AA12">
            <v>31.116665999999995</v>
          </cell>
          <cell r="AB12">
            <v>770.17000000000007</v>
          </cell>
          <cell r="AH12" t="str">
            <v>306830</v>
          </cell>
          <cell r="AI12" t="str">
            <v>Amanda Allen</v>
          </cell>
          <cell r="AJ12">
            <v>1225</v>
          </cell>
          <cell r="AP12" t="str">
            <v>157690</v>
          </cell>
          <cell r="AQ12" t="str">
            <v>Ashlee Calley</v>
          </cell>
          <cell r="AR12">
            <v>88.26</v>
          </cell>
        </row>
        <row r="13">
          <cell r="E13" t="str">
            <v>306830</v>
          </cell>
          <cell r="F13" t="str">
            <v>Amanda Allen</v>
          </cell>
          <cell r="G13">
            <v>16.399999999999999</v>
          </cell>
          <cell r="H13">
            <v>16.399999999999999</v>
          </cell>
          <cell r="O13" t="str">
            <v>302607</v>
          </cell>
          <cell r="P13" t="str">
            <v>Alisa Bible</v>
          </cell>
          <cell r="Q13">
            <v>2074.2499980000002</v>
          </cell>
          <cell r="R13">
            <v>56815.499999999956</v>
          </cell>
          <cell r="Y13" t="str">
            <v>302607</v>
          </cell>
          <cell r="Z13" t="str">
            <v>Alisa Bible</v>
          </cell>
          <cell r="AA13">
            <v>272.33666699999992</v>
          </cell>
          <cell r="AB13">
            <v>11117.75</v>
          </cell>
          <cell r="AH13" t="str">
            <v>114082</v>
          </cell>
          <cell r="AI13" t="str">
            <v>Andrew Tran</v>
          </cell>
          <cell r="AJ13">
            <v>3024.9999999999964</v>
          </cell>
          <cell r="AP13" t="str">
            <v>114274</v>
          </cell>
          <cell r="AQ13" t="str">
            <v>Billy Carter</v>
          </cell>
          <cell r="AR13">
            <v>4527.6000000000004</v>
          </cell>
        </row>
        <row r="14">
          <cell r="E14" t="str">
            <v>114082</v>
          </cell>
          <cell r="F14" t="str">
            <v>Andrew Tran</v>
          </cell>
          <cell r="G14">
            <v>29.22</v>
          </cell>
          <cell r="H14">
            <v>29.22</v>
          </cell>
          <cell r="O14" t="str">
            <v>306830</v>
          </cell>
          <cell r="P14" t="str">
            <v>Amanda Allen</v>
          </cell>
          <cell r="Q14">
            <v>2062.560195</v>
          </cell>
          <cell r="R14">
            <v>34383.600000000006</v>
          </cell>
          <cell r="Y14" t="str">
            <v>306830</v>
          </cell>
          <cell r="Z14" t="str">
            <v>Amanda Allen</v>
          </cell>
          <cell r="AA14">
            <v>177.08333400000004</v>
          </cell>
          <cell r="AB14">
            <v>4388.0399999999991</v>
          </cell>
          <cell r="AH14" t="str">
            <v>114003</v>
          </cell>
          <cell r="AI14" t="str">
            <v>Anthony Angeline</v>
          </cell>
          <cell r="AJ14">
            <v>3024.9999999999964</v>
          </cell>
          <cell r="AP14" t="str">
            <v>158173</v>
          </cell>
          <cell r="AQ14" t="str">
            <v>Brian Hutt</v>
          </cell>
          <cell r="AR14">
            <v>1121.8499999999999</v>
          </cell>
        </row>
        <row r="15">
          <cell r="E15" t="str">
            <v>114003</v>
          </cell>
          <cell r="F15" t="str">
            <v>Anthony Angeline</v>
          </cell>
          <cell r="G15">
            <v>26.95</v>
          </cell>
          <cell r="H15">
            <v>26.95</v>
          </cell>
          <cell r="O15" t="str">
            <v>114082</v>
          </cell>
          <cell r="P15" t="str">
            <v>Andrew Tran</v>
          </cell>
          <cell r="Q15">
            <v>2108.2499989999997</v>
          </cell>
          <cell r="R15">
            <v>62085.430000000022</v>
          </cell>
          <cell r="Y15" t="str">
            <v>114082</v>
          </cell>
          <cell r="Z15" t="str">
            <v>Andrew Tran</v>
          </cell>
          <cell r="AA15">
            <v>263.98334</v>
          </cell>
          <cell r="AB15">
            <v>11683.160000000002</v>
          </cell>
          <cell r="AH15" t="str">
            <v>114298</v>
          </cell>
          <cell r="AI15" t="str">
            <v>Anthony Peterson</v>
          </cell>
          <cell r="AJ15">
            <v>3311.5999999999981</v>
          </cell>
          <cell r="AP15" t="str">
            <v>114353</v>
          </cell>
          <cell r="AQ15" t="str">
            <v>Brian Sims</v>
          </cell>
          <cell r="AR15">
            <v>788.29</v>
          </cell>
        </row>
        <row r="16">
          <cell r="E16" t="str">
            <v>114298</v>
          </cell>
          <cell r="F16" t="str">
            <v>Anthony Peterson</v>
          </cell>
          <cell r="G16">
            <v>26.5</v>
          </cell>
          <cell r="H16">
            <v>26.5</v>
          </cell>
          <cell r="O16" t="str">
            <v>114003</v>
          </cell>
          <cell r="P16" t="str">
            <v>Anthony Angeline</v>
          </cell>
          <cell r="Q16">
            <v>2084.4333340000003</v>
          </cell>
          <cell r="R16">
            <v>55051.06</v>
          </cell>
          <cell r="Y16" t="str">
            <v>114003</v>
          </cell>
          <cell r="Z16" t="str">
            <v>Anthony Angeline</v>
          </cell>
          <cell r="AA16">
            <v>532.63333199999988</v>
          </cell>
          <cell r="AB16">
            <v>21551.819999999996</v>
          </cell>
          <cell r="AH16" t="str">
            <v>306836</v>
          </cell>
          <cell r="AI16" t="str">
            <v>Antonio Berdecia</v>
          </cell>
          <cell r="AJ16">
            <v>1581.9999999999998</v>
          </cell>
          <cell r="AP16" t="str">
            <v>115919</v>
          </cell>
          <cell r="AQ16" t="str">
            <v>Brian Zahler</v>
          </cell>
          <cell r="AR16">
            <v>2806.47</v>
          </cell>
        </row>
        <row r="17">
          <cell r="E17" t="str">
            <v>306836</v>
          </cell>
          <cell r="F17" t="str">
            <v>Antonio Berdecia</v>
          </cell>
          <cell r="G17">
            <v>21.63</v>
          </cell>
          <cell r="H17">
            <v>21.63</v>
          </cell>
          <cell r="O17" t="str">
            <v>114298</v>
          </cell>
          <cell r="P17" t="str">
            <v>Anthony Peterson</v>
          </cell>
          <cell r="Q17">
            <v>2256.0499989999998</v>
          </cell>
          <cell r="R17">
            <v>51518.43</v>
          </cell>
          <cell r="Y17" t="str">
            <v>114298</v>
          </cell>
          <cell r="Z17" t="str">
            <v>Anthony Peterson</v>
          </cell>
          <cell r="AA17">
            <v>514.74999500000001</v>
          </cell>
          <cell r="AB17">
            <v>17951.890000000003</v>
          </cell>
          <cell r="AH17" t="str">
            <v>307208</v>
          </cell>
          <cell r="AI17" t="str">
            <v>Barry DeGarmo</v>
          </cell>
          <cell r="AJ17">
            <v>250.00000000000006</v>
          </cell>
          <cell r="AP17" t="str">
            <v>155760</v>
          </cell>
          <cell r="AQ17" t="str">
            <v>Brittany Mani</v>
          </cell>
          <cell r="AR17">
            <v>2635.41</v>
          </cell>
        </row>
        <row r="18">
          <cell r="E18" t="str">
            <v>114105</v>
          </cell>
          <cell r="F18" t="str">
            <v>Asa Dunlap</v>
          </cell>
          <cell r="G18">
            <v>25.95</v>
          </cell>
          <cell r="H18">
            <v>25.95</v>
          </cell>
          <cell r="O18" t="str">
            <v>306836</v>
          </cell>
          <cell r="P18" t="str">
            <v>Antonio Berdecia</v>
          </cell>
          <cell r="Q18">
            <v>1997.3958309999998</v>
          </cell>
          <cell r="R18">
            <v>43744.350000000006</v>
          </cell>
          <cell r="Y18" t="str">
            <v>306836</v>
          </cell>
          <cell r="Z18" t="str">
            <v>Antonio Berdecia</v>
          </cell>
          <cell r="AA18">
            <v>108.50000299999999</v>
          </cell>
          <cell r="AB18">
            <v>3553.95</v>
          </cell>
          <cell r="AH18" t="str">
            <v>103464</v>
          </cell>
          <cell r="AI18" t="str">
            <v>Benjamin Smith</v>
          </cell>
          <cell r="AJ18">
            <v>810.91000000000031</v>
          </cell>
          <cell r="AP18" t="str">
            <v>152690</v>
          </cell>
          <cell r="AQ18" t="str">
            <v>Bryan Nye</v>
          </cell>
          <cell r="AR18">
            <v>53.85</v>
          </cell>
        </row>
        <row r="19">
          <cell r="E19" t="str">
            <v>157690</v>
          </cell>
          <cell r="F19" t="str">
            <v>Ashlee Calley</v>
          </cell>
          <cell r="G19">
            <v>16.809999999999999</v>
          </cell>
          <cell r="H19">
            <v>16.809999999999999</v>
          </cell>
          <cell r="O19" t="str">
            <v>157690</v>
          </cell>
          <cell r="P19" t="str">
            <v>Ashlee Calley</v>
          </cell>
          <cell r="Q19">
            <v>78.133333999999991</v>
          </cell>
          <cell r="R19">
            <v>1313.4299999999998</v>
          </cell>
          <cell r="Y19" t="str">
            <v>157690</v>
          </cell>
          <cell r="Z19" t="str">
            <v>Ashlee Calley</v>
          </cell>
          <cell r="AA19">
            <v>2.5499999999999998</v>
          </cell>
          <cell r="AB19">
            <v>64.31</v>
          </cell>
          <cell r="AH19" t="str">
            <v>114274</v>
          </cell>
          <cell r="AI19" t="str">
            <v>Billy Carter</v>
          </cell>
          <cell r="AJ19">
            <v>1024.9999999999995</v>
          </cell>
          <cell r="AP19" t="str">
            <v>300019</v>
          </cell>
          <cell r="AQ19" t="str">
            <v>Calvin Pacheco</v>
          </cell>
          <cell r="AR19">
            <v>1110.53</v>
          </cell>
        </row>
        <row r="20">
          <cell r="E20" t="str">
            <v>311279</v>
          </cell>
          <cell r="F20" t="str">
            <v>Augie Serrano</v>
          </cell>
          <cell r="G20">
            <v>26.5</v>
          </cell>
          <cell r="H20">
            <v>26.5</v>
          </cell>
          <cell r="O20" t="str">
            <v>311279</v>
          </cell>
          <cell r="P20" t="str">
            <v>Augie Serrano</v>
          </cell>
          <cell r="Q20">
            <v>1369.95</v>
          </cell>
          <cell r="R20">
            <v>36727.68</v>
          </cell>
          <cell r="Y20" t="str">
            <v>311279</v>
          </cell>
          <cell r="Z20" t="str">
            <v>Augie Serrano</v>
          </cell>
          <cell r="AA20">
            <v>276.93332600000002</v>
          </cell>
          <cell r="AB20">
            <v>11008.380000000001</v>
          </cell>
          <cell r="AH20" t="str">
            <v>302903</v>
          </cell>
          <cell r="AI20" t="str">
            <v>Boutsaba Sonthixay</v>
          </cell>
          <cell r="AJ20">
            <v>2619.5199999999986</v>
          </cell>
          <cell r="AP20" t="str">
            <v>152611</v>
          </cell>
          <cell r="AQ20" t="str">
            <v>Cammae Moreland</v>
          </cell>
          <cell r="AR20">
            <v>1033.26</v>
          </cell>
        </row>
        <row r="21">
          <cell r="E21" t="str">
            <v>307208</v>
          </cell>
          <cell r="F21" t="str">
            <v>Barry DeGarmo</v>
          </cell>
          <cell r="G21">
            <v>27.3</v>
          </cell>
          <cell r="H21">
            <v>27.3</v>
          </cell>
          <cell r="O21" t="str">
            <v>307208</v>
          </cell>
          <cell r="P21" t="str">
            <v>Barry DeGarmo</v>
          </cell>
          <cell r="Q21">
            <v>1887.6766670000002</v>
          </cell>
          <cell r="R21">
            <v>51040.900000000009</v>
          </cell>
          <cell r="Y21" t="str">
            <v>307208</v>
          </cell>
          <cell r="Z21" t="str">
            <v>Barry DeGarmo</v>
          </cell>
          <cell r="AA21">
            <v>294.81666300000001</v>
          </cell>
          <cell r="AB21">
            <v>11844.51</v>
          </cell>
          <cell r="AH21" t="str">
            <v>158173</v>
          </cell>
          <cell r="AI21" t="str">
            <v>Brian Hutt</v>
          </cell>
          <cell r="AJ21">
            <v>3024.9999999999945</v>
          </cell>
          <cell r="AP21" t="str">
            <v>114233</v>
          </cell>
          <cell r="AQ21" t="str">
            <v>Chester Goldsmith</v>
          </cell>
          <cell r="AR21">
            <v>319.52</v>
          </cell>
        </row>
        <row r="22">
          <cell r="E22" t="str">
            <v>103464</v>
          </cell>
          <cell r="F22" t="str">
            <v>Benjamin Smith</v>
          </cell>
          <cell r="G22">
            <v>32</v>
          </cell>
          <cell r="H22">
            <v>32</v>
          </cell>
          <cell r="O22" t="str">
            <v>103464</v>
          </cell>
          <cell r="P22" t="str">
            <v>Benjamin Smith</v>
          </cell>
          <cell r="Q22">
            <v>964.46666600000003</v>
          </cell>
          <cell r="R22">
            <v>31374.969999999994</v>
          </cell>
          <cell r="Y22" t="str">
            <v>103464</v>
          </cell>
          <cell r="Z22" t="str">
            <v>Benjamin Smith</v>
          </cell>
          <cell r="AA22">
            <v>169.11666699999998</v>
          </cell>
          <cell r="AB22">
            <v>8162.130000000001</v>
          </cell>
          <cell r="AH22" t="str">
            <v>114353</v>
          </cell>
          <cell r="AI22" t="str">
            <v>Brian Sims</v>
          </cell>
          <cell r="AJ22">
            <v>3024.9999999999941</v>
          </cell>
          <cell r="AP22" t="str">
            <v>117935</v>
          </cell>
          <cell r="AQ22" t="str">
            <v>Christina Moulden</v>
          </cell>
          <cell r="AR22">
            <v>88.28</v>
          </cell>
        </row>
        <row r="23">
          <cell r="E23" t="str">
            <v>114274</v>
          </cell>
          <cell r="F23" t="str">
            <v>Billy Carter</v>
          </cell>
          <cell r="G23">
            <v>26.95</v>
          </cell>
          <cell r="H23">
            <v>26.95</v>
          </cell>
          <cell r="O23" t="str">
            <v>114274</v>
          </cell>
          <cell r="P23" t="str">
            <v>Billy Carter</v>
          </cell>
          <cell r="Q23">
            <v>2035.35</v>
          </cell>
          <cell r="R23">
            <v>53945.93</v>
          </cell>
          <cell r="Y23" t="str">
            <v>114274</v>
          </cell>
          <cell r="Z23" t="str">
            <v>Billy Carter</v>
          </cell>
          <cell r="AA23">
            <v>434.31666000000018</v>
          </cell>
          <cell r="AB23">
            <v>17312.650000000001</v>
          </cell>
          <cell r="AH23" t="str">
            <v>115919</v>
          </cell>
          <cell r="AI23" t="str">
            <v>Brian Zahler</v>
          </cell>
          <cell r="AJ23">
            <v>1124.9999999999998</v>
          </cell>
          <cell r="AP23" t="str">
            <v>116292</v>
          </cell>
          <cell r="AQ23" t="str">
            <v>Colin Piper</v>
          </cell>
          <cell r="AR23">
            <v>1076.68</v>
          </cell>
        </row>
        <row r="24">
          <cell r="E24" t="str">
            <v>302903</v>
          </cell>
          <cell r="F24" t="str">
            <v>Boutsaba Sonthixay</v>
          </cell>
          <cell r="G24">
            <v>27.3</v>
          </cell>
          <cell r="H24">
            <v>27.3</v>
          </cell>
          <cell r="O24" t="str">
            <v>302903</v>
          </cell>
          <cell r="P24" t="str">
            <v>Boutsaba Sonthixay</v>
          </cell>
          <cell r="Q24">
            <v>2044.843333</v>
          </cell>
          <cell r="R24">
            <v>55330.37999999999</v>
          </cell>
          <cell r="Y24" t="str">
            <v>302903</v>
          </cell>
          <cell r="Z24" t="str">
            <v>Boutsaba Sonthixay</v>
          </cell>
          <cell r="AA24">
            <v>178.500001</v>
          </cell>
          <cell r="AB24">
            <v>7270.9100000000017</v>
          </cell>
          <cell r="AH24" t="str">
            <v>152690</v>
          </cell>
          <cell r="AI24" t="str">
            <v>Bryan Nye</v>
          </cell>
          <cell r="AJ24">
            <v>2249.9999999999991</v>
          </cell>
          <cell r="AP24" t="str">
            <v>151257</v>
          </cell>
          <cell r="AQ24" t="str">
            <v>Cory Devela</v>
          </cell>
          <cell r="AR24">
            <v>11148.5</v>
          </cell>
        </row>
        <row r="25">
          <cell r="E25" t="str">
            <v>158173</v>
          </cell>
          <cell r="F25" t="str">
            <v>Brian Hutt</v>
          </cell>
          <cell r="G25">
            <v>26.95</v>
          </cell>
          <cell r="H25">
            <v>26.95</v>
          </cell>
          <cell r="O25" t="str">
            <v>158173</v>
          </cell>
          <cell r="P25" t="str">
            <v>Brian Hutt</v>
          </cell>
          <cell r="Q25">
            <v>2085.5766649999991</v>
          </cell>
          <cell r="R25">
            <v>55078.200000000026</v>
          </cell>
          <cell r="Y25" t="str">
            <v>158173</v>
          </cell>
          <cell r="Z25" t="str">
            <v>Brian Hutt</v>
          </cell>
          <cell r="AA25">
            <v>66.316665999999984</v>
          </cell>
          <cell r="AB25">
            <v>2734.869999999999</v>
          </cell>
          <cell r="AH25" t="str">
            <v>300019</v>
          </cell>
          <cell r="AI25" t="str">
            <v>Calvin Pacheco</v>
          </cell>
          <cell r="AJ25">
            <v>3274.9999999999986</v>
          </cell>
          <cell r="AP25" t="str">
            <v>114046</v>
          </cell>
          <cell r="AQ25" t="str">
            <v>Daniel Woodley</v>
          </cell>
          <cell r="AR25">
            <v>2838.1099999999997</v>
          </cell>
        </row>
        <row r="26">
          <cell r="E26" t="str">
            <v>114353</v>
          </cell>
          <cell r="F26" t="str">
            <v>Brian Sims</v>
          </cell>
          <cell r="G26">
            <v>26.95</v>
          </cell>
          <cell r="H26">
            <v>26.95</v>
          </cell>
          <cell r="O26" t="str">
            <v>114353</v>
          </cell>
          <cell r="P26" t="str">
            <v>Brian Sims</v>
          </cell>
          <cell r="Q26">
            <v>2087.9200030000002</v>
          </cell>
          <cell r="R26">
            <v>55774.729999999989</v>
          </cell>
          <cell r="Y26" t="str">
            <v>114353</v>
          </cell>
          <cell r="Z26" t="str">
            <v>Brian Sims</v>
          </cell>
          <cell r="AA26">
            <v>236.18333800000005</v>
          </cell>
          <cell r="AB26">
            <v>9415.7999999999975</v>
          </cell>
          <cell r="AH26" t="str">
            <v>152611</v>
          </cell>
          <cell r="AI26" t="str">
            <v>Cammae Moreland</v>
          </cell>
          <cell r="AJ26">
            <v>1099.9999999999993</v>
          </cell>
          <cell r="AP26" t="str">
            <v>114225</v>
          </cell>
          <cell r="AQ26" t="str">
            <v>Darryl Smith</v>
          </cell>
          <cell r="AR26">
            <v>1017.09</v>
          </cell>
        </row>
        <row r="27">
          <cell r="E27" t="str">
            <v>115919</v>
          </cell>
          <cell r="F27" t="str">
            <v>Brian Zahler</v>
          </cell>
          <cell r="G27">
            <v>26.95</v>
          </cell>
          <cell r="H27">
            <v>26.95</v>
          </cell>
          <cell r="O27" t="str">
            <v>115919</v>
          </cell>
          <cell r="P27" t="str">
            <v>Brian Zahler</v>
          </cell>
          <cell r="Q27">
            <v>2058.2166659999998</v>
          </cell>
          <cell r="R27">
            <v>55207.759999999995</v>
          </cell>
          <cell r="Y27" t="str">
            <v>115919</v>
          </cell>
          <cell r="Z27" t="str">
            <v>Brian Zahler</v>
          </cell>
          <cell r="AA27">
            <v>282.21666700000003</v>
          </cell>
          <cell r="AB27">
            <v>11322.01</v>
          </cell>
          <cell r="AH27" t="str">
            <v>301663</v>
          </cell>
          <cell r="AI27" t="str">
            <v>Carla Arreygue</v>
          </cell>
          <cell r="AJ27">
            <v>1355</v>
          </cell>
          <cell r="AP27" t="str">
            <v>114306</v>
          </cell>
          <cell r="AQ27" t="str">
            <v>David Maldonado</v>
          </cell>
          <cell r="AR27">
            <v>2427.9299999999998</v>
          </cell>
        </row>
        <row r="28">
          <cell r="E28" t="str">
            <v>155760</v>
          </cell>
          <cell r="F28" t="str">
            <v>Brittany Mani</v>
          </cell>
          <cell r="G28">
            <v>90000</v>
          </cell>
          <cell r="H28">
            <v>43.269230769230766</v>
          </cell>
          <cell r="O28" t="str">
            <v>155760</v>
          </cell>
          <cell r="P28" t="str">
            <v>Brittany Mani</v>
          </cell>
          <cell r="Q28">
            <v>2080</v>
          </cell>
          <cell r="R28">
            <v>86923.14</v>
          </cell>
          <cell r="Y28" t="str">
            <v>152690</v>
          </cell>
          <cell r="Z28" t="str">
            <v>Bryan Nye</v>
          </cell>
          <cell r="AA28">
            <v>408.95000000000005</v>
          </cell>
          <cell r="AB28">
            <v>16544.930000000004</v>
          </cell>
          <cell r="AH28" t="str">
            <v>156357</v>
          </cell>
          <cell r="AI28" t="str">
            <v>Charles Gorman</v>
          </cell>
          <cell r="AJ28">
            <v>3124.9999999999941</v>
          </cell>
          <cell r="AP28" t="str">
            <v>155994</v>
          </cell>
          <cell r="AQ28" t="str">
            <v>Dawn Rowell</v>
          </cell>
          <cell r="AR28">
            <v>1226.49</v>
          </cell>
        </row>
        <row r="29">
          <cell r="E29" t="str">
            <v>152690</v>
          </cell>
          <cell r="F29" t="str">
            <v>Bryan Nye</v>
          </cell>
          <cell r="G29">
            <v>26.95</v>
          </cell>
          <cell r="H29">
            <v>26.95</v>
          </cell>
          <cell r="O29" t="str">
            <v>152690</v>
          </cell>
          <cell r="P29" t="str">
            <v>Bryan Nye</v>
          </cell>
          <cell r="Q29">
            <v>2049.9166690000002</v>
          </cell>
          <cell r="R29">
            <v>54989.05</v>
          </cell>
          <cell r="Y29" t="str">
            <v>300019</v>
          </cell>
          <cell r="Z29" t="str">
            <v>Calvin Pacheco</v>
          </cell>
          <cell r="AA29">
            <v>448.56665699999996</v>
          </cell>
          <cell r="AB29">
            <v>21220.36</v>
          </cell>
          <cell r="AH29" t="str">
            <v>156473</v>
          </cell>
          <cell r="AI29" t="str">
            <v>Charles Mccune</v>
          </cell>
          <cell r="AJ29">
            <v>3024.9999999999941</v>
          </cell>
          <cell r="AP29" t="str">
            <v>114407</v>
          </cell>
          <cell r="AQ29" t="str">
            <v>Debbie Nowak</v>
          </cell>
          <cell r="AR29">
            <v>3423.6800000000003</v>
          </cell>
        </row>
        <row r="30">
          <cell r="E30" t="str">
            <v>300019</v>
          </cell>
          <cell r="F30" t="str">
            <v>Calvin Pacheco</v>
          </cell>
          <cell r="G30">
            <v>30.72</v>
          </cell>
          <cell r="H30">
            <v>30.72</v>
          </cell>
          <cell r="O30" t="str">
            <v>300019</v>
          </cell>
          <cell r="P30" t="str">
            <v>Calvin Pacheco</v>
          </cell>
          <cell r="Q30">
            <v>1958.826667</v>
          </cell>
          <cell r="R30">
            <v>60912.439999999981</v>
          </cell>
          <cell r="Y30" t="str">
            <v>152611</v>
          </cell>
          <cell r="Z30" t="str">
            <v>Cammae Moreland</v>
          </cell>
          <cell r="AA30">
            <v>96.683318999999997</v>
          </cell>
          <cell r="AB30">
            <v>3846.31</v>
          </cell>
          <cell r="AH30" t="str">
            <v>114233</v>
          </cell>
          <cell r="AI30" t="str">
            <v>Chester Goldsmith</v>
          </cell>
          <cell r="AJ30">
            <v>1024.9999999999995</v>
          </cell>
          <cell r="AP30" t="str">
            <v>152931</v>
          </cell>
          <cell r="AQ30" t="str">
            <v>Destini Wilson</v>
          </cell>
          <cell r="AR30">
            <v>1413.07</v>
          </cell>
        </row>
        <row r="31">
          <cell r="E31" t="str">
            <v>152611</v>
          </cell>
          <cell r="F31" t="str">
            <v>Cammae Moreland</v>
          </cell>
          <cell r="G31">
            <v>26.95</v>
          </cell>
          <cell r="H31">
            <v>26.95</v>
          </cell>
          <cell r="O31" t="str">
            <v>152611</v>
          </cell>
          <cell r="P31" t="str">
            <v>Cammae Moreland</v>
          </cell>
          <cell r="Q31">
            <v>2050.493332</v>
          </cell>
          <cell r="R31">
            <v>54370.219999999994</v>
          </cell>
          <cell r="Y31" t="str">
            <v>301663</v>
          </cell>
          <cell r="Z31" t="str">
            <v>Carla Arreygue</v>
          </cell>
          <cell r="AA31">
            <v>74.333335999999989</v>
          </cell>
          <cell r="AB31">
            <v>1883.9800000000005</v>
          </cell>
          <cell r="AH31" t="str">
            <v>117935</v>
          </cell>
          <cell r="AI31" t="str">
            <v>Christina Moulden</v>
          </cell>
          <cell r="AJ31">
            <v>1379.17</v>
          </cell>
          <cell r="AP31" t="str">
            <v>300874</v>
          </cell>
          <cell r="AQ31" t="str">
            <v>Donald Cisney</v>
          </cell>
          <cell r="AR31">
            <v>213.2</v>
          </cell>
        </row>
        <row r="32">
          <cell r="E32" t="str">
            <v>301663</v>
          </cell>
          <cell r="F32" t="str">
            <v>Carla Arreygue</v>
          </cell>
          <cell r="G32">
            <v>16.809999999999999</v>
          </cell>
          <cell r="H32">
            <v>16.809999999999999</v>
          </cell>
          <cell r="O32" t="str">
            <v>301663</v>
          </cell>
          <cell r="P32" t="str">
            <v>Carla Arreygue</v>
          </cell>
          <cell r="Q32">
            <v>1906.6263999999999</v>
          </cell>
          <cell r="R32">
            <v>32369.969999999994</v>
          </cell>
          <cell r="Y32" t="str">
            <v>114200</v>
          </cell>
          <cell r="Z32" t="str">
            <v>Carla Phillips</v>
          </cell>
          <cell r="AA32">
            <v>10.816668</v>
          </cell>
          <cell r="AB32">
            <v>409.8300000000001</v>
          </cell>
          <cell r="AH32" t="str">
            <v>154944</v>
          </cell>
          <cell r="AI32" t="str">
            <v>Christopher Faust</v>
          </cell>
          <cell r="AJ32">
            <v>2524.9999999999982</v>
          </cell>
          <cell r="AP32" t="str">
            <v>114277</v>
          </cell>
          <cell r="AQ32" t="str">
            <v>Duane Hackney</v>
          </cell>
          <cell r="AR32">
            <v>218.56</v>
          </cell>
        </row>
        <row r="33">
          <cell r="E33" t="str">
            <v>114200</v>
          </cell>
          <cell r="F33" t="str">
            <v>Carla Phillips</v>
          </cell>
          <cell r="G33">
            <v>25.26</v>
          </cell>
          <cell r="H33">
            <v>25.26</v>
          </cell>
          <cell r="O33" t="str">
            <v>114200</v>
          </cell>
          <cell r="P33" t="str">
            <v>Carla Phillips</v>
          </cell>
          <cell r="Q33">
            <v>1988.4633389999999</v>
          </cell>
          <cell r="R33">
            <v>50776.790000000023</v>
          </cell>
          <cell r="Y33" t="str">
            <v>152163</v>
          </cell>
          <cell r="Z33" t="str">
            <v>Chalia Clark</v>
          </cell>
          <cell r="AA33">
            <v>5.4333369999999999</v>
          </cell>
          <cell r="AB33">
            <v>171.26000000000002</v>
          </cell>
          <cell r="AH33" t="str">
            <v>307663</v>
          </cell>
          <cell r="AI33" t="str">
            <v>Clarence Devela</v>
          </cell>
          <cell r="AJ33">
            <v>1170.8299999999997</v>
          </cell>
          <cell r="AP33" t="str">
            <v>156628</v>
          </cell>
          <cell r="AQ33" t="str">
            <v>Dylan Perry</v>
          </cell>
          <cell r="AR33">
            <v>635.6</v>
          </cell>
        </row>
        <row r="34">
          <cell r="E34" t="str">
            <v>152163</v>
          </cell>
          <cell r="F34" t="str">
            <v>Chalia Clark</v>
          </cell>
          <cell r="G34">
            <v>21.01</v>
          </cell>
          <cell r="H34">
            <v>21.01</v>
          </cell>
          <cell r="O34" t="str">
            <v>152163</v>
          </cell>
          <cell r="P34" t="str">
            <v>Chalia Clark</v>
          </cell>
          <cell r="Q34">
            <v>1088.6087659999998</v>
          </cell>
          <cell r="R34">
            <v>23253.5</v>
          </cell>
          <cell r="Y34" t="str">
            <v>156357</v>
          </cell>
          <cell r="Z34" t="str">
            <v>Charles Gorman</v>
          </cell>
          <cell r="AA34">
            <v>139.99999500000001</v>
          </cell>
          <cell r="AB34">
            <v>4387.6499999999978</v>
          </cell>
          <cell r="AH34" t="str">
            <v>116292</v>
          </cell>
          <cell r="AI34" t="str">
            <v>Colin Piper</v>
          </cell>
          <cell r="AJ34">
            <v>3124.9999999999936</v>
          </cell>
          <cell r="AP34" t="str">
            <v>115563</v>
          </cell>
          <cell r="AQ34" t="str">
            <v>Edward Worden</v>
          </cell>
          <cell r="AR34">
            <v>1265.79</v>
          </cell>
        </row>
        <row r="35">
          <cell r="E35" t="str">
            <v>156357</v>
          </cell>
          <cell r="F35" t="str">
            <v>Charles Gorman</v>
          </cell>
          <cell r="G35">
            <v>20.53</v>
          </cell>
          <cell r="H35">
            <v>20.53</v>
          </cell>
          <cell r="O35" t="str">
            <v>156357</v>
          </cell>
          <cell r="P35" t="str">
            <v>Charles Gorman</v>
          </cell>
          <cell r="Q35">
            <v>2067.8833300000001</v>
          </cell>
          <cell r="R35">
            <v>42805.69</v>
          </cell>
          <cell r="Y35" t="str">
            <v>156473</v>
          </cell>
          <cell r="Z35" t="str">
            <v>Charles Mccune</v>
          </cell>
          <cell r="AA35">
            <v>451.71667299999996</v>
          </cell>
          <cell r="AB35">
            <v>18533.169999999998</v>
          </cell>
          <cell r="AH35" t="str">
            <v>114125</v>
          </cell>
          <cell r="AI35" t="str">
            <v>Craig Woelke</v>
          </cell>
          <cell r="AJ35">
            <v>3074.9999999999945</v>
          </cell>
          <cell r="AP35" t="str">
            <v>157938</v>
          </cell>
          <cell r="AQ35" t="str">
            <v>Ethan Carpenter</v>
          </cell>
          <cell r="AR35">
            <v>627.88</v>
          </cell>
        </row>
        <row r="36">
          <cell r="E36" t="str">
            <v>156473</v>
          </cell>
          <cell r="F36" t="str">
            <v>Charles Mccune</v>
          </cell>
          <cell r="G36">
            <v>26.5</v>
          </cell>
          <cell r="H36">
            <v>26.5</v>
          </cell>
          <cell r="O36" t="str">
            <v>156473</v>
          </cell>
          <cell r="P36" t="str">
            <v>Charles Mccune</v>
          </cell>
          <cell r="Q36">
            <v>1485.393335</v>
          </cell>
          <cell r="R36">
            <v>40422.929999999993</v>
          </cell>
          <cell r="Y36" t="str">
            <v>114233</v>
          </cell>
          <cell r="Z36" t="str">
            <v>Chester Goldsmith</v>
          </cell>
          <cell r="AA36">
            <v>109.41666499999999</v>
          </cell>
          <cell r="AB36">
            <v>3405.9800000000005</v>
          </cell>
          <cell r="AH36" t="str">
            <v>158867</v>
          </cell>
          <cell r="AI36" t="str">
            <v>Cristobal Cruz</v>
          </cell>
          <cell r="AJ36">
            <v>1024.9999999999993</v>
          </cell>
          <cell r="AP36" t="str">
            <v>114052</v>
          </cell>
          <cell r="AQ36" t="str">
            <v>Evan Williamson</v>
          </cell>
          <cell r="AR36">
            <v>403.52</v>
          </cell>
        </row>
        <row r="37">
          <cell r="E37" t="str">
            <v>114233</v>
          </cell>
          <cell r="F37" t="str">
            <v>Chester Goldsmith</v>
          </cell>
          <cell r="G37">
            <v>20.57</v>
          </cell>
          <cell r="H37">
            <v>20.57</v>
          </cell>
          <cell r="O37" t="str">
            <v>114233</v>
          </cell>
          <cell r="P37" t="str">
            <v>Chester Goldsmith</v>
          </cell>
          <cell r="Q37">
            <v>2057.333333</v>
          </cell>
          <cell r="R37">
            <v>42514.54</v>
          </cell>
          <cell r="Y37" t="str">
            <v>117935</v>
          </cell>
          <cell r="Z37" t="str">
            <v>Christina Moulden</v>
          </cell>
          <cell r="AA37">
            <v>108.43333799999999</v>
          </cell>
          <cell r="AB37">
            <v>3731.6299999999997</v>
          </cell>
          <cell r="AH37" t="str">
            <v>309607</v>
          </cell>
          <cell r="AI37" t="str">
            <v>Daniel Guillen</v>
          </cell>
          <cell r="AJ37">
            <v>775</v>
          </cell>
          <cell r="AP37" t="str">
            <v>157941</v>
          </cell>
          <cell r="AQ37" t="str">
            <v>Freddie Hood</v>
          </cell>
          <cell r="AR37">
            <v>212</v>
          </cell>
        </row>
        <row r="38">
          <cell r="E38" t="str">
            <v>102330</v>
          </cell>
          <cell r="F38" t="str">
            <v>Chris Giraldes</v>
          </cell>
          <cell r="G38">
            <v>117875</v>
          </cell>
          <cell r="H38">
            <v>56.67067307692308</v>
          </cell>
          <cell r="O38" t="str">
            <v>102330</v>
          </cell>
          <cell r="P38" t="str">
            <v>Chris Giraldes</v>
          </cell>
          <cell r="Q38">
            <v>2080</v>
          </cell>
          <cell r="R38">
            <v>116327.04000000002</v>
          </cell>
          <cell r="Y38" t="str">
            <v>307663</v>
          </cell>
          <cell r="Z38" t="str">
            <v>Clarence Devela</v>
          </cell>
          <cell r="AA38">
            <v>89.499984999999967</v>
          </cell>
          <cell r="AB38">
            <v>2443.2399999999993</v>
          </cell>
          <cell r="AH38" t="str">
            <v>114046</v>
          </cell>
          <cell r="AI38" t="str">
            <v>Daniel Woodley</v>
          </cell>
          <cell r="AJ38">
            <v>3024.9999999999941</v>
          </cell>
          <cell r="AP38" t="str">
            <v>114356</v>
          </cell>
          <cell r="AQ38" t="str">
            <v>Fred Matney</v>
          </cell>
          <cell r="AR38">
            <v>527.95000000000005</v>
          </cell>
        </row>
        <row r="39">
          <cell r="E39" t="str">
            <v>117935</v>
          </cell>
          <cell r="F39" t="str">
            <v>Christina Moulden</v>
          </cell>
          <cell r="G39">
            <v>22.62</v>
          </cell>
          <cell r="H39">
            <v>22.62</v>
          </cell>
          <cell r="O39" t="str">
            <v>117935</v>
          </cell>
          <cell r="P39" t="str">
            <v>Christina Moulden</v>
          </cell>
          <cell r="Q39">
            <v>2081.2499980000002</v>
          </cell>
          <cell r="R39">
            <v>47305.099999999984</v>
          </cell>
          <cell r="Y39" t="str">
            <v>116292</v>
          </cell>
          <cell r="Z39" t="str">
            <v>Colin Piper</v>
          </cell>
          <cell r="AA39">
            <v>305.90000700000002</v>
          </cell>
          <cell r="AB39">
            <v>12139.289999999999</v>
          </cell>
          <cell r="AH39" t="str">
            <v>303995</v>
          </cell>
          <cell r="AI39" t="str">
            <v>Darren Laube</v>
          </cell>
          <cell r="AJ39">
            <v>1558.3299999999988</v>
          </cell>
          <cell r="AP39" t="str">
            <v>114375</v>
          </cell>
          <cell r="AQ39" t="str">
            <v>Harold Thompson</v>
          </cell>
          <cell r="AR39">
            <v>15521.41</v>
          </cell>
        </row>
        <row r="40">
          <cell r="E40" t="str">
            <v>307663</v>
          </cell>
          <cell r="F40" t="str">
            <v>Clarence Devela</v>
          </cell>
          <cell r="G40">
            <v>18</v>
          </cell>
          <cell r="H40">
            <v>18</v>
          </cell>
          <cell r="O40" t="str">
            <v>307663</v>
          </cell>
          <cell r="P40" t="str">
            <v>Clarence Devela</v>
          </cell>
          <cell r="Q40">
            <v>2060.8333299999999</v>
          </cell>
          <cell r="R40">
            <v>37257.01</v>
          </cell>
          <cell r="Y40" t="str">
            <v>315152</v>
          </cell>
          <cell r="Z40" t="str">
            <v>Collin Northern</v>
          </cell>
          <cell r="AA40">
            <v>29.900002999999998</v>
          </cell>
          <cell r="AB40">
            <v>1121.29</v>
          </cell>
          <cell r="AH40" t="str">
            <v>114225</v>
          </cell>
          <cell r="AI40" t="str">
            <v>Darryl Smith</v>
          </cell>
          <cell r="AJ40">
            <v>1024.9999999999995</v>
          </cell>
          <cell r="AP40" t="str">
            <v>153189</v>
          </cell>
          <cell r="AQ40" t="str">
            <v>Harvey Trautmann</v>
          </cell>
          <cell r="AR40">
            <v>3899.93</v>
          </cell>
        </row>
        <row r="41">
          <cell r="E41" t="str">
            <v>116292</v>
          </cell>
          <cell r="F41" t="str">
            <v>Colin Piper</v>
          </cell>
          <cell r="G41">
            <v>25.9</v>
          </cell>
          <cell r="H41">
            <v>25.9</v>
          </cell>
          <cell r="O41" t="str">
            <v>116292</v>
          </cell>
          <cell r="P41" t="str">
            <v>Colin Piper</v>
          </cell>
          <cell r="Q41">
            <v>2150.5833309999998</v>
          </cell>
          <cell r="R41">
            <v>55930.599999999991</v>
          </cell>
          <cell r="Y41" t="str">
            <v>114125</v>
          </cell>
          <cell r="Z41" t="str">
            <v>Craig Woelke</v>
          </cell>
          <cell r="AA41">
            <v>160.01665899999995</v>
          </cell>
          <cell r="AB41">
            <v>5806.8300000000027</v>
          </cell>
          <cell r="AH41" t="str">
            <v>114306</v>
          </cell>
          <cell r="AI41" t="str">
            <v>David Maldonado</v>
          </cell>
          <cell r="AJ41">
            <v>774.99999999999955</v>
          </cell>
          <cell r="AP41" t="str">
            <v>117513</v>
          </cell>
          <cell r="AQ41" t="str">
            <v>Ian Marsh</v>
          </cell>
          <cell r="AR41">
            <v>1101.3399999999999</v>
          </cell>
        </row>
        <row r="42">
          <cell r="E42" t="str">
            <v>315152</v>
          </cell>
          <cell r="F42" t="str">
            <v>Collin Northern</v>
          </cell>
          <cell r="G42">
            <v>25</v>
          </cell>
          <cell r="H42">
            <v>25</v>
          </cell>
          <cell r="O42" t="str">
            <v>315152</v>
          </cell>
          <cell r="P42" t="str">
            <v>Collin Northern</v>
          </cell>
          <cell r="Q42">
            <v>220.91666599999999</v>
          </cell>
          <cell r="R42">
            <v>5522.92</v>
          </cell>
          <cell r="Y42" t="str">
            <v>158867</v>
          </cell>
          <cell r="Z42" t="str">
            <v>Cristobal Cruz</v>
          </cell>
          <cell r="AA42">
            <v>287.86666599999995</v>
          </cell>
          <cell r="AB42">
            <v>9960.7200000000048</v>
          </cell>
          <cell r="AH42" t="str">
            <v>303118</v>
          </cell>
          <cell r="AI42" t="str">
            <v>David Santana</v>
          </cell>
          <cell r="AJ42">
            <v>1224.9999999999995</v>
          </cell>
          <cell r="AP42" t="str">
            <v>303996</v>
          </cell>
          <cell r="AQ42" t="str">
            <v>Jacob Hyneman</v>
          </cell>
          <cell r="AR42">
            <v>405.27</v>
          </cell>
        </row>
        <row r="43">
          <cell r="E43" t="str">
            <v>151257</v>
          </cell>
          <cell r="F43" t="str">
            <v>Cory Devela</v>
          </cell>
          <cell r="G43">
            <v>72465.210000000006</v>
          </cell>
          <cell r="H43">
            <v>34.839043269230771</v>
          </cell>
          <cell r="O43" t="str">
            <v>151257</v>
          </cell>
          <cell r="P43" t="str">
            <v>Cory Devela</v>
          </cell>
          <cell r="Q43">
            <v>600</v>
          </cell>
          <cell r="R43">
            <v>20665.560000000001</v>
          </cell>
          <cell r="Y43" t="str">
            <v>309607</v>
          </cell>
          <cell r="Z43" t="str">
            <v>Daniel Guillen</v>
          </cell>
          <cell r="AA43">
            <v>467.65000300000008</v>
          </cell>
          <cell r="AB43">
            <v>18772.01999999999</v>
          </cell>
          <cell r="AH43" t="str">
            <v>309849</v>
          </cell>
          <cell r="AI43" t="str">
            <v>Dawn Myers</v>
          </cell>
          <cell r="AJ43">
            <v>70</v>
          </cell>
          <cell r="AP43" t="str">
            <v>150158</v>
          </cell>
          <cell r="AQ43" t="str">
            <v>James Brannon</v>
          </cell>
          <cell r="AR43">
            <v>2167.6099999999997</v>
          </cell>
        </row>
        <row r="44">
          <cell r="E44" t="str">
            <v>114125</v>
          </cell>
          <cell r="F44" t="str">
            <v>Craig Woelke</v>
          </cell>
          <cell r="G44">
            <v>23.69</v>
          </cell>
          <cell r="H44">
            <v>23.69</v>
          </cell>
          <cell r="O44" t="str">
            <v>114125</v>
          </cell>
          <cell r="P44" t="str">
            <v>Craig Woelke</v>
          </cell>
          <cell r="Q44">
            <v>2056.8833340000001</v>
          </cell>
          <cell r="R44">
            <v>49156.139999999985</v>
          </cell>
          <cell r="Y44" t="str">
            <v>114046</v>
          </cell>
          <cell r="Z44" t="str">
            <v>Daniel Woodley</v>
          </cell>
          <cell r="AA44">
            <v>538.05000499999983</v>
          </cell>
          <cell r="AB44">
            <v>21700.049999999981</v>
          </cell>
          <cell r="AH44" t="str">
            <v>155994</v>
          </cell>
          <cell r="AI44" t="str">
            <v>Dawn Rowell</v>
          </cell>
          <cell r="AJ44">
            <v>275.00000000000011</v>
          </cell>
          <cell r="AP44" t="str">
            <v>153491</v>
          </cell>
          <cell r="AQ44" t="str">
            <v>James Joyes</v>
          </cell>
          <cell r="AR44">
            <v>2055.36</v>
          </cell>
        </row>
        <row r="45">
          <cell r="E45" t="str">
            <v>158867</v>
          </cell>
          <cell r="F45" t="str">
            <v>Cristobal Cruz</v>
          </cell>
          <cell r="G45">
            <v>26.5</v>
          </cell>
          <cell r="H45">
            <v>26.5</v>
          </cell>
          <cell r="O45" t="str">
            <v>158867</v>
          </cell>
          <cell r="P45" t="str">
            <v>Cristobal Cruz</v>
          </cell>
          <cell r="Q45">
            <v>2093.0833339999999</v>
          </cell>
          <cell r="R45">
            <v>47036.759999999995</v>
          </cell>
          <cell r="Y45" t="str">
            <v>303995</v>
          </cell>
          <cell r="Z45" t="str">
            <v>Darren Laube</v>
          </cell>
          <cell r="AA45">
            <v>214.49999599999998</v>
          </cell>
          <cell r="AB45">
            <v>9523.06</v>
          </cell>
          <cell r="AH45" t="str">
            <v>158763</v>
          </cell>
          <cell r="AI45" t="str">
            <v>Deana Gakpe</v>
          </cell>
          <cell r="AJ45">
            <v>1960.0000000000002</v>
          </cell>
          <cell r="AP45" t="str">
            <v>114170</v>
          </cell>
          <cell r="AQ45" t="str">
            <v>James Treece</v>
          </cell>
          <cell r="AR45">
            <v>5141.8599999999997</v>
          </cell>
        </row>
        <row r="46">
          <cell r="E46" t="str">
            <v>309607</v>
          </cell>
          <cell r="F46" t="str">
            <v>Daniel Guillen</v>
          </cell>
          <cell r="G46">
            <v>26.63</v>
          </cell>
          <cell r="H46">
            <v>26.63</v>
          </cell>
          <cell r="O46" t="str">
            <v>309607</v>
          </cell>
          <cell r="P46" t="str">
            <v>Daniel Guillen</v>
          </cell>
          <cell r="Q46">
            <v>1815.9033349999997</v>
          </cell>
          <cell r="R46">
            <v>48840.17</v>
          </cell>
          <cell r="Y46" t="str">
            <v>114225</v>
          </cell>
          <cell r="Z46" t="str">
            <v>Darryl Smith</v>
          </cell>
          <cell r="AA46">
            <v>108.91666500000001</v>
          </cell>
          <cell r="AB46">
            <v>4398.1400000000003</v>
          </cell>
          <cell r="AH46" t="str">
            <v>302976</v>
          </cell>
          <cell r="AI46" t="str">
            <v>Dianna Chhom</v>
          </cell>
          <cell r="AJ46">
            <v>2630</v>
          </cell>
          <cell r="AP46" t="str">
            <v>114008</v>
          </cell>
          <cell r="AQ46" t="str">
            <v>Jamie Arnold</v>
          </cell>
          <cell r="AR46">
            <v>441.8</v>
          </cell>
        </row>
        <row r="47">
          <cell r="E47" t="str">
            <v>114046</v>
          </cell>
          <cell r="F47" t="str">
            <v>Daniel Woodley</v>
          </cell>
          <cell r="G47">
            <v>26.95</v>
          </cell>
          <cell r="H47">
            <v>26.95</v>
          </cell>
          <cell r="O47" t="str">
            <v>114046</v>
          </cell>
          <cell r="P47" t="str">
            <v>Daniel Woodley</v>
          </cell>
          <cell r="Q47">
            <v>2065.083333</v>
          </cell>
          <cell r="R47">
            <v>54756.52</v>
          </cell>
          <cell r="Y47" t="str">
            <v>114306</v>
          </cell>
          <cell r="Z47" t="str">
            <v>David Maldonado</v>
          </cell>
          <cell r="AA47">
            <v>499.29999799999996</v>
          </cell>
          <cell r="AB47">
            <v>20060.420000000002</v>
          </cell>
          <cell r="AH47" t="str">
            <v>300874</v>
          </cell>
          <cell r="AI47" t="str">
            <v>Donald Cisney</v>
          </cell>
          <cell r="AJ47">
            <v>1075.0000000000002</v>
          </cell>
          <cell r="AP47" t="str">
            <v>113933</v>
          </cell>
          <cell r="AQ47" t="str">
            <v>Jamie Reed</v>
          </cell>
          <cell r="AR47">
            <v>1428.94</v>
          </cell>
        </row>
        <row r="48">
          <cell r="E48" t="str">
            <v>303995</v>
          </cell>
          <cell r="F48" t="str">
            <v>Darren Laube</v>
          </cell>
          <cell r="G48">
            <v>29.35</v>
          </cell>
          <cell r="H48">
            <v>29.35</v>
          </cell>
          <cell r="O48" t="str">
            <v>303995</v>
          </cell>
          <cell r="P48" t="str">
            <v>Darren Laube</v>
          </cell>
          <cell r="Q48">
            <v>2071.137569</v>
          </cell>
          <cell r="R48">
            <v>61285.910000000018</v>
          </cell>
          <cell r="Y48" t="str">
            <v>303118</v>
          </cell>
          <cell r="Z48" t="str">
            <v>David Santana</v>
          </cell>
          <cell r="AA48">
            <v>538.30000099999995</v>
          </cell>
          <cell r="AB48">
            <v>21841.03</v>
          </cell>
          <cell r="AH48" t="str">
            <v>114277</v>
          </cell>
          <cell r="AI48" t="str">
            <v>Duane Hackney</v>
          </cell>
          <cell r="AJ48">
            <v>3024.9999999999941</v>
          </cell>
          <cell r="AP48" t="str">
            <v>114261</v>
          </cell>
          <cell r="AQ48" t="str">
            <v>Jamie Simatic</v>
          </cell>
          <cell r="AR48">
            <v>1279.6699999999998</v>
          </cell>
        </row>
        <row r="49">
          <cell r="E49" t="str">
            <v>114225</v>
          </cell>
          <cell r="F49" t="str">
            <v>Darryl Smith</v>
          </cell>
          <cell r="G49">
            <v>26.95</v>
          </cell>
          <cell r="H49">
            <v>26.95</v>
          </cell>
          <cell r="O49" t="str">
            <v>114225</v>
          </cell>
          <cell r="P49" t="str">
            <v>Darryl Smith</v>
          </cell>
          <cell r="Q49">
            <v>2076.1133319999999</v>
          </cell>
          <cell r="R49">
            <v>55255.559999999983</v>
          </cell>
          <cell r="Y49" t="str">
            <v>309849</v>
          </cell>
          <cell r="Z49" t="str">
            <v>Dawn Myers</v>
          </cell>
          <cell r="AA49">
            <v>12.066666</v>
          </cell>
          <cell r="AB49">
            <v>289.61</v>
          </cell>
          <cell r="AH49" t="str">
            <v>156628</v>
          </cell>
          <cell r="AI49" t="str">
            <v>Dylan Perry</v>
          </cell>
          <cell r="AJ49">
            <v>3024.9999999999941</v>
          </cell>
          <cell r="AP49" t="str">
            <v>158845</v>
          </cell>
          <cell r="AQ49" t="str">
            <v>Jason Knudtson</v>
          </cell>
          <cell r="AR49">
            <v>209.92</v>
          </cell>
        </row>
        <row r="50">
          <cell r="E50" t="str">
            <v>114306</v>
          </cell>
          <cell r="F50" t="str">
            <v>David Maldonado</v>
          </cell>
          <cell r="G50">
            <v>26.95</v>
          </cell>
          <cell r="H50">
            <v>26.95</v>
          </cell>
          <cell r="O50" t="str">
            <v>114306</v>
          </cell>
          <cell r="P50" t="str">
            <v>David Maldonado</v>
          </cell>
          <cell r="Q50">
            <v>2095.8166659999997</v>
          </cell>
          <cell r="R50">
            <v>55963.849999999991</v>
          </cell>
          <cell r="Y50" t="str">
            <v>155994</v>
          </cell>
          <cell r="Z50" t="str">
            <v>Dawn Rowell</v>
          </cell>
          <cell r="AA50">
            <v>161.13333100000006</v>
          </cell>
          <cell r="AB50">
            <v>6420.4300000000012</v>
          </cell>
          <cell r="AH50" t="str">
            <v>115563</v>
          </cell>
          <cell r="AI50" t="str">
            <v>Edward Worden</v>
          </cell>
          <cell r="AJ50">
            <v>1024.9999999999995</v>
          </cell>
          <cell r="AP50" t="str">
            <v>114309</v>
          </cell>
          <cell r="AQ50" t="str">
            <v>Jeffrey Marsh</v>
          </cell>
          <cell r="AR50">
            <v>1087.3599999999999</v>
          </cell>
        </row>
        <row r="51">
          <cell r="E51" t="str">
            <v>303118</v>
          </cell>
          <cell r="F51" t="str">
            <v>David Santana</v>
          </cell>
          <cell r="G51">
            <v>20.21</v>
          </cell>
          <cell r="H51">
            <v>20.21</v>
          </cell>
          <cell r="O51" t="str">
            <v>303118</v>
          </cell>
          <cell r="P51" t="str">
            <v>David Santana</v>
          </cell>
          <cell r="Q51">
            <v>2090.9499999999998</v>
          </cell>
          <cell r="R51">
            <v>56357.91</v>
          </cell>
          <cell r="Y51" t="str">
            <v>158763</v>
          </cell>
          <cell r="Z51" t="str">
            <v>Deana Gakpe</v>
          </cell>
          <cell r="AA51">
            <v>387.43333200000012</v>
          </cell>
          <cell r="AB51">
            <v>12701.790000000003</v>
          </cell>
          <cell r="AH51" t="str">
            <v>313960</v>
          </cell>
          <cell r="AI51" t="str">
            <v>Erica Schmitz</v>
          </cell>
          <cell r="AJ51">
            <v>470</v>
          </cell>
          <cell r="AP51" t="str">
            <v>114427</v>
          </cell>
          <cell r="AQ51" t="str">
            <v>Jeremiah Day</v>
          </cell>
          <cell r="AR51">
            <v>1903.85</v>
          </cell>
        </row>
        <row r="52">
          <cell r="E52" t="str">
            <v>309849</v>
          </cell>
          <cell r="F52" t="str">
            <v>Dawn Myers</v>
          </cell>
          <cell r="G52">
            <v>16</v>
          </cell>
          <cell r="H52">
            <v>16</v>
          </cell>
          <cell r="O52" t="str">
            <v>309849</v>
          </cell>
          <cell r="P52" t="str">
            <v>Dawn Myers</v>
          </cell>
          <cell r="Q52">
            <v>190.066666</v>
          </cell>
          <cell r="R52">
            <v>3041.07</v>
          </cell>
          <cell r="Y52" t="str">
            <v>114407</v>
          </cell>
          <cell r="Z52" t="str">
            <v>Debbie Nowak</v>
          </cell>
          <cell r="AA52">
            <v>86.650006999999974</v>
          </cell>
          <cell r="AB52">
            <v>4375.6799999999994</v>
          </cell>
          <cell r="AH52" t="str">
            <v>157938</v>
          </cell>
          <cell r="AI52" t="str">
            <v>Ethan Carpenter</v>
          </cell>
          <cell r="AJ52">
            <v>250.00000000000006</v>
          </cell>
          <cell r="AP52" t="str">
            <v>154368</v>
          </cell>
          <cell r="AQ52" t="str">
            <v>Jeremy Andrews</v>
          </cell>
          <cell r="AR52">
            <v>19.239999999999998</v>
          </cell>
        </row>
        <row r="53">
          <cell r="E53" t="str">
            <v>155994</v>
          </cell>
          <cell r="F53" t="str">
            <v>Dawn Rowell</v>
          </cell>
          <cell r="G53">
            <v>26.95</v>
          </cell>
          <cell r="H53">
            <v>26.95</v>
          </cell>
          <cell r="O53" t="str">
            <v>155994</v>
          </cell>
          <cell r="P53" t="str">
            <v>Dawn Rowell</v>
          </cell>
          <cell r="Q53">
            <v>2079.9466659999998</v>
          </cell>
          <cell r="R53">
            <v>55148.369999999995</v>
          </cell>
          <cell r="Y53" t="str">
            <v>315056</v>
          </cell>
          <cell r="Z53" t="str">
            <v>Dewayne Long</v>
          </cell>
          <cell r="AA53">
            <v>53.033333000000006</v>
          </cell>
          <cell r="AB53">
            <v>2108.12</v>
          </cell>
          <cell r="AH53" t="str">
            <v>114052</v>
          </cell>
          <cell r="AI53" t="str">
            <v>Evan Williamson</v>
          </cell>
          <cell r="AJ53">
            <v>3074.9999999999945</v>
          </cell>
          <cell r="AP53" t="str">
            <v>114254</v>
          </cell>
          <cell r="AQ53" t="str">
            <v>Jessica Soto</v>
          </cell>
          <cell r="AR53">
            <v>2859.99</v>
          </cell>
        </row>
        <row r="54">
          <cell r="E54" t="str">
            <v>158763</v>
          </cell>
          <cell r="F54" t="str">
            <v>Deana Gakpe</v>
          </cell>
          <cell r="G54">
            <v>21.5</v>
          </cell>
          <cell r="H54">
            <v>21.5</v>
          </cell>
          <cell r="O54" t="str">
            <v>158763</v>
          </cell>
          <cell r="P54" t="str">
            <v>Deana Gakpe</v>
          </cell>
          <cell r="Q54">
            <v>2085.361633</v>
          </cell>
          <cell r="R54">
            <v>44977.950000000004</v>
          </cell>
          <cell r="Y54" t="str">
            <v>302976</v>
          </cell>
          <cell r="Z54" t="str">
            <v>Dianna Chhom</v>
          </cell>
          <cell r="AA54">
            <v>218.85001099999999</v>
          </cell>
          <cell r="AB54">
            <v>5664.2999999999993</v>
          </cell>
          <cell r="AH54" t="str">
            <v>303943</v>
          </cell>
          <cell r="AI54" t="str">
            <v>Felicia Cort</v>
          </cell>
          <cell r="AJ54">
            <v>1025.0000000000002</v>
          </cell>
          <cell r="AP54" t="str">
            <v>153114</v>
          </cell>
          <cell r="AQ54" t="str">
            <v>Joe Foo</v>
          </cell>
          <cell r="AR54">
            <v>1038</v>
          </cell>
        </row>
        <row r="55">
          <cell r="E55" t="str">
            <v>114407</v>
          </cell>
          <cell r="F55" t="str">
            <v>Debbie Nowak</v>
          </cell>
          <cell r="G55">
            <v>33.74</v>
          </cell>
          <cell r="H55">
            <v>33.74</v>
          </cell>
          <cell r="O55" t="str">
            <v>114407</v>
          </cell>
          <cell r="P55" t="str">
            <v>Debbie Nowak</v>
          </cell>
          <cell r="Q55">
            <v>2066.4866339999999</v>
          </cell>
          <cell r="R55">
            <v>70065.14999999998</v>
          </cell>
          <cell r="Y55" t="str">
            <v>300874</v>
          </cell>
          <cell r="Z55" t="str">
            <v>Donald Cisney</v>
          </cell>
          <cell r="AA55">
            <v>290.25000099999983</v>
          </cell>
          <cell r="AB55">
            <v>12079.249999999998</v>
          </cell>
          <cell r="AH55" t="str">
            <v>157941</v>
          </cell>
          <cell r="AI55" t="str">
            <v>Freddie Hood</v>
          </cell>
          <cell r="AJ55">
            <v>2774.9999999999955</v>
          </cell>
          <cell r="AP55" t="str">
            <v>156273</v>
          </cell>
          <cell r="AQ55" t="str">
            <v>John Atoigue-Ratliff</v>
          </cell>
          <cell r="AR55">
            <v>822.57</v>
          </cell>
        </row>
        <row r="56">
          <cell r="E56" t="str">
            <v>152931</v>
          </cell>
          <cell r="F56" t="str">
            <v>Destini Wilson</v>
          </cell>
          <cell r="G56">
            <v>61500</v>
          </cell>
          <cell r="H56">
            <v>29.567307692307693</v>
          </cell>
          <cell r="O56" t="str">
            <v>152931</v>
          </cell>
          <cell r="P56" t="str">
            <v>Destini Wilson</v>
          </cell>
          <cell r="Q56">
            <v>2080</v>
          </cell>
          <cell r="R56">
            <v>61298.229999999981</v>
          </cell>
          <cell r="Y56" t="str">
            <v>114277</v>
          </cell>
          <cell r="Z56" t="str">
            <v>Duane Hackney</v>
          </cell>
          <cell r="AA56">
            <v>205.28333700000002</v>
          </cell>
          <cell r="AB56">
            <v>8836.9899999999943</v>
          </cell>
          <cell r="AH56" t="str">
            <v>305861</v>
          </cell>
          <cell r="AI56" t="str">
            <v>Gary Del Castillo</v>
          </cell>
          <cell r="AJ56">
            <v>1416.6700000000021</v>
          </cell>
          <cell r="AP56" t="str">
            <v>113921</v>
          </cell>
          <cell r="AQ56" t="str">
            <v>John Eldridge</v>
          </cell>
          <cell r="AR56">
            <v>3730.58</v>
          </cell>
        </row>
        <row r="57">
          <cell r="E57" t="str">
            <v>315056</v>
          </cell>
          <cell r="F57" t="str">
            <v>Dewayne Long</v>
          </cell>
          <cell r="G57">
            <v>26.5</v>
          </cell>
          <cell r="H57">
            <v>26.5</v>
          </cell>
          <cell r="O57" t="str">
            <v>315056</v>
          </cell>
          <cell r="P57" t="str">
            <v>Dewayne Long</v>
          </cell>
          <cell r="Q57">
            <v>200</v>
          </cell>
          <cell r="R57">
            <v>5300</v>
          </cell>
          <cell r="Y57" t="str">
            <v>156628</v>
          </cell>
          <cell r="Z57" t="str">
            <v>Dylan Perry</v>
          </cell>
          <cell r="AA57">
            <v>110.24999200000001</v>
          </cell>
          <cell r="AB57">
            <v>2751.7300000000009</v>
          </cell>
          <cell r="AH57" t="str">
            <v>300527</v>
          </cell>
          <cell r="AI57" t="str">
            <v>Gary Savage</v>
          </cell>
          <cell r="AJ57">
            <v>3074.9999999999945</v>
          </cell>
          <cell r="AP57" t="str">
            <v>114013</v>
          </cell>
          <cell r="AQ57" t="str">
            <v>John Holder</v>
          </cell>
          <cell r="AR57">
            <v>944.17</v>
          </cell>
        </row>
        <row r="58">
          <cell r="E58" t="str">
            <v>302976</v>
          </cell>
          <cell r="F58" t="str">
            <v>Dianna Chhom</v>
          </cell>
          <cell r="G58">
            <v>16.809999999999999</v>
          </cell>
          <cell r="H58">
            <v>16.809999999999999</v>
          </cell>
          <cell r="O58" t="str">
            <v>302976</v>
          </cell>
          <cell r="P58" t="str">
            <v>Dianna Chhom</v>
          </cell>
          <cell r="Q58">
            <v>2099.9080359999998</v>
          </cell>
          <cell r="R58">
            <v>35599.830000000009</v>
          </cell>
          <cell r="Y58" t="str">
            <v>115563</v>
          </cell>
          <cell r="Z58" t="str">
            <v>Edward Worden</v>
          </cell>
          <cell r="AA58">
            <v>110.35000000000001</v>
          </cell>
          <cell r="AB58">
            <v>4420.1100000000006</v>
          </cell>
          <cell r="AH58" t="str">
            <v>311423</v>
          </cell>
          <cell r="AI58" t="str">
            <v>Hannah Ljunggren</v>
          </cell>
          <cell r="AJ58">
            <v>415</v>
          </cell>
          <cell r="AP58" t="str">
            <v>118011</v>
          </cell>
          <cell r="AQ58" t="str">
            <v>John Nusbaum</v>
          </cell>
          <cell r="AR58">
            <v>393.6</v>
          </cell>
        </row>
        <row r="59">
          <cell r="E59" t="str">
            <v>300874</v>
          </cell>
          <cell r="F59" t="str">
            <v>Donald Cisney</v>
          </cell>
          <cell r="G59">
            <v>27.45</v>
          </cell>
          <cell r="H59">
            <v>27.45</v>
          </cell>
          <cell r="O59" t="str">
            <v>300874</v>
          </cell>
          <cell r="P59" t="str">
            <v>Donald Cisney</v>
          </cell>
          <cell r="Q59">
            <v>2038.0666679999999</v>
          </cell>
          <cell r="R59">
            <v>56442.009999999995</v>
          </cell>
          <cell r="Y59" t="str">
            <v>314324</v>
          </cell>
          <cell r="Z59" t="str">
            <v>Edwin Smith</v>
          </cell>
          <cell r="AA59">
            <v>182.10000100000002</v>
          </cell>
          <cell r="AB59">
            <v>7238.61</v>
          </cell>
          <cell r="AH59" t="str">
            <v>153189</v>
          </cell>
          <cell r="AI59" t="str">
            <v>Harvey Trautmann</v>
          </cell>
          <cell r="AJ59">
            <v>1024.9999999999993</v>
          </cell>
          <cell r="AP59" t="str">
            <v>153486</v>
          </cell>
          <cell r="AQ59" t="str">
            <v>Joshua Arvin</v>
          </cell>
          <cell r="AR59">
            <v>942.8</v>
          </cell>
        </row>
        <row r="60">
          <cell r="E60" t="str">
            <v>114277</v>
          </cell>
          <cell r="F60" t="str">
            <v>Duane Hackney</v>
          </cell>
          <cell r="G60">
            <v>28.14</v>
          </cell>
          <cell r="H60">
            <v>28.14</v>
          </cell>
          <cell r="O60" t="str">
            <v>114277</v>
          </cell>
          <cell r="P60" t="str">
            <v>Duane Hackney</v>
          </cell>
          <cell r="Q60">
            <v>2095.5333269999996</v>
          </cell>
          <cell r="R60">
            <v>59443.779999999992</v>
          </cell>
          <cell r="Y60" t="str">
            <v>313960</v>
          </cell>
          <cell r="Z60" t="str">
            <v>Erica Schmitz</v>
          </cell>
          <cell r="AA60">
            <v>32.500003999999997</v>
          </cell>
          <cell r="AB60">
            <v>810.14</v>
          </cell>
          <cell r="AH60" t="str">
            <v>301110</v>
          </cell>
          <cell r="AI60" t="str">
            <v>Henry Jones</v>
          </cell>
          <cell r="AJ60">
            <v>774.99999999999955</v>
          </cell>
          <cell r="AP60" t="str">
            <v>113947</v>
          </cell>
          <cell r="AQ60" t="str">
            <v>Kendall Carver</v>
          </cell>
          <cell r="AR60">
            <v>1752.9699999999998</v>
          </cell>
        </row>
        <row r="61">
          <cell r="E61" t="str">
            <v>156628</v>
          </cell>
          <cell r="F61" t="str">
            <v>Dylan Perry</v>
          </cell>
          <cell r="G61">
            <v>16.29</v>
          </cell>
          <cell r="H61">
            <v>16.29</v>
          </cell>
          <cell r="O61" t="str">
            <v>156628</v>
          </cell>
          <cell r="P61" t="str">
            <v>Dylan Perry</v>
          </cell>
          <cell r="Q61">
            <v>2059.6999980000001</v>
          </cell>
          <cell r="R61">
            <v>33602.609999999979</v>
          </cell>
          <cell r="Y61" t="str">
            <v>157938</v>
          </cell>
          <cell r="Z61" t="str">
            <v>Ethan Carpenter</v>
          </cell>
          <cell r="AA61">
            <v>337.41666900000001</v>
          </cell>
          <cell r="AB61">
            <v>13463.789999999999</v>
          </cell>
          <cell r="AH61" t="str">
            <v>117513</v>
          </cell>
          <cell r="AI61" t="str">
            <v>Ian Marsh</v>
          </cell>
          <cell r="AJ61">
            <v>774.99999999999955</v>
          </cell>
          <cell r="AP61" t="str">
            <v>114098</v>
          </cell>
          <cell r="AQ61" t="str">
            <v>Kenneth Bender</v>
          </cell>
          <cell r="AR61">
            <v>4812.5200000000004</v>
          </cell>
        </row>
        <row r="62">
          <cell r="E62" t="str">
            <v>115563</v>
          </cell>
          <cell r="F62" t="str">
            <v>Edward Worden</v>
          </cell>
          <cell r="G62">
            <v>26.95</v>
          </cell>
          <cell r="H62">
            <v>26.95</v>
          </cell>
          <cell r="O62" t="str">
            <v>115563</v>
          </cell>
          <cell r="P62" t="str">
            <v>Edward Worden</v>
          </cell>
          <cell r="Q62">
            <v>2053.609997</v>
          </cell>
          <cell r="R62">
            <v>54881.999999999993</v>
          </cell>
          <cell r="Y62" t="str">
            <v>114052</v>
          </cell>
          <cell r="Z62" t="str">
            <v>Evan Williamson</v>
          </cell>
          <cell r="AA62">
            <v>146.20000300000001</v>
          </cell>
          <cell r="AB62">
            <v>5784.3200000000015</v>
          </cell>
          <cell r="AH62" t="str">
            <v>303996</v>
          </cell>
          <cell r="AI62" t="str">
            <v>Jacob Hyneman</v>
          </cell>
          <cell r="AJ62">
            <v>1733.3299999999974</v>
          </cell>
          <cell r="AP62" t="str">
            <v>114301</v>
          </cell>
          <cell r="AQ62" t="str">
            <v>Kevin Adams</v>
          </cell>
          <cell r="AR62">
            <v>943.99</v>
          </cell>
        </row>
        <row r="63">
          <cell r="E63" t="str">
            <v>314324</v>
          </cell>
          <cell r="F63" t="str">
            <v>Edwin Smith</v>
          </cell>
          <cell r="G63">
            <v>26.5</v>
          </cell>
          <cell r="H63">
            <v>26.5</v>
          </cell>
          <cell r="O63" t="str">
            <v>314324</v>
          </cell>
          <cell r="P63" t="str">
            <v>Edwin Smith</v>
          </cell>
          <cell r="Q63">
            <v>536</v>
          </cell>
          <cell r="R63">
            <v>14840</v>
          </cell>
          <cell r="Y63" t="str">
            <v>303943</v>
          </cell>
          <cell r="Z63" t="str">
            <v>Felicia Cort</v>
          </cell>
          <cell r="AA63">
            <v>17.233336000000001</v>
          </cell>
          <cell r="AB63">
            <v>441.03000000000003</v>
          </cell>
          <cell r="AH63" t="str">
            <v>150158</v>
          </cell>
          <cell r="AI63" t="str">
            <v>James Brannon</v>
          </cell>
          <cell r="AJ63">
            <v>1024.9999999999995</v>
          </cell>
          <cell r="AP63" t="str">
            <v>113952</v>
          </cell>
          <cell r="AQ63" t="str">
            <v>Lance Kinchen</v>
          </cell>
          <cell r="AR63">
            <v>4433.38</v>
          </cell>
        </row>
        <row r="64">
          <cell r="E64" t="str">
            <v>313960</v>
          </cell>
          <cell r="F64" t="str">
            <v>Erica Schmitz</v>
          </cell>
          <cell r="G64">
            <v>16.399999999999999</v>
          </cell>
          <cell r="H64">
            <v>16.399999999999999</v>
          </cell>
          <cell r="O64" t="str">
            <v>313960</v>
          </cell>
          <cell r="P64" t="str">
            <v>Erica Schmitz</v>
          </cell>
          <cell r="Q64">
            <v>586.10000300000002</v>
          </cell>
          <cell r="R64">
            <v>9743.26</v>
          </cell>
          <cell r="Y64" t="str">
            <v>304711</v>
          </cell>
          <cell r="Z64" t="str">
            <v>Francisco Sandoval</v>
          </cell>
          <cell r="AA64">
            <v>15.95</v>
          </cell>
          <cell r="AB64">
            <v>634.02</v>
          </cell>
          <cell r="AH64" t="str">
            <v>157875</v>
          </cell>
          <cell r="AI64" t="str">
            <v>James Buie</v>
          </cell>
          <cell r="AJ64">
            <v>3024.9999999999941</v>
          </cell>
          <cell r="AP64" t="str">
            <v>116312</v>
          </cell>
          <cell r="AQ64" t="str">
            <v>Marie Most</v>
          </cell>
          <cell r="AR64">
            <v>213.2</v>
          </cell>
        </row>
        <row r="65">
          <cell r="E65" t="str">
            <v>157938</v>
          </cell>
          <cell r="F65" t="str">
            <v>Ethan Carpenter</v>
          </cell>
          <cell r="G65">
            <v>26.95</v>
          </cell>
          <cell r="H65">
            <v>26.95</v>
          </cell>
          <cell r="O65" t="str">
            <v>157938</v>
          </cell>
          <cell r="P65" t="str">
            <v>Ethan Carpenter</v>
          </cell>
          <cell r="Q65">
            <v>2112.4733350000001</v>
          </cell>
          <cell r="R65">
            <v>56659.409999999996</v>
          </cell>
          <cell r="Y65" t="str">
            <v>157941</v>
          </cell>
          <cell r="Z65" t="str">
            <v>Freddie Hood</v>
          </cell>
          <cell r="AA65">
            <v>481.23333100000002</v>
          </cell>
          <cell r="AB65">
            <v>19705.249999999989</v>
          </cell>
          <cell r="AH65" t="str">
            <v>153491</v>
          </cell>
          <cell r="AI65" t="str">
            <v>James Joyes</v>
          </cell>
          <cell r="AJ65">
            <v>3024.9999999999941</v>
          </cell>
          <cell r="AP65" t="str">
            <v>114019</v>
          </cell>
          <cell r="AQ65" t="str">
            <v>Melissa Vanderziel</v>
          </cell>
          <cell r="AR65">
            <v>2954.69</v>
          </cell>
        </row>
        <row r="66">
          <cell r="E66" t="str">
            <v>114052</v>
          </cell>
          <cell r="F66" t="str">
            <v>Evan Williamson</v>
          </cell>
          <cell r="G66">
            <v>25.97</v>
          </cell>
          <cell r="H66">
            <v>25.97</v>
          </cell>
          <cell r="O66" t="str">
            <v>114052</v>
          </cell>
          <cell r="P66" t="str">
            <v>Evan Williamson</v>
          </cell>
          <cell r="Q66">
            <v>2061.1333330000002</v>
          </cell>
          <cell r="R66">
            <v>53773.990000000042</v>
          </cell>
          <cell r="Y66" t="str">
            <v>114356</v>
          </cell>
          <cell r="Z66" t="str">
            <v>Fred Matney</v>
          </cell>
          <cell r="AA66">
            <v>206.53332299999997</v>
          </cell>
          <cell r="AB66">
            <v>8182.6200000000008</v>
          </cell>
          <cell r="AH66" t="str">
            <v>301431</v>
          </cell>
          <cell r="AI66" t="str">
            <v>James O'Neall</v>
          </cell>
          <cell r="AJ66">
            <v>3024.9999999999945</v>
          </cell>
          <cell r="AP66" t="str">
            <v>304543</v>
          </cell>
          <cell r="AQ66" t="str">
            <v>Michael Savoury</v>
          </cell>
          <cell r="AR66">
            <v>131.84</v>
          </cell>
        </row>
        <row r="67">
          <cell r="E67" t="str">
            <v>303943</v>
          </cell>
          <cell r="F67" t="str">
            <v>Felicia Cort</v>
          </cell>
          <cell r="G67">
            <v>16.8</v>
          </cell>
          <cell r="H67">
            <v>16.8</v>
          </cell>
          <cell r="O67" t="str">
            <v>303943</v>
          </cell>
          <cell r="P67" t="str">
            <v>Felicia Cort</v>
          </cell>
          <cell r="Q67">
            <v>1084.7533390000001</v>
          </cell>
          <cell r="R67">
            <v>18696.999999999993</v>
          </cell>
          <cell r="Y67" t="str">
            <v>305861</v>
          </cell>
          <cell r="Z67" t="str">
            <v>Gary Del Castillo</v>
          </cell>
          <cell r="AA67">
            <v>398.90000300000003</v>
          </cell>
          <cell r="AB67">
            <v>16398.510000000002</v>
          </cell>
          <cell r="AH67" t="str">
            <v>114170</v>
          </cell>
          <cell r="AI67" t="str">
            <v>James Treece</v>
          </cell>
          <cell r="AJ67">
            <v>1199.9999999999998</v>
          </cell>
          <cell r="AP67" t="str">
            <v>114255</v>
          </cell>
          <cell r="AQ67" t="str">
            <v>Michelle Jester</v>
          </cell>
          <cell r="AR67">
            <v>1832.19</v>
          </cell>
        </row>
        <row r="68">
          <cell r="E68" t="str">
            <v>304711</v>
          </cell>
          <cell r="F68" t="str">
            <v>Francisco Sandoval</v>
          </cell>
          <cell r="G68">
            <v>26.5</v>
          </cell>
          <cell r="H68">
            <v>26.5</v>
          </cell>
          <cell r="O68" t="str">
            <v>304711</v>
          </cell>
          <cell r="P68" t="str">
            <v>Francisco Sandoval</v>
          </cell>
          <cell r="Q68">
            <v>105.6</v>
          </cell>
          <cell r="R68">
            <v>2798.4</v>
          </cell>
          <cell r="Y68" t="str">
            <v>300527</v>
          </cell>
          <cell r="Z68" t="str">
            <v>Gary Savage</v>
          </cell>
          <cell r="AA68">
            <v>371.54999499999991</v>
          </cell>
          <cell r="AB68">
            <v>16474.390000000014</v>
          </cell>
          <cell r="AH68" t="str">
            <v>114008</v>
          </cell>
          <cell r="AI68" t="str">
            <v>Jamie Arnold</v>
          </cell>
          <cell r="AJ68">
            <v>1024.9999999999995</v>
          </cell>
          <cell r="AP68" t="str">
            <v>115438</v>
          </cell>
          <cell r="AQ68" t="str">
            <v>Michelle Lloyd</v>
          </cell>
          <cell r="AR68">
            <v>1193.01</v>
          </cell>
        </row>
        <row r="69">
          <cell r="E69" t="str">
            <v>157941</v>
          </cell>
          <cell r="F69" t="str">
            <v>Freddie Hood</v>
          </cell>
          <cell r="G69">
            <v>28.3</v>
          </cell>
          <cell r="H69">
            <v>28.3</v>
          </cell>
          <cell r="O69" t="str">
            <v>157941</v>
          </cell>
          <cell r="P69" t="str">
            <v>Freddie Hood</v>
          </cell>
          <cell r="Q69">
            <v>2056.3166680000004</v>
          </cell>
          <cell r="R69">
            <v>56070.83</v>
          </cell>
          <cell r="Y69" t="str">
            <v>311423</v>
          </cell>
          <cell r="Z69" t="str">
            <v>Hannah Ljunggren</v>
          </cell>
          <cell r="AA69">
            <v>107.53333699999999</v>
          </cell>
          <cell r="AB69">
            <v>2691.8499999999995</v>
          </cell>
          <cell r="AH69" t="str">
            <v>113933</v>
          </cell>
          <cell r="AI69" t="str">
            <v>Jamie Reed</v>
          </cell>
          <cell r="AJ69">
            <v>2000.0000000000002</v>
          </cell>
          <cell r="AP69" t="str">
            <v>155192</v>
          </cell>
          <cell r="AQ69" t="str">
            <v>Nathan Sanders</v>
          </cell>
          <cell r="AR69">
            <v>1958.19</v>
          </cell>
        </row>
        <row r="70">
          <cell r="E70" t="str">
            <v>150541</v>
          </cell>
          <cell r="F70" t="str">
            <v>Frederick Vahl</v>
          </cell>
          <cell r="G70">
            <v>90000</v>
          </cell>
          <cell r="H70">
            <v>43.269230769230766</v>
          </cell>
          <cell r="O70" t="str">
            <v>150541</v>
          </cell>
          <cell r="P70" t="str">
            <v>Frederick Vahl</v>
          </cell>
          <cell r="Q70">
            <v>840</v>
          </cell>
          <cell r="R70">
            <v>36346.170000000006</v>
          </cell>
          <cell r="Y70" t="str">
            <v>153189</v>
          </cell>
          <cell r="Z70" t="str">
            <v>Harvey Trautmann</v>
          </cell>
          <cell r="AA70">
            <v>242.56666999999996</v>
          </cell>
          <cell r="AB70">
            <v>9698.590000000002</v>
          </cell>
          <cell r="AH70" t="str">
            <v>114261</v>
          </cell>
          <cell r="AI70" t="str">
            <v>Jamie Simatic</v>
          </cell>
          <cell r="AJ70">
            <v>3049.9999999999945</v>
          </cell>
          <cell r="AP70" t="str">
            <v>154133</v>
          </cell>
          <cell r="AQ70" t="str">
            <v>Nick Fredrickson</v>
          </cell>
          <cell r="AR70">
            <v>1427.38</v>
          </cell>
        </row>
        <row r="71">
          <cell r="E71" t="str">
            <v>114356</v>
          </cell>
          <cell r="F71" t="str">
            <v>Fred Matney</v>
          </cell>
          <cell r="G71">
            <v>26.95</v>
          </cell>
          <cell r="H71">
            <v>26.95</v>
          </cell>
          <cell r="O71" t="str">
            <v>114356</v>
          </cell>
          <cell r="P71" t="str">
            <v>Fred Matney</v>
          </cell>
          <cell r="Q71">
            <v>2042.2866690000001</v>
          </cell>
          <cell r="R71">
            <v>54373.539999999994</v>
          </cell>
          <cell r="Y71" t="str">
            <v>301110</v>
          </cell>
          <cell r="Z71" t="str">
            <v>Henry Jones</v>
          </cell>
          <cell r="AA71">
            <v>466.21667300000001</v>
          </cell>
          <cell r="AB71">
            <v>18878.350000000002</v>
          </cell>
          <cell r="AH71" t="str">
            <v>116805</v>
          </cell>
          <cell r="AI71" t="str">
            <v>Jana Maki</v>
          </cell>
          <cell r="AJ71">
            <v>3250</v>
          </cell>
          <cell r="AP71" t="str">
            <v>114337</v>
          </cell>
          <cell r="AQ71" t="str">
            <v>Noel Cockett</v>
          </cell>
          <cell r="AR71">
            <v>869.9</v>
          </cell>
        </row>
        <row r="72">
          <cell r="E72" t="str">
            <v>305861</v>
          </cell>
          <cell r="F72" t="str">
            <v>Gary Del Castillo</v>
          </cell>
          <cell r="G72">
            <v>28.33</v>
          </cell>
          <cell r="H72">
            <v>28.33</v>
          </cell>
          <cell r="O72" t="str">
            <v>305861</v>
          </cell>
          <cell r="P72" t="str">
            <v>Gary Del Castillo</v>
          </cell>
          <cell r="Q72">
            <v>2104.6</v>
          </cell>
          <cell r="R72">
            <v>57383.420000000006</v>
          </cell>
          <cell r="Y72" t="str">
            <v>117513</v>
          </cell>
          <cell r="Z72" t="str">
            <v>Ian Marsh</v>
          </cell>
          <cell r="AA72">
            <v>117.86666799999998</v>
          </cell>
          <cell r="AB72">
            <v>4693.1400000000003</v>
          </cell>
          <cell r="AH72" t="str">
            <v>158686</v>
          </cell>
          <cell r="AI72" t="str">
            <v>Jarad Wise</v>
          </cell>
          <cell r="AJ72">
            <v>1024.9999999999993</v>
          </cell>
          <cell r="AP72" t="str">
            <v>114102</v>
          </cell>
          <cell r="AQ72" t="str">
            <v>Paul Herde</v>
          </cell>
          <cell r="AR72">
            <v>2811.8900000000003</v>
          </cell>
        </row>
        <row r="73">
          <cell r="E73" t="str">
            <v>300527</v>
          </cell>
          <cell r="F73" t="str">
            <v>Gary Savage</v>
          </cell>
          <cell r="G73">
            <v>32</v>
          </cell>
          <cell r="H73">
            <v>32</v>
          </cell>
          <cell r="O73" t="str">
            <v>300527</v>
          </cell>
          <cell r="P73" t="str">
            <v>Gary Savage</v>
          </cell>
          <cell r="Q73">
            <v>2079.8166660000002</v>
          </cell>
          <cell r="R73">
            <v>61636.610000000008</v>
          </cell>
          <cell r="Y73" t="str">
            <v>303996</v>
          </cell>
          <cell r="Z73" t="str">
            <v>Jacob Hyneman</v>
          </cell>
          <cell r="AA73">
            <v>322.33333899999997</v>
          </cell>
          <cell r="AB73">
            <v>10185.120000000003</v>
          </cell>
          <cell r="AH73" t="str">
            <v>158845</v>
          </cell>
          <cell r="AI73" t="str">
            <v>Jason Knudtson</v>
          </cell>
          <cell r="AJ73">
            <v>3074.9999999999945</v>
          </cell>
          <cell r="AP73" t="str">
            <v>114180</v>
          </cell>
          <cell r="AQ73" t="str">
            <v>Randolph Heick</v>
          </cell>
          <cell r="AR73">
            <v>372</v>
          </cell>
        </row>
        <row r="74">
          <cell r="E74" t="str">
            <v>311423</v>
          </cell>
          <cell r="F74" t="str">
            <v>Hannah Ljunggren</v>
          </cell>
          <cell r="G74">
            <v>17</v>
          </cell>
          <cell r="H74">
            <v>17</v>
          </cell>
          <cell r="O74" t="str">
            <v>311423</v>
          </cell>
          <cell r="P74" t="str">
            <v>Hannah Ljunggren</v>
          </cell>
          <cell r="Q74">
            <v>1384.866669</v>
          </cell>
          <cell r="R74">
            <v>23175.59</v>
          </cell>
          <cell r="Y74" t="str">
            <v>150158</v>
          </cell>
          <cell r="Z74" t="str">
            <v>James Brannon</v>
          </cell>
          <cell r="AA74">
            <v>47.149998999999994</v>
          </cell>
          <cell r="AB74">
            <v>1889.2200000000003</v>
          </cell>
          <cell r="AH74" t="str">
            <v>150126</v>
          </cell>
          <cell r="AI74" t="str">
            <v>Jason Stave</v>
          </cell>
          <cell r="AJ74">
            <v>1035.9100000000003</v>
          </cell>
          <cell r="AP74" t="str">
            <v>114228</v>
          </cell>
          <cell r="AQ74" t="str">
            <v>Richard Amundsen</v>
          </cell>
          <cell r="AR74">
            <v>4910.99</v>
          </cell>
        </row>
        <row r="75">
          <cell r="E75" t="str">
            <v>114375</v>
          </cell>
          <cell r="F75" t="str">
            <v>Harold Thompson</v>
          </cell>
          <cell r="G75">
            <v>86401.17</v>
          </cell>
          <cell r="H75">
            <v>41.539024038461541</v>
          </cell>
          <cell r="O75" t="str">
            <v>114375</v>
          </cell>
          <cell r="P75" t="str">
            <v>Harold Thompson</v>
          </cell>
          <cell r="Q75">
            <v>1240</v>
          </cell>
          <cell r="R75">
            <v>51224.82</v>
          </cell>
          <cell r="Y75" t="str">
            <v>157875</v>
          </cell>
          <cell r="Z75" t="str">
            <v>James Buie</v>
          </cell>
          <cell r="AA75">
            <v>133.73333600000001</v>
          </cell>
          <cell r="AB75">
            <v>4219.2399999999989</v>
          </cell>
          <cell r="AH75" t="str">
            <v>114050</v>
          </cell>
          <cell r="AI75" t="str">
            <v>Jassen Smith</v>
          </cell>
          <cell r="AJ75">
            <v>3024.9999999999941</v>
          </cell>
          <cell r="AP75" t="str">
            <v>150788</v>
          </cell>
          <cell r="AQ75" t="str">
            <v>Ricky Cole</v>
          </cell>
          <cell r="AR75">
            <v>1049.0899999999999</v>
          </cell>
        </row>
        <row r="76">
          <cell r="E76" t="str">
            <v>153189</v>
          </cell>
          <cell r="F76" t="str">
            <v>Harvey Trautmann</v>
          </cell>
          <cell r="G76">
            <v>26.95</v>
          </cell>
          <cell r="H76">
            <v>26.95</v>
          </cell>
          <cell r="O76" t="str">
            <v>153189</v>
          </cell>
          <cell r="P76" t="str">
            <v>Harvey Trautmann</v>
          </cell>
          <cell r="Q76">
            <v>2028.8666659999999</v>
          </cell>
          <cell r="R76">
            <v>54026.13</v>
          </cell>
          <cell r="Y76" t="str">
            <v>153491</v>
          </cell>
          <cell r="Z76" t="str">
            <v>James Joyes</v>
          </cell>
          <cell r="AA76">
            <v>142.49999499999998</v>
          </cell>
          <cell r="AB76">
            <v>4806.59</v>
          </cell>
          <cell r="AH76" t="str">
            <v>114309</v>
          </cell>
          <cell r="AI76" t="str">
            <v>Jeffrey Marsh</v>
          </cell>
          <cell r="AJ76">
            <v>1024.9999999999995</v>
          </cell>
          <cell r="AP76" t="str">
            <v>114196</v>
          </cell>
          <cell r="AQ76" t="str">
            <v>Robert Roll</v>
          </cell>
          <cell r="AR76">
            <v>5141.21</v>
          </cell>
        </row>
        <row r="77">
          <cell r="E77" t="str">
            <v>301110</v>
          </cell>
          <cell r="F77" t="str">
            <v>Henry Jones</v>
          </cell>
          <cell r="G77">
            <v>27.3</v>
          </cell>
          <cell r="H77">
            <v>27.3</v>
          </cell>
          <cell r="O77" t="str">
            <v>301110</v>
          </cell>
          <cell r="P77" t="str">
            <v>Henry Jones</v>
          </cell>
          <cell r="Q77">
            <v>2051.9333310000002</v>
          </cell>
          <cell r="R77">
            <v>55736.259999999995</v>
          </cell>
          <cell r="Y77" t="str">
            <v>301431</v>
          </cell>
          <cell r="Z77" t="str">
            <v>James O'Neall</v>
          </cell>
          <cell r="AA77">
            <v>310.03333700000002</v>
          </cell>
          <cell r="AB77">
            <v>11851.610000000004</v>
          </cell>
          <cell r="AH77" t="str">
            <v>309526</v>
          </cell>
          <cell r="AI77" t="str">
            <v>Jennifer Dacy</v>
          </cell>
          <cell r="AJ77">
            <v>2030</v>
          </cell>
          <cell r="AP77" t="str">
            <v>150224</v>
          </cell>
          <cell r="AQ77" t="str">
            <v>Rob Lindsay</v>
          </cell>
          <cell r="AR77">
            <v>492</v>
          </cell>
        </row>
        <row r="78">
          <cell r="E78" t="str">
            <v>117513</v>
          </cell>
          <cell r="F78" t="str">
            <v>Ian Marsh</v>
          </cell>
          <cell r="G78">
            <v>26.95</v>
          </cell>
          <cell r="H78">
            <v>26.95</v>
          </cell>
          <cell r="O78" t="str">
            <v>117513</v>
          </cell>
          <cell r="P78" t="str">
            <v>Ian Marsh</v>
          </cell>
          <cell r="Q78">
            <v>2065.8133360000002</v>
          </cell>
          <cell r="R78">
            <v>54989.280000000006</v>
          </cell>
          <cell r="Y78" t="str">
            <v>114170</v>
          </cell>
          <cell r="Z78" t="str">
            <v>James Treece</v>
          </cell>
          <cell r="AA78">
            <v>436.9333289999999</v>
          </cell>
          <cell r="AB78">
            <v>21273.83</v>
          </cell>
          <cell r="AH78" t="str">
            <v>114252</v>
          </cell>
          <cell r="AI78" t="str">
            <v>Jennifer Dane</v>
          </cell>
          <cell r="AJ78">
            <v>485</v>
          </cell>
          <cell r="AP78" t="str">
            <v>158765</v>
          </cell>
          <cell r="AQ78" t="str">
            <v>Ryan Mcginnis</v>
          </cell>
          <cell r="AR78">
            <v>911.99</v>
          </cell>
        </row>
        <row r="79">
          <cell r="E79" t="str">
            <v>303996</v>
          </cell>
          <cell r="F79" t="str">
            <v>Jacob Hyneman</v>
          </cell>
          <cell r="G79">
            <v>20.75</v>
          </cell>
          <cell r="H79">
            <v>20.75</v>
          </cell>
          <cell r="O79" t="str">
            <v>303996</v>
          </cell>
          <cell r="P79" t="str">
            <v>Jacob Hyneman</v>
          </cell>
          <cell r="Q79">
            <v>2095.5166690000001</v>
          </cell>
          <cell r="R79">
            <v>43801.45</v>
          </cell>
          <cell r="Y79" t="str">
            <v>114008</v>
          </cell>
          <cell r="Z79" t="str">
            <v>Jamie Arnold</v>
          </cell>
          <cell r="AA79">
            <v>703.50000300000011</v>
          </cell>
          <cell r="AB79">
            <v>28053.89</v>
          </cell>
          <cell r="AH79" t="str">
            <v>304865</v>
          </cell>
          <cell r="AI79" t="str">
            <v>Jennifer Wheat</v>
          </cell>
          <cell r="AJ79">
            <v>820</v>
          </cell>
          <cell r="AP79" t="str">
            <v>301463</v>
          </cell>
          <cell r="AQ79" t="str">
            <v>Shane Moore</v>
          </cell>
          <cell r="AR79">
            <v>700.31999999999994</v>
          </cell>
        </row>
        <row r="80">
          <cell r="E80" t="str">
            <v>150158</v>
          </cell>
          <cell r="F80" t="str">
            <v>James Brannon</v>
          </cell>
          <cell r="G80">
            <v>26.95</v>
          </cell>
          <cell r="H80">
            <v>26.95</v>
          </cell>
          <cell r="O80" t="str">
            <v>150158</v>
          </cell>
          <cell r="P80" t="str">
            <v>James Brannon</v>
          </cell>
          <cell r="Q80">
            <v>2008.2766650000003</v>
          </cell>
          <cell r="R80">
            <v>53489.459999999985</v>
          </cell>
          <cell r="Y80" t="str">
            <v>113933</v>
          </cell>
          <cell r="Z80" t="str">
            <v>Jamie Reed</v>
          </cell>
          <cell r="AA80">
            <v>39.066665</v>
          </cell>
          <cell r="AB80">
            <v>1598.2999999999997</v>
          </cell>
          <cell r="AH80" t="str">
            <v>114427</v>
          </cell>
          <cell r="AI80" t="str">
            <v>Jeremiah Day</v>
          </cell>
          <cell r="AJ80">
            <v>2000.0000000000014</v>
          </cell>
          <cell r="AP80" t="str">
            <v>114208</v>
          </cell>
          <cell r="AQ80" t="str">
            <v>Si Seng</v>
          </cell>
          <cell r="AR80">
            <v>1141.23</v>
          </cell>
        </row>
        <row r="81">
          <cell r="E81" t="str">
            <v>157875</v>
          </cell>
          <cell r="F81" t="str">
            <v>James Buie</v>
          </cell>
          <cell r="G81">
            <v>20.47</v>
          </cell>
          <cell r="H81">
            <v>20.47</v>
          </cell>
          <cell r="O81" t="str">
            <v>157875</v>
          </cell>
          <cell r="P81" t="str">
            <v>James Buie</v>
          </cell>
          <cell r="Q81">
            <v>2068.1833339999998</v>
          </cell>
          <cell r="R81">
            <v>42379.31</v>
          </cell>
          <cell r="Y81" t="str">
            <v>114261</v>
          </cell>
          <cell r="Z81" t="str">
            <v>Jamie Simatic</v>
          </cell>
          <cell r="AA81">
            <v>51.983332000000011</v>
          </cell>
          <cell r="AB81">
            <v>2096.9299999999998</v>
          </cell>
          <cell r="AH81" t="str">
            <v>154368</v>
          </cell>
          <cell r="AI81" t="str">
            <v>Jeremy Andrews</v>
          </cell>
          <cell r="AJ81">
            <v>199.99999999999991</v>
          </cell>
          <cell r="AP81" t="str">
            <v>114128</v>
          </cell>
          <cell r="AQ81" t="str">
            <v>Steven Palmer</v>
          </cell>
          <cell r="AR81">
            <v>2327.58</v>
          </cell>
        </row>
        <row r="82">
          <cell r="E82" t="str">
            <v>153491</v>
          </cell>
          <cell r="F82" t="str">
            <v>James Joyes</v>
          </cell>
          <cell r="G82">
            <v>21.95</v>
          </cell>
          <cell r="H82">
            <v>21.95</v>
          </cell>
          <cell r="O82" t="str">
            <v>153491</v>
          </cell>
          <cell r="P82" t="str">
            <v>James Joyes</v>
          </cell>
          <cell r="Q82">
            <v>2194.5833339999999</v>
          </cell>
          <cell r="R82">
            <v>48216.890000000014</v>
          </cell>
          <cell r="Y82" t="str">
            <v>116805</v>
          </cell>
          <cell r="Z82" t="str">
            <v>Jana Maki</v>
          </cell>
          <cell r="AA82">
            <v>107.46665900000001</v>
          </cell>
          <cell r="AB82">
            <v>3521.13</v>
          </cell>
          <cell r="AH82" t="str">
            <v>309681</v>
          </cell>
          <cell r="AI82" t="str">
            <v>Jessica Brewer</v>
          </cell>
          <cell r="AJ82">
            <v>1224.9999999999998</v>
          </cell>
          <cell r="AP82" t="str">
            <v>150275</v>
          </cell>
          <cell r="AQ82" t="str">
            <v>Tami Bellows</v>
          </cell>
          <cell r="AR82">
            <v>3.4</v>
          </cell>
        </row>
        <row r="83">
          <cell r="E83" t="str">
            <v>301431</v>
          </cell>
          <cell r="F83" t="str">
            <v>James O'Neall</v>
          </cell>
          <cell r="G83">
            <v>26.95</v>
          </cell>
          <cell r="H83">
            <v>26.95</v>
          </cell>
          <cell r="O83" t="str">
            <v>301431</v>
          </cell>
          <cell r="P83" t="str">
            <v>James O'Neall</v>
          </cell>
          <cell r="Q83">
            <v>2083.9433330000002</v>
          </cell>
          <cell r="R83">
            <v>51625.85</v>
          </cell>
          <cell r="Y83" t="str">
            <v>158686</v>
          </cell>
          <cell r="Z83" t="str">
            <v>Jarad Wise</v>
          </cell>
          <cell r="AA83">
            <v>316.53332400000005</v>
          </cell>
          <cell r="AB83">
            <v>12842.31</v>
          </cell>
          <cell r="AH83" t="str">
            <v>114254</v>
          </cell>
          <cell r="AI83" t="str">
            <v>Jessica Soto</v>
          </cell>
          <cell r="AJ83">
            <v>1024.9999999999993</v>
          </cell>
          <cell r="AP83" t="str">
            <v>156569</v>
          </cell>
          <cell r="AQ83" t="str">
            <v>Tanya Slack</v>
          </cell>
          <cell r="AR83">
            <v>1562.18</v>
          </cell>
        </row>
        <row r="84">
          <cell r="E84" t="str">
            <v>114170</v>
          </cell>
          <cell r="F84" t="str">
            <v>James Treece</v>
          </cell>
          <cell r="G84">
            <v>33</v>
          </cell>
          <cell r="H84">
            <v>33</v>
          </cell>
          <cell r="O84" t="str">
            <v>114170</v>
          </cell>
          <cell r="P84" t="str">
            <v>James Treece</v>
          </cell>
          <cell r="Q84">
            <v>2231.2000010000002</v>
          </cell>
          <cell r="R84">
            <v>71938.559999999925</v>
          </cell>
          <cell r="Y84" t="str">
            <v>158845</v>
          </cell>
          <cell r="Z84" t="str">
            <v>Jason Knudtson</v>
          </cell>
          <cell r="AA84">
            <v>117.04999999999998</v>
          </cell>
          <cell r="AB84">
            <v>4837.5999999999985</v>
          </cell>
          <cell r="AH84" t="str">
            <v>153114</v>
          </cell>
          <cell r="AI84" t="str">
            <v>Joe Foo</v>
          </cell>
          <cell r="AJ84">
            <v>2774.9999999999955</v>
          </cell>
          <cell r="AP84" t="str">
            <v>100110</v>
          </cell>
          <cell r="AQ84" t="str">
            <v>Tera Glenn</v>
          </cell>
          <cell r="AR84">
            <v>434.4</v>
          </cell>
        </row>
        <row r="85">
          <cell r="E85" t="str">
            <v>114008</v>
          </cell>
          <cell r="F85" t="str">
            <v>Jamie Arnold</v>
          </cell>
          <cell r="G85">
            <v>26.63</v>
          </cell>
          <cell r="H85">
            <v>26.63</v>
          </cell>
          <cell r="O85" t="str">
            <v>114008</v>
          </cell>
          <cell r="P85" t="str">
            <v>Jamie Arnold</v>
          </cell>
          <cell r="Q85">
            <v>2253.2999989999998</v>
          </cell>
          <cell r="R85">
            <v>59357.78</v>
          </cell>
          <cell r="Y85" t="str">
            <v>150126</v>
          </cell>
          <cell r="Z85" t="str">
            <v>Jason Stave</v>
          </cell>
          <cell r="AA85">
            <v>221.06666900000002</v>
          </cell>
          <cell r="AB85">
            <v>10895.339999999998</v>
          </cell>
          <cell r="AH85" t="str">
            <v>156273</v>
          </cell>
          <cell r="AI85" t="str">
            <v>John Atoigue-Ratliff</v>
          </cell>
          <cell r="AJ85">
            <v>3024.9999999999945</v>
          </cell>
          <cell r="AP85" t="str">
            <v>114265</v>
          </cell>
          <cell r="AQ85" t="str">
            <v>Thomas Hughes</v>
          </cell>
          <cell r="AR85">
            <v>4043.79</v>
          </cell>
        </row>
        <row r="86">
          <cell r="E86" t="str">
            <v>113933</v>
          </cell>
          <cell r="F86" t="str">
            <v>Jamie Reed</v>
          </cell>
          <cell r="G86">
            <v>26.95</v>
          </cell>
          <cell r="H86">
            <v>26.95</v>
          </cell>
          <cell r="O86" t="str">
            <v>113933</v>
          </cell>
          <cell r="P86" t="str">
            <v>Jamie Reed</v>
          </cell>
          <cell r="Q86">
            <v>2029.4533279999996</v>
          </cell>
          <cell r="R86">
            <v>54041.47</v>
          </cell>
          <cell r="Y86" t="str">
            <v>114050</v>
          </cell>
          <cell r="Z86" t="str">
            <v>Jassen Smith</v>
          </cell>
          <cell r="AA86">
            <v>565.116671</v>
          </cell>
          <cell r="AB86">
            <v>22909.38</v>
          </cell>
          <cell r="AH86" t="str">
            <v>158780</v>
          </cell>
          <cell r="AI86" t="str">
            <v>John Brandalick</v>
          </cell>
          <cell r="AJ86">
            <v>774.99999999999955</v>
          </cell>
          <cell r="AP86" t="str">
            <v>113941</v>
          </cell>
          <cell r="AQ86" t="str">
            <v>Todd Blake</v>
          </cell>
          <cell r="AR86">
            <v>1588.06</v>
          </cell>
        </row>
        <row r="87">
          <cell r="E87" t="str">
            <v>114261</v>
          </cell>
          <cell r="F87" t="str">
            <v>Jamie Simatic</v>
          </cell>
          <cell r="G87">
            <v>26.95</v>
          </cell>
          <cell r="H87">
            <v>26.95</v>
          </cell>
          <cell r="O87" t="str">
            <v>114261</v>
          </cell>
          <cell r="P87" t="str">
            <v>Jamie Simatic</v>
          </cell>
          <cell r="Q87">
            <v>2039.713332</v>
          </cell>
          <cell r="R87">
            <v>54514.41</v>
          </cell>
          <cell r="Y87" t="str">
            <v>114309</v>
          </cell>
          <cell r="Z87" t="str">
            <v>Jeffrey Marsh</v>
          </cell>
          <cell r="AA87">
            <v>231.18333499999997</v>
          </cell>
          <cell r="AB87">
            <v>9240.1500000000015</v>
          </cell>
          <cell r="AH87" t="str">
            <v>113921</v>
          </cell>
          <cell r="AI87" t="str">
            <v>John Eldridge</v>
          </cell>
          <cell r="AJ87">
            <v>1175.0000000000005</v>
          </cell>
          <cell r="AP87" t="str">
            <v>114330</v>
          </cell>
          <cell r="AQ87" t="str">
            <v>Tracey Guevara</v>
          </cell>
          <cell r="AR87">
            <v>1809.6299999999999</v>
          </cell>
        </row>
        <row r="88">
          <cell r="E88" t="str">
            <v>116805</v>
          </cell>
          <cell r="F88" t="str">
            <v>Jana Maki</v>
          </cell>
          <cell r="G88">
            <v>21.54</v>
          </cell>
          <cell r="H88">
            <v>21.54</v>
          </cell>
          <cell r="O88" t="str">
            <v>116805</v>
          </cell>
          <cell r="P88" t="str">
            <v>Jana Maki</v>
          </cell>
          <cell r="Q88">
            <v>2035.7499990000001</v>
          </cell>
          <cell r="R88">
            <v>44067.01</v>
          </cell>
          <cell r="Y88" t="str">
            <v>309526</v>
          </cell>
          <cell r="Z88" t="str">
            <v>Jennifer Dacy</v>
          </cell>
          <cell r="AA88">
            <v>277.88332200000002</v>
          </cell>
          <cell r="AB88">
            <v>6938.01</v>
          </cell>
          <cell r="AH88" t="str">
            <v>114013</v>
          </cell>
          <cell r="AI88" t="str">
            <v>John Holder</v>
          </cell>
          <cell r="AJ88">
            <v>1024.9999999999993</v>
          </cell>
          <cell r="AP88" t="str">
            <v>154540</v>
          </cell>
          <cell r="AQ88" t="str">
            <v>Travis Harvey</v>
          </cell>
          <cell r="AR88">
            <v>1587.24</v>
          </cell>
        </row>
        <row r="89">
          <cell r="E89" t="str">
            <v>158686</v>
          </cell>
          <cell r="F89" t="str">
            <v>Jarad Wise</v>
          </cell>
          <cell r="G89">
            <v>26.95</v>
          </cell>
          <cell r="H89">
            <v>26.95</v>
          </cell>
          <cell r="O89" t="str">
            <v>158686</v>
          </cell>
          <cell r="P89" t="str">
            <v>Jarad Wise</v>
          </cell>
          <cell r="Q89">
            <v>2070.1799979999996</v>
          </cell>
          <cell r="R89">
            <v>55905.89</v>
          </cell>
          <cell r="Y89" t="str">
            <v>114252</v>
          </cell>
          <cell r="Z89" t="str">
            <v>Jennifer Dane</v>
          </cell>
          <cell r="AA89">
            <v>52.250002000000016</v>
          </cell>
          <cell r="AB89">
            <v>1715.5900000000004</v>
          </cell>
          <cell r="AH89" t="str">
            <v>118011</v>
          </cell>
          <cell r="AI89" t="str">
            <v>John Nusbaum</v>
          </cell>
          <cell r="AJ89">
            <v>3024.9999999999941</v>
          </cell>
          <cell r="AP89" t="str">
            <v>150268</v>
          </cell>
          <cell r="AQ89" t="str">
            <v>Tyler Clepper</v>
          </cell>
          <cell r="AR89">
            <v>220</v>
          </cell>
        </row>
        <row r="90">
          <cell r="E90" t="str">
            <v>158845</v>
          </cell>
          <cell r="F90" t="str">
            <v>Jason Knudtson</v>
          </cell>
          <cell r="G90">
            <v>27.02</v>
          </cell>
          <cell r="H90">
            <v>27.02</v>
          </cell>
          <cell r="O90" t="str">
            <v>158845</v>
          </cell>
          <cell r="P90" t="str">
            <v>Jason Knudtson</v>
          </cell>
          <cell r="Q90">
            <v>2077.3466669999998</v>
          </cell>
          <cell r="R90">
            <v>56589.230000000018</v>
          </cell>
          <cell r="Y90" t="str">
            <v>304865</v>
          </cell>
          <cell r="Z90" t="str">
            <v>Jennifer Wheat</v>
          </cell>
          <cell r="AA90">
            <v>118.36666300000003</v>
          </cell>
          <cell r="AB90">
            <v>2921.3799999999997</v>
          </cell>
          <cell r="AH90" t="str">
            <v>309778</v>
          </cell>
          <cell r="AI90" t="str">
            <v>Joseph Juban</v>
          </cell>
          <cell r="AJ90">
            <v>975.41999999999973</v>
          </cell>
          <cell r="AP90" t="str">
            <v>154907</v>
          </cell>
          <cell r="AQ90" t="str">
            <v>Vernon Shockey</v>
          </cell>
          <cell r="AR90">
            <v>321.94</v>
          </cell>
        </row>
        <row r="91">
          <cell r="E91" t="str">
            <v>150126</v>
          </cell>
          <cell r="F91" t="str">
            <v>Jason Stave</v>
          </cell>
          <cell r="G91">
            <v>32</v>
          </cell>
          <cell r="H91">
            <v>32</v>
          </cell>
          <cell r="O91" t="str">
            <v>150126</v>
          </cell>
          <cell r="P91" t="str">
            <v>Jason Stave</v>
          </cell>
          <cell r="Q91">
            <v>990.08333300000004</v>
          </cell>
          <cell r="R91">
            <v>31682.670000000002</v>
          </cell>
          <cell r="Y91" t="str">
            <v>114427</v>
          </cell>
          <cell r="Z91" t="str">
            <v>Jeremiah Day</v>
          </cell>
          <cell r="AB91">
            <v>154.82</v>
          </cell>
          <cell r="AH91" t="str">
            <v>153486</v>
          </cell>
          <cell r="AI91" t="str">
            <v>Joshua Arvin</v>
          </cell>
          <cell r="AJ91">
            <v>3024.9999999999941</v>
          </cell>
          <cell r="AP91" t="str">
            <v>153568</v>
          </cell>
          <cell r="AQ91" t="str">
            <v>William Esselman</v>
          </cell>
          <cell r="AR91">
            <v>100.58</v>
          </cell>
        </row>
        <row r="92">
          <cell r="E92" t="str">
            <v>114050</v>
          </cell>
          <cell r="F92" t="str">
            <v>Jassen Smith</v>
          </cell>
          <cell r="G92">
            <v>26.5</v>
          </cell>
          <cell r="H92">
            <v>26.5</v>
          </cell>
          <cell r="O92" t="str">
            <v>114050</v>
          </cell>
          <cell r="P92" t="str">
            <v>Jassen Smith</v>
          </cell>
          <cell r="Q92">
            <v>2052.6733340000001</v>
          </cell>
          <cell r="R92">
            <v>55455.859999999993</v>
          </cell>
          <cell r="Y92" t="str">
            <v>154368</v>
          </cell>
          <cell r="Z92" t="str">
            <v>Jeremy Andrews</v>
          </cell>
          <cell r="AA92">
            <v>182.43333100000001</v>
          </cell>
          <cell r="AB92">
            <v>7257.46</v>
          </cell>
          <cell r="AH92" t="str">
            <v>309964</v>
          </cell>
          <cell r="AI92" t="str">
            <v>Joshua Kissner</v>
          </cell>
          <cell r="AJ92">
            <v>191.98999999999992</v>
          </cell>
          <cell r="AP92" t="str">
            <v>114176</v>
          </cell>
          <cell r="AQ92" t="str">
            <v>William Spivey</v>
          </cell>
          <cell r="AR92">
            <v>4619.6099999999997</v>
          </cell>
        </row>
        <row r="93">
          <cell r="E93" t="str">
            <v>113940</v>
          </cell>
          <cell r="F93" t="str">
            <v>Jeffrey Lasak</v>
          </cell>
          <cell r="G93">
            <v>23.3</v>
          </cell>
          <cell r="H93">
            <v>23.3</v>
          </cell>
          <cell r="O93" t="str">
            <v>114309</v>
          </cell>
          <cell r="P93" t="str">
            <v>Jeffrey Marsh</v>
          </cell>
          <cell r="Q93">
            <v>1994.6000000000001</v>
          </cell>
          <cell r="R93">
            <v>53335.729999999989</v>
          </cell>
          <cell r="Y93" t="str">
            <v>309681</v>
          </cell>
          <cell r="Z93" t="str">
            <v>Jessica Brewer</v>
          </cell>
          <cell r="AA93">
            <v>140.23333400000001</v>
          </cell>
          <cell r="AB93">
            <v>3466.21</v>
          </cell>
          <cell r="AH93" t="str">
            <v>301048</v>
          </cell>
          <cell r="AI93" t="str">
            <v>Justin Morrow</v>
          </cell>
          <cell r="AJ93">
            <v>250.00000000000009</v>
          </cell>
          <cell r="AP93" t="str">
            <v>304842</v>
          </cell>
          <cell r="AQ93" t="str">
            <v>Zac DeWalt</v>
          </cell>
          <cell r="AR93">
            <v>184</v>
          </cell>
        </row>
        <row r="94">
          <cell r="E94" t="str">
            <v>114309</v>
          </cell>
          <cell r="F94" t="str">
            <v>Jeffrey Marsh</v>
          </cell>
          <cell r="G94">
            <v>26.95</v>
          </cell>
          <cell r="H94">
            <v>26.95</v>
          </cell>
          <cell r="O94" t="str">
            <v>309526</v>
          </cell>
          <cell r="P94" t="str">
            <v>Jennifer Dacy</v>
          </cell>
          <cell r="Q94">
            <v>1947.166667</v>
          </cell>
          <cell r="R94">
            <v>31989.729999999996</v>
          </cell>
          <cell r="Y94" t="str">
            <v>114254</v>
          </cell>
          <cell r="Z94" t="str">
            <v>Jessica Soto</v>
          </cell>
          <cell r="AA94">
            <v>560.91666799999996</v>
          </cell>
          <cell r="AB94">
            <v>22574.280000000006</v>
          </cell>
          <cell r="AH94" t="str">
            <v>113947</v>
          </cell>
          <cell r="AI94" t="str">
            <v>Kendall Carver</v>
          </cell>
          <cell r="AJ94">
            <v>1024.9999999999993</v>
          </cell>
          <cell r="AP94" t="str">
            <v>114312</v>
          </cell>
          <cell r="AQ94" t="str">
            <v>Zacharia Phillips</v>
          </cell>
          <cell r="AR94">
            <v>5429.63</v>
          </cell>
        </row>
        <row r="95">
          <cell r="E95" t="str">
            <v>309526</v>
          </cell>
          <cell r="F95" t="str">
            <v>Jennifer Dacy</v>
          </cell>
          <cell r="G95">
            <v>16.399999999999999</v>
          </cell>
          <cell r="H95">
            <v>16.399999999999999</v>
          </cell>
          <cell r="O95" t="str">
            <v>114252</v>
          </cell>
          <cell r="P95" t="str">
            <v>Jennifer Dane</v>
          </cell>
          <cell r="Q95">
            <v>1807.7968699999999</v>
          </cell>
          <cell r="R95">
            <v>39970.82</v>
          </cell>
          <cell r="Y95" t="str">
            <v>153114</v>
          </cell>
          <cell r="Z95" t="str">
            <v>Joe Foo</v>
          </cell>
          <cell r="AA95">
            <v>154.40000500000002</v>
          </cell>
          <cell r="AB95">
            <v>6316.3200000000006</v>
          </cell>
          <cell r="AH95" t="str">
            <v>114098</v>
          </cell>
          <cell r="AI95" t="str">
            <v>Kenneth Bender</v>
          </cell>
          <cell r="AJ95">
            <v>774.99999999999955</v>
          </cell>
          <cell r="AP95" t="str">
            <v>306829</v>
          </cell>
          <cell r="AQ95" t="str">
            <v>Deb Muller (306829)</v>
          </cell>
          <cell r="AR95">
            <v>128</v>
          </cell>
        </row>
        <row r="96">
          <cell r="E96" t="str">
            <v>114252</v>
          </cell>
          <cell r="F96" t="str">
            <v>Jennifer Dane</v>
          </cell>
          <cell r="G96">
            <v>21.66</v>
          </cell>
          <cell r="H96">
            <v>21.66</v>
          </cell>
          <cell r="O96" t="str">
            <v>304865</v>
          </cell>
          <cell r="P96" t="str">
            <v>Jennifer Wheat</v>
          </cell>
          <cell r="Q96">
            <v>2052.852335</v>
          </cell>
          <cell r="R96">
            <v>33962.050000000003</v>
          </cell>
          <cell r="Y96" t="str">
            <v>156273</v>
          </cell>
          <cell r="Z96" t="str">
            <v>John Atoigue-Ratliff</v>
          </cell>
          <cell r="AA96">
            <v>132.00000599999998</v>
          </cell>
          <cell r="AB96">
            <v>3312.7499999999986</v>
          </cell>
          <cell r="AH96" t="str">
            <v>114301</v>
          </cell>
          <cell r="AI96" t="str">
            <v>Kevin Adams</v>
          </cell>
          <cell r="AJ96">
            <v>3274.9999999999927</v>
          </cell>
          <cell r="AP96" t="str">
            <v>114336</v>
          </cell>
          <cell r="AQ96" t="str">
            <v>Richard Miller (114336)</v>
          </cell>
          <cell r="AR96">
            <v>381.28</v>
          </cell>
        </row>
        <row r="97">
          <cell r="E97" t="str">
            <v>304865</v>
          </cell>
          <cell r="F97" t="str">
            <v>Jennifer Wheat</v>
          </cell>
          <cell r="G97">
            <v>16.399999999999999</v>
          </cell>
          <cell r="H97">
            <v>16.399999999999999</v>
          </cell>
          <cell r="O97" t="str">
            <v>114427</v>
          </cell>
          <cell r="P97" t="str">
            <v>Jeremiah Day</v>
          </cell>
          <cell r="Q97">
            <v>2080</v>
          </cell>
          <cell r="R97">
            <v>66063.679999999993</v>
          </cell>
          <cell r="Y97" t="str">
            <v>158780</v>
          </cell>
          <cell r="Z97" t="str">
            <v>John Brandalick</v>
          </cell>
          <cell r="AA97">
            <v>268.34999200000004</v>
          </cell>
          <cell r="AB97">
            <v>10917.169999999998</v>
          </cell>
          <cell r="AH97" t="str">
            <v>113952</v>
          </cell>
          <cell r="AI97" t="str">
            <v>Lance Kinchen</v>
          </cell>
          <cell r="AJ97">
            <v>1075.0000000000002</v>
          </cell>
          <cell r="AP97" t="str">
            <v>Grand Total</v>
          </cell>
          <cell r="AQ97">
            <v>0</v>
          </cell>
          <cell r="AR97">
            <v>162935.51999999999</v>
          </cell>
        </row>
        <row r="98">
          <cell r="E98" t="str">
            <v>114427</v>
          </cell>
          <cell r="F98" t="str">
            <v>Jeremiah Day</v>
          </cell>
          <cell r="G98">
            <v>67650</v>
          </cell>
          <cell r="H98">
            <v>32.52403846153846</v>
          </cell>
          <cell r="O98" t="str">
            <v>154368</v>
          </cell>
          <cell r="P98" t="str">
            <v>Jeremy Andrews</v>
          </cell>
          <cell r="Q98">
            <v>1906.1633330000002</v>
          </cell>
          <cell r="R98">
            <v>50908.759999999995</v>
          </cell>
          <cell r="Y98" t="str">
            <v>113921</v>
          </cell>
          <cell r="Z98" t="str">
            <v>John Eldridge</v>
          </cell>
          <cell r="AA98">
            <v>256.10000300000002</v>
          </cell>
          <cell r="AB98">
            <v>10409.640000000001</v>
          </cell>
          <cell r="AH98" t="str">
            <v>304887</v>
          </cell>
          <cell r="AI98" t="str">
            <v>Lourdes David-Thetadig</v>
          </cell>
          <cell r="AJ98">
            <v>1760.0000000000002</v>
          </cell>
          <cell r="AP98">
            <v>0</v>
          </cell>
          <cell r="AQ98">
            <v>0</v>
          </cell>
          <cell r="AR98">
            <v>0</v>
          </cell>
        </row>
        <row r="99">
          <cell r="E99" t="str">
            <v>154368</v>
          </cell>
          <cell r="F99" t="str">
            <v>Jeremy Andrews</v>
          </cell>
          <cell r="G99">
            <v>26.95</v>
          </cell>
          <cell r="H99">
            <v>26.95</v>
          </cell>
          <cell r="O99" t="str">
            <v>151053</v>
          </cell>
          <cell r="P99" t="str">
            <v>Jesseka Bethke</v>
          </cell>
          <cell r="Q99">
            <v>54.316665999999998</v>
          </cell>
          <cell r="R99">
            <v>1167.8200000000002</v>
          </cell>
          <cell r="Y99" t="str">
            <v>114013</v>
          </cell>
          <cell r="Z99" t="str">
            <v>John Holder</v>
          </cell>
          <cell r="AA99">
            <v>204.24999800000003</v>
          </cell>
          <cell r="AB99">
            <v>8234.7699999999986</v>
          </cell>
          <cell r="AH99" t="str">
            <v>301578</v>
          </cell>
          <cell r="AI99" t="str">
            <v>Lucas Miller</v>
          </cell>
          <cell r="AJ99">
            <v>3274.9999999999927</v>
          </cell>
          <cell r="AP99">
            <v>0</v>
          </cell>
          <cell r="AQ99">
            <v>0</v>
          </cell>
          <cell r="AR99">
            <v>0</v>
          </cell>
        </row>
        <row r="100">
          <cell r="E100" t="str">
            <v>151053</v>
          </cell>
          <cell r="F100" t="str">
            <v>Jesseka Bethke</v>
          </cell>
          <cell r="G100">
            <v>21.5</v>
          </cell>
          <cell r="H100">
            <v>21.5</v>
          </cell>
          <cell r="O100" t="str">
            <v>309681</v>
          </cell>
          <cell r="P100" t="str">
            <v>Jessica Brewer</v>
          </cell>
          <cell r="Q100">
            <v>1795.7000009999997</v>
          </cell>
          <cell r="R100">
            <v>29636.720000000001</v>
          </cell>
          <cell r="Y100" t="str">
            <v>118011</v>
          </cell>
          <cell r="Z100" t="str">
            <v>John Nusbaum</v>
          </cell>
          <cell r="AA100">
            <v>301.1666570000001</v>
          </cell>
          <cell r="AB100">
            <v>12167.470000000003</v>
          </cell>
          <cell r="AH100" t="str">
            <v>300074</v>
          </cell>
          <cell r="AI100" t="str">
            <v>Luis Amescua</v>
          </cell>
          <cell r="AJ100">
            <v>2774.9999999999995</v>
          </cell>
          <cell r="AP100">
            <v>0</v>
          </cell>
          <cell r="AQ100">
            <v>0</v>
          </cell>
          <cell r="AR100">
            <v>0</v>
          </cell>
        </row>
        <row r="101">
          <cell r="E101" t="str">
            <v>309681</v>
          </cell>
          <cell r="F101" t="str">
            <v>Jessica Brewer</v>
          </cell>
          <cell r="G101">
            <v>16.399999999999999</v>
          </cell>
          <cell r="H101">
            <v>16.399999999999999</v>
          </cell>
          <cell r="O101" t="str">
            <v>114254</v>
          </cell>
          <cell r="P101" t="str">
            <v>Jessica Soto</v>
          </cell>
          <cell r="Q101">
            <v>2117.6999999999998</v>
          </cell>
          <cell r="R101">
            <v>56361.87999999999</v>
          </cell>
          <cell r="Y101" t="str">
            <v>314612</v>
          </cell>
          <cell r="Z101" t="str">
            <v>Jonathan Hofner</v>
          </cell>
          <cell r="AA101">
            <v>61.333335000000005</v>
          </cell>
          <cell r="AB101">
            <v>1562.21</v>
          </cell>
          <cell r="AH101" t="str">
            <v>158903</v>
          </cell>
          <cell r="AI101" t="str">
            <v>Major Whitten</v>
          </cell>
          <cell r="AJ101">
            <v>3024.9999999999941</v>
          </cell>
          <cell r="AP101">
            <v>0</v>
          </cell>
          <cell r="AQ101">
            <v>0</v>
          </cell>
          <cell r="AR101">
            <v>0</v>
          </cell>
        </row>
        <row r="102">
          <cell r="E102" t="str">
            <v>114254</v>
          </cell>
          <cell r="F102" t="str">
            <v>Jessica Soto</v>
          </cell>
          <cell r="G102">
            <v>26.95</v>
          </cell>
          <cell r="H102">
            <v>26.95</v>
          </cell>
          <cell r="O102" t="str">
            <v>153114</v>
          </cell>
          <cell r="P102" t="str">
            <v>Joe Foo</v>
          </cell>
          <cell r="Q102">
            <v>1991.8366669999998</v>
          </cell>
          <cell r="R102">
            <v>53265.229999999989</v>
          </cell>
          <cell r="Y102" t="str">
            <v>309778</v>
          </cell>
          <cell r="Z102" t="str">
            <v>Joseph Juban</v>
          </cell>
          <cell r="AA102">
            <v>167.600008</v>
          </cell>
          <cell r="AB102">
            <v>5139.6800000000012</v>
          </cell>
          <cell r="AH102" t="str">
            <v>308555</v>
          </cell>
          <cell r="AI102" t="str">
            <v>Malissa Sapp</v>
          </cell>
          <cell r="AJ102">
            <v>1091.6699999999994</v>
          </cell>
          <cell r="AP102">
            <v>0</v>
          </cell>
          <cell r="AQ102">
            <v>0</v>
          </cell>
          <cell r="AR102">
            <v>0</v>
          </cell>
        </row>
        <row r="103">
          <cell r="E103" t="str">
            <v>153114</v>
          </cell>
          <cell r="F103" t="str">
            <v>Joe Foo</v>
          </cell>
          <cell r="G103">
            <v>26.95</v>
          </cell>
          <cell r="H103">
            <v>26.95</v>
          </cell>
          <cell r="O103" t="str">
            <v>156273</v>
          </cell>
          <cell r="P103" t="str">
            <v>John Atoigue-Ratliff</v>
          </cell>
          <cell r="Q103">
            <v>2081.6166680000001</v>
          </cell>
          <cell r="R103">
            <v>33932.30000000001</v>
          </cell>
          <cell r="Y103" t="str">
            <v>153486</v>
          </cell>
          <cell r="Z103" t="str">
            <v>Joshua Arvin</v>
          </cell>
          <cell r="AA103">
            <v>404.76666600000004</v>
          </cell>
          <cell r="AB103">
            <v>17770.699999999997</v>
          </cell>
          <cell r="AH103" t="str">
            <v>156471</v>
          </cell>
          <cell r="AI103" t="str">
            <v>Mandy Coleman</v>
          </cell>
          <cell r="AJ103">
            <v>485</v>
          </cell>
          <cell r="AP103">
            <v>0</v>
          </cell>
          <cell r="AQ103">
            <v>0</v>
          </cell>
          <cell r="AR103">
            <v>0</v>
          </cell>
        </row>
        <row r="104">
          <cell r="E104" t="str">
            <v>156273</v>
          </cell>
          <cell r="F104" t="str">
            <v>John Atoigue-Ratliff</v>
          </cell>
          <cell r="G104">
            <v>16.16</v>
          </cell>
          <cell r="H104">
            <v>16.16</v>
          </cell>
          <cell r="O104" t="str">
            <v>158780</v>
          </cell>
          <cell r="P104" t="str">
            <v>John Brandalick</v>
          </cell>
          <cell r="Q104">
            <v>2055.3500020000001</v>
          </cell>
          <cell r="R104">
            <v>55706.709999999992</v>
          </cell>
          <cell r="Y104" t="str">
            <v>309964</v>
          </cell>
          <cell r="Z104" t="str">
            <v>Joshua Kissner</v>
          </cell>
          <cell r="AA104">
            <v>389.66666600000002</v>
          </cell>
          <cell r="AB104">
            <v>15521.879999999997</v>
          </cell>
          <cell r="AH104" t="str">
            <v>159061</v>
          </cell>
          <cell r="AI104" t="str">
            <v>Marco Lugo</v>
          </cell>
          <cell r="AJ104">
            <v>3596.6799999999903</v>
          </cell>
          <cell r="AP104">
            <v>0</v>
          </cell>
          <cell r="AQ104">
            <v>0</v>
          </cell>
          <cell r="AR104">
            <v>0</v>
          </cell>
        </row>
        <row r="105">
          <cell r="E105" t="str">
            <v>158780</v>
          </cell>
          <cell r="F105" t="str">
            <v>John Brandalick</v>
          </cell>
          <cell r="G105">
            <v>27.33</v>
          </cell>
          <cell r="H105">
            <v>27.33</v>
          </cell>
          <cell r="O105" t="str">
            <v>113921</v>
          </cell>
          <cell r="P105" t="str">
            <v>John Eldridge</v>
          </cell>
          <cell r="Q105">
            <v>2060.7333349999999</v>
          </cell>
          <cell r="R105">
            <v>55058.86</v>
          </cell>
          <cell r="Y105" t="str">
            <v>301048</v>
          </cell>
          <cell r="Z105" t="str">
            <v>Justin Morrow</v>
          </cell>
          <cell r="AA105">
            <v>206.766662</v>
          </cell>
          <cell r="AB105">
            <v>8433.84</v>
          </cell>
          <cell r="AH105" t="str">
            <v>114002</v>
          </cell>
          <cell r="AI105" t="str">
            <v>Mark Young</v>
          </cell>
          <cell r="AJ105">
            <v>2000.0000000000005</v>
          </cell>
          <cell r="AP105">
            <v>0</v>
          </cell>
          <cell r="AQ105">
            <v>0</v>
          </cell>
          <cell r="AR105">
            <v>0</v>
          </cell>
        </row>
        <row r="106">
          <cell r="E106" t="str">
            <v>113921</v>
          </cell>
          <cell r="F106" t="str">
            <v>John Eldridge</v>
          </cell>
          <cell r="G106">
            <v>26.95</v>
          </cell>
          <cell r="H106">
            <v>26.95</v>
          </cell>
          <cell r="O106" t="str">
            <v>114013</v>
          </cell>
          <cell r="P106" t="str">
            <v>John Holder</v>
          </cell>
          <cell r="Q106">
            <v>2090.5133329999999</v>
          </cell>
          <cell r="R106">
            <v>55216.889999999985</v>
          </cell>
          <cell r="Y106" t="str">
            <v>158995</v>
          </cell>
          <cell r="Z106" t="str">
            <v>Justin Paiva</v>
          </cell>
          <cell r="AA106">
            <v>477.61666499999995</v>
          </cell>
          <cell r="AB106">
            <v>19035.969999999998</v>
          </cell>
          <cell r="AH106" t="str">
            <v>156922</v>
          </cell>
          <cell r="AI106" t="str">
            <v>Martina Fisher Sanehi</v>
          </cell>
          <cell r="AJ106">
            <v>1960</v>
          </cell>
          <cell r="AP106">
            <v>0</v>
          </cell>
          <cell r="AQ106">
            <v>0</v>
          </cell>
          <cell r="AR106">
            <v>0</v>
          </cell>
        </row>
        <row r="107">
          <cell r="E107" t="str">
            <v>114013</v>
          </cell>
          <cell r="F107" t="str">
            <v>John Holder</v>
          </cell>
          <cell r="G107">
            <v>26.95</v>
          </cell>
          <cell r="H107">
            <v>26.95</v>
          </cell>
          <cell r="O107" t="str">
            <v>118011</v>
          </cell>
          <cell r="P107" t="str">
            <v>John Nusbaum</v>
          </cell>
          <cell r="Q107">
            <v>2074</v>
          </cell>
          <cell r="R107">
            <v>54813.63</v>
          </cell>
          <cell r="Y107" t="str">
            <v>113947</v>
          </cell>
          <cell r="Z107" t="str">
            <v>Kendall Carver</v>
          </cell>
          <cell r="AA107">
            <v>153.36666499999995</v>
          </cell>
          <cell r="AB107">
            <v>6211.54</v>
          </cell>
          <cell r="AH107" t="str">
            <v>114255</v>
          </cell>
          <cell r="AI107" t="str">
            <v>Michelle Jester</v>
          </cell>
          <cell r="AJ107">
            <v>3024.9999999999945</v>
          </cell>
          <cell r="AP107">
            <v>0</v>
          </cell>
          <cell r="AQ107">
            <v>0</v>
          </cell>
          <cell r="AR107">
            <v>0</v>
          </cell>
        </row>
        <row r="108">
          <cell r="E108" t="str">
            <v>118011</v>
          </cell>
          <cell r="F108" t="str">
            <v>John Nusbaum</v>
          </cell>
          <cell r="G108">
            <v>26.63</v>
          </cell>
          <cell r="H108">
            <v>26.63</v>
          </cell>
          <cell r="O108" t="str">
            <v>313283</v>
          </cell>
          <cell r="P108" t="str">
            <v>Johnny Crowell</v>
          </cell>
          <cell r="Q108">
            <v>872</v>
          </cell>
          <cell r="R108">
            <v>20961.580000000002</v>
          </cell>
          <cell r="Y108" t="str">
            <v>114098</v>
          </cell>
          <cell r="Z108" t="str">
            <v>Kenneth Bender</v>
          </cell>
          <cell r="AA108">
            <v>201.66666600000005</v>
          </cell>
          <cell r="AB108">
            <v>8061.54</v>
          </cell>
          <cell r="AH108" t="str">
            <v>115438</v>
          </cell>
          <cell r="AI108" t="str">
            <v>Michelle Lloyd</v>
          </cell>
          <cell r="AJ108">
            <v>4775</v>
          </cell>
          <cell r="AP108">
            <v>0</v>
          </cell>
          <cell r="AQ108">
            <v>0</v>
          </cell>
          <cell r="AR108">
            <v>0</v>
          </cell>
        </row>
        <row r="109">
          <cell r="E109" t="str">
            <v>313283</v>
          </cell>
          <cell r="F109" t="str">
            <v>Johnny Crowell</v>
          </cell>
          <cell r="G109">
            <v>50000</v>
          </cell>
          <cell r="H109">
            <v>24.03846153846154</v>
          </cell>
          <cell r="O109" t="str">
            <v>314612</v>
          </cell>
          <cell r="P109" t="str">
            <v>Jonathan Hofner</v>
          </cell>
          <cell r="Q109">
            <v>436.16666700000002</v>
          </cell>
          <cell r="R109">
            <v>7436.76</v>
          </cell>
          <cell r="Y109" t="str">
            <v>114301</v>
          </cell>
          <cell r="Z109" t="str">
            <v>Kevin Adams</v>
          </cell>
          <cell r="AA109">
            <v>139.90000600000008</v>
          </cell>
          <cell r="AB109">
            <v>4192.01</v>
          </cell>
          <cell r="AH109" t="str">
            <v>300600</v>
          </cell>
          <cell r="AI109" t="str">
            <v>Nathan Molinek</v>
          </cell>
          <cell r="AJ109">
            <v>1024.9999999999995</v>
          </cell>
          <cell r="AP109">
            <v>0</v>
          </cell>
          <cell r="AQ109">
            <v>0</v>
          </cell>
          <cell r="AR109">
            <v>0</v>
          </cell>
        </row>
        <row r="110">
          <cell r="E110" t="str">
            <v>314612</v>
          </cell>
          <cell r="F110" t="str">
            <v>Jonathan Hofner</v>
          </cell>
          <cell r="G110">
            <v>18</v>
          </cell>
          <cell r="H110">
            <v>18</v>
          </cell>
          <cell r="O110" t="str">
            <v>309778</v>
          </cell>
          <cell r="P110" t="str">
            <v>Joseph Juban</v>
          </cell>
          <cell r="Q110">
            <v>1461.7</v>
          </cell>
          <cell r="R110">
            <v>29594.02</v>
          </cell>
          <cell r="Y110" t="str">
            <v>113952</v>
          </cell>
          <cell r="Z110" t="str">
            <v>Lance Kinchen</v>
          </cell>
          <cell r="AA110">
            <v>535.7333339999999</v>
          </cell>
          <cell r="AB110">
            <v>21659.279999999992</v>
          </cell>
          <cell r="AH110" t="str">
            <v>155192</v>
          </cell>
          <cell r="AI110" t="str">
            <v>Nathan Sanders</v>
          </cell>
          <cell r="AJ110">
            <v>1024.9999999999993</v>
          </cell>
          <cell r="AP110">
            <v>0</v>
          </cell>
          <cell r="AQ110">
            <v>0</v>
          </cell>
          <cell r="AR110">
            <v>0</v>
          </cell>
        </row>
        <row r="111">
          <cell r="E111" t="str">
            <v>309778</v>
          </cell>
          <cell r="F111" t="str">
            <v>Joseph Juban</v>
          </cell>
          <cell r="G111">
            <v>23</v>
          </cell>
          <cell r="H111">
            <v>23</v>
          </cell>
          <cell r="O111" t="str">
            <v>153486</v>
          </cell>
          <cell r="P111" t="str">
            <v>Joshua Arvin</v>
          </cell>
          <cell r="Q111">
            <v>2035.5999990000003</v>
          </cell>
          <cell r="R111">
            <v>57178.020000000048</v>
          </cell>
          <cell r="Y111" t="str">
            <v>304887</v>
          </cell>
          <cell r="Z111" t="str">
            <v>Lourdes David-Thetadig</v>
          </cell>
          <cell r="AA111">
            <v>179.10000599999998</v>
          </cell>
          <cell r="AB111">
            <v>4477.6400000000012</v>
          </cell>
          <cell r="AH111" t="str">
            <v>154133</v>
          </cell>
          <cell r="AI111" t="str">
            <v>Nick Fredrickson</v>
          </cell>
          <cell r="AJ111">
            <v>5574.9999999999891</v>
          </cell>
          <cell r="AP111">
            <v>0</v>
          </cell>
          <cell r="AQ111">
            <v>0</v>
          </cell>
          <cell r="AR111">
            <v>0</v>
          </cell>
        </row>
        <row r="112">
          <cell r="E112" t="str">
            <v>153486</v>
          </cell>
          <cell r="F112" t="str">
            <v>Joshua Arvin</v>
          </cell>
          <cell r="G112">
            <v>32</v>
          </cell>
          <cell r="H112">
            <v>32</v>
          </cell>
          <cell r="O112" t="str">
            <v>309964</v>
          </cell>
          <cell r="P112" t="str">
            <v>Joshua Kissner</v>
          </cell>
          <cell r="Q112">
            <v>1595.7500009999999</v>
          </cell>
          <cell r="R112">
            <v>42967.49</v>
          </cell>
          <cell r="Y112" t="str">
            <v>301578</v>
          </cell>
          <cell r="Z112" t="str">
            <v>Lucas Miller</v>
          </cell>
          <cell r="AA112">
            <v>576.16666899999996</v>
          </cell>
          <cell r="AB112">
            <v>23576.569999999996</v>
          </cell>
          <cell r="AH112" t="str">
            <v>114337</v>
          </cell>
          <cell r="AI112" t="str">
            <v>Noel Cockett</v>
          </cell>
          <cell r="AJ112">
            <v>1025.0000000000002</v>
          </cell>
          <cell r="AP112">
            <v>0</v>
          </cell>
          <cell r="AQ112">
            <v>0</v>
          </cell>
          <cell r="AR112">
            <v>0</v>
          </cell>
        </row>
        <row r="113">
          <cell r="E113" t="str">
            <v>309964</v>
          </cell>
          <cell r="F113" t="str">
            <v>Joshua Kissner</v>
          </cell>
          <cell r="G113">
            <v>26.57</v>
          </cell>
          <cell r="H113">
            <v>26.57</v>
          </cell>
          <cell r="O113" t="str">
            <v>301048</v>
          </cell>
          <cell r="P113" t="str">
            <v>Justin Morrow</v>
          </cell>
          <cell r="Q113">
            <v>2063.2199999999998</v>
          </cell>
          <cell r="R113">
            <v>56497.490000000005</v>
          </cell>
          <cell r="Y113" t="str">
            <v>300074</v>
          </cell>
          <cell r="Z113" t="str">
            <v>Luis Amescua</v>
          </cell>
          <cell r="AA113">
            <v>444.24999699999995</v>
          </cell>
          <cell r="AB113">
            <v>18195.330000000005</v>
          </cell>
          <cell r="AH113" t="str">
            <v>114102</v>
          </cell>
          <cell r="AI113" t="str">
            <v>Paul Herde</v>
          </cell>
          <cell r="AJ113">
            <v>2774.9999999999959</v>
          </cell>
          <cell r="AP113">
            <v>0</v>
          </cell>
          <cell r="AQ113">
            <v>0</v>
          </cell>
          <cell r="AR113">
            <v>0</v>
          </cell>
        </row>
        <row r="114">
          <cell r="E114" t="str">
            <v>301048</v>
          </cell>
          <cell r="F114" t="str">
            <v>Justin Morrow</v>
          </cell>
          <cell r="G114">
            <v>28.33</v>
          </cell>
          <cell r="H114">
            <v>28.33</v>
          </cell>
          <cell r="O114" t="str">
            <v>158995</v>
          </cell>
          <cell r="P114" t="str">
            <v>Justin Paiva</v>
          </cell>
          <cell r="Q114">
            <v>2034.3733319999999</v>
          </cell>
          <cell r="R114">
            <v>54183.249999999993</v>
          </cell>
          <cell r="Y114" t="str">
            <v>158903</v>
          </cell>
          <cell r="Z114" t="str">
            <v>Major Whitten</v>
          </cell>
          <cell r="AA114">
            <v>552.64999699999987</v>
          </cell>
          <cell r="AB114">
            <v>23054.780000000006</v>
          </cell>
          <cell r="AH114" t="str">
            <v>301932</v>
          </cell>
          <cell r="AI114" t="str">
            <v>Peter Williams</v>
          </cell>
          <cell r="AJ114">
            <v>400</v>
          </cell>
          <cell r="AP114">
            <v>0</v>
          </cell>
          <cell r="AQ114">
            <v>0</v>
          </cell>
          <cell r="AR114">
            <v>0</v>
          </cell>
        </row>
        <row r="115">
          <cell r="E115" t="str">
            <v>158995</v>
          </cell>
          <cell r="F115" t="str">
            <v>Justin Paiva</v>
          </cell>
          <cell r="G115">
            <v>26.95</v>
          </cell>
          <cell r="H115">
            <v>26.95</v>
          </cell>
          <cell r="O115" t="str">
            <v>113947</v>
          </cell>
          <cell r="P115" t="str">
            <v>Kendall Carver</v>
          </cell>
          <cell r="Q115">
            <v>2053.0000010000003</v>
          </cell>
          <cell r="R115">
            <v>54658.32</v>
          </cell>
          <cell r="Y115" t="str">
            <v>308555</v>
          </cell>
          <cell r="Z115" t="str">
            <v>Malissa Sapp</v>
          </cell>
          <cell r="AA115">
            <v>108.08335799999999</v>
          </cell>
          <cell r="AB115">
            <v>2948.15</v>
          </cell>
          <cell r="AH115" t="str">
            <v>313924</v>
          </cell>
          <cell r="AI115" t="str">
            <v>Rhea Ann Nangauta</v>
          </cell>
          <cell r="AJ115">
            <v>470</v>
          </cell>
          <cell r="AP115">
            <v>0</v>
          </cell>
          <cell r="AQ115">
            <v>0</v>
          </cell>
          <cell r="AR115">
            <v>0</v>
          </cell>
        </row>
        <row r="116">
          <cell r="E116" t="str">
            <v>113947</v>
          </cell>
          <cell r="F116" t="str">
            <v>Kendall Carver</v>
          </cell>
          <cell r="G116">
            <v>26.95</v>
          </cell>
          <cell r="H116">
            <v>26.95</v>
          </cell>
          <cell r="O116" t="str">
            <v>114098</v>
          </cell>
          <cell r="P116" t="str">
            <v>Kenneth Bender</v>
          </cell>
          <cell r="Q116">
            <v>2034.033334</v>
          </cell>
          <cell r="R116">
            <v>54573.579999999994</v>
          </cell>
          <cell r="Y116" t="str">
            <v>156471</v>
          </cell>
          <cell r="Z116" t="str">
            <v>Mandy Coleman</v>
          </cell>
          <cell r="AA116">
            <v>100.64999999999998</v>
          </cell>
          <cell r="AB116">
            <v>2734.0499999999997</v>
          </cell>
          <cell r="AH116" t="str">
            <v>114228</v>
          </cell>
          <cell r="AI116" t="str">
            <v>Richard Amundsen</v>
          </cell>
          <cell r="AJ116">
            <v>3024.9999999999945</v>
          </cell>
          <cell r="AP116">
            <v>0</v>
          </cell>
          <cell r="AQ116">
            <v>0</v>
          </cell>
          <cell r="AR116">
            <v>0</v>
          </cell>
        </row>
        <row r="117">
          <cell r="E117" t="str">
            <v>114098</v>
          </cell>
          <cell r="F117" t="str">
            <v>Kenneth Bender</v>
          </cell>
          <cell r="G117">
            <v>26.95</v>
          </cell>
          <cell r="H117">
            <v>26.95</v>
          </cell>
          <cell r="O117" t="str">
            <v>114301</v>
          </cell>
          <cell r="P117" t="str">
            <v>Kevin Adams</v>
          </cell>
          <cell r="Q117">
            <v>2093.716668</v>
          </cell>
          <cell r="R117">
            <v>40912.420000000006</v>
          </cell>
          <cell r="Y117" t="str">
            <v>159061</v>
          </cell>
          <cell r="Z117" t="str">
            <v>Marco Lugo</v>
          </cell>
          <cell r="AA117">
            <v>217.88332800000006</v>
          </cell>
          <cell r="AB117">
            <v>7441.4199999999983</v>
          </cell>
          <cell r="AH117" t="str">
            <v>301672</v>
          </cell>
          <cell r="AI117" t="str">
            <v>Richard Bailey</v>
          </cell>
          <cell r="AJ117">
            <v>1024.9999999999993</v>
          </cell>
          <cell r="AP117">
            <v>0</v>
          </cell>
          <cell r="AQ117">
            <v>0</v>
          </cell>
          <cell r="AR117">
            <v>0</v>
          </cell>
        </row>
        <row r="118">
          <cell r="E118" t="str">
            <v>114301</v>
          </cell>
          <cell r="F118" t="str">
            <v>Kevin Adams</v>
          </cell>
          <cell r="G118">
            <v>19.38</v>
          </cell>
          <cell r="H118">
            <v>19.38</v>
          </cell>
          <cell r="O118" t="str">
            <v>113952</v>
          </cell>
          <cell r="P118" t="str">
            <v>Lance Kinchen</v>
          </cell>
          <cell r="Q118">
            <v>2047.8200020000002</v>
          </cell>
          <cell r="R118">
            <v>54524.159999999996</v>
          </cell>
          <cell r="Y118" t="str">
            <v>116312</v>
          </cell>
          <cell r="Z118" t="str">
            <v>Marie Most</v>
          </cell>
          <cell r="AA118">
            <v>224.50000900000001</v>
          </cell>
          <cell r="AB118">
            <v>9181.31</v>
          </cell>
          <cell r="AH118" t="str">
            <v>158046</v>
          </cell>
          <cell r="AI118" t="str">
            <v>Richard Garibay</v>
          </cell>
          <cell r="AJ118">
            <v>3024.9999999999941</v>
          </cell>
          <cell r="AP118">
            <v>0</v>
          </cell>
          <cell r="AQ118">
            <v>0</v>
          </cell>
          <cell r="AR118">
            <v>0</v>
          </cell>
        </row>
        <row r="119">
          <cell r="E119" t="str">
            <v>113952</v>
          </cell>
          <cell r="F119" t="str">
            <v>Lance Kinchen</v>
          </cell>
          <cell r="G119">
            <v>26.95</v>
          </cell>
          <cell r="H119">
            <v>26.95</v>
          </cell>
          <cell r="O119" t="str">
            <v>304887</v>
          </cell>
          <cell r="P119" t="str">
            <v>Lourdes David-Thetadig</v>
          </cell>
          <cell r="Q119">
            <v>2078.29</v>
          </cell>
          <cell r="R119">
            <v>34379.400000000009</v>
          </cell>
          <cell r="Y119" t="str">
            <v>114002</v>
          </cell>
          <cell r="Z119" t="str">
            <v>Mark Young</v>
          </cell>
          <cell r="AA119">
            <v>26.666667999999998</v>
          </cell>
          <cell r="AB119">
            <v>1078.5899999999999</v>
          </cell>
          <cell r="AH119" t="str">
            <v>158069</v>
          </cell>
          <cell r="AI119" t="str">
            <v>Richard Slagle</v>
          </cell>
          <cell r="AJ119">
            <v>2649.9999999999968</v>
          </cell>
          <cell r="AP119">
            <v>0</v>
          </cell>
          <cell r="AQ119">
            <v>0</v>
          </cell>
          <cell r="AR119">
            <v>0</v>
          </cell>
        </row>
        <row r="120">
          <cell r="E120" t="str">
            <v>304887</v>
          </cell>
          <cell r="F120" t="str">
            <v>Lourdes David-Thetadig</v>
          </cell>
          <cell r="G120">
            <v>16.399999999999999</v>
          </cell>
          <cell r="H120">
            <v>16.399999999999999</v>
          </cell>
          <cell r="O120" t="str">
            <v>301578</v>
          </cell>
          <cell r="P120" t="str">
            <v>Lucas Miller</v>
          </cell>
          <cell r="Q120">
            <v>2131.02</v>
          </cell>
          <cell r="R120">
            <v>57228.05</v>
          </cell>
          <cell r="Y120" t="str">
            <v>156922</v>
          </cell>
          <cell r="Z120" t="str">
            <v>Martina Fisher Sanehi</v>
          </cell>
          <cell r="AA120">
            <v>69.400004999999993</v>
          </cell>
          <cell r="AB120">
            <v>1858.0400000000004</v>
          </cell>
          <cell r="AH120" t="str">
            <v>150788</v>
          </cell>
          <cell r="AI120" t="str">
            <v>Ricky Cole</v>
          </cell>
          <cell r="AJ120">
            <v>1024.9999999999995</v>
          </cell>
          <cell r="AP120">
            <v>0</v>
          </cell>
          <cell r="AQ120">
            <v>0</v>
          </cell>
          <cell r="AR120">
            <v>0</v>
          </cell>
        </row>
        <row r="121">
          <cell r="E121" t="str">
            <v>301578</v>
          </cell>
          <cell r="F121" t="str">
            <v>Lucas Miller</v>
          </cell>
          <cell r="G121">
            <v>27.3</v>
          </cell>
          <cell r="H121">
            <v>27.3</v>
          </cell>
          <cell r="O121" t="str">
            <v>300074</v>
          </cell>
          <cell r="P121" t="str">
            <v>Luis Amescua</v>
          </cell>
          <cell r="Q121">
            <v>2039.683331</v>
          </cell>
          <cell r="R121">
            <v>55218.6</v>
          </cell>
          <cell r="Y121" t="str">
            <v>304543</v>
          </cell>
          <cell r="Z121" t="str">
            <v>Michael Savoury</v>
          </cell>
          <cell r="AA121">
            <v>4.0833329999999997</v>
          </cell>
          <cell r="AB121">
            <v>100.94999999999999</v>
          </cell>
          <cell r="AH121" t="str">
            <v>114196</v>
          </cell>
          <cell r="AI121" t="str">
            <v>Robert Roll</v>
          </cell>
          <cell r="AJ121">
            <v>3024.9999999999941</v>
          </cell>
          <cell r="AP121">
            <v>0</v>
          </cell>
          <cell r="AQ121">
            <v>0</v>
          </cell>
          <cell r="AR121">
            <v>0</v>
          </cell>
        </row>
        <row r="122">
          <cell r="E122" t="str">
            <v>300074</v>
          </cell>
          <cell r="F122" t="str">
            <v>Luis Amescua</v>
          </cell>
          <cell r="G122">
            <v>27.3</v>
          </cell>
          <cell r="H122">
            <v>27.3</v>
          </cell>
          <cell r="O122" t="str">
            <v>158903</v>
          </cell>
          <cell r="P122" t="str">
            <v>Major Whitten</v>
          </cell>
          <cell r="Q122">
            <v>2098.6666660000001</v>
          </cell>
          <cell r="R122">
            <v>57221.400000000009</v>
          </cell>
          <cell r="Y122" t="str">
            <v>114255</v>
          </cell>
          <cell r="Z122" t="str">
            <v>Michelle Jester</v>
          </cell>
          <cell r="AA122">
            <v>262.14999800000004</v>
          </cell>
          <cell r="AB122">
            <v>9293.5799999999981</v>
          </cell>
          <cell r="AH122" t="str">
            <v>308560</v>
          </cell>
          <cell r="AI122" t="str">
            <v>Robie leach</v>
          </cell>
          <cell r="AJ122">
            <v>41.67</v>
          </cell>
          <cell r="AP122">
            <v>0</v>
          </cell>
          <cell r="AQ122">
            <v>0</v>
          </cell>
          <cell r="AR122">
            <v>0</v>
          </cell>
        </row>
        <row r="123">
          <cell r="E123" t="str">
            <v>158903</v>
          </cell>
          <cell r="F123" t="str">
            <v>Major Whitten</v>
          </cell>
          <cell r="G123">
            <v>28.33</v>
          </cell>
          <cell r="H123">
            <v>28.33</v>
          </cell>
          <cell r="O123" t="str">
            <v>308555</v>
          </cell>
          <cell r="P123" t="str">
            <v>Malissa Sapp</v>
          </cell>
          <cell r="Q123">
            <v>2018.250004</v>
          </cell>
          <cell r="R123">
            <v>36760.549999999996</v>
          </cell>
          <cell r="Y123" t="str">
            <v>115438</v>
          </cell>
          <cell r="Z123" t="str">
            <v>Michelle Lloyd</v>
          </cell>
          <cell r="AA123">
            <v>237.16667100000006</v>
          </cell>
          <cell r="AB123">
            <v>6765.4599999999991</v>
          </cell>
          <cell r="AH123" t="str">
            <v>150224</v>
          </cell>
          <cell r="AI123" t="str">
            <v>Rob Lindsay</v>
          </cell>
          <cell r="AJ123">
            <v>3174.9999999999941</v>
          </cell>
          <cell r="AP123">
            <v>0</v>
          </cell>
          <cell r="AQ123">
            <v>0</v>
          </cell>
          <cell r="AR123">
            <v>0</v>
          </cell>
        </row>
        <row r="124">
          <cell r="E124" t="str">
            <v>308555</v>
          </cell>
          <cell r="F124" t="str">
            <v>Malissa Sapp</v>
          </cell>
          <cell r="G124">
            <v>18</v>
          </cell>
          <cell r="H124">
            <v>18</v>
          </cell>
          <cell r="O124" t="str">
            <v>156471</v>
          </cell>
          <cell r="P124" t="str">
            <v>Mandy Coleman</v>
          </cell>
          <cell r="Q124">
            <v>1911.7712980000003</v>
          </cell>
          <cell r="R124">
            <v>33596.349999999991</v>
          </cell>
          <cell r="Y124" t="str">
            <v>300600</v>
          </cell>
          <cell r="Z124" t="str">
            <v>Nathan Molinek</v>
          </cell>
          <cell r="AA124">
            <v>539.06666399999995</v>
          </cell>
          <cell r="AB124">
            <v>21849.499999999996</v>
          </cell>
          <cell r="AH124" t="str">
            <v>158765</v>
          </cell>
          <cell r="AI124" t="str">
            <v>Ryan Mcginnis</v>
          </cell>
          <cell r="AJ124">
            <v>1024.9999999999993</v>
          </cell>
          <cell r="AP124">
            <v>0</v>
          </cell>
          <cell r="AQ124">
            <v>0</v>
          </cell>
          <cell r="AR124">
            <v>0</v>
          </cell>
        </row>
        <row r="125">
          <cell r="E125" t="str">
            <v>156471</v>
          </cell>
          <cell r="F125" t="str">
            <v>Mandy Coleman</v>
          </cell>
          <cell r="G125">
            <v>17.5</v>
          </cell>
          <cell r="H125">
            <v>17.5</v>
          </cell>
          <cell r="O125" t="str">
            <v>159061</v>
          </cell>
          <cell r="P125" t="str">
            <v>Marco Lugo</v>
          </cell>
          <cell r="Q125">
            <v>2108.900001</v>
          </cell>
          <cell r="R125">
            <v>46579.710000000006</v>
          </cell>
          <cell r="Y125" t="str">
            <v>155192</v>
          </cell>
          <cell r="Z125" t="str">
            <v>Nathan Sanders</v>
          </cell>
          <cell r="AA125">
            <v>29.716666000000004</v>
          </cell>
          <cell r="AB125">
            <v>1361.26</v>
          </cell>
          <cell r="AH125" t="str">
            <v>301128</v>
          </cell>
          <cell r="AI125" t="str">
            <v>Ryan Moses</v>
          </cell>
          <cell r="AJ125">
            <v>2416.7799999999957</v>
          </cell>
          <cell r="AP125">
            <v>0</v>
          </cell>
          <cell r="AQ125">
            <v>0</v>
          </cell>
          <cell r="AR125">
            <v>0</v>
          </cell>
        </row>
        <row r="126">
          <cell r="E126" t="str">
            <v>159061</v>
          </cell>
          <cell r="F126" t="str">
            <v>Marco Lugo</v>
          </cell>
          <cell r="G126">
            <v>22.07</v>
          </cell>
          <cell r="H126">
            <v>22.07</v>
          </cell>
          <cell r="O126" t="str">
            <v>116312</v>
          </cell>
          <cell r="P126" t="str">
            <v>Marie Most</v>
          </cell>
          <cell r="Q126">
            <v>2053.3833329999998</v>
          </cell>
          <cell r="R126">
            <v>56577.880000000012</v>
          </cell>
          <cell r="Y126" t="str">
            <v>154133</v>
          </cell>
          <cell r="Z126" t="str">
            <v>Nick Fredrickson</v>
          </cell>
          <cell r="AA126">
            <v>154.366669</v>
          </cell>
          <cell r="AB126">
            <v>7246.3600000000015</v>
          </cell>
          <cell r="AH126" t="str">
            <v>157861</v>
          </cell>
          <cell r="AI126" t="str">
            <v>Ryan Sheppard</v>
          </cell>
          <cell r="AJ126">
            <v>2774.9999999999955</v>
          </cell>
          <cell r="AP126">
            <v>0</v>
          </cell>
          <cell r="AQ126">
            <v>0</v>
          </cell>
          <cell r="AR126">
            <v>0</v>
          </cell>
        </row>
        <row r="127">
          <cell r="E127" t="str">
            <v>116312</v>
          </cell>
          <cell r="F127" t="str">
            <v>Marie Most</v>
          </cell>
          <cell r="G127">
            <v>27.31</v>
          </cell>
          <cell r="H127">
            <v>27.31</v>
          </cell>
          <cell r="O127" t="str">
            <v>114002</v>
          </cell>
          <cell r="P127" t="str">
            <v>Mark Young</v>
          </cell>
          <cell r="Q127">
            <v>1143.2333290000001</v>
          </cell>
          <cell r="R127">
            <v>31217.749999999996</v>
          </cell>
          <cell r="Y127" t="str">
            <v>114337</v>
          </cell>
          <cell r="Z127" t="str">
            <v>Noel Cockett</v>
          </cell>
          <cell r="AA127">
            <v>262.26666699999998</v>
          </cell>
          <cell r="AB127">
            <v>10518.460000000001</v>
          </cell>
          <cell r="AH127" t="str">
            <v>300442</v>
          </cell>
          <cell r="AI127" t="str">
            <v>Sandra Hurd</v>
          </cell>
          <cell r="AJ127">
            <v>485</v>
          </cell>
          <cell r="AP127">
            <v>0</v>
          </cell>
          <cell r="AQ127">
            <v>0</v>
          </cell>
          <cell r="AR127">
            <v>0</v>
          </cell>
        </row>
        <row r="128">
          <cell r="E128" t="str">
            <v>114002</v>
          </cell>
          <cell r="F128" t="str">
            <v>Mark Young</v>
          </cell>
          <cell r="G128">
            <v>25.95</v>
          </cell>
          <cell r="H128">
            <v>25.95</v>
          </cell>
          <cell r="O128" t="str">
            <v>156922</v>
          </cell>
          <cell r="P128" t="str">
            <v>Martina Fisher Sanehi</v>
          </cell>
          <cell r="Q128">
            <v>2033.4701660000003</v>
          </cell>
          <cell r="R128">
            <v>35837.339999999997</v>
          </cell>
          <cell r="Y128" t="str">
            <v>114102</v>
          </cell>
          <cell r="Z128" t="str">
            <v>Paul Herde</v>
          </cell>
          <cell r="AA128">
            <v>290.81666300000006</v>
          </cell>
          <cell r="AB128">
            <v>11748.049999999997</v>
          </cell>
          <cell r="AH128" t="str">
            <v>154948</v>
          </cell>
          <cell r="AI128" t="str">
            <v>Scott Hovies</v>
          </cell>
          <cell r="AJ128">
            <v>3074.9999999999945</v>
          </cell>
          <cell r="AP128">
            <v>0</v>
          </cell>
          <cell r="AQ128">
            <v>0</v>
          </cell>
          <cell r="AR128">
            <v>0</v>
          </cell>
        </row>
        <row r="129">
          <cell r="E129" t="str">
            <v>156922</v>
          </cell>
          <cell r="F129" t="str">
            <v>Martina Fisher Sanehi</v>
          </cell>
          <cell r="G129">
            <v>17.5</v>
          </cell>
          <cell r="H129">
            <v>17.5</v>
          </cell>
          <cell r="O129" t="str">
            <v>102777</v>
          </cell>
          <cell r="P129" t="str">
            <v>Matthew O'Connell</v>
          </cell>
          <cell r="Q129">
            <v>2744</v>
          </cell>
          <cell r="R129">
            <v>177980.86000000004</v>
          </cell>
          <cell r="Y129" t="str">
            <v>301932</v>
          </cell>
          <cell r="Z129" t="str">
            <v>Peter Williams</v>
          </cell>
          <cell r="AB129">
            <v>25.57</v>
          </cell>
          <cell r="AH129" t="str">
            <v>114208</v>
          </cell>
          <cell r="AI129" t="str">
            <v>Si Seng</v>
          </cell>
          <cell r="AJ129">
            <v>3024.9999999999941</v>
          </cell>
          <cell r="AP129">
            <v>0</v>
          </cell>
          <cell r="AQ129">
            <v>0</v>
          </cell>
          <cell r="AR129">
            <v>0</v>
          </cell>
        </row>
        <row r="130">
          <cell r="E130" t="str">
            <v>102777</v>
          </cell>
          <cell r="F130" t="str">
            <v>Matthew O'Connell</v>
          </cell>
          <cell r="G130">
            <v>180000</v>
          </cell>
          <cell r="H130">
            <v>86.538461538461533</v>
          </cell>
          <cell r="O130" t="str">
            <v>114019</v>
          </cell>
          <cell r="P130" t="str">
            <v>Melissa Vanderziel</v>
          </cell>
          <cell r="Q130">
            <v>2160</v>
          </cell>
          <cell r="R130">
            <v>66327.100000000006</v>
          </cell>
          <cell r="Y130" t="str">
            <v>315057</v>
          </cell>
          <cell r="Z130" t="str">
            <v>Raymond Mendoza</v>
          </cell>
          <cell r="AA130">
            <v>58.483335999999994</v>
          </cell>
          <cell r="AB130">
            <v>2324.77</v>
          </cell>
          <cell r="AH130" t="str">
            <v>114128</v>
          </cell>
          <cell r="AI130" t="str">
            <v>Steven Palmer</v>
          </cell>
          <cell r="AJ130">
            <v>1024.9999999999995</v>
          </cell>
          <cell r="AP130">
            <v>0</v>
          </cell>
          <cell r="AQ130">
            <v>0</v>
          </cell>
          <cell r="AR130">
            <v>0</v>
          </cell>
        </row>
        <row r="131">
          <cell r="E131" t="str">
            <v>114019</v>
          </cell>
          <cell r="F131" t="str">
            <v>Melissa Vanderziel</v>
          </cell>
          <cell r="G131">
            <v>67000</v>
          </cell>
          <cell r="H131">
            <v>32.21153846153846</v>
          </cell>
          <cell r="O131" t="str">
            <v>304543</v>
          </cell>
          <cell r="P131" t="str">
            <v>Michael Savoury</v>
          </cell>
          <cell r="Q131">
            <v>526.15000200000009</v>
          </cell>
          <cell r="R131">
            <v>9086.0600000000013</v>
          </cell>
          <cell r="Y131" t="str">
            <v>313924</v>
          </cell>
          <cell r="Z131" t="str">
            <v>Rhea Ann Nangauta</v>
          </cell>
          <cell r="AA131">
            <v>24.866667</v>
          </cell>
          <cell r="AB131">
            <v>631.38000000000011</v>
          </cell>
          <cell r="AH131" t="str">
            <v>114374</v>
          </cell>
          <cell r="AI131" t="str">
            <v>Steven Zipsnis</v>
          </cell>
          <cell r="AJ131">
            <v>2189.2299999999996</v>
          </cell>
          <cell r="AP131">
            <v>0</v>
          </cell>
          <cell r="AQ131">
            <v>0</v>
          </cell>
          <cell r="AR131">
            <v>0</v>
          </cell>
        </row>
        <row r="132">
          <cell r="E132" t="str">
            <v>304543</v>
          </cell>
          <cell r="F132" t="str">
            <v>Michael Savoury</v>
          </cell>
          <cell r="G132">
            <v>16.48</v>
          </cell>
          <cell r="H132">
            <v>16.48</v>
          </cell>
          <cell r="O132" t="str">
            <v>114255</v>
          </cell>
          <cell r="P132" t="str">
            <v>Michelle Jester</v>
          </cell>
          <cell r="Q132">
            <v>1803.1833320000001</v>
          </cell>
          <cell r="R132">
            <v>41555.690000000024</v>
          </cell>
          <cell r="Y132" t="str">
            <v>114228</v>
          </cell>
          <cell r="Z132" t="str">
            <v>Richard Amundsen</v>
          </cell>
          <cell r="AA132">
            <v>441.66666499999991</v>
          </cell>
          <cell r="AB132">
            <v>17860.350000000009</v>
          </cell>
          <cell r="AH132" t="str">
            <v>114112</v>
          </cell>
          <cell r="AI132" t="str">
            <v>Tamara Sandahl</v>
          </cell>
          <cell r="AJ132">
            <v>1175.0000000000005</v>
          </cell>
          <cell r="AP132">
            <v>0</v>
          </cell>
          <cell r="AQ132">
            <v>0</v>
          </cell>
          <cell r="AR132">
            <v>0</v>
          </cell>
        </row>
        <row r="133">
          <cell r="E133" t="str">
            <v>114255</v>
          </cell>
          <cell r="F133" t="str">
            <v>Michelle Jester</v>
          </cell>
          <cell r="G133">
            <v>23.11</v>
          </cell>
          <cell r="H133">
            <v>23.11</v>
          </cell>
          <cell r="O133" t="str">
            <v>115438</v>
          </cell>
          <cell r="P133" t="str">
            <v>Michelle Lloyd</v>
          </cell>
          <cell r="Q133">
            <v>2066.3833329999998</v>
          </cell>
          <cell r="R133">
            <v>37892.050000000025</v>
          </cell>
          <cell r="Y133" t="str">
            <v>301672</v>
          </cell>
          <cell r="Z133" t="str">
            <v>Richard Bailey</v>
          </cell>
          <cell r="AA133">
            <v>435.08333700000003</v>
          </cell>
          <cell r="AB133">
            <v>16188.660000000003</v>
          </cell>
          <cell r="AH133" t="str">
            <v>150275</v>
          </cell>
          <cell r="AI133" t="str">
            <v>Tami Bellows</v>
          </cell>
          <cell r="AJ133">
            <v>49.999999999999993</v>
          </cell>
          <cell r="AP133">
            <v>0</v>
          </cell>
          <cell r="AQ133">
            <v>0</v>
          </cell>
          <cell r="AR133">
            <v>0</v>
          </cell>
        </row>
        <row r="134">
          <cell r="E134" t="str">
            <v>115438</v>
          </cell>
          <cell r="F134" t="str">
            <v>Michelle Lloyd</v>
          </cell>
          <cell r="G134">
            <v>18.309999999999999</v>
          </cell>
          <cell r="H134">
            <v>18.309999999999999</v>
          </cell>
          <cell r="O134" t="str">
            <v>300600</v>
          </cell>
          <cell r="P134" t="str">
            <v>Nathan Molinek</v>
          </cell>
          <cell r="Q134">
            <v>2084.3000019999999</v>
          </cell>
          <cell r="R134">
            <v>55962.549999999996</v>
          </cell>
          <cell r="Y134" t="str">
            <v>158046</v>
          </cell>
          <cell r="Z134" t="str">
            <v>Richard Garibay</v>
          </cell>
          <cell r="AA134">
            <v>299.21666900000008</v>
          </cell>
          <cell r="AB134">
            <v>12129.869999999999</v>
          </cell>
          <cell r="AH134" t="str">
            <v>156569</v>
          </cell>
          <cell r="AI134" t="str">
            <v>Tanya Slack</v>
          </cell>
          <cell r="AJ134">
            <v>1075.0000000000002</v>
          </cell>
          <cell r="AP134">
            <v>0</v>
          </cell>
          <cell r="AQ134">
            <v>0</v>
          </cell>
          <cell r="AR134">
            <v>0</v>
          </cell>
        </row>
        <row r="135">
          <cell r="E135" t="str">
            <v>300600</v>
          </cell>
          <cell r="F135" t="str">
            <v>Nathan Molinek</v>
          </cell>
          <cell r="G135">
            <v>27.3</v>
          </cell>
          <cell r="H135">
            <v>27.3</v>
          </cell>
          <cell r="O135" t="str">
            <v>155192</v>
          </cell>
          <cell r="P135" t="str">
            <v>Nathan Sanders</v>
          </cell>
          <cell r="Q135">
            <v>1526.2699990000003</v>
          </cell>
          <cell r="R135">
            <v>40529.259999999987</v>
          </cell>
          <cell r="Y135" t="str">
            <v>158069</v>
          </cell>
          <cell r="Z135" t="str">
            <v>Richard Slagle</v>
          </cell>
          <cell r="AA135">
            <v>97.899999999999977</v>
          </cell>
          <cell r="AB135">
            <v>3471.0900000000006</v>
          </cell>
          <cell r="AH135" t="str">
            <v>114265</v>
          </cell>
          <cell r="AI135" t="str">
            <v>Thomas Hughes</v>
          </cell>
          <cell r="AJ135">
            <v>2774.9999999999955</v>
          </cell>
          <cell r="AP135">
            <v>0</v>
          </cell>
          <cell r="AQ135">
            <v>0</v>
          </cell>
          <cell r="AR135">
            <v>0</v>
          </cell>
        </row>
        <row r="136">
          <cell r="E136" t="str">
            <v>155192</v>
          </cell>
          <cell r="F136" t="str">
            <v>Nathan Sanders</v>
          </cell>
          <cell r="G136">
            <v>26.95</v>
          </cell>
          <cell r="H136">
            <v>26.95</v>
          </cell>
          <cell r="O136" t="str">
            <v>154133</v>
          </cell>
          <cell r="P136" t="str">
            <v>Nick Fredrickson</v>
          </cell>
          <cell r="Q136">
            <v>1409.7333400000002</v>
          </cell>
          <cell r="R136">
            <v>42674.219999999994</v>
          </cell>
          <cell r="Y136" t="str">
            <v>150788</v>
          </cell>
          <cell r="Z136" t="str">
            <v>Ricky Cole</v>
          </cell>
          <cell r="AA136">
            <v>56.216667000000001</v>
          </cell>
          <cell r="AB136">
            <v>2244.98</v>
          </cell>
          <cell r="AH136" t="str">
            <v>113941</v>
          </cell>
          <cell r="AI136" t="str">
            <v>Todd Blake</v>
          </cell>
          <cell r="AJ136">
            <v>3024.9999999999941</v>
          </cell>
          <cell r="AP136">
            <v>0</v>
          </cell>
          <cell r="AQ136">
            <v>0</v>
          </cell>
          <cell r="AR136">
            <v>0</v>
          </cell>
        </row>
        <row r="137">
          <cell r="E137" t="str">
            <v>154133</v>
          </cell>
          <cell r="F137" t="str">
            <v>Nick Fredrickson</v>
          </cell>
          <cell r="G137">
            <v>29.87</v>
          </cell>
          <cell r="H137">
            <v>29.87</v>
          </cell>
          <cell r="O137" t="str">
            <v>114337</v>
          </cell>
          <cell r="P137" t="str">
            <v>Noel Cockett</v>
          </cell>
          <cell r="Q137">
            <v>2051.7499979999998</v>
          </cell>
          <cell r="R137">
            <v>54839.1</v>
          </cell>
          <cell r="Y137" t="str">
            <v>114196</v>
          </cell>
          <cell r="Z137" t="str">
            <v>Robert Roll</v>
          </cell>
          <cell r="AA137">
            <v>624.54999900000007</v>
          </cell>
          <cell r="AB137">
            <v>25444.340000000004</v>
          </cell>
          <cell r="AH137" t="str">
            <v>114330</v>
          </cell>
          <cell r="AI137" t="str">
            <v>Tracey Guevara</v>
          </cell>
          <cell r="AJ137">
            <v>3124.9999999999936</v>
          </cell>
          <cell r="AP137">
            <v>0</v>
          </cell>
          <cell r="AQ137">
            <v>0</v>
          </cell>
          <cell r="AR137">
            <v>0</v>
          </cell>
        </row>
        <row r="138">
          <cell r="E138" t="str">
            <v>114337</v>
          </cell>
          <cell r="F138" t="str">
            <v>Noel Cockett</v>
          </cell>
          <cell r="G138">
            <v>26.95</v>
          </cell>
          <cell r="H138">
            <v>26.95</v>
          </cell>
          <cell r="O138" t="str">
            <v>114102</v>
          </cell>
          <cell r="P138" t="str">
            <v>Paul Herde</v>
          </cell>
          <cell r="Q138">
            <v>2065.6833329999999</v>
          </cell>
          <cell r="R138">
            <v>54772.090000000004</v>
          </cell>
          <cell r="Y138" t="str">
            <v>309855</v>
          </cell>
          <cell r="Z138" t="str">
            <v>Rob Feeder</v>
          </cell>
          <cell r="AA138">
            <v>108.86666400000001</v>
          </cell>
          <cell r="AB138">
            <v>4327.5599999999995</v>
          </cell>
          <cell r="AH138" t="str">
            <v>154540</v>
          </cell>
          <cell r="AI138" t="str">
            <v>Travis Harvey</v>
          </cell>
          <cell r="AJ138">
            <v>3125</v>
          </cell>
          <cell r="AP138">
            <v>0</v>
          </cell>
          <cell r="AQ138">
            <v>0</v>
          </cell>
          <cell r="AR138">
            <v>0</v>
          </cell>
        </row>
        <row r="139">
          <cell r="E139" t="str">
            <v>114102</v>
          </cell>
          <cell r="F139" t="str">
            <v>Paul Herde</v>
          </cell>
          <cell r="G139">
            <v>26.95</v>
          </cell>
          <cell r="H139">
            <v>26.95</v>
          </cell>
          <cell r="O139" t="str">
            <v>301932</v>
          </cell>
          <cell r="P139" t="str">
            <v>Peter Williams</v>
          </cell>
          <cell r="Q139">
            <v>1222.3</v>
          </cell>
          <cell r="R139">
            <v>39745.51</v>
          </cell>
          <cell r="Y139" t="str">
            <v>308560</v>
          </cell>
          <cell r="Z139" t="str">
            <v>Robie leach</v>
          </cell>
          <cell r="AA139">
            <v>39.683333000000005</v>
          </cell>
          <cell r="AB139">
            <v>1581.64</v>
          </cell>
          <cell r="AH139" t="str">
            <v>158074</v>
          </cell>
          <cell r="AI139" t="str">
            <v>Travis Wiese</v>
          </cell>
          <cell r="AJ139">
            <v>3149.9999999999941</v>
          </cell>
          <cell r="AP139">
            <v>0</v>
          </cell>
          <cell r="AQ139">
            <v>0</v>
          </cell>
          <cell r="AR139">
            <v>0</v>
          </cell>
        </row>
        <row r="140">
          <cell r="E140" t="str">
            <v>301932</v>
          </cell>
          <cell r="F140" t="str">
            <v>Peter Williams</v>
          </cell>
          <cell r="G140">
            <v>66000</v>
          </cell>
          <cell r="H140">
            <v>31.73076923076923</v>
          </cell>
          <cell r="O140" t="str">
            <v>114180</v>
          </cell>
          <cell r="P140" t="str">
            <v>Randolph Heick</v>
          </cell>
          <cell r="Q140">
            <v>182.65</v>
          </cell>
          <cell r="R140">
            <v>2831.08</v>
          </cell>
          <cell r="Y140" t="str">
            <v>150224</v>
          </cell>
          <cell r="Z140" t="str">
            <v>Rob Lindsay</v>
          </cell>
          <cell r="AA140">
            <v>336.3333320000001</v>
          </cell>
          <cell r="AB140">
            <v>13596.050000000005</v>
          </cell>
          <cell r="AH140" t="str">
            <v>150268</v>
          </cell>
          <cell r="AI140" t="str">
            <v>Tyler Clepper</v>
          </cell>
          <cell r="AJ140">
            <v>3074.9999999999945</v>
          </cell>
          <cell r="AP140">
            <v>0</v>
          </cell>
          <cell r="AQ140">
            <v>0</v>
          </cell>
          <cell r="AR140">
            <v>0</v>
          </cell>
        </row>
        <row r="141">
          <cell r="E141" t="str">
            <v>114180</v>
          </cell>
          <cell r="F141" t="str">
            <v>Randolph Heick</v>
          </cell>
          <cell r="G141">
            <v>15.66</v>
          </cell>
          <cell r="H141">
            <v>15.66</v>
          </cell>
          <cell r="O141" t="str">
            <v>315057</v>
          </cell>
          <cell r="P141" t="str">
            <v>Raymond Mendoza</v>
          </cell>
          <cell r="Q141">
            <v>200</v>
          </cell>
          <cell r="R141">
            <v>5300</v>
          </cell>
          <cell r="Y141" t="str">
            <v>315055</v>
          </cell>
          <cell r="Z141" t="str">
            <v>Ron Baker</v>
          </cell>
          <cell r="AA141">
            <v>41.933331999999993</v>
          </cell>
          <cell r="AB141">
            <v>1666.9</v>
          </cell>
          <cell r="AH141" t="str">
            <v>157682</v>
          </cell>
          <cell r="AI141" t="str">
            <v>Tyrone Giesen</v>
          </cell>
          <cell r="AJ141">
            <v>774.99999999999955</v>
          </cell>
          <cell r="AP141">
            <v>0</v>
          </cell>
          <cell r="AQ141">
            <v>0</v>
          </cell>
          <cell r="AR141">
            <v>0</v>
          </cell>
        </row>
        <row r="142">
          <cell r="E142" t="str">
            <v>315057</v>
          </cell>
          <cell r="F142" t="str">
            <v>Raymond Mendoza</v>
          </cell>
          <cell r="G142">
            <v>26.5</v>
          </cell>
          <cell r="H142">
            <v>26.5</v>
          </cell>
          <cell r="O142" t="str">
            <v>313924</v>
          </cell>
          <cell r="P142" t="str">
            <v>Rhea Ann Nangauta</v>
          </cell>
          <cell r="Q142">
            <v>636.5596680000001</v>
          </cell>
          <cell r="R142">
            <v>10702.039999999999</v>
          </cell>
          <cell r="Y142" t="str">
            <v>158765</v>
          </cell>
          <cell r="Z142" t="str">
            <v>Ryan Mcginnis</v>
          </cell>
          <cell r="AA142">
            <v>107.91666899999998</v>
          </cell>
          <cell r="AB142">
            <v>4356.0700000000015</v>
          </cell>
          <cell r="AH142" t="str">
            <v>154907</v>
          </cell>
          <cell r="AI142" t="str">
            <v>Vernon Shockey</v>
          </cell>
          <cell r="AJ142">
            <v>1049.9999999999998</v>
          </cell>
          <cell r="AP142">
            <v>0</v>
          </cell>
          <cell r="AQ142">
            <v>0</v>
          </cell>
          <cell r="AR142">
            <v>0</v>
          </cell>
        </row>
        <row r="143">
          <cell r="E143" t="str">
            <v>313924</v>
          </cell>
          <cell r="F143" t="str">
            <v>Rhea Ann Nangauta</v>
          </cell>
          <cell r="G143">
            <v>16.399999999999999</v>
          </cell>
          <cell r="H143">
            <v>16.399999999999999</v>
          </cell>
          <cell r="O143" t="str">
            <v>114228</v>
          </cell>
          <cell r="P143" t="str">
            <v>Richard Amundsen</v>
          </cell>
          <cell r="Q143">
            <v>2182.75</v>
          </cell>
          <cell r="R143">
            <v>58240.979999999996</v>
          </cell>
          <cell r="Y143" t="str">
            <v>301128</v>
          </cell>
          <cell r="Z143" t="str">
            <v>Ryan Moses</v>
          </cell>
          <cell r="AA143">
            <v>226.84999499999998</v>
          </cell>
          <cell r="AB143">
            <v>9273.2500000000036</v>
          </cell>
          <cell r="AH143" t="str">
            <v>153568</v>
          </cell>
          <cell r="AI143" t="str">
            <v>William Esselman</v>
          </cell>
          <cell r="AJ143">
            <v>774.99999999999955</v>
          </cell>
          <cell r="AP143">
            <v>0</v>
          </cell>
          <cell r="AQ143">
            <v>0</v>
          </cell>
          <cell r="AR143">
            <v>0</v>
          </cell>
        </row>
        <row r="144">
          <cell r="E144" t="str">
            <v>114228</v>
          </cell>
          <cell r="F144" t="str">
            <v>Richard Amundsen</v>
          </cell>
          <cell r="G144">
            <v>26.95</v>
          </cell>
          <cell r="H144">
            <v>26.95</v>
          </cell>
          <cell r="O144" t="str">
            <v>301672</v>
          </cell>
          <cell r="P144" t="str">
            <v>Richard Bailey</v>
          </cell>
          <cell r="Q144">
            <v>2067.6</v>
          </cell>
          <cell r="R144">
            <v>52020.249999999993</v>
          </cell>
          <cell r="Y144" t="str">
            <v>157861</v>
          </cell>
          <cell r="Z144" t="str">
            <v>Ryan Sheppard</v>
          </cell>
          <cell r="AA144">
            <v>314.49999799999995</v>
          </cell>
          <cell r="AB144">
            <v>12898.739999999993</v>
          </cell>
          <cell r="AH144" t="str">
            <v>114078</v>
          </cell>
          <cell r="AI144" t="str">
            <v>William Fry</v>
          </cell>
          <cell r="AJ144">
            <v>1024.9999999999993</v>
          </cell>
          <cell r="AP144">
            <v>0</v>
          </cell>
          <cell r="AQ144">
            <v>0</v>
          </cell>
          <cell r="AR144">
            <v>0</v>
          </cell>
        </row>
        <row r="145">
          <cell r="E145" t="str">
            <v>301672</v>
          </cell>
          <cell r="F145" t="str">
            <v>Richard Bailey</v>
          </cell>
          <cell r="G145">
            <v>22.1</v>
          </cell>
          <cell r="H145">
            <v>22.1</v>
          </cell>
          <cell r="O145" t="str">
            <v>158046</v>
          </cell>
          <cell r="P145" t="str">
            <v>Richard Garibay</v>
          </cell>
          <cell r="Q145">
            <v>2079.573335</v>
          </cell>
          <cell r="R145">
            <v>55593.63</v>
          </cell>
          <cell r="Y145" t="str">
            <v>300442</v>
          </cell>
          <cell r="Z145" t="str">
            <v>Sandra Hurd</v>
          </cell>
          <cell r="AA145">
            <v>142.19999099999998</v>
          </cell>
          <cell r="AB145">
            <v>3593.5900000000006</v>
          </cell>
          <cell r="AH145" t="str">
            <v>114176</v>
          </cell>
          <cell r="AI145" t="str">
            <v>William Spivey</v>
          </cell>
          <cell r="AJ145">
            <v>250.00000000000009</v>
          </cell>
          <cell r="AP145">
            <v>0</v>
          </cell>
          <cell r="AQ145">
            <v>0</v>
          </cell>
          <cell r="AR145">
            <v>0</v>
          </cell>
        </row>
        <row r="146">
          <cell r="E146" t="str">
            <v>158046</v>
          </cell>
          <cell r="F146" t="str">
            <v>Richard Garibay</v>
          </cell>
          <cell r="G146">
            <v>26.95</v>
          </cell>
          <cell r="H146">
            <v>26.95</v>
          </cell>
          <cell r="O146" t="str">
            <v>158069</v>
          </cell>
          <cell r="P146" t="str">
            <v>Richard Slagle</v>
          </cell>
          <cell r="Q146">
            <v>801.66666699999996</v>
          </cell>
          <cell r="R146">
            <v>18133.709999999992</v>
          </cell>
          <cell r="Y146" t="str">
            <v>154948</v>
          </cell>
          <cell r="Z146" t="str">
            <v>Scott Hovies</v>
          </cell>
          <cell r="AA146">
            <v>537.66666399999997</v>
          </cell>
          <cell r="AB146">
            <v>24469.069999999996</v>
          </cell>
          <cell r="AH146" t="str">
            <v>304842</v>
          </cell>
          <cell r="AI146" t="str">
            <v>Zac DeWalt</v>
          </cell>
          <cell r="AJ146">
            <v>1470.8300000000036</v>
          </cell>
          <cell r="AP146">
            <v>0</v>
          </cell>
          <cell r="AQ146">
            <v>0</v>
          </cell>
          <cell r="AR146">
            <v>0</v>
          </cell>
        </row>
        <row r="147">
          <cell r="E147" t="str">
            <v>158069</v>
          </cell>
          <cell r="F147" t="str">
            <v>Richard Slagle</v>
          </cell>
          <cell r="G147">
            <v>22.62</v>
          </cell>
          <cell r="H147">
            <v>22.62</v>
          </cell>
          <cell r="O147" t="str">
            <v>150788</v>
          </cell>
          <cell r="P147" t="str">
            <v>Ricky Cole</v>
          </cell>
          <cell r="Q147">
            <v>1983.7366649999999</v>
          </cell>
          <cell r="R147">
            <v>52783.340000000004</v>
          </cell>
          <cell r="Y147" t="str">
            <v>301463</v>
          </cell>
          <cell r="Z147" t="str">
            <v>Shane Moore</v>
          </cell>
          <cell r="AA147">
            <v>27.466667000000001</v>
          </cell>
          <cell r="AB147">
            <v>931.56</v>
          </cell>
          <cell r="AH147" t="str">
            <v>114312</v>
          </cell>
          <cell r="AI147" t="str">
            <v>Zacharia Phillips</v>
          </cell>
          <cell r="AJ147">
            <v>3024.9999999999941</v>
          </cell>
          <cell r="AP147">
            <v>0</v>
          </cell>
          <cell r="AQ147">
            <v>0</v>
          </cell>
          <cell r="AR147">
            <v>0</v>
          </cell>
        </row>
        <row r="148">
          <cell r="E148" t="str">
            <v>150788</v>
          </cell>
          <cell r="F148" t="str">
            <v>Ricky Cole</v>
          </cell>
          <cell r="G148">
            <v>26.95</v>
          </cell>
          <cell r="H148">
            <v>26.95</v>
          </cell>
          <cell r="O148" t="str">
            <v>114196</v>
          </cell>
          <cell r="P148" t="str">
            <v>Robert Roll</v>
          </cell>
          <cell r="Q148">
            <v>2091.6999999999998</v>
          </cell>
          <cell r="R148">
            <v>55447.239999999991</v>
          </cell>
          <cell r="Y148" t="str">
            <v>114208</v>
          </cell>
          <cell r="Z148" t="str">
            <v>Si Seng</v>
          </cell>
          <cell r="AA148">
            <v>317.43333700000005</v>
          </cell>
          <cell r="AB148">
            <v>12888.099999999995</v>
          </cell>
          <cell r="AH148" t="str">
            <v>114086</v>
          </cell>
          <cell r="AI148" t="str">
            <v>Aaron Russell (114086)</v>
          </cell>
          <cell r="AJ148">
            <v>3099.9999999999936</v>
          </cell>
          <cell r="AP148">
            <v>0</v>
          </cell>
          <cell r="AQ148">
            <v>0</v>
          </cell>
          <cell r="AR148">
            <v>0</v>
          </cell>
        </row>
        <row r="149">
          <cell r="E149" t="str">
            <v>114196</v>
          </cell>
          <cell r="F149" t="str">
            <v>Robert Roll</v>
          </cell>
          <cell r="G149">
            <v>26.95</v>
          </cell>
          <cell r="H149">
            <v>26.95</v>
          </cell>
          <cell r="O149" t="str">
            <v>309855</v>
          </cell>
          <cell r="P149" t="str">
            <v>Rob Feeder</v>
          </cell>
          <cell r="Q149">
            <v>594.63333399999999</v>
          </cell>
          <cell r="R149">
            <v>15757.820000000002</v>
          </cell>
          <cell r="Y149" t="str">
            <v>114128</v>
          </cell>
          <cell r="Z149" t="str">
            <v>Steven Palmer</v>
          </cell>
          <cell r="AA149">
            <v>382.84999199999999</v>
          </cell>
          <cell r="AB149">
            <v>15481.350000000002</v>
          </cell>
          <cell r="AH149" t="str">
            <v>304293</v>
          </cell>
          <cell r="AI149" t="str">
            <v>Charlene Rickett (304293)</v>
          </cell>
          <cell r="AJ149">
            <v>1024.9999999999995</v>
          </cell>
          <cell r="AP149">
            <v>0</v>
          </cell>
          <cell r="AQ149">
            <v>0</v>
          </cell>
          <cell r="AR149">
            <v>0</v>
          </cell>
        </row>
        <row r="150">
          <cell r="E150" t="str">
            <v>309855</v>
          </cell>
          <cell r="F150" t="str">
            <v>Rob Feeder</v>
          </cell>
          <cell r="G150">
            <v>26.5</v>
          </cell>
          <cell r="H150">
            <v>26.5</v>
          </cell>
          <cell r="O150" t="str">
            <v>308560</v>
          </cell>
          <cell r="P150" t="str">
            <v>Robie leach</v>
          </cell>
          <cell r="Q150">
            <v>217.056667</v>
          </cell>
          <cell r="R150">
            <v>5752.03</v>
          </cell>
          <cell r="Y150" t="str">
            <v>114374</v>
          </cell>
          <cell r="Z150" t="str">
            <v>Steven Zipsnis</v>
          </cell>
          <cell r="AA150">
            <v>66.000000000000014</v>
          </cell>
          <cell r="AB150">
            <v>1717.0599999999997</v>
          </cell>
          <cell r="AH150" t="str">
            <v>306829</v>
          </cell>
          <cell r="AI150" t="str">
            <v>Deb Muller (306829)</v>
          </cell>
          <cell r="AJ150">
            <v>280</v>
          </cell>
          <cell r="AP150">
            <v>0</v>
          </cell>
          <cell r="AQ150">
            <v>0</v>
          </cell>
          <cell r="AR150">
            <v>0</v>
          </cell>
        </row>
        <row r="151">
          <cell r="E151" t="str">
            <v>308560</v>
          </cell>
          <cell r="F151" t="str">
            <v>Robie leach</v>
          </cell>
          <cell r="G151">
            <v>26.5</v>
          </cell>
          <cell r="H151">
            <v>26.5</v>
          </cell>
          <cell r="O151" t="str">
            <v>150224</v>
          </cell>
          <cell r="P151" t="str">
            <v>Rob Lindsay</v>
          </cell>
          <cell r="Q151">
            <v>2096.7500009999999</v>
          </cell>
          <cell r="R151">
            <v>55798.39</v>
          </cell>
          <cell r="Y151" t="str">
            <v>114112</v>
          </cell>
          <cell r="Z151" t="str">
            <v>Tamara Sandahl</v>
          </cell>
          <cell r="AA151">
            <v>209.60000200000002</v>
          </cell>
          <cell r="AB151">
            <v>8386.4500000000007</v>
          </cell>
          <cell r="AH151" t="str">
            <v>312844</v>
          </cell>
          <cell r="AI151" t="str">
            <v>Gunnar Grenier (312844)</v>
          </cell>
          <cell r="AJ151">
            <v>88.4</v>
          </cell>
          <cell r="AP151">
            <v>0</v>
          </cell>
          <cell r="AQ151">
            <v>0</v>
          </cell>
          <cell r="AR151">
            <v>0</v>
          </cell>
        </row>
        <row r="152">
          <cell r="E152" t="str">
            <v>150224</v>
          </cell>
          <cell r="F152" t="str">
            <v>Rob Lindsay</v>
          </cell>
          <cell r="G152">
            <v>26.63</v>
          </cell>
          <cell r="H152">
            <v>26.63</v>
          </cell>
          <cell r="O152" t="str">
            <v>315055</v>
          </cell>
          <cell r="P152" t="str">
            <v>Ron Baker</v>
          </cell>
          <cell r="Q152">
            <v>229.433333</v>
          </cell>
          <cell r="R152">
            <v>6079.99</v>
          </cell>
          <cell r="Y152" t="str">
            <v>150275</v>
          </cell>
          <cell r="Z152" t="str">
            <v>Tami Bellows</v>
          </cell>
          <cell r="AA152">
            <v>264.2999999999999</v>
          </cell>
          <cell r="AB152">
            <v>10519.24</v>
          </cell>
          <cell r="AH152" t="str">
            <v>301642</v>
          </cell>
          <cell r="AI152" t="str">
            <v>Kenneth Huerta (301642)</v>
          </cell>
          <cell r="AJ152">
            <v>3380.3699999999917</v>
          </cell>
          <cell r="AP152">
            <v>0</v>
          </cell>
          <cell r="AQ152">
            <v>0</v>
          </cell>
          <cell r="AR152">
            <v>0</v>
          </cell>
        </row>
        <row r="153">
          <cell r="E153" t="str">
            <v>315055</v>
          </cell>
          <cell r="F153" t="str">
            <v>Ron Baker</v>
          </cell>
          <cell r="G153">
            <v>26.5</v>
          </cell>
          <cell r="H153">
            <v>26.5</v>
          </cell>
          <cell r="O153" t="str">
            <v>103056</v>
          </cell>
          <cell r="P153" t="str">
            <v>Ryan Guild</v>
          </cell>
          <cell r="Q153">
            <v>2080</v>
          </cell>
          <cell r="R153">
            <v>83182.850000000006</v>
          </cell>
          <cell r="Y153" t="str">
            <v>156569</v>
          </cell>
          <cell r="Z153" t="str">
            <v>Tanya Slack</v>
          </cell>
          <cell r="AA153">
            <v>556.15000200000009</v>
          </cell>
          <cell r="AB153">
            <v>22282.07</v>
          </cell>
          <cell r="AH153" t="str">
            <v>114336</v>
          </cell>
          <cell r="AI153" t="str">
            <v>Richard Miller (114336)</v>
          </cell>
          <cell r="AJ153">
            <v>3049.9999999999941</v>
          </cell>
          <cell r="AP153">
            <v>0</v>
          </cell>
          <cell r="AQ153">
            <v>0</v>
          </cell>
          <cell r="AR153">
            <v>0</v>
          </cell>
        </row>
        <row r="154">
          <cell r="E154" t="str">
            <v>103056</v>
          </cell>
          <cell r="F154" t="str">
            <v>Ryan Guild</v>
          </cell>
          <cell r="G154">
            <v>84050</v>
          </cell>
          <cell r="H154">
            <v>40.408653846153847</v>
          </cell>
          <cell r="O154" t="str">
            <v>158765</v>
          </cell>
          <cell r="P154" t="str">
            <v>Ryan Mcginnis</v>
          </cell>
          <cell r="Q154">
            <v>1983.8033339999999</v>
          </cell>
          <cell r="R154">
            <v>53215.959999999985</v>
          </cell>
          <cell r="Y154" t="str">
            <v>304432</v>
          </cell>
          <cell r="Z154" t="str">
            <v>Taylor Oakes</v>
          </cell>
          <cell r="AA154">
            <v>4.5333329999999998</v>
          </cell>
          <cell r="AB154">
            <v>108.81</v>
          </cell>
          <cell r="AH154" t="str">
            <v>158844</v>
          </cell>
          <cell r="AI154" t="str">
            <v>Robert Harter (On Leave) (158844)</v>
          </cell>
          <cell r="AJ154">
            <v>2000.0000000000011</v>
          </cell>
          <cell r="AP154">
            <v>0</v>
          </cell>
          <cell r="AQ154">
            <v>0</v>
          </cell>
          <cell r="AR154">
            <v>0</v>
          </cell>
        </row>
        <row r="155">
          <cell r="E155" t="str">
            <v>158765</v>
          </cell>
          <cell r="F155" t="str">
            <v>Ryan Mcginnis</v>
          </cell>
          <cell r="G155">
            <v>26.95</v>
          </cell>
          <cell r="H155">
            <v>26.95</v>
          </cell>
          <cell r="O155" t="str">
            <v>301128</v>
          </cell>
          <cell r="P155" t="str">
            <v>Ryan Moses</v>
          </cell>
          <cell r="Q155">
            <v>1945.6800019999994</v>
          </cell>
          <cell r="R155">
            <v>52018.07</v>
          </cell>
          <cell r="Y155" t="str">
            <v>100110</v>
          </cell>
          <cell r="Z155" t="str">
            <v>Tera Glenn</v>
          </cell>
          <cell r="AA155">
            <v>164.333337</v>
          </cell>
          <cell r="AB155">
            <v>6835.9300000000012</v>
          </cell>
          <cell r="AH155" t="str">
            <v>151826</v>
          </cell>
          <cell r="AI155" t="str">
            <v>Andrew Bossert (151826)</v>
          </cell>
          <cell r="AJ155">
            <v>1075.0000000000002</v>
          </cell>
          <cell r="AP155">
            <v>0</v>
          </cell>
          <cell r="AQ155">
            <v>0</v>
          </cell>
          <cell r="AR155">
            <v>0</v>
          </cell>
        </row>
        <row r="156">
          <cell r="E156" t="str">
            <v>301128</v>
          </cell>
          <cell r="F156" t="str">
            <v>Ryan Moses</v>
          </cell>
          <cell r="G156">
            <v>27.3</v>
          </cell>
          <cell r="H156">
            <v>27.3</v>
          </cell>
          <cell r="O156" t="str">
            <v>157861</v>
          </cell>
          <cell r="P156" t="str">
            <v>Ryan Sheppard</v>
          </cell>
          <cell r="Q156">
            <v>1815.556666</v>
          </cell>
          <cell r="R156">
            <v>49307.630000000005</v>
          </cell>
          <cell r="Y156" t="str">
            <v>114265</v>
          </cell>
          <cell r="Z156" t="str">
            <v>Thomas Hughes</v>
          </cell>
          <cell r="AA156">
            <v>354.23333199999985</v>
          </cell>
          <cell r="AB156">
            <v>14553.999999999998</v>
          </cell>
          <cell r="AH156" t="str">
            <v>Grand Total</v>
          </cell>
          <cell r="AI156">
            <v>0</v>
          </cell>
          <cell r="AJ156">
            <v>273196.31</v>
          </cell>
          <cell r="AP156">
            <v>0</v>
          </cell>
          <cell r="AQ156">
            <v>0</v>
          </cell>
          <cell r="AR156">
            <v>0</v>
          </cell>
        </row>
        <row r="157">
          <cell r="E157" t="str">
            <v>157861</v>
          </cell>
          <cell r="F157" t="str">
            <v>Ryan Sheppard</v>
          </cell>
          <cell r="G157">
            <v>28</v>
          </cell>
          <cell r="H157">
            <v>28</v>
          </cell>
          <cell r="O157" t="str">
            <v>308237</v>
          </cell>
          <cell r="P157" t="str">
            <v>Sam Upperman</v>
          </cell>
          <cell r="Q157">
            <v>960</v>
          </cell>
          <cell r="R157">
            <v>31500.059999999998</v>
          </cell>
          <cell r="Y157" t="str">
            <v>113941</v>
          </cell>
          <cell r="Z157" t="str">
            <v>Todd Blake</v>
          </cell>
          <cell r="AA157">
            <v>680.06666399999972</v>
          </cell>
          <cell r="AB157">
            <v>27429.140000000003</v>
          </cell>
          <cell r="AP157">
            <v>0</v>
          </cell>
          <cell r="AQ157">
            <v>0</v>
          </cell>
          <cell r="AR157">
            <v>0</v>
          </cell>
        </row>
        <row r="158">
          <cell r="E158" t="str">
            <v>308237</v>
          </cell>
          <cell r="F158" t="str">
            <v>Sam Upperman</v>
          </cell>
          <cell r="G158">
            <v>71000</v>
          </cell>
          <cell r="H158">
            <v>34.134615384615387</v>
          </cell>
          <cell r="O158" t="str">
            <v>300442</v>
          </cell>
          <cell r="P158" t="str">
            <v>Sandra Hurd</v>
          </cell>
          <cell r="Q158">
            <v>2092.533797</v>
          </cell>
          <cell r="R158">
            <v>35476.250000000015</v>
          </cell>
          <cell r="Y158" t="str">
            <v>114330</v>
          </cell>
          <cell r="Z158" t="str">
            <v>Tracey Guevara</v>
          </cell>
          <cell r="AA158">
            <v>575.2333349999999</v>
          </cell>
          <cell r="AB158">
            <v>23333.73</v>
          </cell>
          <cell r="AP158">
            <v>0</v>
          </cell>
          <cell r="AQ158">
            <v>0</v>
          </cell>
          <cell r="AR158">
            <v>0</v>
          </cell>
        </row>
        <row r="159">
          <cell r="E159" t="str">
            <v>300442</v>
          </cell>
          <cell r="F159" t="str">
            <v>Sandra Hurd</v>
          </cell>
          <cell r="G159">
            <v>16.809999999999999</v>
          </cell>
          <cell r="H159">
            <v>16.809999999999999</v>
          </cell>
          <cell r="O159" t="str">
            <v>154948</v>
          </cell>
          <cell r="P159" t="str">
            <v>Scott Hovies</v>
          </cell>
          <cell r="Q159">
            <v>2161.8233330000003</v>
          </cell>
          <cell r="R159">
            <v>64688.329999999994</v>
          </cell>
          <cell r="Y159" t="str">
            <v>154540</v>
          </cell>
          <cell r="Z159" t="str">
            <v>Travis Harvey</v>
          </cell>
          <cell r="AA159">
            <v>459.11666300000007</v>
          </cell>
          <cell r="AB159">
            <v>18893.129999999997</v>
          </cell>
          <cell r="AP159">
            <v>0</v>
          </cell>
          <cell r="AQ159">
            <v>0</v>
          </cell>
          <cell r="AR159">
            <v>0</v>
          </cell>
        </row>
        <row r="160">
          <cell r="E160" t="str">
            <v>154948</v>
          </cell>
          <cell r="F160" t="str">
            <v>Scott Hovies</v>
          </cell>
          <cell r="G160">
            <v>33</v>
          </cell>
          <cell r="H160">
            <v>33</v>
          </cell>
          <cell r="O160" t="str">
            <v>301463</v>
          </cell>
          <cell r="P160" t="str">
            <v>Shane Moore</v>
          </cell>
          <cell r="Q160">
            <v>337.39999899999998</v>
          </cell>
          <cell r="R160">
            <v>7669.25</v>
          </cell>
          <cell r="Y160" t="str">
            <v>158074</v>
          </cell>
          <cell r="Z160" t="str">
            <v>Travis Wiese</v>
          </cell>
          <cell r="AA160">
            <v>208.01667299999997</v>
          </cell>
          <cell r="AB160">
            <v>6063.2000000000007</v>
          </cell>
          <cell r="AP160">
            <v>0</v>
          </cell>
          <cell r="AQ160">
            <v>0</v>
          </cell>
          <cell r="AR160">
            <v>0</v>
          </cell>
        </row>
        <row r="161">
          <cell r="E161" t="str">
            <v>301463</v>
          </cell>
          <cell r="F161" t="str">
            <v>Shane Moore</v>
          </cell>
          <cell r="G161">
            <v>23.22</v>
          </cell>
          <cell r="H161">
            <v>23.22</v>
          </cell>
          <cell r="O161" t="str">
            <v>114208</v>
          </cell>
          <cell r="P161" t="str">
            <v>Si Seng</v>
          </cell>
          <cell r="Q161">
            <v>2075.0666639999999</v>
          </cell>
          <cell r="R161">
            <v>55432.23</v>
          </cell>
          <cell r="Y161" t="str">
            <v>311455</v>
          </cell>
          <cell r="Z161" t="str">
            <v>Troy Graves</v>
          </cell>
          <cell r="AA161">
            <v>447.78332899999998</v>
          </cell>
          <cell r="AB161">
            <v>17799.72</v>
          </cell>
          <cell r="AP161">
            <v>0</v>
          </cell>
          <cell r="AQ161">
            <v>0</v>
          </cell>
          <cell r="AR161">
            <v>0</v>
          </cell>
        </row>
        <row r="162">
          <cell r="E162" t="str">
            <v>114208</v>
          </cell>
          <cell r="F162" t="str">
            <v>Si Seng</v>
          </cell>
          <cell r="G162">
            <v>26.95</v>
          </cell>
          <cell r="H162">
            <v>26.95</v>
          </cell>
          <cell r="O162" t="str">
            <v>114128</v>
          </cell>
          <cell r="P162" t="str">
            <v>Steven Palmer</v>
          </cell>
          <cell r="Q162">
            <v>2190.3166659999997</v>
          </cell>
          <cell r="R162">
            <v>58046.319999999992</v>
          </cell>
          <cell r="Y162" t="str">
            <v>150268</v>
          </cell>
          <cell r="Z162" t="str">
            <v>Tyler Clepper</v>
          </cell>
          <cell r="AA162">
            <v>270.38333399999999</v>
          </cell>
          <cell r="AB162">
            <v>11388.410000000003</v>
          </cell>
          <cell r="AP162">
            <v>0</v>
          </cell>
          <cell r="AQ162">
            <v>0</v>
          </cell>
          <cell r="AR162">
            <v>0</v>
          </cell>
        </row>
        <row r="163">
          <cell r="E163" t="str">
            <v>114128</v>
          </cell>
          <cell r="F163" t="str">
            <v>Steven Palmer</v>
          </cell>
          <cell r="G163">
            <v>26.95</v>
          </cell>
          <cell r="H163">
            <v>26.95</v>
          </cell>
          <cell r="O163" t="str">
            <v>114374</v>
          </cell>
          <cell r="P163" t="str">
            <v>Steven Zipsnis</v>
          </cell>
          <cell r="Q163">
            <v>1769.7466640000002</v>
          </cell>
          <cell r="R163">
            <v>30258.339999999997</v>
          </cell>
          <cell r="Y163" t="str">
            <v>157682</v>
          </cell>
          <cell r="Z163" t="str">
            <v>Tyrone Giesen</v>
          </cell>
          <cell r="AA163">
            <v>367.6666679999999</v>
          </cell>
          <cell r="AB163">
            <v>14504.040000000005</v>
          </cell>
          <cell r="AP163">
            <v>0</v>
          </cell>
          <cell r="AQ163">
            <v>0</v>
          </cell>
          <cell r="AR163">
            <v>0</v>
          </cell>
        </row>
        <row r="164">
          <cell r="E164" t="str">
            <v>114374</v>
          </cell>
          <cell r="F164" t="str">
            <v>Steven Zipsnis</v>
          </cell>
          <cell r="G164">
            <v>17</v>
          </cell>
          <cell r="H164">
            <v>17</v>
          </cell>
          <cell r="O164" t="str">
            <v>114112</v>
          </cell>
          <cell r="P164" t="str">
            <v>Tamara Sandahl</v>
          </cell>
          <cell r="Q164">
            <v>2063.796668</v>
          </cell>
          <cell r="R164">
            <v>55153.46</v>
          </cell>
          <cell r="Y164" t="str">
            <v>154907</v>
          </cell>
          <cell r="Z164" t="str">
            <v>Vernon Shockey</v>
          </cell>
          <cell r="AA164">
            <v>360.25000300000005</v>
          </cell>
          <cell r="AB164">
            <v>14500.310000000005</v>
          </cell>
          <cell r="AP164">
            <v>0</v>
          </cell>
          <cell r="AQ164">
            <v>0</v>
          </cell>
          <cell r="AR164">
            <v>0</v>
          </cell>
        </row>
        <row r="165">
          <cell r="E165" t="str">
            <v>114112</v>
          </cell>
          <cell r="F165" t="str">
            <v>Tamara Sandahl</v>
          </cell>
          <cell r="G165">
            <v>26.95</v>
          </cell>
          <cell r="H165">
            <v>26.95</v>
          </cell>
          <cell r="O165" t="str">
            <v>150275</v>
          </cell>
          <cell r="P165" t="str">
            <v>Tami Bellows</v>
          </cell>
          <cell r="Q165">
            <v>1923.3500000000004</v>
          </cell>
          <cell r="R165">
            <v>51168.509999999995</v>
          </cell>
          <cell r="Y165" t="str">
            <v>153568</v>
          </cell>
          <cell r="Z165" t="str">
            <v>William Esselman</v>
          </cell>
          <cell r="AA165">
            <v>152.76666799999998</v>
          </cell>
          <cell r="AB165">
            <v>6129.409999999998</v>
          </cell>
          <cell r="AP165">
            <v>0</v>
          </cell>
          <cell r="AQ165">
            <v>0</v>
          </cell>
          <cell r="AR165">
            <v>0</v>
          </cell>
        </row>
        <row r="166">
          <cell r="E166" t="str">
            <v>150275</v>
          </cell>
          <cell r="F166" t="str">
            <v>Tami Bellows</v>
          </cell>
          <cell r="G166">
            <v>26.95</v>
          </cell>
          <cell r="H166">
            <v>26.95</v>
          </cell>
          <cell r="O166" t="str">
            <v>156569</v>
          </cell>
          <cell r="P166" t="str">
            <v>Tanya Slack</v>
          </cell>
          <cell r="Q166">
            <v>2081.7166660000003</v>
          </cell>
          <cell r="R166">
            <v>55403.749999999993</v>
          </cell>
          <cell r="Y166" t="str">
            <v>114078</v>
          </cell>
          <cell r="Z166" t="str">
            <v>William Fry</v>
          </cell>
          <cell r="AA166">
            <v>172.00000299999999</v>
          </cell>
          <cell r="AB166">
            <v>4504.5600000000022</v>
          </cell>
        </row>
        <row r="167">
          <cell r="E167" t="str">
            <v>156569</v>
          </cell>
          <cell r="F167" t="str">
            <v>Tanya Slack</v>
          </cell>
          <cell r="G167">
            <v>26.95</v>
          </cell>
          <cell r="H167">
            <v>26.95</v>
          </cell>
          <cell r="O167" t="str">
            <v>304432</v>
          </cell>
          <cell r="P167" t="str">
            <v>Taylor Oakes</v>
          </cell>
          <cell r="Q167">
            <v>244.14000099999998</v>
          </cell>
          <cell r="R167">
            <v>3906.27</v>
          </cell>
          <cell r="Y167" t="str">
            <v>114176</v>
          </cell>
          <cell r="Z167" t="str">
            <v>William Spivey</v>
          </cell>
          <cell r="AA167">
            <v>264.86666699999995</v>
          </cell>
          <cell r="AB167">
            <v>10587.09</v>
          </cell>
        </row>
        <row r="168">
          <cell r="E168" t="str">
            <v>304432</v>
          </cell>
          <cell r="F168" t="str">
            <v>Taylor Oakes</v>
          </cell>
          <cell r="G168">
            <v>16</v>
          </cell>
          <cell r="H168">
            <v>16</v>
          </cell>
          <cell r="O168" t="str">
            <v>100110</v>
          </cell>
          <cell r="P168" t="str">
            <v>Tera Glenn</v>
          </cell>
          <cell r="Q168">
            <v>2090.0833339999999</v>
          </cell>
          <cell r="R168">
            <v>58149.960000000006</v>
          </cell>
          <cell r="Y168" t="str">
            <v>304842</v>
          </cell>
          <cell r="Z168" t="str">
            <v>Zac DeWalt</v>
          </cell>
          <cell r="AA168">
            <v>276.51668099999995</v>
          </cell>
          <cell r="AB168">
            <v>9623.2099999999973</v>
          </cell>
        </row>
        <row r="169">
          <cell r="E169" t="str">
            <v>100110</v>
          </cell>
          <cell r="F169" t="str">
            <v>Tera Glenn</v>
          </cell>
          <cell r="G169">
            <v>27.55</v>
          </cell>
          <cell r="H169">
            <v>27.55</v>
          </cell>
          <cell r="O169" t="str">
            <v>114265</v>
          </cell>
          <cell r="P169" t="str">
            <v>Thomas Hughes</v>
          </cell>
          <cell r="Q169">
            <v>2038.2999989999998</v>
          </cell>
          <cell r="R169">
            <v>54476.71</v>
          </cell>
          <cell r="Y169" t="str">
            <v>114312</v>
          </cell>
          <cell r="Z169" t="str">
            <v>Zacharia Phillips</v>
          </cell>
          <cell r="AA169">
            <v>328.71666399999998</v>
          </cell>
          <cell r="AB169">
            <v>13286.28</v>
          </cell>
        </row>
        <row r="170">
          <cell r="E170" t="str">
            <v>114265</v>
          </cell>
          <cell r="F170" t="str">
            <v>Thomas Hughes</v>
          </cell>
          <cell r="G170">
            <v>26.95</v>
          </cell>
          <cell r="H170">
            <v>26.95</v>
          </cell>
          <cell r="O170" t="str">
            <v>113941</v>
          </cell>
          <cell r="P170" t="str">
            <v>Todd Blake</v>
          </cell>
          <cell r="Q170">
            <v>2138.6600020000001</v>
          </cell>
          <cell r="R170">
            <v>56939.45</v>
          </cell>
          <cell r="Y170" t="str">
            <v>311389</v>
          </cell>
          <cell r="Z170" t="str">
            <v>Zachari ORourke</v>
          </cell>
          <cell r="AA170">
            <v>146.99999600000001</v>
          </cell>
          <cell r="AB170">
            <v>3638.4500000000003</v>
          </cell>
        </row>
        <row r="171">
          <cell r="E171" t="str">
            <v>113941</v>
          </cell>
          <cell r="F171" t="str">
            <v>Todd Blake</v>
          </cell>
          <cell r="G171">
            <v>26.95</v>
          </cell>
          <cell r="H171">
            <v>26.95</v>
          </cell>
          <cell r="O171" t="str">
            <v>114330</v>
          </cell>
          <cell r="P171" t="str">
            <v>Tracey Guevara</v>
          </cell>
          <cell r="Q171">
            <v>2163.8500009999998</v>
          </cell>
          <cell r="R171">
            <v>57522.959999999992</v>
          </cell>
          <cell r="Y171" t="str">
            <v>114086</v>
          </cell>
          <cell r="Z171" t="str">
            <v>Aaron Russell (114086)</v>
          </cell>
          <cell r="AA171">
            <v>205.95000299999998</v>
          </cell>
          <cell r="AB171">
            <v>9903.16</v>
          </cell>
        </row>
        <row r="172">
          <cell r="E172" t="str">
            <v>114330</v>
          </cell>
          <cell r="F172" t="str">
            <v>Tracey Guevara</v>
          </cell>
          <cell r="G172">
            <v>26.95</v>
          </cell>
          <cell r="H172">
            <v>26.95</v>
          </cell>
          <cell r="O172" t="str">
            <v>154540</v>
          </cell>
          <cell r="P172" t="str">
            <v>Travis Harvey</v>
          </cell>
          <cell r="Q172">
            <v>2076.9166649999997</v>
          </cell>
          <cell r="R172">
            <v>56635.770000000004</v>
          </cell>
          <cell r="Y172" t="str">
            <v>304293</v>
          </cell>
          <cell r="Z172" t="str">
            <v>Charlene Rickett (304293)</v>
          </cell>
          <cell r="AA172">
            <v>390.733338</v>
          </cell>
          <cell r="AB172">
            <v>16052.809999999998</v>
          </cell>
        </row>
        <row r="173">
          <cell r="E173" t="str">
            <v>154540</v>
          </cell>
          <cell r="F173" t="str">
            <v>Travis Harvey</v>
          </cell>
          <cell r="G173">
            <v>27.05</v>
          </cell>
          <cell r="H173">
            <v>27.05</v>
          </cell>
          <cell r="O173" t="str">
            <v>116940</v>
          </cell>
          <cell r="P173" t="str">
            <v>Travis Robertson</v>
          </cell>
          <cell r="Q173">
            <v>2080</v>
          </cell>
          <cell r="R173">
            <v>81817.89</v>
          </cell>
          <cell r="Y173" t="str">
            <v>306829</v>
          </cell>
          <cell r="Z173" t="str">
            <v>Deb Muller (306829)</v>
          </cell>
          <cell r="AA173">
            <v>80.550004000000001</v>
          </cell>
          <cell r="AB173">
            <v>1982.3799999999997</v>
          </cell>
        </row>
        <row r="174">
          <cell r="E174" t="str">
            <v>116940</v>
          </cell>
          <cell r="F174" t="str">
            <v>Travis Robertson</v>
          </cell>
          <cell r="G174">
            <v>83025</v>
          </cell>
          <cell r="H174">
            <v>39.915865384615387</v>
          </cell>
          <cell r="O174" t="str">
            <v>158074</v>
          </cell>
          <cell r="P174" t="str">
            <v>Travis Wiese</v>
          </cell>
          <cell r="Q174">
            <v>2053.7666650000001</v>
          </cell>
          <cell r="R174">
            <v>39209.37000000001</v>
          </cell>
          <cell r="Y174" t="str">
            <v>312844</v>
          </cell>
          <cell r="Z174" t="str">
            <v>Gunnar Grenier (312844)</v>
          </cell>
          <cell r="AA174">
            <v>36.016664999999996</v>
          </cell>
          <cell r="AB174">
            <v>1083.8399999999999</v>
          </cell>
        </row>
        <row r="175">
          <cell r="E175" t="str">
            <v>158074</v>
          </cell>
          <cell r="F175" t="str">
            <v>Travis Wiese</v>
          </cell>
          <cell r="G175">
            <v>19</v>
          </cell>
          <cell r="H175">
            <v>19</v>
          </cell>
          <cell r="O175" t="str">
            <v>311455</v>
          </cell>
          <cell r="P175" t="str">
            <v>Troy Graves</v>
          </cell>
          <cell r="Q175">
            <v>1347.0666659999999</v>
          </cell>
          <cell r="R175">
            <v>35697.269999999997</v>
          </cell>
          <cell r="Y175" t="str">
            <v>301642</v>
          </cell>
          <cell r="Z175" t="str">
            <v>Kenneth Huerta (301642)</v>
          </cell>
          <cell r="AA175">
            <v>216.98333200000005</v>
          </cell>
          <cell r="AB175">
            <v>6045.0599999999977</v>
          </cell>
        </row>
        <row r="176">
          <cell r="E176" t="str">
            <v>311455</v>
          </cell>
          <cell r="F176" t="str">
            <v>Troy Graves</v>
          </cell>
          <cell r="G176">
            <v>26.5</v>
          </cell>
          <cell r="H176">
            <v>26.5</v>
          </cell>
          <cell r="O176" t="str">
            <v>150268</v>
          </cell>
          <cell r="P176" t="str">
            <v>Tyler Clepper</v>
          </cell>
          <cell r="Q176">
            <v>2088.1166669999998</v>
          </cell>
          <cell r="R176">
            <v>58083.25</v>
          </cell>
          <cell r="Y176" t="str">
            <v>314370</v>
          </cell>
          <cell r="Z176" t="str">
            <v>meshac tuilaepa (314370)</v>
          </cell>
          <cell r="AA176">
            <v>48.500002000000009</v>
          </cell>
          <cell r="AB176">
            <v>1455.08</v>
          </cell>
        </row>
        <row r="177">
          <cell r="E177" t="str">
            <v>150268</v>
          </cell>
          <cell r="F177" t="str">
            <v>Tyler Clepper</v>
          </cell>
          <cell r="G177">
            <v>27.5</v>
          </cell>
          <cell r="H177">
            <v>27.5</v>
          </cell>
          <cell r="O177" t="str">
            <v>157682</v>
          </cell>
          <cell r="P177" t="str">
            <v>Tyrone Giesen</v>
          </cell>
          <cell r="Q177">
            <v>2056.036666</v>
          </cell>
          <cell r="R177">
            <v>53622.970000000008</v>
          </cell>
          <cell r="Y177" t="str">
            <v>114336</v>
          </cell>
          <cell r="Z177" t="str">
            <v>Richard Miller (114336)</v>
          </cell>
          <cell r="AA177">
            <v>245.88333299999999</v>
          </cell>
          <cell r="AB177">
            <v>9194.3099999999904</v>
          </cell>
        </row>
        <row r="178">
          <cell r="E178" t="str">
            <v>157682</v>
          </cell>
          <cell r="F178" t="str">
            <v>Tyrone Giesen</v>
          </cell>
          <cell r="G178">
            <v>26.95</v>
          </cell>
          <cell r="H178">
            <v>26.95</v>
          </cell>
          <cell r="O178" t="str">
            <v>154907</v>
          </cell>
          <cell r="P178" t="str">
            <v>Vernon Shockey</v>
          </cell>
          <cell r="Q178">
            <v>2070.1166679999997</v>
          </cell>
          <cell r="R178">
            <v>55304.030000000006</v>
          </cell>
          <cell r="Y178" t="str">
            <v>158844</v>
          </cell>
          <cell r="Z178" t="str">
            <v>Robert Harter (On Leave) (158844)</v>
          </cell>
          <cell r="AA178">
            <v>141.733328</v>
          </cell>
          <cell r="AB178">
            <v>5740.76</v>
          </cell>
        </row>
        <row r="179">
          <cell r="E179" t="str">
            <v>154907</v>
          </cell>
          <cell r="F179" t="str">
            <v>Vernon Shockey</v>
          </cell>
          <cell r="G179">
            <v>26.95</v>
          </cell>
          <cell r="H179">
            <v>26.95</v>
          </cell>
          <cell r="O179" t="str">
            <v>153568</v>
          </cell>
          <cell r="P179" t="str">
            <v>William Esselman</v>
          </cell>
          <cell r="Q179">
            <v>2072.0199970000003</v>
          </cell>
          <cell r="R179">
            <v>55146.1</v>
          </cell>
          <cell r="Y179" t="str">
            <v>151826</v>
          </cell>
          <cell r="Z179" t="str">
            <v>Andrew Bossert (151826)</v>
          </cell>
          <cell r="AA179">
            <v>437.11667199999994</v>
          </cell>
          <cell r="AB179">
            <v>18127.889999999996</v>
          </cell>
        </row>
        <row r="180">
          <cell r="E180" t="str">
            <v>153568</v>
          </cell>
          <cell r="F180" t="str">
            <v>William Esselman</v>
          </cell>
          <cell r="G180">
            <v>26.95</v>
          </cell>
          <cell r="H180">
            <v>26.95</v>
          </cell>
          <cell r="O180" t="str">
            <v>114078</v>
          </cell>
          <cell r="P180" t="str">
            <v>William Fry</v>
          </cell>
          <cell r="Q180">
            <v>2052.9999990000001</v>
          </cell>
          <cell r="R180">
            <v>35615.390000000021</v>
          </cell>
          <cell r="Y180" t="str">
            <v>Grand Total</v>
          </cell>
          <cell r="Z180">
            <v>0</v>
          </cell>
          <cell r="AA180">
            <v>40362.736682000002</v>
          </cell>
          <cell r="AB180">
            <v>1574192.4900000002</v>
          </cell>
        </row>
        <row r="181">
          <cell r="E181" t="str">
            <v>114078</v>
          </cell>
          <cell r="F181" t="str">
            <v>William Fry</v>
          </cell>
          <cell r="G181">
            <v>17.399999999999999</v>
          </cell>
          <cell r="H181">
            <v>17.399999999999999</v>
          </cell>
          <cell r="O181" t="str">
            <v>114176</v>
          </cell>
          <cell r="P181" t="str">
            <v>William Spivey</v>
          </cell>
          <cell r="Q181">
            <v>2077.603333</v>
          </cell>
          <cell r="R181">
            <v>55510.169999999991</v>
          </cell>
        </row>
        <row r="182">
          <cell r="E182" t="str">
            <v>114176</v>
          </cell>
          <cell r="F182" t="str">
            <v>William Spivey</v>
          </cell>
          <cell r="G182">
            <v>26.95</v>
          </cell>
          <cell r="H182">
            <v>26.95</v>
          </cell>
          <cell r="O182" t="str">
            <v>304842</v>
          </cell>
          <cell r="P182" t="str">
            <v>Zac DeWalt</v>
          </cell>
          <cell r="Q182">
            <v>2049.016666</v>
          </cell>
          <cell r="R182">
            <v>47679.399999999994</v>
          </cell>
        </row>
        <row r="183">
          <cell r="E183" t="str">
            <v>304842</v>
          </cell>
          <cell r="F183" t="str">
            <v>Zac DeWalt</v>
          </cell>
          <cell r="G183">
            <v>23</v>
          </cell>
          <cell r="H183">
            <v>23</v>
          </cell>
          <cell r="O183" t="str">
            <v>114312</v>
          </cell>
          <cell r="P183" t="str">
            <v>Zacharia Phillips</v>
          </cell>
          <cell r="Q183">
            <v>2205.7999989999998</v>
          </cell>
          <cell r="R183">
            <v>59760.979999999996</v>
          </cell>
        </row>
        <row r="184">
          <cell r="E184" t="str">
            <v>114312</v>
          </cell>
          <cell r="F184" t="str">
            <v>Zacharia Phillips</v>
          </cell>
          <cell r="G184">
            <v>26.95</v>
          </cell>
          <cell r="H184">
            <v>26.95</v>
          </cell>
          <cell r="O184" t="str">
            <v>311389</v>
          </cell>
          <cell r="P184" t="str">
            <v>Zachari ORourke</v>
          </cell>
          <cell r="Q184">
            <v>1315.0366669999999</v>
          </cell>
          <cell r="R184">
            <v>22094.14</v>
          </cell>
        </row>
        <row r="185">
          <cell r="E185" t="str">
            <v>311389</v>
          </cell>
          <cell r="F185" t="str">
            <v>Zachari ORourke</v>
          </cell>
          <cell r="G185">
            <v>20</v>
          </cell>
          <cell r="H185">
            <v>20</v>
          </cell>
          <cell r="O185" t="str">
            <v>114086</v>
          </cell>
          <cell r="P185" t="str">
            <v>Aaron Russell (114086)</v>
          </cell>
          <cell r="Q185">
            <v>2083.2666660000004</v>
          </cell>
          <cell r="R185">
            <v>65683.039999999994</v>
          </cell>
        </row>
        <row r="186">
          <cell r="E186" t="str">
            <v>114086</v>
          </cell>
          <cell r="F186" t="str">
            <v>Aaron Russell (114086)</v>
          </cell>
          <cell r="G186">
            <v>31.5</v>
          </cell>
          <cell r="H186">
            <v>31.5</v>
          </cell>
          <cell r="O186" t="str">
            <v>304293</v>
          </cell>
          <cell r="P186" t="str">
            <v>Charlene Rickett (304293)</v>
          </cell>
          <cell r="Q186">
            <v>2073.3733309999998</v>
          </cell>
          <cell r="R186">
            <v>56763.900000000009</v>
          </cell>
        </row>
        <row r="187">
          <cell r="E187" t="str">
            <v>304293</v>
          </cell>
          <cell r="F187" t="str">
            <v>Charlene Rickett (304293)</v>
          </cell>
          <cell r="G187">
            <v>28.33</v>
          </cell>
          <cell r="H187">
            <v>28.33</v>
          </cell>
          <cell r="O187" t="str">
            <v>306829</v>
          </cell>
          <cell r="P187" t="str">
            <v>Deb Muller (306829)</v>
          </cell>
          <cell r="Q187">
            <v>1234.350003</v>
          </cell>
          <cell r="R187">
            <v>20671.240000000002</v>
          </cell>
        </row>
        <row r="188">
          <cell r="E188" t="str">
            <v>306829</v>
          </cell>
          <cell r="F188" t="str">
            <v>Deb Muller (306829)</v>
          </cell>
          <cell r="G188">
            <v>16.399999999999999</v>
          </cell>
          <cell r="H188">
            <v>16.399999999999999</v>
          </cell>
          <cell r="O188" t="str">
            <v>312844</v>
          </cell>
          <cell r="P188" t="str">
            <v>Gunnar Grenier (312844)</v>
          </cell>
          <cell r="Q188">
            <v>340.86666600000001</v>
          </cell>
          <cell r="R188">
            <v>6817.34</v>
          </cell>
        </row>
        <row r="189">
          <cell r="E189" t="str">
            <v>312844</v>
          </cell>
          <cell r="F189" t="str">
            <v>Gunnar Grenier (312844)</v>
          </cell>
          <cell r="G189">
            <v>20</v>
          </cell>
          <cell r="H189">
            <v>20</v>
          </cell>
          <cell r="O189" t="str">
            <v>301045</v>
          </cell>
          <cell r="P189" t="str">
            <v>Joshua Stephens (301045)</v>
          </cell>
          <cell r="Q189">
            <v>11</v>
          </cell>
          <cell r="R189">
            <v>242</v>
          </cell>
        </row>
        <row r="190">
          <cell r="E190" t="str">
            <v>301045</v>
          </cell>
          <cell r="F190" t="str">
            <v>Joshua Stephens (301045)</v>
          </cell>
          <cell r="G190">
            <v>22</v>
          </cell>
          <cell r="H190">
            <v>22</v>
          </cell>
          <cell r="O190" t="str">
            <v>301642</v>
          </cell>
          <cell r="P190" t="str">
            <v>Kenneth Huerta (301642)</v>
          </cell>
          <cell r="Q190">
            <v>2069.3333339999999</v>
          </cell>
          <cell r="R190">
            <v>37295.26999999996</v>
          </cell>
        </row>
        <row r="191">
          <cell r="E191" t="str">
            <v>301642</v>
          </cell>
          <cell r="F191" t="str">
            <v>Kenneth Huerta (301642)</v>
          </cell>
          <cell r="G191">
            <v>17.87</v>
          </cell>
          <cell r="H191">
            <v>17.87</v>
          </cell>
          <cell r="O191" t="str">
            <v>314370</v>
          </cell>
          <cell r="P191" t="str">
            <v>meshac tuilaepa (314370)</v>
          </cell>
          <cell r="Q191">
            <v>472.56666799999994</v>
          </cell>
          <cell r="R191">
            <v>9451.34</v>
          </cell>
        </row>
        <row r="192">
          <cell r="E192" t="str">
            <v>314370</v>
          </cell>
          <cell r="F192" t="str">
            <v>meshac tuilaepa (314370)</v>
          </cell>
          <cell r="G192">
            <v>20</v>
          </cell>
          <cell r="H192">
            <v>20</v>
          </cell>
          <cell r="O192" t="str">
            <v>307776</v>
          </cell>
          <cell r="P192" t="str">
            <v>Michael Buterbaugh (307776)</v>
          </cell>
          <cell r="Q192">
            <v>8.5833329999999997</v>
          </cell>
          <cell r="R192">
            <v>236.82</v>
          </cell>
        </row>
        <row r="193">
          <cell r="E193" t="str">
            <v>307776</v>
          </cell>
          <cell r="F193" t="str">
            <v>Michael Buterbaugh (307776)</v>
          </cell>
          <cell r="G193">
            <v>27.59</v>
          </cell>
          <cell r="H193">
            <v>27.59</v>
          </cell>
          <cell r="O193" t="str">
            <v>312889</v>
          </cell>
          <cell r="P193" t="str">
            <v>Michael Schmierer (312889)</v>
          </cell>
          <cell r="Q193">
            <v>12.6</v>
          </cell>
          <cell r="R193">
            <v>345.88</v>
          </cell>
        </row>
        <row r="194">
          <cell r="E194" t="str">
            <v>312889</v>
          </cell>
          <cell r="F194" t="str">
            <v>Michael Schmierer (312889)</v>
          </cell>
          <cell r="G194">
            <v>27.45</v>
          </cell>
          <cell r="H194">
            <v>27.45</v>
          </cell>
          <cell r="O194" t="str">
            <v>115872</v>
          </cell>
          <cell r="P194" t="str">
            <v>Mikell Reynolds (115872)</v>
          </cell>
          <cell r="Q194">
            <v>6.3166669999999998</v>
          </cell>
          <cell r="R194">
            <v>187.29</v>
          </cell>
        </row>
        <row r="195">
          <cell r="E195" t="str">
            <v>115872</v>
          </cell>
          <cell r="F195" t="str">
            <v>Mikell Reynolds (115872)</v>
          </cell>
          <cell r="G195">
            <v>29.65</v>
          </cell>
          <cell r="H195">
            <v>29.65</v>
          </cell>
          <cell r="O195" t="str">
            <v>114336</v>
          </cell>
          <cell r="P195" t="str">
            <v>Richard Miller (114336)</v>
          </cell>
          <cell r="Q195">
            <v>2060.9833339999996</v>
          </cell>
          <cell r="R195">
            <v>50799.149999999965</v>
          </cell>
        </row>
        <row r="196">
          <cell r="E196" t="str">
            <v>114336</v>
          </cell>
          <cell r="F196" t="str">
            <v>Richard Miller (114336)</v>
          </cell>
          <cell r="G196">
            <v>24.43</v>
          </cell>
          <cell r="H196">
            <v>24.43</v>
          </cell>
          <cell r="O196" t="str">
            <v>158844</v>
          </cell>
          <cell r="P196" t="str">
            <v>Robert Harter (On Leave) (158844)</v>
          </cell>
          <cell r="Q196">
            <v>1173.200002</v>
          </cell>
          <cell r="R196">
            <v>31432.960000000006</v>
          </cell>
        </row>
        <row r="197">
          <cell r="E197" t="str">
            <v>158844</v>
          </cell>
          <cell r="F197" t="str">
            <v>Robert Harter (On Leave) (158844)</v>
          </cell>
          <cell r="G197">
            <v>28</v>
          </cell>
          <cell r="H197">
            <v>28</v>
          </cell>
          <cell r="O197" t="str">
            <v>151826</v>
          </cell>
          <cell r="P197" t="str">
            <v>Andrew Bossert (151826)</v>
          </cell>
          <cell r="Q197">
            <v>1718.9166670000002</v>
          </cell>
          <cell r="R197">
            <v>47930.229999999989</v>
          </cell>
        </row>
        <row r="198">
          <cell r="E198" t="str">
            <v>151826</v>
          </cell>
          <cell r="F198" t="str">
            <v>Andrew Bossert (151826)</v>
          </cell>
          <cell r="G198">
            <v>28.5</v>
          </cell>
          <cell r="H198">
            <v>28.5</v>
          </cell>
          <cell r="O198" t="str">
            <v>Grand Total</v>
          </cell>
          <cell r="P198">
            <v>0</v>
          </cell>
          <cell r="Q198">
            <v>323061.3158620001</v>
          </cell>
          <cell r="R198">
            <v>8390056.7299999967</v>
          </cell>
        </row>
        <row r="199">
          <cell r="E199" t="str">
            <v>Grand Total</v>
          </cell>
          <cell r="F199">
            <v>0</v>
          </cell>
          <cell r="G199">
            <v>180000</v>
          </cell>
          <cell r="O199" t="str">
            <v>Grand Total</v>
          </cell>
          <cell r="P199">
            <v>0</v>
          </cell>
          <cell r="Q199">
            <v>321844.65286200005</v>
          </cell>
          <cell r="R199">
            <v>8285040.5999999968</v>
          </cell>
        </row>
      </sheetData>
      <sheetData sheetId="8"/>
      <sheetData sheetId="9"/>
      <sheetData sheetId="10">
        <row r="1">
          <cell r="D1" t="str">
            <v>Acct</v>
          </cell>
          <cell r="E1" t="str">
            <v>AcctName</v>
          </cell>
          <cell r="F1">
            <v>0</v>
          </cell>
          <cell r="G1">
            <v>0</v>
          </cell>
          <cell r="J1" t="str">
            <v>Act(-11)</v>
          </cell>
          <cell r="L1" t="str">
            <v>Act(-10)</v>
          </cell>
          <cell r="N1" t="str">
            <v>Act(-9)</v>
          </cell>
          <cell r="P1" t="str">
            <v>Act(-8)</v>
          </cell>
          <cell r="R1" t="str">
            <v>Act(-7)</v>
          </cell>
          <cell r="T1" t="str">
            <v>Act(-6)</v>
          </cell>
          <cell r="V1" t="str">
            <v>Act(-5)</v>
          </cell>
          <cell r="X1" t="str">
            <v>Act(-4)</v>
          </cell>
          <cell r="Z1" t="str">
            <v>Act(-3)</v>
          </cell>
          <cell r="AB1" t="str">
            <v>Act(-2)</v>
          </cell>
          <cell r="AD1" t="str">
            <v>Act(-1)</v>
          </cell>
          <cell r="AF1" t="str">
            <v>Act</v>
          </cell>
          <cell r="AH1">
            <v>0</v>
          </cell>
        </row>
        <row r="2">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row>
        <row r="3">
          <cell r="D3">
            <v>0</v>
          </cell>
          <cell r="E3">
            <v>0</v>
          </cell>
          <cell r="F3">
            <v>0</v>
          </cell>
          <cell r="G3">
            <v>0</v>
          </cell>
          <cell r="H3">
            <v>0</v>
          </cell>
          <cell r="I3">
            <v>0</v>
          </cell>
          <cell r="J3" t="str">
            <v>2018-12</v>
          </cell>
          <cell r="L3" t="str">
            <v>2019-01</v>
          </cell>
          <cell r="N3" t="str">
            <v>2019-02</v>
          </cell>
          <cell r="P3" t="str">
            <v>2019-03</v>
          </cell>
          <cell r="R3" t="str">
            <v>2019-04</v>
          </cell>
          <cell r="T3" t="str">
            <v>2019-05</v>
          </cell>
          <cell r="V3" t="str">
            <v>2019-06</v>
          </cell>
          <cell r="X3" t="str">
            <v>2019-07</v>
          </cell>
          <cell r="Z3" t="str">
            <v>2019-08</v>
          </cell>
          <cell r="AB3" t="str">
            <v>2019-09</v>
          </cell>
          <cell r="AD3" t="str">
            <v>2019-10</v>
          </cell>
          <cell r="AF3" t="str">
            <v>2019-11</v>
          </cell>
          <cell r="AH3">
            <v>0</v>
          </cell>
        </row>
        <row r="4">
          <cell r="G4">
            <v>0</v>
          </cell>
          <cell r="J4">
            <v>0</v>
          </cell>
          <cell r="L4">
            <v>0</v>
          </cell>
          <cell r="N4">
            <v>0</v>
          </cell>
          <cell r="P4">
            <v>0</v>
          </cell>
          <cell r="R4">
            <v>0</v>
          </cell>
          <cell r="T4">
            <v>0</v>
          </cell>
          <cell r="V4">
            <v>0</v>
          </cell>
          <cell r="X4">
            <v>0</v>
          </cell>
          <cell r="Z4">
            <v>0</v>
          </cell>
          <cell r="AB4">
            <v>0</v>
          </cell>
          <cell r="AD4">
            <v>0</v>
          </cell>
          <cell r="AF4">
            <v>0</v>
          </cell>
          <cell r="AH4">
            <v>0</v>
          </cell>
        </row>
        <row r="5">
          <cell r="J5">
            <v>0</v>
          </cell>
          <cell r="L5">
            <v>0</v>
          </cell>
          <cell r="N5">
            <v>0</v>
          </cell>
          <cell r="P5">
            <v>0</v>
          </cell>
          <cell r="R5">
            <v>0</v>
          </cell>
          <cell r="T5">
            <v>0</v>
          </cell>
          <cell r="V5">
            <v>0</v>
          </cell>
          <cell r="X5">
            <v>0</v>
          </cell>
          <cell r="Z5">
            <v>0</v>
          </cell>
          <cell r="AB5">
            <v>0</v>
          </cell>
          <cell r="AD5">
            <v>0</v>
          </cell>
          <cell r="AF5">
            <v>0</v>
          </cell>
          <cell r="AH5">
            <v>0</v>
          </cell>
        </row>
        <row r="6">
          <cell r="D6" t="str">
            <v>Waste Connections, Inc.</v>
          </cell>
          <cell r="M6" t="str">
            <v>Districts/Grouping:</v>
          </cell>
          <cell r="N6" t="str">
            <v>2180</v>
          </cell>
          <cell r="Q6" t="str">
            <v>Exclude IC:</v>
          </cell>
          <cell r="R6">
            <v>0</v>
          </cell>
          <cell r="S6">
            <v>0</v>
          </cell>
          <cell r="T6">
            <v>0</v>
          </cell>
          <cell r="Y6">
            <v>0</v>
          </cell>
          <cell r="Z6">
            <v>0</v>
          </cell>
          <cell r="AE6">
            <v>0</v>
          </cell>
          <cell r="AF6">
            <v>0</v>
          </cell>
          <cell r="AH6">
            <v>0</v>
          </cell>
        </row>
        <row r="7">
          <cell r="D7" t="str">
            <v>IS 210 - PL Review</v>
          </cell>
          <cell r="N7" t="str">
            <v/>
          </cell>
          <cell r="Q7" t="str">
            <v>System:</v>
          </cell>
          <cell r="R7" t="str">
            <v/>
          </cell>
          <cell r="T7" t="str">
            <v/>
          </cell>
          <cell r="Z7" t="str">
            <v/>
          </cell>
          <cell r="AF7" t="str">
            <v/>
          </cell>
        </row>
        <row r="8">
          <cell r="D8" t="str">
            <v>2019-11</v>
          </cell>
        </row>
        <row r="9">
          <cell r="D9">
            <v>0</v>
          </cell>
        </row>
        <row r="10">
          <cell r="D10">
            <v>0</v>
          </cell>
        </row>
        <row r="11">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row>
        <row r="12">
          <cell r="D12">
            <v>0</v>
          </cell>
          <cell r="E12">
            <v>0</v>
          </cell>
          <cell r="F12">
            <v>0</v>
          </cell>
          <cell r="G12">
            <v>0</v>
          </cell>
          <cell r="H12">
            <v>0</v>
          </cell>
          <cell r="I12">
            <v>0</v>
          </cell>
          <cell r="J12">
            <v>43446</v>
          </cell>
          <cell r="K12">
            <v>0</v>
          </cell>
          <cell r="L12">
            <v>43466</v>
          </cell>
          <cell r="M12">
            <v>0</v>
          </cell>
          <cell r="N12">
            <v>43498</v>
          </cell>
          <cell r="O12">
            <v>0</v>
          </cell>
          <cell r="P12">
            <v>43527</v>
          </cell>
          <cell r="Q12">
            <v>0</v>
          </cell>
          <cell r="R12">
            <v>43559</v>
          </cell>
          <cell r="S12">
            <v>0</v>
          </cell>
          <cell r="T12">
            <v>43590</v>
          </cell>
          <cell r="U12">
            <v>0</v>
          </cell>
          <cell r="V12">
            <v>43622</v>
          </cell>
          <cell r="W12">
            <v>0</v>
          </cell>
          <cell r="X12">
            <v>43653</v>
          </cell>
          <cell r="Y12">
            <v>0</v>
          </cell>
          <cell r="Z12">
            <v>43685</v>
          </cell>
          <cell r="AA12">
            <v>0</v>
          </cell>
          <cell r="AB12">
            <v>43717</v>
          </cell>
          <cell r="AC12">
            <v>0</v>
          </cell>
          <cell r="AD12">
            <v>43748</v>
          </cell>
          <cell r="AE12">
            <v>0</v>
          </cell>
          <cell r="AF12">
            <v>43780</v>
          </cell>
          <cell r="AG12">
            <v>0</v>
          </cell>
          <cell r="AH12" t="str">
            <v>Total</v>
          </cell>
        </row>
        <row r="13">
          <cell r="D13">
            <v>98501</v>
          </cell>
          <cell r="E13" t="str">
            <v>Days - Weekdays</v>
          </cell>
          <cell r="F13">
            <v>0</v>
          </cell>
          <cell r="G13">
            <v>0</v>
          </cell>
          <cell r="H13">
            <v>0</v>
          </cell>
          <cell r="I13">
            <v>0</v>
          </cell>
          <cell r="J13">
            <v>21</v>
          </cell>
          <cell r="K13">
            <v>0</v>
          </cell>
          <cell r="L13">
            <v>23</v>
          </cell>
          <cell r="M13">
            <v>0</v>
          </cell>
          <cell r="N13">
            <v>20</v>
          </cell>
          <cell r="O13">
            <v>0</v>
          </cell>
          <cell r="P13">
            <v>21</v>
          </cell>
          <cell r="Q13">
            <v>0</v>
          </cell>
          <cell r="R13">
            <v>22</v>
          </cell>
          <cell r="S13">
            <v>0</v>
          </cell>
          <cell r="T13">
            <v>23</v>
          </cell>
          <cell r="U13">
            <v>0</v>
          </cell>
          <cell r="V13">
            <v>20</v>
          </cell>
          <cell r="W13">
            <v>0</v>
          </cell>
          <cell r="X13">
            <v>23</v>
          </cell>
          <cell r="Y13">
            <v>0</v>
          </cell>
          <cell r="Z13">
            <v>22</v>
          </cell>
          <cell r="AA13">
            <v>0</v>
          </cell>
          <cell r="AB13">
            <v>21</v>
          </cell>
          <cell r="AC13">
            <v>0</v>
          </cell>
          <cell r="AD13">
            <v>23</v>
          </cell>
          <cell r="AE13">
            <v>0</v>
          </cell>
          <cell r="AF13">
            <v>21</v>
          </cell>
          <cell r="AG13">
            <v>0</v>
          </cell>
          <cell r="AH13">
            <v>260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row>
        <row r="16">
          <cell r="D16">
            <v>31000</v>
          </cell>
          <cell r="E16" t="str">
            <v>Hauling Revenue - Roll Off Permanent</v>
          </cell>
          <cell r="F16">
            <v>0</v>
          </cell>
          <cell r="G16">
            <v>0</v>
          </cell>
          <cell r="H16">
            <v>0</v>
          </cell>
          <cell r="I16">
            <v>0</v>
          </cell>
          <cell r="J16">
            <v>147972.32999999999</v>
          </cell>
          <cell r="K16">
            <v>0</v>
          </cell>
          <cell r="L16">
            <v>173272.13</v>
          </cell>
          <cell r="M16">
            <v>0</v>
          </cell>
          <cell r="N16">
            <v>135950.81</v>
          </cell>
          <cell r="O16">
            <v>0</v>
          </cell>
          <cell r="P16">
            <v>167765.54</v>
          </cell>
          <cell r="Q16">
            <v>0</v>
          </cell>
          <cell r="R16">
            <v>176689.44</v>
          </cell>
          <cell r="S16">
            <v>0</v>
          </cell>
          <cell r="T16">
            <v>189092.21</v>
          </cell>
          <cell r="U16">
            <v>0</v>
          </cell>
          <cell r="V16">
            <v>173180.51</v>
          </cell>
          <cell r="W16">
            <v>0</v>
          </cell>
          <cell r="X16">
            <v>177795.1</v>
          </cell>
          <cell r="Y16">
            <v>0</v>
          </cell>
          <cell r="Z16">
            <v>190484.63</v>
          </cell>
          <cell r="AA16">
            <v>0</v>
          </cell>
          <cell r="AB16">
            <v>181398.49</v>
          </cell>
          <cell r="AC16">
            <v>0</v>
          </cell>
          <cell r="AD16">
            <v>201721.86</v>
          </cell>
          <cell r="AE16">
            <v>0</v>
          </cell>
          <cell r="AF16">
            <v>169708.25</v>
          </cell>
          <cell r="AG16">
            <v>0</v>
          </cell>
          <cell r="AH16">
            <v>2085031.2999999998</v>
          </cell>
        </row>
        <row r="17">
          <cell r="D17">
            <v>31001</v>
          </cell>
          <cell r="E17" t="str">
            <v>Hauling Revenue - Roll Off Temporary</v>
          </cell>
          <cell r="F17">
            <v>0</v>
          </cell>
          <cell r="G17">
            <v>0</v>
          </cell>
          <cell r="H17">
            <v>0</v>
          </cell>
          <cell r="I17">
            <v>0</v>
          </cell>
          <cell r="J17">
            <v>12906.85</v>
          </cell>
          <cell r="K17">
            <v>0</v>
          </cell>
          <cell r="L17">
            <v>23928.71</v>
          </cell>
          <cell r="M17">
            <v>0</v>
          </cell>
          <cell r="N17">
            <v>13994.55</v>
          </cell>
          <cell r="O17">
            <v>0</v>
          </cell>
          <cell r="P17">
            <v>26349.84</v>
          </cell>
          <cell r="Q17">
            <v>0</v>
          </cell>
          <cell r="R17">
            <v>27880.33</v>
          </cell>
          <cell r="S17">
            <v>0</v>
          </cell>
          <cell r="T17">
            <v>30823.57</v>
          </cell>
          <cell r="U17">
            <v>0</v>
          </cell>
          <cell r="V17">
            <v>28403.41</v>
          </cell>
          <cell r="W17">
            <v>0</v>
          </cell>
          <cell r="X17">
            <v>26813.06</v>
          </cell>
          <cell r="Y17">
            <v>0</v>
          </cell>
          <cell r="Z17">
            <v>30098</v>
          </cell>
          <cell r="AA17">
            <v>0</v>
          </cell>
          <cell r="AB17">
            <v>27362.52</v>
          </cell>
          <cell r="AC17">
            <v>0</v>
          </cell>
          <cell r="AD17">
            <v>19431.43</v>
          </cell>
          <cell r="AE17">
            <v>0</v>
          </cell>
          <cell r="AF17">
            <v>18316.310000000001</v>
          </cell>
          <cell r="AG17">
            <v>0</v>
          </cell>
          <cell r="AH17">
            <v>286308.57999999996</v>
          </cell>
        </row>
        <row r="18">
          <cell r="D18">
            <v>31002</v>
          </cell>
          <cell r="E18" t="str">
            <v>Hauling Revenue - Roll Off Rental</v>
          </cell>
          <cell r="F18">
            <v>0</v>
          </cell>
          <cell r="G18">
            <v>0</v>
          </cell>
          <cell r="H18">
            <v>0</v>
          </cell>
          <cell r="I18">
            <v>0</v>
          </cell>
          <cell r="J18">
            <v>33333.4</v>
          </cell>
          <cell r="K18">
            <v>0</v>
          </cell>
          <cell r="L18">
            <v>33735.39</v>
          </cell>
          <cell r="M18">
            <v>0</v>
          </cell>
          <cell r="N18">
            <v>33068.07</v>
          </cell>
          <cell r="O18">
            <v>0</v>
          </cell>
          <cell r="P18">
            <v>37541.14</v>
          </cell>
          <cell r="Q18">
            <v>0</v>
          </cell>
          <cell r="R18">
            <v>36768.449999999997</v>
          </cell>
          <cell r="S18">
            <v>0</v>
          </cell>
          <cell r="T18">
            <v>38076.239999999998</v>
          </cell>
          <cell r="U18">
            <v>0</v>
          </cell>
          <cell r="V18">
            <v>33308.65</v>
          </cell>
          <cell r="W18">
            <v>0</v>
          </cell>
          <cell r="X18">
            <v>37691.910000000003</v>
          </cell>
          <cell r="Y18">
            <v>0</v>
          </cell>
          <cell r="Z18">
            <v>37254.379999999997</v>
          </cell>
          <cell r="AA18">
            <v>0</v>
          </cell>
          <cell r="AB18">
            <v>37262.78</v>
          </cell>
          <cell r="AC18">
            <v>0</v>
          </cell>
          <cell r="AD18">
            <v>34672.53</v>
          </cell>
          <cell r="AE18">
            <v>0</v>
          </cell>
          <cell r="AF18">
            <v>34203.910000000003</v>
          </cell>
          <cell r="AG18">
            <v>0</v>
          </cell>
          <cell r="AH18">
            <v>426916.85000000003</v>
          </cell>
        </row>
        <row r="19">
          <cell r="D19">
            <v>31004</v>
          </cell>
          <cell r="E19" t="str">
            <v>Hauling Revenue - Roll Off Recycling</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1135.8800000000001</v>
          </cell>
          <cell r="W19">
            <v>0</v>
          </cell>
          <cell r="X19">
            <v>2738.75</v>
          </cell>
          <cell r="Y19">
            <v>0</v>
          </cell>
          <cell r="Z19">
            <v>0</v>
          </cell>
          <cell r="AA19">
            <v>0</v>
          </cell>
          <cell r="AB19">
            <v>1084.8599999999999</v>
          </cell>
          <cell r="AC19">
            <v>0</v>
          </cell>
          <cell r="AD19">
            <v>944.08</v>
          </cell>
          <cell r="AE19">
            <v>0</v>
          </cell>
          <cell r="AF19">
            <v>0</v>
          </cell>
          <cell r="AG19">
            <v>0</v>
          </cell>
          <cell r="AH19">
            <v>5903.5700000000006</v>
          </cell>
        </row>
        <row r="20">
          <cell r="D20">
            <v>31005</v>
          </cell>
          <cell r="E20" t="str">
            <v>Hauling Revenue - Roll Off Disposal Chg</v>
          </cell>
          <cell r="F20">
            <v>0</v>
          </cell>
          <cell r="G20">
            <v>0</v>
          </cell>
          <cell r="H20">
            <v>0</v>
          </cell>
          <cell r="I20">
            <v>0</v>
          </cell>
          <cell r="J20">
            <v>417837.75</v>
          </cell>
          <cell r="K20">
            <v>0</v>
          </cell>
          <cell r="L20">
            <v>485320.1</v>
          </cell>
          <cell r="M20">
            <v>0</v>
          </cell>
          <cell r="N20">
            <v>381162.74</v>
          </cell>
          <cell r="O20">
            <v>0</v>
          </cell>
          <cell r="P20">
            <v>469324.28</v>
          </cell>
          <cell r="Q20">
            <v>0</v>
          </cell>
          <cell r="R20">
            <v>508528.58</v>
          </cell>
          <cell r="S20">
            <v>0</v>
          </cell>
          <cell r="T20">
            <v>508117.73</v>
          </cell>
          <cell r="U20">
            <v>0</v>
          </cell>
          <cell r="V20">
            <v>473747.23</v>
          </cell>
          <cell r="W20">
            <v>0</v>
          </cell>
          <cell r="X20">
            <v>478243.06</v>
          </cell>
          <cell r="Y20">
            <v>0</v>
          </cell>
          <cell r="Z20">
            <v>512685.58</v>
          </cell>
          <cell r="AA20">
            <v>0</v>
          </cell>
          <cell r="AB20">
            <v>493282.55</v>
          </cell>
          <cell r="AC20">
            <v>0</v>
          </cell>
          <cell r="AD20">
            <v>487354.7</v>
          </cell>
          <cell r="AE20">
            <v>0</v>
          </cell>
          <cell r="AF20">
            <v>440604.73</v>
          </cell>
          <cell r="AG20">
            <v>0</v>
          </cell>
          <cell r="AH20">
            <v>5656209.0300000003</v>
          </cell>
        </row>
        <row r="21">
          <cell r="D21">
            <v>31009</v>
          </cell>
          <cell r="E21" t="str">
            <v>Hauling Revenue - Roll Off Intercompany</v>
          </cell>
          <cell r="F21">
            <v>0</v>
          </cell>
          <cell r="G21">
            <v>0</v>
          </cell>
          <cell r="H21">
            <v>0</v>
          </cell>
          <cell r="I21">
            <v>0</v>
          </cell>
          <cell r="J21">
            <v>4900.41</v>
          </cell>
          <cell r="K21">
            <v>0</v>
          </cell>
          <cell r="L21">
            <v>6925.77</v>
          </cell>
          <cell r="M21">
            <v>0</v>
          </cell>
          <cell r="N21">
            <v>5460.87</v>
          </cell>
          <cell r="O21">
            <v>0</v>
          </cell>
          <cell r="P21">
            <v>4046.15</v>
          </cell>
          <cell r="Q21">
            <v>0</v>
          </cell>
          <cell r="R21">
            <v>4584.6000000000004</v>
          </cell>
          <cell r="S21">
            <v>0</v>
          </cell>
          <cell r="T21">
            <v>7526.82</v>
          </cell>
          <cell r="U21">
            <v>0</v>
          </cell>
          <cell r="V21">
            <v>6326.4</v>
          </cell>
          <cell r="W21">
            <v>0</v>
          </cell>
          <cell r="X21">
            <v>7179.43</v>
          </cell>
          <cell r="Y21">
            <v>0</v>
          </cell>
          <cell r="Z21">
            <v>6962.21</v>
          </cell>
          <cell r="AA21">
            <v>0</v>
          </cell>
          <cell r="AB21">
            <v>6016.42</v>
          </cell>
          <cell r="AC21">
            <v>0</v>
          </cell>
          <cell r="AD21">
            <v>6869.45</v>
          </cell>
          <cell r="AE21">
            <v>0</v>
          </cell>
          <cell r="AF21">
            <v>5635.24</v>
          </cell>
          <cell r="AG21">
            <v>0</v>
          </cell>
          <cell r="AH21">
            <v>72433.77</v>
          </cell>
        </row>
        <row r="22">
          <cell r="D22">
            <v>31010</v>
          </cell>
          <cell r="E22" t="str">
            <v>Hauling Revenue - Roll Off Extras</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365.63</v>
          </cell>
          <cell r="AA22">
            <v>0</v>
          </cell>
          <cell r="AB22">
            <v>0</v>
          </cell>
          <cell r="AC22">
            <v>0</v>
          </cell>
          <cell r="AD22">
            <v>0</v>
          </cell>
          <cell r="AE22">
            <v>0</v>
          </cell>
          <cell r="AF22">
            <v>0</v>
          </cell>
          <cell r="AG22">
            <v>0</v>
          </cell>
          <cell r="AH22">
            <v>365.63</v>
          </cell>
        </row>
        <row r="23">
          <cell r="D23">
            <v>31020</v>
          </cell>
          <cell r="E23" t="str">
            <v>Hauling Revenue - Roll Off Special Waste</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177204.28</v>
          </cell>
          <cell r="AC23">
            <v>0</v>
          </cell>
          <cell r="AD23">
            <v>-177204.28</v>
          </cell>
          <cell r="AE23">
            <v>0</v>
          </cell>
          <cell r="AF23">
            <v>0</v>
          </cell>
          <cell r="AG23">
            <v>0</v>
          </cell>
          <cell r="AH23">
            <v>0</v>
          </cell>
        </row>
        <row r="24">
          <cell r="D24">
            <v>32000</v>
          </cell>
          <cell r="E24" t="str">
            <v>Hauling Revenue - Residential MSW</v>
          </cell>
          <cell r="F24">
            <v>0</v>
          </cell>
          <cell r="G24">
            <v>0</v>
          </cell>
          <cell r="H24">
            <v>0</v>
          </cell>
          <cell r="I24">
            <v>0</v>
          </cell>
          <cell r="J24">
            <v>1945476.99</v>
          </cell>
          <cell r="K24">
            <v>0</v>
          </cell>
          <cell r="L24">
            <v>1946679</v>
          </cell>
          <cell r="M24">
            <v>0</v>
          </cell>
          <cell r="N24">
            <v>1943204.35</v>
          </cell>
          <cell r="O24">
            <v>0</v>
          </cell>
          <cell r="P24">
            <v>2006993.36</v>
          </cell>
          <cell r="Q24">
            <v>0</v>
          </cell>
          <cell r="R24">
            <v>2016567.11</v>
          </cell>
          <cell r="S24">
            <v>0</v>
          </cell>
          <cell r="T24">
            <v>2021930.46</v>
          </cell>
          <cell r="U24">
            <v>0</v>
          </cell>
          <cell r="V24">
            <v>2027855.24</v>
          </cell>
          <cell r="W24">
            <v>0</v>
          </cell>
          <cell r="X24">
            <v>2028829.85</v>
          </cell>
          <cell r="Y24">
            <v>0</v>
          </cell>
          <cell r="Z24">
            <v>2034813.42</v>
          </cell>
          <cell r="AA24">
            <v>0</v>
          </cell>
          <cell r="AB24">
            <v>2038681.34</v>
          </cell>
          <cell r="AC24">
            <v>0</v>
          </cell>
          <cell r="AD24">
            <v>2038826.68</v>
          </cell>
          <cell r="AE24">
            <v>0</v>
          </cell>
          <cell r="AF24">
            <v>2040343.81</v>
          </cell>
          <cell r="AG24">
            <v>0</v>
          </cell>
          <cell r="AH24">
            <v>24090201.609999999</v>
          </cell>
        </row>
        <row r="25">
          <cell r="D25">
            <v>32001</v>
          </cell>
          <cell r="E25" t="str">
            <v>Hauling Revenue - Residential MSW Extras</v>
          </cell>
          <cell r="F25">
            <v>0</v>
          </cell>
          <cell r="G25">
            <v>0</v>
          </cell>
          <cell r="H25">
            <v>0</v>
          </cell>
          <cell r="I25">
            <v>0</v>
          </cell>
          <cell r="J25">
            <v>58358.92</v>
          </cell>
          <cell r="K25">
            <v>0</v>
          </cell>
          <cell r="L25">
            <v>63098.23</v>
          </cell>
          <cell r="M25">
            <v>0</v>
          </cell>
          <cell r="N25">
            <v>39717.67</v>
          </cell>
          <cell r="O25">
            <v>0</v>
          </cell>
          <cell r="P25">
            <v>54517.54</v>
          </cell>
          <cell r="Q25">
            <v>0</v>
          </cell>
          <cell r="R25">
            <v>46573.13</v>
          </cell>
          <cell r="S25">
            <v>0</v>
          </cell>
          <cell r="T25">
            <v>49914.23</v>
          </cell>
          <cell r="U25">
            <v>0</v>
          </cell>
          <cell r="V25">
            <v>46751.72</v>
          </cell>
          <cell r="W25">
            <v>0</v>
          </cell>
          <cell r="X25">
            <v>55652.14</v>
          </cell>
          <cell r="Y25">
            <v>0</v>
          </cell>
          <cell r="Z25">
            <v>52717.18</v>
          </cell>
          <cell r="AA25">
            <v>0</v>
          </cell>
          <cell r="AB25">
            <v>41753.870000000003</v>
          </cell>
          <cell r="AC25">
            <v>0</v>
          </cell>
          <cell r="AD25">
            <v>44006.080000000002</v>
          </cell>
          <cell r="AE25">
            <v>0</v>
          </cell>
          <cell r="AF25">
            <v>49563.96</v>
          </cell>
          <cell r="AG25">
            <v>0</v>
          </cell>
          <cell r="AH25">
            <v>602624.66999999993</v>
          </cell>
        </row>
        <row r="26">
          <cell r="D26">
            <v>32100</v>
          </cell>
          <cell r="E26" t="str">
            <v>Hauling Revenue - Residential Recycling</v>
          </cell>
          <cell r="F26">
            <v>0</v>
          </cell>
          <cell r="G26">
            <v>0</v>
          </cell>
          <cell r="H26">
            <v>0</v>
          </cell>
          <cell r="I26">
            <v>0</v>
          </cell>
          <cell r="J26">
            <v>292450.21999999997</v>
          </cell>
          <cell r="K26">
            <v>0</v>
          </cell>
          <cell r="L26">
            <v>292686.95</v>
          </cell>
          <cell r="M26">
            <v>0</v>
          </cell>
          <cell r="N26">
            <v>292151.21000000002</v>
          </cell>
          <cell r="O26">
            <v>0</v>
          </cell>
          <cell r="P26">
            <v>293474.84999999998</v>
          </cell>
          <cell r="Q26">
            <v>0</v>
          </cell>
          <cell r="R26">
            <v>294727.26</v>
          </cell>
          <cell r="S26">
            <v>0</v>
          </cell>
          <cell r="T26">
            <v>295438.73</v>
          </cell>
          <cell r="U26">
            <v>0</v>
          </cell>
          <cell r="V26">
            <v>295948.26</v>
          </cell>
          <cell r="W26">
            <v>0</v>
          </cell>
          <cell r="X26">
            <v>296157.19</v>
          </cell>
          <cell r="Y26">
            <v>0</v>
          </cell>
          <cell r="Z26">
            <v>297226.07</v>
          </cell>
          <cell r="AA26">
            <v>0</v>
          </cell>
          <cell r="AB26">
            <v>296961.78000000003</v>
          </cell>
          <cell r="AC26">
            <v>0</v>
          </cell>
          <cell r="AD26">
            <v>297307.37</v>
          </cell>
          <cell r="AE26">
            <v>0</v>
          </cell>
          <cell r="AF26">
            <v>297230.40000000002</v>
          </cell>
          <cell r="AG26">
            <v>0</v>
          </cell>
          <cell r="AH26">
            <v>3541760.29</v>
          </cell>
        </row>
        <row r="27">
          <cell r="D27">
            <v>32110</v>
          </cell>
          <cell r="E27" t="str">
            <v>Hauling Revenue - Residential Composting</v>
          </cell>
          <cell r="F27">
            <v>0</v>
          </cell>
          <cell r="G27">
            <v>0</v>
          </cell>
          <cell r="H27">
            <v>0</v>
          </cell>
          <cell r="I27">
            <v>0</v>
          </cell>
          <cell r="J27">
            <v>230863.69</v>
          </cell>
          <cell r="K27">
            <v>0</v>
          </cell>
          <cell r="L27">
            <v>228523.58</v>
          </cell>
          <cell r="M27">
            <v>0</v>
          </cell>
          <cell r="N27">
            <v>225847.16</v>
          </cell>
          <cell r="O27">
            <v>0</v>
          </cell>
          <cell r="P27">
            <v>230409.5</v>
          </cell>
          <cell r="Q27">
            <v>0</v>
          </cell>
          <cell r="R27">
            <v>236360.26</v>
          </cell>
          <cell r="S27">
            <v>0</v>
          </cell>
          <cell r="T27">
            <v>242939.79</v>
          </cell>
          <cell r="U27">
            <v>0</v>
          </cell>
          <cell r="V27">
            <v>247963.28</v>
          </cell>
          <cell r="W27">
            <v>0</v>
          </cell>
          <cell r="X27">
            <v>250955.95</v>
          </cell>
          <cell r="Y27">
            <v>0</v>
          </cell>
          <cell r="Z27">
            <v>251972.44</v>
          </cell>
          <cell r="AA27">
            <v>0</v>
          </cell>
          <cell r="AB27">
            <v>251274.81</v>
          </cell>
          <cell r="AC27">
            <v>0</v>
          </cell>
          <cell r="AD27">
            <v>247062.45</v>
          </cell>
          <cell r="AE27">
            <v>0</v>
          </cell>
          <cell r="AF27">
            <v>247872.65</v>
          </cell>
          <cell r="AG27">
            <v>0</v>
          </cell>
          <cell r="AH27">
            <v>2892045.56</v>
          </cell>
        </row>
        <row r="28">
          <cell r="D28">
            <v>33000</v>
          </cell>
          <cell r="E28" t="str">
            <v>Hauling Revenue - Commercial FEL</v>
          </cell>
          <cell r="F28">
            <v>0</v>
          </cell>
          <cell r="G28">
            <v>0</v>
          </cell>
          <cell r="H28">
            <v>0</v>
          </cell>
          <cell r="I28">
            <v>0</v>
          </cell>
          <cell r="J28">
            <v>1558981.33</v>
          </cell>
          <cell r="K28">
            <v>0</v>
          </cell>
          <cell r="L28">
            <v>1573483.41</v>
          </cell>
          <cell r="M28">
            <v>0</v>
          </cell>
          <cell r="N28">
            <v>1538309.52</v>
          </cell>
          <cell r="O28">
            <v>0</v>
          </cell>
          <cell r="P28">
            <v>1647055.36</v>
          </cell>
          <cell r="Q28">
            <v>0</v>
          </cell>
          <cell r="R28">
            <v>1669253.56</v>
          </cell>
          <cell r="S28">
            <v>0</v>
          </cell>
          <cell r="T28">
            <v>1652994.97</v>
          </cell>
          <cell r="U28">
            <v>0</v>
          </cell>
          <cell r="V28">
            <v>1641776.56</v>
          </cell>
          <cell r="W28">
            <v>0</v>
          </cell>
          <cell r="X28">
            <v>1628786.31</v>
          </cell>
          <cell r="Y28">
            <v>0</v>
          </cell>
          <cell r="Z28">
            <v>1634308.82</v>
          </cell>
          <cell r="AA28">
            <v>0</v>
          </cell>
          <cell r="AB28">
            <v>1652142.82</v>
          </cell>
          <cell r="AC28">
            <v>0</v>
          </cell>
          <cell r="AD28">
            <v>1720841.19</v>
          </cell>
          <cell r="AE28">
            <v>0</v>
          </cell>
          <cell r="AF28">
            <v>1644646.26</v>
          </cell>
          <cell r="AG28">
            <v>0</v>
          </cell>
          <cell r="AH28">
            <v>19562580.109999999</v>
          </cell>
        </row>
        <row r="29">
          <cell r="D29">
            <v>33001</v>
          </cell>
          <cell r="E29" t="str">
            <v>Hauling Revenue - Commercial FEL Extras</v>
          </cell>
          <cell r="F29">
            <v>0</v>
          </cell>
          <cell r="G29">
            <v>0</v>
          </cell>
          <cell r="H29">
            <v>0</v>
          </cell>
          <cell r="I29">
            <v>0</v>
          </cell>
          <cell r="J29">
            <v>13481.52</v>
          </cell>
          <cell r="K29">
            <v>0</v>
          </cell>
          <cell r="L29">
            <v>16917.98</v>
          </cell>
          <cell r="M29">
            <v>0</v>
          </cell>
          <cell r="N29">
            <v>8812.1299999999992</v>
          </cell>
          <cell r="O29">
            <v>0</v>
          </cell>
          <cell r="P29">
            <v>21249.13</v>
          </cell>
          <cell r="Q29">
            <v>0</v>
          </cell>
          <cell r="R29">
            <v>19839.509999999998</v>
          </cell>
          <cell r="S29">
            <v>0</v>
          </cell>
          <cell r="T29">
            <v>19280.77</v>
          </cell>
          <cell r="U29">
            <v>0</v>
          </cell>
          <cell r="V29">
            <v>29515.19</v>
          </cell>
          <cell r="W29">
            <v>0</v>
          </cell>
          <cell r="X29">
            <v>25962.61</v>
          </cell>
          <cell r="Y29">
            <v>0</v>
          </cell>
          <cell r="Z29">
            <v>20856.349999999999</v>
          </cell>
          <cell r="AA29">
            <v>0</v>
          </cell>
          <cell r="AB29">
            <v>14212.72</v>
          </cell>
          <cell r="AC29">
            <v>0</v>
          </cell>
          <cell r="AD29">
            <v>20593.759999999998</v>
          </cell>
          <cell r="AE29">
            <v>0</v>
          </cell>
          <cell r="AF29">
            <v>15800.58</v>
          </cell>
          <cell r="AG29">
            <v>0</v>
          </cell>
          <cell r="AH29">
            <v>226522.25000000003</v>
          </cell>
        </row>
        <row r="30">
          <cell r="D30">
            <v>33002</v>
          </cell>
          <cell r="E30" t="str">
            <v>Hauling Revenue - Commercial FEL Adjustm</v>
          </cell>
          <cell r="F30">
            <v>0</v>
          </cell>
          <cell r="G30">
            <v>0</v>
          </cell>
          <cell r="H30">
            <v>0</v>
          </cell>
          <cell r="I30">
            <v>0</v>
          </cell>
          <cell r="J30">
            <v>11250.63</v>
          </cell>
          <cell r="K30">
            <v>0</v>
          </cell>
          <cell r="L30">
            <v>12412.38</v>
          </cell>
          <cell r="M30">
            <v>0</v>
          </cell>
          <cell r="N30">
            <v>14072.74</v>
          </cell>
          <cell r="O30">
            <v>0</v>
          </cell>
          <cell r="P30">
            <v>0</v>
          </cell>
          <cell r="Q30">
            <v>0</v>
          </cell>
          <cell r="R30">
            <v>0</v>
          </cell>
          <cell r="S30">
            <v>0</v>
          </cell>
          <cell r="T30">
            <v>807.87</v>
          </cell>
          <cell r="U30">
            <v>0</v>
          </cell>
          <cell r="V30">
            <v>1089.9100000000001</v>
          </cell>
          <cell r="W30">
            <v>0</v>
          </cell>
          <cell r="X30">
            <v>1048.4100000000001</v>
          </cell>
          <cell r="Y30">
            <v>0</v>
          </cell>
          <cell r="Z30">
            <v>1047.8499999999999</v>
          </cell>
          <cell r="AA30">
            <v>0</v>
          </cell>
          <cell r="AB30">
            <v>943.61</v>
          </cell>
          <cell r="AC30">
            <v>0</v>
          </cell>
          <cell r="AD30">
            <v>1036.01</v>
          </cell>
          <cell r="AE30">
            <v>0</v>
          </cell>
          <cell r="AF30">
            <v>980.33</v>
          </cell>
          <cell r="AG30">
            <v>0</v>
          </cell>
          <cell r="AH30">
            <v>44689.74</v>
          </cell>
        </row>
        <row r="31">
          <cell r="D31">
            <v>33020</v>
          </cell>
          <cell r="E31" t="str">
            <v>Hauling Revenue - Commercial Recycling F</v>
          </cell>
          <cell r="F31">
            <v>0</v>
          </cell>
          <cell r="G31">
            <v>0</v>
          </cell>
          <cell r="H31">
            <v>0</v>
          </cell>
          <cell r="I31">
            <v>0</v>
          </cell>
          <cell r="J31">
            <v>222397.54</v>
          </cell>
          <cell r="K31">
            <v>0</v>
          </cell>
          <cell r="L31">
            <v>223227.36</v>
          </cell>
          <cell r="M31">
            <v>0</v>
          </cell>
          <cell r="N31">
            <v>224456.37</v>
          </cell>
          <cell r="O31">
            <v>0</v>
          </cell>
          <cell r="P31">
            <v>241700.34</v>
          </cell>
          <cell r="Q31">
            <v>0</v>
          </cell>
          <cell r="R31">
            <v>239937.12</v>
          </cell>
          <cell r="S31">
            <v>0</v>
          </cell>
          <cell r="T31">
            <v>243107.15</v>
          </cell>
          <cell r="U31">
            <v>0</v>
          </cell>
          <cell r="V31">
            <v>245112.03</v>
          </cell>
          <cell r="W31">
            <v>0</v>
          </cell>
          <cell r="X31">
            <v>234628.84</v>
          </cell>
          <cell r="Y31">
            <v>0</v>
          </cell>
          <cell r="Z31">
            <v>242754.8</v>
          </cell>
          <cell r="AA31">
            <v>0</v>
          </cell>
          <cell r="AB31">
            <v>252080.03</v>
          </cell>
          <cell r="AC31">
            <v>0</v>
          </cell>
          <cell r="AD31">
            <v>250549.92</v>
          </cell>
          <cell r="AE31">
            <v>0</v>
          </cell>
          <cell r="AF31">
            <v>255084.63</v>
          </cell>
          <cell r="AG31">
            <v>0</v>
          </cell>
          <cell r="AH31">
            <v>2875036.13</v>
          </cell>
        </row>
        <row r="32">
          <cell r="D32">
            <v>33022</v>
          </cell>
          <cell r="E32" t="str">
            <v>Hauling Revenue - Commercial Recycling F</v>
          </cell>
          <cell r="F32">
            <v>0</v>
          </cell>
          <cell r="G32">
            <v>0</v>
          </cell>
          <cell r="H32">
            <v>0</v>
          </cell>
          <cell r="I32">
            <v>0</v>
          </cell>
          <cell r="J32">
            <v>0</v>
          </cell>
          <cell r="K32">
            <v>0</v>
          </cell>
          <cell r="L32">
            <v>0</v>
          </cell>
          <cell r="M32">
            <v>0</v>
          </cell>
          <cell r="N32">
            <v>0</v>
          </cell>
          <cell r="O32">
            <v>0</v>
          </cell>
          <cell r="P32">
            <v>16335.09</v>
          </cell>
          <cell r="Q32">
            <v>0</v>
          </cell>
          <cell r="R32">
            <v>17220.46</v>
          </cell>
          <cell r="S32">
            <v>0</v>
          </cell>
          <cell r="T32">
            <v>17850.990000000002</v>
          </cell>
          <cell r="U32">
            <v>0</v>
          </cell>
          <cell r="V32">
            <v>17699.830000000002</v>
          </cell>
          <cell r="W32">
            <v>0</v>
          </cell>
          <cell r="X32">
            <v>16230.69</v>
          </cell>
          <cell r="Y32">
            <v>0</v>
          </cell>
          <cell r="Z32">
            <v>17139.580000000002</v>
          </cell>
          <cell r="AA32">
            <v>0</v>
          </cell>
          <cell r="AB32">
            <v>19074.05</v>
          </cell>
          <cell r="AC32">
            <v>0</v>
          </cell>
          <cell r="AD32">
            <v>18871.810000000001</v>
          </cell>
          <cell r="AE32">
            <v>0</v>
          </cell>
          <cell r="AF32">
            <v>19565.89</v>
          </cell>
          <cell r="AG32">
            <v>0</v>
          </cell>
          <cell r="AH32">
            <v>159988.39000000001</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4">
          <cell r="F34" t="str">
            <v>Hauling Revenue</v>
          </cell>
          <cell r="J34">
            <v>4950211.58</v>
          </cell>
          <cell r="K34">
            <v>0</v>
          </cell>
          <cell r="L34">
            <v>5080210.9900000012</v>
          </cell>
          <cell r="M34">
            <v>0</v>
          </cell>
          <cell r="N34">
            <v>4856208.1900000004</v>
          </cell>
          <cell r="O34">
            <v>0</v>
          </cell>
          <cell r="P34">
            <v>5216762.12</v>
          </cell>
          <cell r="Q34">
            <v>0</v>
          </cell>
          <cell r="R34">
            <v>5294929.8100000005</v>
          </cell>
          <cell r="S34">
            <v>0</v>
          </cell>
          <cell r="T34">
            <v>5317901.53</v>
          </cell>
          <cell r="U34">
            <v>0</v>
          </cell>
          <cell r="V34">
            <v>5269814.1000000006</v>
          </cell>
          <cell r="W34">
            <v>0</v>
          </cell>
          <cell r="X34">
            <v>5268713.3000000007</v>
          </cell>
          <cell r="Y34">
            <v>0</v>
          </cell>
          <cell r="Z34">
            <v>5330686.9399999995</v>
          </cell>
          <cell r="AA34">
            <v>0</v>
          </cell>
          <cell r="AB34">
            <v>5490736.9300000006</v>
          </cell>
          <cell r="AC34">
            <v>0</v>
          </cell>
          <cell r="AD34">
            <v>5212885.0399999991</v>
          </cell>
          <cell r="AE34">
            <v>0</v>
          </cell>
          <cell r="AF34">
            <v>5239556.9499999993</v>
          </cell>
          <cell r="AG34">
            <v>0</v>
          </cell>
          <cell r="AH34">
            <v>62528617.480000004</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D37">
            <v>0</v>
          </cell>
          <cell r="E37">
            <v>0</v>
          </cell>
          <cell r="F37">
            <v>0</v>
          </cell>
          <cell r="G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row>
        <row r="38">
          <cell r="F38" t="str">
            <v>Transfer and MRF</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row>
        <row r="41">
          <cell r="D41">
            <v>35510</v>
          </cell>
          <cell r="E41" t="str">
            <v>Proceeds - OCC</v>
          </cell>
          <cell r="F41">
            <v>0</v>
          </cell>
          <cell r="G41">
            <v>0</v>
          </cell>
          <cell r="H41">
            <v>0</v>
          </cell>
          <cell r="I41">
            <v>0</v>
          </cell>
          <cell r="J41">
            <v>1785.04</v>
          </cell>
          <cell r="K41">
            <v>0</v>
          </cell>
          <cell r="L41">
            <v>1780.32</v>
          </cell>
          <cell r="M41">
            <v>0</v>
          </cell>
          <cell r="N41">
            <v>878.18</v>
          </cell>
          <cell r="O41">
            <v>0</v>
          </cell>
          <cell r="P41">
            <v>848.15</v>
          </cell>
          <cell r="Q41">
            <v>0</v>
          </cell>
          <cell r="R41">
            <v>462.72</v>
          </cell>
          <cell r="S41">
            <v>0</v>
          </cell>
          <cell r="T41">
            <v>236.24</v>
          </cell>
          <cell r="U41">
            <v>0</v>
          </cell>
          <cell r="V41">
            <v>340.68</v>
          </cell>
          <cell r="W41">
            <v>0</v>
          </cell>
          <cell r="X41">
            <v>449.16</v>
          </cell>
          <cell r="Y41">
            <v>0</v>
          </cell>
          <cell r="Z41">
            <v>763.35</v>
          </cell>
          <cell r="AA41">
            <v>0</v>
          </cell>
          <cell r="AB41">
            <v>644.16</v>
          </cell>
          <cell r="AC41">
            <v>0</v>
          </cell>
          <cell r="AD41">
            <v>400.62</v>
          </cell>
          <cell r="AE41">
            <v>0</v>
          </cell>
          <cell r="AF41">
            <v>186.54</v>
          </cell>
          <cell r="AG41">
            <v>0</v>
          </cell>
          <cell r="AH41">
            <v>8775.16</v>
          </cell>
        </row>
        <row r="42">
          <cell r="D42">
            <v>35512</v>
          </cell>
          <cell r="E42" t="str">
            <v>Proceeds - Sorted Resi Papers and News</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row>
        <row r="43">
          <cell r="D43">
            <v>35514</v>
          </cell>
          <cell r="E43" t="str">
            <v>Proceeds - Dirty Aluminum</v>
          </cell>
          <cell r="F43">
            <v>0</v>
          </cell>
          <cell r="G43">
            <v>0</v>
          </cell>
          <cell r="H43">
            <v>0</v>
          </cell>
          <cell r="I43">
            <v>0</v>
          </cell>
          <cell r="J43">
            <v>6484.3</v>
          </cell>
          <cell r="K43">
            <v>0</v>
          </cell>
          <cell r="L43">
            <v>11710.3</v>
          </cell>
          <cell r="M43">
            <v>0</v>
          </cell>
          <cell r="N43">
            <v>-11710.3</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6484.3</v>
          </cell>
        </row>
        <row r="44">
          <cell r="D44">
            <v>35517</v>
          </cell>
          <cell r="E44" t="str">
            <v>Proceeds - Other Recyclables</v>
          </cell>
          <cell r="F44">
            <v>0</v>
          </cell>
          <cell r="G44">
            <v>0</v>
          </cell>
          <cell r="H44">
            <v>0</v>
          </cell>
          <cell r="I44">
            <v>0</v>
          </cell>
          <cell r="J44">
            <v>18104.689999999999</v>
          </cell>
          <cell r="K44">
            <v>0</v>
          </cell>
          <cell r="L44">
            <v>13271.71</v>
          </cell>
          <cell r="M44">
            <v>0</v>
          </cell>
          <cell r="N44">
            <v>24567.9</v>
          </cell>
          <cell r="O44">
            <v>0</v>
          </cell>
          <cell r="P44">
            <v>31146.06</v>
          </cell>
          <cell r="Q44">
            <v>0</v>
          </cell>
          <cell r="R44">
            <v>22620.720000000001</v>
          </cell>
          <cell r="S44">
            <v>0</v>
          </cell>
          <cell r="T44">
            <v>22157.599999999999</v>
          </cell>
          <cell r="U44">
            <v>0</v>
          </cell>
          <cell r="V44">
            <v>17392.009999999998</v>
          </cell>
          <cell r="W44">
            <v>0</v>
          </cell>
          <cell r="X44">
            <v>23124.1</v>
          </cell>
          <cell r="Y44">
            <v>0</v>
          </cell>
          <cell r="Z44">
            <v>20864.34</v>
          </cell>
          <cell r="AA44">
            <v>0</v>
          </cell>
          <cell r="AB44">
            <v>27186.13</v>
          </cell>
          <cell r="AC44">
            <v>0</v>
          </cell>
          <cell r="AD44">
            <v>22984.5</v>
          </cell>
          <cell r="AE44">
            <v>0</v>
          </cell>
          <cell r="AF44">
            <v>16450.47</v>
          </cell>
          <cell r="AG44">
            <v>0</v>
          </cell>
          <cell r="AH44">
            <v>259870.22999999998</v>
          </cell>
        </row>
        <row r="45">
          <cell r="D45">
            <v>35518</v>
          </cell>
          <cell r="E45" t="str">
            <v>Proceeds - Commingled</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D46">
            <v>35527</v>
          </cell>
          <cell r="E46" t="str">
            <v>Support - Other Recyclables</v>
          </cell>
          <cell r="F46">
            <v>0</v>
          </cell>
          <cell r="G46">
            <v>0</v>
          </cell>
          <cell r="H46">
            <v>0</v>
          </cell>
          <cell r="I46">
            <v>0</v>
          </cell>
          <cell r="J46">
            <v>-22389.56</v>
          </cell>
          <cell r="K46">
            <v>0</v>
          </cell>
          <cell r="L46">
            <v>-18150.96</v>
          </cell>
          <cell r="M46">
            <v>0</v>
          </cell>
          <cell r="N46">
            <v>-13488.04</v>
          </cell>
          <cell r="O46">
            <v>0</v>
          </cell>
          <cell r="P46">
            <v>-26231.07</v>
          </cell>
          <cell r="Q46">
            <v>0</v>
          </cell>
          <cell r="R46">
            <v>-19488.849999999999</v>
          </cell>
          <cell r="S46">
            <v>0</v>
          </cell>
          <cell r="T46">
            <v>-15784.4</v>
          </cell>
          <cell r="U46">
            <v>0</v>
          </cell>
          <cell r="V46">
            <v>-13858.15</v>
          </cell>
          <cell r="W46">
            <v>0</v>
          </cell>
          <cell r="X46">
            <v>-18878.150000000001</v>
          </cell>
          <cell r="Y46">
            <v>0</v>
          </cell>
          <cell r="Z46">
            <v>-16504.2</v>
          </cell>
          <cell r="AA46">
            <v>0</v>
          </cell>
          <cell r="AB46">
            <v>-21621.34</v>
          </cell>
          <cell r="AC46">
            <v>0</v>
          </cell>
          <cell r="AD46">
            <v>-18205.310000000001</v>
          </cell>
          <cell r="AE46">
            <v>0</v>
          </cell>
          <cell r="AF46">
            <v>-13079.36</v>
          </cell>
          <cell r="AG46">
            <v>0</v>
          </cell>
          <cell r="AH46">
            <v>-217679.39</v>
          </cell>
        </row>
        <row r="47">
          <cell r="D47">
            <v>35564</v>
          </cell>
          <cell r="E47" t="str">
            <v>Proceeds - Mixed Rigid Plastics</v>
          </cell>
          <cell r="F47">
            <v>0</v>
          </cell>
          <cell r="G47">
            <v>0</v>
          </cell>
          <cell r="H47">
            <v>0</v>
          </cell>
          <cell r="I47">
            <v>0</v>
          </cell>
          <cell r="J47">
            <v>0</v>
          </cell>
          <cell r="K47">
            <v>0</v>
          </cell>
          <cell r="L47">
            <v>0</v>
          </cell>
          <cell r="M47">
            <v>0</v>
          </cell>
          <cell r="N47">
            <v>0</v>
          </cell>
          <cell r="O47">
            <v>0</v>
          </cell>
          <cell r="P47">
            <v>68</v>
          </cell>
          <cell r="Q47">
            <v>0</v>
          </cell>
          <cell r="R47">
            <v>0</v>
          </cell>
          <cell r="S47">
            <v>0</v>
          </cell>
          <cell r="T47">
            <v>0</v>
          </cell>
          <cell r="U47">
            <v>0</v>
          </cell>
          <cell r="V47">
            <v>37.700000000000003</v>
          </cell>
          <cell r="W47">
            <v>0</v>
          </cell>
          <cell r="X47">
            <v>139.30000000000001</v>
          </cell>
          <cell r="Y47">
            <v>0</v>
          </cell>
          <cell r="Z47">
            <v>0</v>
          </cell>
          <cell r="AA47">
            <v>0</v>
          </cell>
          <cell r="AB47">
            <v>0</v>
          </cell>
          <cell r="AC47">
            <v>0</v>
          </cell>
          <cell r="AD47">
            <v>0</v>
          </cell>
          <cell r="AE47">
            <v>0</v>
          </cell>
          <cell r="AF47">
            <v>0</v>
          </cell>
          <cell r="AG47">
            <v>0</v>
          </cell>
          <cell r="AH47">
            <v>245</v>
          </cell>
        </row>
        <row r="48">
          <cell r="D48">
            <v>0</v>
          </cell>
          <cell r="E48">
            <v>0</v>
          </cell>
          <cell r="F48">
            <v>0</v>
          </cell>
          <cell r="G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F49" t="str">
            <v>Recycling Proceeds</v>
          </cell>
          <cell r="J49">
            <v>3984.4699999999975</v>
          </cell>
          <cell r="K49">
            <v>0</v>
          </cell>
          <cell r="L49">
            <v>8611.369999999999</v>
          </cell>
          <cell r="M49">
            <v>0</v>
          </cell>
          <cell r="N49">
            <v>247.7400000000016</v>
          </cell>
          <cell r="O49">
            <v>0</v>
          </cell>
          <cell r="P49">
            <v>5831.1400000000031</v>
          </cell>
          <cell r="Q49">
            <v>0</v>
          </cell>
          <cell r="R49">
            <v>3594.5900000000038</v>
          </cell>
          <cell r="S49">
            <v>0</v>
          </cell>
          <cell r="T49">
            <v>6609.4400000000005</v>
          </cell>
          <cell r="U49">
            <v>0</v>
          </cell>
          <cell r="V49">
            <v>3912.2399999999989</v>
          </cell>
          <cell r="W49">
            <v>0</v>
          </cell>
          <cell r="X49">
            <v>4834.4099999999971</v>
          </cell>
          <cell r="Y49">
            <v>0</v>
          </cell>
          <cell r="Z49">
            <v>5123.489999999998</v>
          </cell>
          <cell r="AA49">
            <v>0</v>
          </cell>
          <cell r="AB49">
            <v>6208.9500000000007</v>
          </cell>
          <cell r="AC49">
            <v>0</v>
          </cell>
          <cell r="AD49">
            <v>5179.8099999999977</v>
          </cell>
          <cell r="AE49">
            <v>0</v>
          </cell>
          <cell r="AF49">
            <v>3557.6500000000015</v>
          </cell>
          <cell r="AG49">
            <v>0</v>
          </cell>
          <cell r="AH49">
            <v>57695.299999999988</v>
          </cell>
        </row>
        <row r="50">
          <cell r="D50">
            <v>0</v>
          </cell>
          <cell r="E50">
            <v>0</v>
          </cell>
          <cell r="F50">
            <v>0</v>
          </cell>
          <cell r="G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row>
        <row r="51">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D53">
            <v>0</v>
          </cell>
          <cell r="E53">
            <v>0</v>
          </cell>
          <cell r="F53">
            <v>0</v>
          </cell>
          <cell r="G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F54" t="str">
            <v>Landfill Revenue</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row>
        <row r="56">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row>
        <row r="57">
          <cell r="D57">
            <v>0</v>
          </cell>
          <cell r="E57">
            <v>0</v>
          </cell>
          <cell r="F57">
            <v>0</v>
          </cell>
          <cell r="G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F58" t="str">
            <v>Intermodal</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D61">
            <v>38000</v>
          </cell>
          <cell r="E61" t="str">
            <v>Other Revenue</v>
          </cell>
          <cell r="F61">
            <v>0</v>
          </cell>
          <cell r="G61">
            <v>0</v>
          </cell>
          <cell r="H61">
            <v>0</v>
          </cell>
          <cell r="I61">
            <v>0</v>
          </cell>
          <cell r="J61">
            <v>3127.64</v>
          </cell>
          <cell r="K61">
            <v>0</v>
          </cell>
          <cell r="L61">
            <v>6218.44</v>
          </cell>
          <cell r="M61">
            <v>0</v>
          </cell>
          <cell r="N61">
            <v>4994.75</v>
          </cell>
          <cell r="O61">
            <v>0</v>
          </cell>
          <cell r="P61">
            <v>5506.57</v>
          </cell>
          <cell r="Q61">
            <v>0</v>
          </cell>
          <cell r="R61">
            <v>6261.76</v>
          </cell>
          <cell r="S61">
            <v>0</v>
          </cell>
          <cell r="T61">
            <v>5018.9399999999996</v>
          </cell>
          <cell r="U61">
            <v>0</v>
          </cell>
          <cell r="V61">
            <v>5705.99</v>
          </cell>
          <cell r="W61">
            <v>0</v>
          </cell>
          <cell r="X61">
            <v>6203.38</v>
          </cell>
          <cell r="Y61">
            <v>0</v>
          </cell>
          <cell r="Z61">
            <v>5485.29</v>
          </cell>
          <cell r="AA61">
            <v>0</v>
          </cell>
          <cell r="AB61">
            <v>5049.8100000000004</v>
          </cell>
          <cell r="AC61">
            <v>0</v>
          </cell>
          <cell r="AD61">
            <v>5485.89</v>
          </cell>
          <cell r="AE61">
            <v>0</v>
          </cell>
          <cell r="AF61">
            <v>691.42</v>
          </cell>
          <cell r="AG61">
            <v>0</v>
          </cell>
          <cell r="AH61">
            <v>59749.880000000005</v>
          </cell>
        </row>
        <row r="62">
          <cell r="D62">
            <v>38001</v>
          </cell>
          <cell r="E62" t="str">
            <v>P-Card Rebate Revenue</v>
          </cell>
          <cell r="F62">
            <v>0</v>
          </cell>
          <cell r="G62">
            <v>0</v>
          </cell>
          <cell r="H62">
            <v>0</v>
          </cell>
          <cell r="I62">
            <v>0</v>
          </cell>
          <cell r="J62">
            <v>2640.45</v>
          </cell>
          <cell r="K62">
            <v>0</v>
          </cell>
          <cell r="L62">
            <v>2308.16</v>
          </cell>
          <cell r="M62">
            <v>0</v>
          </cell>
          <cell r="N62">
            <v>2556.79</v>
          </cell>
          <cell r="O62">
            <v>0</v>
          </cell>
          <cell r="P62">
            <v>2170.14</v>
          </cell>
          <cell r="Q62">
            <v>0</v>
          </cell>
          <cell r="R62">
            <v>3058.69</v>
          </cell>
          <cell r="S62">
            <v>0</v>
          </cell>
          <cell r="T62">
            <v>2721.54</v>
          </cell>
          <cell r="U62">
            <v>0</v>
          </cell>
          <cell r="V62">
            <v>2871.25</v>
          </cell>
          <cell r="W62">
            <v>0</v>
          </cell>
          <cell r="X62">
            <v>2716.16</v>
          </cell>
          <cell r="Y62">
            <v>0</v>
          </cell>
          <cell r="Z62">
            <v>3137.36</v>
          </cell>
          <cell r="AA62">
            <v>0</v>
          </cell>
          <cell r="AB62">
            <v>2870.91</v>
          </cell>
          <cell r="AC62">
            <v>0</v>
          </cell>
          <cell r="AD62">
            <v>3953.85</v>
          </cell>
          <cell r="AE62">
            <v>0</v>
          </cell>
          <cell r="AF62">
            <v>3335.87</v>
          </cell>
          <cell r="AG62">
            <v>0</v>
          </cell>
          <cell r="AH62">
            <v>34341.17</v>
          </cell>
        </row>
        <row r="63">
          <cell r="D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F64" t="str">
            <v>Other Revenue</v>
          </cell>
          <cell r="J64">
            <v>5768.09</v>
          </cell>
          <cell r="K64">
            <v>0</v>
          </cell>
          <cell r="L64">
            <v>8526.5999999999985</v>
          </cell>
          <cell r="M64">
            <v>0</v>
          </cell>
          <cell r="N64">
            <v>7551.54</v>
          </cell>
          <cell r="O64">
            <v>0</v>
          </cell>
          <cell r="P64">
            <v>7676.7099999999991</v>
          </cell>
          <cell r="Q64">
            <v>0</v>
          </cell>
          <cell r="R64">
            <v>9320.4500000000007</v>
          </cell>
          <cell r="S64">
            <v>0</v>
          </cell>
          <cell r="T64">
            <v>7740.48</v>
          </cell>
          <cell r="U64">
            <v>0</v>
          </cell>
          <cell r="V64">
            <v>8577.24</v>
          </cell>
          <cell r="W64">
            <v>0</v>
          </cell>
          <cell r="X64">
            <v>8919.5400000000009</v>
          </cell>
          <cell r="Y64">
            <v>0</v>
          </cell>
          <cell r="Z64">
            <v>8622.65</v>
          </cell>
          <cell r="AA64">
            <v>0</v>
          </cell>
          <cell r="AB64">
            <v>7920.72</v>
          </cell>
          <cell r="AC64">
            <v>0</v>
          </cell>
          <cell r="AD64">
            <v>9439.74</v>
          </cell>
          <cell r="AE64">
            <v>0</v>
          </cell>
          <cell r="AF64">
            <v>4027.29</v>
          </cell>
          <cell r="AG64">
            <v>0</v>
          </cell>
          <cell r="AH64">
            <v>94091.05</v>
          </cell>
        </row>
        <row r="65">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E66" t="str">
            <v>Revenue</v>
          </cell>
          <cell r="J66">
            <v>4959964.1399999997</v>
          </cell>
          <cell r="K66">
            <v>0</v>
          </cell>
          <cell r="L66">
            <v>5097348.9600000009</v>
          </cell>
          <cell r="M66">
            <v>0</v>
          </cell>
          <cell r="N66">
            <v>4864007.4700000007</v>
          </cell>
          <cell r="O66">
            <v>0</v>
          </cell>
          <cell r="P66">
            <v>5230269.97</v>
          </cell>
          <cell r="Q66">
            <v>0</v>
          </cell>
          <cell r="R66">
            <v>5307844.8500000006</v>
          </cell>
          <cell r="S66">
            <v>0</v>
          </cell>
          <cell r="T66">
            <v>5332251.45</v>
          </cell>
          <cell r="U66">
            <v>0</v>
          </cell>
          <cell r="V66">
            <v>5282303.580000001</v>
          </cell>
          <cell r="W66">
            <v>0</v>
          </cell>
          <cell r="X66">
            <v>5282467.2500000009</v>
          </cell>
          <cell r="Y66">
            <v>0</v>
          </cell>
          <cell r="Z66">
            <v>5344433.0799999991</v>
          </cell>
          <cell r="AA66">
            <v>0</v>
          </cell>
          <cell r="AB66">
            <v>5504866.6000000006</v>
          </cell>
          <cell r="AC66">
            <v>0</v>
          </cell>
          <cell r="AD66">
            <v>5227504.5899999989</v>
          </cell>
          <cell r="AE66">
            <v>0</v>
          </cell>
          <cell r="AF66">
            <v>5247141.8899999997</v>
          </cell>
          <cell r="AG66">
            <v>0</v>
          </cell>
          <cell r="AH66">
            <v>62680403.830000006</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D69">
            <v>40109</v>
          </cell>
          <cell r="E69" t="str">
            <v>Disposal Landfill Intercompany</v>
          </cell>
          <cell r="F69">
            <v>0</v>
          </cell>
          <cell r="G69">
            <v>0</v>
          </cell>
          <cell r="H69">
            <v>0</v>
          </cell>
          <cell r="I69">
            <v>0</v>
          </cell>
          <cell r="J69">
            <v>1955925.32</v>
          </cell>
          <cell r="K69">
            <v>0</v>
          </cell>
          <cell r="L69">
            <v>2175151.14</v>
          </cell>
          <cell r="M69">
            <v>0</v>
          </cell>
          <cell r="N69">
            <v>1740532.56</v>
          </cell>
          <cell r="O69">
            <v>0</v>
          </cell>
          <cell r="P69">
            <v>2079971.27</v>
          </cell>
          <cell r="Q69">
            <v>0</v>
          </cell>
          <cell r="R69">
            <v>2261468.7000000002</v>
          </cell>
          <cell r="S69">
            <v>0</v>
          </cell>
          <cell r="T69">
            <v>2373469.54</v>
          </cell>
          <cell r="U69">
            <v>0</v>
          </cell>
          <cell r="V69">
            <v>2094146.5</v>
          </cell>
          <cell r="W69">
            <v>0</v>
          </cell>
          <cell r="X69">
            <v>2327464.88</v>
          </cell>
          <cell r="Y69">
            <v>0</v>
          </cell>
          <cell r="Z69">
            <v>2258512.56</v>
          </cell>
          <cell r="AA69">
            <v>0</v>
          </cell>
          <cell r="AB69">
            <v>2290593.0099999998</v>
          </cell>
          <cell r="AC69">
            <v>0</v>
          </cell>
          <cell r="AD69">
            <v>2203418.65</v>
          </cell>
          <cell r="AE69">
            <v>0</v>
          </cell>
          <cell r="AF69">
            <v>2094193.2</v>
          </cell>
          <cell r="AG69">
            <v>0</v>
          </cell>
          <cell r="AH69">
            <v>25854847.329999998</v>
          </cell>
        </row>
        <row r="70">
          <cell r="D70">
            <v>40122</v>
          </cell>
          <cell r="E70" t="str">
            <v>Disposal Other</v>
          </cell>
          <cell r="F70">
            <v>0</v>
          </cell>
          <cell r="G70">
            <v>0</v>
          </cell>
          <cell r="H70">
            <v>0</v>
          </cell>
          <cell r="I70">
            <v>0</v>
          </cell>
          <cell r="J70">
            <v>1033.06</v>
          </cell>
          <cell r="K70">
            <v>0</v>
          </cell>
          <cell r="L70">
            <v>1882.2</v>
          </cell>
          <cell r="M70">
            <v>0</v>
          </cell>
          <cell r="N70">
            <v>1079.51</v>
          </cell>
          <cell r="O70">
            <v>0</v>
          </cell>
          <cell r="P70">
            <v>215.1</v>
          </cell>
          <cell r="Q70">
            <v>0</v>
          </cell>
          <cell r="R70">
            <v>1267.99</v>
          </cell>
          <cell r="S70">
            <v>0</v>
          </cell>
          <cell r="T70">
            <v>967.58</v>
          </cell>
          <cell r="U70">
            <v>0</v>
          </cell>
          <cell r="V70">
            <v>9556.18</v>
          </cell>
          <cell r="W70">
            <v>0</v>
          </cell>
          <cell r="X70">
            <v>6759</v>
          </cell>
          <cell r="Y70">
            <v>0</v>
          </cell>
          <cell r="Z70">
            <v>1048.2</v>
          </cell>
          <cell r="AA70">
            <v>0</v>
          </cell>
          <cell r="AB70">
            <v>1954.86</v>
          </cell>
          <cell r="AC70">
            <v>0</v>
          </cell>
          <cell r="AD70">
            <v>3804.63</v>
          </cell>
          <cell r="AE70">
            <v>0</v>
          </cell>
          <cell r="AF70">
            <v>4346.55</v>
          </cell>
          <cell r="AG70">
            <v>0</v>
          </cell>
          <cell r="AH70">
            <v>33914.86</v>
          </cell>
        </row>
        <row r="71">
          <cell r="D71">
            <v>0</v>
          </cell>
          <cell r="E71">
            <v>0</v>
          </cell>
          <cell r="F71">
            <v>0</v>
          </cell>
          <cell r="G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F72" t="str">
            <v>Disposal</v>
          </cell>
          <cell r="J72">
            <v>1956958.3800000001</v>
          </cell>
          <cell r="K72">
            <v>0</v>
          </cell>
          <cell r="L72">
            <v>2177033.3400000003</v>
          </cell>
          <cell r="M72">
            <v>0</v>
          </cell>
          <cell r="N72">
            <v>1741612.07</v>
          </cell>
          <cell r="O72">
            <v>0</v>
          </cell>
          <cell r="P72">
            <v>2080186.37</v>
          </cell>
          <cell r="Q72">
            <v>0</v>
          </cell>
          <cell r="R72">
            <v>2262736.6900000004</v>
          </cell>
          <cell r="S72">
            <v>0</v>
          </cell>
          <cell r="T72">
            <v>2374437.12</v>
          </cell>
          <cell r="U72">
            <v>0</v>
          </cell>
          <cell r="V72">
            <v>2103702.6800000002</v>
          </cell>
          <cell r="W72">
            <v>0</v>
          </cell>
          <cell r="X72">
            <v>2334223.88</v>
          </cell>
          <cell r="Y72">
            <v>0</v>
          </cell>
          <cell r="Z72">
            <v>2259560.7600000002</v>
          </cell>
          <cell r="AA72">
            <v>0</v>
          </cell>
          <cell r="AB72">
            <v>2292547.8699999996</v>
          </cell>
          <cell r="AC72">
            <v>0</v>
          </cell>
          <cell r="AD72">
            <v>2207223.2799999998</v>
          </cell>
          <cell r="AE72">
            <v>0</v>
          </cell>
          <cell r="AF72">
            <v>2098539.75</v>
          </cell>
          <cell r="AG72">
            <v>0</v>
          </cell>
          <cell r="AH72">
            <v>25888762.189999998</v>
          </cell>
        </row>
        <row r="73">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D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F76" t="str">
            <v>MRF Processing</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D79">
            <v>41121</v>
          </cell>
          <cell r="E79" t="str">
            <v>Brokerage Cost</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226.69</v>
          </cell>
          <cell r="Y79">
            <v>0</v>
          </cell>
          <cell r="Z79">
            <v>0</v>
          </cell>
          <cell r="AA79">
            <v>0</v>
          </cell>
          <cell r="AB79">
            <v>0</v>
          </cell>
          <cell r="AC79">
            <v>0</v>
          </cell>
          <cell r="AD79">
            <v>0</v>
          </cell>
          <cell r="AE79">
            <v>0</v>
          </cell>
          <cell r="AF79">
            <v>0</v>
          </cell>
          <cell r="AG79">
            <v>0</v>
          </cell>
          <cell r="AH79">
            <v>226.69</v>
          </cell>
        </row>
        <row r="80">
          <cell r="D80">
            <v>41129</v>
          </cell>
          <cell r="E80" t="str">
            <v>Brokerage Cost Intercompany</v>
          </cell>
          <cell r="F80">
            <v>0</v>
          </cell>
          <cell r="G80">
            <v>0</v>
          </cell>
          <cell r="H80">
            <v>0</v>
          </cell>
          <cell r="I80">
            <v>0</v>
          </cell>
          <cell r="J80">
            <v>14034.38</v>
          </cell>
          <cell r="K80">
            <v>0</v>
          </cell>
          <cell r="L80">
            <v>12796.88</v>
          </cell>
          <cell r="M80">
            <v>0</v>
          </cell>
          <cell r="N80">
            <v>10968.76</v>
          </cell>
          <cell r="O80">
            <v>0</v>
          </cell>
          <cell r="P80">
            <v>15918.76</v>
          </cell>
          <cell r="Q80">
            <v>0</v>
          </cell>
          <cell r="R80">
            <v>22513.51</v>
          </cell>
          <cell r="S80">
            <v>0</v>
          </cell>
          <cell r="T80">
            <v>32878.129999999997</v>
          </cell>
          <cell r="U80">
            <v>0</v>
          </cell>
          <cell r="V80">
            <v>20700.02</v>
          </cell>
          <cell r="W80">
            <v>0</v>
          </cell>
          <cell r="X80">
            <v>23343.759999999998</v>
          </cell>
          <cell r="Y80">
            <v>0</v>
          </cell>
          <cell r="Z80">
            <v>27759.39</v>
          </cell>
          <cell r="AA80">
            <v>0</v>
          </cell>
          <cell r="AB80">
            <v>45590.64</v>
          </cell>
          <cell r="AC80">
            <v>0</v>
          </cell>
          <cell r="AD80">
            <v>2221.88</v>
          </cell>
          <cell r="AE80">
            <v>0</v>
          </cell>
          <cell r="AF80">
            <v>28546.880000000001</v>
          </cell>
          <cell r="AG80">
            <v>0</v>
          </cell>
          <cell r="AH80">
            <v>257272.99000000002</v>
          </cell>
        </row>
        <row r="81">
          <cell r="D81">
            <v>41201</v>
          </cell>
          <cell r="E81" t="str">
            <v>Rebates and Revenue Sharing</v>
          </cell>
          <cell r="F81">
            <v>0</v>
          </cell>
          <cell r="G81">
            <v>0</v>
          </cell>
          <cell r="H81">
            <v>0</v>
          </cell>
          <cell r="I81">
            <v>0</v>
          </cell>
          <cell r="J81">
            <v>58886.18</v>
          </cell>
          <cell r="K81">
            <v>0</v>
          </cell>
          <cell r="L81">
            <v>62916.94</v>
          </cell>
          <cell r="M81">
            <v>0</v>
          </cell>
          <cell r="N81">
            <v>56265.16</v>
          </cell>
          <cell r="O81">
            <v>0</v>
          </cell>
          <cell r="P81">
            <v>62361.7</v>
          </cell>
          <cell r="Q81">
            <v>0</v>
          </cell>
          <cell r="R81">
            <v>63586.47</v>
          </cell>
          <cell r="S81">
            <v>0</v>
          </cell>
          <cell r="T81">
            <v>63478.19</v>
          </cell>
          <cell r="U81">
            <v>0</v>
          </cell>
          <cell r="V81">
            <v>62283.98</v>
          </cell>
          <cell r="W81">
            <v>0</v>
          </cell>
          <cell r="X81">
            <v>62049.95</v>
          </cell>
          <cell r="Y81">
            <v>0</v>
          </cell>
          <cell r="Z81">
            <v>62964.26</v>
          </cell>
          <cell r="AA81">
            <v>0</v>
          </cell>
          <cell r="AB81">
            <v>62687.31</v>
          </cell>
          <cell r="AC81">
            <v>0</v>
          </cell>
          <cell r="AD81">
            <v>63666.82</v>
          </cell>
          <cell r="AE81">
            <v>0</v>
          </cell>
          <cell r="AF81">
            <v>61843.85</v>
          </cell>
          <cell r="AG81">
            <v>0</v>
          </cell>
          <cell r="AH81">
            <v>742990.80999999994</v>
          </cell>
        </row>
        <row r="82">
          <cell r="D82">
            <v>43001</v>
          </cell>
          <cell r="E82" t="str">
            <v>Taxes and Pass Thru Fees</v>
          </cell>
          <cell r="F82">
            <v>0</v>
          </cell>
          <cell r="G82">
            <v>0</v>
          </cell>
          <cell r="H82">
            <v>0</v>
          </cell>
          <cell r="I82">
            <v>0</v>
          </cell>
          <cell r="J82">
            <v>82549.83</v>
          </cell>
          <cell r="K82">
            <v>0</v>
          </cell>
          <cell r="L82">
            <v>78495.83</v>
          </cell>
          <cell r="M82">
            <v>0</v>
          </cell>
          <cell r="N82">
            <v>76696.31</v>
          </cell>
          <cell r="O82">
            <v>0</v>
          </cell>
          <cell r="P82">
            <v>87787.24</v>
          </cell>
          <cell r="Q82">
            <v>0</v>
          </cell>
          <cell r="R82">
            <v>86676.63</v>
          </cell>
          <cell r="S82">
            <v>0</v>
          </cell>
          <cell r="T82">
            <v>83553.070000000007</v>
          </cell>
          <cell r="U82">
            <v>0</v>
          </cell>
          <cell r="V82">
            <v>88315.24</v>
          </cell>
          <cell r="W82">
            <v>0</v>
          </cell>
          <cell r="X82">
            <v>82084.850000000006</v>
          </cell>
          <cell r="Y82">
            <v>0</v>
          </cell>
          <cell r="Z82">
            <v>83598.94</v>
          </cell>
          <cell r="AA82">
            <v>0</v>
          </cell>
          <cell r="AB82">
            <v>83169.22</v>
          </cell>
          <cell r="AC82">
            <v>0</v>
          </cell>
          <cell r="AD82">
            <v>83153.350000000006</v>
          </cell>
          <cell r="AE82">
            <v>0</v>
          </cell>
          <cell r="AF82">
            <v>81767.11</v>
          </cell>
          <cell r="AG82">
            <v>0</v>
          </cell>
          <cell r="AH82">
            <v>997847.61999999988</v>
          </cell>
        </row>
        <row r="83">
          <cell r="D83">
            <v>43002</v>
          </cell>
          <cell r="E83" t="str">
            <v>WUTC Taxes</v>
          </cell>
          <cell r="F83">
            <v>0</v>
          </cell>
          <cell r="G83">
            <v>0</v>
          </cell>
          <cell r="H83">
            <v>0</v>
          </cell>
          <cell r="I83">
            <v>0</v>
          </cell>
          <cell r="J83">
            <v>20993.89</v>
          </cell>
          <cell r="K83">
            <v>0</v>
          </cell>
          <cell r="L83">
            <v>17417.72</v>
          </cell>
          <cell r="M83">
            <v>0</v>
          </cell>
          <cell r="N83">
            <v>16809.169999999998</v>
          </cell>
          <cell r="O83">
            <v>0</v>
          </cell>
          <cell r="P83">
            <v>17299.87</v>
          </cell>
          <cell r="Q83">
            <v>0</v>
          </cell>
          <cell r="R83">
            <v>17486.96</v>
          </cell>
          <cell r="S83">
            <v>0</v>
          </cell>
          <cell r="T83">
            <v>18078.28</v>
          </cell>
          <cell r="U83">
            <v>0</v>
          </cell>
          <cell r="V83">
            <v>17995.54</v>
          </cell>
          <cell r="W83">
            <v>0</v>
          </cell>
          <cell r="X83">
            <v>15885.14</v>
          </cell>
          <cell r="Y83">
            <v>0</v>
          </cell>
          <cell r="Z83">
            <v>14662</v>
          </cell>
          <cell r="AA83">
            <v>0</v>
          </cell>
          <cell r="AB83">
            <v>18290.439999999999</v>
          </cell>
          <cell r="AC83">
            <v>0</v>
          </cell>
          <cell r="AD83">
            <v>16768.48</v>
          </cell>
          <cell r="AE83">
            <v>0</v>
          </cell>
          <cell r="AF83">
            <v>16926.439999999999</v>
          </cell>
          <cell r="AG83">
            <v>0</v>
          </cell>
          <cell r="AH83">
            <v>208613.93</v>
          </cell>
        </row>
        <row r="84">
          <cell r="D84">
            <v>0</v>
          </cell>
          <cell r="E84">
            <v>0</v>
          </cell>
          <cell r="F84">
            <v>0</v>
          </cell>
          <cell r="G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5">
          <cell r="F85" t="str">
            <v>Brok. and Taxes</v>
          </cell>
          <cell r="G85">
            <v>0</v>
          </cell>
          <cell r="H85">
            <v>0</v>
          </cell>
          <cell r="I85">
            <v>0</v>
          </cell>
          <cell r="J85">
            <v>176464.28000000003</v>
          </cell>
          <cell r="K85">
            <v>0</v>
          </cell>
          <cell r="L85">
            <v>171627.37000000002</v>
          </cell>
          <cell r="M85">
            <v>0</v>
          </cell>
          <cell r="N85">
            <v>160739.39999999997</v>
          </cell>
          <cell r="O85">
            <v>0</v>
          </cell>
          <cell r="P85">
            <v>183367.57</v>
          </cell>
          <cell r="Q85">
            <v>0</v>
          </cell>
          <cell r="R85">
            <v>190263.56999999998</v>
          </cell>
          <cell r="S85">
            <v>0</v>
          </cell>
          <cell r="T85">
            <v>197987.67</v>
          </cell>
          <cell r="U85">
            <v>0</v>
          </cell>
          <cell r="V85">
            <v>189294.78</v>
          </cell>
          <cell r="W85">
            <v>0</v>
          </cell>
          <cell r="X85">
            <v>183590.39</v>
          </cell>
          <cell r="Y85">
            <v>0</v>
          </cell>
          <cell r="Z85">
            <v>188984.59</v>
          </cell>
          <cell r="AA85">
            <v>0</v>
          </cell>
          <cell r="AB85">
            <v>209737.61</v>
          </cell>
          <cell r="AC85">
            <v>0</v>
          </cell>
          <cell r="AD85">
            <v>165810.53</v>
          </cell>
          <cell r="AE85">
            <v>0</v>
          </cell>
          <cell r="AF85">
            <v>189084.28</v>
          </cell>
          <cell r="AG85">
            <v>0</v>
          </cell>
          <cell r="AH85">
            <v>2206952.04</v>
          </cell>
        </row>
        <row r="86">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row>
        <row r="87">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D88">
            <v>44161</v>
          </cell>
          <cell r="E88" t="str">
            <v>Cost of Materials - OCC</v>
          </cell>
          <cell r="F88">
            <v>0</v>
          </cell>
          <cell r="G88">
            <v>0</v>
          </cell>
          <cell r="H88">
            <v>0</v>
          </cell>
          <cell r="I88">
            <v>0</v>
          </cell>
          <cell r="J88">
            <v>51.59</v>
          </cell>
          <cell r="K88">
            <v>0</v>
          </cell>
          <cell r="L88">
            <v>19.170000000000002</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70.760000000000005</v>
          </cell>
        </row>
        <row r="89">
          <cell r="D89">
            <v>44168</v>
          </cell>
          <cell r="E89" t="str">
            <v>Cost of Materials - Other Recyclables</v>
          </cell>
          <cell r="F89">
            <v>0</v>
          </cell>
          <cell r="G89">
            <v>0</v>
          </cell>
          <cell r="H89">
            <v>0</v>
          </cell>
          <cell r="I89">
            <v>0</v>
          </cell>
          <cell r="J89">
            <v>51044.73</v>
          </cell>
          <cell r="K89">
            <v>0</v>
          </cell>
          <cell r="L89">
            <v>62009.19</v>
          </cell>
          <cell r="M89">
            <v>0</v>
          </cell>
          <cell r="N89">
            <v>61325.89</v>
          </cell>
          <cell r="O89">
            <v>0</v>
          </cell>
          <cell r="P89">
            <v>63143.59</v>
          </cell>
          <cell r="Q89">
            <v>0</v>
          </cell>
          <cell r="R89">
            <v>76559.44</v>
          </cell>
          <cell r="S89">
            <v>0</v>
          </cell>
          <cell r="T89">
            <v>87608.21</v>
          </cell>
          <cell r="U89">
            <v>0</v>
          </cell>
          <cell r="V89">
            <v>73861.83</v>
          </cell>
          <cell r="W89">
            <v>0</v>
          </cell>
          <cell r="X89">
            <v>80316.05</v>
          </cell>
          <cell r="Y89">
            <v>0</v>
          </cell>
          <cell r="Z89">
            <v>73014.41</v>
          </cell>
          <cell r="AA89">
            <v>0</v>
          </cell>
          <cell r="AB89">
            <v>83528.12</v>
          </cell>
          <cell r="AC89">
            <v>0</v>
          </cell>
          <cell r="AD89">
            <v>96117.79</v>
          </cell>
          <cell r="AE89">
            <v>0</v>
          </cell>
          <cell r="AF89">
            <v>83398.720000000001</v>
          </cell>
          <cell r="AG89">
            <v>0</v>
          </cell>
          <cell r="AH89">
            <v>891927.97</v>
          </cell>
        </row>
        <row r="90">
          <cell r="D90">
            <v>44169</v>
          </cell>
          <cell r="E90" t="str">
            <v>Cost of Materials - Intercompany</v>
          </cell>
          <cell r="F90">
            <v>0</v>
          </cell>
          <cell r="G90">
            <v>0</v>
          </cell>
          <cell r="H90">
            <v>0</v>
          </cell>
          <cell r="I90">
            <v>0</v>
          </cell>
          <cell r="J90">
            <v>824</v>
          </cell>
          <cell r="K90">
            <v>0</v>
          </cell>
          <cell r="L90">
            <v>839.2</v>
          </cell>
          <cell r="M90">
            <v>0</v>
          </cell>
          <cell r="N90">
            <v>0</v>
          </cell>
          <cell r="O90">
            <v>0</v>
          </cell>
          <cell r="P90">
            <v>449.6</v>
          </cell>
          <cell r="Q90">
            <v>0</v>
          </cell>
          <cell r="R90">
            <v>224.8</v>
          </cell>
          <cell r="S90">
            <v>0</v>
          </cell>
          <cell r="T90">
            <v>224.8</v>
          </cell>
          <cell r="U90">
            <v>0</v>
          </cell>
          <cell r="V90">
            <v>1068</v>
          </cell>
          <cell r="W90">
            <v>0</v>
          </cell>
          <cell r="X90">
            <v>224.8</v>
          </cell>
          <cell r="Y90">
            <v>0</v>
          </cell>
          <cell r="Z90">
            <v>224.8</v>
          </cell>
          <cell r="AA90">
            <v>0</v>
          </cell>
          <cell r="AB90">
            <v>224.8</v>
          </cell>
          <cell r="AC90">
            <v>0</v>
          </cell>
          <cell r="AD90">
            <v>329.8</v>
          </cell>
          <cell r="AE90">
            <v>0</v>
          </cell>
          <cell r="AF90">
            <v>197.8</v>
          </cell>
          <cell r="AG90">
            <v>0</v>
          </cell>
          <cell r="AH90">
            <v>4832.4000000000005</v>
          </cell>
        </row>
        <row r="91">
          <cell r="D91">
            <v>0</v>
          </cell>
          <cell r="E91">
            <v>0</v>
          </cell>
          <cell r="F91">
            <v>0</v>
          </cell>
          <cell r="G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2">
          <cell r="F92" t="str">
            <v>Cost of Materials</v>
          </cell>
          <cell r="G92">
            <v>0</v>
          </cell>
          <cell r="H92">
            <v>0</v>
          </cell>
          <cell r="I92">
            <v>0</v>
          </cell>
          <cell r="J92">
            <v>51920.32</v>
          </cell>
          <cell r="K92">
            <v>0</v>
          </cell>
          <cell r="L92">
            <v>62867.56</v>
          </cell>
          <cell r="M92">
            <v>0</v>
          </cell>
          <cell r="N92">
            <v>61325.89</v>
          </cell>
          <cell r="O92">
            <v>0</v>
          </cell>
          <cell r="P92">
            <v>63593.189999999995</v>
          </cell>
          <cell r="Q92">
            <v>0</v>
          </cell>
          <cell r="R92">
            <v>76784.240000000005</v>
          </cell>
          <cell r="S92">
            <v>0</v>
          </cell>
          <cell r="T92">
            <v>87833.010000000009</v>
          </cell>
          <cell r="U92">
            <v>0</v>
          </cell>
          <cell r="V92">
            <v>74929.83</v>
          </cell>
          <cell r="W92">
            <v>0</v>
          </cell>
          <cell r="X92">
            <v>80540.850000000006</v>
          </cell>
          <cell r="Y92">
            <v>0</v>
          </cell>
          <cell r="Z92">
            <v>73239.210000000006</v>
          </cell>
          <cell r="AA92">
            <v>0</v>
          </cell>
          <cell r="AB92">
            <v>83752.92</v>
          </cell>
          <cell r="AC92">
            <v>0</v>
          </cell>
          <cell r="AD92">
            <v>96447.59</v>
          </cell>
          <cell r="AE92">
            <v>0</v>
          </cell>
          <cell r="AF92">
            <v>83596.52</v>
          </cell>
          <cell r="AG92">
            <v>0</v>
          </cell>
          <cell r="AH92">
            <v>896831.13</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D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F96" t="str">
            <v>Other Expense</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E98" t="str">
            <v>Rev Reductions</v>
          </cell>
          <cell r="J98">
            <v>2185342.98</v>
          </cell>
          <cell r="K98">
            <v>0</v>
          </cell>
          <cell r="L98">
            <v>2411528.2700000005</v>
          </cell>
          <cell r="M98">
            <v>0</v>
          </cell>
          <cell r="N98">
            <v>1963677.3599999999</v>
          </cell>
          <cell r="O98">
            <v>0</v>
          </cell>
          <cell r="P98">
            <v>2327147.13</v>
          </cell>
          <cell r="Q98">
            <v>0</v>
          </cell>
          <cell r="R98">
            <v>2529784.5000000005</v>
          </cell>
          <cell r="S98">
            <v>0</v>
          </cell>
          <cell r="T98">
            <v>2660257.7999999998</v>
          </cell>
          <cell r="U98">
            <v>0</v>
          </cell>
          <cell r="V98">
            <v>2367927.29</v>
          </cell>
          <cell r="W98">
            <v>0</v>
          </cell>
          <cell r="X98">
            <v>2598355.12</v>
          </cell>
          <cell r="Y98">
            <v>0</v>
          </cell>
          <cell r="Z98">
            <v>2521784.56</v>
          </cell>
          <cell r="AA98">
            <v>0</v>
          </cell>
          <cell r="AB98">
            <v>2586038.3999999994</v>
          </cell>
          <cell r="AC98">
            <v>0</v>
          </cell>
          <cell r="AD98">
            <v>2469481.3999999994</v>
          </cell>
          <cell r="AE98">
            <v>0</v>
          </cell>
          <cell r="AF98">
            <v>2371220.5499999998</v>
          </cell>
          <cell r="AG98">
            <v>0</v>
          </cell>
          <cell r="AH98">
            <v>28992545.359999996</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E100" t="str">
            <v>Net Revenue</v>
          </cell>
          <cell r="J100">
            <v>2774621.1599999997</v>
          </cell>
          <cell r="K100">
            <v>0</v>
          </cell>
          <cell r="L100">
            <v>2685820.6900000004</v>
          </cell>
          <cell r="M100">
            <v>0</v>
          </cell>
          <cell r="N100">
            <v>2900330.1100000008</v>
          </cell>
          <cell r="O100">
            <v>0</v>
          </cell>
          <cell r="P100">
            <v>2903122.84</v>
          </cell>
          <cell r="Q100">
            <v>0</v>
          </cell>
          <cell r="R100">
            <v>2778060.35</v>
          </cell>
          <cell r="S100">
            <v>0</v>
          </cell>
          <cell r="T100">
            <v>2671993.6500000004</v>
          </cell>
          <cell r="U100">
            <v>0</v>
          </cell>
          <cell r="V100">
            <v>2914376.290000001</v>
          </cell>
          <cell r="W100">
            <v>0</v>
          </cell>
          <cell r="X100">
            <v>2684112.1300000008</v>
          </cell>
          <cell r="Y100">
            <v>0</v>
          </cell>
          <cell r="Z100">
            <v>2822648.5199999991</v>
          </cell>
          <cell r="AA100">
            <v>0</v>
          </cell>
          <cell r="AB100">
            <v>2918828.2000000011</v>
          </cell>
          <cell r="AC100">
            <v>0</v>
          </cell>
          <cell r="AD100">
            <v>2758023.1899999995</v>
          </cell>
          <cell r="AE100">
            <v>0</v>
          </cell>
          <cell r="AF100">
            <v>2875921.34</v>
          </cell>
          <cell r="AG100">
            <v>0</v>
          </cell>
          <cell r="AH100">
            <v>33687858.470000014</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row>
        <row r="103">
          <cell r="D103">
            <v>50020</v>
          </cell>
          <cell r="E103" t="str">
            <v>Wages Regular</v>
          </cell>
          <cell r="F103">
            <v>0</v>
          </cell>
          <cell r="G103">
            <v>0</v>
          </cell>
          <cell r="H103">
            <v>0</v>
          </cell>
          <cell r="I103">
            <v>0</v>
          </cell>
          <cell r="J103">
            <v>352004.27</v>
          </cell>
          <cell r="K103">
            <v>0</v>
          </cell>
          <cell r="L103">
            <v>405863.5</v>
          </cell>
          <cell r="M103">
            <v>0</v>
          </cell>
          <cell r="N103">
            <v>317987.78999999998</v>
          </cell>
          <cell r="O103">
            <v>0</v>
          </cell>
          <cell r="P103">
            <v>363343.55</v>
          </cell>
          <cell r="Q103">
            <v>0</v>
          </cell>
          <cell r="R103">
            <v>380794.6</v>
          </cell>
          <cell r="S103">
            <v>0</v>
          </cell>
          <cell r="T103">
            <v>390055.28</v>
          </cell>
          <cell r="U103">
            <v>0</v>
          </cell>
          <cell r="V103">
            <v>356798.89</v>
          </cell>
          <cell r="W103">
            <v>0</v>
          </cell>
          <cell r="X103">
            <v>413480.08</v>
          </cell>
          <cell r="Y103">
            <v>0</v>
          </cell>
          <cell r="Z103">
            <v>387040.05</v>
          </cell>
          <cell r="AA103">
            <v>0</v>
          </cell>
          <cell r="AB103">
            <v>391630.97</v>
          </cell>
          <cell r="AC103">
            <v>0</v>
          </cell>
          <cell r="AD103">
            <v>421346.61</v>
          </cell>
          <cell r="AE103">
            <v>0</v>
          </cell>
          <cell r="AF103">
            <v>368500.34</v>
          </cell>
          <cell r="AG103">
            <v>0</v>
          </cell>
          <cell r="AH103">
            <v>4548845.93</v>
          </cell>
        </row>
        <row r="104">
          <cell r="D104">
            <v>50025</v>
          </cell>
          <cell r="E104" t="str">
            <v>Wages O.T.</v>
          </cell>
          <cell r="F104">
            <v>0</v>
          </cell>
          <cell r="G104">
            <v>0</v>
          </cell>
          <cell r="H104">
            <v>0</v>
          </cell>
          <cell r="I104">
            <v>0</v>
          </cell>
          <cell r="J104">
            <v>79129.09</v>
          </cell>
          <cell r="K104">
            <v>0</v>
          </cell>
          <cell r="L104">
            <v>92911.4</v>
          </cell>
          <cell r="M104">
            <v>0</v>
          </cell>
          <cell r="N104">
            <v>58164.77</v>
          </cell>
          <cell r="O104">
            <v>0</v>
          </cell>
          <cell r="P104">
            <v>99067.09</v>
          </cell>
          <cell r="Q104">
            <v>0</v>
          </cell>
          <cell r="R104">
            <v>89756.01</v>
          </cell>
          <cell r="S104">
            <v>0</v>
          </cell>
          <cell r="T104">
            <v>131408.41</v>
          </cell>
          <cell r="U104">
            <v>0</v>
          </cell>
          <cell r="V104">
            <v>96260.19</v>
          </cell>
          <cell r="W104">
            <v>0</v>
          </cell>
          <cell r="X104">
            <v>124273.14</v>
          </cell>
          <cell r="Y104">
            <v>0</v>
          </cell>
          <cell r="Z104">
            <v>114335.91</v>
          </cell>
          <cell r="AA104">
            <v>0</v>
          </cell>
          <cell r="AB104">
            <v>124022.41</v>
          </cell>
          <cell r="AC104">
            <v>0</v>
          </cell>
          <cell r="AD104">
            <v>87415.05</v>
          </cell>
          <cell r="AE104">
            <v>0</v>
          </cell>
          <cell r="AF104">
            <v>133399.88</v>
          </cell>
          <cell r="AG104">
            <v>0</v>
          </cell>
          <cell r="AH104">
            <v>1230143.3500000001</v>
          </cell>
        </row>
        <row r="105">
          <cell r="D105">
            <v>50035</v>
          </cell>
          <cell r="E105" t="str">
            <v>Safety Bonuses</v>
          </cell>
          <cell r="F105">
            <v>0</v>
          </cell>
          <cell r="G105">
            <v>0</v>
          </cell>
          <cell r="H105">
            <v>0</v>
          </cell>
          <cell r="I105">
            <v>0</v>
          </cell>
          <cell r="J105">
            <v>-19867.54</v>
          </cell>
          <cell r="K105">
            <v>0</v>
          </cell>
          <cell r="L105">
            <v>15111.91</v>
          </cell>
          <cell r="M105">
            <v>0</v>
          </cell>
          <cell r="N105">
            <v>6125.6</v>
          </cell>
          <cell r="O105">
            <v>0</v>
          </cell>
          <cell r="P105">
            <v>6125.6</v>
          </cell>
          <cell r="Q105">
            <v>0</v>
          </cell>
          <cell r="R105">
            <v>31832.959999999999</v>
          </cell>
          <cell r="S105">
            <v>0</v>
          </cell>
          <cell r="T105">
            <v>12874.63</v>
          </cell>
          <cell r="U105">
            <v>0</v>
          </cell>
          <cell r="V105">
            <v>13436.88</v>
          </cell>
          <cell r="W105">
            <v>0</v>
          </cell>
          <cell r="X105">
            <v>16189.57</v>
          </cell>
          <cell r="Y105">
            <v>0</v>
          </cell>
          <cell r="Z105">
            <v>13244.41</v>
          </cell>
          <cell r="AA105">
            <v>0</v>
          </cell>
          <cell r="AB105">
            <v>13244.41</v>
          </cell>
          <cell r="AC105">
            <v>0</v>
          </cell>
          <cell r="AD105">
            <v>-9899.89</v>
          </cell>
          <cell r="AE105">
            <v>0</v>
          </cell>
          <cell r="AF105">
            <v>6654.17</v>
          </cell>
          <cell r="AG105">
            <v>0</v>
          </cell>
          <cell r="AH105">
            <v>105072.70999999999</v>
          </cell>
        </row>
        <row r="106">
          <cell r="D106">
            <v>50036</v>
          </cell>
          <cell r="E106" t="str">
            <v>Other Bonus/Commission - Non-Safety</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497.52</v>
          </cell>
          <cell r="U106">
            <v>0</v>
          </cell>
          <cell r="V106">
            <v>0</v>
          </cell>
          <cell r="W106">
            <v>0</v>
          </cell>
          <cell r="X106">
            <v>26500</v>
          </cell>
          <cell r="Y106">
            <v>0</v>
          </cell>
          <cell r="Z106">
            <v>0</v>
          </cell>
          <cell r="AA106">
            <v>0</v>
          </cell>
          <cell r="AB106">
            <v>0</v>
          </cell>
          <cell r="AC106">
            <v>0</v>
          </cell>
          <cell r="AD106">
            <v>0</v>
          </cell>
          <cell r="AE106">
            <v>0</v>
          </cell>
          <cell r="AF106">
            <v>0</v>
          </cell>
          <cell r="AG106">
            <v>0</v>
          </cell>
          <cell r="AH106">
            <v>26997.52</v>
          </cell>
        </row>
        <row r="107">
          <cell r="D107">
            <v>50045</v>
          </cell>
          <cell r="E107" t="str">
            <v>Contract Labor</v>
          </cell>
          <cell r="F107">
            <v>0</v>
          </cell>
          <cell r="G107">
            <v>0</v>
          </cell>
          <cell r="H107">
            <v>0</v>
          </cell>
          <cell r="I107">
            <v>0</v>
          </cell>
          <cell r="J107">
            <v>681.03</v>
          </cell>
          <cell r="K107">
            <v>0</v>
          </cell>
          <cell r="L107">
            <v>0</v>
          </cell>
          <cell r="M107">
            <v>0</v>
          </cell>
          <cell r="N107">
            <v>0</v>
          </cell>
          <cell r="O107">
            <v>0</v>
          </cell>
          <cell r="P107">
            <v>0</v>
          </cell>
          <cell r="Q107">
            <v>0</v>
          </cell>
          <cell r="R107">
            <v>148.05000000000001</v>
          </cell>
          <cell r="S107">
            <v>0</v>
          </cell>
          <cell r="T107">
            <v>954.66</v>
          </cell>
          <cell r="U107">
            <v>0</v>
          </cell>
          <cell r="V107">
            <v>4467.12</v>
          </cell>
          <cell r="W107">
            <v>0</v>
          </cell>
          <cell r="X107">
            <v>2384.5500000000002</v>
          </cell>
          <cell r="Y107">
            <v>0</v>
          </cell>
          <cell r="Z107">
            <v>528</v>
          </cell>
          <cell r="AA107">
            <v>0</v>
          </cell>
          <cell r="AB107">
            <v>-174.08</v>
          </cell>
          <cell r="AC107">
            <v>0</v>
          </cell>
          <cell r="AD107">
            <v>143.78</v>
          </cell>
          <cell r="AE107">
            <v>0</v>
          </cell>
          <cell r="AF107">
            <v>0</v>
          </cell>
          <cell r="AG107">
            <v>0</v>
          </cell>
          <cell r="AH107">
            <v>9133.11</v>
          </cell>
        </row>
        <row r="108">
          <cell r="D108">
            <v>50050</v>
          </cell>
          <cell r="E108" t="str">
            <v>Payroll Taxes</v>
          </cell>
          <cell r="F108">
            <v>0</v>
          </cell>
          <cell r="G108">
            <v>0</v>
          </cell>
          <cell r="H108">
            <v>0</v>
          </cell>
          <cell r="I108">
            <v>0</v>
          </cell>
          <cell r="J108">
            <v>35900.379999999997</v>
          </cell>
          <cell r="K108">
            <v>0</v>
          </cell>
          <cell r="L108">
            <v>46087.27</v>
          </cell>
          <cell r="M108">
            <v>0</v>
          </cell>
          <cell r="N108">
            <v>34509.699999999997</v>
          </cell>
          <cell r="O108">
            <v>0</v>
          </cell>
          <cell r="P108">
            <v>40925.18</v>
          </cell>
          <cell r="Q108">
            <v>0</v>
          </cell>
          <cell r="R108">
            <v>45347.519999999997</v>
          </cell>
          <cell r="S108">
            <v>0</v>
          </cell>
          <cell r="T108">
            <v>45571.55</v>
          </cell>
          <cell r="U108">
            <v>0</v>
          </cell>
          <cell r="V108">
            <v>41415.83</v>
          </cell>
          <cell r="W108">
            <v>0</v>
          </cell>
          <cell r="X108">
            <v>51544.45</v>
          </cell>
          <cell r="Y108">
            <v>0</v>
          </cell>
          <cell r="Z108">
            <v>42574.93</v>
          </cell>
          <cell r="AA108">
            <v>0</v>
          </cell>
          <cell r="AB108">
            <v>43302.77</v>
          </cell>
          <cell r="AC108">
            <v>0</v>
          </cell>
          <cell r="AD108">
            <v>40529.730000000003</v>
          </cell>
          <cell r="AE108">
            <v>0</v>
          </cell>
          <cell r="AF108">
            <v>41353.96</v>
          </cell>
          <cell r="AG108">
            <v>0</v>
          </cell>
          <cell r="AH108">
            <v>509063.27</v>
          </cell>
        </row>
        <row r="109">
          <cell r="D109">
            <v>50060</v>
          </cell>
          <cell r="E109" t="str">
            <v>Group Insurance</v>
          </cell>
          <cell r="F109">
            <v>0</v>
          </cell>
          <cell r="G109">
            <v>0</v>
          </cell>
          <cell r="H109">
            <v>0</v>
          </cell>
          <cell r="I109">
            <v>0</v>
          </cell>
          <cell r="J109">
            <v>35015.660000000003</v>
          </cell>
          <cell r="K109">
            <v>0</v>
          </cell>
          <cell r="L109">
            <v>34839.660000000003</v>
          </cell>
          <cell r="M109">
            <v>0</v>
          </cell>
          <cell r="N109">
            <v>39584.75</v>
          </cell>
          <cell r="O109">
            <v>0</v>
          </cell>
          <cell r="P109">
            <v>38526.559999999998</v>
          </cell>
          <cell r="Q109">
            <v>0</v>
          </cell>
          <cell r="R109">
            <v>39336.61</v>
          </cell>
          <cell r="S109">
            <v>0</v>
          </cell>
          <cell r="T109">
            <v>35129.22</v>
          </cell>
          <cell r="U109">
            <v>0</v>
          </cell>
          <cell r="V109">
            <v>37778.03</v>
          </cell>
          <cell r="W109">
            <v>0</v>
          </cell>
          <cell r="X109">
            <v>40633</v>
          </cell>
          <cell r="Y109">
            <v>0</v>
          </cell>
          <cell r="Z109">
            <v>41573.360000000001</v>
          </cell>
          <cell r="AA109">
            <v>0</v>
          </cell>
          <cell r="AB109">
            <v>41161.760000000002</v>
          </cell>
          <cell r="AC109">
            <v>0</v>
          </cell>
          <cell r="AD109">
            <v>38079.21</v>
          </cell>
          <cell r="AE109">
            <v>0</v>
          </cell>
          <cell r="AF109">
            <v>42667.43</v>
          </cell>
          <cell r="AG109">
            <v>0</v>
          </cell>
          <cell r="AH109">
            <v>464325.25</v>
          </cell>
        </row>
        <row r="110">
          <cell r="D110">
            <v>50065</v>
          </cell>
          <cell r="E110" t="str">
            <v>Vacation Pay</v>
          </cell>
          <cell r="F110">
            <v>0</v>
          </cell>
          <cell r="G110">
            <v>0</v>
          </cell>
          <cell r="H110">
            <v>0</v>
          </cell>
          <cell r="I110">
            <v>0</v>
          </cell>
          <cell r="J110">
            <v>28791.81</v>
          </cell>
          <cell r="K110">
            <v>0</v>
          </cell>
          <cell r="L110">
            <v>4332.03</v>
          </cell>
          <cell r="M110">
            <v>0</v>
          </cell>
          <cell r="N110">
            <v>17671.669999999998</v>
          </cell>
          <cell r="O110">
            <v>0</v>
          </cell>
          <cell r="P110">
            <v>22762.58</v>
          </cell>
          <cell r="Q110">
            <v>0</v>
          </cell>
          <cell r="R110">
            <v>43554.18</v>
          </cell>
          <cell r="S110">
            <v>0</v>
          </cell>
          <cell r="T110">
            <v>20341.11</v>
          </cell>
          <cell r="U110">
            <v>0</v>
          </cell>
          <cell r="V110">
            <v>33560.42</v>
          </cell>
          <cell r="W110">
            <v>0</v>
          </cell>
          <cell r="X110">
            <v>22724.81</v>
          </cell>
          <cell r="Y110">
            <v>0</v>
          </cell>
          <cell r="Z110">
            <v>26036.15</v>
          </cell>
          <cell r="AA110">
            <v>0</v>
          </cell>
          <cell r="AB110">
            <v>21487.85</v>
          </cell>
          <cell r="AC110">
            <v>0</v>
          </cell>
          <cell r="AD110">
            <v>24268.74</v>
          </cell>
          <cell r="AE110">
            <v>0</v>
          </cell>
          <cell r="AF110">
            <v>19400.8</v>
          </cell>
          <cell r="AG110">
            <v>0</v>
          </cell>
          <cell r="AH110">
            <v>284932.15000000002</v>
          </cell>
        </row>
        <row r="111">
          <cell r="D111">
            <v>50070</v>
          </cell>
          <cell r="E111" t="str">
            <v>Sick Pay</v>
          </cell>
          <cell r="F111">
            <v>0</v>
          </cell>
          <cell r="G111">
            <v>0</v>
          </cell>
          <cell r="H111">
            <v>0</v>
          </cell>
          <cell r="I111">
            <v>0</v>
          </cell>
          <cell r="J111">
            <v>10581.09</v>
          </cell>
          <cell r="K111">
            <v>0</v>
          </cell>
          <cell r="L111">
            <v>9778.42</v>
          </cell>
          <cell r="M111">
            <v>0</v>
          </cell>
          <cell r="N111">
            <v>26571.45</v>
          </cell>
          <cell r="O111">
            <v>0</v>
          </cell>
          <cell r="P111">
            <v>16786.38</v>
          </cell>
          <cell r="Q111">
            <v>0</v>
          </cell>
          <cell r="R111">
            <v>16736.72</v>
          </cell>
          <cell r="S111">
            <v>0</v>
          </cell>
          <cell r="T111">
            <v>13128.58</v>
          </cell>
          <cell r="U111">
            <v>0</v>
          </cell>
          <cell r="V111">
            <v>14402.92</v>
          </cell>
          <cell r="W111">
            <v>0</v>
          </cell>
          <cell r="X111">
            <v>17020.16</v>
          </cell>
          <cell r="Y111">
            <v>0</v>
          </cell>
          <cell r="Z111">
            <v>6646.22</v>
          </cell>
          <cell r="AA111">
            <v>0</v>
          </cell>
          <cell r="AB111">
            <v>10123.040000000001</v>
          </cell>
          <cell r="AC111">
            <v>0</v>
          </cell>
          <cell r="AD111">
            <v>11216.64</v>
          </cell>
          <cell r="AE111">
            <v>0</v>
          </cell>
          <cell r="AF111">
            <v>12524.7</v>
          </cell>
          <cell r="AG111">
            <v>0</v>
          </cell>
          <cell r="AH111">
            <v>165516.32000000004</v>
          </cell>
        </row>
        <row r="112">
          <cell r="D112">
            <v>50086</v>
          </cell>
          <cell r="E112" t="str">
            <v>Safety and Training</v>
          </cell>
          <cell r="F112">
            <v>0</v>
          </cell>
          <cell r="G112">
            <v>0</v>
          </cell>
          <cell r="H112">
            <v>0</v>
          </cell>
          <cell r="I112">
            <v>0</v>
          </cell>
          <cell r="J112">
            <v>11266.79</v>
          </cell>
          <cell r="K112">
            <v>0</v>
          </cell>
          <cell r="L112">
            <v>20535.86</v>
          </cell>
          <cell r="M112">
            <v>0</v>
          </cell>
          <cell r="N112">
            <v>10551.33</v>
          </cell>
          <cell r="O112">
            <v>0</v>
          </cell>
          <cell r="P112">
            <v>11232.19</v>
          </cell>
          <cell r="Q112">
            <v>0</v>
          </cell>
          <cell r="R112">
            <v>11451.66</v>
          </cell>
          <cell r="S112">
            <v>0</v>
          </cell>
          <cell r="T112">
            <v>8854.5499999999993</v>
          </cell>
          <cell r="U112">
            <v>0</v>
          </cell>
          <cell r="V112">
            <v>13136.03</v>
          </cell>
          <cell r="W112">
            <v>0</v>
          </cell>
          <cell r="X112">
            <v>7365.6</v>
          </cell>
          <cell r="Y112">
            <v>0</v>
          </cell>
          <cell r="Z112">
            <v>17804.78</v>
          </cell>
          <cell r="AA112">
            <v>0</v>
          </cell>
          <cell r="AB112">
            <v>5061.49</v>
          </cell>
          <cell r="AC112">
            <v>0</v>
          </cell>
          <cell r="AD112">
            <v>17855.48</v>
          </cell>
          <cell r="AE112">
            <v>0</v>
          </cell>
          <cell r="AF112">
            <v>23653.08</v>
          </cell>
          <cell r="AG112">
            <v>0</v>
          </cell>
          <cell r="AH112">
            <v>158768.84</v>
          </cell>
        </row>
        <row r="113">
          <cell r="D113">
            <v>50090</v>
          </cell>
          <cell r="E113" t="str">
            <v>Uniforms</v>
          </cell>
          <cell r="F113">
            <v>0</v>
          </cell>
          <cell r="G113">
            <v>0</v>
          </cell>
          <cell r="H113">
            <v>0</v>
          </cell>
          <cell r="I113">
            <v>0</v>
          </cell>
          <cell r="J113">
            <v>6556.24</v>
          </cell>
          <cell r="K113">
            <v>0</v>
          </cell>
          <cell r="L113">
            <v>5343.68</v>
          </cell>
          <cell r="M113">
            <v>0</v>
          </cell>
          <cell r="N113">
            <v>3786.38</v>
          </cell>
          <cell r="O113">
            <v>0</v>
          </cell>
          <cell r="P113">
            <v>5201.8999999999996</v>
          </cell>
          <cell r="Q113">
            <v>0</v>
          </cell>
          <cell r="R113">
            <v>2654.27</v>
          </cell>
          <cell r="S113">
            <v>0</v>
          </cell>
          <cell r="T113">
            <v>4431.42</v>
          </cell>
          <cell r="U113">
            <v>0</v>
          </cell>
          <cell r="V113">
            <v>5808.85</v>
          </cell>
          <cell r="W113">
            <v>0</v>
          </cell>
          <cell r="X113">
            <v>3779.2</v>
          </cell>
          <cell r="Y113">
            <v>0</v>
          </cell>
          <cell r="Z113">
            <v>3760.73</v>
          </cell>
          <cell r="AA113">
            <v>0</v>
          </cell>
          <cell r="AB113">
            <v>4488.5600000000004</v>
          </cell>
          <cell r="AC113">
            <v>0</v>
          </cell>
          <cell r="AD113">
            <v>4167.2</v>
          </cell>
          <cell r="AE113">
            <v>0</v>
          </cell>
          <cell r="AF113">
            <v>7547.65</v>
          </cell>
          <cell r="AG113">
            <v>0</v>
          </cell>
          <cell r="AH113">
            <v>57526.079999999994</v>
          </cell>
        </row>
        <row r="114">
          <cell r="D114">
            <v>50115</v>
          </cell>
          <cell r="E114" t="str">
            <v>Pension and Profit Sharing</v>
          </cell>
          <cell r="F114">
            <v>0</v>
          </cell>
          <cell r="G114">
            <v>0</v>
          </cell>
          <cell r="H114">
            <v>0</v>
          </cell>
          <cell r="I114">
            <v>0</v>
          </cell>
          <cell r="J114">
            <v>1094.1400000000001</v>
          </cell>
          <cell r="K114">
            <v>0</v>
          </cell>
          <cell r="L114">
            <v>46129.5</v>
          </cell>
          <cell r="M114">
            <v>0</v>
          </cell>
          <cell r="N114">
            <v>3656.4</v>
          </cell>
          <cell r="O114">
            <v>0</v>
          </cell>
          <cell r="P114">
            <v>4128.21</v>
          </cell>
          <cell r="Q114">
            <v>0</v>
          </cell>
          <cell r="R114">
            <v>4403.22</v>
          </cell>
          <cell r="S114">
            <v>0</v>
          </cell>
          <cell r="T114">
            <v>5680.28</v>
          </cell>
          <cell r="U114">
            <v>0</v>
          </cell>
          <cell r="V114">
            <v>5405.6</v>
          </cell>
          <cell r="W114">
            <v>0</v>
          </cell>
          <cell r="X114">
            <v>8160.43</v>
          </cell>
          <cell r="Y114">
            <v>0</v>
          </cell>
          <cell r="Z114">
            <v>6194.39</v>
          </cell>
          <cell r="AA114">
            <v>0</v>
          </cell>
          <cell r="AB114">
            <v>6971.95</v>
          </cell>
          <cell r="AC114">
            <v>0</v>
          </cell>
          <cell r="AD114">
            <v>6005.26</v>
          </cell>
          <cell r="AE114">
            <v>0</v>
          </cell>
          <cell r="AF114">
            <v>5481.79</v>
          </cell>
          <cell r="AG114">
            <v>0</v>
          </cell>
          <cell r="AH114">
            <v>103311.17</v>
          </cell>
        </row>
        <row r="115">
          <cell r="D115">
            <v>50116</v>
          </cell>
          <cell r="E115" t="str">
            <v>Union Benefit Expense</v>
          </cell>
          <cell r="F115">
            <v>0</v>
          </cell>
          <cell r="G115">
            <v>0</v>
          </cell>
          <cell r="H115">
            <v>0</v>
          </cell>
          <cell r="I115">
            <v>0</v>
          </cell>
          <cell r="J115">
            <v>59772.85</v>
          </cell>
          <cell r="K115">
            <v>0</v>
          </cell>
          <cell r="L115">
            <v>59678</v>
          </cell>
          <cell r="M115">
            <v>0</v>
          </cell>
          <cell r="N115">
            <v>59772.85</v>
          </cell>
          <cell r="O115">
            <v>0</v>
          </cell>
          <cell r="P115">
            <v>59678</v>
          </cell>
          <cell r="Q115">
            <v>0</v>
          </cell>
          <cell r="R115">
            <v>59678</v>
          </cell>
          <cell r="S115">
            <v>0</v>
          </cell>
          <cell r="T115">
            <v>59678</v>
          </cell>
          <cell r="U115">
            <v>0</v>
          </cell>
          <cell r="V115">
            <v>59678</v>
          </cell>
          <cell r="W115">
            <v>0</v>
          </cell>
          <cell r="X115">
            <v>58579.3</v>
          </cell>
          <cell r="Y115">
            <v>0</v>
          </cell>
          <cell r="Z115">
            <v>59572</v>
          </cell>
          <cell r="AA115">
            <v>0</v>
          </cell>
          <cell r="AB115">
            <v>59761.7</v>
          </cell>
          <cell r="AC115">
            <v>0</v>
          </cell>
          <cell r="AD115">
            <v>59572</v>
          </cell>
          <cell r="AE115">
            <v>0</v>
          </cell>
          <cell r="AF115">
            <v>59666.85</v>
          </cell>
          <cell r="AG115">
            <v>0</v>
          </cell>
          <cell r="AH115">
            <v>715087.54999999993</v>
          </cell>
        </row>
        <row r="116">
          <cell r="D116">
            <v>50117</v>
          </cell>
          <cell r="E116" t="str">
            <v>Union Pension</v>
          </cell>
          <cell r="F116">
            <v>0</v>
          </cell>
          <cell r="G116">
            <v>0</v>
          </cell>
          <cell r="H116">
            <v>0</v>
          </cell>
          <cell r="I116">
            <v>0</v>
          </cell>
          <cell r="J116">
            <v>39155.61</v>
          </cell>
          <cell r="K116">
            <v>0</v>
          </cell>
          <cell r="L116">
            <v>43262.69</v>
          </cell>
          <cell r="M116">
            <v>0</v>
          </cell>
          <cell r="N116">
            <v>37243.949999999997</v>
          </cell>
          <cell r="O116">
            <v>0</v>
          </cell>
          <cell r="P116">
            <v>39512.269999999997</v>
          </cell>
          <cell r="Q116">
            <v>0</v>
          </cell>
          <cell r="R116">
            <v>41420.1</v>
          </cell>
          <cell r="S116">
            <v>0</v>
          </cell>
          <cell r="T116">
            <v>43613.02</v>
          </cell>
          <cell r="U116">
            <v>0</v>
          </cell>
          <cell r="V116">
            <v>37999.01</v>
          </cell>
          <cell r="W116">
            <v>0</v>
          </cell>
          <cell r="X116">
            <v>42462.74</v>
          </cell>
          <cell r="Y116">
            <v>0</v>
          </cell>
          <cell r="Z116">
            <v>40626.660000000003</v>
          </cell>
          <cell r="AA116">
            <v>0</v>
          </cell>
          <cell r="AB116">
            <v>39663.919999999998</v>
          </cell>
          <cell r="AC116">
            <v>0</v>
          </cell>
          <cell r="AD116">
            <v>43786.48</v>
          </cell>
          <cell r="AE116">
            <v>0</v>
          </cell>
          <cell r="AF116">
            <v>38513.01</v>
          </cell>
          <cell r="AG116">
            <v>0</v>
          </cell>
          <cell r="AH116">
            <v>487259.46</v>
          </cell>
        </row>
        <row r="117">
          <cell r="D117">
            <v>0</v>
          </cell>
          <cell r="E117">
            <v>0</v>
          </cell>
          <cell r="F117">
            <v>0</v>
          </cell>
          <cell r="G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row>
        <row r="118">
          <cell r="F118" t="str">
            <v>Labor</v>
          </cell>
          <cell r="J118">
            <v>640081.42000000004</v>
          </cell>
          <cell r="K118">
            <v>0</v>
          </cell>
          <cell r="L118">
            <v>783873.92000000016</v>
          </cell>
          <cell r="M118">
            <v>0</v>
          </cell>
          <cell r="N118">
            <v>615626.64</v>
          </cell>
          <cell r="O118">
            <v>0</v>
          </cell>
          <cell r="P118">
            <v>707289.50999999989</v>
          </cell>
          <cell r="Q118">
            <v>0</v>
          </cell>
          <cell r="R118">
            <v>767113.9</v>
          </cell>
          <cell r="S118">
            <v>0</v>
          </cell>
          <cell r="T118">
            <v>772218.23000000021</v>
          </cell>
          <cell r="U118">
            <v>0</v>
          </cell>
          <cell r="V118">
            <v>720147.77000000014</v>
          </cell>
          <cell r="W118">
            <v>0</v>
          </cell>
          <cell r="X118">
            <v>835097.03</v>
          </cell>
          <cell r="Y118">
            <v>0</v>
          </cell>
          <cell r="Z118">
            <v>759937.59</v>
          </cell>
          <cell r="AA118">
            <v>0</v>
          </cell>
          <cell r="AB118">
            <v>760746.75000000012</v>
          </cell>
          <cell r="AC118">
            <v>0</v>
          </cell>
          <cell r="AD118">
            <v>744486.28999999992</v>
          </cell>
          <cell r="AE118">
            <v>0</v>
          </cell>
          <cell r="AF118">
            <v>759363.66</v>
          </cell>
          <cell r="AG118">
            <v>0</v>
          </cell>
          <cell r="AH118">
            <v>8865982.709999999</v>
          </cell>
        </row>
        <row r="119">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row>
        <row r="120">
          <cell r="D120">
            <v>51295</v>
          </cell>
          <cell r="E120" t="str">
            <v>Licenses</v>
          </cell>
          <cell r="F120">
            <v>0</v>
          </cell>
          <cell r="G120">
            <v>0</v>
          </cell>
          <cell r="H120">
            <v>0</v>
          </cell>
          <cell r="I120">
            <v>0</v>
          </cell>
          <cell r="J120">
            <v>9558.3799999999992</v>
          </cell>
          <cell r="K120">
            <v>0</v>
          </cell>
          <cell r="L120">
            <v>12388.01</v>
          </cell>
          <cell r="M120">
            <v>0</v>
          </cell>
          <cell r="N120">
            <v>9943.18</v>
          </cell>
          <cell r="O120">
            <v>0</v>
          </cell>
          <cell r="P120">
            <v>11679.33</v>
          </cell>
          <cell r="Q120">
            <v>0</v>
          </cell>
          <cell r="R120">
            <v>10462.719999999999</v>
          </cell>
          <cell r="S120">
            <v>0</v>
          </cell>
          <cell r="T120">
            <v>10462.73</v>
          </cell>
          <cell r="U120">
            <v>0</v>
          </cell>
          <cell r="V120">
            <v>10462.73</v>
          </cell>
          <cell r="W120">
            <v>0</v>
          </cell>
          <cell r="X120">
            <v>10432.57</v>
          </cell>
          <cell r="Y120">
            <v>0</v>
          </cell>
          <cell r="Z120">
            <v>10391.07</v>
          </cell>
          <cell r="AA120">
            <v>0</v>
          </cell>
          <cell r="AB120">
            <v>13680.29</v>
          </cell>
          <cell r="AC120">
            <v>0</v>
          </cell>
          <cell r="AD120">
            <v>10368.41</v>
          </cell>
          <cell r="AE120">
            <v>0</v>
          </cell>
          <cell r="AF120">
            <v>21089</v>
          </cell>
          <cell r="AG120">
            <v>0</v>
          </cell>
          <cell r="AH120">
            <v>140918.42000000001</v>
          </cell>
        </row>
        <row r="121">
          <cell r="D121">
            <v>0</v>
          </cell>
          <cell r="E121">
            <v>0</v>
          </cell>
          <cell r="F121">
            <v>0</v>
          </cell>
          <cell r="G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row>
        <row r="122">
          <cell r="F122" t="str">
            <v>Truck Fixed</v>
          </cell>
          <cell r="J122">
            <v>9558.3799999999992</v>
          </cell>
          <cell r="K122">
            <v>0</v>
          </cell>
          <cell r="L122">
            <v>12388.01</v>
          </cell>
          <cell r="M122">
            <v>0</v>
          </cell>
          <cell r="N122">
            <v>9943.18</v>
          </cell>
          <cell r="O122">
            <v>0</v>
          </cell>
          <cell r="P122">
            <v>11679.33</v>
          </cell>
          <cell r="Q122">
            <v>0</v>
          </cell>
          <cell r="R122">
            <v>10462.719999999999</v>
          </cell>
          <cell r="S122">
            <v>0</v>
          </cell>
          <cell r="T122">
            <v>10462.73</v>
          </cell>
          <cell r="U122">
            <v>0</v>
          </cell>
          <cell r="V122">
            <v>10462.73</v>
          </cell>
          <cell r="W122">
            <v>0</v>
          </cell>
          <cell r="X122">
            <v>10432.57</v>
          </cell>
          <cell r="Y122">
            <v>0</v>
          </cell>
          <cell r="Z122">
            <v>10391.07</v>
          </cell>
          <cell r="AA122">
            <v>0</v>
          </cell>
          <cell r="AB122">
            <v>13680.29</v>
          </cell>
          <cell r="AC122">
            <v>0</v>
          </cell>
          <cell r="AD122">
            <v>10368.41</v>
          </cell>
          <cell r="AE122">
            <v>0</v>
          </cell>
          <cell r="AF122">
            <v>21089</v>
          </cell>
          <cell r="AG122">
            <v>0</v>
          </cell>
          <cell r="AH122">
            <v>140918.42000000001</v>
          </cell>
        </row>
        <row r="123">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row>
        <row r="124">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row>
        <row r="125">
          <cell r="D125">
            <v>52010</v>
          </cell>
          <cell r="E125" t="str">
            <v>Salaries</v>
          </cell>
          <cell r="F125">
            <v>0</v>
          </cell>
          <cell r="G125">
            <v>0</v>
          </cell>
          <cell r="H125">
            <v>0</v>
          </cell>
          <cell r="I125">
            <v>0</v>
          </cell>
          <cell r="J125">
            <v>7684.01</v>
          </cell>
          <cell r="K125">
            <v>0</v>
          </cell>
          <cell r="L125">
            <v>8436.5</v>
          </cell>
          <cell r="M125">
            <v>0</v>
          </cell>
          <cell r="N125">
            <v>7501.88</v>
          </cell>
          <cell r="O125">
            <v>0</v>
          </cell>
          <cell r="P125">
            <v>7813.42</v>
          </cell>
          <cell r="Q125">
            <v>0</v>
          </cell>
          <cell r="R125">
            <v>8124.96</v>
          </cell>
          <cell r="S125">
            <v>0</v>
          </cell>
          <cell r="T125">
            <v>8436.5</v>
          </cell>
          <cell r="U125">
            <v>0</v>
          </cell>
          <cell r="V125">
            <v>7501.88</v>
          </cell>
          <cell r="W125">
            <v>0</v>
          </cell>
          <cell r="X125">
            <v>8615.6299999999992</v>
          </cell>
          <cell r="Y125">
            <v>0</v>
          </cell>
          <cell r="Z125">
            <v>8296.2900000000009</v>
          </cell>
          <cell r="AA125">
            <v>0</v>
          </cell>
          <cell r="AB125">
            <v>7976.97</v>
          </cell>
          <cell r="AC125">
            <v>0</v>
          </cell>
          <cell r="AD125">
            <v>8615.6200000000008</v>
          </cell>
          <cell r="AE125">
            <v>0</v>
          </cell>
          <cell r="AF125">
            <v>7976.97</v>
          </cell>
          <cell r="AG125">
            <v>0</v>
          </cell>
          <cell r="AH125">
            <v>96980.63</v>
          </cell>
        </row>
        <row r="126">
          <cell r="D126">
            <v>52020</v>
          </cell>
          <cell r="E126" t="str">
            <v>Wages Regular</v>
          </cell>
          <cell r="F126">
            <v>0</v>
          </cell>
          <cell r="G126">
            <v>0</v>
          </cell>
          <cell r="H126">
            <v>0</v>
          </cell>
          <cell r="I126">
            <v>0</v>
          </cell>
          <cell r="J126">
            <v>75673.48</v>
          </cell>
          <cell r="K126">
            <v>0</v>
          </cell>
          <cell r="L126">
            <v>92188.23</v>
          </cell>
          <cell r="M126">
            <v>0</v>
          </cell>
          <cell r="N126">
            <v>62307.68</v>
          </cell>
          <cell r="O126">
            <v>0</v>
          </cell>
          <cell r="P126">
            <v>75329.070000000007</v>
          </cell>
          <cell r="Q126">
            <v>0</v>
          </cell>
          <cell r="R126">
            <v>86439.09</v>
          </cell>
          <cell r="S126">
            <v>0</v>
          </cell>
          <cell r="T126">
            <v>82270.47</v>
          </cell>
          <cell r="U126">
            <v>0</v>
          </cell>
          <cell r="V126">
            <v>75599.61</v>
          </cell>
          <cell r="W126">
            <v>0</v>
          </cell>
          <cell r="X126">
            <v>86254.36</v>
          </cell>
          <cell r="Y126">
            <v>0</v>
          </cell>
          <cell r="Z126">
            <v>77235.86</v>
          </cell>
          <cell r="AA126">
            <v>0</v>
          </cell>
          <cell r="AB126">
            <v>81829.679999999993</v>
          </cell>
          <cell r="AC126">
            <v>0</v>
          </cell>
          <cell r="AD126">
            <v>89514.42</v>
          </cell>
          <cell r="AE126">
            <v>0</v>
          </cell>
          <cell r="AF126">
            <v>75678.850000000006</v>
          </cell>
          <cell r="AG126">
            <v>0</v>
          </cell>
          <cell r="AH126">
            <v>960320.79999999993</v>
          </cell>
        </row>
        <row r="127">
          <cell r="D127">
            <v>52025</v>
          </cell>
          <cell r="E127" t="str">
            <v>Wages O.T.</v>
          </cell>
          <cell r="F127">
            <v>0</v>
          </cell>
          <cell r="G127">
            <v>0</v>
          </cell>
          <cell r="H127">
            <v>0</v>
          </cell>
          <cell r="I127">
            <v>0</v>
          </cell>
          <cell r="J127">
            <v>10309.36</v>
          </cell>
          <cell r="K127">
            <v>0</v>
          </cell>
          <cell r="L127">
            <v>15178.45</v>
          </cell>
          <cell r="M127">
            <v>0</v>
          </cell>
          <cell r="N127">
            <v>11077.74</v>
          </cell>
          <cell r="O127">
            <v>0</v>
          </cell>
          <cell r="P127">
            <v>20858.39</v>
          </cell>
          <cell r="Q127">
            <v>0</v>
          </cell>
          <cell r="R127">
            <v>16802.23</v>
          </cell>
          <cell r="S127">
            <v>0</v>
          </cell>
          <cell r="T127">
            <v>17819.689999999999</v>
          </cell>
          <cell r="U127">
            <v>0</v>
          </cell>
          <cell r="V127">
            <v>12596.22</v>
          </cell>
          <cell r="W127">
            <v>0</v>
          </cell>
          <cell r="X127">
            <v>17466.34</v>
          </cell>
          <cell r="Y127">
            <v>0</v>
          </cell>
          <cell r="Z127">
            <v>20659.13</v>
          </cell>
          <cell r="AA127">
            <v>0</v>
          </cell>
          <cell r="AB127">
            <v>17440.68</v>
          </cell>
          <cell r="AC127">
            <v>0</v>
          </cell>
          <cell r="AD127">
            <v>15522.84</v>
          </cell>
          <cell r="AE127">
            <v>0</v>
          </cell>
          <cell r="AF127">
            <v>18403.61</v>
          </cell>
          <cell r="AG127">
            <v>0</v>
          </cell>
          <cell r="AH127">
            <v>194134.68</v>
          </cell>
        </row>
        <row r="128">
          <cell r="D128">
            <v>52035</v>
          </cell>
          <cell r="E128" t="str">
            <v>Safety Bonuses</v>
          </cell>
          <cell r="F128">
            <v>0</v>
          </cell>
          <cell r="G128">
            <v>0</v>
          </cell>
          <cell r="H128">
            <v>0</v>
          </cell>
          <cell r="I128">
            <v>0</v>
          </cell>
          <cell r="J128">
            <v>-9656.1299999999992</v>
          </cell>
          <cell r="K128">
            <v>0</v>
          </cell>
          <cell r="L128">
            <v>147.44999999999999</v>
          </cell>
          <cell r="M128">
            <v>0</v>
          </cell>
          <cell r="N128">
            <v>2147.46</v>
          </cell>
          <cell r="O128">
            <v>0</v>
          </cell>
          <cell r="P128">
            <v>2147.46</v>
          </cell>
          <cell r="Q128">
            <v>0</v>
          </cell>
          <cell r="R128">
            <v>8265.9599999999991</v>
          </cell>
          <cell r="S128">
            <v>0</v>
          </cell>
          <cell r="T128">
            <v>3920.83</v>
          </cell>
          <cell r="U128">
            <v>0</v>
          </cell>
          <cell r="V128">
            <v>1670.83</v>
          </cell>
          <cell r="W128">
            <v>0</v>
          </cell>
          <cell r="X128">
            <v>3500.49</v>
          </cell>
          <cell r="Y128">
            <v>0</v>
          </cell>
          <cell r="Z128">
            <v>3400.07</v>
          </cell>
          <cell r="AA128">
            <v>0</v>
          </cell>
          <cell r="AB128">
            <v>3400.07</v>
          </cell>
          <cell r="AC128">
            <v>0</v>
          </cell>
          <cell r="AD128">
            <v>-3783.54</v>
          </cell>
          <cell r="AE128">
            <v>0</v>
          </cell>
          <cell r="AF128">
            <v>1816.67</v>
          </cell>
          <cell r="AG128">
            <v>0</v>
          </cell>
          <cell r="AH128">
            <v>16977.619999999995</v>
          </cell>
        </row>
        <row r="129">
          <cell r="D129">
            <v>52036</v>
          </cell>
          <cell r="E129" t="str">
            <v>Other Bonus/Commission - Non-Safety</v>
          </cell>
          <cell r="F129">
            <v>0</v>
          </cell>
          <cell r="G129">
            <v>0</v>
          </cell>
          <cell r="H129">
            <v>0</v>
          </cell>
          <cell r="I129">
            <v>0</v>
          </cell>
          <cell r="J129">
            <v>0</v>
          </cell>
          <cell r="K129">
            <v>0</v>
          </cell>
          <cell r="L129">
            <v>2500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2500</v>
          </cell>
          <cell r="AE129">
            <v>0</v>
          </cell>
          <cell r="AF129">
            <v>0</v>
          </cell>
          <cell r="AG129">
            <v>0</v>
          </cell>
          <cell r="AH129">
            <v>5000</v>
          </cell>
        </row>
        <row r="130">
          <cell r="D130">
            <v>52050</v>
          </cell>
          <cell r="E130" t="str">
            <v>Payroll Taxes</v>
          </cell>
          <cell r="F130">
            <v>0</v>
          </cell>
          <cell r="G130">
            <v>0</v>
          </cell>
          <cell r="H130">
            <v>0</v>
          </cell>
          <cell r="I130">
            <v>0</v>
          </cell>
          <cell r="J130">
            <v>7210.42</v>
          </cell>
          <cell r="K130">
            <v>0</v>
          </cell>
          <cell r="L130">
            <v>10575.23</v>
          </cell>
          <cell r="M130">
            <v>0</v>
          </cell>
          <cell r="N130">
            <v>6396.65</v>
          </cell>
          <cell r="O130">
            <v>0</v>
          </cell>
          <cell r="P130">
            <v>8863.9500000000007</v>
          </cell>
          <cell r="Q130">
            <v>0</v>
          </cell>
          <cell r="R130">
            <v>10086.75</v>
          </cell>
          <cell r="S130">
            <v>0</v>
          </cell>
          <cell r="T130">
            <v>9211.2999999999993</v>
          </cell>
          <cell r="U130">
            <v>0</v>
          </cell>
          <cell r="V130">
            <v>8363.2800000000007</v>
          </cell>
          <cell r="W130">
            <v>0</v>
          </cell>
          <cell r="X130">
            <v>9560.8700000000008</v>
          </cell>
          <cell r="Y130">
            <v>0</v>
          </cell>
          <cell r="Z130">
            <v>8813.33</v>
          </cell>
          <cell r="AA130">
            <v>0</v>
          </cell>
          <cell r="AB130">
            <v>8706.6299999999992</v>
          </cell>
          <cell r="AC130">
            <v>0</v>
          </cell>
          <cell r="AD130">
            <v>9024.25</v>
          </cell>
          <cell r="AE130">
            <v>0</v>
          </cell>
          <cell r="AF130">
            <v>8089.5</v>
          </cell>
          <cell r="AG130">
            <v>0</v>
          </cell>
          <cell r="AH130">
            <v>104902.15999999999</v>
          </cell>
        </row>
        <row r="131">
          <cell r="D131">
            <v>52060</v>
          </cell>
          <cell r="E131" t="str">
            <v>Group Insurance</v>
          </cell>
          <cell r="F131">
            <v>0</v>
          </cell>
          <cell r="G131">
            <v>0</v>
          </cell>
          <cell r="H131">
            <v>0</v>
          </cell>
          <cell r="I131">
            <v>0</v>
          </cell>
          <cell r="J131">
            <v>20674.21</v>
          </cell>
          <cell r="K131">
            <v>0</v>
          </cell>
          <cell r="L131">
            <v>21692.639999999999</v>
          </cell>
          <cell r="M131">
            <v>0</v>
          </cell>
          <cell r="N131">
            <v>21484.11</v>
          </cell>
          <cell r="O131">
            <v>0</v>
          </cell>
          <cell r="P131">
            <v>21663.8</v>
          </cell>
          <cell r="Q131">
            <v>0</v>
          </cell>
          <cell r="R131">
            <v>22679.91</v>
          </cell>
          <cell r="S131">
            <v>0</v>
          </cell>
          <cell r="T131">
            <v>21241.18</v>
          </cell>
          <cell r="U131">
            <v>0</v>
          </cell>
          <cell r="V131">
            <v>22389.72</v>
          </cell>
          <cell r="W131">
            <v>0</v>
          </cell>
          <cell r="X131">
            <v>22485.07</v>
          </cell>
          <cell r="Y131">
            <v>0</v>
          </cell>
          <cell r="Z131">
            <v>22726.1</v>
          </cell>
          <cell r="AA131">
            <v>0</v>
          </cell>
          <cell r="AB131">
            <v>22508.3</v>
          </cell>
          <cell r="AC131">
            <v>0</v>
          </cell>
          <cell r="AD131">
            <v>20916.98</v>
          </cell>
          <cell r="AE131">
            <v>0</v>
          </cell>
          <cell r="AF131">
            <v>22526.5</v>
          </cell>
          <cell r="AG131">
            <v>0</v>
          </cell>
          <cell r="AH131">
            <v>262988.52</v>
          </cell>
        </row>
        <row r="132">
          <cell r="D132">
            <v>52065</v>
          </cell>
          <cell r="E132" t="str">
            <v>Vacation Pay</v>
          </cell>
          <cell r="F132">
            <v>0</v>
          </cell>
          <cell r="G132">
            <v>0</v>
          </cell>
          <cell r="H132">
            <v>0</v>
          </cell>
          <cell r="I132">
            <v>0</v>
          </cell>
          <cell r="J132">
            <v>2997.68</v>
          </cell>
          <cell r="K132">
            <v>0</v>
          </cell>
          <cell r="L132">
            <v>4925.68</v>
          </cell>
          <cell r="M132">
            <v>0</v>
          </cell>
          <cell r="N132">
            <v>-7925.13</v>
          </cell>
          <cell r="O132">
            <v>0</v>
          </cell>
          <cell r="P132">
            <v>4801.6899999999996</v>
          </cell>
          <cell r="Q132">
            <v>0</v>
          </cell>
          <cell r="R132">
            <v>2079.6799999999998</v>
          </cell>
          <cell r="S132">
            <v>0</v>
          </cell>
          <cell r="T132">
            <v>6292.26</v>
          </cell>
          <cell r="U132">
            <v>0</v>
          </cell>
          <cell r="V132">
            <v>4459.3500000000004</v>
          </cell>
          <cell r="W132">
            <v>0</v>
          </cell>
          <cell r="X132">
            <v>4134.09</v>
          </cell>
          <cell r="Y132">
            <v>0</v>
          </cell>
          <cell r="Z132">
            <v>5201.3999999999996</v>
          </cell>
          <cell r="AA132">
            <v>0</v>
          </cell>
          <cell r="AB132">
            <v>3401.82</v>
          </cell>
          <cell r="AC132">
            <v>0</v>
          </cell>
          <cell r="AD132">
            <v>4073.57</v>
          </cell>
          <cell r="AE132">
            <v>0</v>
          </cell>
          <cell r="AF132">
            <v>3406.47</v>
          </cell>
          <cell r="AG132">
            <v>0</v>
          </cell>
          <cell r="AH132">
            <v>37848.560000000005</v>
          </cell>
        </row>
        <row r="133">
          <cell r="D133">
            <v>52070</v>
          </cell>
          <cell r="E133" t="str">
            <v>Sick Pay</v>
          </cell>
          <cell r="F133">
            <v>0</v>
          </cell>
          <cell r="G133">
            <v>0</v>
          </cell>
          <cell r="H133">
            <v>0</v>
          </cell>
          <cell r="I133">
            <v>0</v>
          </cell>
          <cell r="J133">
            <v>3679.62</v>
          </cell>
          <cell r="K133">
            <v>0</v>
          </cell>
          <cell r="L133">
            <v>4721.34</v>
          </cell>
          <cell r="M133">
            <v>0</v>
          </cell>
          <cell r="N133">
            <v>6743.36</v>
          </cell>
          <cell r="O133">
            <v>0</v>
          </cell>
          <cell r="P133">
            <v>2361.91</v>
          </cell>
          <cell r="Q133">
            <v>0</v>
          </cell>
          <cell r="R133">
            <v>3614.14</v>
          </cell>
          <cell r="S133">
            <v>0</v>
          </cell>
          <cell r="T133">
            <v>3129.9</v>
          </cell>
          <cell r="U133">
            <v>0</v>
          </cell>
          <cell r="V133">
            <v>4793.33</v>
          </cell>
          <cell r="W133">
            <v>0</v>
          </cell>
          <cell r="X133">
            <v>2982.3</v>
          </cell>
          <cell r="Y133">
            <v>0</v>
          </cell>
          <cell r="Z133">
            <v>1352.78</v>
          </cell>
          <cell r="AA133">
            <v>0</v>
          </cell>
          <cell r="AB133">
            <v>1978.13</v>
          </cell>
          <cell r="AC133">
            <v>0</v>
          </cell>
          <cell r="AD133">
            <v>2131.0500000000002</v>
          </cell>
          <cell r="AE133">
            <v>0</v>
          </cell>
          <cell r="AF133">
            <v>2341.08</v>
          </cell>
          <cell r="AG133">
            <v>0</v>
          </cell>
          <cell r="AH133">
            <v>39828.94</v>
          </cell>
        </row>
        <row r="134">
          <cell r="D134">
            <v>52086</v>
          </cell>
          <cell r="E134" t="str">
            <v>Safety and Training</v>
          </cell>
          <cell r="F134">
            <v>0</v>
          </cell>
          <cell r="G134">
            <v>0</v>
          </cell>
          <cell r="H134">
            <v>0</v>
          </cell>
          <cell r="I134">
            <v>0</v>
          </cell>
          <cell r="J134">
            <v>3624.66</v>
          </cell>
          <cell r="K134">
            <v>0</v>
          </cell>
          <cell r="L134">
            <v>2537.23</v>
          </cell>
          <cell r="M134">
            <v>0</v>
          </cell>
          <cell r="N134">
            <v>1232.49</v>
          </cell>
          <cell r="O134">
            <v>0</v>
          </cell>
          <cell r="P134">
            <v>2842.57</v>
          </cell>
          <cell r="Q134">
            <v>0</v>
          </cell>
          <cell r="R134">
            <v>2493.96</v>
          </cell>
          <cell r="S134">
            <v>0</v>
          </cell>
          <cell r="T134">
            <v>2145.65</v>
          </cell>
          <cell r="U134">
            <v>0</v>
          </cell>
          <cell r="V134">
            <v>570.53</v>
          </cell>
          <cell r="W134">
            <v>0</v>
          </cell>
          <cell r="X134">
            <v>2678.24</v>
          </cell>
          <cell r="Y134">
            <v>0</v>
          </cell>
          <cell r="Z134">
            <v>6613.94</v>
          </cell>
          <cell r="AA134">
            <v>0</v>
          </cell>
          <cell r="AB134">
            <v>1798.16</v>
          </cell>
          <cell r="AC134">
            <v>0</v>
          </cell>
          <cell r="AD134">
            <v>3410.31</v>
          </cell>
          <cell r="AE134">
            <v>0</v>
          </cell>
          <cell r="AF134">
            <v>2171.21</v>
          </cell>
          <cell r="AG134">
            <v>0</v>
          </cell>
          <cell r="AH134">
            <v>32118.95</v>
          </cell>
        </row>
        <row r="135">
          <cell r="D135">
            <v>52090</v>
          </cell>
          <cell r="E135" t="str">
            <v>Uniforms</v>
          </cell>
          <cell r="F135">
            <v>0</v>
          </cell>
          <cell r="G135">
            <v>0</v>
          </cell>
          <cell r="H135">
            <v>0</v>
          </cell>
          <cell r="I135">
            <v>0</v>
          </cell>
          <cell r="J135">
            <v>734.73</v>
          </cell>
          <cell r="K135">
            <v>0</v>
          </cell>
          <cell r="L135">
            <v>1393.4</v>
          </cell>
          <cell r="M135">
            <v>0</v>
          </cell>
          <cell r="N135">
            <v>982.72</v>
          </cell>
          <cell r="O135">
            <v>0</v>
          </cell>
          <cell r="P135">
            <v>1406.3</v>
          </cell>
          <cell r="Q135">
            <v>0</v>
          </cell>
          <cell r="R135">
            <v>819.13</v>
          </cell>
          <cell r="S135">
            <v>0</v>
          </cell>
          <cell r="T135">
            <v>1461.65</v>
          </cell>
          <cell r="U135">
            <v>0</v>
          </cell>
          <cell r="V135">
            <v>1538.68</v>
          </cell>
          <cell r="W135">
            <v>0</v>
          </cell>
          <cell r="X135">
            <v>1148.4100000000001</v>
          </cell>
          <cell r="Y135">
            <v>0</v>
          </cell>
          <cell r="Z135">
            <v>1285.08</v>
          </cell>
          <cell r="AA135">
            <v>0</v>
          </cell>
          <cell r="AB135">
            <v>717.6</v>
          </cell>
          <cell r="AC135">
            <v>0</v>
          </cell>
          <cell r="AD135">
            <v>994.35</v>
          </cell>
          <cell r="AE135">
            <v>0</v>
          </cell>
          <cell r="AF135">
            <v>1480.76</v>
          </cell>
          <cell r="AG135">
            <v>0</v>
          </cell>
          <cell r="AH135">
            <v>13962.809999999998</v>
          </cell>
        </row>
        <row r="136">
          <cell r="D136">
            <v>52115</v>
          </cell>
          <cell r="E136" t="str">
            <v>Pension and Profit Sharing</v>
          </cell>
          <cell r="F136">
            <v>0</v>
          </cell>
          <cell r="G136">
            <v>0</v>
          </cell>
          <cell r="H136">
            <v>0</v>
          </cell>
          <cell r="I136">
            <v>0</v>
          </cell>
          <cell r="J136">
            <v>2588.8000000000002</v>
          </cell>
          <cell r="K136">
            <v>0</v>
          </cell>
          <cell r="L136">
            <v>5484.4</v>
          </cell>
          <cell r="M136">
            <v>0</v>
          </cell>
          <cell r="N136">
            <v>3326.46</v>
          </cell>
          <cell r="O136">
            <v>0</v>
          </cell>
          <cell r="P136">
            <v>3890.73</v>
          </cell>
          <cell r="Q136">
            <v>0</v>
          </cell>
          <cell r="R136">
            <v>4005.54</v>
          </cell>
          <cell r="S136">
            <v>0</v>
          </cell>
          <cell r="T136">
            <v>3967.4</v>
          </cell>
          <cell r="U136">
            <v>0</v>
          </cell>
          <cell r="V136">
            <v>3724.28</v>
          </cell>
          <cell r="W136">
            <v>0</v>
          </cell>
          <cell r="X136">
            <v>4786.18</v>
          </cell>
          <cell r="Y136">
            <v>0</v>
          </cell>
          <cell r="Z136">
            <v>4287.58</v>
          </cell>
          <cell r="AA136">
            <v>0</v>
          </cell>
          <cell r="AB136">
            <v>3984.27</v>
          </cell>
          <cell r="AC136">
            <v>0</v>
          </cell>
          <cell r="AD136">
            <v>4460.5</v>
          </cell>
          <cell r="AE136">
            <v>0</v>
          </cell>
          <cell r="AF136">
            <v>3525.27</v>
          </cell>
          <cell r="AG136">
            <v>0</v>
          </cell>
          <cell r="AH136">
            <v>48031.410000000011</v>
          </cell>
        </row>
        <row r="137">
          <cell r="D137">
            <v>52120</v>
          </cell>
          <cell r="E137" t="str">
            <v>Parts and Materials</v>
          </cell>
          <cell r="F137">
            <v>0</v>
          </cell>
          <cell r="G137">
            <v>0</v>
          </cell>
          <cell r="H137">
            <v>0</v>
          </cell>
          <cell r="I137">
            <v>0</v>
          </cell>
          <cell r="J137">
            <v>47525.84</v>
          </cell>
          <cell r="K137">
            <v>0</v>
          </cell>
          <cell r="L137">
            <v>56382.33</v>
          </cell>
          <cell r="M137">
            <v>0</v>
          </cell>
          <cell r="N137">
            <v>55952.65</v>
          </cell>
          <cell r="O137">
            <v>0</v>
          </cell>
          <cell r="P137">
            <v>68349.87</v>
          </cell>
          <cell r="Q137">
            <v>0</v>
          </cell>
          <cell r="R137">
            <v>72094.75</v>
          </cell>
          <cell r="S137">
            <v>0</v>
          </cell>
          <cell r="T137">
            <v>81193.91</v>
          </cell>
          <cell r="U137">
            <v>0</v>
          </cell>
          <cell r="V137">
            <v>71991.75</v>
          </cell>
          <cell r="W137">
            <v>0</v>
          </cell>
          <cell r="X137">
            <v>70335.81</v>
          </cell>
          <cell r="Y137">
            <v>0</v>
          </cell>
          <cell r="Z137">
            <v>77894.25</v>
          </cell>
          <cell r="AA137">
            <v>0</v>
          </cell>
          <cell r="AB137">
            <v>43938.89</v>
          </cell>
          <cell r="AC137">
            <v>0</v>
          </cell>
          <cell r="AD137">
            <v>74067.27</v>
          </cell>
          <cell r="AE137">
            <v>0</v>
          </cell>
          <cell r="AF137">
            <v>63695.12</v>
          </cell>
          <cell r="AG137">
            <v>0</v>
          </cell>
          <cell r="AH137">
            <v>783422.44</v>
          </cell>
        </row>
        <row r="138">
          <cell r="D138">
            <v>52125</v>
          </cell>
          <cell r="E138" t="str">
            <v>Operating Supplies</v>
          </cell>
          <cell r="F138">
            <v>0</v>
          </cell>
          <cell r="G138">
            <v>0</v>
          </cell>
          <cell r="H138">
            <v>0</v>
          </cell>
          <cell r="I138">
            <v>0</v>
          </cell>
          <cell r="J138">
            <v>9360.2800000000007</v>
          </cell>
          <cell r="K138">
            <v>0</v>
          </cell>
          <cell r="L138">
            <v>7273.06</v>
          </cell>
          <cell r="M138">
            <v>0</v>
          </cell>
          <cell r="N138">
            <v>6542.51</v>
          </cell>
          <cell r="O138">
            <v>0</v>
          </cell>
          <cell r="P138">
            <v>10567.25</v>
          </cell>
          <cell r="Q138">
            <v>0</v>
          </cell>
          <cell r="R138">
            <v>9280.42</v>
          </cell>
          <cell r="S138">
            <v>0</v>
          </cell>
          <cell r="T138">
            <v>7511.04</v>
          </cell>
          <cell r="U138">
            <v>0</v>
          </cell>
          <cell r="V138">
            <v>6437.72</v>
          </cell>
          <cell r="W138">
            <v>0</v>
          </cell>
          <cell r="X138">
            <v>11963.05</v>
          </cell>
          <cell r="Y138">
            <v>0</v>
          </cell>
          <cell r="Z138">
            <v>7455.41</v>
          </cell>
          <cell r="AA138">
            <v>0</v>
          </cell>
          <cell r="AB138">
            <v>6652.83</v>
          </cell>
          <cell r="AC138">
            <v>0</v>
          </cell>
          <cell r="AD138">
            <v>7848</v>
          </cell>
          <cell r="AE138">
            <v>0</v>
          </cell>
          <cell r="AF138">
            <v>7820.66</v>
          </cell>
          <cell r="AG138">
            <v>0</v>
          </cell>
          <cell r="AH138">
            <v>98712.23</v>
          </cell>
        </row>
        <row r="139">
          <cell r="D139">
            <v>52140</v>
          </cell>
          <cell r="E139" t="str">
            <v>Tires</v>
          </cell>
          <cell r="F139">
            <v>0</v>
          </cell>
          <cell r="G139">
            <v>0</v>
          </cell>
          <cell r="H139">
            <v>0</v>
          </cell>
          <cell r="I139">
            <v>0</v>
          </cell>
          <cell r="J139">
            <v>10316.08</v>
          </cell>
          <cell r="K139">
            <v>0</v>
          </cell>
          <cell r="L139">
            <v>20488.150000000001</v>
          </cell>
          <cell r="M139">
            <v>0</v>
          </cell>
          <cell r="N139">
            <v>7545.73</v>
          </cell>
          <cell r="O139">
            <v>0</v>
          </cell>
          <cell r="P139">
            <v>12619.5</v>
          </cell>
          <cell r="Q139">
            <v>0</v>
          </cell>
          <cell r="R139">
            <v>18511.57</v>
          </cell>
          <cell r="S139">
            <v>0</v>
          </cell>
          <cell r="T139">
            <v>36369.18</v>
          </cell>
          <cell r="U139">
            <v>0</v>
          </cell>
          <cell r="V139">
            <v>33515.72</v>
          </cell>
          <cell r="W139">
            <v>0</v>
          </cell>
          <cell r="X139">
            <v>30597.39</v>
          </cell>
          <cell r="Y139">
            <v>0</v>
          </cell>
          <cell r="Z139">
            <v>35425.69</v>
          </cell>
          <cell r="AA139">
            <v>0</v>
          </cell>
          <cell r="AB139">
            <v>18553.8</v>
          </cell>
          <cell r="AC139">
            <v>0</v>
          </cell>
          <cell r="AD139">
            <v>21825.84</v>
          </cell>
          <cell r="AE139">
            <v>0</v>
          </cell>
          <cell r="AF139">
            <v>26684.93</v>
          </cell>
          <cell r="AG139">
            <v>0</v>
          </cell>
          <cell r="AH139">
            <v>272453.58</v>
          </cell>
        </row>
        <row r="140">
          <cell r="D140">
            <v>52142</v>
          </cell>
          <cell r="E140" t="str">
            <v>Fuel Expense</v>
          </cell>
          <cell r="F140">
            <v>0</v>
          </cell>
          <cell r="G140">
            <v>0</v>
          </cell>
          <cell r="H140">
            <v>0</v>
          </cell>
          <cell r="I140">
            <v>0</v>
          </cell>
          <cell r="J140">
            <v>115506.45</v>
          </cell>
          <cell r="K140">
            <v>0</v>
          </cell>
          <cell r="L140">
            <v>139680.79999999999</v>
          </cell>
          <cell r="M140">
            <v>0</v>
          </cell>
          <cell r="N140">
            <v>83301.48</v>
          </cell>
          <cell r="O140">
            <v>0</v>
          </cell>
          <cell r="P140">
            <v>128894.99</v>
          </cell>
          <cell r="Q140">
            <v>0</v>
          </cell>
          <cell r="R140">
            <v>132176.75</v>
          </cell>
          <cell r="S140">
            <v>0</v>
          </cell>
          <cell r="T140">
            <v>120265.62</v>
          </cell>
          <cell r="U140">
            <v>0</v>
          </cell>
          <cell r="V140">
            <v>121910.68</v>
          </cell>
          <cell r="W140">
            <v>0</v>
          </cell>
          <cell r="X140">
            <v>134176.32000000001</v>
          </cell>
          <cell r="Y140">
            <v>0</v>
          </cell>
          <cell r="Z140">
            <v>134247.73000000001</v>
          </cell>
          <cell r="AA140">
            <v>0</v>
          </cell>
          <cell r="AB140">
            <v>122997.05</v>
          </cell>
          <cell r="AC140">
            <v>0</v>
          </cell>
          <cell r="AD140">
            <v>141572.01999999999</v>
          </cell>
          <cell r="AE140">
            <v>0</v>
          </cell>
          <cell r="AF140">
            <v>122961.95</v>
          </cell>
          <cell r="AG140">
            <v>0</v>
          </cell>
          <cell r="AH140">
            <v>1497691.84</v>
          </cell>
        </row>
        <row r="141">
          <cell r="D141">
            <v>52144</v>
          </cell>
          <cell r="E141" t="str">
            <v>Urea Additive Expense</v>
          </cell>
          <cell r="F141">
            <v>0</v>
          </cell>
          <cell r="G141">
            <v>0</v>
          </cell>
          <cell r="H141">
            <v>0</v>
          </cell>
          <cell r="I141">
            <v>0</v>
          </cell>
          <cell r="J141">
            <v>2092.59</v>
          </cell>
          <cell r="K141">
            <v>0</v>
          </cell>
          <cell r="L141">
            <v>2830.58</v>
          </cell>
          <cell r="M141">
            <v>0</v>
          </cell>
          <cell r="N141">
            <v>1554.75</v>
          </cell>
          <cell r="O141">
            <v>0</v>
          </cell>
          <cell r="P141">
            <v>1926.73</v>
          </cell>
          <cell r="Q141">
            <v>0</v>
          </cell>
          <cell r="R141">
            <v>2426.2600000000002</v>
          </cell>
          <cell r="S141">
            <v>0</v>
          </cell>
          <cell r="T141">
            <v>1628.42</v>
          </cell>
          <cell r="U141">
            <v>0</v>
          </cell>
          <cell r="V141">
            <v>2146.3200000000002</v>
          </cell>
          <cell r="W141">
            <v>0</v>
          </cell>
          <cell r="X141">
            <v>2046.54</v>
          </cell>
          <cell r="Y141">
            <v>0</v>
          </cell>
          <cell r="Z141">
            <v>2605.73</v>
          </cell>
          <cell r="AA141">
            <v>0</v>
          </cell>
          <cell r="AB141">
            <v>2605.58</v>
          </cell>
          <cell r="AC141">
            <v>0</v>
          </cell>
          <cell r="AD141">
            <v>2270.13</v>
          </cell>
          <cell r="AE141">
            <v>0</v>
          </cell>
          <cell r="AF141">
            <v>2136.37</v>
          </cell>
          <cell r="AG141">
            <v>0</v>
          </cell>
          <cell r="AH141">
            <v>26269.999999999996</v>
          </cell>
        </row>
        <row r="142">
          <cell r="D142">
            <v>52146</v>
          </cell>
          <cell r="E142" t="str">
            <v>Oil and Grease</v>
          </cell>
          <cell r="F142">
            <v>0</v>
          </cell>
          <cell r="G142">
            <v>0</v>
          </cell>
          <cell r="H142">
            <v>0</v>
          </cell>
          <cell r="I142">
            <v>0</v>
          </cell>
          <cell r="J142">
            <v>7287.06</v>
          </cell>
          <cell r="K142">
            <v>0</v>
          </cell>
          <cell r="L142">
            <v>7919.25</v>
          </cell>
          <cell r="M142">
            <v>0</v>
          </cell>
          <cell r="N142">
            <v>5187.8999999999996</v>
          </cell>
          <cell r="O142">
            <v>0</v>
          </cell>
          <cell r="P142">
            <v>8147.25</v>
          </cell>
          <cell r="Q142">
            <v>0</v>
          </cell>
          <cell r="R142">
            <v>6904.4</v>
          </cell>
          <cell r="S142">
            <v>0</v>
          </cell>
          <cell r="T142">
            <v>6716.44</v>
          </cell>
          <cell r="U142">
            <v>0</v>
          </cell>
          <cell r="V142">
            <v>12021.29</v>
          </cell>
          <cell r="W142">
            <v>0</v>
          </cell>
          <cell r="X142">
            <v>10446.030000000001</v>
          </cell>
          <cell r="Y142">
            <v>0</v>
          </cell>
          <cell r="Z142">
            <v>9976.56</v>
          </cell>
          <cell r="AA142">
            <v>0</v>
          </cell>
          <cell r="AB142">
            <v>8009.7</v>
          </cell>
          <cell r="AC142">
            <v>0</v>
          </cell>
          <cell r="AD142">
            <v>9203.41</v>
          </cell>
          <cell r="AE142">
            <v>0</v>
          </cell>
          <cell r="AF142">
            <v>9644.41</v>
          </cell>
          <cell r="AG142">
            <v>0</v>
          </cell>
          <cell r="AH142">
            <v>101463.69999999998</v>
          </cell>
        </row>
        <row r="143">
          <cell r="D143">
            <v>52147</v>
          </cell>
          <cell r="E143" t="str">
            <v>Outside Repairs</v>
          </cell>
          <cell r="F143">
            <v>0</v>
          </cell>
          <cell r="G143">
            <v>0</v>
          </cell>
          <cell r="H143">
            <v>0</v>
          </cell>
          <cell r="I143">
            <v>0</v>
          </cell>
          <cell r="J143">
            <v>36074.019999999997</v>
          </cell>
          <cell r="K143">
            <v>0</v>
          </cell>
          <cell r="L143">
            <v>19945.810000000001</v>
          </cell>
          <cell r="M143">
            <v>0</v>
          </cell>
          <cell r="N143">
            <v>18575.310000000001</v>
          </cell>
          <cell r="O143">
            <v>0</v>
          </cell>
          <cell r="P143">
            <v>21903.38</v>
          </cell>
          <cell r="Q143">
            <v>0</v>
          </cell>
          <cell r="R143">
            <v>23784.01</v>
          </cell>
          <cell r="S143">
            <v>0</v>
          </cell>
          <cell r="T143">
            <v>26984.65</v>
          </cell>
          <cell r="U143">
            <v>0</v>
          </cell>
          <cell r="V143">
            <v>16219.66</v>
          </cell>
          <cell r="W143">
            <v>0</v>
          </cell>
          <cell r="X143">
            <v>23675.05</v>
          </cell>
          <cell r="Y143">
            <v>0</v>
          </cell>
          <cell r="Z143">
            <v>24468.44</v>
          </cell>
          <cell r="AA143">
            <v>0</v>
          </cell>
          <cell r="AB143">
            <v>29582.59</v>
          </cell>
          <cell r="AC143">
            <v>0</v>
          </cell>
          <cell r="AD143">
            <v>33523.81</v>
          </cell>
          <cell r="AE143">
            <v>0</v>
          </cell>
          <cell r="AF143">
            <v>27124.66</v>
          </cell>
          <cell r="AG143">
            <v>0</v>
          </cell>
          <cell r="AH143">
            <v>301861.39</v>
          </cell>
        </row>
        <row r="144">
          <cell r="D144">
            <v>52165</v>
          </cell>
          <cell r="E144" t="str">
            <v>Communications</v>
          </cell>
          <cell r="F144">
            <v>0</v>
          </cell>
          <cell r="G144">
            <v>0</v>
          </cell>
          <cell r="H144">
            <v>0</v>
          </cell>
          <cell r="I144">
            <v>0</v>
          </cell>
          <cell r="J144">
            <v>447.27</v>
          </cell>
          <cell r="K144">
            <v>0</v>
          </cell>
          <cell r="L144">
            <v>447.27</v>
          </cell>
          <cell r="M144">
            <v>0</v>
          </cell>
          <cell r="N144">
            <v>447.27</v>
          </cell>
          <cell r="O144">
            <v>0</v>
          </cell>
          <cell r="P144">
            <v>447.27</v>
          </cell>
          <cell r="Q144">
            <v>0</v>
          </cell>
          <cell r="R144">
            <v>447.27</v>
          </cell>
          <cell r="S144">
            <v>0</v>
          </cell>
          <cell r="T144">
            <v>447.27</v>
          </cell>
          <cell r="U144">
            <v>0</v>
          </cell>
          <cell r="V144">
            <v>447.27</v>
          </cell>
          <cell r="W144">
            <v>0</v>
          </cell>
          <cell r="X144">
            <v>0</v>
          </cell>
          <cell r="Y144">
            <v>0</v>
          </cell>
          <cell r="Z144">
            <v>447.27</v>
          </cell>
          <cell r="AA144">
            <v>0</v>
          </cell>
          <cell r="AB144">
            <v>447.27</v>
          </cell>
          <cell r="AC144">
            <v>0</v>
          </cell>
          <cell r="AD144">
            <v>447.27</v>
          </cell>
          <cell r="AE144">
            <v>0</v>
          </cell>
          <cell r="AF144">
            <v>447.27</v>
          </cell>
          <cell r="AG144">
            <v>0</v>
          </cell>
          <cell r="AH144">
            <v>4919.9699999999993</v>
          </cell>
        </row>
        <row r="145">
          <cell r="D145">
            <v>52182</v>
          </cell>
          <cell r="E145" t="str">
            <v>Towing Expense</v>
          </cell>
          <cell r="F145">
            <v>0</v>
          </cell>
          <cell r="G145">
            <v>0</v>
          </cell>
          <cell r="H145">
            <v>0</v>
          </cell>
          <cell r="I145">
            <v>0</v>
          </cell>
          <cell r="J145">
            <v>93.48</v>
          </cell>
          <cell r="K145">
            <v>0</v>
          </cell>
          <cell r="L145">
            <v>-163.43</v>
          </cell>
          <cell r="M145">
            <v>0</v>
          </cell>
          <cell r="N145">
            <v>1237.99</v>
          </cell>
          <cell r="O145">
            <v>0</v>
          </cell>
          <cell r="P145">
            <v>2605.96</v>
          </cell>
          <cell r="Q145">
            <v>0</v>
          </cell>
          <cell r="R145">
            <v>1923.25</v>
          </cell>
          <cell r="S145">
            <v>0</v>
          </cell>
          <cell r="T145">
            <v>846.27</v>
          </cell>
          <cell r="U145">
            <v>0</v>
          </cell>
          <cell r="V145">
            <v>432.73</v>
          </cell>
          <cell r="W145">
            <v>0</v>
          </cell>
          <cell r="X145">
            <v>1602.03</v>
          </cell>
          <cell r="Y145">
            <v>0</v>
          </cell>
          <cell r="Z145">
            <v>362.67</v>
          </cell>
          <cell r="AA145">
            <v>0</v>
          </cell>
          <cell r="AB145">
            <v>1008.88</v>
          </cell>
          <cell r="AC145">
            <v>0</v>
          </cell>
          <cell r="AD145">
            <v>550</v>
          </cell>
          <cell r="AE145">
            <v>0</v>
          </cell>
          <cell r="AF145">
            <v>850</v>
          </cell>
          <cell r="AG145">
            <v>0</v>
          </cell>
          <cell r="AH145">
            <v>11349.83</v>
          </cell>
        </row>
        <row r="146">
          <cell r="D146">
            <v>52200</v>
          </cell>
          <cell r="E146" t="str">
            <v>Office Supply and Equip</v>
          </cell>
          <cell r="F146">
            <v>0</v>
          </cell>
          <cell r="G146">
            <v>0</v>
          </cell>
          <cell r="H146">
            <v>0</v>
          </cell>
          <cell r="I146">
            <v>0</v>
          </cell>
          <cell r="J146">
            <v>860.2</v>
          </cell>
          <cell r="K146">
            <v>0</v>
          </cell>
          <cell r="L146">
            <v>881.07</v>
          </cell>
          <cell r="M146">
            <v>0</v>
          </cell>
          <cell r="N146">
            <v>940.86</v>
          </cell>
          <cell r="O146">
            <v>0</v>
          </cell>
          <cell r="P146">
            <v>861.02</v>
          </cell>
          <cell r="Q146">
            <v>0</v>
          </cell>
          <cell r="R146">
            <v>666.07</v>
          </cell>
          <cell r="S146">
            <v>0</v>
          </cell>
          <cell r="T146">
            <v>1007.61</v>
          </cell>
          <cell r="U146">
            <v>0</v>
          </cell>
          <cell r="V146">
            <v>686.67</v>
          </cell>
          <cell r="W146">
            <v>0</v>
          </cell>
          <cell r="X146">
            <v>666.68</v>
          </cell>
          <cell r="Y146">
            <v>0</v>
          </cell>
          <cell r="Z146">
            <v>726.17</v>
          </cell>
          <cell r="AA146">
            <v>0</v>
          </cell>
          <cell r="AB146">
            <v>666.68</v>
          </cell>
          <cell r="AC146">
            <v>0</v>
          </cell>
          <cell r="AD146">
            <v>1258.98</v>
          </cell>
          <cell r="AE146">
            <v>0</v>
          </cell>
          <cell r="AF146">
            <v>916.69</v>
          </cell>
          <cell r="AG146">
            <v>0</v>
          </cell>
          <cell r="AH146">
            <v>10138.700000000001</v>
          </cell>
        </row>
        <row r="147">
          <cell r="D147">
            <v>52901</v>
          </cell>
          <cell r="E147" t="str">
            <v>Costs Awaiting Capitalization</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row>
        <row r="148">
          <cell r="D148">
            <v>0</v>
          </cell>
          <cell r="E148">
            <v>0</v>
          </cell>
          <cell r="F148">
            <v>0</v>
          </cell>
          <cell r="G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row>
        <row r="149">
          <cell r="F149" t="str">
            <v>Truck Variable</v>
          </cell>
          <cell r="J149">
            <v>355084.11</v>
          </cell>
          <cell r="K149">
            <v>0</v>
          </cell>
          <cell r="L149">
            <v>425465.44000000006</v>
          </cell>
          <cell r="M149">
            <v>0</v>
          </cell>
          <cell r="N149">
            <v>296561.87000000005</v>
          </cell>
          <cell r="O149">
            <v>0</v>
          </cell>
          <cell r="P149">
            <v>408302.51000000007</v>
          </cell>
          <cell r="Q149">
            <v>0</v>
          </cell>
          <cell r="R149">
            <v>433626.10000000009</v>
          </cell>
          <cell r="S149">
            <v>0</v>
          </cell>
          <cell r="T149">
            <v>442867.24000000005</v>
          </cell>
          <cell r="U149">
            <v>0</v>
          </cell>
          <cell r="V149">
            <v>409017.5199999999</v>
          </cell>
          <cell r="W149">
            <v>0</v>
          </cell>
          <cell r="X149">
            <v>449120.88</v>
          </cell>
          <cell r="Y149">
            <v>0</v>
          </cell>
          <cell r="Z149">
            <v>453481.48</v>
          </cell>
          <cell r="AA149">
            <v>0</v>
          </cell>
          <cell r="AB149">
            <v>388205.58000000007</v>
          </cell>
          <cell r="AC149">
            <v>0</v>
          </cell>
          <cell r="AD149">
            <v>449947.07999999996</v>
          </cell>
          <cell r="AE149">
            <v>0</v>
          </cell>
          <cell r="AF149">
            <v>409698.94999999995</v>
          </cell>
          <cell r="AG149">
            <v>0</v>
          </cell>
          <cell r="AH149">
            <v>4921378.76</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row>
        <row r="152">
          <cell r="D152">
            <v>55020</v>
          </cell>
          <cell r="E152" t="str">
            <v>Wages Regular</v>
          </cell>
          <cell r="F152">
            <v>0</v>
          </cell>
          <cell r="G152">
            <v>0</v>
          </cell>
          <cell r="H152">
            <v>0</v>
          </cell>
          <cell r="I152">
            <v>0</v>
          </cell>
          <cell r="J152">
            <v>37478.730000000003</v>
          </cell>
          <cell r="K152">
            <v>0</v>
          </cell>
          <cell r="L152">
            <v>44846.96</v>
          </cell>
          <cell r="M152">
            <v>0</v>
          </cell>
          <cell r="N152">
            <v>34044.269999999997</v>
          </cell>
          <cell r="O152">
            <v>0</v>
          </cell>
          <cell r="P152">
            <v>36266.21</v>
          </cell>
          <cell r="Q152">
            <v>0</v>
          </cell>
          <cell r="R152">
            <v>43010.12</v>
          </cell>
          <cell r="S152">
            <v>0</v>
          </cell>
          <cell r="T152">
            <v>42787.85</v>
          </cell>
          <cell r="U152">
            <v>0</v>
          </cell>
          <cell r="V152">
            <v>36542.97</v>
          </cell>
          <cell r="W152">
            <v>0</v>
          </cell>
          <cell r="X152">
            <v>37232.129999999997</v>
          </cell>
          <cell r="Y152">
            <v>0</v>
          </cell>
          <cell r="Z152">
            <v>35338.22</v>
          </cell>
          <cell r="AA152">
            <v>0</v>
          </cell>
          <cell r="AB152">
            <v>36052.19</v>
          </cell>
          <cell r="AC152">
            <v>0</v>
          </cell>
          <cell r="AD152">
            <v>41998.45</v>
          </cell>
          <cell r="AE152">
            <v>0</v>
          </cell>
          <cell r="AF152">
            <v>38876.54</v>
          </cell>
          <cell r="AG152">
            <v>0</v>
          </cell>
          <cell r="AH152">
            <v>464474.64</v>
          </cell>
        </row>
        <row r="153">
          <cell r="D153">
            <v>55025</v>
          </cell>
          <cell r="E153" t="str">
            <v>Wages O.T.</v>
          </cell>
          <cell r="F153">
            <v>0</v>
          </cell>
          <cell r="G153">
            <v>0</v>
          </cell>
          <cell r="H153">
            <v>0</v>
          </cell>
          <cell r="I153">
            <v>0</v>
          </cell>
          <cell r="J153">
            <v>1911.5</v>
          </cell>
          <cell r="K153">
            <v>0</v>
          </cell>
          <cell r="L153">
            <v>3492.05</v>
          </cell>
          <cell r="M153">
            <v>0</v>
          </cell>
          <cell r="N153">
            <v>2730.28</v>
          </cell>
          <cell r="O153">
            <v>0</v>
          </cell>
          <cell r="P153">
            <v>5471.45</v>
          </cell>
          <cell r="Q153">
            <v>0</v>
          </cell>
          <cell r="R153">
            <v>10882.79</v>
          </cell>
          <cell r="S153">
            <v>0</v>
          </cell>
          <cell r="T153">
            <v>13350.44</v>
          </cell>
          <cell r="U153">
            <v>0</v>
          </cell>
          <cell r="V153">
            <v>7893.67</v>
          </cell>
          <cell r="W153">
            <v>0</v>
          </cell>
          <cell r="X153">
            <v>6393.83</v>
          </cell>
          <cell r="Y153">
            <v>0</v>
          </cell>
          <cell r="Z153">
            <v>6287.26</v>
          </cell>
          <cell r="AA153">
            <v>0</v>
          </cell>
          <cell r="AB153">
            <v>4913.66</v>
          </cell>
          <cell r="AC153">
            <v>0</v>
          </cell>
          <cell r="AD153">
            <v>4100.97</v>
          </cell>
          <cell r="AE153">
            <v>0</v>
          </cell>
          <cell r="AF153">
            <v>6657.93</v>
          </cell>
          <cell r="AG153">
            <v>0</v>
          </cell>
          <cell r="AH153">
            <v>74085.83</v>
          </cell>
        </row>
        <row r="154">
          <cell r="D154">
            <v>55035</v>
          </cell>
          <cell r="E154" t="str">
            <v>Safety Bonuses</v>
          </cell>
          <cell r="F154">
            <v>0</v>
          </cell>
          <cell r="G154">
            <v>0</v>
          </cell>
          <cell r="H154">
            <v>0</v>
          </cell>
          <cell r="I154">
            <v>0</v>
          </cell>
          <cell r="J154">
            <v>-6594.13</v>
          </cell>
          <cell r="K154">
            <v>0</v>
          </cell>
          <cell r="L154">
            <v>1500</v>
          </cell>
          <cell r="M154">
            <v>0</v>
          </cell>
          <cell r="N154">
            <v>1500</v>
          </cell>
          <cell r="O154">
            <v>0</v>
          </cell>
          <cell r="P154">
            <v>1500</v>
          </cell>
          <cell r="Q154">
            <v>0</v>
          </cell>
          <cell r="R154">
            <v>4333.33</v>
          </cell>
          <cell r="S154">
            <v>0</v>
          </cell>
          <cell r="T154">
            <v>2083.34</v>
          </cell>
          <cell r="U154">
            <v>0</v>
          </cell>
          <cell r="V154">
            <v>1583.33</v>
          </cell>
          <cell r="W154">
            <v>0</v>
          </cell>
          <cell r="X154">
            <v>1208.3399999999999</v>
          </cell>
          <cell r="Y154">
            <v>0</v>
          </cell>
          <cell r="Z154">
            <v>1958.33</v>
          </cell>
          <cell r="AA154">
            <v>0</v>
          </cell>
          <cell r="AB154">
            <v>1958.33</v>
          </cell>
          <cell r="AC154">
            <v>0</v>
          </cell>
          <cell r="AD154">
            <v>-1916.66</v>
          </cell>
          <cell r="AE154">
            <v>0</v>
          </cell>
          <cell r="AF154">
            <v>991.66</v>
          </cell>
          <cell r="AG154">
            <v>0</v>
          </cell>
          <cell r="AH154">
            <v>10105.869999999999</v>
          </cell>
        </row>
        <row r="155">
          <cell r="D155">
            <v>55036</v>
          </cell>
          <cell r="E155" t="str">
            <v>Other Bonus/Commission - Non-Safety</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466.13</v>
          </cell>
          <cell r="AA155">
            <v>0</v>
          </cell>
          <cell r="AB155">
            <v>0</v>
          </cell>
          <cell r="AC155">
            <v>0</v>
          </cell>
          <cell r="AD155">
            <v>0</v>
          </cell>
          <cell r="AE155">
            <v>0</v>
          </cell>
          <cell r="AF155">
            <v>0</v>
          </cell>
          <cell r="AG155">
            <v>0</v>
          </cell>
          <cell r="AH155">
            <v>466.13</v>
          </cell>
        </row>
        <row r="156">
          <cell r="D156">
            <v>55045</v>
          </cell>
          <cell r="E156" t="str">
            <v>Contract Labor</v>
          </cell>
          <cell r="F156">
            <v>0</v>
          </cell>
          <cell r="G156">
            <v>0</v>
          </cell>
          <cell r="H156">
            <v>0</v>
          </cell>
          <cell r="I156">
            <v>0</v>
          </cell>
          <cell r="J156">
            <v>0</v>
          </cell>
          <cell r="K156">
            <v>0</v>
          </cell>
          <cell r="L156">
            <v>100</v>
          </cell>
          <cell r="M156">
            <v>0</v>
          </cell>
          <cell r="N156">
            <v>0</v>
          </cell>
          <cell r="O156">
            <v>0</v>
          </cell>
          <cell r="P156">
            <v>-100</v>
          </cell>
          <cell r="Q156">
            <v>0</v>
          </cell>
          <cell r="R156">
            <v>0</v>
          </cell>
          <cell r="S156">
            <v>0</v>
          </cell>
          <cell r="T156">
            <v>0</v>
          </cell>
          <cell r="U156">
            <v>0</v>
          </cell>
          <cell r="V156">
            <v>0</v>
          </cell>
          <cell r="W156">
            <v>0</v>
          </cell>
          <cell r="X156">
            <v>1694.21</v>
          </cell>
          <cell r="Y156">
            <v>0</v>
          </cell>
          <cell r="Z156">
            <v>0</v>
          </cell>
          <cell r="AA156">
            <v>0</v>
          </cell>
          <cell r="AB156">
            <v>0</v>
          </cell>
          <cell r="AC156">
            <v>0</v>
          </cell>
          <cell r="AD156">
            <v>0</v>
          </cell>
          <cell r="AE156">
            <v>0</v>
          </cell>
          <cell r="AF156">
            <v>0</v>
          </cell>
          <cell r="AG156">
            <v>0</v>
          </cell>
          <cell r="AH156">
            <v>1694.21</v>
          </cell>
        </row>
        <row r="157">
          <cell r="D157">
            <v>55050</v>
          </cell>
          <cell r="E157" t="str">
            <v>Payroll Taxes</v>
          </cell>
          <cell r="F157">
            <v>0</v>
          </cell>
          <cell r="G157">
            <v>0</v>
          </cell>
          <cell r="H157">
            <v>0</v>
          </cell>
          <cell r="I157">
            <v>0</v>
          </cell>
          <cell r="J157">
            <v>3124.23</v>
          </cell>
          <cell r="K157">
            <v>0</v>
          </cell>
          <cell r="L157">
            <v>4692.33</v>
          </cell>
          <cell r="M157">
            <v>0</v>
          </cell>
          <cell r="N157">
            <v>3532.49</v>
          </cell>
          <cell r="O157">
            <v>0</v>
          </cell>
          <cell r="P157">
            <v>3767.71</v>
          </cell>
          <cell r="Q157">
            <v>0</v>
          </cell>
          <cell r="R157">
            <v>4830.5200000000004</v>
          </cell>
          <cell r="S157">
            <v>0</v>
          </cell>
          <cell r="T157">
            <v>4910.07</v>
          </cell>
          <cell r="U157">
            <v>0</v>
          </cell>
          <cell r="V157">
            <v>3865.38</v>
          </cell>
          <cell r="W157">
            <v>0</v>
          </cell>
          <cell r="X157">
            <v>3738.77</v>
          </cell>
          <cell r="Y157">
            <v>0</v>
          </cell>
          <cell r="Z157">
            <v>3860.38</v>
          </cell>
          <cell r="AA157">
            <v>0</v>
          </cell>
          <cell r="AB157">
            <v>3596.41</v>
          </cell>
          <cell r="AC157">
            <v>0</v>
          </cell>
          <cell r="AD157">
            <v>3711.91</v>
          </cell>
          <cell r="AE157">
            <v>0</v>
          </cell>
          <cell r="AF157">
            <v>3819.71</v>
          </cell>
          <cell r="AG157">
            <v>0</v>
          </cell>
          <cell r="AH157">
            <v>47449.91</v>
          </cell>
        </row>
        <row r="158">
          <cell r="D158">
            <v>55060</v>
          </cell>
          <cell r="E158" t="str">
            <v>Group Insurance</v>
          </cell>
          <cell r="F158">
            <v>0</v>
          </cell>
          <cell r="G158">
            <v>0</v>
          </cell>
          <cell r="H158">
            <v>0</v>
          </cell>
          <cell r="I158">
            <v>0</v>
          </cell>
          <cell r="J158">
            <v>13664.52</v>
          </cell>
          <cell r="K158">
            <v>0</v>
          </cell>
          <cell r="L158">
            <v>14287.89</v>
          </cell>
          <cell r="M158">
            <v>0</v>
          </cell>
          <cell r="N158">
            <v>14180.02</v>
          </cell>
          <cell r="O158">
            <v>0</v>
          </cell>
          <cell r="P158">
            <v>11854.57</v>
          </cell>
          <cell r="Q158">
            <v>0</v>
          </cell>
          <cell r="R158">
            <v>13010.62</v>
          </cell>
          <cell r="S158">
            <v>0</v>
          </cell>
          <cell r="T158">
            <v>13330.16</v>
          </cell>
          <cell r="U158">
            <v>0</v>
          </cell>
          <cell r="V158">
            <v>14121.97</v>
          </cell>
          <cell r="W158">
            <v>0</v>
          </cell>
          <cell r="X158">
            <v>12980.9</v>
          </cell>
          <cell r="Y158">
            <v>0</v>
          </cell>
          <cell r="Z158">
            <v>11961.3</v>
          </cell>
          <cell r="AA158">
            <v>0</v>
          </cell>
          <cell r="AB158">
            <v>13173.83</v>
          </cell>
          <cell r="AC158">
            <v>0</v>
          </cell>
          <cell r="AD158">
            <v>12467.86</v>
          </cell>
          <cell r="AE158">
            <v>0</v>
          </cell>
          <cell r="AF158">
            <v>14362.26</v>
          </cell>
          <cell r="AG158">
            <v>0</v>
          </cell>
          <cell r="AH158">
            <v>159395.9</v>
          </cell>
        </row>
        <row r="159">
          <cell r="D159">
            <v>55065</v>
          </cell>
          <cell r="E159" t="str">
            <v>Vacation Pay</v>
          </cell>
          <cell r="F159">
            <v>0</v>
          </cell>
          <cell r="G159">
            <v>0</v>
          </cell>
          <cell r="H159">
            <v>0</v>
          </cell>
          <cell r="I159">
            <v>0</v>
          </cell>
          <cell r="J159">
            <v>3407.28</v>
          </cell>
          <cell r="K159">
            <v>0</v>
          </cell>
          <cell r="L159">
            <v>2466.3200000000002</v>
          </cell>
          <cell r="M159">
            <v>0</v>
          </cell>
          <cell r="N159">
            <v>1862.99</v>
          </cell>
          <cell r="O159">
            <v>0</v>
          </cell>
          <cell r="P159">
            <v>2878.99</v>
          </cell>
          <cell r="Q159">
            <v>0</v>
          </cell>
          <cell r="R159">
            <v>1812.24</v>
          </cell>
          <cell r="S159">
            <v>0</v>
          </cell>
          <cell r="T159">
            <v>1812.24</v>
          </cell>
          <cell r="U159">
            <v>0</v>
          </cell>
          <cell r="V159">
            <v>929.43</v>
          </cell>
          <cell r="W159">
            <v>0</v>
          </cell>
          <cell r="X159">
            <v>1529.01</v>
          </cell>
          <cell r="Y159">
            <v>0</v>
          </cell>
          <cell r="Z159">
            <v>3589.05</v>
          </cell>
          <cell r="AA159">
            <v>0</v>
          </cell>
          <cell r="AB159">
            <v>1726.88</v>
          </cell>
          <cell r="AC159">
            <v>0</v>
          </cell>
          <cell r="AD159">
            <v>1551.29</v>
          </cell>
          <cell r="AE159">
            <v>0</v>
          </cell>
          <cell r="AF159">
            <v>1993.7</v>
          </cell>
          <cell r="AG159">
            <v>0</v>
          </cell>
          <cell r="AH159">
            <v>25559.420000000002</v>
          </cell>
        </row>
        <row r="160">
          <cell r="D160">
            <v>55070</v>
          </cell>
          <cell r="E160" t="str">
            <v>Sick Pay</v>
          </cell>
          <cell r="F160">
            <v>0</v>
          </cell>
          <cell r="G160">
            <v>0</v>
          </cell>
          <cell r="H160">
            <v>0</v>
          </cell>
          <cell r="I160">
            <v>0</v>
          </cell>
          <cell r="J160">
            <v>1398.6</v>
          </cell>
          <cell r="K160">
            <v>0</v>
          </cell>
          <cell r="L160">
            <v>2753.15</v>
          </cell>
          <cell r="M160">
            <v>0</v>
          </cell>
          <cell r="N160">
            <v>4056.57</v>
          </cell>
          <cell r="O160">
            <v>0</v>
          </cell>
          <cell r="P160">
            <v>1590.38</v>
          </cell>
          <cell r="Q160">
            <v>0</v>
          </cell>
          <cell r="R160">
            <v>1267.22</v>
          </cell>
          <cell r="S160">
            <v>0</v>
          </cell>
          <cell r="T160">
            <v>2141.7600000000002</v>
          </cell>
          <cell r="U160">
            <v>0</v>
          </cell>
          <cell r="V160">
            <v>918.1</v>
          </cell>
          <cell r="W160">
            <v>0</v>
          </cell>
          <cell r="X160">
            <v>1132.99</v>
          </cell>
          <cell r="Y160">
            <v>0</v>
          </cell>
          <cell r="Z160">
            <v>1565.03</v>
          </cell>
          <cell r="AA160">
            <v>0</v>
          </cell>
          <cell r="AB160">
            <v>1355.74</v>
          </cell>
          <cell r="AC160">
            <v>0</v>
          </cell>
          <cell r="AD160">
            <v>1236.8800000000001</v>
          </cell>
          <cell r="AE160">
            <v>0</v>
          </cell>
          <cell r="AF160">
            <v>866.57</v>
          </cell>
          <cell r="AG160">
            <v>0</v>
          </cell>
          <cell r="AH160">
            <v>20282.989999999998</v>
          </cell>
        </row>
        <row r="161">
          <cell r="D161">
            <v>55086</v>
          </cell>
          <cell r="E161" t="str">
            <v>Safety and Training</v>
          </cell>
          <cell r="F161">
            <v>0</v>
          </cell>
          <cell r="G161">
            <v>0</v>
          </cell>
          <cell r="H161">
            <v>0</v>
          </cell>
          <cell r="I161">
            <v>0</v>
          </cell>
          <cell r="J161">
            <v>0</v>
          </cell>
          <cell r="K161">
            <v>0</v>
          </cell>
          <cell r="L161">
            <v>142.72999999999999</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4324</v>
          </cell>
          <cell r="AE161">
            <v>0</v>
          </cell>
          <cell r="AF161">
            <v>0</v>
          </cell>
          <cell r="AG161">
            <v>0</v>
          </cell>
          <cell r="AH161">
            <v>4466.7299999999996</v>
          </cell>
        </row>
        <row r="162">
          <cell r="D162">
            <v>55090</v>
          </cell>
          <cell r="E162" t="str">
            <v>Uniforms</v>
          </cell>
          <cell r="F162">
            <v>0</v>
          </cell>
          <cell r="G162">
            <v>0</v>
          </cell>
          <cell r="H162">
            <v>0</v>
          </cell>
          <cell r="I162">
            <v>0</v>
          </cell>
          <cell r="J162">
            <v>386.92</v>
          </cell>
          <cell r="K162">
            <v>0</v>
          </cell>
          <cell r="L162">
            <v>580.57000000000005</v>
          </cell>
          <cell r="M162">
            <v>0</v>
          </cell>
          <cell r="N162">
            <v>483.22</v>
          </cell>
          <cell r="O162">
            <v>0</v>
          </cell>
          <cell r="P162">
            <v>830.51</v>
          </cell>
          <cell r="Q162">
            <v>0</v>
          </cell>
          <cell r="R162">
            <v>584.04</v>
          </cell>
          <cell r="S162">
            <v>0</v>
          </cell>
          <cell r="T162">
            <v>770.57</v>
          </cell>
          <cell r="U162">
            <v>0</v>
          </cell>
          <cell r="V162">
            <v>386.92</v>
          </cell>
          <cell r="W162">
            <v>0</v>
          </cell>
          <cell r="X162">
            <v>574.4</v>
          </cell>
          <cell r="Y162">
            <v>0</v>
          </cell>
          <cell r="Z162">
            <v>894.09</v>
          </cell>
          <cell r="AA162">
            <v>0</v>
          </cell>
          <cell r="AB162">
            <v>619.9</v>
          </cell>
          <cell r="AC162">
            <v>0</v>
          </cell>
          <cell r="AD162">
            <v>625.85</v>
          </cell>
          <cell r="AE162">
            <v>0</v>
          </cell>
          <cell r="AF162">
            <v>491.32</v>
          </cell>
          <cell r="AG162">
            <v>0</v>
          </cell>
          <cell r="AH162">
            <v>7228.31</v>
          </cell>
        </row>
        <row r="163">
          <cell r="D163">
            <v>55115</v>
          </cell>
          <cell r="E163" t="str">
            <v>Pension and Profit Sharing</v>
          </cell>
          <cell r="F163">
            <v>0</v>
          </cell>
          <cell r="G163">
            <v>0</v>
          </cell>
          <cell r="H163">
            <v>0</v>
          </cell>
          <cell r="I163">
            <v>0</v>
          </cell>
          <cell r="J163">
            <v>680.39</v>
          </cell>
          <cell r="K163">
            <v>0</v>
          </cell>
          <cell r="L163">
            <v>2243.2800000000002</v>
          </cell>
          <cell r="M163">
            <v>0</v>
          </cell>
          <cell r="N163">
            <v>1211.24</v>
          </cell>
          <cell r="O163">
            <v>0</v>
          </cell>
          <cell r="P163">
            <v>1500.35</v>
          </cell>
          <cell r="Q163">
            <v>0</v>
          </cell>
          <cell r="R163">
            <v>1630.17</v>
          </cell>
          <cell r="S163">
            <v>0</v>
          </cell>
          <cell r="T163">
            <v>1745.41</v>
          </cell>
          <cell r="U163">
            <v>0</v>
          </cell>
          <cell r="V163">
            <v>1334.46</v>
          </cell>
          <cell r="W163">
            <v>0</v>
          </cell>
          <cell r="X163">
            <v>1464.95</v>
          </cell>
          <cell r="Y163">
            <v>0</v>
          </cell>
          <cell r="Z163">
            <v>1154.8399999999999</v>
          </cell>
          <cell r="AA163">
            <v>0</v>
          </cell>
          <cell r="AB163">
            <v>1107.95</v>
          </cell>
          <cell r="AC163">
            <v>0</v>
          </cell>
          <cell r="AD163">
            <v>1186.48</v>
          </cell>
          <cell r="AE163">
            <v>0</v>
          </cell>
          <cell r="AF163">
            <v>1112.1199999999999</v>
          </cell>
          <cell r="AG163">
            <v>0</v>
          </cell>
          <cell r="AH163">
            <v>16371.640000000001</v>
          </cell>
        </row>
        <row r="164">
          <cell r="D164">
            <v>55117</v>
          </cell>
          <cell r="E164" t="str">
            <v>Union Pension</v>
          </cell>
          <cell r="F164">
            <v>0</v>
          </cell>
          <cell r="G164">
            <v>0</v>
          </cell>
          <cell r="H164">
            <v>0</v>
          </cell>
          <cell r="I164">
            <v>0</v>
          </cell>
          <cell r="J164">
            <v>0</v>
          </cell>
          <cell r="K164">
            <v>0</v>
          </cell>
          <cell r="L164">
            <v>0</v>
          </cell>
          <cell r="M164">
            <v>0</v>
          </cell>
          <cell r="N164">
            <v>0</v>
          </cell>
          <cell r="O164">
            <v>0</v>
          </cell>
          <cell r="P164">
            <v>505.68</v>
          </cell>
          <cell r="Q164">
            <v>0</v>
          </cell>
          <cell r="R164">
            <v>-505.68</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row>
        <row r="165">
          <cell r="D165">
            <v>55120</v>
          </cell>
          <cell r="E165" t="str">
            <v>Parts and Materials</v>
          </cell>
          <cell r="F165">
            <v>0</v>
          </cell>
          <cell r="G165">
            <v>0</v>
          </cell>
          <cell r="H165">
            <v>0</v>
          </cell>
          <cell r="I165">
            <v>0</v>
          </cell>
          <cell r="J165">
            <v>9529.31</v>
          </cell>
          <cell r="K165">
            <v>0</v>
          </cell>
          <cell r="L165">
            <v>3633.41</v>
          </cell>
          <cell r="M165">
            <v>0</v>
          </cell>
          <cell r="N165">
            <v>8257.35</v>
          </cell>
          <cell r="O165">
            <v>0</v>
          </cell>
          <cell r="P165">
            <v>8837.26</v>
          </cell>
          <cell r="Q165">
            <v>0</v>
          </cell>
          <cell r="R165">
            <v>14875.45</v>
          </cell>
          <cell r="S165">
            <v>0</v>
          </cell>
          <cell r="T165">
            <v>10664.74</v>
          </cell>
          <cell r="U165">
            <v>0</v>
          </cell>
          <cell r="V165">
            <v>12854.82</v>
          </cell>
          <cell r="W165">
            <v>0</v>
          </cell>
          <cell r="X165">
            <v>11378.32</v>
          </cell>
          <cell r="Y165">
            <v>0</v>
          </cell>
          <cell r="Z165">
            <v>12315.88</v>
          </cell>
          <cell r="AA165">
            <v>0</v>
          </cell>
          <cell r="AB165">
            <v>13342.85</v>
          </cell>
          <cell r="AC165">
            <v>0</v>
          </cell>
          <cell r="AD165">
            <v>10292.74</v>
          </cell>
          <cell r="AE165">
            <v>0</v>
          </cell>
          <cell r="AF165">
            <v>11172.62</v>
          </cell>
          <cell r="AG165">
            <v>0</v>
          </cell>
          <cell r="AH165">
            <v>127154.75</v>
          </cell>
        </row>
        <row r="166">
          <cell r="D166">
            <v>55125</v>
          </cell>
          <cell r="E166" t="str">
            <v>Operating Supplies</v>
          </cell>
          <cell r="F166">
            <v>0</v>
          </cell>
          <cell r="G166">
            <v>0</v>
          </cell>
          <cell r="H166">
            <v>0</v>
          </cell>
          <cell r="I166">
            <v>0</v>
          </cell>
          <cell r="J166">
            <v>3292</v>
          </cell>
          <cell r="K166">
            <v>0</v>
          </cell>
          <cell r="L166">
            <v>3888.92</v>
          </cell>
          <cell r="M166">
            <v>0</v>
          </cell>
          <cell r="N166">
            <v>3453.03</v>
          </cell>
          <cell r="O166">
            <v>0</v>
          </cell>
          <cell r="P166">
            <v>2071.0500000000002</v>
          </cell>
          <cell r="Q166">
            <v>0</v>
          </cell>
          <cell r="R166">
            <v>4486.8599999999997</v>
          </cell>
          <cell r="S166">
            <v>0</v>
          </cell>
          <cell r="T166">
            <v>4813.97</v>
          </cell>
          <cell r="U166">
            <v>0</v>
          </cell>
          <cell r="V166">
            <v>4127.1899999999996</v>
          </cell>
          <cell r="W166">
            <v>0</v>
          </cell>
          <cell r="X166">
            <v>3899.12</v>
          </cell>
          <cell r="Y166">
            <v>0</v>
          </cell>
          <cell r="Z166">
            <v>4709.8500000000004</v>
          </cell>
          <cell r="AA166">
            <v>0</v>
          </cell>
          <cell r="AB166">
            <v>4508.1499999999996</v>
          </cell>
          <cell r="AC166">
            <v>0</v>
          </cell>
          <cell r="AD166">
            <v>4181.66</v>
          </cell>
          <cell r="AE166">
            <v>0</v>
          </cell>
          <cell r="AF166">
            <v>4708.88</v>
          </cell>
          <cell r="AG166">
            <v>0</v>
          </cell>
          <cell r="AH166">
            <v>48140.68</v>
          </cell>
        </row>
        <row r="167">
          <cell r="D167">
            <v>55142</v>
          </cell>
          <cell r="E167" t="str">
            <v>Fuel Expense</v>
          </cell>
          <cell r="F167">
            <v>0</v>
          </cell>
          <cell r="G167">
            <v>0</v>
          </cell>
          <cell r="H167">
            <v>0</v>
          </cell>
          <cell r="I167">
            <v>0</v>
          </cell>
          <cell r="J167">
            <v>321.10000000000002</v>
          </cell>
          <cell r="K167">
            <v>0</v>
          </cell>
          <cell r="L167">
            <v>653.08000000000004</v>
          </cell>
          <cell r="M167">
            <v>0</v>
          </cell>
          <cell r="N167">
            <v>126.05</v>
          </cell>
          <cell r="O167">
            <v>0</v>
          </cell>
          <cell r="P167">
            <v>618.41</v>
          </cell>
          <cell r="Q167">
            <v>0</v>
          </cell>
          <cell r="R167">
            <v>493.92</v>
          </cell>
          <cell r="S167">
            <v>0</v>
          </cell>
          <cell r="T167">
            <v>746.1</v>
          </cell>
          <cell r="U167">
            <v>0</v>
          </cell>
          <cell r="V167">
            <v>275.61</v>
          </cell>
          <cell r="W167">
            <v>0</v>
          </cell>
          <cell r="X167">
            <v>387.2</v>
          </cell>
          <cell r="Y167">
            <v>0</v>
          </cell>
          <cell r="Z167">
            <v>346.31</v>
          </cell>
          <cell r="AA167">
            <v>0</v>
          </cell>
          <cell r="AB167">
            <v>131.33000000000001</v>
          </cell>
          <cell r="AC167">
            <v>0</v>
          </cell>
          <cell r="AD167">
            <v>363.72</v>
          </cell>
          <cell r="AE167">
            <v>0</v>
          </cell>
          <cell r="AF167">
            <v>236.65</v>
          </cell>
          <cell r="AG167">
            <v>0</v>
          </cell>
          <cell r="AH167">
            <v>4699.4800000000005</v>
          </cell>
        </row>
        <row r="168">
          <cell r="D168">
            <v>55147</v>
          </cell>
          <cell r="E168" t="str">
            <v>Outside Repairs</v>
          </cell>
          <cell r="F168">
            <v>0</v>
          </cell>
          <cell r="G168">
            <v>0</v>
          </cell>
          <cell r="H168">
            <v>0</v>
          </cell>
          <cell r="I168">
            <v>0</v>
          </cell>
          <cell r="J168">
            <v>808.22</v>
          </cell>
          <cell r="K168">
            <v>0</v>
          </cell>
          <cell r="L168">
            <v>0</v>
          </cell>
          <cell r="M168">
            <v>0</v>
          </cell>
          <cell r="N168">
            <v>0</v>
          </cell>
          <cell r="O168">
            <v>0</v>
          </cell>
          <cell r="P168">
            <v>1738.31</v>
          </cell>
          <cell r="Q168">
            <v>0</v>
          </cell>
          <cell r="R168">
            <v>3740.88</v>
          </cell>
          <cell r="S168">
            <v>0</v>
          </cell>
          <cell r="T168">
            <v>-947.5</v>
          </cell>
          <cell r="U168">
            <v>0</v>
          </cell>
          <cell r="V168">
            <v>0</v>
          </cell>
          <cell r="W168">
            <v>0</v>
          </cell>
          <cell r="X168">
            <v>0</v>
          </cell>
          <cell r="Y168">
            <v>0</v>
          </cell>
          <cell r="Z168">
            <v>0</v>
          </cell>
          <cell r="AA168">
            <v>0</v>
          </cell>
          <cell r="AB168">
            <v>0</v>
          </cell>
          <cell r="AC168">
            <v>0</v>
          </cell>
          <cell r="AD168">
            <v>0</v>
          </cell>
          <cell r="AE168">
            <v>0</v>
          </cell>
          <cell r="AF168">
            <v>877.16</v>
          </cell>
          <cell r="AG168">
            <v>0</v>
          </cell>
          <cell r="AH168">
            <v>6217.0700000000006</v>
          </cell>
        </row>
        <row r="169">
          <cell r="D169">
            <v>0</v>
          </cell>
          <cell r="E169">
            <v>0</v>
          </cell>
          <cell r="F169">
            <v>0</v>
          </cell>
          <cell r="G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row>
        <row r="170">
          <cell r="F170" t="str">
            <v>Container Exp</v>
          </cell>
          <cell r="J170">
            <v>69408.670000000013</v>
          </cell>
          <cell r="K170">
            <v>0</v>
          </cell>
          <cell r="L170">
            <v>85280.690000000017</v>
          </cell>
          <cell r="M170">
            <v>0</v>
          </cell>
          <cell r="N170">
            <v>75437.509999999995</v>
          </cell>
          <cell r="O170">
            <v>0</v>
          </cell>
          <cell r="P170">
            <v>79330.87999999999</v>
          </cell>
          <cell r="Q170">
            <v>0</v>
          </cell>
          <cell r="R170">
            <v>104452.48000000001</v>
          </cell>
          <cell r="S170">
            <v>0</v>
          </cell>
          <cell r="T170">
            <v>98209.150000000023</v>
          </cell>
          <cell r="U170">
            <v>0</v>
          </cell>
          <cell r="V170">
            <v>84833.85000000002</v>
          </cell>
          <cell r="W170">
            <v>0</v>
          </cell>
          <cell r="X170">
            <v>83614.169999999969</v>
          </cell>
          <cell r="Y170">
            <v>0</v>
          </cell>
          <cell r="Z170">
            <v>84446.67</v>
          </cell>
          <cell r="AA170">
            <v>0</v>
          </cell>
          <cell r="AB170">
            <v>82487.22</v>
          </cell>
          <cell r="AC170">
            <v>0</v>
          </cell>
          <cell r="AD170">
            <v>84125.150000000009</v>
          </cell>
          <cell r="AE170">
            <v>0</v>
          </cell>
          <cell r="AF170">
            <v>86167.12000000001</v>
          </cell>
          <cell r="AG170">
            <v>0</v>
          </cell>
          <cell r="AH170">
            <v>1017793.56</v>
          </cell>
        </row>
        <row r="171">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row>
        <row r="172">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row>
        <row r="173">
          <cell r="D173">
            <v>56010</v>
          </cell>
          <cell r="E173" t="str">
            <v>Salaries</v>
          </cell>
          <cell r="F173">
            <v>0</v>
          </cell>
          <cell r="G173">
            <v>0</v>
          </cell>
          <cell r="H173">
            <v>0</v>
          </cell>
          <cell r="I173">
            <v>0</v>
          </cell>
          <cell r="J173">
            <v>31928.21</v>
          </cell>
          <cell r="K173">
            <v>0</v>
          </cell>
          <cell r="L173">
            <v>35975</v>
          </cell>
          <cell r="M173">
            <v>0</v>
          </cell>
          <cell r="N173">
            <v>23419.599999999999</v>
          </cell>
          <cell r="O173">
            <v>0</v>
          </cell>
          <cell r="P173">
            <v>22957.52</v>
          </cell>
          <cell r="Q173">
            <v>0</v>
          </cell>
          <cell r="R173">
            <v>22112.15</v>
          </cell>
          <cell r="S173">
            <v>0</v>
          </cell>
          <cell r="T173">
            <v>26943.919999999998</v>
          </cell>
          <cell r="U173">
            <v>0</v>
          </cell>
          <cell r="V173">
            <v>30395.91</v>
          </cell>
          <cell r="W173">
            <v>0</v>
          </cell>
          <cell r="X173">
            <v>34974.29</v>
          </cell>
          <cell r="Y173">
            <v>0</v>
          </cell>
          <cell r="Z173">
            <v>33624.11</v>
          </cell>
          <cell r="AA173">
            <v>0</v>
          </cell>
          <cell r="AB173">
            <v>32273.919999999998</v>
          </cell>
          <cell r="AC173">
            <v>0</v>
          </cell>
          <cell r="AD173">
            <v>34974.31</v>
          </cell>
          <cell r="AE173">
            <v>0</v>
          </cell>
          <cell r="AF173">
            <v>32542.19</v>
          </cell>
          <cell r="AG173">
            <v>0</v>
          </cell>
          <cell r="AH173">
            <v>362121.13</v>
          </cell>
        </row>
        <row r="174">
          <cell r="D174">
            <v>56035</v>
          </cell>
          <cell r="E174" t="str">
            <v>Safety Bonuses</v>
          </cell>
          <cell r="F174">
            <v>0</v>
          </cell>
          <cell r="G174">
            <v>0</v>
          </cell>
          <cell r="H174">
            <v>0</v>
          </cell>
          <cell r="I174">
            <v>0</v>
          </cell>
          <cell r="J174">
            <v>0</v>
          </cell>
          <cell r="K174">
            <v>0</v>
          </cell>
          <cell r="L174">
            <v>2000</v>
          </cell>
          <cell r="M174">
            <v>0</v>
          </cell>
          <cell r="N174">
            <v>0</v>
          </cell>
          <cell r="O174">
            <v>0</v>
          </cell>
          <cell r="P174">
            <v>0</v>
          </cell>
          <cell r="Q174">
            <v>0</v>
          </cell>
          <cell r="R174">
            <v>0</v>
          </cell>
          <cell r="S174">
            <v>0</v>
          </cell>
          <cell r="T174">
            <v>0</v>
          </cell>
          <cell r="U174">
            <v>0</v>
          </cell>
          <cell r="V174">
            <v>0</v>
          </cell>
          <cell r="W174">
            <v>0</v>
          </cell>
          <cell r="X174">
            <v>400</v>
          </cell>
          <cell r="Y174">
            <v>0</v>
          </cell>
          <cell r="Z174">
            <v>0</v>
          </cell>
          <cell r="AA174">
            <v>0</v>
          </cell>
          <cell r="AB174">
            <v>0</v>
          </cell>
          <cell r="AC174">
            <v>0</v>
          </cell>
          <cell r="AD174">
            <v>0</v>
          </cell>
          <cell r="AE174">
            <v>0</v>
          </cell>
          <cell r="AF174">
            <v>0</v>
          </cell>
          <cell r="AG174">
            <v>0</v>
          </cell>
          <cell r="AH174">
            <v>2400</v>
          </cell>
        </row>
        <row r="175">
          <cell r="D175">
            <v>56050</v>
          </cell>
          <cell r="E175" t="str">
            <v>Payroll Taxes</v>
          </cell>
          <cell r="F175">
            <v>0</v>
          </cell>
          <cell r="G175">
            <v>0</v>
          </cell>
          <cell r="H175">
            <v>0</v>
          </cell>
          <cell r="I175">
            <v>0</v>
          </cell>
          <cell r="J175">
            <v>1738.21</v>
          </cell>
          <cell r="K175">
            <v>0</v>
          </cell>
          <cell r="L175">
            <v>2882.86</v>
          </cell>
          <cell r="M175">
            <v>0</v>
          </cell>
          <cell r="N175">
            <v>-261.44</v>
          </cell>
          <cell r="O175">
            <v>0</v>
          </cell>
          <cell r="P175">
            <v>1488.81</v>
          </cell>
          <cell r="Q175">
            <v>0</v>
          </cell>
          <cell r="R175">
            <v>1396.55</v>
          </cell>
          <cell r="S175">
            <v>0</v>
          </cell>
          <cell r="T175">
            <v>1785.35</v>
          </cell>
          <cell r="U175">
            <v>0</v>
          </cell>
          <cell r="V175">
            <v>3041.06</v>
          </cell>
          <cell r="W175">
            <v>0</v>
          </cell>
          <cell r="X175">
            <v>2458.2199999999998</v>
          </cell>
          <cell r="Y175">
            <v>0</v>
          </cell>
          <cell r="Z175">
            <v>2203.44</v>
          </cell>
          <cell r="AA175">
            <v>0</v>
          </cell>
          <cell r="AB175">
            <v>2109.5</v>
          </cell>
          <cell r="AC175">
            <v>0</v>
          </cell>
          <cell r="AD175">
            <v>2310.4</v>
          </cell>
          <cell r="AE175">
            <v>0</v>
          </cell>
          <cell r="AF175">
            <v>2130.0500000000002</v>
          </cell>
          <cell r="AG175">
            <v>0</v>
          </cell>
          <cell r="AH175">
            <v>23283.010000000002</v>
          </cell>
        </row>
        <row r="176">
          <cell r="D176">
            <v>56060</v>
          </cell>
          <cell r="E176" t="str">
            <v>Group Insurance</v>
          </cell>
          <cell r="F176">
            <v>0</v>
          </cell>
          <cell r="G176">
            <v>0</v>
          </cell>
          <cell r="H176">
            <v>0</v>
          </cell>
          <cell r="I176">
            <v>0</v>
          </cell>
          <cell r="J176">
            <v>4978.26</v>
          </cell>
          <cell r="K176">
            <v>0</v>
          </cell>
          <cell r="L176">
            <v>5255.21</v>
          </cell>
          <cell r="M176">
            <v>0</v>
          </cell>
          <cell r="N176">
            <v>4109.76</v>
          </cell>
          <cell r="O176">
            <v>0</v>
          </cell>
          <cell r="P176">
            <v>2579.06</v>
          </cell>
          <cell r="Q176">
            <v>0</v>
          </cell>
          <cell r="R176">
            <v>3375.48</v>
          </cell>
          <cell r="S176">
            <v>0</v>
          </cell>
          <cell r="T176">
            <v>2801.36</v>
          </cell>
          <cell r="U176">
            <v>0</v>
          </cell>
          <cell r="V176">
            <v>4154.66</v>
          </cell>
          <cell r="W176">
            <v>0</v>
          </cell>
          <cell r="X176">
            <v>5362.23</v>
          </cell>
          <cell r="Y176">
            <v>0</v>
          </cell>
          <cell r="Z176">
            <v>5425.76</v>
          </cell>
          <cell r="AA176">
            <v>0</v>
          </cell>
          <cell r="AB176">
            <v>5363.36</v>
          </cell>
          <cell r="AC176">
            <v>0</v>
          </cell>
          <cell r="AD176">
            <v>4982.6400000000003</v>
          </cell>
          <cell r="AE176">
            <v>0</v>
          </cell>
          <cell r="AF176">
            <v>5362.9</v>
          </cell>
          <cell r="AG176">
            <v>0</v>
          </cell>
          <cell r="AH176">
            <v>53750.680000000008</v>
          </cell>
        </row>
        <row r="177">
          <cell r="D177">
            <v>56065</v>
          </cell>
          <cell r="E177" t="str">
            <v>Vacation Pay</v>
          </cell>
          <cell r="F177">
            <v>0</v>
          </cell>
          <cell r="G177">
            <v>0</v>
          </cell>
          <cell r="H177">
            <v>0</v>
          </cell>
          <cell r="I177">
            <v>0</v>
          </cell>
          <cell r="J177">
            <v>-2204.06</v>
          </cell>
          <cell r="K177">
            <v>0</v>
          </cell>
          <cell r="L177">
            <v>0</v>
          </cell>
          <cell r="M177">
            <v>0</v>
          </cell>
          <cell r="N177">
            <v>-24674.73</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-26878.79</v>
          </cell>
        </row>
        <row r="178">
          <cell r="D178">
            <v>56070</v>
          </cell>
          <cell r="E178" t="str">
            <v>Sick Pay</v>
          </cell>
          <cell r="F178">
            <v>0</v>
          </cell>
          <cell r="G178">
            <v>0</v>
          </cell>
          <cell r="H178">
            <v>0</v>
          </cell>
          <cell r="I178">
            <v>0</v>
          </cell>
          <cell r="J178">
            <v>-3046.15</v>
          </cell>
          <cell r="K178">
            <v>0</v>
          </cell>
          <cell r="L178">
            <v>-3046.15</v>
          </cell>
          <cell r="M178">
            <v>0</v>
          </cell>
          <cell r="N178">
            <v>3046.15</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-3046.15</v>
          </cell>
        </row>
        <row r="179">
          <cell r="D179">
            <v>56090</v>
          </cell>
          <cell r="E179" t="str">
            <v>Uniforms</v>
          </cell>
          <cell r="F179">
            <v>0</v>
          </cell>
          <cell r="G179">
            <v>0</v>
          </cell>
          <cell r="H179">
            <v>0</v>
          </cell>
          <cell r="I179">
            <v>0</v>
          </cell>
          <cell r="J179">
            <v>257.11</v>
          </cell>
          <cell r="K179">
            <v>0</v>
          </cell>
          <cell r="L179">
            <v>0</v>
          </cell>
          <cell r="M179">
            <v>0</v>
          </cell>
          <cell r="N179">
            <v>0</v>
          </cell>
          <cell r="O179">
            <v>0</v>
          </cell>
          <cell r="P179">
            <v>150</v>
          </cell>
          <cell r="Q179">
            <v>0</v>
          </cell>
          <cell r="R179">
            <v>0</v>
          </cell>
          <cell r="S179">
            <v>0</v>
          </cell>
          <cell r="T179">
            <v>0</v>
          </cell>
          <cell r="U179">
            <v>0</v>
          </cell>
          <cell r="V179">
            <v>731.2</v>
          </cell>
          <cell r="W179">
            <v>0</v>
          </cell>
          <cell r="X179">
            <v>158.49</v>
          </cell>
          <cell r="Y179">
            <v>0</v>
          </cell>
          <cell r="Z179">
            <v>0</v>
          </cell>
          <cell r="AA179">
            <v>0</v>
          </cell>
          <cell r="AB179">
            <v>288.83999999999997</v>
          </cell>
          <cell r="AC179">
            <v>0</v>
          </cell>
          <cell r="AD179">
            <v>0</v>
          </cell>
          <cell r="AE179">
            <v>0</v>
          </cell>
          <cell r="AF179">
            <v>0</v>
          </cell>
          <cell r="AG179">
            <v>0</v>
          </cell>
          <cell r="AH179">
            <v>1585.6399999999999</v>
          </cell>
        </row>
        <row r="180">
          <cell r="D180">
            <v>56115</v>
          </cell>
          <cell r="E180" t="str">
            <v>Pension and Profit Sharing</v>
          </cell>
          <cell r="F180">
            <v>0</v>
          </cell>
          <cell r="G180">
            <v>0</v>
          </cell>
          <cell r="H180">
            <v>0</v>
          </cell>
          <cell r="I180">
            <v>0</v>
          </cell>
          <cell r="J180">
            <v>622.12</v>
          </cell>
          <cell r="K180">
            <v>0</v>
          </cell>
          <cell r="L180">
            <v>1135.6600000000001</v>
          </cell>
          <cell r="M180">
            <v>0</v>
          </cell>
          <cell r="N180">
            <v>557.44000000000005</v>
          </cell>
          <cell r="O180">
            <v>0</v>
          </cell>
          <cell r="P180">
            <v>960.86</v>
          </cell>
          <cell r="Q180">
            <v>0</v>
          </cell>
          <cell r="R180">
            <v>315.39999999999998</v>
          </cell>
          <cell r="S180">
            <v>0</v>
          </cell>
          <cell r="T180">
            <v>399.44</v>
          </cell>
          <cell r="U180">
            <v>0</v>
          </cell>
          <cell r="V180">
            <v>499</v>
          </cell>
          <cell r="W180">
            <v>0</v>
          </cell>
          <cell r="X180">
            <v>487.6</v>
          </cell>
          <cell r="Y180">
            <v>0</v>
          </cell>
          <cell r="Z180">
            <v>713.4</v>
          </cell>
          <cell r="AA180">
            <v>0</v>
          </cell>
          <cell r="AB180">
            <v>526.36</v>
          </cell>
          <cell r="AC180">
            <v>0</v>
          </cell>
          <cell r="AD180">
            <v>526.36</v>
          </cell>
          <cell r="AE180">
            <v>0</v>
          </cell>
          <cell r="AF180">
            <v>526.36</v>
          </cell>
          <cell r="AG180">
            <v>0</v>
          </cell>
          <cell r="AH180">
            <v>7269.9999999999991</v>
          </cell>
        </row>
        <row r="181">
          <cell r="D181">
            <v>56165</v>
          </cell>
          <cell r="E181" t="str">
            <v>Communications</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240</v>
          </cell>
          <cell r="AE181">
            <v>0</v>
          </cell>
          <cell r="AF181">
            <v>0</v>
          </cell>
          <cell r="AG181">
            <v>0</v>
          </cell>
          <cell r="AH181">
            <v>240</v>
          </cell>
        </row>
        <row r="182">
          <cell r="D182">
            <v>56200</v>
          </cell>
          <cell r="E182" t="str">
            <v>Travel</v>
          </cell>
          <cell r="F182">
            <v>0</v>
          </cell>
          <cell r="G182">
            <v>0</v>
          </cell>
          <cell r="H182">
            <v>0</v>
          </cell>
          <cell r="I182">
            <v>0</v>
          </cell>
          <cell r="J182">
            <v>22</v>
          </cell>
          <cell r="K182">
            <v>0</v>
          </cell>
          <cell r="L182">
            <v>0</v>
          </cell>
          <cell r="M182">
            <v>0</v>
          </cell>
          <cell r="N182">
            <v>0</v>
          </cell>
          <cell r="O182">
            <v>0</v>
          </cell>
          <cell r="P182">
            <v>0</v>
          </cell>
          <cell r="Q182">
            <v>0</v>
          </cell>
          <cell r="R182">
            <v>0</v>
          </cell>
          <cell r="S182">
            <v>0</v>
          </cell>
          <cell r="T182">
            <v>80</v>
          </cell>
          <cell r="U182">
            <v>0</v>
          </cell>
          <cell r="V182">
            <v>0</v>
          </cell>
          <cell r="W182">
            <v>0</v>
          </cell>
          <cell r="X182">
            <v>0</v>
          </cell>
          <cell r="Y182">
            <v>0</v>
          </cell>
          <cell r="Z182">
            <v>0</v>
          </cell>
          <cell r="AA182">
            <v>0</v>
          </cell>
          <cell r="AB182">
            <v>0</v>
          </cell>
          <cell r="AC182">
            <v>0</v>
          </cell>
          <cell r="AD182">
            <v>24.17</v>
          </cell>
          <cell r="AE182">
            <v>0</v>
          </cell>
          <cell r="AF182">
            <v>0</v>
          </cell>
          <cell r="AG182">
            <v>0</v>
          </cell>
          <cell r="AH182">
            <v>126.17</v>
          </cell>
        </row>
        <row r="183">
          <cell r="D183">
            <v>56201</v>
          </cell>
          <cell r="E183" t="str">
            <v>Meals and Entertainment</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127.59</v>
          </cell>
          <cell r="U183">
            <v>0</v>
          </cell>
          <cell r="V183">
            <v>0</v>
          </cell>
          <cell r="W183">
            <v>0</v>
          </cell>
          <cell r="X183">
            <v>0</v>
          </cell>
          <cell r="Y183">
            <v>0</v>
          </cell>
          <cell r="Z183">
            <v>0</v>
          </cell>
          <cell r="AA183">
            <v>0</v>
          </cell>
          <cell r="AB183">
            <v>0</v>
          </cell>
          <cell r="AC183">
            <v>0</v>
          </cell>
          <cell r="AD183">
            <v>230.67</v>
          </cell>
          <cell r="AE183">
            <v>0</v>
          </cell>
          <cell r="AF183">
            <v>0</v>
          </cell>
          <cell r="AG183">
            <v>0</v>
          </cell>
          <cell r="AH183">
            <v>358.26</v>
          </cell>
        </row>
        <row r="184">
          <cell r="D184">
            <v>0</v>
          </cell>
          <cell r="E184">
            <v>0</v>
          </cell>
          <cell r="F184">
            <v>0</v>
          </cell>
          <cell r="G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row>
        <row r="185">
          <cell r="F185" t="str">
            <v>Superv. Ex</v>
          </cell>
          <cell r="J185">
            <v>34295.700000000004</v>
          </cell>
          <cell r="K185">
            <v>0</v>
          </cell>
          <cell r="L185">
            <v>44202.58</v>
          </cell>
          <cell r="M185">
            <v>0</v>
          </cell>
          <cell r="N185">
            <v>6196.7799999999988</v>
          </cell>
          <cell r="O185">
            <v>0</v>
          </cell>
          <cell r="P185">
            <v>28136.250000000004</v>
          </cell>
          <cell r="Q185">
            <v>0</v>
          </cell>
          <cell r="R185">
            <v>27199.58</v>
          </cell>
          <cell r="S185">
            <v>0</v>
          </cell>
          <cell r="T185">
            <v>32137.659999999996</v>
          </cell>
          <cell r="U185">
            <v>0</v>
          </cell>
          <cell r="V185">
            <v>38821.83</v>
          </cell>
          <cell r="W185">
            <v>0</v>
          </cell>
          <cell r="X185">
            <v>43840.83</v>
          </cell>
          <cell r="Y185">
            <v>0</v>
          </cell>
          <cell r="Z185">
            <v>41966.710000000006</v>
          </cell>
          <cell r="AA185">
            <v>0</v>
          </cell>
          <cell r="AB185">
            <v>40561.979999999996</v>
          </cell>
          <cell r="AC185">
            <v>0</v>
          </cell>
          <cell r="AD185">
            <v>43288.549999999996</v>
          </cell>
          <cell r="AE185">
            <v>0</v>
          </cell>
          <cell r="AF185">
            <v>40561.5</v>
          </cell>
          <cell r="AG185">
            <v>0</v>
          </cell>
          <cell r="AH185">
            <v>421209.95</v>
          </cell>
        </row>
        <row r="186">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row>
        <row r="187">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row>
        <row r="188">
          <cell r="D188">
            <v>57125</v>
          </cell>
          <cell r="E188" t="str">
            <v>Operating Supplies</v>
          </cell>
          <cell r="F188">
            <v>0</v>
          </cell>
          <cell r="G188">
            <v>0</v>
          </cell>
          <cell r="H188">
            <v>0</v>
          </cell>
          <cell r="I188">
            <v>0</v>
          </cell>
          <cell r="J188">
            <v>2631.13</v>
          </cell>
          <cell r="K188">
            <v>0</v>
          </cell>
          <cell r="L188">
            <v>6702.36</v>
          </cell>
          <cell r="M188">
            <v>0</v>
          </cell>
          <cell r="N188">
            <v>12389.63</v>
          </cell>
          <cell r="O188">
            <v>0</v>
          </cell>
          <cell r="P188">
            <v>537.27</v>
          </cell>
          <cell r="Q188">
            <v>0</v>
          </cell>
          <cell r="R188">
            <v>6544.77</v>
          </cell>
          <cell r="S188">
            <v>0</v>
          </cell>
          <cell r="T188">
            <v>240.9</v>
          </cell>
          <cell r="U188">
            <v>0</v>
          </cell>
          <cell r="V188">
            <v>0</v>
          </cell>
          <cell r="W188">
            <v>0</v>
          </cell>
          <cell r="X188">
            <v>4160.6099999999997</v>
          </cell>
          <cell r="Y188">
            <v>0</v>
          </cell>
          <cell r="Z188">
            <v>0</v>
          </cell>
          <cell r="AA188">
            <v>0</v>
          </cell>
          <cell r="AB188">
            <v>1326.18</v>
          </cell>
          <cell r="AC188">
            <v>0</v>
          </cell>
          <cell r="AD188">
            <v>6732.93</v>
          </cell>
          <cell r="AE188">
            <v>0</v>
          </cell>
          <cell r="AF188">
            <v>3038.34</v>
          </cell>
          <cell r="AG188">
            <v>0</v>
          </cell>
          <cell r="AH188">
            <v>44304.12</v>
          </cell>
        </row>
        <row r="189">
          <cell r="D189">
            <v>57147</v>
          </cell>
          <cell r="E189" t="str">
            <v>Bldg &amp; Property</v>
          </cell>
          <cell r="F189">
            <v>0</v>
          </cell>
          <cell r="G189">
            <v>0</v>
          </cell>
          <cell r="H189">
            <v>0</v>
          </cell>
          <cell r="I189">
            <v>0</v>
          </cell>
          <cell r="J189">
            <v>19845.34</v>
          </cell>
          <cell r="K189">
            <v>0</v>
          </cell>
          <cell r="L189">
            <v>15435.34</v>
          </cell>
          <cell r="M189">
            <v>0</v>
          </cell>
          <cell r="N189">
            <v>22628.35</v>
          </cell>
          <cell r="O189">
            <v>0</v>
          </cell>
          <cell r="P189">
            <v>20929.810000000001</v>
          </cell>
          <cell r="Q189">
            <v>0</v>
          </cell>
          <cell r="R189">
            <v>10463.14</v>
          </cell>
          <cell r="S189">
            <v>0</v>
          </cell>
          <cell r="T189">
            <v>18889.79</v>
          </cell>
          <cell r="U189">
            <v>0</v>
          </cell>
          <cell r="V189">
            <v>17899.169999999998</v>
          </cell>
          <cell r="W189">
            <v>0</v>
          </cell>
          <cell r="X189">
            <v>14155.25</v>
          </cell>
          <cell r="Y189">
            <v>0</v>
          </cell>
          <cell r="Z189">
            <v>38147.300000000003</v>
          </cell>
          <cell r="AA189">
            <v>0</v>
          </cell>
          <cell r="AB189">
            <v>14635.23</v>
          </cell>
          <cell r="AC189">
            <v>0</v>
          </cell>
          <cell r="AD189">
            <v>24053.02</v>
          </cell>
          <cell r="AE189">
            <v>0</v>
          </cell>
          <cell r="AF189">
            <v>18331.04</v>
          </cell>
          <cell r="AG189">
            <v>0</v>
          </cell>
          <cell r="AH189">
            <v>235412.78</v>
          </cell>
        </row>
        <row r="190">
          <cell r="D190">
            <v>57148</v>
          </cell>
          <cell r="E190" t="str">
            <v>Allocated In - District</v>
          </cell>
          <cell r="F190">
            <v>0</v>
          </cell>
          <cell r="G190">
            <v>0</v>
          </cell>
          <cell r="H190">
            <v>0</v>
          </cell>
          <cell r="I190">
            <v>0</v>
          </cell>
          <cell r="J190">
            <v>0</v>
          </cell>
          <cell r="K190">
            <v>0</v>
          </cell>
          <cell r="L190">
            <v>0</v>
          </cell>
          <cell r="M190">
            <v>0</v>
          </cell>
          <cell r="N190">
            <v>8005.07</v>
          </cell>
          <cell r="O190">
            <v>0</v>
          </cell>
          <cell r="P190">
            <v>8005.07</v>
          </cell>
          <cell r="Q190">
            <v>0</v>
          </cell>
          <cell r="R190">
            <v>8005.07</v>
          </cell>
          <cell r="S190">
            <v>0</v>
          </cell>
          <cell r="T190">
            <v>8005.07</v>
          </cell>
          <cell r="U190">
            <v>0</v>
          </cell>
          <cell r="V190">
            <v>8005.07</v>
          </cell>
          <cell r="W190">
            <v>0</v>
          </cell>
          <cell r="X190">
            <v>8005.07</v>
          </cell>
          <cell r="Y190">
            <v>0</v>
          </cell>
          <cell r="Z190">
            <v>8005.07</v>
          </cell>
          <cell r="AA190">
            <v>0</v>
          </cell>
          <cell r="AB190">
            <v>8005.07</v>
          </cell>
          <cell r="AC190">
            <v>0</v>
          </cell>
          <cell r="AD190">
            <v>8005.07</v>
          </cell>
          <cell r="AE190">
            <v>0</v>
          </cell>
          <cell r="AF190">
            <v>8005.07</v>
          </cell>
          <cell r="AG190">
            <v>0</v>
          </cell>
          <cell r="AH190">
            <v>80050.700000000012</v>
          </cell>
        </row>
        <row r="191">
          <cell r="D191">
            <v>57150</v>
          </cell>
          <cell r="E191" t="str">
            <v>Utilities</v>
          </cell>
          <cell r="F191">
            <v>0</v>
          </cell>
          <cell r="G191">
            <v>0</v>
          </cell>
          <cell r="H191">
            <v>0</v>
          </cell>
          <cell r="I191">
            <v>0</v>
          </cell>
          <cell r="J191">
            <v>1808.84</v>
          </cell>
          <cell r="K191">
            <v>0</v>
          </cell>
          <cell r="L191">
            <v>5960.11</v>
          </cell>
          <cell r="M191">
            <v>0</v>
          </cell>
          <cell r="N191">
            <v>5909.65</v>
          </cell>
          <cell r="O191">
            <v>0</v>
          </cell>
          <cell r="P191">
            <v>6026.76</v>
          </cell>
          <cell r="Q191">
            <v>0</v>
          </cell>
          <cell r="R191">
            <v>5830.47</v>
          </cell>
          <cell r="S191">
            <v>0</v>
          </cell>
          <cell r="T191">
            <v>5318.89</v>
          </cell>
          <cell r="U191">
            <v>0</v>
          </cell>
          <cell r="V191">
            <v>5152.78</v>
          </cell>
          <cell r="W191">
            <v>0</v>
          </cell>
          <cell r="X191">
            <v>8883.9</v>
          </cell>
          <cell r="Y191">
            <v>0</v>
          </cell>
          <cell r="Z191">
            <v>7735.45</v>
          </cell>
          <cell r="AA191">
            <v>0</v>
          </cell>
          <cell r="AB191">
            <v>7441.99</v>
          </cell>
          <cell r="AC191">
            <v>0</v>
          </cell>
          <cell r="AD191">
            <v>10352.36</v>
          </cell>
          <cell r="AE191">
            <v>0</v>
          </cell>
          <cell r="AF191">
            <v>10703.73</v>
          </cell>
          <cell r="AG191">
            <v>0</v>
          </cell>
          <cell r="AH191">
            <v>81124.929999999993</v>
          </cell>
        </row>
        <row r="192">
          <cell r="D192">
            <v>57170</v>
          </cell>
          <cell r="E192" t="str">
            <v>Qualifying Operating Lease Expense</v>
          </cell>
          <cell r="F192">
            <v>0</v>
          </cell>
          <cell r="G192">
            <v>0</v>
          </cell>
          <cell r="H192">
            <v>0</v>
          </cell>
          <cell r="I192">
            <v>0</v>
          </cell>
          <cell r="J192">
            <v>9209.5</v>
          </cell>
          <cell r="K192">
            <v>0</v>
          </cell>
          <cell r="L192">
            <v>8988.5</v>
          </cell>
          <cell r="M192">
            <v>0</v>
          </cell>
          <cell r="N192">
            <v>285</v>
          </cell>
          <cell r="O192">
            <v>0</v>
          </cell>
          <cell r="P192">
            <v>285</v>
          </cell>
          <cell r="Q192">
            <v>0</v>
          </cell>
          <cell r="R192">
            <v>285</v>
          </cell>
          <cell r="S192">
            <v>0</v>
          </cell>
          <cell r="T192">
            <v>285</v>
          </cell>
          <cell r="U192">
            <v>0</v>
          </cell>
          <cell r="V192">
            <v>285</v>
          </cell>
          <cell r="W192">
            <v>0</v>
          </cell>
          <cell r="X192">
            <v>285</v>
          </cell>
          <cell r="Y192">
            <v>0</v>
          </cell>
          <cell r="Z192">
            <v>285</v>
          </cell>
          <cell r="AA192">
            <v>0</v>
          </cell>
          <cell r="AB192">
            <v>285</v>
          </cell>
          <cell r="AC192">
            <v>0</v>
          </cell>
          <cell r="AD192">
            <v>285</v>
          </cell>
          <cell r="AE192">
            <v>0</v>
          </cell>
          <cell r="AF192">
            <v>285</v>
          </cell>
          <cell r="AG192">
            <v>0</v>
          </cell>
          <cell r="AH192">
            <v>21048</v>
          </cell>
        </row>
        <row r="193">
          <cell r="D193">
            <v>57254</v>
          </cell>
          <cell r="E193" t="str">
            <v>Drive Cam &amp; Routing SW Fees</v>
          </cell>
          <cell r="F193">
            <v>0</v>
          </cell>
          <cell r="G193">
            <v>0</v>
          </cell>
          <cell r="H193">
            <v>0</v>
          </cell>
          <cell r="I193">
            <v>0</v>
          </cell>
          <cell r="J193">
            <v>18370.59</v>
          </cell>
          <cell r="K193">
            <v>0</v>
          </cell>
          <cell r="L193">
            <v>18044.07</v>
          </cell>
          <cell r="M193">
            <v>0</v>
          </cell>
          <cell r="N193">
            <v>18044.060000000001</v>
          </cell>
          <cell r="O193">
            <v>0</v>
          </cell>
          <cell r="P193">
            <v>18044.060000000001</v>
          </cell>
          <cell r="Q193">
            <v>0</v>
          </cell>
          <cell r="R193">
            <v>18044.060000000001</v>
          </cell>
          <cell r="S193">
            <v>0</v>
          </cell>
          <cell r="T193">
            <v>18044.060000000001</v>
          </cell>
          <cell r="U193">
            <v>0</v>
          </cell>
          <cell r="V193">
            <v>18044.060000000001</v>
          </cell>
          <cell r="W193">
            <v>0</v>
          </cell>
          <cell r="X193">
            <v>18208.009999999998</v>
          </cell>
          <cell r="Y193">
            <v>0</v>
          </cell>
          <cell r="Z193">
            <v>18185.150000000001</v>
          </cell>
          <cell r="AA193">
            <v>0</v>
          </cell>
          <cell r="AB193">
            <v>18185.150000000001</v>
          </cell>
          <cell r="AC193">
            <v>0</v>
          </cell>
          <cell r="AD193">
            <v>20842.060000000001</v>
          </cell>
          <cell r="AE193">
            <v>0</v>
          </cell>
          <cell r="AF193">
            <v>20981.95</v>
          </cell>
          <cell r="AG193">
            <v>0</v>
          </cell>
          <cell r="AH193">
            <v>223037.28</v>
          </cell>
        </row>
        <row r="194">
          <cell r="D194">
            <v>57255</v>
          </cell>
          <cell r="E194" t="str">
            <v>Other Prof Fees</v>
          </cell>
          <cell r="F194">
            <v>0</v>
          </cell>
          <cell r="G194">
            <v>0</v>
          </cell>
          <cell r="H194">
            <v>0</v>
          </cell>
          <cell r="I194">
            <v>0</v>
          </cell>
          <cell r="J194">
            <v>220</v>
          </cell>
          <cell r="K194">
            <v>0</v>
          </cell>
          <cell r="L194">
            <v>220</v>
          </cell>
          <cell r="M194">
            <v>0</v>
          </cell>
          <cell r="N194">
            <v>220</v>
          </cell>
          <cell r="O194">
            <v>0</v>
          </cell>
          <cell r="P194">
            <v>384.49</v>
          </cell>
          <cell r="Q194">
            <v>0</v>
          </cell>
          <cell r="R194">
            <v>220</v>
          </cell>
          <cell r="S194">
            <v>0</v>
          </cell>
          <cell r="T194">
            <v>220</v>
          </cell>
          <cell r="U194">
            <v>0</v>
          </cell>
          <cell r="V194">
            <v>670</v>
          </cell>
          <cell r="W194">
            <v>0</v>
          </cell>
          <cell r="X194">
            <v>220</v>
          </cell>
          <cell r="Y194">
            <v>0</v>
          </cell>
          <cell r="Z194">
            <v>1282.82</v>
          </cell>
          <cell r="AA194">
            <v>0</v>
          </cell>
          <cell r="AB194">
            <v>1170.9100000000001</v>
          </cell>
          <cell r="AC194">
            <v>0</v>
          </cell>
          <cell r="AD194">
            <v>220</v>
          </cell>
          <cell r="AE194">
            <v>0</v>
          </cell>
          <cell r="AF194">
            <v>220</v>
          </cell>
          <cell r="AG194">
            <v>0</v>
          </cell>
          <cell r="AH194">
            <v>5268.2199999999993</v>
          </cell>
        </row>
        <row r="195">
          <cell r="D195">
            <v>57275</v>
          </cell>
          <cell r="E195" t="str">
            <v>Property Taxes</v>
          </cell>
          <cell r="F195">
            <v>0</v>
          </cell>
          <cell r="G195">
            <v>0</v>
          </cell>
          <cell r="H195">
            <v>0</v>
          </cell>
          <cell r="I195">
            <v>0</v>
          </cell>
          <cell r="J195">
            <v>20042.71</v>
          </cell>
          <cell r="K195">
            <v>0</v>
          </cell>
          <cell r="L195">
            <v>16381.43</v>
          </cell>
          <cell r="M195">
            <v>0</v>
          </cell>
          <cell r="N195">
            <v>16381.43</v>
          </cell>
          <cell r="O195">
            <v>0</v>
          </cell>
          <cell r="P195">
            <v>16381.43</v>
          </cell>
          <cell r="Q195">
            <v>0</v>
          </cell>
          <cell r="R195">
            <v>12933.14</v>
          </cell>
          <cell r="S195">
            <v>0</v>
          </cell>
          <cell r="T195">
            <v>15519.35</v>
          </cell>
          <cell r="U195">
            <v>0</v>
          </cell>
          <cell r="V195">
            <v>15519.35</v>
          </cell>
          <cell r="W195">
            <v>0</v>
          </cell>
          <cell r="X195">
            <v>15519.36</v>
          </cell>
          <cell r="Y195">
            <v>0</v>
          </cell>
          <cell r="Z195">
            <v>15519.36</v>
          </cell>
          <cell r="AA195">
            <v>0</v>
          </cell>
          <cell r="AB195">
            <v>15519.36</v>
          </cell>
          <cell r="AC195">
            <v>0</v>
          </cell>
          <cell r="AD195">
            <v>15519.36</v>
          </cell>
          <cell r="AE195">
            <v>0</v>
          </cell>
          <cell r="AF195">
            <v>15519.36</v>
          </cell>
          <cell r="AG195">
            <v>0</v>
          </cell>
          <cell r="AH195">
            <v>190755.63999999998</v>
          </cell>
        </row>
        <row r="196">
          <cell r="D196">
            <v>57280</v>
          </cell>
          <cell r="E196" t="str">
            <v>Other Taxes</v>
          </cell>
          <cell r="F196">
            <v>0</v>
          </cell>
          <cell r="G196">
            <v>0</v>
          </cell>
          <cell r="H196">
            <v>0</v>
          </cell>
          <cell r="I196">
            <v>0</v>
          </cell>
          <cell r="J196">
            <v>1471.5</v>
          </cell>
          <cell r="K196">
            <v>0</v>
          </cell>
          <cell r="L196">
            <v>931.15</v>
          </cell>
          <cell r="M196">
            <v>0</v>
          </cell>
          <cell r="N196">
            <v>594</v>
          </cell>
          <cell r="O196">
            <v>0</v>
          </cell>
          <cell r="P196">
            <v>892.4</v>
          </cell>
          <cell r="Q196">
            <v>0</v>
          </cell>
          <cell r="R196">
            <v>721.1</v>
          </cell>
          <cell r="S196">
            <v>0</v>
          </cell>
          <cell r="T196">
            <v>2509.9</v>
          </cell>
          <cell r="U196">
            <v>0</v>
          </cell>
          <cell r="V196">
            <v>2368.5</v>
          </cell>
          <cell r="W196">
            <v>0</v>
          </cell>
          <cell r="X196">
            <v>2240.1999999999998</v>
          </cell>
          <cell r="Y196">
            <v>0</v>
          </cell>
          <cell r="Z196">
            <v>2832.5</v>
          </cell>
          <cell r="AA196">
            <v>0</v>
          </cell>
          <cell r="AB196">
            <v>2018.7</v>
          </cell>
          <cell r="AC196">
            <v>0</v>
          </cell>
          <cell r="AD196">
            <v>1999</v>
          </cell>
          <cell r="AE196">
            <v>0</v>
          </cell>
          <cell r="AF196">
            <v>1090.5</v>
          </cell>
          <cell r="AG196">
            <v>0</v>
          </cell>
          <cell r="AH196">
            <v>19669.45</v>
          </cell>
        </row>
        <row r="197">
          <cell r="D197">
            <v>57345</v>
          </cell>
          <cell r="E197" t="str">
            <v>Security Services</v>
          </cell>
          <cell r="F197">
            <v>0</v>
          </cell>
          <cell r="G197">
            <v>0</v>
          </cell>
          <cell r="H197">
            <v>0</v>
          </cell>
          <cell r="I197">
            <v>0</v>
          </cell>
          <cell r="J197">
            <v>0</v>
          </cell>
          <cell r="K197">
            <v>0</v>
          </cell>
          <cell r="L197">
            <v>0</v>
          </cell>
          <cell r="M197">
            <v>0</v>
          </cell>
          <cell r="N197">
            <v>0</v>
          </cell>
          <cell r="O197">
            <v>0</v>
          </cell>
          <cell r="P197">
            <v>75</v>
          </cell>
          <cell r="Q197">
            <v>0</v>
          </cell>
          <cell r="R197">
            <v>75</v>
          </cell>
          <cell r="S197">
            <v>0</v>
          </cell>
          <cell r="T197">
            <v>0</v>
          </cell>
          <cell r="U197">
            <v>0</v>
          </cell>
          <cell r="V197">
            <v>0</v>
          </cell>
          <cell r="W197">
            <v>0</v>
          </cell>
          <cell r="X197">
            <v>0</v>
          </cell>
          <cell r="Y197">
            <v>0</v>
          </cell>
          <cell r="Z197">
            <v>75</v>
          </cell>
          <cell r="AA197">
            <v>0</v>
          </cell>
          <cell r="AB197">
            <v>36.43</v>
          </cell>
          <cell r="AC197">
            <v>0</v>
          </cell>
          <cell r="AD197">
            <v>36.43</v>
          </cell>
          <cell r="AE197">
            <v>0</v>
          </cell>
          <cell r="AF197">
            <v>0</v>
          </cell>
          <cell r="AG197">
            <v>0</v>
          </cell>
          <cell r="AH197">
            <v>297.86</v>
          </cell>
        </row>
        <row r="198">
          <cell r="D198">
            <v>57357</v>
          </cell>
          <cell r="E198" t="str">
            <v>Permits</v>
          </cell>
          <cell r="F198">
            <v>0</v>
          </cell>
          <cell r="G198">
            <v>0</v>
          </cell>
          <cell r="H198">
            <v>0</v>
          </cell>
          <cell r="I198">
            <v>0</v>
          </cell>
          <cell r="J198">
            <v>4403.24</v>
          </cell>
          <cell r="K198">
            <v>0</v>
          </cell>
          <cell r="L198">
            <v>-2927.63</v>
          </cell>
          <cell r="M198">
            <v>0</v>
          </cell>
          <cell r="N198">
            <v>1345.77</v>
          </cell>
          <cell r="O198">
            <v>0</v>
          </cell>
          <cell r="P198">
            <v>606.23</v>
          </cell>
          <cell r="Q198">
            <v>0</v>
          </cell>
          <cell r="R198">
            <v>2138.41</v>
          </cell>
          <cell r="S198">
            <v>0</v>
          </cell>
          <cell r="T198">
            <v>1360.96</v>
          </cell>
          <cell r="U198">
            <v>0</v>
          </cell>
          <cell r="V198">
            <v>554.37</v>
          </cell>
          <cell r="W198">
            <v>0</v>
          </cell>
          <cell r="X198">
            <v>498.75</v>
          </cell>
          <cell r="Y198">
            <v>0</v>
          </cell>
          <cell r="Z198">
            <v>498.75</v>
          </cell>
          <cell r="AA198">
            <v>0</v>
          </cell>
          <cell r="AB198">
            <v>1360.96</v>
          </cell>
          <cell r="AC198">
            <v>0</v>
          </cell>
          <cell r="AD198">
            <v>498.75</v>
          </cell>
          <cell r="AE198">
            <v>0</v>
          </cell>
          <cell r="AF198">
            <v>612.53</v>
          </cell>
          <cell r="AG198">
            <v>0</v>
          </cell>
          <cell r="AH198">
            <v>10951.09</v>
          </cell>
        </row>
        <row r="199">
          <cell r="D199">
            <v>57370</v>
          </cell>
          <cell r="E199" t="str">
            <v>Bonds Expense</v>
          </cell>
          <cell r="F199">
            <v>0</v>
          </cell>
          <cell r="G199">
            <v>0</v>
          </cell>
          <cell r="H199">
            <v>0</v>
          </cell>
          <cell r="I199">
            <v>0</v>
          </cell>
          <cell r="J199">
            <v>108.59</v>
          </cell>
          <cell r="K199">
            <v>0</v>
          </cell>
          <cell r="L199">
            <v>108.51</v>
          </cell>
          <cell r="M199">
            <v>0</v>
          </cell>
          <cell r="N199">
            <v>308.51</v>
          </cell>
          <cell r="O199">
            <v>0</v>
          </cell>
          <cell r="P199">
            <v>108.51</v>
          </cell>
          <cell r="Q199">
            <v>0</v>
          </cell>
          <cell r="R199">
            <v>108.51</v>
          </cell>
          <cell r="S199">
            <v>0</v>
          </cell>
          <cell r="T199">
            <v>108.51</v>
          </cell>
          <cell r="U199">
            <v>0</v>
          </cell>
          <cell r="V199">
            <v>108.51</v>
          </cell>
          <cell r="W199">
            <v>0</v>
          </cell>
          <cell r="X199">
            <v>97.67</v>
          </cell>
          <cell r="Y199">
            <v>0</v>
          </cell>
          <cell r="Z199">
            <v>97.67</v>
          </cell>
          <cell r="AA199">
            <v>0</v>
          </cell>
          <cell r="AB199">
            <v>97.67</v>
          </cell>
          <cell r="AC199">
            <v>0</v>
          </cell>
          <cell r="AD199">
            <v>97.67</v>
          </cell>
          <cell r="AE199">
            <v>0</v>
          </cell>
          <cell r="AF199">
            <v>197.67</v>
          </cell>
          <cell r="AG199">
            <v>0</v>
          </cell>
          <cell r="AH199">
            <v>1548</v>
          </cell>
        </row>
        <row r="200">
          <cell r="D200">
            <v>0</v>
          </cell>
          <cell r="E200">
            <v>0</v>
          </cell>
          <cell r="F200">
            <v>0</v>
          </cell>
          <cell r="G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row>
        <row r="201">
          <cell r="F201" t="str">
            <v>Other Operating</v>
          </cell>
          <cell r="J201">
            <v>78111.439999999988</v>
          </cell>
          <cell r="K201">
            <v>0</v>
          </cell>
          <cell r="L201">
            <v>69843.839999999982</v>
          </cell>
          <cell r="M201">
            <v>0</v>
          </cell>
          <cell r="N201">
            <v>86111.47</v>
          </cell>
          <cell r="O201">
            <v>0</v>
          </cell>
          <cell r="P201">
            <v>72276.029999999984</v>
          </cell>
          <cell r="Q201">
            <v>0</v>
          </cell>
          <cell r="R201">
            <v>65368.670000000006</v>
          </cell>
          <cell r="S201">
            <v>0</v>
          </cell>
          <cell r="T201">
            <v>70502.430000000008</v>
          </cell>
          <cell r="U201">
            <v>0</v>
          </cell>
          <cell r="V201">
            <v>68606.81</v>
          </cell>
          <cell r="W201">
            <v>0</v>
          </cell>
          <cell r="X201">
            <v>72273.819999999992</v>
          </cell>
          <cell r="Y201">
            <v>0</v>
          </cell>
          <cell r="Z201">
            <v>92664.07</v>
          </cell>
          <cell r="AA201">
            <v>0</v>
          </cell>
          <cell r="AB201">
            <v>70082.650000000009</v>
          </cell>
          <cell r="AC201">
            <v>0</v>
          </cell>
          <cell r="AD201">
            <v>88641.65</v>
          </cell>
          <cell r="AE201">
            <v>0</v>
          </cell>
          <cell r="AF201">
            <v>78985.19</v>
          </cell>
          <cell r="AG201">
            <v>0</v>
          </cell>
          <cell r="AH201">
            <v>913468.07</v>
          </cell>
        </row>
        <row r="202">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row>
        <row r="203">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row>
        <row r="204">
          <cell r="D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row>
        <row r="205">
          <cell r="F205" t="str">
            <v>Closure Exp</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row>
        <row r="206">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row>
        <row r="207">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row>
        <row r="208">
          <cell r="D208">
            <v>59340</v>
          </cell>
          <cell r="E208" t="str">
            <v>Self Insurance Premium</v>
          </cell>
          <cell r="F208">
            <v>0</v>
          </cell>
          <cell r="G208">
            <v>0</v>
          </cell>
          <cell r="H208">
            <v>0</v>
          </cell>
          <cell r="I208">
            <v>0</v>
          </cell>
          <cell r="J208">
            <v>11757.69</v>
          </cell>
          <cell r="K208">
            <v>0</v>
          </cell>
          <cell r="L208">
            <v>12469.11</v>
          </cell>
          <cell r="M208">
            <v>0</v>
          </cell>
          <cell r="N208">
            <v>12469.11</v>
          </cell>
          <cell r="O208">
            <v>0</v>
          </cell>
          <cell r="P208">
            <v>12469.11</v>
          </cell>
          <cell r="Q208">
            <v>0</v>
          </cell>
          <cell r="R208">
            <v>13429.95</v>
          </cell>
          <cell r="S208">
            <v>0</v>
          </cell>
          <cell r="T208">
            <v>13429.95</v>
          </cell>
          <cell r="U208">
            <v>0</v>
          </cell>
          <cell r="V208">
            <v>13429.95</v>
          </cell>
          <cell r="W208">
            <v>0</v>
          </cell>
          <cell r="X208">
            <v>13429.95</v>
          </cell>
          <cell r="Y208">
            <v>0</v>
          </cell>
          <cell r="Z208">
            <v>13429.95</v>
          </cell>
          <cell r="AA208">
            <v>0</v>
          </cell>
          <cell r="AB208">
            <v>13429.95</v>
          </cell>
          <cell r="AC208">
            <v>0</v>
          </cell>
          <cell r="AD208">
            <v>13429.95</v>
          </cell>
          <cell r="AE208">
            <v>0</v>
          </cell>
          <cell r="AF208">
            <v>13429.95</v>
          </cell>
          <cell r="AG208">
            <v>0</v>
          </cell>
          <cell r="AH208">
            <v>156604.62</v>
          </cell>
        </row>
        <row r="209">
          <cell r="D209">
            <v>59341</v>
          </cell>
          <cell r="E209" t="str">
            <v>A&amp;L - Current Year Claims</v>
          </cell>
          <cell r="F209">
            <v>0</v>
          </cell>
          <cell r="G209">
            <v>0</v>
          </cell>
          <cell r="H209">
            <v>0</v>
          </cell>
          <cell r="I209">
            <v>0</v>
          </cell>
          <cell r="J209">
            <v>0</v>
          </cell>
          <cell r="K209">
            <v>0</v>
          </cell>
          <cell r="L209">
            <v>0</v>
          </cell>
          <cell r="M209">
            <v>0</v>
          </cell>
          <cell r="N209">
            <v>2250</v>
          </cell>
          <cell r="O209">
            <v>0</v>
          </cell>
          <cell r="P209">
            <v>4000.5</v>
          </cell>
          <cell r="Q209">
            <v>0</v>
          </cell>
          <cell r="R209">
            <v>8750</v>
          </cell>
          <cell r="S209">
            <v>0</v>
          </cell>
          <cell r="T209">
            <v>37915.21</v>
          </cell>
          <cell r="U209">
            <v>0</v>
          </cell>
          <cell r="V209">
            <v>3465.59</v>
          </cell>
          <cell r="W209">
            <v>0</v>
          </cell>
          <cell r="X209">
            <v>8788.11</v>
          </cell>
          <cell r="Y209">
            <v>0</v>
          </cell>
          <cell r="Z209">
            <v>16250</v>
          </cell>
          <cell r="AA209">
            <v>0</v>
          </cell>
          <cell r="AB209">
            <v>-10476.1</v>
          </cell>
          <cell r="AC209">
            <v>0</v>
          </cell>
          <cell r="AD209">
            <v>0</v>
          </cell>
          <cell r="AE209">
            <v>0</v>
          </cell>
          <cell r="AF209">
            <v>98505</v>
          </cell>
          <cell r="AG209">
            <v>0</v>
          </cell>
          <cell r="AH209">
            <v>169448.31</v>
          </cell>
        </row>
        <row r="210">
          <cell r="D210">
            <v>59342</v>
          </cell>
          <cell r="E210" t="str">
            <v>A&amp;L - Prior Year Claims</v>
          </cell>
          <cell r="F210">
            <v>0</v>
          </cell>
          <cell r="G210">
            <v>0</v>
          </cell>
          <cell r="H210">
            <v>0</v>
          </cell>
          <cell r="I210">
            <v>0</v>
          </cell>
          <cell r="J210">
            <v>0</v>
          </cell>
          <cell r="K210">
            <v>0</v>
          </cell>
          <cell r="L210">
            <v>8250</v>
          </cell>
          <cell r="M210">
            <v>0</v>
          </cell>
          <cell r="N210">
            <v>-1060.5</v>
          </cell>
          <cell r="O210">
            <v>0</v>
          </cell>
          <cell r="P210">
            <v>2422.4899999999998</v>
          </cell>
          <cell r="Q210">
            <v>0</v>
          </cell>
          <cell r="R210">
            <v>1995.65</v>
          </cell>
          <cell r="S210">
            <v>0</v>
          </cell>
          <cell r="T210">
            <v>19500</v>
          </cell>
          <cell r="U210">
            <v>0</v>
          </cell>
          <cell r="V210">
            <v>6660.91</v>
          </cell>
          <cell r="W210">
            <v>0</v>
          </cell>
          <cell r="X210">
            <v>0</v>
          </cell>
          <cell r="Y210">
            <v>0</v>
          </cell>
          <cell r="Z210">
            <v>-1300</v>
          </cell>
          <cell r="AA210">
            <v>0</v>
          </cell>
          <cell r="AB210">
            <v>0</v>
          </cell>
          <cell r="AC210">
            <v>0</v>
          </cell>
          <cell r="AD210">
            <v>12500</v>
          </cell>
          <cell r="AE210">
            <v>0</v>
          </cell>
          <cell r="AF210">
            <v>-1417.91</v>
          </cell>
          <cell r="AG210">
            <v>0</v>
          </cell>
          <cell r="AH210">
            <v>47550.64</v>
          </cell>
        </row>
        <row r="211">
          <cell r="D211">
            <v>59343</v>
          </cell>
          <cell r="E211" t="str">
            <v>WC - Current Year Claims</v>
          </cell>
          <cell r="F211">
            <v>0</v>
          </cell>
          <cell r="G211">
            <v>0</v>
          </cell>
          <cell r="H211">
            <v>0</v>
          </cell>
          <cell r="I211">
            <v>0</v>
          </cell>
          <cell r="J211">
            <v>0</v>
          </cell>
          <cell r="K211">
            <v>0</v>
          </cell>
          <cell r="L211">
            <v>0</v>
          </cell>
          <cell r="M211">
            <v>0</v>
          </cell>
          <cell r="N211">
            <v>0</v>
          </cell>
          <cell r="O211">
            <v>0</v>
          </cell>
          <cell r="P211">
            <v>5199.76</v>
          </cell>
          <cell r="Q211">
            <v>0</v>
          </cell>
          <cell r="R211">
            <v>2408.31</v>
          </cell>
          <cell r="S211">
            <v>0</v>
          </cell>
          <cell r="T211">
            <v>2867</v>
          </cell>
          <cell r="U211">
            <v>0</v>
          </cell>
          <cell r="V211">
            <v>2854</v>
          </cell>
          <cell r="W211">
            <v>0</v>
          </cell>
          <cell r="X211">
            <v>7963.04</v>
          </cell>
          <cell r="Y211">
            <v>0</v>
          </cell>
          <cell r="Z211">
            <v>-1915.95</v>
          </cell>
          <cell r="AA211">
            <v>0</v>
          </cell>
          <cell r="AB211">
            <v>22277.52</v>
          </cell>
          <cell r="AC211">
            <v>0</v>
          </cell>
          <cell r="AD211">
            <v>15786.01</v>
          </cell>
          <cell r="AE211">
            <v>0</v>
          </cell>
          <cell r="AF211">
            <v>-1685.97</v>
          </cell>
          <cell r="AG211">
            <v>0</v>
          </cell>
          <cell r="AH211">
            <v>55753.72</v>
          </cell>
        </row>
        <row r="212">
          <cell r="D212">
            <v>59344</v>
          </cell>
          <cell r="E212" t="str">
            <v>WC - Prior Year Claims</v>
          </cell>
          <cell r="F212">
            <v>0</v>
          </cell>
          <cell r="G212">
            <v>0</v>
          </cell>
          <cell r="H212">
            <v>0</v>
          </cell>
          <cell r="I212">
            <v>0</v>
          </cell>
          <cell r="J212">
            <v>7400</v>
          </cell>
          <cell r="K212">
            <v>0</v>
          </cell>
          <cell r="L212">
            <v>-16105.83</v>
          </cell>
          <cell r="M212">
            <v>0</v>
          </cell>
          <cell r="N212">
            <v>-23520.52</v>
          </cell>
          <cell r="O212">
            <v>0</v>
          </cell>
          <cell r="P212">
            <v>-741.01</v>
          </cell>
          <cell r="Q212">
            <v>0</v>
          </cell>
          <cell r="R212">
            <v>3249.04</v>
          </cell>
          <cell r="S212">
            <v>0</v>
          </cell>
          <cell r="T212">
            <v>-1844.56</v>
          </cell>
          <cell r="U212">
            <v>0</v>
          </cell>
          <cell r="V212">
            <v>-1134.9100000000001</v>
          </cell>
          <cell r="W212">
            <v>0</v>
          </cell>
          <cell r="X212">
            <v>-4270.46</v>
          </cell>
          <cell r="Y212">
            <v>0</v>
          </cell>
          <cell r="Z212">
            <v>249.73</v>
          </cell>
          <cell r="AA212">
            <v>0</v>
          </cell>
          <cell r="AB212">
            <v>9900</v>
          </cell>
          <cell r="AC212">
            <v>0</v>
          </cell>
          <cell r="AD212">
            <v>170.6</v>
          </cell>
          <cell r="AE212">
            <v>0</v>
          </cell>
          <cell r="AF212">
            <v>314.14</v>
          </cell>
          <cell r="AG212">
            <v>0</v>
          </cell>
          <cell r="AH212">
            <v>-26333.78</v>
          </cell>
        </row>
        <row r="213">
          <cell r="D213">
            <v>59400</v>
          </cell>
          <cell r="E213" t="str">
            <v>Damages paid by District</v>
          </cell>
          <cell r="F213">
            <v>0</v>
          </cell>
          <cell r="G213">
            <v>0</v>
          </cell>
          <cell r="H213">
            <v>0</v>
          </cell>
          <cell r="I213">
            <v>0</v>
          </cell>
          <cell r="J213">
            <v>1648.5</v>
          </cell>
          <cell r="K213">
            <v>0</v>
          </cell>
          <cell r="L213">
            <v>2252.31</v>
          </cell>
          <cell r="M213">
            <v>0</v>
          </cell>
          <cell r="N213">
            <v>3746.94</v>
          </cell>
          <cell r="O213">
            <v>0</v>
          </cell>
          <cell r="P213">
            <v>666.66</v>
          </cell>
          <cell r="Q213">
            <v>0</v>
          </cell>
          <cell r="R213">
            <v>1076.32</v>
          </cell>
          <cell r="S213">
            <v>0</v>
          </cell>
          <cell r="T213">
            <v>500</v>
          </cell>
          <cell r="U213">
            <v>0</v>
          </cell>
          <cell r="V213">
            <v>0</v>
          </cell>
          <cell r="W213">
            <v>0</v>
          </cell>
          <cell r="X213">
            <v>0</v>
          </cell>
          <cell r="Y213">
            <v>0</v>
          </cell>
          <cell r="Z213">
            <v>0</v>
          </cell>
          <cell r="AA213">
            <v>0</v>
          </cell>
          <cell r="AB213">
            <v>0</v>
          </cell>
          <cell r="AC213">
            <v>0</v>
          </cell>
          <cell r="AD213">
            <v>4393.55</v>
          </cell>
          <cell r="AE213">
            <v>0</v>
          </cell>
          <cell r="AF213">
            <v>0</v>
          </cell>
          <cell r="AG213">
            <v>0</v>
          </cell>
          <cell r="AH213">
            <v>14284.279999999999</v>
          </cell>
        </row>
        <row r="214">
          <cell r="D214">
            <v>59500</v>
          </cell>
          <cell r="E214" t="str">
            <v>Workers Comp Prem</v>
          </cell>
          <cell r="F214">
            <v>0</v>
          </cell>
          <cell r="G214">
            <v>0</v>
          </cell>
          <cell r="H214">
            <v>0</v>
          </cell>
          <cell r="I214">
            <v>0</v>
          </cell>
          <cell r="J214">
            <v>3866.71</v>
          </cell>
          <cell r="K214">
            <v>0</v>
          </cell>
          <cell r="L214">
            <v>3819.98</v>
          </cell>
          <cell r="M214">
            <v>0</v>
          </cell>
          <cell r="N214">
            <v>1165.24</v>
          </cell>
          <cell r="O214">
            <v>0</v>
          </cell>
          <cell r="P214">
            <v>2725.75</v>
          </cell>
          <cell r="Q214">
            <v>0</v>
          </cell>
          <cell r="R214">
            <v>3451.99</v>
          </cell>
          <cell r="S214">
            <v>0</v>
          </cell>
          <cell r="T214">
            <v>3703.46</v>
          </cell>
          <cell r="U214">
            <v>0</v>
          </cell>
          <cell r="V214">
            <v>3661.51</v>
          </cell>
          <cell r="W214">
            <v>0</v>
          </cell>
          <cell r="X214">
            <v>1597.96</v>
          </cell>
          <cell r="Y214">
            <v>0</v>
          </cell>
          <cell r="Z214">
            <v>2613.7600000000002</v>
          </cell>
          <cell r="AA214">
            <v>0</v>
          </cell>
          <cell r="AB214">
            <v>3382.16</v>
          </cell>
          <cell r="AC214">
            <v>0</v>
          </cell>
          <cell r="AD214">
            <v>4342.0200000000004</v>
          </cell>
          <cell r="AE214">
            <v>0</v>
          </cell>
          <cell r="AF214">
            <v>3459.01</v>
          </cell>
          <cell r="AG214">
            <v>0</v>
          </cell>
          <cell r="AH214">
            <v>37789.549999999996</v>
          </cell>
        </row>
        <row r="215">
          <cell r="D215">
            <v>0</v>
          </cell>
          <cell r="E215">
            <v>0</v>
          </cell>
          <cell r="F215">
            <v>0</v>
          </cell>
          <cell r="G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row>
        <row r="216">
          <cell r="F216" t="str">
            <v>Insurance Exp</v>
          </cell>
          <cell r="J216">
            <v>24672.9</v>
          </cell>
          <cell r="K216">
            <v>0</v>
          </cell>
          <cell r="L216">
            <v>10685.57</v>
          </cell>
          <cell r="M216">
            <v>0</v>
          </cell>
          <cell r="N216">
            <v>-4949.7299999999996</v>
          </cell>
          <cell r="O216">
            <v>0</v>
          </cell>
          <cell r="P216">
            <v>26743.260000000002</v>
          </cell>
          <cell r="Q216">
            <v>0</v>
          </cell>
          <cell r="R216">
            <v>34361.26</v>
          </cell>
          <cell r="S216">
            <v>0</v>
          </cell>
          <cell r="T216">
            <v>76071.060000000012</v>
          </cell>
          <cell r="U216">
            <v>0</v>
          </cell>
          <cell r="V216">
            <v>28937.050000000003</v>
          </cell>
          <cell r="W216">
            <v>0</v>
          </cell>
          <cell r="X216">
            <v>27508.600000000002</v>
          </cell>
          <cell r="Y216">
            <v>0</v>
          </cell>
          <cell r="Z216">
            <v>29327.489999999998</v>
          </cell>
          <cell r="AA216">
            <v>0</v>
          </cell>
          <cell r="AB216">
            <v>38513.53</v>
          </cell>
          <cell r="AC216">
            <v>0</v>
          </cell>
          <cell r="AD216">
            <v>50622.130000000005</v>
          </cell>
          <cell r="AE216">
            <v>0</v>
          </cell>
          <cell r="AF216">
            <v>112604.21999999999</v>
          </cell>
          <cell r="AG216">
            <v>0</v>
          </cell>
          <cell r="AH216">
            <v>455097.34</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D218">
            <v>91010</v>
          </cell>
          <cell r="E218" t="str">
            <v>Gain/Loss on Sale of Asset</v>
          </cell>
          <cell r="F218">
            <v>0</v>
          </cell>
          <cell r="G218">
            <v>0</v>
          </cell>
          <cell r="H218">
            <v>0</v>
          </cell>
          <cell r="I218">
            <v>0</v>
          </cell>
          <cell r="J218">
            <v>-654.35</v>
          </cell>
          <cell r="K218">
            <v>0</v>
          </cell>
          <cell r="L218">
            <v>-11000</v>
          </cell>
          <cell r="M218">
            <v>0</v>
          </cell>
          <cell r="N218">
            <v>-18792.55</v>
          </cell>
          <cell r="O218">
            <v>0</v>
          </cell>
          <cell r="P218">
            <v>880.11</v>
          </cell>
          <cell r="Q218">
            <v>0</v>
          </cell>
          <cell r="R218">
            <v>-1500</v>
          </cell>
          <cell r="S218">
            <v>0</v>
          </cell>
          <cell r="T218">
            <v>-1175</v>
          </cell>
          <cell r="U218">
            <v>0</v>
          </cell>
          <cell r="V218">
            <v>0</v>
          </cell>
          <cell r="W218">
            <v>0</v>
          </cell>
          <cell r="X218">
            <v>-638.4</v>
          </cell>
          <cell r="Y218">
            <v>0</v>
          </cell>
          <cell r="Z218">
            <v>-446.5</v>
          </cell>
          <cell r="AA218">
            <v>0</v>
          </cell>
          <cell r="AB218">
            <v>5113.3900000000003</v>
          </cell>
          <cell r="AC218">
            <v>0</v>
          </cell>
          <cell r="AD218">
            <v>-291.2</v>
          </cell>
          <cell r="AE218">
            <v>0</v>
          </cell>
          <cell r="AF218">
            <v>-356</v>
          </cell>
          <cell r="AG218">
            <v>0</v>
          </cell>
          <cell r="AH218">
            <v>-28860.499999999996</v>
          </cell>
        </row>
        <row r="219">
          <cell r="D219">
            <v>0</v>
          </cell>
          <cell r="E219">
            <v>0</v>
          </cell>
          <cell r="F219">
            <v>0</v>
          </cell>
          <cell r="G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row>
        <row r="220">
          <cell r="F220" t="str">
            <v>G/L on Ops</v>
          </cell>
          <cell r="J220">
            <v>-654.35</v>
          </cell>
          <cell r="K220">
            <v>0</v>
          </cell>
          <cell r="L220">
            <v>-11000</v>
          </cell>
          <cell r="M220">
            <v>0</v>
          </cell>
          <cell r="N220">
            <v>-18792.55</v>
          </cell>
          <cell r="O220">
            <v>0</v>
          </cell>
          <cell r="P220">
            <v>880.11</v>
          </cell>
          <cell r="Q220">
            <v>0</v>
          </cell>
          <cell r="R220">
            <v>-1500</v>
          </cell>
          <cell r="S220">
            <v>0</v>
          </cell>
          <cell r="T220">
            <v>-1175</v>
          </cell>
          <cell r="U220">
            <v>0</v>
          </cell>
          <cell r="V220">
            <v>0</v>
          </cell>
          <cell r="W220">
            <v>0</v>
          </cell>
          <cell r="X220">
            <v>-638.4</v>
          </cell>
          <cell r="Y220">
            <v>0</v>
          </cell>
          <cell r="Z220">
            <v>-446.5</v>
          </cell>
          <cell r="AA220">
            <v>0</v>
          </cell>
          <cell r="AB220">
            <v>5113.3900000000003</v>
          </cell>
          <cell r="AC220">
            <v>0</v>
          </cell>
          <cell r="AD220">
            <v>-291.2</v>
          </cell>
          <cell r="AE220">
            <v>0</v>
          </cell>
          <cell r="AF220">
            <v>-356</v>
          </cell>
          <cell r="AG220">
            <v>0</v>
          </cell>
          <cell r="AH220">
            <v>-28860.499999999996</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row>
        <row r="222">
          <cell r="E222" t="str">
            <v>Cost of Ops</v>
          </cell>
          <cell r="J222">
            <v>1210558.2699999998</v>
          </cell>
          <cell r="K222">
            <v>0</v>
          </cell>
          <cell r="L222">
            <v>1420740.0500000003</v>
          </cell>
          <cell r="M222">
            <v>0</v>
          </cell>
          <cell r="N222">
            <v>1066135.1700000002</v>
          </cell>
          <cell r="O222">
            <v>0</v>
          </cell>
          <cell r="P222">
            <v>1334637.8799999999</v>
          </cell>
          <cell r="Q222">
            <v>0</v>
          </cell>
          <cell r="R222">
            <v>1441084.7100000002</v>
          </cell>
          <cell r="S222">
            <v>0</v>
          </cell>
          <cell r="T222">
            <v>1501293.5</v>
          </cell>
          <cell r="U222">
            <v>0</v>
          </cell>
          <cell r="V222">
            <v>1360827.5600000003</v>
          </cell>
          <cell r="W222">
            <v>0</v>
          </cell>
          <cell r="X222">
            <v>1521249.5000000002</v>
          </cell>
          <cell r="Y222">
            <v>0</v>
          </cell>
          <cell r="Z222">
            <v>1471768.5799999998</v>
          </cell>
          <cell r="AA222">
            <v>0</v>
          </cell>
          <cell r="AB222">
            <v>1399391.39</v>
          </cell>
          <cell r="AC222">
            <v>0</v>
          </cell>
          <cell r="AD222">
            <v>1471188.0599999998</v>
          </cell>
          <cell r="AE222">
            <v>0</v>
          </cell>
          <cell r="AF222">
            <v>1508113.64</v>
          </cell>
          <cell r="AG222">
            <v>0</v>
          </cell>
          <cell r="AH222">
            <v>16706988.309999999</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row>
        <row r="224">
          <cell r="E224" t="str">
            <v>Gross Profit</v>
          </cell>
          <cell r="J224">
            <v>1564062.89</v>
          </cell>
          <cell r="K224">
            <v>0</v>
          </cell>
          <cell r="L224">
            <v>1265080.6400000001</v>
          </cell>
          <cell r="M224">
            <v>0</v>
          </cell>
          <cell r="N224">
            <v>1834194.9400000006</v>
          </cell>
          <cell r="O224">
            <v>0</v>
          </cell>
          <cell r="P224">
            <v>1568484.96</v>
          </cell>
          <cell r="Q224">
            <v>0</v>
          </cell>
          <cell r="R224">
            <v>1336975.6399999999</v>
          </cell>
          <cell r="S224">
            <v>0</v>
          </cell>
          <cell r="T224">
            <v>1170700.1500000004</v>
          </cell>
          <cell r="U224">
            <v>0</v>
          </cell>
          <cell r="V224">
            <v>1553548.7300000007</v>
          </cell>
          <cell r="W224">
            <v>0</v>
          </cell>
          <cell r="X224">
            <v>1162862.6300000006</v>
          </cell>
          <cell r="Y224">
            <v>0</v>
          </cell>
          <cell r="Z224">
            <v>1350879.9399999992</v>
          </cell>
          <cell r="AA224">
            <v>0</v>
          </cell>
          <cell r="AB224">
            <v>1519436.8100000012</v>
          </cell>
          <cell r="AC224">
            <v>0</v>
          </cell>
          <cell r="AD224">
            <v>1286835.1299999997</v>
          </cell>
          <cell r="AE224">
            <v>0</v>
          </cell>
          <cell r="AF224">
            <v>1367807.7</v>
          </cell>
          <cell r="AG224">
            <v>0</v>
          </cell>
          <cell r="AH224">
            <v>16980870.160000015</v>
          </cell>
        </row>
        <row r="225">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row>
        <row r="226">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row>
        <row r="227">
          <cell r="D227">
            <v>60010</v>
          </cell>
          <cell r="E227" t="str">
            <v>Salaries</v>
          </cell>
          <cell r="F227">
            <v>0</v>
          </cell>
          <cell r="G227">
            <v>0</v>
          </cell>
          <cell r="H227">
            <v>0</v>
          </cell>
          <cell r="I227">
            <v>0</v>
          </cell>
          <cell r="J227">
            <v>6808.34</v>
          </cell>
          <cell r="K227">
            <v>0</v>
          </cell>
          <cell r="L227">
            <v>7533.79</v>
          </cell>
          <cell r="M227">
            <v>0</v>
          </cell>
          <cell r="N227">
            <v>6682.73</v>
          </cell>
          <cell r="O227">
            <v>0</v>
          </cell>
          <cell r="P227">
            <v>6978.57</v>
          </cell>
          <cell r="Q227">
            <v>0</v>
          </cell>
          <cell r="R227">
            <v>7310.89</v>
          </cell>
          <cell r="S227">
            <v>0</v>
          </cell>
          <cell r="T227">
            <v>7643.2</v>
          </cell>
          <cell r="U227">
            <v>0</v>
          </cell>
          <cell r="V227">
            <v>6646.26</v>
          </cell>
          <cell r="W227">
            <v>0</v>
          </cell>
          <cell r="X227">
            <v>7961.54</v>
          </cell>
          <cell r="Y227">
            <v>0</v>
          </cell>
          <cell r="Z227">
            <v>7615.39</v>
          </cell>
          <cell r="AA227">
            <v>0</v>
          </cell>
          <cell r="AB227">
            <v>7269.23</v>
          </cell>
          <cell r="AC227">
            <v>0</v>
          </cell>
          <cell r="AD227">
            <v>7961.54</v>
          </cell>
          <cell r="AE227">
            <v>0</v>
          </cell>
          <cell r="AF227">
            <v>7269.24</v>
          </cell>
          <cell r="AG227">
            <v>0</v>
          </cell>
          <cell r="AH227">
            <v>87680.719999999972</v>
          </cell>
        </row>
        <row r="228">
          <cell r="D228">
            <v>60050</v>
          </cell>
          <cell r="E228" t="str">
            <v>Payroll Taxes</v>
          </cell>
          <cell r="F228">
            <v>0</v>
          </cell>
          <cell r="G228">
            <v>0</v>
          </cell>
          <cell r="H228">
            <v>0</v>
          </cell>
          <cell r="I228">
            <v>0</v>
          </cell>
          <cell r="J228">
            <v>577.24</v>
          </cell>
          <cell r="K228">
            <v>0</v>
          </cell>
          <cell r="L228">
            <v>747.06</v>
          </cell>
          <cell r="M228">
            <v>0</v>
          </cell>
          <cell r="N228">
            <v>613.01</v>
          </cell>
          <cell r="O228">
            <v>0</v>
          </cell>
          <cell r="P228">
            <v>624.78</v>
          </cell>
          <cell r="Q228">
            <v>0</v>
          </cell>
          <cell r="R228">
            <v>654.53</v>
          </cell>
          <cell r="S228">
            <v>0</v>
          </cell>
          <cell r="T228">
            <v>684.27</v>
          </cell>
          <cell r="U228">
            <v>0</v>
          </cell>
          <cell r="V228">
            <v>594.55999999999995</v>
          </cell>
          <cell r="W228">
            <v>0</v>
          </cell>
          <cell r="X228">
            <v>650.52</v>
          </cell>
          <cell r="Y228">
            <v>0</v>
          </cell>
          <cell r="Z228">
            <v>603.39</v>
          </cell>
          <cell r="AA228">
            <v>0</v>
          </cell>
          <cell r="AB228">
            <v>575.96</v>
          </cell>
          <cell r="AC228">
            <v>0</v>
          </cell>
          <cell r="AD228">
            <v>543.66999999999996</v>
          </cell>
          <cell r="AE228">
            <v>0</v>
          </cell>
          <cell r="AF228">
            <v>79.53</v>
          </cell>
          <cell r="AG228">
            <v>0</v>
          </cell>
          <cell r="AH228">
            <v>6948.5199999999986</v>
          </cell>
        </row>
        <row r="229">
          <cell r="D229">
            <v>60060</v>
          </cell>
          <cell r="E229" t="str">
            <v>Group Insurance</v>
          </cell>
          <cell r="F229">
            <v>0</v>
          </cell>
          <cell r="G229">
            <v>0</v>
          </cell>
          <cell r="H229">
            <v>0</v>
          </cell>
          <cell r="I229">
            <v>0</v>
          </cell>
          <cell r="J229">
            <v>1011.8</v>
          </cell>
          <cell r="K229">
            <v>0</v>
          </cell>
          <cell r="L229">
            <v>1061.8</v>
          </cell>
          <cell r="M229">
            <v>0</v>
          </cell>
          <cell r="N229">
            <v>1031.48</v>
          </cell>
          <cell r="O229">
            <v>0</v>
          </cell>
          <cell r="P229">
            <v>1055.57</v>
          </cell>
          <cell r="Q229">
            <v>0</v>
          </cell>
          <cell r="R229">
            <v>1044.82</v>
          </cell>
          <cell r="S229">
            <v>0</v>
          </cell>
          <cell r="T229">
            <v>956.48</v>
          </cell>
          <cell r="U229">
            <v>0</v>
          </cell>
          <cell r="V229">
            <v>1043.68</v>
          </cell>
          <cell r="W229">
            <v>0</v>
          </cell>
          <cell r="X229">
            <v>1062</v>
          </cell>
          <cell r="Y229">
            <v>0</v>
          </cell>
          <cell r="Z229">
            <v>1005.76</v>
          </cell>
          <cell r="AA229">
            <v>0</v>
          </cell>
          <cell r="AB229">
            <v>1007.12</v>
          </cell>
          <cell r="AC229">
            <v>0</v>
          </cell>
          <cell r="AD229">
            <v>898.2</v>
          </cell>
          <cell r="AE229">
            <v>0</v>
          </cell>
          <cell r="AF229">
            <v>1007.12</v>
          </cell>
          <cell r="AG229">
            <v>0</v>
          </cell>
          <cell r="AH229">
            <v>12185.829999999998</v>
          </cell>
        </row>
        <row r="230">
          <cell r="D230">
            <v>60065</v>
          </cell>
          <cell r="E230" t="str">
            <v>Vacation Pay</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row>
        <row r="231">
          <cell r="D231">
            <v>60070</v>
          </cell>
          <cell r="E231" t="str">
            <v>Sick Pay</v>
          </cell>
          <cell r="F231">
            <v>0</v>
          </cell>
          <cell r="G231">
            <v>0</v>
          </cell>
          <cell r="H231">
            <v>0</v>
          </cell>
          <cell r="I231">
            <v>0</v>
          </cell>
          <cell r="J231">
            <v>0</v>
          </cell>
          <cell r="K231">
            <v>0</v>
          </cell>
          <cell r="L231">
            <v>121.57</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121.57</v>
          </cell>
        </row>
        <row r="232">
          <cell r="D232">
            <v>60116</v>
          </cell>
          <cell r="E232" t="str">
            <v>Pension and Profit Sharing</v>
          </cell>
          <cell r="F232">
            <v>0</v>
          </cell>
          <cell r="G232">
            <v>0</v>
          </cell>
          <cell r="H232">
            <v>0</v>
          </cell>
          <cell r="I232">
            <v>0</v>
          </cell>
          <cell r="J232">
            <v>194.54</v>
          </cell>
          <cell r="K232">
            <v>0</v>
          </cell>
          <cell r="L232">
            <v>326.25</v>
          </cell>
          <cell r="M232">
            <v>0</v>
          </cell>
          <cell r="N232">
            <v>595.74</v>
          </cell>
          <cell r="O232">
            <v>0</v>
          </cell>
          <cell r="P232">
            <v>498.48</v>
          </cell>
          <cell r="Q232">
            <v>0</v>
          </cell>
          <cell r="R232">
            <v>332.32</v>
          </cell>
          <cell r="S232">
            <v>0</v>
          </cell>
          <cell r="T232">
            <v>332.32</v>
          </cell>
          <cell r="U232">
            <v>0</v>
          </cell>
          <cell r="V232">
            <v>332.32</v>
          </cell>
          <cell r="W232">
            <v>0</v>
          </cell>
          <cell r="X232">
            <v>855.36</v>
          </cell>
          <cell r="Y232">
            <v>0</v>
          </cell>
          <cell r="Z232">
            <v>519.24</v>
          </cell>
          <cell r="AA232">
            <v>0</v>
          </cell>
          <cell r="AB232">
            <v>346.16</v>
          </cell>
          <cell r="AC232">
            <v>0</v>
          </cell>
          <cell r="AD232">
            <v>346.16</v>
          </cell>
          <cell r="AE232">
            <v>0</v>
          </cell>
          <cell r="AF232">
            <v>346.16</v>
          </cell>
          <cell r="AG232">
            <v>0</v>
          </cell>
          <cell r="AH232">
            <v>5025.05</v>
          </cell>
        </row>
        <row r="233">
          <cell r="D233">
            <v>60196</v>
          </cell>
          <cell r="E233" t="str">
            <v>Club Dues</v>
          </cell>
          <cell r="F233">
            <v>0</v>
          </cell>
          <cell r="G233">
            <v>0</v>
          </cell>
          <cell r="H233">
            <v>0</v>
          </cell>
          <cell r="I233">
            <v>0</v>
          </cell>
          <cell r="J233">
            <v>0</v>
          </cell>
          <cell r="K233">
            <v>0</v>
          </cell>
          <cell r="L233">
            <v>0</v>
          </cell>
          <cell r="M233">
            <v>0</v>
          </cell>
          <cell r="N233">
            <v>1120.76</v>
          </cell>
          <cell r="O233">
            <v>0</v>
          </cell>
          <cell r="P233">
            <v>560.38</v>
          </cell>
          <cell r="Q233">
            <v>0</v>
          </cell>
          <cell r="R233">
            <v>592.38</v>
          </cell>
          <cell r="S233">
            <v>0</v>
          </cell>
          <cell r="T233">
            <v>576.38</v>
          </cell>
          <cell r="U233">
            <v>0</v>
          </cell>
          <cell r="V233">
            <v>576.38</v>
          </cell>
          <cell r="W233">
            <v>0</v>
          </cell>
          <cell r="X233">
            <v>576.38</v>
          </cell>
          <cell r="Y233">
            <v>0</v>
          </cell>
          <cell r="Z233">
            <v>596.38</v>
          </cell>
          <cell r="AA233">
            <v>0</v>
          </cell>
          <cell r="AB233">
            <v>581.38</v>
          </cell>
          <cell r="AC233">
            <v>0</v>
          </cell>
          <cell r="AD233">
            <v>576.38</v>
          </cell>
          <cell r="AE233">
            <v>0</v>
          </cell>
          <cell r="AF233">
            <v>576.38</v>
          </cell>
          <cell r="AG233">
            <v>0</v>
          </cell>
          <cell r="AH233">
            <v>6333.18</v>
          </cell>
        </row>
        <row r="234">
          <cell r="D234">
            <v>60201</v>
          </cell>
          <cell r="E234" t="str">
            <v>Entertainment</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288.77</v>
          </cell>
          <cell r="W234">
            <v>0</v>
          </cell>
          <cell r="X234">
            <v>-248.67</v>
          </cell>
          <cell r="Y234">
            <v>0</v>
          </cell>
          <cell r="Z234">
            <v>0</v>
          </cell>
          <cell r="AA234">
            <v>0</v>
          </cell>
          <cell r="AB234">
            <v>0</v>
          </cell>
          <cell r="AC234">
            <v>0</v>
          </cell>
          <cell r="AD234">
            <v>0</v>
          </cell>
          <cell r="AE234">
            <v>0</v>
          </cell>
          <cell r="AF234">
            <v>0</v>
          </cell>
          <cell r="AG234">
            <v>0</v>
          </cell>
          <cell r="AH234">
            <v>40.099999999999994</v>
          </cell>
        </row>
        <row r="235">
          <cell r="D235">
            <v>60225</v>
          </cell>
          <cell r="E235" t="str">
            <v>Advertising and Promotions</v>
          </cell>
          <cell r="F235">
            <v>0</v>
          </cell>
          <cell r="G235">
            <v>0</v>
          </cell>
          <cell r="H235">
            <v>0</v>
          </cell>
          <cell r="I235">
            <v>0</v>
          </cell>
          <cell r="J235">
            <v>1375.67</v>
          </cell>
          <cell r="K235">
            <v>0</v>
          </cell>
          <cell r="L235">
            <v>656.25</v>
          </cell>
          <cell r="M235">
            <v>0</v>
          </cell>
          <cell r="N235">
            <v>0</v>
          </cell>
          <cell r="O235">
            <v>0</v>
          </cell>
          <cell r="P235">
            <v>0</v>
          </cell>
          <cell r="Q235">
            <v>0</v>
          </cell>
          <cell r="R235">
            <v>656.25</v>
          </cell>
          <cell r="S235">
            <v>0</v>
          </cell>
          <cell r="T235">
            <v>0</v>
          </cell>
          <cell r="U235">
            <v>0</v>
          </cell>
          <cell r="V235">
            <v>0</v>
          </cell>
          <cell r="W235">
            <v>0</v>
          </cell>
          <cell r="X235">
            <v>656.25</v>
          </cell>
          <cell r="Y235">
            <v>0</v>
          </cell>
          <cell r="Z235">
            <v>0</v>
          </cell>
          <cell r="AA235">
            <v>0</v>
          </cell>
          <cell r="AB235">
            <v>0</v>
          </cell>
          <cell r="AC235">
            <v>0</v>
          </cell>
          <cell r="AD235">
            <v>0</v>
          </cell>
          <cell r="AE235">
            <v>0</v>
          </cell>
          <cell r="AF235">
            <v>0</v>
          </cell>
          <cell r="AG235">
            <v>0</v>
          </cell>
          <cell r="AH235">
            <v>3344.42</v>
          </cell>
        </row>
        <row r="236">
          <cell r="D236">
            <v>0</v>
          </cell>
          <cell r="E236">
            <v>0</v>
          </cell>
          <cell r="F236">
            <v>0</v>
          </cell>
          <cell r="G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row>
        <row r="237">
          <cell r="F237" t="str">
            <v>Sales Exp</v>
          </cell>
          <cell r="J237">
            <v>9967.59</v>
          </cell>
          <cell r="K237">
            <v>0</v>
          </cell>
          <cell r="L237">
            <v>10446.719999999999</v>
          </cell>
          <cell r="M237">
            <v>0</v>
          </cell>
          <cell r="N237">
            <v>10043.719999999999</v>
          </cell>
          <cell r="O237">
            <v>0</v>
          </cell>
          <cell r="P237">
            <v>9717.7799999999988</v>
          </cell>
          <cell r="Q237">
            <v>0</v>
          </cell>
          <cell r="R237">
            <v>10591.189999999999</v>
          </cell>
          <cell r="S237">
            <v>0</v>
          </cell>
          <cell r="T237">
            <v>10192.649999999998</v>
          </cell>
          <cell r="U237">
            <v>0</v>
          </cell>
          <cell r="V237">
            <v>9481.9699999999993</v>
          </cell>
          <cell r="W237">
            <v>0</v>
          </cell>
          <cell r="X237">
            <v>11513.38</v>
          </cell>
          <cell r="Y237">
            <v>0</v>
          </cell>
          <cell r="Z237">
            <v>10340.16</v>
          </cell>
          <cell r="AA237">
            <v>0</v>
          </cell>
          <cell r="AB237">
            <v>9779.8499999999985</v>
          </cell>
          <cell r="AC237">
            <v>0</v>
          </cell>
          <cell r="AD237">
            <v>10325.949999999999</v>
          </cell>
          <cell r="AE237">
            <v>0</v>
          </cell>
          <cell r="AF237">
            <v>9278.4299999999985</v>
          </cell>
          <cell r="AG237">
            <v>0</v>
          </cell>
          <cell r="AH237">
            <v>121679.39</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row>
        <row r="239">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row>
        <row r="240">
          <cell r="D240">
            <v>70010</v>
          </cell>
          <cell r="E240" t="str">
            <v>Salaries</v>
          </cell>
          <cell r="F240">
            <v>0</v>
          </cell>
          <cell r="G240">
            <v>0</v>
          </cell>
          <cell r="H240">
            <v>0</v>
          </cell>
          <cell r="I240">
            <v>0</v>
          </cell>
          <cell r="J240">
            <v>72527.13</v>
          </cell>
          <cell r="K240">
            <v>0</v>
          </cell>
          <cell r="L240">
            <v>80596.2</v>
          </cell>
          <cell r="M240">
            <v>0</v>
          </cell>
          <cell r="N240">
            <v>72646.13</v>
          </cell>
          <cell r="O240">
            <v>0</v>
          </cell>
          <cell r="P240">
            <v>75355.929999999993</v>
          </cell>
          <cell r="Q240">
            <v>0</v>
          </cell>
          <cell r="R240">
            <v>73910.83</v>
          </cell>
          <cell r="S240">
            <v>0</v>
          </cell>
          <cell r="T240">
            <v>80116.240000000005</v>
          </cell>
          <cell r="U240">
            <v>0</v>
          </cell>
          <cell r="V240">
            <v>68191.399999999994</v>
          </cell>
          <cell r="W240">
            <v>0</v>
          </cell>
          <cell r="X240">
            <v>79936.28</v>
          </cell>
          <cell r="Y240">
            <v>0</v>
          </cell>
          <cell r="Z240">
            <v>74550.37</v>
          </cell>
          <cell r="AA240">
            <v>0</v>
          </cell>
          <cell r="AB240">
            <v>71412.03</v>
          </cell>
          <cell r="AC240">
            <v>0</v>
          </cell>
          <cell r="AD240">
            <v>78434.64</v>
          </cell>
          <cell r="AE240">
            <v>0</v>
          </cell>
          <cell r="AF240">
            <v>72606.2</v>
          </cell>
          <cell r="AG240">
            <v>0</v>
          </cell>
          <cell r="AH240">
            <v>900283.37999999989</v>
          </cell>
        </row>
        <row r="241">
          <cell r="D241">
            <v>70020</v>
          </cell>
          <cell r="E241" t="str">
            <v>Wages Regular</v>
          </cell>
          <cell r="F241">
            <v>0</v>
          </cell>
          <cell r="G241">
            <v>0</v>
          </cell>
          <cell r="H241">
            <v>0</v>
          </cell>
          <cell r="I241">
            <v>0</v>
          </cell>
          <cell r="J241">
            <v>72530.27</v>
          </cell>
          <cell r="K241">
            <v>0</v>
          </cell>
          <cell r="L241">
            <v>87657.46</v>
          </cell>
          <cell r="M241">
            <v>0</v>
          </cell>
          <cell r="N241">
            <v>63813.95</v>
          </cell>
          <cell r="O241">
            <v>0</v>
          </cell>
          <cell r="P241">
            <v>73677.42</v>
          </cell>
          <cell r="Q241">
            <v>0</v>
          </cell>
          <cell r="R241">
            <v>79102.13</v>
          </cell>
          <cell r="S241">
            <v>0</v>
          </cell>
          <cell r="T241">
            <v>83965.19</v>
          </cell>
          <cell r="U241">
            <v>0</v>
          </cell>
          <cell r="V241">
            <v>71177.89</v>
          </cell>
          <cell r="W241">
            <v>0</v>
          </cell>
          <cell r="X241">
            <v>79896.47</v>
          </cell>
          <cell r="Y241">
            <v>0</v>
          </cell>
          <cell r="Z241">
            <v>77087.44</v>
          </cell>
          <cell r="AA241">
            <v>0</v>
          </cell>
          <cell r="AB241">
            <v>71869.61</v>
          </cell>
          <cell r="AC241">
            <v>0</v>
          </cell>
          <cell r="AD241">
            <v>82185.77</v>
          </cell>
          <cell r="AE241">
            <v>0</v>
          </cell>
          <cell r="AF241">
            <v>70827.490000000005</v>
          </cell>
          <cell r="AG241">
            <v>0</v>
          </cell>
          <cell r="AH241">
            <v>913791.09000000008</v>
          </cell>
        </row>
        <row r="242">
          <cell r="D242">
            <v>70025</v>
          </cell>
          <cell r="E242" t="str">
            <v>Wages O.T.</v>
          </cell>
          <cell r="F242">
            <v>0</v>
          </cell>
          <cell r="G242">
            <v>0</v>
          </cell>
          <cell r="H242">
            <v>0</v>
          </cell>
          <cell r="I242">
            <v>0</v>
          </cell>
          <cell r="J242">
            <v>6540.18</v>
          </cell>
          <cell r="K242">
            <v>0</v>
          </cell>
          <cell r="L242">
            <v>5869.28</v>
          </cell>
          <cell r="M242">
            <v>0</v>
          </cell>
          <cell r="N242">
            <v>9082.2000000000007</v>
          </cell>
          <cell r="O242">
            <v>0</v>
          </cell>
          <cell r="P242">
            <v>10991.05</v>
          </cell>
          <cell r="Q242">
            <v>0</v>
          </cell>
          <cell r="R242">
            <v>11587.91</v>
          </cell>
          <cell r="S242">
            <v>0</v>
          </cell>
          <cell r="T242">
            <v>10521.2</v>
          </cell>
          <cell r="U242">
            <v>0</v>
          </cell>
          <cell r="V242">
            <v>9827.44</v>
          </cell>
          <cell r="W242">
            <v>0</v>
          </cell>
          <cell r="X242">
            <v>8016.67</v>
          </cell>
          <cell r="Y242">
            <v>0</v>
          </cell>
          <cell r="Z242">
            <v>11298.55</v>
          </cell>
          <cell r="AA242">
            <v>0</v>
          </cell>
          <cell r="AB242">
            <v>7406.71</v>
          </cell>
          <cell r="AC242">
            <v>0</v>
          </cell>
          <cell r="AD242">
            <v>7307.55</v>
          </cell>
          <cell r="AE242">
            <v>0</v>
          </cell>
          <cell r="AF242">
            <v>7764.78</v>
          </cell>
          <cell r="AG242">
            <v>0</v>
          </cell>
          <cell r="AH242">
            <v>106213.51999999999</v>
          </cell>
        </row>
        <row r="243">
          <cell r="D243">
            <v>70035</v>
          </cell>
          <cell r="E243" t="str">
            <v>Safety Bonuses</v>
          </cell>
          <cell r="F243">
            <v>0</v>
          </cell>
          <cell r="G243">
            <v>0</v>
          </cell>
          <cell r="H243">
            <v>0</v>
          </cell>
          <cell r="I243">
            <v>0</v>
          </cell>
          <cell r="J243">
            <v>1006.29</v>
          </cell>
          <cell r="K243">
            <v>0</v>
          </cell>
          <cell r="L243">
            <v>-1637.15</v>
          </cell>
          <cell r="M243">
            <v>0</v>
          </cell>
          <cell r="N243">
            <v>662.85</v>
          </cell>
          <cell r="O243">
            <v>0</v>
          </cell>
          <cell r="P243">
            <v>824.3</v>
          </cell>
          <cell r="Q243">
            <v>0</v>
          </cell>
          <cell r="R243">
            <v>725</v>
          </cell>
          <cell r="S243">
            <v>0</v>
          </cell>
          <cell r="T243">
            <v>500</v>
          </cell>
          <cell r="U243">
            <v>0</v>
          </cell>
          <cell r="V243">
            <v>600</v>
          </cell>
          <cell r="W243">
            <v>0</v>
          </cell>
          <cell r="X243">
            <v>962.5</v>
          </cell>
          <cell r="Y243">
            <v>0</v>
          </cell>
          <cell r="Z243">
            <v>662.5</v>
          </cell>
          <cell r="AA243">
            <v>0</v>
          </cell>
          <cell r="AB243">
            <v>662.5</v>
          </cell>
          <cell r="AC243">
            <v>0</v>
          </cell>
          <cell r="AD243">
            <v>-987.5</v>
          </cell>
          <cell r="AE243">
            <v>0</v>
          </cell>
          <cell r="AF243">
            <v>1029.17</v>
          </cell>
          <cell r="AG243">
            <v>0</v>
          </cell>
          <cell r="AH243">
            <v>5010.4600000000009</v>
          </cell>
        </row>
        <row r="244">
          <cell r="D244">
            <v>70036</v>
          </cell>
          <cell r="E244" t="str">
            <v>Other Bonus/Commission - Non-Safety</v>
          </cell>
          <cell r="F244">
            <v>0</v>
          </cell>
          <cell r="G244">
            <v>0</v>
          </cell>
          <cell r="H244">
            <v>0</v>
          </cell>
          <cell r="I244">
            <v>0</v>
          </cell>
          <cell r="J244">
            <v>2538.9699999999998</v>
          </cell>
          <cell r="K244">
            <v>0</v>
          </cell>
          <cell r="L244">
            <v>2111.66</v>
          </cell>
          <cell r="M244">
            <v>0</v>
          </cell>
          <cell r="N244">
            <v>3010.99</v>
          </cell>
          <cell r="O244">
            <v>0</v>
          </cell>
          <cell r="P244">
            <v>3877.97</v>
          </cell>
          <cell r="Q244">
            <v>0</v>
          </cell>
          <cell r="R244">
            <v>4092.66</v>
          </cell>
          <cell r="S244">
            <v>0</v>
          </cell>
          <cell r="T244">
            <v>3727.63</v>
          </cell>
          <cell r="U244">
            <v>0</v>
          </cell>
          <cell r="V244">
            <v>2464.3000000000002</v>
          </cell>
          <cell r="W244">
            <v>0</v>
          </cell>
          <cell r="X244">
            <v>3609.01</v>
          </cell>
          <cell r="Y244">
            <v>0</v>
          </cell>
          <cell r="Z244">
            <v>7811.61</v>
          </cell>
          <cell r="AA244">
            <v>0</v>
          </cell>
          <cell r="AB244">
            <v>4514.82</v>
          </cell>
          <cell r="AC244">
            <v>0</v>
          </cell>
          <cell r="AD244">
            <v>4250.57</v>
          </cell>
          <cell r="AE244">
            <v>0</v>
          </cell>
          <cell r="AF244">
            <v>3299.29</v>
          </cell>
          <cell r="AG244">
            <v>0</v>
          </cell>
          <cell r="AH244">
            <v>45309.479999999996</v>
          </cell>
        </row>
        <row r="245">
          <cell r="D245">
            <v>70045</v>
          </cell>
          <cell r="E245" t="str">
            <v>Contract Labor</v>
          </cell>
          <cell r="F245">
            <v>0</v>
          </cell>
          <cell r="G245">
            <v>0</v>
          </cell>
          <cell r="H245">
            <v>0</v>
          </cell>
          <cell r="I245">
            <v>0</v>
          </cell>
          <cell r="J245">
            <v>6410.32</v>
          </cell>
          <cell r="K245">
            <v>0</v>
          </cell>
          <cell r="L245">
            <v>3846.84</v>
          </cell>
          <cell r="M245">
            <v>0</v>
          </cell>
          <cell r="N245">
            <v>118.45</v>
          </cell>
          <cell r="O245">
            <v>0</v>
          </cell>
          <cell r="P245">
            <v>222.08</v>
          </cell>
          <cell r="Q245">
            <v>0</v>
          </cell>
          <cell r="R245">
            <v>848.82</v>
          </cell>
          <cell r="S245">
            <v>0</v>
          </cell>
          <cell r="T245">
            <v>1441.04</v>
          </cell>
          <cell r="U245">
            <v>0</v>
          </cell>
          <cell r="V245">
            <v>3800</v>
          </cell>
          <cell r="W245">
            <v>0</v>
          </cell>
          <cell r="X245">
            <v>5726.54</v>
          </cell>
          <cell r="Y245">
            <v>0</v>
          </cell>
          <cell r="Z245">
            <v>5981.01</v>
          </cell>
          <cell r="AA245">
            <v>0</v>
          </cell>
          <cell r="AB245">
            <v>4743.54</v>
          </cell>
          <cell r="AC245">
            <v>0</v>
          </cell>
          <cell r="AD245">
            <v>6297.27</v>
          </cell>
          <cell r="AE245">
            <v>0</v>
          </cell>
          <cell r="AF245">
            <v>7002.53</v>
          </cell>
          <cell r="AG245">
            <v>0</v>
          </cell>
          <cell r="AH245">
            <v>46438.439999999995</v>
          </cell>
        </row>
        <row r="246">
          <cell r="D246">
            <v>70050</v>
          </cell>
          <cell r="E246" t="str">
            <v>Payroll Taxes</v>
          </cell>
          <cell r="F246">
            <v>0</v>
          </cell>
          <cell r="G246">
            <v>0</v>
          </cell>
          <cell r="H246">
            <v>0</v>
          </cell>
          <cell r="I246">
            <v>0</v>
          </cell>
          <cell r="J246">
            <v>6864.35</v>
          </cell>
          <cell r="K246">
            <v>0</v>
          </cell>
          <cell r="L246">
            <v>13904.26</v>
          </cell>
          <cell r="M246">
            <v>0</v>
          </cell>
          <cell r="N246">
            <v>8644.15</v>
          </cell>
          <cell r="O246">
            <v>0</v>
          </cell>
          <cell r="P246">
            <v>10273.09</v>
          </cell>
          <cell r="Q246">
            <v>0</v>
          </cell>
          <cell r="R246">
            <v>10390.91</v>
          </cell>
          <cell r="S246">
            <v>0</v>
          </cell>
          <cell r="T246">
            <v>10462.76</v>
          </cell>
          <cell r="U246">
            <v>0</v>
          </cell>
          <cell r="V246">
            <v>8913.25</v>
          </cell>
          <cell r="W246">
            <v>0</v>
          </cell>
          <cell r="X246">
            <v>10009.33</v>
          </cell>
          <cell r="Y246">
            <v>0</v>
          </cell>
          <cell r="Z246">
            <v>9481.7199999999993</v>
          </cell>
          <cell r="AA246">
            <v>0</v>
          </cell>
          <cell r="AB246">
            <v>8284.4</v>
          </cell>
          <cell r="AC246">
            <v>0</v>
          </cell>
          <cell r="AD246">
            <v>9035.94</v>
          </cell>
          <cell r="AE246">
            <v>0</v>
          </cell>
          <cell r="AF246">
            <v>7869.36</v>
          </cell>
          <cell r="AG246">
            <v>0</v>
          </cell>
          <cell r="AH246">
            <v>114133.51999999999</v>
          </cell>
        </row>
        <row r="247">
          <cell r="D247">
            <v>70060</v>
          </cell>
          <cell r="E247" t="str">
            <v>Group Insurance</v>
          </cell>
          <cell r="F247">
            <v>0</v>
          </cell>
          <cell r="G247">
            <v>0</v>
          </cell>
          <cell r="H247">
            <v>0</v>
          </cell>
          <cell r="I247">
            <v>0</v>
          </cell>
          <cell r="J247">
            <v>31392.87</v>
          </cell>
          <cell r="K247">
            <v>0</v>
          </cell>
          <cell r="L247">
            <v>32099.37</v>
          </cell>
          <cell r="M247">
            <v>0</v>
          </cell>
          <cell r="N247">
            <v>33115</v>
          </cell>
          <cell r="O247">
            <v>0</v>
          </cell>
          <cell r="P247">
            <v>34464.1</v>
          </cell>
          <cell r="Q247">
            <v>0</v>
          </cell>
          <cell r="R247">
            <v>32719.09</v>
          </cell>
          <cell r="S247">
            <v>0</v>
          </cell>
          <cell r="T247">
            <v>32250.959999999999</v>
          </cell>
          <cell r="U247">
            <v>0</v>
          </cell>
          <cell r="V247">
            <v>32673.4</v>
          </cell>
          <cell r="W247">
            <v>0</v>
          </cell>
          <cell r="X247">
            <v>32716.67</v>
          </cell>
          <cell r="Y247">
            <v>0</v>
          </cell>
          <cell r="Z247">
            <v>35026.980000000003</v>
          </cell>
          <cell r="AA247">
            <v>0</v>
          </cell>
          <cell r="AB247">
            <v>32680.98</v>
          </cell>
          <cell r="AC247">
            <v>0</v>
          </cell>
          <cell r="AD247">
            <v>31576.02</v>
          </cell>
          <cell r="AE247">
            <v>0</v>
          </cell>
          <cell r="AF247">
            <v>32572.87</v>
          </cell>
          <cell r="AG247">
            <v>0</v>
          </cell>
          <cell r="AH247">
            <v>393288.31</v>
          </cell>
        </row>
        <row r="248">
          <cell r="D248">
            <v>70065</v>
          </cell>
          <cell r="E248" t="str">
            <v>Vacation Pay</v>
          </cell>
          <cell r="F248">
            <v>0</v>
          </cell>
          <cell r="G248">
            <v>0</v>
          </cell>
          <cell r="H248">
            <v>0</v>
          </cell>
          <cell r="I248">
            <v>0</v>
          </cell>
          <cell r="J248">
            <v>-24764.98</v>
          </cell>
          <cell r="K248">
            <v>0</v>
          </cell>
          <cell r="L248">
            <v>4235.8599999999997</v>
          </cell>
          <cell r="M248">
            <v>0</v>
          </cell>
          <cell r="N248">
            <v>-8792.06</v>
          </cell>
          <cell r="O248">
            <v>0</v>
          </cell>
          <cell r="P248">
            <v>5978.88</v>
          </cell>
          <cell r="Q248">
            <v>0</v>
          </cell>
          <cell r="R248">
            <v>3934.18</v>
          </cell>
          <cell r="S248">
            <v>0</v>
          </cell>
          <cell r="T248">
            <v>3902.12</v>
          </cell>
          <cell r="U248">
            <v>0</v>
          </cell>
          <cell r="V248">
            <v>3625.65</v>
          </cell>
          <cell r="W248">
            <v>0</v>
          </cell>
          <cell r="X248">
            <v>3390.5</v>
          </cell>
          <cell r="Y248">
            <v>0</v>
          </cell>
          <cell r="Z248">
            <v>5711.45</v>
          </cell>
          <cell r="AA248">
            <v>0</v>
          </cell>
          <cell r="AB248">
            <v>3497.09</v>
          </cell>
          <cell r="AC248">
            <v>0</v>
          </cell>
          <cell r="AD248">
            <v>3006.77</v>
          </cell>
          <cell r="AE248">
            <v>0</v>
          </cell>
          <cell r="AF248">
            <v>2588.35</v>
          </cell>
          <cell r="AG248">
            <v>0</v>
          </cell>
          <cell r="AH248">
            <v>6313.8100000000013</v>
          </cell>
        </row>
        <row r="249">
          <cell r="D249">
            <v>70070</v>
          </cell>
          <cell r="E249" t="str">
            <v>Sick Pay</v>
          </cell>
          <cell r="F249">
            <v>0</v>
          </cell>
          <cell r="G249">
            <v>0</v>
          </cell>
          <cell r="H249">
            <v>0</v>
          </cell>
          <cell r="I249">
            <v>0</v>
          </cell>
          <cell r="J249">
            <v>3131.48</v>
          </cell>
          <cell r="K249">
            <v>0</v>
          </cell>
          <cell r="L249">
            <v>3601.26</v>
          </cell>
          <cell r="M249">
            <v>0</v>
          </cell>
          <cell r="N249">
            <v>5115.17</v>
          </cell>
          <cell r="O249">
            <v>0</v>
          </cell>
          <cell r="P249">
            <v>4015.57</v>
          </cell>
          <cell r="Q249">
            <v>0</v>
          </cell>
          <cell r="R249">
            <v>3550.34</v>
          </cell>
          <cell r="S249">
            <v>0</v>
          </cell>
          <cell r="T249">
            <v>2416.12</v>
          </cell>
          <cell r="U249">
            <v>0</v>
          </cell>
          <cell r="V249">
            <v>2401.77</v>
          </cell>
          <cell r="W249">
            <v>0</v>
          </cell>
          <cell r="X249">
            <v>3145.27</v>
          </cell>
          <cell r="Y249">
            <v>0</v>
          </cell>
          <cell r="Z249">
            <v>2417.13</v>
          </cell>
          <cell r="AA249">
            <v>0</v>
          </cell>
          <cell r="AB249">
            <v>2974.54</v>
          </cell>
          <cell r="AC249">
            <v>0</v>
          </cell>
          <cell r="AD249">
            <v>2472.91</v>
          </cell>
          <cell r="AE249">
            <v>0</v>
          </cell>
          <cell r="AF249">
            <v>2939.99</v>
          </cell>
          <cell r="AG249">
            <v>0</v>
          </cell>
          <cell r="AH249">
            <v>38181.550000000003</v>
          </cell>
        </row>
        <row r="250">
          <cell r="D250">
            <v>70086</v>
          </cell>
          <cell r="E250" t="str">
            <v>Safety and Training</v>
          </cell>
          <cell r="F250">
            <v>0</v>
          </cell>
          <cell r="G250">
            <v>0</v>
          </cell>
          <cell r="H250">
            <v>0</v>
          </cell>
          <cell r="I250">
            <v>0</v>
          </cell>
          <cell r="J250">
            <v>134.63</v>
          </cell>
          <cell r="K250">
            <v>0</v>
          </cell>
          <cell r="L250">
            <v>255.45</v>
          </cell>
          <cell r="M250">
            <v>0</v>
          </cell>
          <cell r="N250">
            <v>313.02</v>
          </cell>
          <cell r="O250">
            <v>0</v>
          </cell>
          <cell r="P250">
            <v>348.72</v>
          </cell>
          <cell r="Q250">
            <v>0</v>
          </cell>
          <cell r="R250">
            <v>946.81</v>
          </cell>
          <cell r="S250">
            <v>0</v>
          </cell>
          <cell r="T250">
            <v>684.6</v>
          </cell>
          <cell r="U250">
            <v>0</v>
          </cell>
          <cell r="V250">
            <v>0</v>
          </cell>
          <cell r="W250">
            <v>0</v>
          </cell>
          <cell r="X250">
            <v>0</v>
          </cell>
          <cell r="Y250">
            <v>0</v>
          </cell>
          <cell r="Z250">
            <v>0</v>
          </cell>
          <cell r="AA250">
            <v>0</v>
          </cell>
          <cell r="AB250">
            <v>379.39</v>
          </cell>
          <cell r="AC250">
            <v>0</v>
          </cell>
          <cell r="AD250">
            <v>921.43</v>
          </cell>
          <cell r="AE250">
            <v>0</v>
          </cell>
          <cell r="AF250">
            <v>252.1</v>
          </cell>
          <cell r="AG250">
            <v>0</v>
          </cell>
          <cell r="AH250">
            <v>4236.1500000000005</v>
          </cell>
        </row>
        <row r="251">
          <cell r="D251">
            <v>70090</v>
          </cell>
          <cell r="E251" t="str">
            <v>WCN Training</v>
          </cell>
          <cell r="F251">
            <v>0</v>
          </cell>
          <cell r="G251">
            <v>0</v>
          </cell>
          <cell r="H251">
            <v>0</v>
          </cell>
          <cell r="I251">
            <v>0</v>
          </cell>
          <cell r="J251">
            <v>197.89</v>
          </cell>
          <cell r="K251">
            <v>0</v>
          </cell>
          <cell r="L251">
            <v>0</v>
          </cell>
          <cell r="M251">
            <v>0</v>
          </cell>
          <cell r="N251">
            <v>1541.23</v>
          </cell>
          <cell r="O251">
            <v>0</v>
          </cell>
          <cell r="P251">
            <v>120.24</v>
          </cell>
          <cell r="Q251">
            <v>0</v>
          </cell>
          <cell r="R251">
            <v>1292.3499999999999</v>
          </cell>
          <cell r="S251">
            <v>0</v>
          </cell>
          <cell r="T251">
            <v>305.52</v>
          </cell>
          <cell r="U251">
            <v>0</v>
          </cell>
          <cell r="V251">
            <v>0</v>
          </cell>
          <cell r="W251">
            <v>0</v>
          </cell>
          <cell r="X251">
            <v>1094.5</v>
          </cell>
          <cell r="Y251">
            <v>0</v>
          </cell>
          <cell r="Z251">
            <v>0</v>
          </cell>
          <cell r="AA251">
            <v>0</v>
          </cell>
          <cell r="AB251">
            <v>0</v>
          </cell>
          <cell r="AC251">
            <v>0</v>
          </cell>
          <cell r="AD251">
            <v>0</v>
          </cell>
          <cell r="AE251">
            <v>0</v>
          </cell>
          <cell r="AF251">
            <v>507.21</v>
          </cell>
          <cell r="AG251">
            <v>0</v>
          </cell>
          <cell r="AH251">
            <v>5058.9399999999996</v>
          </cell>
        </row>
        <row r="252">
          <cell r="D252">
            <v>70095</v>
          </cell>
          <cell r="E252" t="str">
            <v>Empl &amp; Commun Activ</v>
          </cell>
          <cell r="F252">
            <v>0</v>
          </cell>
          <cell r="G252">
            <v>0</v>
          </cell>
          <cell r="H252">
            <v>0</v>
          </cell>
          <cell r="I252">
            <v>0</v>
          </cell>
          <cell r="J252">
            <v>9034.4</v>
          </cell>
          <cell r="K252">
            <v>0</v>
          </cell>
          <cell r="L252">
            <v>326.31</v>
          </cell>
          <cell r="M252">
            <v>0</v>
          </cell>
          <cell r="N252">
            <v>31970.13</v>
          </cell>
          <cell r="O252">
            <v>0</v>
          </cell>
          <cell r="P252">
            <v>2203.4699999999998</v>
          </cell>
          <cell r="Q252">
            <v>0</v>
          </cell>
          <cell r="R252">
            <v>2863.6</v>
          </cell>
          <cell r="S252">
            <v>0</v>
          </cell>
          <cell r="T252">
            <v>4671.18</v>
          </cell>
          <cell r="U252">
            <v>0</v>
          </cell>
          <cell r="V252">
            <v>9098.48</v>
          </cell>
          <cell r="W252">
            <v>0</v>
          </cell>
          <cell r="X252">
            <v>4218.67</v>
          </cell>
          <cell r="Y252">
            <v>0</v>
          </cell>
          <cell r="Z252">
            <v>9745.09</v>
          </cell>
          <cell r="AA252">
            <v>0</v>
          </cell>
          <cell r="AB252">
            <v>27836.9</v>
          </cell>
          <cell r="AC252">
            <v>0</v>
          </cell>
          <cell r="AD252">
            <v>3434.3</v>
          </cell>
          <cell r="AE252">
            <v>0</v>
          </cell>
          <cell r="AF252">
            <v>5494.25</v>
          </cell>
          <cell r="AG252">
            <v>0</v>
          </cell>
          <cell r="AH252">
            <v>110896.77999999998</v>
          </cell>
        </row>
        <row r="253">
          <cell r="D253">
            <v>70105</v>
          </cell>
          <cell r="E253" t="str">
            <v>Employee Relocation</v>
          </cell>
          <cell r="F253">
            <v>0</v>
          </cell>
          <cell r="G253">
            <v>0</v>
          </cell>
          <cell r="H253">
            <v>0</v>
          </cell>
          <cell r="I253">
            <v>0</v>
          </cell>
          <cell r="J253">
            <v>4423.84</v>
          </cell>
          <cell r="K253">
            <v>0</v>
          </cell>
          <cell r="L253">
            <v>2818.88</v>
          </cell>
          <cell r="M253">
            <v>0</v>
          </cell>
          <cell r="N253">
            <v>2764.2</v>
          </cell>
          <cell r="O253">
            <v>0</v>
          </cell>
          <cell r="P253">
            <v>2764.2</v>
          </cell>
          <cell r="Q253">
            <v>0</v>
          </cell>
          <cell r="R253">
            <v>2764.18</v>
          </cell>
          <cell r="S253">
            <v>0</v>
          </cell>
          <cell r="T253">
            <v>2764.2</v>
          </cell>
          <cell r="U253">
            <v>0</v>
          </cell>
          <cell r="V253">
            <v>3097.53</v>
          </cell>
          <cell r="W253">
            <v>0</v>
          </cell>
          <cell r="X253">
            <v>3097.54</v>
          </cell>
          <cell r="Y253">
            <v>0</v>
          </cell>
          <cell r="Z253">
            <v>3097.53</v>
          </cell>
          <cell r="AA253">
            <v>0</v>
          </cell>
          <cell r="AB253">
            <v>5383.31</v>
          </cell>
          <cell r="AC253">
            <v>0</v>
          </cell>
          <cell r="AD253">
            <v>4275.1499999999996</v>
          </cell>
          <cell r="AE253">
            <v>0</v>
          </cell>
          <cell r="AF253">
            <v>4275.16</v>
          </cell>
          <cell r="AG253">
            <v>0</v>
          </cell>
          <cell r="AH253">
            <v>41525.72</v>
          </cell>
        </row>
        <row r="254">
          <cell r="D254">
            <v>70110</v>
          </cell>
          <cell r="E254" t="str">
            <v>Contributions</v>
          </cell>
          <cell r="F254">
            <v>0</v>
          </cell>
          <cell r="G254">
            <v>0</v>
          </cell>
          <cell r="H254">
            <v>0</v>
          </cell>
          <cell r="I254">
            <v>0</v>
          </cell>
          <cell r="J254">
            <v>1769.45</v>
          </cell>
          <cell r="K254">
            <v>0</v>
          </cell>
          <cell r="L254">
            <v>-930.56</v>
          </cell>
          <cell r="M254">
            <v>0</v>
          </cell>
          <cell r="N254">
            <v>2169.4499999999998</v>
          </cell>
          <cell r="O254">
            <v>0</v>
          </cell>
          <cell r="P254">
            <v>6869.44</v>
          </cell>
          <cell r="Q254">
            <v>0</v>
          </cell>
          <cell r="R254">
            <v>6569.44</v>
          </cell>
          <cell r="S254">
            <v>0</v>
          </cell>
          <cell r="T254">
            <v>12569.45</v>
          </cell>
          <cell r="U254">
            <v>0</v>
          </cell>
          <cell r="V254">
            <v>1431.64</v>
          </cell>
          <cell r="W254">
            <v>0</v>
          </cell>
          <cell r="X254">
            <v>6431.65</v>
          </cell>
          <cell r="Y254">
            <v>0</v>
          </cell>
          <cell r="Z254">
            <v>13098.31</v>
          </cell>
          <cell r="AA254">
            <v>0</v>
          </cell>
          <cell r="AB254">
            <v>0</v>
          </cell>
          <cell r="AC254">
            <v>0</v>
          </cell>
          <cell r="AD254">
            <v>3639.37</v>
          </cell>
          <cell r="AE254">
            <v>0</v>
          </cell>
          <cell r="AF254">
            <v>0</v>
          </cell>
          <cell r="AG254">
            <v>0</v>
          </cell>
          <cell r="AH254">
            <v>53617.64</v>
          </cell>
        </row>
        <row r="255">
          <cell r="D255">
            <v>70112</v>
          </cell>
          <cell r="E255" t="str">
            <v>Political Contributions</v>
          </cell>
          <cell r="F255">
            <v>0</v>
          </cell>
          <cell r="G255">
            <v>0</v>
          </cell>
          <cell r="H255">
            <v>0</v>
          </cell>
          <cell r="I255">
            <v>0</v>
          </cell>
          <cell r="J255">
            <v>0</v>
          </cell>
          <cell r="K255">
            <v>0</v>
          </cell>
          <cell r="L255">
            <v>0</v>
          </cell>
          <cell r="M255">
            <v>0</v>
          </cell>
          <cell r="N255">
            <v>-75</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500</v>
          </cell>
          <cell r="AC255">
            <v>0</v>
          </cell>
          <cell r="AD255">
            <v>0</v>
          </cell>
          <cell r="AE255">
            <v>0</v>
          </cell>
          <cell r="AF255">
            <v>750</v>
          </cell>
          <cell r="AG255">
            <v>0</v>
          </cell>
          <cell r="AH255">
            <v>1175</v>
          </cell>
        </row>
        <row r="256">
          <cell r="D256">
            <v>70116</v>
          </cell>
          <cell r="E256" t="str">
            <v>Pension and Profit Sharing</v>
          </cell>
          <cell r="F256">
            <v>0</v>
          </cell>
          <cell r="G256">
            <v>0</v>
          </cell>
          <cell r="H256">
            <v>0</v>
          </cell>
          <cell r="I256">
            <v>0</v>
          </cell>
          <cell r="J256">
            <v>2600.11</v>
          </cell>
          <cell r="K256">
            <v>0</v>
          </cell>
          <cell r="L256">
            <v>5153.41</v>
          </cell>
          <cell r="M256">
            <v>0</v>
          </cell>
          <cell r="N256">
            <v>5114.82</v>
          </cell>
          <cell r="O256">
            <v>0</v>
          </cell>
          <cell r="P256">
            <v>5888.05</v>
          </cell>
          <cell r="Q256">
            <v>0</v>
          </cell>
          <cell r="R256">
            <v>5005.63</v>
          </cell>
          <cell r="S256">
            <v>0</v>
          </cell>
          <cell r="T256">
            <v>5214.2299999999996</v>
          </cell>
          <cell r="U256">
            <v>0</v>
          </cell>
          <cell r="V256">
            <v>4847.45</v>
          </cell>
          <cell r="W256">
            <v>0</v>
          </cell>
          <cell r="X256">
            <v>5658.68</v>
          </cell>
          <cell r="Y256">
            <v>0</v>
          </cell>
          <cell r="Z256">
            <v>6703.86</v>
          </cell>
          <cell r="AA256">
            <v>0</v>
          </cell>
          <cell r="AB256">
            <v>4902.99</v>
          </cell>
          <cell r="AC256">
            <v>0</v>
          </cell>
          <cell r="AD256">
            <v>5383.23</v>
          </cell>
          <cell r="AE256">
            <v>0</v>
          </cell>
          <cell r="AF256">
            <v>4747.8</v>
          </cell>
          <cell r="AG256">
            <v>0</v>
          </cell>
          <cell r="AH256">
            <v>61220.259999999995</v>
          </cell>
        </row>
        <row r="257">
          <cell r="D257">
            <v>70148</v>
          </cell>
          <cell r="E257" t="str">
            <v>Allocated Exp In - District</v>
          </cell>
          <cell r="F257">
            <v>0</v>
          </cell>
          <cell r="G257">
            <v>0</v>
          </cell>
          <cell r="H257">
            <v>0</v>
          </cell>
          <cell r="I257">
            <v>0</v>
          </cell>
          <cell r="J257">
            <v>7464.7</v>
          </cell>
          <cell r="K257">
            <v>0</v>
          </cell>
          <cell r="L257">
            <v>13142.12</v>
          </cell>
          <cell r="M257">
            <v>0</v>
          </cell>
          <cell r="N257">
            <v>9586.64</v>
          </cell>
          <cell r="O257">
            <v>0</v>
          </cell>
          <cell r="P257">
            <v>15195.24</v>
          </cell>
          <cell r="Q257">
            <v>0</v>
          </cell>
          <cell r="R257">
            <v>23190.99</v>
          </cell>
          <cell r="S257">
            <v>0</v>
          </cell>
          <cell r="T257">
            <v>9846.0499999999993</v>
          </cell>
          <cell r="U257">
            <v>0</v>
          </cell>
          <cell r="V257">
            <v>42892.46</v>
          </cell>
          <cell r="W257">
            <v>0</v>
          </cell>
          <cell r="X257">
            <v>10525.43</v>
          </cell>
          <cell r="Y257">
            <v>0</v>
          </cell>
          <cell r="Z257">
            <v>9221.27</v>
          </cell>
          <cell r="AA257">
            <v>0</v>
          </cell>
          <cell r="AB257">
            <v>8934.44</v>
          </cell>
          <cell r="AC257">
            <v>0</v>
          </cell>
          <cell r="AD257">
            <v>9229.65</v>
          </cell>
          <cell r="AE257">
            <v>0</v>
          </cell>
          <cell r="AF257">
            <v>8766.84</v>
          </cell>
          <cell r="AG257">
            <v>0</v>
          </cell>
          <cell r="AH257">
            <v>167995.83000000002</v>
          </cell>
        </row>
        <row r="258">
          <cell r="D258">
            <v>70150</v>
          </cell>
          <cell r="E258" t="str">
            <v>Utilities</v>
          </cell>
          <cell r="F258">
            <v>0</v>
          </cell>
          <cell r="G258">
            <v>0</v>
          </cell>
          <cell r="H258">
            <v>0</v>
          </cell>
          <cell r="I258">
            <v>0</v>
          </cell>
          <cell r="J258">
            <v>378.63</v>
          </cell>
          <cell r="K258">
            <v>0</v>
          </cell>
          <cell r="L258">
            <v>371.41</v>
          </cell>
          <cell r="M258">
            <v>0</v>
          </cell>
          <cell r="N258">
            <v>400.86</v>
          </cell>
          <cell r="O258">
            <v>0</v>
          </cell>
          <cell r="P258">
            <v>392.23</v>
          </cell>
          <cell r="Q258">
            <v>0</v>
          </cell>
          <cell r="R258">
            <v>402.23</v>
          </cell>
          <cell r="S258">
            <v>0</v>
          </cell>
          <cell r="T258">
            <v>392.23</v>
          </cell>
          <cell r="U258">
            <v>0</v>
          </cell>
          <cell r="V258">
            <v>402.11</v>
          </cell>
          <cell r="W258">
            <v>0</v>
          </cell>
          <cell r="X258">
            <v>392.23</v>
          </cell>
          <cell r="Y258">
            <v>0</v>
          </cell>
          <cell r="Z258">
            <v>392.11</v>
          </cell>
          <cell r="AA258">
            <v>0</v>
          </cell>
          <cell r="AB258">
            <v>387.04</v>
          </cell>
          <cell r="AC258">
            <v>0</v>
          </cell>
          <cell r="AD258">
            <v>387.04</v>
          </cell>
          <cell r="AE258">
            <v>0</v>
          </cell>
          <cell r="AF258">
            <v>397.14</v>
          </cell>
          <cell r="AG258">
            <v>0</v>
          </cell>
          <cell r="AH258">
            <v>4695.26</v>
          </cell>
        </row>
        <row r="259">
          <cell r="D259">
            <v>70165</v>
          </cell>
          <cell r="E259" t="str">
            <v>Communications</v>
          </cell>
          <cell r="F259">
            <v>0</v>
          </cell>
          <cell r="G259">
            <v>0</v>
          </cell>
          <cell r="H259">
            <v>0</v>
          </cell>
          <cell r="I259">
            <v>0</v>
          </cell>
          <cell r="J259">
            <v>3557.68</v>
          </cell>
          <cell r="K259">
            <v>0</v>
          </cell>
          <cell r="L259">
            <v>3577.62</v>
          </cell>
          <cell r="M259">
            <v>0</v>
          </cell>
          <cell r="N259">
            <v>3788.27</v>
          </cell>
          <cell r="O259">
            <v>0</v>
          </cell>
          <cell r="P259">
            <v>3403.06</v>
          </cell>
          <cell r="Q259">
            <v>0</v>
          </cell>
          <cell r="R259">
            <v>3925.43</v>
          </cell>
          <cell r="S259">
            <v>0</v>
          </cell>
          <cell r="T259">
            <v>4543.34</v>
          </cell>
          <cell r="U259">
            <v>0</v>
          </cell>
          <cell r="V259">
            <v>3606.46</v>
          </cell>
          <cell r="W259">
            <v>0</v>
          </cell>
          <cell r="X259">
            <v>3895.56</v>
          </cell>
          <cell r="Y259">
            <v>0</v>
          </cell>
          <cell r="Z259">
            <v>3589.7</v>
          </cell>
          <cell r="AA259">
            <v>0</v>
          </cell>
          <cell r="AB259">
            <v>4996.17</v>
          </cell>
          <cell r="AC259">
            <v>0</v>
          </cell>
          <cell r="AD259">
            <v>3887.17</v>
          </cell>
          <cell r="AE259">
            <v>0</v>
          </cell>
          <cell r="AF259">
            <v>3816.36</v>
          </cell>
          <cell r="AG259">
            <v>0</v>
          </cell>
          <cell r="AH259">
            <v>46586.82</v>
          </cell>
        </row>
        <row r="260">
          <cell r="D260">
            <v>70166</v>
          </cell>
          <cell r="E260" t="str">
            <v>Office Telephone</v>
          </cell>
          <cell r="F260">
            <v>0</v>
          </cell>
          <cell r="G260">
            <v>0</v>
          </cell>
          <cell r="H260">
            <v>0</v>
          </cell>
          <cell r="I260">
            <v>0</v>
          </cell>
          <cell r="J260">
            <v>147</v>
          </cell>
          <cell r="K260">
            <v>0</v>
          </cell>
          <cell r="L260">
            <v>49</v>
          </cell>
          <cell r="M260">
            <v>0</v>
          </cell>
          <cell r="N260">
            <v>49</v>
          </cell>
          <cell r="O260">
            <v>0</v>
          </cell>
          <cell r="P260">
            <v>49</v>
          </cell>
          <cell r="Q260">
            <v>0</v>
          </cell>
          <cell r="R260">
            <v>49</v>
          </cell>
          <cell r="S260">
            <v>0</v>
          </cell>
          <cell r="T260">
            <v>49</v>
          </cell>
          <cell r="U260">
            <v>0</v>
          </cell>
          <cell r="V260">
            <v>49</v>
          </cell>
          <cell r="W260">
            <v>0</v>
          </cell>
          <cell r="X260">
            <v>49</v>
          </cell>
          <cell r="Y260">
            <v>0</v>
          </cell>
          <cell r="Z260">
            <v>49</v>
          </cell>
          <cell r="AA260">
            <v>0</v>
          </cell>
          <cell r="AB260">
            <v>49</v>
          </cell>
          <cell r="AC260">
            <v>0</v>
          </cell>
          <cell r="AD260">
            <v>49</v>
          </cell>
          <cell r="AE260">
            <v>0</v>
          </cell>
          <cell r="AF260">
            <v>49</v>
          </cell>
          <cell r="AG260">
            <v>0</v>
          </cell>
          <cell r="AH260">
            <v>686</v>
          </cell>
        </row>
        <row r="261">
          <cell r="D261">
            <v>70167</v>
          </cell>
          <cell r="E261" t="str">
            <v>Cellular Telephone</v>
          </cell>
          <cell r="F261">
            <v>0</v>
          </cell>
          <cell r="G261">
            <v>0</v>
          </cell>
          <cell r="H261">
            <v>0</v>
          </cell>
          <cell r="I261">
            <v>0</v>
          </cell>
          <cell r="J261">
            <v>7302.08</v>
          </cell>
          <cell r="K261">
            <v>0</v>
          </cell>
          <cell r="L261">
            <v>2131.91</v>
          </cell>
          <cell r="M261">
            <v>0</v>
          </cell>
          <cell r="N261">
            <v>4770.42</v>
          </cell>
          <cell r="O261">
            <v>0</v>
          </cell>
          <cell r="P261">
            <v>5647.36</v>
          </cell>
          <cell r="Q261">
            <v>0</v>
          </cell>
          <cell r="R261">
            <v>1873.86</v>
          </cell>
          <cell r="S261">
            <v>0</v>
          </cell>
          <cell r="T261">
            <v>6454.81</v>
          </cell>
          <cell r="U261">
            <v>0</v>
          </cell>
          <cell r="V261">
            <v>2182.4699999999998</v>
          </cell>
          <cell r="W261">
            <v>0</v>
          </cell>
          <cell r="X261">
            <v>7866.58</v>
          </cell>
          <cell r="Y261">
            <v>0</v>
          </cell>
          <cell r="Z261">
            <v>4593.83</v>
          </cell>
          <cell r="AA261">
            <v>0</v>
          </cell>
          <cell r="AB261">
            <v>4932.2</v>
          </cell>
          <cell r="AC261">
            <v>0</v>
          </cell>
          <cell r="AD261">
            <v>2624.61</v>
          </cell>
          <cell r="AE261">
            <v>0</v>
          </cell>
          <cell r="AF261">
            <v>7134.2</v>
          </cell>
          <cell r="AG261">
            <v>0</v>
          </cell>
          <cell r="AH261">
            <v>57514.33</v>
          </cell>
        </row>
        <row r="262">
          <cell r="D262">
            <v>70170</v>
          </cell>
          <cell r="E262" t="str">
            <v>Qualifying Operating Lease Expense</v>
          </cell>
          <cell r="F262">
            <v>0</v>
          </cell>
          <cell r="G262">
            <v>0</v>
          </cell>
          <cell r="H262">
            <v>0</v>
          </cell>
          <cell r="I262">
            <v>0</v>
          </cell>
          <cell r="J262">
            <v>285</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285</v>
          </cell>
        </row>
        <row r="263">
          <cell r="D263">
            <v>70185</v>
          </cell>
          <cell r="E263" t="str">
            <v>Postage</v>
          </cell>
          <cell r="F263">
            <v>0</v>
          </cell>
          <cell r="G263">
            <v>0</v>
          </cell>
          <cell r="H263">
            <v>0</v>
          </cell>
          <cell r="I263">
            <v>0</v>
          </cell>
          <cell r="J263">
            <v>1482.53</v>
          </cell>
          <cell r="K263">
            <v>0</v>
          </cell>
          <cell r="L263">
            <v>604.24</v>
          </cell>
          <cell r="M263">
            <v>0</v>
          </cell>
          <cell r="N263">
            <v>686.08</v>
          </cell>
          <cell r="O263">
            <v>0</v>
          </cell>
          <cell r="P263">
            <v>599.66</v>
          </cell>
          <cell r="Q263">
            <v>0</v>
          </cell>
          <cell r="R263">
            <v>813.79</v>
          </cell>
          <cell r="S263">
            <v>0</v>
          </cell>
          <cell r="T263">
            <v>678.06</v>
          </cell>
          <cell r="U263">
            <v>0</v>
          </cell>
          <cell r="V263">
            <v>603.54</v>
          </cell>
          <cell r="W263">
            <v>0</v>
          </cell>
          <cell r="X263">
            <v>55.3</v>
          </cell>
          <cell r="Y263">
            <v>0</v>
          </cell>
          <cell r="Z263">
            <v>62.92</v>
          </cell>
          <cell r="AA263">
            <v>0</v>
          </cell>
          <cell r="AB263">
            <v>2335.6799999999998</v>
          </cell>
          <cell r="AC263">
            <v>0</v>
          </cell>
          <cell r="AD263">
            <v>264.18</v>
          </cell>
          <cell r="AE263">
            <v>0</v>
          </cell>
          <cell r="AF263">
            <v>1001.35</v>
          </cell>
          <cell r="AG263">
            <v>0</v>
          </cell>
          <cell r="AH263">
            <v>9187.33</v>
          </cell>
        </row>
        <row r="264">
          <cell r="D264">
            <v>70190</v>
          </cell>
          <cell r="E264" t="str">
            <v>Registration Fees</v>
          </cell>
          <cell r="F264">
            <v>0</v>
          </cell>
          <cell r="G264">
            <v>0</v>
          </cell>
          <cell r="H264">
            <v>0</v>
          </cell>
          <cell r="I264">
            <v>0</v>
          </cell>
          <cell r="J264">
            <v>0</v>
          </cell>
          <cell r="K264">
            <v>0</v>
          </cell>
          <cell r="L264">
            <v>0</v>
          </cell>
          <cell r="M264">
            <v>0</v>
          </cell>
          <cell r="N264">
            <v>0</v>
          </cell>
          <cell r="O264">
            <v>0</v>
          </cell>
          <cell r="P264">
            <v>0</v>
          </cell>
          <cell r="Q264">
            <v>0</v>
          </cell>
          <cell r="R264">
            <v>2650</v>
          </cell>
          <cell r="S264">
            <v>0</v>
          </cell>
          <cell r="T264">
            <v>0</v>
          </cell>
          <cell r="U264">
            <v>0</v>
          </cell>
          <cell r="V264">
            <v>0</v>
          </cell>
          <cell r="W264">
            <v>0</v>
          </cell>
          <cell r="X264">
            <v>0</v>
          </cell>
          <cell r="Y264">
            <v>0</v>
          </cell>
          <cell r="Z264">
            <v>0</v>
          </cell>
          <cell r="AA264">
            <v>0</v>
          </cell>
          <cell r="AB264">
            <v>0</v>
          </cell>
          <cell r="AC264">
            <v>0</v>
          </cell>
          <cell r="AD264">
            <v>715</v>
          </cell>
          <cell r="AE264">
            <v>0</v>
          </cell>
          <cell r="AF264">
            <v>0</v>
          </cell>
          <cell r="AG264">
            <v>0</v>
          </cell>
          <cell r="AH264">
            <v>3365</v>
          </cell>
        </row>
        <row r="265">
          <cell r="D265">
            <v>70195</v>
          </cell>
          <cell r="E265" t="str">
            <v>Dues and Subscriptions</v>
          </cell>
          <cell r="F265">
            <v>0</v>
          </cell>
          <cell r="G265">
            <v>0</v>
          </cell>
          <cell r="H265">
            <v>0</v>
          </cell>
          <cell r="I265">
            <v>0</v>
          </cell>
          <cell r="J265">
            <v>2501.4899999999998</v>
          </cell>
          <cell r="K265">
            <v>0</v>
          </cell>
          <cell r="L265">
            <v>2137.54</v>
          </cell>
          <cell r="M265">
            <v>0</v>
          </cell>
          <cell r="N265">
            <v>3162.51</v>
          </cell>
          <cell r="O265">
            <v>0</v>
          </cell>
          <cell r="P265">
            <v>2000.11</v>
          </cell>
          <cell r="Q265">
            <v>0</v>
          </cell>
          <cell r="R265">
            <v>1869.3</v>
          </cell>
          <cell r="S265">
            <v>0</v>
          </cell>
          <cell r="T265">
            <v>1869.29</v>
          </cell>
          <cell r="U265">
            <v>0</v>
          </cell>
          <cell r="V265">
            <v>1906.87</v>
          </cell>
          <cell r="W265">
            <v>0</v>
          </cell>
          <cell r="X265">
            <v>1786.88</v>
          </cell>
          <cell r="Y265">
            <v>0</v>
          </cell>
          <cell r="Z265">
            <v>1788.86</v>
          </cell>
          <cell r="AA265">
            <v>0</v>
          </cell>
          <cell r="AB265">
            <v>3678.54</v>
          </cell>
          <cell r="AC265">
            <v>0</v>
          </cell>
          <cell r="AD265">
            <v>2859.54</v>
          </cell>
          <cell r="AE265">
            <v>0</v>
          </cell>
          <cell r="AF265">
            <v>2128.5300000000002</v>
          </cell>
          <cell r="AG265">
            <v>0</v>
          </cell>
          <cell r="AH265">
            <v>27689.46</v>
          </cell>
        </row>
        <row r="266">
          <cell r="D266">
            <v>70200</v>
          </cell>
          <cell r="E266" t="str">
            <v>Travel</v>
          </cell>
          <cell r="F266">
            <v>0</v>
          </cell>
          <cell r="G266">
            <v>0</v>
          </cell>
          <cell r="H266">
            <v>0</v>
          </cell>
          <cell r="I266">
            <v>0</v>
          </cell>
          <cell r="J266">
            <v>0</v>
          </cell>
          <cell r="K266">
            <v>0</v>
          </cell>
          <cell r="L266">
            <v>628.72</v>
          </cell>
          <cell r="M266">
            <v>0</v>
          </cell>
          <cell r="N266">
            <v>0</v>
          </cell>
          <cell r="O266">
            <v>0</v>
          </cell>
          <cell r="P266">
            <v>60</v>
          </cell>
          <cell r="Q266">
            <v>0</v>
          </cell>
          <cell r="R266">
            <v>0</v>
          </cell>
          <cell r="S266">
            <v>0</v>
          </cell>
          <cell r="T266">
            <v>0</v>
          </cell>
          <cell r="U266">
            <v>0</v>
          </cell>
          <cell r="V266">
            <v>127</v>
          </cell>
          <cell r="W266">
            <v>0</v>
          </cell>
          <cell r="X266">
            <v>14.8</v>
          </cell>
          <cell r="Y266">
            <v>0</v>
          </cell>
          <cell r="Z266">
            <v>0</v>
          </cell>
          <cell r="AA266">
            <v>0</v>
          </cell>
          <cell r="AB266">
            <v>0</v>
          </cell>
          <cell r="AC266">
            <v>0</v>
          </cell>
          <cell r="AD266">
            <v>15</v>
          </cell>
          <cell r="AE266">
            <v>0</v>
          </cell>
          <cell r="AF266">
            <v>0</v>
          </cell>
          <cell r="AG266">
            <v>0</v>
          </cell>
          <cell r="AH266">
            <v>845.52</v>
          </cell>
        </row>
        <row r="267">
          <cell r="D267">
            <v>70201</v>
          </cell>
          <cell r="E267" t="str">
            <v>Entertainment</v>
          </cell>
          <cell r="F267">
            <v>0</v>
          </cell>
          <cell r="G267">
            <v>0</v>
          </cell>
          <cell r="H267">
            <v>0</v>
          </cell>
          <cell r="I267">
            <v>0</v>
          </cell>
          <cell r="J267">
            <v>980.01</v>
          </cell>
          <cell r="K267">
            <v>0</v>
          </cell>
          <cell r="L267">
            <v>1499.68</v>
          </cell>
          <cell r="M267">
            <v>0</v>
          </cell>
          <cell r="N267">
            <v>671.38</v>
          </cell>
          <cell r="O267">
            <v>0</v>
          </cell>
          <cell r="P267">
            <v>360.68</v>
          </cell>
          <cell r="Q267">
            <v>0</v>
          </cell>
          <cell r="R267">
            <v>987.87</v>
          </cell>
          <cell r="S267">
            <v>0</v>
          </cell>
          <cell r="T267">
            <v>1335.23</v>
          </cell>
          <cell r="U267">
            <v>0</v>
          </cell>
          <cell r="V267">
            <v>504.99</v>
          </cell>
          <cell r="W267">
            <v>0</v>
          </cell>
          <cell r="X267">
            <v>975.73</v>
          </cell>
          <cell r="Y267">
            <v>0</v>
          </cell>
          <cell r="Z267">
            <v>2064.96</v>
          </cell>
          <cell r="AA267">
            <v>0</v>
          </cell>
          <cell r="AB267">
            <v>2190.9</v>
          </cell>
          <cell r="AC267">
            <v>0</v>
          </cell>
          <cell r="AD267">
            <v>2014.29</v>
          </cell>
          <cell r="AE267">
            <v>0</v>
          </cell>
          <cell r="AF267">
            <v>1201.75</v>
          </cell>
          <cell r="AG267">
            <v>0</v>
          </cell>
          <cell r="AH267">
            <v>14787.470000000001</v>
          </cell>
        </row>
        <row r="268">
          <cell r="D268">
            <v>70202</v>
          </cell>
          <cell r="E268" t="str">
            <v>Excursions Meetings</v>
          </cell>
          <cell r="F268">
            <v>0</v>
          </cell>
          <cell r="G268">
            <v>0</v>
          </cell>
          <cell r="H268">
            <v>0</v>
          </cell>
          <cell r="I268">
            <v>0</v>
          </cell>
          <cell r="J268">
            <v>437.41</v>
          </cell>
          <cell r="K268">
            <v>0</v>
          </cell>
          <cell r="L268">
            <v>937.95</v>
          </cell>
          <cell r="M268">
            <v>0</v>
          </cell>
          <cell r="N268">
            <v>3138.72</v>
          </cell>
          <cell r="O268">
            <v>0</v>
          </cell>
          <cell r="P268">
            <v>1053.08</v>
          </cell>
          <cell r="Q268">
            <v>0</v>
          </cell>
          <cell r="R268">
            <v>136.59</v>
          </cell>
          <cell r="S268">
            <v>0</v>
          </cell>
          <cell r="T268">
            <v>0</v>
          </cell>
          <cell r="U268">
            <v>0</v>
          </cell>
          <cell r="V268">
            <v>2549.35</v>
          </cell>
          <cell r="W268">
            <v>0</v>
          </cell>
          <cell r="X268">
            <v>0</v>
          </cell>
          <cell r="Y268">
            <v>0</v>
          </cell>
          <cell r="Z268">
            <v>141.29</v>
          </cell>
          <cell r="AA268">
            <v>0</v>
          </cell>
          <cell r="AB268">
            <v>1904.09</v>
          </cell>
          <cell r="AC268">
            <v>0</v>
          </cell>
          <cell r="AD268">
            <v>1129.67</v>
          </cell>
          <cell r="AE268">
            <v>0</v>
          </cell>
          <cell r="AF268">
            <v>0</v>
          </cell>
          <cell r="AG268">
            <v>0</v>
          </cell>
          <cell r="AH268">
            <v>11428.15</v>
          </cell>
        </row>
        <row r="269">
          <cell r="D269">
            <v>70203</v>
          </cell>
          <cell r="E269" t="str">
            <v>Lodging</v>
          </cell>
          <cell r="F269">
            <v>0</v>
          </cell>
          <cell r="G269">
            <v>0</v>
          </cell>
          <cell r="H269">
            <v>0</v>
          </cell>
          <cell r="I269">
            <v>0</v>
          </cell>
          <cell r="J269">
            <v>593.55999999999995</v>
          </cell>
          <cell r="K269">
            <v>0</v>
          </cell>
          <cell r="L269">
            <v>326.16000000000003</v>
          </cell>
          <cell r="M269">
            <v>0</v>
          </cell>
          <cell r="N269">
            <v>0</v>
          </cell>
          <cell r="O269">
            <v>0</v>
          </cell>
          <cell r="P269">
            <v>574.08000000000004</v>
          </cell>
          <cell r="Q269">
            <v>0</v>
          </cell>
          <cell r="R269">
            <v>0</v>
          </cell>
          <cell r="S269">
            <v>0</v>
          </cell>
          <cell r="T269">
            <v>1558.41</v>
          </cell>
          <cell r="U269">
            <v>0</v>
          </cell>
          <cell r="V269">
            <v>618.26</v>
          </cell>
          <cell r="W269">
            <v>0</v>
          </cell>
          <cell r="X269">
            <v>1656.55</v>
          </cell>
          <cell r="Y269">
            <v>0</v>
          </cell>
          <cell r="Z269">
            <v>115.78</v>
          </cell>
          <cell r="AA269">
            <v>0</v>
          </cell>
          <cell r="AB269">
            <v>0</v>
          </cell>
          <cell r="AC269">
            <v>0</v>
          </cell>
          <cell r="AD269">
            <v>0</v>
          </cell>
          <cell r="AE269">
            <v>0</v>
          </cell>
          <cell r="AF269">
            <v>234.61</v>
          </cell>
          <cell r="AG269">
            <v>0</v>
          </cell>
          <cell r="AH269">
            <v>5677.41</v>
          </cell>
        </row>
        <row r="270">
          <cell r="D270">
            <v>70205</v>
          </cell>
          <cell r="E270" t="str">
            <v>Travel - Auto</v>
          </cell>
          <cell r="F270">
            <v>0</v>
          </cell>
          <cell r="G270">
            <v>0</v>
          </cell>
          <cell r="H270">
            <v>0</v>
          </cell>
          <cell r="I270">
            <v>0</v>
          </cell>
          <cell r="J270">
            <v>126.06</v>
          </cell>
          <cell r="K270">
            <v>0</v>
          </cell>
          <cell r="L270">
            <v>267.20999999999998</v>
          </cell>
          <cell r="M270">
            <v>0</v>
          </cell>
          <cell r="N270">
            <v>153.35</v>
          </cell>
          <cell r="O270">
            <v>0</v>
          </cell>
          <cell r="P270">
            <v>1107.92</v>
          </cell>
          <cell r="Q270">
            <v>0</v>
          </cell>
          <cell r="R270">
            <v>10.5</v>
          </cell>
          <cell r="S270">
            <v>0</v>
          </cell>
          <cell r="T270">
            <v>1286.94</v>
          </cell>
          <cell r="U270">
            <v>0</v>
          </cell>
          <cell r="V270">
            <v>102.12</v>
          </cell>
          <cell r="W270">
            <v>0</v>
          </cell>
          <cell r="X270">
            <v>1554.72</v>
          </cell>
          <cell r="Y270">
            <v>0</v>
          </cell>
          <cell r="Z270">
            <v>-46.57</v>
          </cell>
          <cell r="AA270">
            <v>0</v>
          </cell>
          <cell r="AB270">
            <v>4.6399999999999997</v>
          </cell>
          <cell r="AC270">
            <v>0</v>
          </cell>
          <cell r="AD270">
            <v>1041.3699999999999</v>
          </cell>
          <cell r="AE270">
            <v>0</v>
          </cell>
          <cell r="AF270">
            <v>168.2</v>
          </cell>
          <cell r="AG270">
            <v>0</v>
          </cell>
          <cell r="AH270">
            <v>5776.4600000000009</v>
          </cell>
        </row>
        <row r="271">
          <cell r="D271">
            <v>70206</v>
          </cell>
          <cell r="E271" t="str">
            <v>Meals</v>
          </cell>
          <cell r="F271">
            <v>0</v>
          </cell>
          <cell r="G271">
            <v>0</v>
          </cell>
          <cell r="H271">
            <v>0</v>
          </cell>
          <cell r="I271">
            <v>0</v>
          </cell>
          <cell r="J271">
            <v>1468.29</v>
          </cell>
          <cell r="K271">
            <v>0</v>
          </cell>
          <cell r="L271">
            <v>265.29000000000002</v>
          </cell>
          <cell r="M271">
            <v>0</v>
          </cell>
          <cell r="N271">
            <v>913.68</v>
          </cell>
          <cell r="O271">
            <v>0</v>
          </cell>
          <cell r="P271">
            <v>308.56</v>
          </cell>
          <cell r="Q271">
            <v>0</v>
          </cell>
          <cell r="R271">
            <v>78.89</v>
          </cell>
          <cell r="S271">
            <v>0</v>
          </cell>
          <cell r="T271">
            <v>1204.5</v>
          </cell>
          <cell r="U271">
            <v>0</v>
          </cell>
          <cell r="V271">
            <v>180.73</v>
          </cell>
          <cell r="W271">
            <v>0</v>
          </cell>
          <cell r="X271">
            <v>179.58</v>
          </cell>
          <cell r="Y271">
            <v>0</v>
          </cell>
          <cell r="Z271">
            <v>195.46</v>
          </cell>
          <cell r="AA271">
            <v>0</v>
          </cell>
          <cell r="AB271">
            <v>203.9</v>
          </cell>
          <cell r="AC271">
            <v>0</v>
          </cell>
          <cell r="AD271">
            <v>1484.86</v>
          </cell>
          <cell r="AE271">
            <v>0</v>
          </cell>
          <cell r="AF271">
            <v>872.55</v>
          </cell>
          <cell r="AG271">
            <v>0</v>
          </cell>
          <cell r="AH271">
            <v>7356.2900000000009</v>
          </cell>
        </row>
        <row r="272">
          <cell r="D272">
            <v>70207</v>
          </cell>
          <cell r="E272" t="str">
            <v>Meals with Customers</v>
          </cell>
          <cell r="F272">
            <v>0</v>
          </cell>
          <cell r="G272">
            <v>0</v>
          </cell>
          <cell r="H272">
            <v>0</v>
          </cell>
          <cell r="I272">
            <v>0</v>
          </cell>
          <cell r="J272">
            <v>22.48</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22.48</v>
          </cell>
        </row>
        <row r="273">
          <cell r="D273">
            <v>70210</v>
          </cell>
          <cell r="E273" t="str">
            <v>Office Supplies and Equip</v>
          </cell>
          <cell r="F273">
            <v>0</v>
          </cell>
          <cell r="G273">
            <v>0</v>
          </cell>
          <cell r="H273">
            <v>0</v>
          </cell>
          <cell r="I273">
            <v>0</v>
          </cell>
          <cell r="J273">
            <v>7947.1</v>
          </cell>
          <cell r="K273">
            <v>0</v>
          </cell>
          <cell r="L273">
            <v>10069.92</v>
          </cell>
          <cell r="M273">
            <v>0</v>
          </cell>
          <cell r="N273">
            <v>8998.86</v>
          </cell>
          <cell r="O273">
            <v>0</v>
          </cell>
          <cell r="P273">
            <v>6276.27</v>
          </cell>
          <cell r="Q273">
            <v>0</v>
          </cell>
          <cell r="R273">
            <v>8734.0400000000009</v>
          </cell>
          <cell r="S273">
            <v>0</v>
          </cell>
          <cell r="T273">
            <v>10696.19</v>
          </cell>
          <cell r="U273">
            <v>0</v>
          </cell>
          <cell r="V273">
            <v>7081.27</v>
          </cell>
          <cell r="W273">
            <v>0</v>
          </cell>
          <cell r="X273">
            <v>6607.38</v>
          </cell>
          <cell r="Y273">
            <v>0</v>
          </cell>
          <cell r="Z273">
            <v>12474.54</v>
          </cell>
          <cell r="AA273">
            <v>0</v>
          </cell>
          <cell r="AB273">
            <v>9104.25</v>
          </cell>
          <cell r="AC273">
            <v>0</v>
          </cell>
          <cell r="AD273">
            <v>10573.87</v>
          </cell>
          <cell r="AE273">
            <v>0</v>
          </cell>
          <cell r="AF273">
            <v>7538.99</v>
          </cell>
          <cell r="AG273">
            <v>0</v>
          </cell>
          <cell r="AH273">
            <v>106102.68000000001</v>
          </cell>
        </row>
        <row r="274">
          <cell r="D274">
            <v>70214</v>
          </cell>
          <cell r="E274" t="str">
            <v>Credit Card Fees</v>
          </cell>
          <cell r="F274">
            <v>0</v>
          </cell>
          <cell r="G274">
            <v>0</v>
          </cell>
          <cell r="H274">
            <v>0</v>
          </cell>
          <cell r="I274">
            <v>0</v>
          </cell>
          <cell r="J274">
            <v>22112.2</v>
          </cell>
          <cell r="K274">
            <v>0</v>
          </cell>
          <cell r="L274">
            <v>25795.05</v>
          </cell>
          <cell r="M274">
            <v>0</v>
          </cell>
          <cell r="N274">
            <v>22139.08</v>
          </cell>
          <cell r="O274">
            <v>0</v>
          </cell>
          <cell r="P274">
            <v>26069.97</v>
          </cell>
          <cell r="Q274">
            <v>0</v>
          </cell>
          <cell r="R274">
            <v>25929.82</v>
          </cell>
          <cell r="S274">
            <v>0</v>
          </cell>
          <cell r="T274">
            <v>25188.68</v>
          </cell>
          <cell r="U274">
            <v>0</v>
          </cell>
          <cell r="V274">
            <v>25733.38</v>
          </cell>
          <cell r="W274">
            <v>0</v>
          </cell>
          <cell r="X274">
            <v>26562.959999999999</v>
          </cell>
          <cell r="Y274">
            <v>0</v>
          </cell>
          <cell r="Z274">
            <v>26148.71</v>
          </cell>
          <cell r="AA274">
            <v>0</v>
          </cell>
          <cell r="AB274">
            <v>24919.03</v>
          </cell>
          <cell r="AC274">
            <v>0</v>
          </cell>
          <cell r="AD274">
            <v>25996.84</v>
          </cell>
          <cell r="AE274">
            <v>0</v>
          </cell>
          <cell r="AF274">
            <v>25601.06</v>
          </cell>
          <cell r="AG274">
            <v>0</v>
          </cell>
          <cell r="AH274">
            <v>302196.77999999997</v>
          </cell>
        </row>
        <row r="275">
          <cell r="D275">
            <v>70215</v>
          </cell>
          <cell r="E275" t="str">
            <v>Bank Charges</v>
          </cell>
          <cell r="F275">
            <v>0</v>
          </cell>
          <cell r="G275">
            <v>0</v>
          </cell>
          <cell r="H275">
            <v>0</v>
          </cell>
          <cell r="I275">
            <v>0</v>
          </cell>
          <cell r="J275">
            <v>0</v>
          </cell>
          <cell r="K275">
            <v>0</v>
          </cell>
          <cell r="L275">
            <v>0</v>
          </cell>
          <cell r="M275">
            <v>0</v>
          </cell>
          <cell r="N275">
            <v>0</v>
          </cell>
          <cell r="O275">
            <v>0</v>
          </cell>
          <cell r="P275">
            <v>0</v>
          </cell>
          <cell r="Q275">
            <v>0</v>
          </cell>
          <cell r="R275">
            <v>2.72</v>
          </cell>
          <cell r="S275">
            <v>0</v>
          </cell>
          <cell r="T275">
            <v>0.6</v>
          </cell>
          <cell r="U275">
            <v>0</v>
          </cell>
          <cell r="V275">
            <v>0</v>
          </cell>
          <cell r="W275">
            <v>0</v>
          </cell>
          <cell r="X275">
            <v>41</v>
          </cell>
          <cell r="Y275">
            <v>0</v>
          </cell>
          <cell r="Z275">
            <v>683.33</v>
          </cell>
          <cell r="AA275">
            <v>0</v>
          </cell>
          <cell r="AB275">
            <v>0</v>
          </cell>
          <cell r="AC275">
            <v>0</v>
          </cell>
          <cell r="AD275">
            <v>0</v>
          </cell>
          <cell r="AE275">
            <v>0</v>
          </cell>
          <cell r="AF275">
            <v>0</v>
          </cell>
          <cell r="AG275">
            <v>0</v>
          </cell>
          <cell r="AH275">
            <v>727.65000000000009</v>
          </cell>
        </row>
        <row r="276">
          <cell r="D276">
            <v>70217</v>
          </cell>
          <cell r="E276" t="str">
            <v>Invoice Printing Costs</v>
          </cell>
          <cell r="F276">
            <v>0</v>
          </cell>
          <cell r="G276">
            <v>0</v>
          </cell>
          <cell r="H276">
            <v>0</v>
          </cell>
          <cell r="I276">
            <v>0</v>
          </cell>
          <cell r="J276">
            <v>993.27</v>
          </cell>
          <cell r="K276">
            <v>0</v>
          </cell>
          <cell r="L276">
            <v>940.7</v>
          </cell>
          <cell r="M276">
            <v>0</v>
          </cell>
          <cell r="N276">
            <v>932.28</v>
          </cell>
          <cell r="O276">
            <v>0</v>
          </cell>
          <cell r="P276">
            <v>4252.7700000000004</v>
          </cell>
          <cell r="Q276">
            <v>0</v>
          </cell>
          <cell r="R276">
            <v>998.46</v>
          </cell>
          <cell r="S276">
            <v>0</v>
          </cell>
          <cell r="T276">
            <v>1023.26</v>
          </cell>
          <cell r="U276">
            <v>0</v>
          </cell>
          <cell r="V276">
            <v>1071.78</v>
          </cell>
          <cell r="W276">
            <v>0</v>
          </cell>
          <cell r="X276">
            <v>1141.04</v>
          </cell>
          <cell r="Y276">
            <v>0</v>
          </cell>
          <cell r="Z276">
            <v>1213.81</v>
          </cell>
          <cell r="AA276">
            <v>0</v>
          </cell>
          <cell r="AB276">
            <v>1195.8699999999999</v>
          </cell>
          <cell r="AC276">
            <v>0</v>
          </cell>
          <cell r="AD276">
            <v>1061.93</v>
          </cell>
          <cell r="AE276">
            <v>0</v>
          </cell>
          <cell r="AF276">
            <v>1092.6600000000001</v>
          </cell>
          <cell r="AG276">
            <v>0</v>
          </cell>
          <cell r="AH276">
            <v>15917.830000000004</v>
          </cell>
        </row>
        <row r="277">
          <cell r="D277">
            <v>70225</v>
          </cell>
          <cell r="E277" t="str">
            <v>Advertising and Promotions</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120.47</v>
          </cell>
          <cell r="AG277">
            <v>0</v>
          </cell>
          <cell r="AH277">
            <v>120.47</v>
          </cell>
        </row>
        <row r="278">
          <cell r="D278">
            <v>70232</v>
          </cell>
          <cell r="E278" t="str">
            <v>Recruitment Travel Expenses</v>
          </cell>
          <cell r="F278">
            <v>0</v>
          </cell>
          <cell r="G278">
            <v>0</v>
          </cell>
          <cell r="H278">
            <v>0</v>
          </cell>
          <cell r="I278">
            <v>0</v>
          </cell>
          <cell r="J278">
            <v>0</v>
          </cell>
          <cell r="K278">
            <v>0</v>
          </cell>
          <cell r="L278">
            <v>0</v>
          </cell>
          <cell r="M278">
            <v>0</v>
          </cell>
          <cell r="N278">
            <v>0</v>
          </cell>
          <cell r="O278">
            <v>0</v>
          </cell>
          <cell r="P278">
            <v>162.4</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162.4</v>
          </cell>
        </row>
        <row r="279">
          <cell r="D279">
            <v>70235</v>
          </cell>
          <cell r="E279" t="str">
            <v>Legal</v>
          </cell>
          <cell r="F279">
            <v>0</v>
          </cell>
          <cell r="G279">
            <v>0</v>
          </cell>
          <cell r="H279">
            <v>0</v>
          </cell>
          <cell r="I279">
            <v>0</v>
          </cell>
          <cell r="J279">
            <v>4439.75</v>
          </cell>
          <cell r="K279">
            <v>0</v>
          </cell>
          <cell r="L279">
            <v>-3641.75</v>
          </cell>
          <cell r="M279">
            <v>0</v>
          </cell>
          <cell r="N279">
            <v>0</v>
          </cell>
          <cell r="O279">
            <v>0</v>
          </cell>
          <cell r="P279">
            <v>22079.5</v>
          </cell>
          <cell r="Q279">
            <v>0</v>
          </cell>
          <cell r="R279">
            <v>0</v>
          </cell>
          <cell r="S279">
            <v>0</v>
          </cell>
          <cell r="T279">
            <v>1837.5</v>
          </cell>
          <cell r="U279">
            <v>0</v>
          </cell>
          <cell r="V279">
            <v>6418.66</v>
          </cell>
          <cell r="W279">
            <v>0</v>
          </cell>
          <cell r="X279">
            <v>0</v>
          </cell>
          <cell r="Y279">
            <v>0</v>
          </cell>
          <cell r="Z279">
            <v>3989.5</v>
          </cell>
          <cell r="AA279">
            <v>0</v>
          </cell>
          <cell r="AB279">
            <v>1129</v>
          </cell>
          <cell r="AC279">
            <v>0</v>
          </cell>
          <cell r="AD279">
            <v>0</v>
          </cell>
          <cell r="AE279">
            <v>0</v>
          </cell>
          <cell r="AF279">
            <v>0</v>
          </cell>
          <cell r="AG279">
            <v>0</v>
          </cell>
          <cell r="AH279">
            <v>36252.160000000003</v>
          </cell>
        </row>
        <row r="280">
          <cell r="D280">
            <v>70255</v>
          </cell>
          <cell r="E280" t="str">
            <v>Other Prof Fees</v>
          </cell>
          <cell r="F280">
            <v>0</v>
          </cell>
          <cell r="G280">
            <v>0</v>
          </cell>
          <cell r="H280">
            <v>0</v>
          </cell>
          <cell r="I280">
            <v>0</v>
          </cell>
          <cell r="J280">
            <v>1333.33</v>
          </cell>
          <cell r="K280">
            <v>0</v>
          </cell>
          <cell r="L280">
            <v>1892.68</v>
          </cell>
          <cell r="M280">
            <v>0</v>
          </cell>
          <cell r="N280">
            <v>1833.33</v>
          </cell>
          <cell r="O280">
            <v>0</v>
          </cell>
          <cell r="P280">
            <v>1875.09</v>
          </cell>
          <cell r="Q280">
            <v>0</v>
          </cell>
          <cell r="R280">
            <v>1833.33</v>
          </cell>
          <cell r="S280">
            <v>0</v>
          </cell>
          <cell r="T280">
            <v>1371.8</v>
          </cell>
          <cell r="U280">
            <v>0</v>
          </cell>
          <cell r="V280">
            <v>1333.33</v>
          </cell>
          <cell r="W280">
            <v>0</v>
          </cell>
          <cell r="X280">
            <v>1482.79</v>
          </cell>
          <cell r="Y280">
            <v>0</v>
          </cell>
          <cell r="Z280">
            <v>1751.45</v>
          </cell>
          <cell r="AA280">
            <v>0</v>
          </cell>
          <cell r="AB280">
            <v>1333.33</v>
          </cell>
          <cell r="AC280">
            <v>0</v>
          </cell>
          <cell r="AD280">
            <v>1333.33</v>
          </cell>
          <cell r="AE280">
            <v>0</v>
          </cell>
          <cell r="AF280">
            <v>1628.96</v>
          </cell>
          <cell r="AG280">
            <v>0</v>
          </cell>
          <cell r="AH280">
            <v>19002.75</v>
          </cell>
        </row>
        <row r="281">
          <cell r="D281">
            <v>70300</v>
          </cell>
          <cell r="E281" t="str">
            <v>Data Processing</v>
          </cell>
          <cell r="F281">
            <v>0</v>
          </cell>
          <cell r="G281">
            <v>0</v>
          </cell>
          <cell r="H281">
            <v>0</v>
          </cell>
          <cell r="I281">
            <v>0</v>
          </cell>
          <cell r="J281">
            <v>17347.11</v>
          </cell>
          <cell r="K281">
            <v>0</v>
          </cell>
          <cell r="L281">
            <v>17743.86</v>
          </cell>
          <cell r="M281">
            <v>0</v>
          </cell>
          <cell r="N281">
            <v>17743.86</v>
          </cell>
          <cell r="O281">
            <v>0</v>
          </cell>
          <cell r="P281">
            <v>17743.86</v>
          </cell>
          <cell r="Q281">
            <v>0</v>
          </cell>
          <cell r="R281">
            <v>17743.86</v>
          </cell>
          <cell r="S281">
            <v>0</v>
          </cell>
          <cell r="T281">
            <v>17743.86</v>
          </cell>
          <cell r="U281">
            <v>0</v>
          </cell>
          <cell r="V281">
            <v>17743.86</v>
          </cell>
          <cell r="W281">
            <v>0</v>
          </cell>
          <cell r="X281">
            <v>17743.86</v>
          </cell>
          <cell r="Y281">
            <v>0</v>
          </cell>
          <cell r="Z281">
            <v>17743.86</v>
          </cell>
          <cell r="AA281">
            <v>0</v>
          </cell>
          <cell r="AB281">
            <v>17743.86</v>
          </cell>
          <cell r="AC281">
            <v>0</v>
          </cell>
          <cell r="AD281">
            <v>17743.86</v>
          </cell>
          <cell r="AE281">
            <v>0</v>
          </cell>
          <cell r="AF281">
            <v>17743.86</v>
          </cell>
          <cell r="AG281">
            <v>0</v>
          </cell>
          <cell r="AH281">
            <v>212529.56999999995</v>
          </cell>
        </row>
        <row r="282">
          <cell r="D282">
            <v>70302</v>
          </cell>
          <cell r="E282" t="str">
            <v>Computer Supplies</v>
          </cell>
          <cell r="F282">
            <v>0</v>
          </cell>
          <cell r="G282">
            <v>0</v>
          </cell>
          <cell r="H282">
            <v>0</v>
          </cell>
          <cell r="I282">
            <v>0</v>
          </cell>
          <cell r="J282">
            <v>0</v>
          </cell>
          <cell r="K282">
            <v>0</v>
          </cell>
          <cell r="L282">
            <v>420.08</v>
          </cell>
          <cell r="M282">
            <v>0</v>
          </cell>
          <cell r="N282">
            <v>0</v>
          </cell>
          <cell r="O282">
            <v>0</v>
          </cell>
          <cell r="P282">
            <v>590.08000000000004</v>
          </cell>
          <cell r="Q282">
            <v>0</v>
          </cell>
          <cell r="R282">
            <v>-370.64</v>
          </cell>
          <cell r="S282">
            <v>0</v>
          </cell>
          <cell r="T282">
            <v>0</v>
          </cell>
          <cell r="U282">
            <v>0</v>
          </cell>
          <cell r="V282">
            <v>153.03</v>
          </cell>
          <cell r="W282">
            <v>0</v>
          </cell>
          <cell r="X282">
            <v>0</v>
          </cell>
          <cell r="Y282">
            <v>0</v>
          </cell>
          <cell r="Z282">
            <v>1575.38</v>
          </cell>
          <cell r="AA282">
            <v>0</v>
          </cell>
          <cell r="AB282">
            <v>104.61</v>
          </cell>
          <cell r="AC282">
            <v>0</v>
          </cell>
          <cell r="AD282">
            <v>11.67</v>
          </cell>
          <cell r="AE282">
            <v>0</v>
          </cell>
          <cell r="AF282">
            <v>0</v>
          </cell>
          <cell r="AG282">
            <v>0</v>
          </cell>
          <cell r="AH282">
            <v>2484.21</v>
          </cell>
        </row>
        <row r="283">
          <cell r="D283">
            <v>70310</v>
          </cell>
          <cell r="E283" t="str">
            <v>Bad Debt Provision</v>
          </cell>
          <cell r="F283">
            <v>0</v>
          </cell>
          <cell r="G283">
            <v>0</v>
          </cell>
          <cell r="H283">
            <v>0</v>
          </cell>
          <cell r="I283">
            <v>0</v>
          </cell>
          <cell r="J283">
            <v>13900.1</v>
          </cell>
          <cell r="K283">
            <v>0</v>
          </cell>
          <cell r="L283">
            <v>11774.34</v>
          </cell>
          <cell r="M283">
            <v>0</v>
          </cell>
          <cell r="N283">
            <v>18277.97</v>
          </cell>
          <cell r="O283">
            <v>0</v>
          </cell>
          <cell r="P283">
            <v>-9083.26</v>
          </cell>
          <cell r="Q283">
            <v>0</v>
          </cell>
          <cell r="R283">
            <v>-2478.69</v>
          </cell>
          <cell r="S283">
            <v>0</v>
          </cell>
          <cell r="T283">
            <v>5266.66</v>
          </cell>
          <cell r="U283">
            <v>0</v>
          </cell>
          <cell r="V283">
            <v>7191.71</v>
          </cell>
          <cell r="W283">
            <v>0</v>
          </cell>
          <cell r="X283">
            <v>10172.35</v>
          </cell>
          <cell r="Y283">
            <v>0</v>
          </cell>
          <cell r="Z283">
            <v>14379.97</v>
          </cell>
          <cell r="AA283">
            <v>0</v>
          </cell>
          <cell r="AB283">
            <v>10080.14</v>
          </cell>
          <cell r="AC283">
            <v>0</v>
          </cell>
          <cell r="AD283">
            <v>7008.97</v>
          </cell>
          <cell r="AE283">
            <v>0</v>
          </cell>
          <cell r="AF283">
            <v>20401.810000000001</v>
          </cell>
          <cell r="AG283">
            <v>0</v>
          </cell>
          <cell r="AH283">
            <v>106892.07</v>
          </cell>
        </row>
        <row r="284">
          <cell r="D284">
            <v>70320</v>
          </cell>
          <cell r="E284" t="str">
            <v>Credit and Collection</v>
          </cell>
          <cell r="F284">
            <v>0</v>
          </cell>
          <cell r="G284">
            <v>0</v>
          </cell>
          <cell r="H284">
            <v>0</v>
          </cell>
          <cell r="I284">
            <v>0</v>
          </cell>
          <cell r="J284">
            <v>4863.8500000000004</v>
          </cell>
          <cell r="K284">
            <v>0</v>
          </cell>
          <cell r="L284">
            <v>14242.83</v>
          </cell>
          <cell r="M284">
            <v>0</v>
          </cell>
          <cell r="N284">
            <v>12760.17</v>
          </cell>
          <cell r="O284">
            <v>0</v>
          </cell>
          <cell r="P284">
            <v>10955.45</v>
          </cell>
          <cell r="Q284">
            <v>0</v>
          </cell>
          <cell r="R284">
            <v>16760.990000000002</v>
          </cell>
          <cell r="S284">
            <v>0</v>
          </cell>
          <cell r="T284">
            <v>11672.92</v>
          </cell>
          <cell r="U284">
            <v>0</v>
          </cell>
          <cell r="V284">
            <v>9366.19</v>
          </cell>
          <cell r="W284">
            <v>0</v>
          </cell>
          <cell r="X284">
            <v>10726.58</v>
          </cell>
          <cell r="Y284">
            <v>0</v>
          </cell>
          <cell r="Z284">
            <v>11744.82</v>
          </cell>
          <cell r="AA284">
            <v>0</v>
          </cell>
          <cell r="AB284">
            <v>8139.37</v>
          </cell>
          <cell r="AC284">
            <v>0</v>
          </cell>
          <cell r="AD284">
            <v>7364.07</v>
          </cell>
          <cell r="AE284">
            <v>0</v>
          </cell>
          <cell r="AF284">
            <v>7263.23</v>
          </cell>
          <cell r="AG284">
            <v>0</v>
          </cell>
          <cell r="AH284">
            <v>125860.47000000002</v>
          </cell>
        </row>
        <row r="285">
          <cell r="D285">
            <v>70324</v>
          </cell>
          <cell r="E285" t="str">
            <v>Penalties and Violations</v>
          </cell>
          <cell r="F285">
            <v>0</v>
          </cell>
          <cell r="G285">
            <v>0</v>
          </cell>
          <cell r="H285">
            <v>0</v>
          </cell>
          <cell r="I285">
            <v>0</v>
          </cell>
          <cell r="J285">
            <v>-101</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300</v>
          </cell>
          <cell r="AA285">
            <v>0</v>
          </cell>
          <cell r="AB285">
            <v>0</v>
          </cell>
          <cell r="AC285">
            <v>0</v>
          </cell>
          <cell r="AD285">
            <v>0</v>
          </cell>
          <cell r="AE285">
            <v>0</v>
          </cell>
          <cell r="AF285">
            <v>0</v>
          </cell>
          <cell r="AG285">
            <v>0</v>
          </cell>
          <cell r="AH285">
            <v>199</v>
          </cell>
        </row>
        <row r="286">
          <cell r="D286">
            <v>70330</v>
          </cell>
          <cell r="E286" t="str">
            <v>Equipment/Truck Rodeo</v>
          </cell>
          <cell r="F286">
            <v>0</v>
          </cell>
          <cell r="G286">
            <v>0</v>
          </cell>
          <cell r="H286">
            <v>0</v>
          </cell>
          <cell r="I286">
            <v>0</v>
          </cell>
          <cell r="J286">
            <v>0</v>
          </cell>
          <cell r="K286">
            <v>0</v>
          </cell>
          <cell r="L286">
            <v>0</v>
          </cell>
          <cell r="M286">
            <v>0</v>
          </cell>
          <cell r="N286">
            <v>0</v>
          </cell>
          <cell r="O286">
            <v>0</v>
          </cell>
          <cell r="P286">
            <v>879.32</v>
          </cell>
          <cell r="Q286">
            <v>0</v>
          </cell>
          <cell r="R286">
            <v>0</v>
          </cell>
          <cell r="S286">
            <v>0</v>
          </cell>
          <cell r="T286">
            <v>13861.79</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14741.11</v>
          </cell>
        </row>
        <row r="287">
          <cell r="D287">
            <v>70335</v>
          </cell>
          <cell r="E287" t="str">
            <v>Miscellaneous</v>
          </cell>
          <cell r="F287">
            <v>0</v>
          </cell>
          <cell r="G287">
            <v>0</v>
          </cell>
          <cell r="H287">
            <v>0</v>
          </cell>
          <cell r="I287">
            <v>0</v>
          </cell>
          <cell r="J287">
            <v>-0.25</v>
          </cell>
          <cell r="K287">
            <v>0</v>
          </cell>
          <cell r="L287">
            <v>0</v>
          </cell>
          <cell r="M287">
            <v>0</v>
          </cell>
          <cell r="N287">
            <v>0.51</v>
          </cell>
          <cell r="O287">
            <v>0</v>
          </cell>
          <cell r="P287">
            <v>0</v>
          </cell>
          <cell r="Q287">
            <v>0</v>
          </cell>
          <cell r="R287">
            <v>425.81</v>
          </cell>
          <cell r="S287">
            <v>0</v>
          </cell>
          <cell r="T287">
            <v>0.02</v>
          </cell>
          <cell r="U287">
            <v>0</v>
          </cell>
          <cell r="V287">
            <v>-0.38</v>
          </cell>
          <cell r="W287">
            <v>0</v>
          </cell>
          <cell r="X287">
            <v>0.05</v>
          </cell>
          <cell r="Y287">
            <v>0</v>
          </cell>
          <cell r="Z287">
            <v>0.01</v>
          </cell>
          <cell r="AA287">
            <v>0</v>
          </cell>
          <cell r="AB287">
            <v>-0.1</v>
          </cell>
          <cell r="AC287">
            <v>0</v>
          </cell>
          <cell r="AD287">
            <v>0</v>
          </cell>
          <cell r="AE287">
            <v>0</v>
          </cell>
          <cell r="AF287">
            <v>-9.67</v>
          </cell>
          <cell r="AG287">
            <v>0</v>
          </cell>
          <cell r="AH287">
            <v>416</v>
          </cell>
        </row>
        <row r="288">
          <cell r="D288">
            <v>70336</v>
          </cell>
          <cell r="E288" t="str">
            <v>Coffee Bar</v>
          </cell>
          <cell r="F288">
            <v>0</v>
          </cell>
          <cell r="G288">
            <v>0</v>
          </cell>
          <cell r="H288">
            <v>0</v>
          </cell>
          <cell r="I288">
            <v>0</v>
          </cell>
          <cell r="J288">
            <v>1210.48</v>
          </cell>
          <cell r="K288">
            <v>0</v>
          </cell>
          <cell r="L288">
            <v>1122.33</v>
          </cell>
          <cell r="M288">
            <v>0</v>
          </cell>
          <cell r="N288">
            <v>1176.44</v>
          </cell>
          <cell r="O288">
            <v>0</v>
          </cell>
          <cell r="P288">
            <v>1112.47</v>
          </cell>
          <cell r="Q288">
            <v>0</v>
          </cell>
          <cell r="R288">
            <v>1148.54</v>
          </cell>
          <cell r="S288">
            <v>0</v>
          </cell>
          <cell r="T288">
            <v>993.25</v>
          </cell>
          <cell r="U288">
            <v>0</v>
          </cell>
          <cell r="V288">
            <v>512.48</v>
          </cell>
          <cell r="W288">
            <v>0</v>
          </cell>
          <cell r="X288">
            <v>1160.33</v>
          </cell>
          <cell r="Y288">
            <v>0</v>
          </cell>
          <cell r="Z288">
            <v>925.86</v>
          </cell>
          <cell r="AA288">
            <v>0</v>
          </cell>
          <cell r="AB288">
            <v>457.86</v>
          </cell>
          <cell r="AC288">
            <v>0</v>
          </cell>
          <cell r="AD288">
            <v>1169.01</v>
          </cell>
          <cell r="AE288">
            <v>0</v>
          </cell>
          <cell r="AF288">
            <v>1033.74</v>
          </cell>
          <cell r="AG288">
            <v>0</v>
          </cell>
          <cell r="AH288">
            <v>12022.79</v>
          </cell>
        </row>
        <row r="289">
          <cell r="D289">
            <v>70345</v>
          </cell>
          <cell r="E289" t="str">
            <v>Security Services</v>
          </cell>
          <cell r="F289">
            <v>0</v>
          </cell>
          <cell r="G289">
            <v>0</v>
          </cell>
          <cell r="H289">
            <v>0</v>
          </cell>
          <cell r="I289">
            <v>0</v>
          </cell>
          <cell r="J289">
            <v>635</v>
          </cell>
          <cell r="K289">
            <v>0</v>
          </cell>
          <cell r="L289">
            <v>625</v>
          </cell>
          <cell r="M289">
            <v>0</v>
          </cell>
          <cell r="N289">
            <v>426.01</v>
          </cell>
          <cell r="O289">
            <v>0</v>
          </cell>
          <cell r="P289">
            <v>675.95</v>
          </cell>
          <cell r="Q289">
            <v>0</v>
          </cell>
          <cell r="R289">
            <v>661.07</v>
          </cell>
          <cell r="S289">
            <v>0</v>
          </cell>
          <cell r="T289">
            <v>647.70000000000005</v>
          </cell>
          <cell r="U289">
            <v>0</v>
          </cell>
          <cell r="V289">
            <v>640.04999999999995</v>
          </cell>
          <cell r="W289">
            <v>0</v>
          </cell>
          <cell r="X289">
            <v>639.79999999999995</v>
          </cell>
          <cell r="Y289">
            <v>0</v>
          </cell>
          <cell r="Z289">
            <v>735.3</v>
          </cell>
          <cell r="AA289">
            <v>0</v>
          </cell>
          <cell r="AB289">
            <v>710.3</v>
          </cell>
          <cell r="AC289">
            <v>0</v>
          </cell>
          <cell r="AD289">
            <v>562.83000000000004</v>
          </cell>
          <cell r="AE289">
            <v>0</v>
          </cell>
          <cell r="AF289">
            <v>1223.1300000000001</v>
          </cell>
          <cell r="AG289">
            <v>0</v>
          </cell>
          <cell r="AH289">
            <v>8182.14</v>
          </cell>
        </row>
        <row r="290">
          <cell r="D290">
            <v>70902</v>
          </cell>
          <cell r="E290" t="str">
            <v>Visual Lease Clearing Account</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row>
        <row r="291">
          <cell r="D291">
            <v>0</v>
          </cell>
          <cell r="E291">
            <v>0</v>
          </cell>
          <cell r="F291">
            <v>0</v>
          </cell>
          <cell r="G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row>
        <row r="292">
          <cell r="F292" t="str">
            <v>G&amp;A</v>
          </cell>
          <cell r="J292">
            <v>297765.06</v>
          </cell>
          <cell r="K292">
            <v>0</v>
          </cell>
          <cell r="L292">
            <v>346832.42000000004</v>
          </cell>
          <cell r="M292">
            <v>0</v>
          </cell>
          <cell r="N292">
            <v>342824.10000000009</v>
          </cell>
          <cell r="O292">
            <v>0</v>
          </cell>
          <cell r="P292">
            <v>352215.36000000004</v>
          </cell>
          <cell r="Q292">
            <v>0</v>
          </cell>
          <cell r="R292">
            <v>347681.63999999996</v>
          </cell>
          <cell r="S292">
            <v>0</v>
          </cell>
          <cell r="T292">
            <v>375034.52999999991</v>
          </cell>
          <cell r="U292">
            <v>0</v>
          </cell>
          <cell r="V292">
            <v>355120.91999999993</v>
          </cell>
          <cell r="W292">
            <v>0</v>
          </cell>
          <cell r="X292">
            <v>353140.77999999997</v>
          </cell>
          <cell r="Y292">
            <v>0</v>
          </cell>
          <cell r="Z292">
            <v>378508.7</v>
          </cell>
          <cell r="AA292">
            <v>0</v>
          </cell>
          <cell r="AB292">
            <v>351582.93000000005</v>
          </cell>
          <cell r="AC292">
            <v>0</v>
          </cell>
          <cell r="AD292">
            <v>339761.17999999993</v>
          </cell>
          <cell r="AE292">
            <v>0</v>
          </cell>
          <cell r="AF292">
            <v>333935.31999999995</v>
          </cell>
          <cell r="AG292">
            <v>0</v>
          </cell>
          <cell r="AH292">
            <v>4174402.9399999995</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row>
        <row r="294">
          <cell r="D294">
            <v>70149</v>
          </cell>
          <cell r="E294" t="str">
            <v>Corporate Overhead Allocation In</v>
          </cell>
          <cell r="F294">
            <v>0</v>
          </cell>
          <cell r="G294">
            <v>0</v>
          </cell>
          <cell r="H294">
            <v>0</v>
          </cell>
          <cell r="I294">
            <v>0</v>
          </cell>
          <cell r="J294">
            <v>119236</v>
          </cell>
          <cell r="K294">
            <v>0</v>
          </cell>
          <cell r="L294">
            <v>119301.1</v>
          </cell>
          <cell r="M294">
            <v>0</v>
          </cell>
          <cell r="N294">
            <v>116310.55</v>
          </cell>
          <cell r="O294">
            <v>0</v>
          </cell>
          <cell r="P294">
            <v>122460.96</v>
          </cell>
          <cell r="Q294">
            <v>0</v>
          </cell>
          <cell r="R294">
            <v>123704.59</v>
          </cell>
          <cell r="S294">
            <v>0</v>
          </cell>
          <cell r="T294">
            <v>127496.23</v>
          </cell>
          <cell r="U294">
            <v>0</v>
          </cell>
          <cell r="V294">
            <v>123849.29</v>
          </cell>
          <cell r="W294">
            <v>0</v>
          </cell>
          <cell r="X294">
            <v>126856.29</v>
          </cell>
          <cell r="Y294">
            <v>0</v>
          </cell>
          <cell r="Z294">
            <v>127311.98</v>
          </cell>
          <cell r="AA294">
            <v>0</v>
          </cell>
          <cell r="AB294">
            <v>123995.95</v>
          </cell>
          <cell r="AC294">
            <v>0</v>
          </cell>
          <cell r="AD294">
            <v>127907.02</v>
          </cell>
          <cell r="AE294">
            <v>0</v>
          </cell>
          <cell r="AF294">
            <v>125133.56</v>
          </cell>
          <cell r="AG294">
            <v>0</v>
          </cell>
          <cell r="AH294">
            <v>1483563.5200000003</v>
          </cell>
        </row>
        <row r="295">
          <cell r="D295">
            <v>0</v>
          </cell>
          <cell r="E295">
            <v>0</v>
          </cell>
          <cell r="F295">
            <v>0</v>
          </cell>
          <cell r="G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row>
        <row r="296">
          <cell r="F296" t="str">
            <v>Corp Overhead</v>
          </cell>
          <cell r="J296">
            <v>119236</v>
          </cell>
          <cell r="K296">
            <v>0</v>
          </cell>
          <cell r="L296">
            <v>119301.1</v>
          </cell>
          <cell r="M296">
            <v>0</v>
          </cell>
          <cell r="N296">
            <v>116310.55</v>
          </cell>
          <cell r="O296">
            <v>0</v>
          </cell>
          <cell r="P296">
            <v>122460.96</v>
          </cell>
          <cell r="Q296">
            <v>0</v>
          </cell>
          <cell r="R296">
            <v>123704.59</v>
          </cell>
          <cell r="S296">
            <v>0</v>
          </cell>
          <cell r="T296">
            <v>127496.23</v>
          </cell>
          <cell r="U296">
            <v>0</v>
          </cell>
          <cell r="V296">
            <v>123849.29</v>
          </cell>
          <cell r="W296">
            <v>0</v>
          </cell>
          <cell r="X296">
            <v>126856.29</v>
          </cell>
          <cell r="Y296">
            <v>0</v>
          </cell>
          <cell r="Z296">
            <v>127311.98</v>
          </cell>
          <cell r="AA296">
            <v>0</v>
          </cell>
          <cell r="AB296">
            <v>123995.95</v>
          </cell>
          <cell r="AC296">
            <v>0</v>
          </cell>
          <cell r="AD296">
            <v>127907.02</v>
          </cell>
          <cell r="AE296">
            <v>0</v>
          </cell>
          <cell r="AF296">
            <v>125133.56</v>
          </cell>
          <cell r="AG296">
            <v>0</v>
          </cell>
          <cell r="AH296">
            <v>1483563.5200000003</v>
          </cell>
        </row>
        <row r="297">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row>
        <row r="298">
          <cell r="E298" t="str">
            <v>Total SG&amp;A</v>
          </cell>
          <cell r="J298">
            <v>426968.65</v>
          </cell>
          <cell r="K298">
            <v>0</v>
          </cell>
          <cell r="L298">
            <v>476580.24</v>
          </cell>
          <cell r="M298">
            <v>0</v>
          </cell>
          <cell r="N298">
            <v>469178.37000000005</v>
          </cell>
          <cell r="O298">
            <v>0</v>
          </cell>
          <cell r="P298">
            <v>484394.10000000003</v>
          </cell>
          <cell r="Q298">
            <v>0</v>
          </cell>
          <cell r="R298">
            <v>481977.41999999993</v>
          </cell>
          <cell r="S298">
            <v>0</v>
          </cell>
          <cell r="T298">
            <v>512723.40999999992</v>
          </cell>
          <cell r="U298">
            <v>0</v>
          </cell>
          <cell r="V298">
            <v>488452.17999999988</v>
          </cell>
          <cell r="W298">
            <v>0</v>
          </cell>
          <cell r="X298">
            <v>491510.44999999995</v>
          </cell>
          <cell r="Y298">
            <v>0</v>
          </cell>
          <cell r="Z298">
            <v>516160.83999999997</v>
          </cell>
          <cell r="AA298">
            <v>0</v>
          </cell>
          <cell r="AB298">
            <v>485358.73000000004</v>
          </cell>
          <cell r="AC298">
            <v>0</v>
          </cell>
          <cell r="AD298">
            <v>477994.14999999997</v>
          </cell>
          <cell r="AE298">
            <v>0</v>
          </cell>
          <cell r="AF298">
            <v>468347.30999999994</v>
          </cell>
          <cell r="AG298">
            <v>0</v>
          </cell>
          <cell r="AH298">
            <v>5779645.8499999996</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row>
        <row r="300">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row>
        <row r="301">
          <cell r="E301" t="str">
            <v>EBITDA</v>
          </cell>
          <cell r="F301">
            <v>0</v>
          </cell>
          <cell r="G301">
            <v>0</v>
          </cell>
          <cell r="H301">
            <v>0</v>
          </cell>
          <cell r="I301">
            <v>0</v>
          </cell>
          <cell r="J301">
            <v>1137094.2399999998</v>
          </cell>
          <cell r="K301">
            <v>0</v>
          </cell>
          <cell r="L301">
            <v>788500.40000000014</v>
          </cell>
          <cell r="M301">
            <v>0</v>
          </cell>
          <cell r="N301">
            <v>1365016.5700000005</v>
          </cell>
          <cell r="O301">
            <v>0</v>
          </cell>
          <cell r="P301">
            <v>1084090.8599999999</v>
          </cell>
          <cell r="Q301">
            <v>0</v>
          </cell>
          <cell r="R301">
            <v>854998.22</v>
          </cell>
          <cell r="S301">
            <v>0</v>
          </cell>
          <cell r="T301">
            <v>657976.74000000046</v>
          </cell>
          <cell r="U301">
            <v>0</v>
          </cell>
          <cell r="V301">
            <v>1065096.5500000007</v>
          </cell>
          <cell r="W301">
            <v>0</v>
          </cell>
          <cell r="X301">
            <v>671352.18000000063</v>
          </cell>
          <cell r="Y301">
            <v>0</v>
          </cell>
          <cell r="Z301">
            <v>834719.09999999928</v>
          </cell>
          <cell r="AA301">
            <v>0</v>
          </cell>
          <cell r="AB301">
            <v>1034078.0800000012</v>
          </cell>
          <cell r="AC301">
            <v>0</v>
          </cell>
          <cell r="AD301">
            <v>808840.97999999975</v>
          </cell>
          <cell r="AE301">
            <v>0</v>
          </cell>
          <cell r="AF301">
            <v>899460.39</v>
          </cell>
          <cell r="AG301">
            <v>0</v>
          </cell>
          <cell r="AH301">
            <v>11201224.310000015</v>
          </cell>
        </row>
        <row r="302">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row>
        <row r="303">
          <cell r="E303" t="str">
            <v>Watch list EBITDA</v>
          </cell>
          <cell r="F303">
            <v>0</v>
          </cell>
          <cell r="G303">
            <v>0</v>
          </cell>
          <cell r="H303">
            <v>0</v>
          </cell>
          <cell r="I303">
            <v>0</v>
          </cell>
          <cell r="J303">
            <v>1277594.6899999997</v>
          </cell>
          <cell r="K303">
            <v>0</v>
          </cell>
          <cell r="L303">
            <v>939519.85</v>
          </cell>
          <cell r="M303">
            <v>0</v>
          </cell>
          <cell r="N303">
            <v>1443494.3700000006</v>
          </cell>
          <cell r="O303">
            <v>0</v>
          </cell>
          <cell r="P303">
            <v>1240347.5199999998</v>
          </cell>
          <cell r="Q303">
            <v>0</v>
          </cell>
          <cell r="R303">
            <v>1022030.15</v>
          </cell>
          <cell r="S303">
            <v>0</v>
          </cell>
          <cell r="T303">
            <v>855059.52000000048</v>
          </cell>
          <cell r="U303">
            <v>0</v>
          </cell>
          <cell r="V303">
            <v>1216219.8900000008</v>
          </cell>
          <cell r="W303">
            <v>0</v>
          </cell>
          <cell r="X303">
            <v>833424.30000000051</v>
          </cell>
          <cell r="Y303">
            <v>0</v>
          </cell>
          <cell r="Z303">
            <v>998640.62999999931</v>
          </cell>
          <cell r="AA303">
            <v>0</v>
          </cell>
          <cell r="AB303">
            <v>1195719.9900000014</v>
          </cell>
          <cell r="AC303">
            <v>0</v>
          </cell>
          <cell r="AD303">
            <v>1001398.8499999997</v>
          </cell>
          <cell r="AE303">
            <v>0</v>
          </cell>
          <cell r="AF303">
            <v>1135263.21</v>
          </cell>
          <cell r="AG303">
            <v>0</v>
          </cell>
          <cell r="AH303">
            <v>13158712.970000016</v>
          </cell>
        </row>
        <row r="304">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row>
        <row r="305">
          <cell r="D305">
            <v>51260</v>
          </cell>
          <cell r="E305" t="str">
            <v>Depreciation</v>
          </cell>
          <cell r="F305">
            <v>0</v>
          </cell>
          <cell r="G305">
            <v>0</v>
          </cell>
          <cell r="H305">
            <v>0</v>
          </cell>
          <cell r="I305">
            <v>0</v>
          </cell>
          <cell r="J305">
            <v>157657.35</v>
          </cell>
          <cell r="K305">
            <v>0</v>
          </cell>
          <cell r="L305">
            <v>153884.4</v>
          </cell>
          <cell r="M305">
            <v>0</v>
          </cell>
          <cell r="N305">
            <v>153863.79</v>
          </cell>
          <cell r="O305">
            <v>0</v>
          </cell>
          <cell r="P305">
            <v>153564.44</v>
          </cell>
          <cell r="Q305">
            <v>0</v>
          </cell>
          <cell r="R305">
            <v>154755.01999999999</v>
          </cell>
          <cell r="S305">
            <v>0</v>
          </cell>
          <cell r="T305">
            <v>154609.9</v>
          </cell>
          <cell r="U305">
            <v>0</v>
          </cell>
          <cell r="V305">
            <v>154610.10999999999</v>
          </cell>
          <cell r="W305">
            <v>0</v>
          </cell>
          <cell r="X305">
            <v>154539.35</v>
          </cell>
          <cell r="Y305">
            <v>0</v>
          </cell>
          <cell r="Z305">
            <v>160018.07999999999</v>
          </cell>
          <cell r="AA305">
            <v>0</v>
          </cell>
          <cell r="AB305">
            <v>157292.72</v>
          </cell>
          <cell r="AC305">
            <v>0</v>
          </cell>
          <cell r="AD305">
            <v>174625.18</v>
          </cell>
          <cell r="AE305">
            <v>0</v>
          </cell>
          <cell r="AF305">
            <v>167322.76</v>
          </cell>
          <cell r="AG305">
            <v>0</v>
          </cell>
          <cell r="AH305">
            <v>1896743.0999999999</v>
          </cell>
        </row>
        <row r="306">
          <cell r="D306">
            <v>54260</v>
          </cell>
          <cell r="E306" t="str">
            <v>Depreciation</v>
          </cell>
          <cell r="F306">
            <v>0</v>
          </cell>
          <cell r="G306">
            <v>0</v>
          </cell>
          <cell r="H306">
            <v>0</v>
          </cell>
          <cell r="I306">
            <v>0</v>
          </cell>
          <cell r="J306">
            <v>76137.17</v>
          </cell>
          <cell r="K306">
            <v>0</v>
          </cell>
          <cell r="L306">
            <v>74170.86</v>
          </cell>
          <cell r="M306">
            <v>0</v>
          </cell>
          <cell r="N306">
            <v>74171.11</v>
          </cell>
          <cell r="O306">
            <v>0</v>
          </cell>
          <cell r="P306">
            <v>76245.27</v>
          </cell>
          <cell r="Q306">
            <v>0</v>
          </cell>
          <cell r="R306">
            <v>76624.72</v>
          </cell>
          <cell r="S306">
            <v>0</v>
          </cell>
          <cell r="T306">
            <v>76283.64</v>
          </cell>
          <cell r="U306">
            <v>0</v>
          </cell>
          <cell r="V306">
            <v>76889.070000000007</v>
          </cell>
          <cell r="W306">
            <v>0</v>
          </cell>
          <cell r="X306">
            <v>78010.820000000007</v>
          </cell>
          <cell r="Y306">
            <v>0</v>
          </cell>
          <cell r="Z306">
            <v>78565.94</v>
          </cell>
          <cell r="AA306">
            <v>0</v>
          </cell>
          <cell r="AB306">
            <v>77628.03</v>
          </cell>
          <cell r="AC306">
            <v>0</v>
          </cell>
          <cell r="AD306">
            <v>79187.08</v>
          </cell>
          <cell r="AE306">
            <v>0</v>
          </cell>
          <cell r="AF306">
            <v>79946.070000000007</v>
          </cell>
          <cell r="AG306">
            <v>0</v>
          </cell>
          <cell r="AH306">
            <v>923859.78</v>
          </cell>
        </row>
        <row r="307">
          <cell r="D307">
            <v>57260</v>
          </cell>
          <cell r="E307" t="str">
            <v>Depreciation</v>
          </cell>
          <cell r="F307">
            <v>0</v>
          </cell>
          <cell r="G307">
            <v>0</v>
          </cell>
          <cell r="H307">
            <v>0</v>
          </cell>
          <cell r="I307">
            <v>0</v>
          </cell>
          <cell r="J307">
            <v>49703.95</v>
          </cell>
          <cell r="K307">
            <v>0</v>
          </cell>
          <cell r="L307">
            <v>49910.76</v>
          </cell>
          <cell r="M307">
            <v>0</v>
          </cell>
          <cell r="N307">
            <v>50061.45</v>
          </cell>
          <cell r="O307">
            <v>0</v>
          </cell>
          <cell r="P307">
            <v>49921.66</v>
          </cell>
          <cell r="Q307">
            <v>0</v>
          </cell>
          <cell r="R307">
            <v>49964.54</v>
          </cell>
          <cell r="S307">
            <v>0</v>
          </cell>
          <cell r="T307">
            <v>49964.63</v>
          </cell>
          <cell r="U307">
            <v>0</v>
          </cell>
          <cell r="V307">
            <v>49964.77</v>
          </cell>
          <cell r="W307">
            <v>0</v>
          </cell>
          <cell r="X307">
            <v>49964.46</v>
          </cell>
          <cell r="Y307">
            <v>0</v>
          </cell>
          <cell r="Z307">
            <v>49964.56</v>
          </cell>
          <cell r="AA307">
            <v>0</v>
          </cell>
          <cell r="AB307">
            <v>49964.66</v>
          </cell>
          <cell r="AC307">
            <v>0</v>
          </cell>
          <cell r="AD307">
            <v>49964.58</v>
          </cell>
          <cell r="AE307">
            <v>0</v>
          </cell>
          <cell r="AF307">
            <v>49964.58</v>
          </cell>
          <cell r="AG307">
            <v>0</v>
          </cell>
          <cell r="AH307">
            <v>599314.59999999986</v>
          </cell>
        </row>
        <row r="308">
          <cell r="D308">
            <v>70260</v>
          </cell>
          <cell r="E308" t="str">
            <v>Depreciation</v>
          </cell>
          <cell r="F308">
            <v>0</v>
          </cell>
          <cell r="G308">
            <v>0</v>
          </cell>
          <cell r="H308">
            <v>0</v>
          </cell>
          <cell r="I308">
            <v>0</v>
          </cell>
          <cell r="J308">
            <v>3084.78</v>
          </cell>
          <cell r="K308">
            <v>0</v>
          </cell>
          <cell r="L308">
            <v>3084.78</v>
          </cell>
          <cell r="M308">
            <v>0</v>
          </cell>
          <cell r="N308">
            <v>3131.24</v>
          </cell>
          <cell r="O308">
            <v>0</v>
          </cell>
          <cell r="P308">
            <v>3131.18</v>
          </cell>
          <cell r="Q308">
            <v>0</v>
          </cell>
          <cell r="R308">
            <v>3099.62</v>
          </cell>
          <cell r="S308">
            <v>0</v>
          </cell>
          <cell r="T308">
            <v>3099.66</v>
          </cell>
          <cell r="U308">
            <v>0</v>
          </cell>
          <cell r="V308">
            <v>3099.65</v>
          </cell>
          <cell r="W308">
            <v>0</v>
          </cell>
          <cell r="X308">
            <v>3099.59</v>
          </cell>
          <cell r="Y308">
            <v>0</v>
          </cell>
          <cell r="Z308">
            <v>3120.77</v>
          </cell>
          <cell r="AA308">
            <v>0</v>
          </cell>
          <cell r="AB308">
            <v>1929.31</v>
          </cell>
          <cell r="AC308">
            <v>0</v>
          </cell>
          <cell r="AD308">
            <v>1953.94</v>
          </cell>
          <cell r="AE308">
            <v>0</v>
          </cell>
          <cell r="AF308">
            <v>1921.12</v>
          </cell>
          <cell r="AG308">
            <v>0</v>
          </cell>
          <cell r="AH308">
            <v>33755.64</v>
          </cell>
        </row>
        <row r="309">
          <cell r="D309">
            <v>0</v>
          </cell>
          <cell r="E309">
            <v>0</v>
          </cell>
          <cell r="F309">
            <v>0</v>
          </cell>
          <cell r="G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row>
        <row r="310">
          <cell r="F310" t="str">
            <v>Depreciation</v>
          </cell>
          <cell r="J310">
            <v>286583.25000000006</v>
          </cell>
          <cell r="K310">
            <v>0</v>
          </cell>
          <cell r="L310">
            <v>281050.80000000005</v>
          </cell>
          <cell r="M310">
            <v>0</v>
          </cell>
          <cell r="N310">
            <v>281227.59000000003</v>
          </cell>
          <cell r="O310">
            <v>0</v>
          </cell>
          <cell r="P310">
            <v>282862.55</v>
          </cell>
          <cell r="Q310">
            <v>0</v>
          </cell>
          <cell r="R310">
            <v>284443.89999999997</v>
          </cell>
          <cell r="S310">
            <v>0</v>
          </cell>
          <cell r="T310">
            <v>283957.82999999996</v>
          </cell>
          <cell r="U310">
            <v>0</v>
          </cell>
          <cell r="V310">
            <v>284563.60000000003</v>
          </cell>
          <cell r="W310">
            <v>0</v>
          </cell>
          <cell r="X310">
            <v>285614.22000000003</v>
          </cell>
          <cell r="Y310">
            <v>0</v>
          </cell>
          <cell r="Z310">
            <v>291669.34999999998</v>
          </cell>
          <cell r="AA310">
            <v>0</v>
          </cell>
          <cell r="AB310">
            <v>286814.72000000003</v>
          </cell>
          <cell r="AC310">
            <v>0</v>
          </cell>
          <cell r="AD310">
            <v>305730.78000000003</v>
          </cell>
          <cell r="AE310">
            <v>0</v>
          </cell>
          <cell r="AF310">
            <v>299154.53000000003</v>
          </cell>
          <cell r="AG310">
            <v>0</v>
          </cell>
          <cell r="AH310">
            <v>3453673.120000001</v>
          </cell>
        </row>
        <row r="311">
          <cell r="F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row>
        <row r="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row>
        <row r="313">
          <cell r="D313">
            <v>0</v>
          </cell>
          <cell r="E313">
            <v>0</v>
          </cell>
          <cell r="F313">
            <v>0</v>
          </cell>
          <cell r="G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row>
        <row r="314">
          <cell r="F314" t="str">
            <v>Airspace Amort</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row>
        <row r="316">
          <cell r="D316">
            <v>70269</v>
          </cell>
          <cell r="E316" t="str">
            <v>Long Term Contract Amort</v>
          </cell>
          <cell r="F316">
            <v>0</v>
          </cell>
          <cell r="G316">
            <v>0</v>
          </cell>
          <cell r="H316">
            <v>0</v>
          </cell>
          <cell r="I316">
            <v>0</v>
          </cell>
          <cell r="J316">
            <v>51216.54</v>
          </cell>
          <cell r="K316">
            <v>0</v>
          </cell>
          <cell r="L316">
            <v>51216.54</v>
          </cell>
          <cell r="M316">
            <v>0</v>
          </cell>
          <cell r="N316">
            <v>51216.57</v>
          </cell>
          <cell r="O316">
            <v>0</v>
          </cell>
          <cell r="P316">
            <v>51216.54</v>
          </cell>
          <cell r="Q316">
            <v>0</v>
          </cell>
          <cell r="R316">
            <v>51216.52</v>
          </cell>
          <cell r="S316">
            <v>0</v>
          </cell>
          <cell r="T316">
            <v>51216.56</v>
          </cell>
          <cell r="U316">
            <v>0</v>
          </cell>
          <cell r="V316">
            <v>51216.56</v>
          </cell>
          <cell r="W316">
            <v>0</v>
          </cell>
          <cell r="X316">
            <v>51216.52</v>
          </cell>
          <cell r="Y316">
            <v>0</v>
          </cell>
          <cell r="Z316">
            <v>51216.56</v>
          </cell>
          <cell r="AA316">
            <v>0</v>
          </cell>
          <cell r="AB316">
            <v>51216.53</v>
          </cell>
          <cell r="AC316">
            <v>0</v>
          </cell>
          <cell r="AD316">
            <v>51216.55</v>
          </cell>
          <cell r="AE316">
            <v>0</v>
          </cell>
          <cell r="AF316">
            <v>51216.53</v>
          </cell>
          <cell r="AG316">
            <v>0</v>
          </cell>
          <cell r="AH316">
            <v>614598.52</v>
          </cell>
        </row>
        <row r="317">
          <cell r="D317">
            <v>0</v>
          </cell>
          <cell r="E317">
            <v>0</v>
          </cell>
          <cell r="F317">
            <v>0</v>
          </cell>
          <cell r="G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row>
        <row r="318">
          <cell r="F318" t="str">
            <v>Intangible Amort</v>
          </cell>
          <cell r="J318">
            <v>51216.54</v>
          </cell>
          <cell r="K318">
            <v>0</v>
          </cell>
          <cell r="L318">
            <v>51216.54</v>
          </cell>
          <cell r="M318">
            <v>0</v>
          </cell>
          <cell r="N318">
            <v>51216.57</v>
          </cell>
          <cell r="O318">
            <v>0</v>
          </cell>
          <cell r="P318">
            <v>51216.54</v>
          </cell>
          <cell r="Q318">
            <v>0</v>
          </cell>
          <cell r="R318">
            <v>51216.52</v>
          </cell>
          <cell r="S318">
            <v>0</v>
          </cell>
          <cell r="T318">
            <v>51216.56</v>
          </cell>
          <cell r="U318">
            <v>0</v>
          </cell>
          <cell r="V318">
            <v>51216.56</v>
          </cell>
          <cell r="W318">
            <v>0</v>
          </cell>
          <cell r="X318">
            <v>51216.52</v>
          </cell>
          <cell r="Y318">
            <v>0</v>
          </cell>
          <cell r="Z318">
            <v>51216.56</v>
          </cell>
          <cell r="AA318">
            <v>0</v>
          </cell>
          <cell r="AB318">
            <v>51216.53</v>
          </cell>
          <cell r="AC318">
            <v>0</v>
          </cell>
          <cell r="AD318">
            <v>51216.55</v>
          </cell>
          <cell r="AE318">
            <v>0</v>
          </cell>
          <cell r="AF318">
            <v>51216.53</v>
          </cell>
          <cell r="AG318">
            <v>0</v>
          </cell>
          <cell r="AH318">
            <v>614598.52000000014</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row>
        <row r="320">
          <cell r="E320" t="str">
            <v>Total DDA</v>
          </cell>
          <cell r="J320">
            <v>337799.79000000004</v>
          </cell>
          <cell r="K320">
            <v>0</v>
          </cell>
          <cell r="L320">
            <v>332267.34000000003</v>
          </cell>
          <cell r="M320">
            <v>0</v>
          </cell>
          <cell r="N320">
            <v>332444.16000000003</v>
          </cell>
          <cell r="O320">
            <v>0</v>
          </cell>
          <cell r="P320">
            <v>334079.08999999997</v>
          </cell>
          <cell r="Q320">
            <v>0</v>
          </cell>
          <cell r="R320">
            <v>335660.42</v>
          </cell>
          <cell r="S320">
            <v>0</v>
          </cell>
          <cell r="T320">
            <v>335174.38999999996</v>
          </cell>
          <cell r="U320">
            <v>0</v>
          </cell>
          <cell r="V320">
            <v>335780.16000000003</v>
          </cell>
          <cell r="W320">
            <v>0</v>
          </cell>
          <cell r="X320">
            <v>336830.74000000005</v>
          </cell>
          <cell r="Y320">
            <v>0</v>
          </cell>
          <cell r="Z320">
            <v>342885.91</v>
          </cell>
          <cell r="AA320">
            <v>0</v>
          </cell>
          <cell r="AB320">
            <v>338031.25</v>
          </cell>
          <cell r="AC320">
            <v>0</v>
          </cell>
          <cell r="AD320">
            <v>356947.33</v>
          </cell>
          <cell r="AE320">
            <v>0</v>
          </cell>
          <cell r="AF320">
            <v>350371.06000000006</v>
          </cell>
          <cell r="AG320">
            <v>0</v>
          </cell>
          <cell r="AH320">
            <v>4068271.6400000011</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row>
        <row r="322">
          <cell r="E322" t="str">
            <v>EBIT From Ops</v>
          </cell>
          <cell r="J322">
            <v>799294.44999999972</v>
          </cell>
          <cell r="K322">
            <v>0</v>
          </cell>
          <cell r="L322">
            <v>456233.06000000011</v>
          </cell>
          <cell r="M322">
            <v>0</v>
          </cell>
          <cell r="N322">
            <v>1032572.4100000005</v>
          </cell>
          <cell r="O322">
            <v>0</v>
          </cell>
          <cell r="P322">
            <v>750011.7699999999</v>
          </cell>
          <cell r="Q322">
            <v>0</v>
          </cell>
          <cell r="R322">
            <v>519337.8</v>
          </cell>
          <cell r="S322">
            <v>0</v>
          </cell>
          <cell r="T322">
            <v>322802.3500000005</v>
          </cell>
          <cell r="U322">
            <v>0</v>
          </cell>
          <cell r="V322">
            <v>729316.39000000071</v>
          </cell>
          <cell r="W322">
            <v>0</v>
          </cell>
          <cell r="X322">
            <v>334521.44000000058</v>
          </cell>
          <cell r="Y322">
            <v>0</v>
          </cell>
          <cell r="Z322">
            <v>491833.1899999993</v>
          </cell>
          <cell r="AA322">
            <v>0</v>
          </cell>
          <cell r="AB322">
            <v>696046.83000000124</v>
          </cell>
          <cell r="AC322">
            <v>0</v>
          </cell>
          <cell r="AD322">
            <v>451893.64999999973</v>
          </cell>
          <cell r="AE322">
            <v>0</v>
          </cell>
          <cell r="AF322">
            <v>549089.32999999996</v>
          </cell>
          <cell r="AG322">
            <v>0</v>
          </cell>
          <cell r="AH322">
            <v>7132952.6700000148</v>
          </cell>
        </row>
        <row r="323">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row>
        <row r="324">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row>
        <row r="325">
          <cell r="D325">
            <v>0</v>
          </cell>
          <cell r="E325">
            <v>0</v>
          </cell>
          <cell r="F325">
            <v>0</v>
          </cell>
          <cell r="G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row>
        <row r="326">
          <cell r="F326" t="str">
            <v>Interest Exp</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row>
        <row r="328">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row>
        <row r="329">
          <cell r="D329">
            <v>0</v>
          </cell>
          <cell r="E329">
            <v>0</v>
          </cell>
          <cell r="F329">
            <v>0</v>
          </cell>
          <cell r="G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row>
        <row r="330">
          <cell r="F330" t="str">
            <v>Interest Income</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row>
        <row r="332">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row>
        <row r="333">
          <cell r="D333">
            <v>0</v>
          </cell>
          <cell r="E333">
            <v>0</v>
          </cell>
          <cell r="F333">
            <v>0</v>
          </cell>
          <cell r="G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row>
        <row r="334">
          <cell r="F334" t="str">
            <v>Other Inc/Exp</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row>
        <row r="336">
          <cell r="E336" t="str">
            <v>NI b/ Taxes &amp; Extra</v>
          </cell>
          <cell r="J336">
            <v>799294.44999999972</v>
          </cell>
          <cell r="K336">
            <v>0</v>
          </cell>
          <cell r="L336">
            <v>456233.06000000011</v>
          </cell>
          <cell r="M336">
            <v>0</v>
          </cell>
          <cell r="N336">
            <v>1032572.4100000005</v>
          </cell>
          <cell r="O336">
            <v>0</v>
          </cell>
          <cell r="P336">
            <v>750011.7699999999</v>
          </cell>
          <cell r="Q336">
            <v>0</v>
          </cell>
          <cell r="R336">
            <v>519337.8</v>
          </cell>
          <cell r="S336">
            <v>0</v>
          </cell>
          <cell r="T336">
            <v>322802.3500000005</v>
          </cell>
          <cell r="U336">
            <v>0</v>
          </cell>
          <cell r="V336">
            <v>729316.39000000071</v>
          </cell>
          <cell r="W336">
            <v>0</v>
          </cell>
          <cell r="X336">
            <v>334521.44000000058</v>
          </cell>
          <cell r="Y336">
            <v>0</v>
          </cell>
          <cell r="Z336">
            <v>491833.1899999993</v>
          </cell>
          <cell r="AA336">
            <v>0</v>
          </cell>
          <cell r="AB336">
            <v>696046.83000000124</v>
          </cell>
          <cell r="AC336">
            <v>0</v>
          </cell>
          <cell r="AD336">
            <v>451893.64999999973</v>
          </cell>
          <cell r="AE336">
            <v>0</v>
          </cell>
          <cell r="AF336">
            <v>549089.32999999996</v>
          </cell>
          <cell r="AG336">
            <v>0</v>
          </cell>
          <cell r="AH336">
            <v>7132952.6700000148</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row>
        <row r="338">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row>
        <row r="339">
          <cell r="D339">
            <v>0</v>
          </cell>
          <cell r="E339">
            <v>0</v>
          </cell>
          <cell r="F339">
            <v>0</v>
          </cell>
          <cell r="G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row>
        <row r="340">
          <cell r="F340" t="str">
            <v>Extra. Items</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row>
        <row r="342">
          <cell r="E342" t="str">
            <v>NI b/ Taxes</v>
          </cell>
          <cell r="J342">
            <v>799294.44999999972</v>
          </cell>
          <cell r="K342">
            <v>0</v>
          </cell>
          <cell r="L342">
            <v>456233.06000000011</v>
          </cell>
          <cell r="M342">
            <v>0</v>
          </cell>
          <cell r="N342">
            <v>1032572.4100000005</v>
          </cell>
          <cell r="O342">
            <v>0</v>
          </cell>
          <cell r="P342">
            <v>750011.7699999999</v>
          </cell>
          <cell r="Q342">
            <v>0</v>
          </cell>
          <cell r="R342">
            <v>519337.8</v>
          </cell>
          <cell r="S342">
            <v>0</v>
          </cell>
          <cell r="T342">
            <v>322802.3500000005</v>
          </cell>
          <cell r="U342">
            <v>0</v>
          </cell>
          <cell r="V342">
            <v>729316.39000000071</v>
          </cell>
          <cell r="W342">
            <v>0</v>
          </cell>
          <cell r="X342">
            <v>334521.44000000058</v>
          </cell>
          <cell r="Y342">
            <v>0</v>
          </cell>
          <cell r="Z342">
            <v>491833.1899999993</v>
          </cell>
          <cell r="AA342">
            <v>0</v>
          </cell>
          <cell r="AB342">
            <v>696046.83000000124</v>
          </cell>
          <cell r="AC342">
            <v>0</v>
          </cell>
          <cell r="AD342">
            <v>451893.64999999973</v>
          </cell>
          <cell r="AE342">
            <v>0</v>
          </cell>
          <cell r="AF342">
            <v>549089.32999999996</v>
          </cell>
          <cell r="AG342">
            <v>0</v>
          </cell>
          <cell r="AH342">
            <v>7132952.6700000148</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row>
        <row r="344">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row>
        <row r="345">
          <cell r="D345">
            <v>0</v>
          </cell>
          <cell r="E345">
            <v>0</v>
          </cell>
          <cell r="F345">
            <v>0</v>
          </cell>
          <cell r="G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row>
        <row r="346">
          <cell r="F346" t="str">
            <v>Taxes</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row>
        <row r="347">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row>
        <row r="348">
          <cell r="E348" t="str">
            <v>Net Income</v>
          </cell>
          <cell r="J348">
            <v>799294.44999999972</v>
          </cell>
          <cell r="K348">
            <v>0</v>
          </cell>
          <cell r="L348">
            <v>456233.06000000011</v>
          </cell>
          <cell r="M348">
            <v>0</v>
          </cell>
          <cell r="N348">
            <v>1032572.4100000005</v>
          </cell>
          <cell r="O348">
            <v>0</v>
          </cell>
          <cell r="P348">
            <v>750011.7699999999</v>
          </cell>
          <cell r="Q348">
            <v>0</v>
          </cell>
          <cell r="R348">
            <v>519337.8</v>
          </cell>
          <cell r="S348">
            <v>0</v>
          </cell>
          <cell r="T348">
            <v>322802.3500000005</v>
          </cell>
          <cell r="U348">
            <v>0</v>
          </cell>
          <cell r="V348">
            <v>729316.39000000071</v>
          </cell>
          <cell r="W348">
            <v>0</v>
          </cell>
          <cell r="X348">
            <v>334521.44000000058</v>
          </cell>
          <cell r="Y348">
            <v>0</v>
          </cell>
          <cell r="Z348">
            <v>491833.1899999993</v>
          </cell>
          <cell r="AA348">
            <v>0</v>
          </cell>
          <cell r="AB348">
            <v>696046.83000000124</v>
          </cell>
          <cell r="AC348">
            <v>0</v>
          </cell>
          <cell r="AD348">
            <v>451893.64999999973</v>
          </cell>
          <cell r="AE348">
            <v>0</v>
          </cell>
          <cell r="AF348">
            <v>549089.32999999996</v>
          </cell>
          <cell r="AG348">
            <v>0</v>
          </cell>
          <cell r="AH348">
            <v>7132952.6700000148</v>
          </cell>
        </row>
        <row r="349">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row>
        <row r="350">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row>
        <row r="351">
          <cell r="D351">
            <v>0</v>
          </cell>
          <cell r="E351">
            <v>0</v>
          </cell>
          <cell r="F351">
            <v>0</v>
          </cell>
          <cell r="G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row>
        <row r="352">
          <cell r="F352" t="str">
            <v>Non Controlling Int</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row>
        <row r="353">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row>
        <row r="354">
          <cell r="E354" t="str">
            <v>Net Income Attrib</v>
          </cell>
          <cell r="J354">
            <v>799294.44999999972</v>
          </cell>
          <cell r="K354">
            <v>0</v>
          </cell>
          <cell r="L354">
            <v>456233.06000000011</v>
          </cell>
          <cell r="M354">
            <v>0</v>
          </cell>
          <cell r="N354">
            <v>1032572.4100000005</v>
          </cell>
          <cell r="O354">
            <v>0</v>
          </cell>
          <cell r="P354">
            <v>750011.7699999999</v>
          </cell>
          <cell r="Q354">
            <v>0</v>
          </cell>
          <cell r="R354">
            <v>519337.8</v>
          </cell>
          <cell r="S354">
            <v>0</v>
          </cell>
          <cell r="T354">
            <v>322802.3500000005</v>
          </cell>
          <cell r="U354">
            <v>0</v>
          </cell>
          <cell r="V354">
            <v>729316.39000000071</v>
          </cell>
          <cell r="W354">
            <v>0</v>
          </cell>
          <cell r="X354">
            <v>334521.44000000058</v>
          </cell>
          <cell r="Y354">
            <v>0</v>
          </cell>
          <cell r="Z354">
            <v>491833.1899999993</v>
          </cell>
          <cell r="AA354">
            <v>0</v>
          </cell>
          <cell r="AB354">
            <v>696046.83000000124</v>
          </cell>
          <cell r="AC354">
            <v>0</v>
          </cell>
          <cell r="AD354">
            <v>451893.64999999973</v>
          </cell>
          <cell r="AE354">
            <v>0</v>
          </cell>
          <cell r="AF354">
            <v>549089.32999999996</v>
          </cell>
          <cell r="AG354">
            <v>0</v>
          </cell>
          <cell r="AH354">
            <v>7132952.6700000148</v>
          </cell>
        </row>
        <row r="355">
          <cell r="D355">
            <v>0</v>
          </cell>
          <cell r="E355">
            <v>0</v>
          </cell>
          <cell r="F355">
            <v>0</v>
          </cell>
          <cell r="G355">
            <v>0</v>
          </cell>
          <cell r="H355">
            <v>0</v>
          </cell>
          <cell r="I355">
            <v>0</v>
          </cell>
          <cell r="K355">
            <v>0</v>
          </cell>
          <cell r="M355">
            <v>0</v>
          </cell>
          <cell r="O355">
            <v>0</v>
          </cell>
          <cell r="Q355">
            <v>0</v>
          </cell>
          <cell r="S355">
            <v>0</v>
          </cell>
          <cell r="U355">
            <v>0</v>
          </cell>
          <cell r="W355">
            <v>0</v>
          </cell>
          <cell r="Y355">
            <v>0</v>
          </cell>
          <cell r="AA355">
            <v>0</v>
          </cell>
          <cell r="AC355">
            <v>0</v>
          </cell>
          <cell r="AE355">
            <v>0</v>
          </cell>
          <cell r="AG355">
            <v>0</v>
          </cell>
        </row>
        <row r="357">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row>
        <row r="358">
          <cell r="E358" t="str">
            <v>Data Not Included</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row>
        <row r="359">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row>
        <row r="360">
          <cell r="D360">
            <v>0</v>
          </cell>
          <cell r="E360">
            <v>0</v>
          </cell>
          <cell r="F360">
            <v>0</v>
          </cell>
          <cell r="G360">
            <v>0</v>
          </cell>
          <cell r="M360">
            <v>0</v>
          </cell>
          <cell r="O360">
            <v>0</v>
          </cell>
          <cell r="S360">
            <v>0</v>
          </cell>
          <cell r="U360">
            <v>0</v>
          </cell>
          <cell r="Y360">
            <v>0</v>
          </cell>
          <cell r="AA360">
            <v>0</v>
          </cell>
          <cell r="AE360">
            <v>0</v>
          </cell>
          <cell r="AG360">
            <v>0</v>
          </cell>
        </row>
        <row r="361">
          <cell r="D361">
            <v>0</v>
          </cell>
          <cell r="E361">
            <v>0</v>
          </cell>
          <cell r="F361">
            <v>0</v>
          </cell>
          <cell r="G361">
            <v>0</v>
          </cell>
          <cell r="M361">
            <v>0</v>
          </cell>
          <cell r="O361">
            <v>0</v>
          </cell>
          <cell r="S361">
            <v>0</v>
          </cell>
          <cell r="U361">
            <v>0</v>
          </cell>
          <cell r="Y361">
            <v>0</v>
          </cell>
          <cell r="AA361">
            <v>0</v>
          </cell>
          <cell r="AE361">
            <v>0</v>
          </cell>
          <cell r="AF361" t="str">
            <v>Check</v>
          </cell>
          <cell r="AG361">
            <v>0</v>
          </cell>
          <cell r="AH361">
            <v>-1.3038516044616699E-8</v>
          </cell>
        </row>
        <row r="362">
          <cell r="D362">
            <v>0</v>
          </cell>
          <cell r="E362">
            <v>0</v>
          </cell>
          <cell r="F362">
            <v>0</v>
          </cell>
          <cell r="G362">
            <v>0</v>
          </cell>
          <cell r="H362">
            <v>0</v>
          </cell>
          <cell r="I362">
            <v>0</v>
          </cell>
          <cell r="K362">
            <v>0</v>
          </cell>
          <cell r="M362">
            <v>0</v>
          </cell>
          <cell r="O362">
            <v>0</v>
          </cell>
          <cell r="Q362">
            <v>0</v>
          </cell>
          <cell r="S362">
            <v>0</v>
          </cell>
          <cell r="U362">
            <v>0</v>
          </cell>
          <cell r="W362">
            <v>0</v>
          </cell>
          <cell r="Y362">
            <v>0</v>
          </cell>
          <cell r="AA362">
            <v>0</v>
          </cell>
          <cell r="AC362">
            <v>0</v>
          </cell>
          <cell r="AE362">
            <v>0</v>
          </cell>
          <cell r="AG362">
            <v>0</v>
          </cell>
        </row>
        <row r="363">
          <cell r="D363">
            <v>0</v>
          </cell>
          <cell r="E363">
            <v>0</v>
          </cell>
          <cell r="F363">
            <v>0</v>
          </cell>
          <cell r="G363">
            <v>0</v>
          </cell>
          <cell r="H363">
            <v>0</v>
          </cell>
          <cell r="I363">
            <v>0</v>
          </cell>
          <cell r="K363">
            <v>0</v>
          </cell>
          <cell r="M363">
            <v>0</v>
          </cell>
          <cell r="O363">
            <v>0</v>
          </cell>
          <cell r="Q363">
            <v>0</v>
          </cell>
          <cell r="S363">
            <v>0</v>
          </cell>
          <cell r="U363">
            <v>0</v>
          </cell>
          <cell r="V363">
            <v>4552987.1900000004</v>
          </cell>
          <cell r="W363">
            <v>0</v>
          </cell>
          <cell r="X363">
            <v>4947945.8100000005</v>
          </cell>
          <cell r="Y363">
            <v>0</v>
          </cell>
          <cell r="Z363">
            <v>4852599.8899999997</v>
          </cell>
          <cell r="AA363">
            <v>0</v>
          </cell>
          <cell r="AB363">
            <v>4808819.7699999996</v>
          </cell>
          <cell r="AC363">
            <v>0</v>
          </cell>
          <cell r="AD363">
            <v>4775610.9399999995</v>
          </cell>
          <cell r="AE363">
            <v>0</v>
          </cell>
          <cell r="AF363">
            <v>4698052.5599999996</v>
          </cell>
          <cell r="AG363">
            <v>0</v>
          </cell>
          <cell r="AH363">
            <v>55547451.159999989</v>
          </cell>
        </row>
        <row r="364">
          <cell r="D364">
            <v>0</v>
          </cell>
          <cell r="E364">
            <v>0</v>
          </cell>
          <cell r="F364">
            <v>0</v>
          </cell>
          <cell r="G364">
            <v>0</v>
          </cell>
          <cell r="H364">
            <v>0</v>
          </cell>
          <cell r="I364">
            <v>0</v>
          </cell>
          <cell r="K364">
            <v>0</v>
          </cell>
          <cell r="M364">
            <v>0</v>
          </cell>
          <cell r="O364">
            <v>0</v>
          </cell>
          <cell r="Q364">
            <v>0</v>
          </cell>
          <cell r="S364">
            <v>0</v>
          </cell>
          <cell r="U364">
            <v>0</v>
          </cell>
          <cell r="V364">
            <v>0.86193213264732493</v>
          </cell>
          <cell r="W364" t="e">
            <v>#DIV/0!</v>
          </cell>
          <cell r="X364">
            <v>0.93667325812573654</v>
          </cell>
          <cell r="Y364">
            <v>0</v>
          </cell>
          <cell r="Z364">
            <v>0.90797280410516445</v>
          </cell>
          <cell r="AA364">
            <v>0</v>
          </cell>
          <cell r="AB364">
            <v>0.87355791146691897</v>
          </cell>
          <cell r="AC364">
            <v>0</v>
          </cell>
          <cell r="AD364">
            <v>0.91355461440159169</v>
          </cell>
          <cell r="AE364">
            <v>0</v>
          </cell>
          <cell r="AF364">
            <v>0.89535458702832982</v>
          </cell>
          <cell r="AG364">
            <v>0</v>
          </cell>
          <cell r="AH364">
            <v>0.88620123301461484</v>
          </cell>
        </row>
        <row r="365">
          <cell r="D365">
            <v>0</v>
          </cell>
          <cell r="E365">
            <v>0</v>
          </cell>
          <cell r="F365">
            <v>0</v>
          </cell>
          <cell r="G365">
            <v>0</v>
          </cell>
          <cell r="H365">
            <v>0</v>
          </cell>
          <cell r="I365">
            <v>0</v>
          </cell>
          <cell r="K365">
            <v>0</v>
          </cell>
          <cell r="M365">
            <v>0</v>
          </cell>
          <cell r="O365">
            <v>0</v>
          </cell>
          <cell r="Q365">
            <v>0</v>
          </cell>
          <cell r="S365">
            <v>0</v>
          </cell>
          <cell r="U365">
            <v>0</v>
          </cell>
          <cell r="W365">
            <v>0</v>
          </cell>
          <cell r="Y365">
            <v>0</v>
          </cell>
          <cell r="AA365">
            <v>0</v>
          </cell>
          <cell r="AC365">
            <v>0</v>
          </cell>
          <cell r="AE365">
            <v>0</v>
          </cell>
          <cell r="AG365">
            <v>0</v>
          </cell>
        </row>
        <row r="366">
          <cell r="D366">
            <v>0</v>
          </cell>
          <cell r="E366">
            <v>0</v>
          </cell>
          <cell r="F366">
            <v>0</v>
          </cell>
          <cell r="G366">
            <v>0</v>
          </cell>
          <cell r="H366">
            <v>0</v>
          </cell>
          <cell r="I366">
            <v>0</v>
          </cell>
          <cell r="K366">
            <v>0</v>
          </cell>
          <cell r="M366">
            <v>0</v>
          </cell>
          <cell r="O366">
            <v>0</v>
          </cell>
          <cell r="Q366">
            <v>0</v>
          </cell>
          <cell r="S366">
            <v>0</v>
          </cell>
          <cell r="U366">
            <v>0</v>
          </cell>
          <cell r="W366">
            <v>0</v>
          </cell>
          <cell r="Y366">
            <v>0</v>
          </cell>
          <cell r="AA366">
            <v>0</v>
          </cell>
          <cell r="AC366">
            <v>0</v>
          </cell>
          <cell r="AE366">
            <v>0</v>
          </cell>
          <cell r="AG366">
            <v>0</v>
          </cell>
        </row>
        <row r="367">
          <cell r="D367">
            <v>0</v>
          </cell>
          <cell r="E367">
            <v>0</v>
          </cell>
          <cell r="F367">
            <v>0</v>
          </cell>
          <cell r="G367">
            <v>0</v>
          </cell>
          <cell r="H367">
            <v>0</v>
          </cell>
          <cell r="I367">
            <v>0</v>
          </cell>
          <cell r="K367">
            <v>0</v>
          </cell>
          <cell r="M367">
            <v>0</v>
          </cell>
          <cell r="O367">
            <v>0</v>
          </cell>
          <cell r="Q367">
            <v>0</v>
          </cell>
          <cell r="S367">
            <v>0</v>
          </cell>
          <cell r="U367">
            <v>0</v>
          </cell>
          <cell r="W367">
            <v>0</v>
          </cell>
          <cell r="Y367">
            <v>0</v>
          </cell>
          <cell r="AA367">
            <v>0</v>
          </cell>
          <cell r="AC367">
            <v>0</v>
          </cell>
          <cell r="AE367">
            <v>0</v>
          </cell>
          <cell r="AG367">
            <v>0</v>
          </cell>
        </row>
        <row r="368">
          <cell r="D368">
            <v>0</v>
          </cell>
          <cell r="E368">
            <v>0</v>
          </cell>
          <cell r="F368">
            <v>0</v>
          </cell>
          <cell r="G368">
            <v>0</v>
          </cell>
          <cell r="H368">
            <v>0</v>
          </cell>
          <cell r="I368">
            <v>0</v>
          </cell>
          <cell r="K368">
            <v>0</v>
          </cell>
          <cell r="M368">
            <v>0</v>
          </cell>
          <cell r="O368">
            <v>0</v>
          </cell>
          <cell r="Q368">
            <v>0</v>
          </cell>
          <cell r="S368">
            <v>0</v>
          </cell>
          <cell r="U368">
            <v>0</v>
          </cell>
          <cell r="W368">
            <v>0</v>
          </cell>
          <cell r="Y368">
            <v>0</v>
          </cell>
          <cell r="AA368">
            <v>0</v>
          </cell>
          <cell r="AC368">
            <v>0</v>
          </cell>
          <cell r="AE368">
            <v>0</v>
          </cell>
          <cell r="AG368">
            <v>0</v>
          </cell>
        </row>
        <row r="369">
          <cell r="D369">
            <v>0</v>
          </cell>
          <cell r="E369">
            <v>0</v>
          </cell>
          <cell r="F369">
            <v>0</v>
          </cell>
          <cell r="G369">
            <v>0</v>
          </cell>
          <cell r="H369">
            <v>0</v>
          </cell>
          <cell r="I369">
            <v>0</v>
          </cell>
          <cell r="K369">
            <v>0</v>
          </cell>
          <cell r="M369">
            <v>0</v>
          </cell>
          <cell r="O369">
            <v>0</v>
          </cell>
          <cell r="Q369">
            <v>0</v>
          </cell>
          <cell r="S369">
            <v>0</v>
          </cell>
          <cell r="U369">
            <v>0</v>
          </cell>
          <cell r="W369">
            <v>0</v>
          </cell>
          <cell r="Y369">
            <v>0</v>
          </cell>
          <cell r="AA369">
            <v>0</v>
          </cell>
          <cell r="AC369">
            <v>0</v>
          </cell>
          <cell r="AE369">
            <v>0</v>
          </cell>
          <cell r="AG369">
            <v>0</v>
          </cell>
        </row>
        <row r="370">
          <cell r="D370">
            <v>0</v>
          </cell>
          <cell r="E370">
            <v>0</v>
          </cell>
          <cell r="F370">
            <v>0</v>
          </cell>
          <cell r="G370">
            <v>0</v>
          </cell>
          <cell r="H370">
            <v>0</v>
          </cell>
          <cell r="I370">
            <v>0</v>
          </cell>
          <cell r="K370">
            <v>0</v>
          </cell>
          <cell r="M370">
            <v>0</v>
          </cell>
          <cell r="O370">
            <v>0</v>
          </cell>
          <cell r="Q370">
            <v>0</v>
          </cell>
          <cell r="S370">
            <v>0</v>
          </cell>
          <cell r="U370">
            <v>0</v>
          </cell>
          <cell r="W370">
            <v>0</v>
          </cell>
          <cell r="Y370">
            <v>0</v>
          </cell>
          <cell r="AA370">
            <v>0</v>
          </cell>
          <cell r="AC370">
            <v>0</v>
          </cell>
          <cell r="AE370">
            <v>0</v>
          </cell>
          <cell r="AG370">
            <v>0</v>
          </cell>
        </row>
        <row r="371">
          <cell r="D371">
            <v>0</v>
          </cell>
          <cell r="E371">
            <v>0</v>
          </cell>
          <cell r="F371">
            <v>0</v>
          </cell>
          <cell r="G371">
            <v>0</v>
          </cell>
          <cell r="H371">
            <v>0</v>
          </cell>
          <cell r="I371">
            <v>0</v>
          </cell>
          <cell r="K371">
            <v>0</v>
          </cell>
          <cell r="M371">
            <v>0</v>
          </cell>
          <cell r="O371">
            <v>0</v>
          </cell>
          <cell r="Q371">
            <v>0</v>
          </cell>
          <cell r="S371">
            <v>0</v>
          </cell>
          <cell r="U371">
            <v>0</v>
          </cell>
          <cell r="W371">
            <v>0</v>
          </cell>
          <cell r="Y371">
            <v>0</v>
          </cell>
          <cell r="AA371">
            <v>0</v>
          </cell>
          <cell r="AC371">
            <v>0</v>
          </cell>
          <cell r="AE371">
            <v>0</v>
          </cell>
          <cell r="AG371">
            <v>0</v>
          </cell>
        </row>
        <row r="372">
          <cell r="D372">
            <v>0</v>
          </cell>
          <cell r="E372">
            <v>0</v>
          </cell>
          <cell r="F372">
            <v>0</v>
          </cell>
          <cell r="G372">
            <v>0</v>
          </cell>
          <cell r="H372">
            <v>0</v>
          </cell>
          <cell r="I372">
            <v>0</v>
          </cell>
          <cell r="K372">
            <v>0</v>
          </cell>
          <cell r="M372">
            <v>0</v>
          </cell>
          <cell r="O372">
            <v>0</v>
          </cell>
          <cell r="Q372">
            <v>0</v>
          </cell>
          <cell r="S372">
            <v>0</v>
          </cell>
          <cell r="U372">
            <v>0</v>
          </cell>
          <cell r="W372">
            <v>0</v>
          </cell>
          <cell r="Y372">
            <v>0</v>
          </cell>
          <cell r="AA372">
            <v>0</v>
          </cell>
          <cell r="AC372">
            <v>0</v>
          </cell>
          <cell r="AE372">
            <v>0</v>
          </cell>
          <cell r="AG372">
            <v>0</v>
          </cell>
        </row>
        <row r="373">
          <cell r="D373">
            <v>0</v>
          </cell>
          <cell r="E373">
            <v>0</v>
          </cell>
          <cell r="F373">
            <v>0</v>
          </cell>
          <cell r="G373">
            <v>0</v>
          </cell>
          <cell r="H373">
            <v>0</v>
          </cell>
          <cell r="I373">
            <v>0</v>
          </cell>
          <cell r="K373">
            <v>0</v>
          </cell>
          <cell r="M373">
            <v>0</v>
          </cell>
          <cell r="O373">
            <v>0</v>
          </cell>
          <cell r="Q373">
            <v>0</v>
          </cell>
          <cell r="S373">
            <v>0</v>
          </cell>
          <cell r="U373">
            <v>0</v>
          </cell>
          <cell r="W373">
            <v>0</v>
          </cell>
          <cell r="Y373">
            <v>0</v>
          </cell>
          <cell r="AA373">
            <v>0</v>
          </cell>
          <cell r="AC373">
            <v>0</v>
          </cell>
          <cell r="AE373">
            <v>0</v>
          </cell>
          <cell r="AG373">
            <v>0</v>
          </cell>
        </row>
        <row r="374">
          <cell r="D374">
            <v>0</v>
          </cell>
          <cell r="E374">
            <v>0</v>
          </cell>
          <cell r="F374">
            <v>0</v>
          </cell>
          <cell r="G374">
            <v>0</v>
          </cell>
          <cell r="H374">
            <v>0</v>
          </cell>
          <cell r="I374">
            <v>0</v>
          </cell>
          <cell r="K374">
            <v>0</v>
          </cell>
          <cell r="M374">
            <v>0</v>
          </cell>
          <cell r="O374">
            <v>0</v>
          </cell>
          <cell r="Q374">
            <v>0</v>
          </cell>
          <cell r="S374">
            <v>0</v>
          </cell>
          <cell r="U374">
            <v>0</v>
          </cell>
          <cell r="W374">
            <v>0</v>
          </cell>
          <cell r="Y374">
            <v>0</v>
          </cell>
          <cell r="AA374">
            <v>0</v>
          </cell>
          <cell r="AC374">
            <v>0</v>
          </cell>
          <cell r="AE374">
            <v>0</v>
          </cell>
          <cell r="AG374">
            <v>0</v>
          </cell>
        </row>
        <row r="375">
          <cell r="D375">
            <v>0</v>
          </cell>
          <cell r="E375">
            <v>0</v>
          </cell>
          <cell r="F375">
            <v>0</v>
          </cell>
          <cell r="G375">
            <v>0</v>
          </cell>
          <cell r="H375">
            <v>0</v>
          </cell>
          <cell r="I375">
            <v>0</v>
          </cell>
          <cell r="K375">
            <v>0</v>
          </cell>
          <cell r="M375">
            <v>0</v>
          </cell>
          <cell r="O375">
            <v>0</v>
          </cell>
          <cell r="Q375">
            <v>0</v>
          </cell>
          <cell r="S375">
            <v>0</v>
          </cell>
          <cell r="U375">
            <v>0</v>
          </cell>
          <cell r="W375">
            <v>0</v>
          </cell>
          <cell r="Y375">
            <v>0</v>
          </cell>
          <cell r="AA375">
            <v>0</v>
          </cell>
          <cell r="AC375">
            <v>0</v>
          </cell>
          <cell r="AE375">
            <v>0</v>
          </cell>
          <cell r="AG375">
            <v>0</v>
          </cell>
        </row>
        <row r="376">
          <cell r="D376">
            <v>0</v>
          </cell>
          <cell r="E376">
            <v>0</v>
          </cell>
          <cell r="F376">
            <v>0</v>
          </cell>
          <cell r="G376">
            <v>0</v>
          </cell>
          <cell r="H376">
            <v>0</v>
          </cell>
          <cell r="I376">
            <v>0</v>
          </cell>
          <cell r="K376">
            <v>0</v>
          </cell>
          <cell r="M376">
            <v>0</v>
          </cell>
          <cell r="O376">
            <v>0</v>
          </cell>
          <cell r="Q376">
            <v>0</v>
          </cell>
          <cell r="S376">
            <v>0</v>
          </cell>
          <cell r="U376">
            <v>0</v>
          </cell>
          <cell r="W376">
            <v>0</v>
          </cell>
          <cell r="Y376">
            <v>0</v>
          </cell>
          <cell r="AA376">
            <v>0</v>
          </cell>
          <cell r="AC376">
            <v>0</v>
          </cell>
          <cell r="AE376">
            <v>0</v>
          </cell>
          <cell r="AG376">
            <v>0</v>
          </cell>
        </row>
        <row r="377">
          <cell r="D377">
            <v>0</v>
          </cell>
          <cell r="E377">
            <v>0</v>
          </cell>
          <cell r="F377">
            <v>0</v>
          </cell>
          <cell r="G377">
            <v>0</v>
          </cell>
          <cell r="H377">
            <v>0</v>
          </cell>
          <cell r="I377">
            <v>0</v>
          </cell>
          <cell r="K377">
            <v>0</v>
          </cell>
          <cell r="M377">
            <v>0</v>
          </cell>
          <cell r="O377">
            <v>0</v>
          </cell>
          <cell r="Q377">
            <v>0</v>
          </cell>
          <cell r="S377">
            <v>0</v>
          </cell>
          <cell r="U377">
            <v>0</v>
          </cell>
          <cell r="W377">
            <v>0</v>
          </cell>
          <cell r="Y377">
            <v>0</v>
          </cell>
          <cell r="AA377">
            <v>0</v>
          </cell>
          <cell r="AC377">
            <v>0</v>
          </cell>
          <cell r="AE377">
            <v>0</v>
          </cell>
          <cell r="AG377">
            <v>0</v>
          </cell>
        </row>
        <row r="378">
          <cell r="D378">
            <v>0</v>
          </cell>
          <cell r="E378">
            <v>0</v>
          </cell>
          <cell r="F378">
            <v>0</v>
          </cell>
          <cell r="G378">
            <v>0</v>
          </cell>
          <cell r="H378">
            <v>0</v>
          </cell>
          <cell r="I378">
            <v>0</v>
          </cell>
          <cell r="K378">
            <v>0</v>
          </cell>
          <cell r="M378">
            <v>0</v>
          </cell>
          <cell r="O378">
            <v>0</v>
          </cell>
          <cell r="Q378">
            <v>0</v>
          </cell>
          <cell r="S378">
            <v>0</v>
          </cell>
          <cell r="U378">
            <v>0</v>
          </cell>
          <cell r="W378">
            <v>0</v>
          </cell>
          <cell r="Y378">
            <v>0</v>
          </cell>
          <cell r="AA378">
            <v>0</v>
          </cell>
          <cell r="AC378">
            <v>0</v>
          </cell>
          <cell r="AE378">
            <v>0</v>
          </cell>
          <cell r="AG378">
            <v>0</v>
          </cell>
        </row>
        <row r="379">
          <cell r="D379">
            <v>0</v>
          </cell>
          <cell r="E379">
            <v>0</v>
          </cell>
          <cell r="F379">
            <v>0</v>
          </cell>
          <cell r="G379">
            <v>0</v>
          </cell>
          <cell r="H379">
            <v>0</v>
          </cell>
          <cell r="I379">
            <v>0</v>
          </cell>
          <cell r="K379">
            <v>0</v>
          </cell>
          <cell r="M379">
            <v>0</v>
          </cell>
          <cell r="O379">
            <v>0</v>
          </cell>
          <cell r="Q379">
            <v>0</v>
          </cell>
          <cell r="S379">
            <v>0</v>
          </cell>
          <cell r="U379">
            <v>0</v>
          </cell>
          <cell r="W379">
            <v>0</v>
          </cell>
          <cell r="Y379">
            <v>0</v>
          </cell>
          <cell r="AA379">
            <v>0</v>
          </cell>
          <cell r="AC379">
            <v>0</v>
          </cell>
          <cell r="AE379">
            <v>0</v>
          </cell>
          <cell r="AG379">
            <v>0</v>
          </cell>
        </row>
        <row r="380">
          <cell r="D380">
            <v>0</v>
          </cell>
          <cell r="E380">
            <v>0</v>
          </cell>
          <cell r="F380">
            <v>0</v>
          </cell>
          <cell r="G380">
            <v>0</v>
          </cell>
          <cell r="H380">
            <v>0</v>
          </cell>
          <cell r="I380">
            <v>0</v>
          </cell>
          <cell r="K380">
            <v>0</v>
          </cell>
          <cell r="M380">
            <v>0</v>
          </cell>
          <cell r="O380">
            <v>0</v>
          </cell>
          <cell r="Q380">
            <v>0</v>
          </cell>
          <cell r="S380">
            <v>0</v>
          </cell>
          <cell r="U380">
            <v>0</v>
          </cell>
          <cell r="W380">
            <v>0</v>
          </cell>
          <cell r="Y380">
            <v>0</v>
          </cell>
          <cell r="AA380">
            <v>0</v>
          </cell>
          <cell r="AC380">
            <v>0</v>
          </cell>
          <cell r="AE380">
            <v>0</v>
          </cell>
          <cell r="AG380">
            <v>0</v>
          </cell>
        </row>
        <row r="381">
          <cell r="D381">
            <v>0</v>
          </cell>
          <cell r="E381">
            <v>0</v>
          </cell>
          <cell r="F381">
            <v>0</v>
          </cell>
          <cell r="G381">
            <v>0</v>
          </cell>
          <cell r="H381">
            <v>0</v>
          </cell>
          <cell r="I381">
            <v>0</v>
          </cell>
          <cell r="K381">
            <v>0</v>
          </cell>
          <cell r="M381">
            <v>0</v>
          </cell>
          <cell r="O381">
            <v>0</v>
          </cell>
          <cell r="Q381">
            <v>0</v>
          </cell>
          <cell r="S381">
            <v>0</v>
          </cell>
          <cell r="U381">
            <v>0</v>
          </cell>
          <cell r="W381">
            <v>0</v>
          </cell>
          <cell r="Y381">
            <v>0</v>
          </cell>
          <cell r="AA381">
            <v>0</v>
          </cell>
          <cell r="AC381">
            <v>0</v>
          </cell>
          <cell r="AE381">
            <v>0</v>
          </cell>
          <cell r="AG381">
            <v>0</v>
          </cell>
        </row>
        <row r="382">
          <cell r="D382">
            <v>0</v>
          </cell>
          <cell r="E382">
            <v>0</v>
          </cell>
          <cell r="F382">
            <v>0</v>
          </cell>
          <cell r="G382">
            <v>0</v>
          </cell>
          <cell r="H382">
            <v>0</v>
          </cell>
          <cell r="I382">
            <v>0</v>
          </cell>
          <cell r="K382">
            <v>0</v>
          </cell>
          <cell r="M382">
            <v>0</v>
          </cell>
          <cell r="O382">
            <v>0</v>
          </cell>
          <cell r="Q382">
            <v>0</v>
          </cell>
          <cell r="S382">
            <v>0</v>
          </cell>
          <cell r="U382">
            <v>0</v>
          </cell>
          <cell r="W382">
            <v>0</v>
          </cell>
          <cell r="Y382">
            <v>0</v>
          </cell>
          <cell r="AA382">
            <v>0</v>
          </cell>
          <cell r="AC382">
            <v>0</v>
          </cell>
          <cell r="AE382">
            <v>0</v>
          </cell>
          <cell r="AG382">
            <v>0</v>
          </cell>
        </row>
        <row r="383">
          <cell r="D383">
            <v>0</v>
          </cell>
          <cell r="E383">
            <v>0</v>
          </cell>
          <cell r="F383">
            <v>0</v>
          </cell>
          <cell r="G383">
            <v>0</v>
          </cell>
          <cell r="H383">
            <v>0</v>
          </cell>
          <cell r="I383">
            <v>0</v>
          </cell>
          <cell r="K383">
            <v>0</v>
          </cell>
          <cell r="M383">
            <v>0</v>
          </cell>
          <cell r="O383">
            <v>0</v>
          </cell>
          <cell r="Q383">
            <v>0</v>
          </cell>
          <cell r="S383">
            <v>0</v>
          </cell>
          <cell r="U383">
            <v>0</v>
          </cell>
          <cell r="W383">
            <v>0</v>
          </cell>
          <cell r="Y383">
            <v>0</v>
          </cell>
          <cell r="AA383">
            <v>0</v>
          </cell>
          <cell r="AC383">
            <v>0</v>
          </cell>
          <cell r="AE383">
            <v>0</v>
          </cell>
          <cell r="AG383">
            <v>0</v>
          </cell>
        </row>
        <row r="384">
          <cell r="D384">
            <v>0</v>
          </cell>
          <cell r="E384">
            <v>0</v>
          </cell>
          <cell r="F384">
            <v>0</v>
          </cell>
          <cell r="G384">
            <v>0</v>
          </cell>
          <cell r="H384">
            <v>0</v>
          </cell>
          <cell r="I384">
            <v>0</v>
          </cell>
          <cell r="K384">
            <v>0</v>
          </cell>
          <cell r="M384">
            <v>0</v>
          </cell>
          <cell r="O384">
            <v>0</v>
          </cell>
          <cell r="Q384">
            <v>0</v>
          </cell>
          <cell r="S384">
            <v>0</v>
          </cell>
          <cell r="U384">
            <v>0</v>
          </cell>
          <cell r="W384">
            <v>0</v>
          </cell>
          <cell r="Y384">
            <v>0</v>
          </cell>
          <cell r="AA384">
            <v>0</v>
          </cell>
          <cell r="AC384">
            <v>0</v>
          </cell>
          <cell r="AE384">
            <v>0</v>
          </cell>
          <cell r="AG384">
            <v>0</v>
          </cell>
        </row>
        <row r="385">
          <cell r="D385">
            <v>0</v>
          </cell>
          <cell r="E385">
            <v>0</v>
          </cell>
          <cell r="F385">
            <v>0</v>
          </cell>
          <cell r="G385">
            <v>0</v>
          </cell>
          <cell r="H385">
            <v>0</v>
          </cell>
          <cell r="I385">
            <v>0</v>
          </cell>
          <cell r="K385">
            <v>0</v>
          </cell>
          <cell r="M385">
            <v>0</v>
          </cell>
          <cell r="O385">
            <v>0</v>
          </cell>
          <cell r="Q385">
            <v>0</v>
          </cell>
          <cell r="S385">
            <v>0</v>
          </cell>
          <cell r="U385">
            <v>0</v>
          </cell>
          <cell r="W385">
            <v>0</v>
          </cell>
          <cell r="Y385">
            <v>0</v>
          </cell>
          <cell r="AA385">
            <v>0</v>
          </cell>
          <cell r="AC385">
            <v>0</v>
          </cell>
          <cell r="AE385">
            <v>0</v>
          </cell>
          <cell r="AG385">
            <v>0</v>
          </cell>
        </row>
        <row r="386">
          <cell r="D386">
            <v>0</v>
          </cell>
          <cell r="E386">
            <v>0</v>
          </cell>
          <cell r="F386">
            <v>0</v>
          </cell>
          <cell r="G386">
            <v>0</v>
          </cell>
          <cell r="H386">
            <v>0</v>
          </cell>
          <cell r="I386">
            <v>0</v>
          </cell>
          <cell r="K386">
            <v>0</v>
          </cell>
          <cell r="M386">
            <v>0</v>
          </cell>
          <cell r="O386">
            <v>0</v>
          </cell>
          <cell r="Q386">
            <v>0</v>
          </cell>
          <cell r="S386">
            <v>0</v>
          </cell>
          <cell r="U386">
            <v>0</v>
          </cell>
          <cell r="W386">
            <v>0</v>
          </cell>
          <cell r="Y386">
            <v>0</v>
          </cell>
          <cell r="AA386">
            <v>0</v>
          </cell>
          <cell r="AC386">
            <v>0</v>
          </cell>
          <cell r="AE386">
            <v>0</v>
          </cell>
          <cell r="AG386">
            <v>0</v>
          </cell>
        </row>
        <row r="387">
          <cell r="D387">
            <v>0</v>
          </cell>
          <cell r="E387">
            <v>0</v>
          </cell>
          <cell r="F387">
            <v>0</v>
          </cell>
          <cell r="G387">
            <v>0</v>
          </cell>
          <cell r="H387">
            <v>0</v>
          </cell>
          <cell r="I387">
            <v>0</v>
          </cell>
          <cell r="K387">
            <v>0</v>
          </cell>
          <cell r="M387">
            <v>0</v>
          </cell>
          <cell r="O387">
            <v>0</v>
          </cell>
          <cell r="Q387">
            <v>0</v>
          </cell>
          <cell r="S387">
            <v>0</v>
          </cell>
          <cell r="U387">
            <v>0</v>
          </cell>
          <cell r="W387">
            <v>0</v>
          </cell>
          <cell r="Y387">
            <v>0</v>
          </cell>
          <cell r="AA387">
            <v>0</v>
          </cell>
          <cell r="AC387">
            <v>0</v>
          </cell>
          <cell r="AE387">
            <v>0</v>
          </cell>
          <cell r="AG387">
            <v>0</v>
          </cell>
        </row>
        <row r="388">
          <cell r="D388">
            <v>0</v>
          </cell>
          <cell r="E388">
            <v>0</v>
          </cell>
          <cell r="F388">
            <v>0</v>
          </cell>
          <cell r="G388">
            <v>0</v>
          </cell>
          <cell r="H388">
            <v>0</v>
          </cell>
          <cell r="I388">
            <v>0</v>
          </cell>
          <cell r="K388">
            <v>0</v>
          </cell>
          <cell r="M388">
            <v>0</v>
          </cell>
          <cell r="O388">
            <v>0</v>
          </cell>
          <cell r="Q388">
            <v>0</v>
          </cell>
          <cell r="S388">
            <v>0</v>
          </cell>
          <cell r="U388">
            <v>0</v>
          </cell>
          <cell r="W388">
            <v>0</v>
          </cell>
          <cell r="Y388">
            <v>0</v>
          </cell>
          <cell r="AA388">
            <v>0</v>
          </cell>
          <cell r="AC388">
            <v>0</v>
          </cell>
          <cell r="AE388">
            <v>0</v>
          </cell>
          <cell r="AG388">
            <v>0</v>
          </cell>
        </row>
        <row r="389">
          <cell r="D389">
            <v>0</v>
          </cell>
          <cell r="E389">
            <v>0</v>
          </cell>
          <cell r="F389">
            <v>0</v>
          </cell>
          <cell r="G389">
            <v>0</v>
          </cell>
          <cell r="H389">
            <v>0</v>
          </cell>
          <cell r="I389">
            <v>0</v>
          </cell>
          <cell r="K389">
            <v>0</v>
          </cell>
          <cell r="M389">
            <v>0</v>
          </cell>
          <cell r="O389">
            <v>0</v>
          </cell>
          <cell r="Q389">
            <v>0</v>
          </cell>
          <cell r="S389">
            <v>0</v>
          </cell>
          <cell r="U389">
            <v>0</v>
          </cell>
          <cell r="W389">
            <v>0</v>
          </cell>
          <cell r="Y389">
            <v>0</v>
          </cell>
          <cell r="AA389">
            <v>0</v>
          </cell>
          <cell r="AC389">
            <v>0</v>
          </cell>
          <cell r="AE389">
            <v>0</v>
          </cell>
          <cell r="AG389">
            <v>0</v>
          </cell>
        </row>
        <row r="390">
          <cell r="D390">
            <v>0</v>
          </cell>
          <cell r="E390">
            <v>0</v>
          </cell>
          <cell r="F390">
            <v>0</v>
          </cell>
          <cell r="G390">
            <v>0</v>
          </cell>
          <cell r="H390">
            <v>0</v>
          </cell>
          <cell r="I390">
            <v>0</v>
          </cell>
          <cell r="K390">
            <v>0</v>
          </cell>
          <cell r="M390">
            <v>0</v>
          </cell>
          <cell r="O390">
            <v>0</v>
          </cell>
          <cell r="Q390">
            <v>0</v>
          </cell>
          <cell r="S390">
            <v>0</v>
          </cell>
          <cell r="U390">
            <v>0</v>
          </cell>
          <cell r="W390">
            <v>0</v>
          </cell>
          <cell r="Y390">
            <v>0</v>
          </cell>
          <cell r="AA390">
            <v>0</v>
          </cell>
          <cell r="AC390">
            <v>0</v>
          </cell>
          <cell r="AE390">
            <v>0</v>
          </cell>
          <cell r="AG390">
            <v>0</v>
          </cell>
        </row>
        <row r="391">
          <cell r="D391">
            <v>0</v>
          </cell>
          <cell r="E391">
            <v>0</v>
          </cell>
          <cell r="F391">
            <v>0</v>
          </cell>
          <cell r="G391">
            <v>0</v>
          </cell>
          <cell r="H391">
            <v>0</v>
          </cell>
          <cell r="I391">
            <v>0</v>
          </cell>
          <cell r="K391">
            <v>0</v>
          </cell>
          <cell r="M391">
            <v>0</v>
          </cell>
          <cell r="O391">
            <v>0</v>
          </cell>
          <cell r="Q391">
            <v>0</v>
          </cell>
          <cell r="S391">
            <v>0</v>
          </cell>
          <cell r="U391">
            <v>0</v>
          </cell>
          <cell r="W391">
            <v>0</v>
          </cell>
          <cell r="Y391">
            <v>0</v>
          </cell>
          <cell r="AA391">
            <v>0</v>
          </cell>
          <cell r="AC391">
            <v>0</v>
          </cell>
          <cell r="AE391">
            <v>0</v>
          </cell>
          <cell r="AG391">
            <v>0</v>
          </cell>
        </row>
        <row r="392">
          <cell r="D392">
            <v>0</v>
          </cell>
          <cell r="E392">
            <v>0</v>
          </cell>
          <cell r="F392">
            <v>0</v>
          </cell>
          <cell r="G392">
            <v>0</v>
          </cell>
          <cell r="H392">
            <v>0</v>
          </cell>
          <cell r="I392">
            <v>0</v>
          </cell>
          <cell r="K392">
            <v>0</v>
          </cell>
          <cell r="M392">
            <v>0</v>
          </cell>
          <cell r="O392">
            <v>0</v>
          </cell>
          <cell r="Q392">
            <v>0</v>
          </cell>
          <cell r="S392">
            <v>0</v>
          </cell>
          <cell r="U392">
            <v>0</v>
          </cell>
          <cell r="W392">
            <v>0</v>
          </cell>
          <cell r="Y392">
            <v>0</v>
          </cell>
          <cell r="AA392">
            <v>0</v>
          </cell>
          <cell r="AC392">
            <v>0</v>
          </cell>
          <cell r="AE392">
            <v>0</v>
          </cell>
          <cell r="AG392">
            <v>0</v>
          </cell>
        </row>
        <row r="393">
          <cell r="D393">
            <v>0</v>
          </cell>
          <cell r="E393">
            <v>0</v>
          </cell>
          <cell r="F393">
            <v>0</v>
          </cell>
          <cell r="G393">
            <v>0</v>
          </cell>
          <cell r="H393">
            <v>0</v>
          </cell>
          <cell r="I393">
            <v>0</v>
          </cell>
          <cell r="K393">
            <v>0</v>
          </cell>
          <cell r="M393">
            <v>0</v>
          </cell>
          <cell r="O393">
            <v>0</v>
          </cell>
          <cell r="Q393">
            <v>0</v>
          </cell>
          <cell r="S393">
            <v>0</v>
          </cell>
          <cell r="U393">
            <v>0</v>
          </cell>
          <cell r="W393">
            <v>0</v>
          </cell>
          <cell r="Y393">
            <v>0</v>
          </cell>
          <cell r="AA393">
            <v>0</v>
          </cell>
          <cell r="AC393">
            <v>0</v>
          </cell>
          <cell r="AE393">
            <v>0</v>
          </cell>
          <cell r="AG393">
            <v>0</v>
          </cell>
        </row>
        <row r="394">
          <cell r="D394">
            <v>0</v>
          </cell>
          <cell r="E394">
            <v>0</v>
          </cell>
          <cell r="F394">
            <v>0</v>
          </cell>
          <cell r="G394">
            <v>0</v>
          </cell>
          <cell r="H394">
            <v>0</v>
          </cell>
          <cell r="I394">
            <v>0</v>
          </cell>
          <cell r="K394">
            <v>0</v>
          </cell>
          <cell r="M394">
            <v>0</v>
          </cell>
          <cell r="O394">
            <v>0</v>
          </cell>
          <cell r="Q394">
            <v>0</v>
          </cell>
          <cell r="S394">
            <v>0</v>
          </cell>
          <cell r="U394">
            <v>0</v>
          </cell>
          <cell r="W394">
            <v>0</v>
          </cell>
          <cell r="Y394">
            <v>0</v>
          </cell>
          <cell r="AA394">
            <v>0</v>
          </cell>
          <cell r="AC394">
            <v>0</v>
          </cell>
          <cell r="AE394">
            <v>0</v>
          </cell>
          <cell r="AG394">
            <v>0</v>
          </cell>
        </row>
        <row r="395">
          <cell r="D395">
            <v>0</v>
          </cell>
          <cell r="E395">
            <v>0</v>
          </cell>
          <cell r="F395">
            <v>0</v>
          </cell>
          <cell r="G395">
            <v>0</v>
          </cell>
          <cell r="H395">
            <v>0</v>
          </cell>
          <cell r="I395">
            <v>0</v>
          </cell>
          <cell r="K395">
            <v>0</v>
          </cell>
          <cell r="M395">
            <v>0</v>
          </cell>
          <cell r="O395">
            <v>0</v>
          </cell>
          <cell r="Q395">
            <v>0</v>
          </cell>
          <cell r="S395">
            <v>0</v>
          </cell>
          <cell r="U395">
            <v>0</v>
          </cell>
          <cell r="W395">
            <v>0</v>
          </cell>
          <cell r="Y395">
            <v>0</v>
          </cell>
          <cell r="AA395">
            <v>0</v>
          </cell>
          <cell r="AC395">
            <v>0</v>
          </cell>
          <cell r="AE395">
            <v>0</v>
          </cell>
          <cell r="AG395">
            <v>0</v>
          </cell>
        </row>
        <row r="396">
          <cell r="D396">
            <v>0</v>
          </cell>
          <cell r="E396">
            <v>0</v>
          </cell>
          <cell r="F396">
            <v>0</v>
          </cell>
          <cell r="G396">
            <v>0</v>
          </cell>
          <cell r="H396">
            <v>0</v>
          </cell>
          <cell r="I396">
            <v>0</v>
          </cell>
          <cell r="K396">
            <v>0</v>
          </cell>
          <cell r="M396">
            <v>0</v>
          </cell>
          <cell r="O396">
            <v>0</v>
          </cell>
          <cell r="Q396">
            <v>0</v>
          </cell>
          <cell r="S396">
            <v>0</v>
          </cell>
          <cell r="U396">
            <v>0</v>
          </cell>
          <cell r="W396">
            <v>0</v>
          </cell>
          <cell r="Y396">
            <v>0</v>
          </cell>
          <cell r="AA396">
            <v>0</v>
          </cell>
          <cell r="AC396">
            <v>0</v>
          </cell>
          <cell r="AE396">
            <v>0</v>
          </cell>
          <cell r="AG396">
            <v>0</v>
          </cell>
        </row>
        <row r="397">
          <cell r="D397">
            <v>0</v>
          </cell>
          <cell r="E397">
            <v>0</v>
          </cell>
          <cell r="F397">
            <v>0</v>
          </cell>
          <cell r="G397">
            <v>0</v>
          </cell>
          <cell r="H397">
            <v>0</v>
          </cell>
          <cell r="I397">
            <v>0</v>
          </cell>
          <cell r="K397">
            <v>0</v>
          </cell>
          <cell r="M397">
            <v>0</v>
          </cell>
          <cell r="O397">
            <v>0</v>
          </cell>
          <cell r="Q397">
            <v>0</v>
          </cell>
          <cell r="S397">
            <v>0</v>
          </cell>
          <cell r="U397">
            <v>0</v>
          </cell>
          <cell r="W397">
            <v>0</v>
          </cell>
          <cell r="Y397">
            <v>0</v>
          </cell>
          <cell r="AA397">
            <v>0</v>
          </cell>
          <cell r="AC397">
            <v>0</v>
          </cell>
          <cell r="AE397">
            <v>0</v>
          </cell>
          <cell r="AG397">
            <v>0</v>
          </cell>
        </row>
        <row r="398">
          <cell r="D398">
            <v>0</v>
          </cell>
          <cell r="E398">
            <v>0</v>
          </cell>
          <cell r="F398">
            <v>0</v>
          </cell>
          <cell r="G398">
            <v>0</v>
          </cell>
          <cell r="H398">
            <v>0</v>
          </cell>
          <cell r="I398">
            <v>0</v>
          </cell>
          <cell r="K398">
            <v>0</v>
          </cell>
          <cell r="M398">
            <v>0</v>
          </cell>
          <cell r="O398">
            <v>0</v>
          </cell>
          <cell r="Q398">
            <v>0</v>
          </cell>
          <cell r="S398">
            <v>0</v>
          </cell>
          <cell r="U398">
            <v>0</v>
          </cell>
          <cell r="W398">
            <v>0</v>
          </cell>
          <cell r="Y398">
            <v>0</v>
          </cell>
          <cell r="AA398">
            <v>0</v>
          </cell>
          <cell r="AC398">
            <v>0</v>
          </cell>
          <cell r="AE398">
            <v>0</v>
          </cell>
          <cell r="AG398">
            <v>0</v>
          </cell>
        </row>
        <row r="399">
          <cell r="D399">
            <v>0</v>
          </cell>
          <cell r="E399">
            <v>0</v>
          </cell>
          <cell r="F399">
            <v>0</v>
          </cell>
          <cell r="G399">
            <v>0</v>
          </cell>
          <cell r="H399">
            <v>0</v>
          </cell>
          <cell r="I399">
            <v>0</v>
          </cell>
          <cell r="K399">
            <v>0</v>
          </cell>
          <cell r="M399">
            <v>0</v>
          </cell>
          <cell r="O399">
            <v>0</v>
          </cell>
          <cell r="Q399">
            <v>0</v>
          </cell>
          <cell r="S399">
            <v>0</v>
          </cell>
          <cell r="U399">
            <v>0</v>
          </cell>
          <cell r="W399">
            <v>0</v>
          </cell>
          <cell r="Y399">
            <v>0</v>
          </cell>
          <cell r="AA399">
            <v>0</v>
          </cell>
          <cell r="AC399">
            <v>0</v>
          </cell>
          <cell r="AE399">
            <v>0</v>
          </cell>
          <cell r="AG399">
            <v>0</v>
          </cell>
        </row>
        <row r="400">
          <cell r="D400">
            <v>0</v>
          </cell>
          <cell r="E400">
            <v>0</v>
          </cell>
          <cell r="F400">
            <v>0</v>
          </cell>
          <cell r="G400">
            <v>0</v>
          </cell>
          <cell r="H400">
            <v>0</v>
          </cell>
          <cell r="I400">
            <v>0</v>
          </cell>
          <cell r="K400">
            <v>0</v>
          </cell>
          <cell r="M400">
            <v>0</v>
          </cell>
          <cell r="O400">
            <v>0</v>
          </cell>
          <cell r="Q400">
            <v>0</v>
          </cell>
          <cell r="S400">
            <v>0</v>
          </cell>
          <cell r="U400">
            <v>0</v>
          </cell>
          <cell r="W400">
            <v>0</v>
          </cell>
          <cell r="Y400">
            <v>0</v>
          </cell>
          <cell r="AA400">
            <v>0</v>
          </cell>
          <cell r="AC400">
            <v>0</v>
          </cell>
          <cell r="AE400">
            <v>0</v>
          </cell>
          <cell r="AG400">
            <v>0</v>
          </cell>
        </row>
        <row r="401">
          <cell r="D401">
            <v>0</v>
          </cell>
          <cell r="E401">
            <v>0</v>
          </cell>
          <cell r="F401">
            <v>0</v>
          </cell>
          <cell r="G401">
            <v>0</v>
          </cell>
          <cell r="H401">
            <v>0</v>
          </cell>
          <cell r="I401">
            <v>0</v>
          </cell>
          <cell r="K401">
            <v>0</v>
          </cell>
          <cell r="M401">
            <v>0</v>
          </cell>
          <cell r="O401">
            <v>0</v>
          </cell>
          <cell r="Q401">
            <v>0</v>
          </cell>
          <cell r="S401">
            <v>0</v>
          </cell>
          <cell r="U401">
            <v>0</v>
          </cell>
          <cell r="W401">
            <v>0</v>
          </cell>
          <cell r="Y401">
            <v>0</v>
          </cell>
          <cell r="AA401">
            <v>0</v>
          </cell>
          <cell r="AC401">
            <v>0</v>
          </cell>
          <cell r="AE401">
            <v>0</v>
          </cell>
          <cell r="AG401">
            <v>0</v>
          </cell>
        </row>
        <row r="402">
          <cell r="D402">
            <v>0</v>
          </cell>
          <cell r="E402">
            <v>0</v>
          </cell>
          <cell r="F402">
            <v>0</v>
          </cell>
          <cell r="G402">
            <v>0</v>
          </cell>
          <cell r="H402">
            <v>0</v>
          </cell>
          <cell r="I402">
            <v>0</v>
          </cell>
          <cell r="K402">
            <v>0</v>
          </cell>
          <cell r="M402">
            <v>0</v>
          </cell>
          <cell r="O402">
            <v>0</v>
          </cell>
          <cell r="Q402">
            <v>0</v>
          </cell>
          <cell r="S402">
            <v>0</v>
          </cell>
          <cell r="U402">
            <v>0</v>
          </cell>
          <cell r="W402">
            <v>0</v>
          </cell>
          <cell r="Y402">
            <v>0</v>
          </cell>
          <cell r="AA402">
            <v>0</v>
          </cell>
          <cell r="AC402">
            <v>0</v>
          </cell>
          <cell r="AE402">
            <v>0</v>
          </cell>
          <cell r="AG402">
            <v>0</v>
          </cell>
        </row>
        <row r="403">
          <cell r="D403">
            <v>0</v>
          </cell>
          <cell r="E403">
            <v>0</v>
          </cell>
          <cell r="F403">
            <v>0</v>
          </cell>
          <cell r="G403">
            <v>0</v>
          </cell>
          <cell r="H403">
            <v>0</v>
          </cell>
          <cell r="I403">
            <v>0</v>
          </cell>
          <cell r="K403">
            <v>0</v>
          </cell>
          <cell r="M403">
            <v>0</v>
          </cell>
          <cell r="O403">
            <v>0</v>
          </cell>
          <cell r="Q403">
            <v>0</v>
          </cell>
          <cell r="S403">
            <v>0</v>
          </cell>
          <cell r="U403">
            <v>0</v>
          </cell>
          <cell r="W403">
            <v>0</v>
          </cell>
          <cell r="Y403">
            <v>0</v>
          </cell>
          <cell r="AA403">
            <v>0</v>
          </cell>
          <cell r="AC403">
            <v>0</v>
          </cell>
          <cell r="AE403">
            <v>0</v>
          </cell>
          <cell r="AG403">
            <v>0</v>
          </cell>
        </row>
        <row r="404">
          <cell r="D404">
            <v>0</v>
          </cell>
          <cell r="E404">
            <v>0</v>
          </cell>
          <cell r="F404">
            <v>0</v>
          </cell>
          <cell r="G404">
            <v>0</v>
          </cell>
          <cell r="H404">
            <v>0</v>
          </cell>
          <cell r="I404">
            <v>0</v>
          </cell>
          <cell r="K404">
            <v>0</v>
          </cell>
          <cell r="M404">
            <v>0</v>
          </cell>
          <cell r="O404">
            <v>0</v>
          </cell>
          <cell r="Q404">
            <v>0</v>
          </cell>
          <cell r="S404">
            <v>0</v>
          </cell>
          <cell r="U404">
            <v>0</v>
          </cell>
          <cell r="W404">
            <v>0</v>
          </cell>
          <cell r="Y404">
            <v>0</v>
          </cell>
          <cell r="AA404">
            <v>0</v>
          </cell>
          <cell r="AC404">
            <v>0</v>
          </cell>
          <cell r="AE404">
            <v>0</v>
          </cell>
          <cell r="AG404">
            <v>0</v>
          </cell>
        </row>
        <row r="405">
          <cell r="D405">
            <v>0</v>
          </cell>
          <cell r="E405">
            <v>0</v>
          </cell>
          <cell r="F405">
            <v>0</v>
          </cell>
          <cell r="G405">
            <v>0</v>
          </cell>
          <cell r="H405">
            <v>0</v>
          </cell>
          <cell r="I405">
            <v>0</v>
          </cell>
          <cell r="K405">
            <v>0</v>
          </cell>
          <cell r="M405">
            <v>0</v>
          </cell>
          <cell r="O405">
            <v>0</v>
          </cell>
          <cell r="Q405">
            <v>0</v>
          </cell>
          <cell r="S405">
            <v>0</v>
          </cell>
          <cell r="U405">
            <v>0</v>
          </cell>
          <cell r="W405">
            <v>0</v>
          </cell>
          <cell r="Y405">
            <v>0</v>
          </cell>
          <cell r="AA405">
            <v>0</v>
          </cell>
          <cell r="AC405">
            <v>0</v>
          </cell>
          <cell r="AE405">
            <v>0</v>
          </cell>
          <cell r="AG405">
            <v>0</v>
          </cell>
        </row>
        <row r="406">
          <cell r="D406">
            <v>0</v>
          </cell>
          <cell r="E406">
            <v>0</v>
          </cell>
          <cell r="F406">
            <v>0</v>
          </cell>
          <cell r="G406">
            <v>0</v>
          </cell>
          <cell r="H406">
            <v>0</v>
          </cell>
          <cell r="I406">
            <v>0</v>
          </cell>
          <cell r="K406">
            <v>0</v>
          </cell>
          <cell r="M406">
            <v>0</v>
          </cell>
          <cell r="O406">
            <v>0</v>
          </cell>
          <cell r="Q406">
            <v>0</v>
          </cell>
          <cell r="S406">
            <v>0</v>
          </cell>
          <cell r="U406">
            <v>0</v>
          </cell>
          <cell r="W406">
            <v>0</v>
          </cell>
          <cell r="Y406">
            <v>0</v>
          </cell>
          <cell r="AA406">
            <v>0</v>
          </cell>
          <cell r="AC406">
            <v>0</v>
          </cell>
          <cell r="AE406">
            <v>0</v>
          </cell>
          <cell r="AG406">
            <v>0</v>
          </cell>
        </row>
        <row r="407">
          <cell r="D407">
            <v>0</v>
          </cell>
          <cell r="E407">
            <v>0</v>
          </cell>
          <cell r="F407">
            <v>0</v>
          </cell>
          <cell r="G407">
            <v>0</v>
          </cell>
          <cell r="H407">
            <v>0</v>
          </cell>
          <cell r="I407">
            <v>0</v>
          </cell>
          <cell r="K407">
            <v>0</v>
          </cell>
          <cell r="M407">
            <v>0</v>
          </cell>
          <cell r="O407">
            <v>0</v>
          </cell>
          <cell r="Q407">
            <v>0</v>
          </cell>
          <cell r="S407">
            <v>0</v>
          </cell>
          <cell r="U407">
            <v>0</v>
          </cell>
          <cell r="W407">
            <v>0</v>
          </cell>
          <cell r="Y407">
            <v>0</v>
          </cell>
          <cell r="AA407">
            <v>0</v>
          </cell>
          <cell r="AC407">
            <v>0</v>
          </cell>
          <cell r="AE407">
            <v>0</v>
          </cell>
          <cell r="AG407">
            <v>0</v>
          </cell>
        </row>
        <row r="408">
          <cell r="D408">
            <v>0</v>
          </cell>
          <cell r="E408">
            <v>0</v>
          </cell>
          <cell r="F408">
            <v>0</v>
          </cell>
          <cell r="G408">
            <v>0</v>
          </cell>
          <cell r="H408">
            <v>0</v>
          </cell>
          <cell r="I408">
            <v>0</v>
          </cell>
          <cell r="K408">
            <v>0</v>
          </cell>
          <cell r="M408">
            <v>0</v>
          </cell>
          <cell r="O408">
            <v>0</v>
          </cell>
          <cell r="Q408">
            <v>0</v>
          </cell>
          <cell r="S408">
            <v>0</v>
          </cell>
          <cell r="U408">
            <v>0</v>
          </cell>
          <cell r="W408">
            <v>0</v>
          </cell>
          <cell r="Y408">
            <v>0</v>
          </cell>
          <cell r="AA408">
            <v>0</v>
          </cell>
          <cell r="AC408">
            <v>0</v>
          </cell>
          <cell r="AE408">
            <v>0</v>
          </cell>
          <cell r="AG408">
            <v>0</v>
          </cell>
        </row>
        <row r="409">
          <cell r="D409">
            <v>0</v>
          </cell>
          <cell r="E409">
            <v>0</v>
          </cell>
          <cell r="F409">
            <v>0</v>
          </cell>
          <cell r="G409">
            <v>0</v>
          </cell>
          <cell r="H409">
            <v>0</v>
          </cell>
          <cell r="I409">
            <v>0</v>
          </cell>
          <cell r="K409">
            <v>0</v>
          </cell>
          <cell r="M409">
            <v>0</v>
          </cell>
          <cell r="O409">
            <v>0</v>
          </cell>
          <cell r="Q409">
            <v>0</v>
          </cell>
          <cell r="S409">
            <v>0</v>
          </cell>
          <cell r="U409">
            <v>0</v>
          </cell>
          <cell r="W409">
            <v>0</v>
          </cell>
          <cell r="Y409">
            <v>0</v>
          </cell>
          <cell r="AA409">
            <v>0</v>
          </cell>
          <cell r="AC409">
            <v>0</v>
          </cell>
          <cell r="AE409">
            <v>0</v>
          </cell>
          <cell r="AG409">
            <v>0</v>
          </cell>
        </row>
        <row r="410">
          <cell r="D410">
            <v>0</v>
          </cell>
          <cell r="E410">
            <v>0</v>
          </cell>
          <cell r="F410">
            <v>0</v>
          </cell>
          <cell r="G410">
            <v>0</v>
          </cell>
          <cell r="H410">
            <v>0</v>
          </cell>
          <cell r="I410">
            <v>0</v>
          </cell>
          <cell r="K410">
            <v>0</v>
          </cell>
          <cell r="M410">
            <v>0</v>
          </cell>
          <cell r="O410">
            <v>0</v>
          </cell>
          <cell r="Q410">
            <v>0</v>
          </cell>
          <cell r="S410">
            <v>0</v>
          </cell>
          <cell r="U410">
            <v>0</v>
          </cell>
          <cell r="W410">
            <v>0</v>
          </cell>
          <cell r="Y410">
            <v>0</v>
          </cell>
          <cell r="AA410">
            <v>0</v>
          </cell>
          <cell r="AC410">
            <v>0</v>
          </cell>
          <cell r="AE410">
            <v>0</v>
          </cell>
          <cell r="AG410">
            <v>0</v>
          </cell>
        </row>
        <row r="411">
          <cell r="D411">
            <v>0</v>
          </cell>
          <cell r="E411">
            <v>0</v>
          </cell>
          <cell r="F411">
            <v>0</v>
          </cell>
          <cell r="G411">
            <v>0</v>
          </cell>
          <cell r="H411">
            <v>0</v>
          </cell>
          <cell r="I411">
            <v>0</v>
          </cell>
          <cell r="K411">
            <v>0</v>
          </cell>
          <cell r="M411">
            <v>0</v>
          </cell>
          <cell r="O411">
            <v>0</v>
          </cell>
          <cell r="Q411">
            <v>0</v>
          </cell>
          <cell r="S411">
            <v>0</v>
          </cell>
          <cell r="U411">
            <v>0</v>
          </cell>
          <cell r="W411">
            <v>0</v>
          </cell>
          <cell r="Y411">
            <v>0</v>
          </cell>
          <cell r="AA411">
            <v>0</v>
          </cell>
          <cell r="AC411">
            <v>0</v>
          </cell>
          <cell r="AE411">
            <v>0</v>
          </cell>
          <cell r="AG411">
            <v>0</v>
          </cell>
        </row>
        <row r="412">
          <cell r="D412">
            <v>0</v>
          </cell>
          <cell r="E412">
            <v>0</v>
          </cell>
          <cell r="F412">
            <v>0</v>
          </cell>
          <cell r="G412">
            <v>0</v>
          </cell>
          <cell r="H412">
            <v>0</v>
          </cell>
          <cell r="I412">
            <v>0</v>
          </cell>
          <cell r="K412">
            <v>0</v>
          </cell>
          <cell r="M412">
            <v>0</v>
          </cell>
          <cell r="O412">
            <v>0</v>
          </cell>
          <cell r="Q412">
            <v>0</v>
          </cell>
          <cell r="S412">
            <v>0</v>
          </cell>
          <cell r="U412">
            <v>0</v>
          </cell>
          <cell r="W412">
            <v>0</v>
          </cell>
          <cell r="Y412">
            <v>0</v>
          </cell>
          <cell r="AA412">
            <v>0</v>
          </cell>
          <cell r="AC412">
            <v>0</v>
          </cell>
          <cell r="AE412">
            <v>0</v>
          </cell>
          <cell r="AG412">
            <v>0</v>
          </cell>
        </row>
        <row r="413">
          <cell r="D413">
            <v>0</v>
          </cell>
          <cell r="E413">
            <v>0</v>
          </cell>
          <cell r="F413">
            <v>0</v>
          </cell>
          <cell r="G413">
            <v>0</v>
          </cell>
          <cell r="H413">
            <v>0</v>
          </cell>
          <cell r="I413">
            <v>0</v>
          </cell>
          <cell r="K413">
            <v>0</v>
          </cell>
          <cell r="M413">
            <v>0</v>
          </cell>
          <cell r="O413">
            <v>0</v>
          </cell>
          <cell r="Q413">
            <v>0</v>
          </cell>
          <cell r="S413">
            <v>0</v>
          </cell>
          <cell r="U413">
            <v>0</v>
          </cell>
          <cell r="W413">
            <v>0</v>
          </cell>
          <cell r="Y413">
            <v>0</v>
          </cell>
          <cell r="AA413">
            <v>0</v>
          </cell>
          <cell r="AC413">
            <v>0</v>
          </cell>
          <cell r="AE413">
            <v>0</v>
          </cell>
          <cell r="AG413">
            <v>0</v>
          </cell>
        </row>
        <row r="414">
          <cell r="D414">
            <v>0</v>
          </cell>
          <cell r="E414">
            <v>0</v>
          </cell>
          <cell r="F414">
            <v>0</v>
          </cell>
          <cell r="G414">
            <v>0</v>
          </cell>
          <cell r="H414">
            <v>0</v>
          </cell>
          <cell r="I414">
            <v>0</v>
          </cell>
          <cell r="K414">
            <v>0</v>
          </cell>
          <cell r="M414">
            <v>0</v>
          </cell>
          <cell r="O414">
            <v>0</v>
          </cell>
          <cell r="Q414">
            <v>0</v>
          </cell>
          <cell r="S414">
            <v>0</v>
          </cell>
          <cell r="U414">
            <v>0</v>
          </cell>
          <cell r="W414">
            <v>0</v>
          </cell>
          <cell r="Y414">
            <v>0</v>
          </cell>
          <cell r="AA414">
            <v>0</v>
          </cell>
          <cell r="AC414">
            <v>0</v>
          </cell>
          <cell r="AE414">
            <v>0</v>
          </cell>
          <cell r="AG414">
            <v>0</v>
          </cell>
        </row>
        <row r="415">
          <cell r="D415">
            <v>0</v>
          </cell>
          <cell r="E415">
            <v>0</v>
          </cell>
          <cell r="F415">
            <v>0</v>
          </cell>
          <cell r="G415">
            <v>0</v>
          </cell>
          <cell r="H415">
            <v>0</v>
          </cell>
          <cell r="I415">
            <v>0</v>
          </cell>
          <cell r="K415">
            <v>0</v>
          </cell>
          <cell r="M415">
            <v>0</v>
          </cell>
          <cell r="O415">
            <v>0</v>
          </cell>
          <cell r="Q415">
            <v>0</v>
          </cell>
          <cell r="S415">
            <v>0</v>
          </cell>
          <cell r="U415">
            <v>0</v>
          </cell>
          <cell r="W415">
            <v>0</v>
          </cell>
          <cell r="Y415">
            <v>0</v>
          </cell>
          <cell r="AA415">
            <v>0</v>
          </cell>
          <cell r="AC415">
            <v>0</v>
          </cell>
          <cell r="AE415">
            <v>0</v>
          </cell>
          <cell r="AG415">
            <v>0</v>
          </cell>
        </row>
        <row r="416">
          <cell r="D416">
            <v>0</v>
          </cell>
          <cell r="E416">
            <v>0</v>
          </cell>
          <cell r="F416">
            <v>0</v>
          </cell>
          <cell r="G416">
            <v>0</v>
          </cell>
          <cell r="H416">
            <v>0</v>
          </cell>
          <cell r="I416">
            <v>0</v>
          </cell>
          <cell r="K416">
            <v>0</v>
          </cell>
          <cell r="M416">
            <v>0</v>
          </cell>
          <cell r="O416">
            <v>0</v>
          </cell>
          <cell r="Q416">
            <v>0</v>
          </cell>
          <cell r="S416">
            <v>0</v>
          </cell>
          <cell r="U416">
            <v>0</v>
          </cell>
          <cell r="W416">
            <v>0</v>
          </cell>
          <cell r="Y416">
            <v>0</v>
          </cell>
          <cell r="AA416">
            <v>0</v>
          </cell>
          <cell r="AC416">
            <v>0</v>
          </cell>
          <cell r="AE416">
            <v>0</v>
          </cell>
          <cell r="AG416">
            <v>0</v>
          </cell>
        </row>
        <row r="417">
          <cell r="D417">
            <v>0</v>
          </cell>
          <cell r="E417">
            <v>0</v>
          </cell>
          <cell r="F417">
            <v>0</v>
          </cell>
          <cell r="G417">
            <v>0</v>
          </cell>
          <cell r="H417">
            <v>0</v>
          </cell>
          <cell r="I417">
            <v>0</v>
          </cell>
          <cell r="K417">
            <v>0</v>
          </cell>
          <cell r="M417">
            <v>0</v>
          </cell>
          <cell r="O417">
            <v>0</v>
          </cell>
          <cell r="Q417">
            <v>0</v>
          </cell>
          <cell r="S417">
            <v>0</v>
          </cell>
          <cell r="U417">
            <v>0</v>
          </cell>
          <cell r="W417">
            <v>0</v>
          </cell>
          <cell r="Y417">
            <v>0</v>
          </cell>
          <cell r="AA417">
            <v>0</v>
          </cell>
          <cell r="AC417">
            <v>0</v>
          </cell>
          <cell r="AE417">
            <v>0</v>
          </cell>
          <cell r="AG417">
            <v>0</v>
          </cell>
        </row>
        <row r="418">
          <cell r="D418">
            <v>0</v>
          </cell>
          <cell r="E418">
            <v>0</v>
          </cell>
          <cell r="F418">
            <v>0</v>
          </cell>
          <cell r="G418">
            <v>0</v>
          </cell>
          <cell r="H418">
            <v>0</v>
          </cell>
          <cell r="I418">
            <v>0</v>
          </cell>
          <cell r="K418">
            <v>0</v>
          </cell>
          <cell r="M418">
            <v>0</v>
          </cell>
          <cell r="O418">
            <v>0</v>
          </cell>
          <cell r="Q418">
            <v>0</v>
          </cell>
          <cell r="S418">
            <v>0</v>
          </cell>
          <cell r="U418">
            <v>0</v>
          </cell>
          <cell r="W418">
            <v>0</v>
          </cell>
          <cell r="Y418">
            <v>0</v>
          </cell>
          <cell r="AA418">
            <v>0</v>
          </cell>
          <cell r="AC418">
            <v>0</v>
          </cell>
          <cell r="AE418">
            <v>0</v>
          </cell>
          <cell r="AG418">
            <v>0</v>
          </cell>
        </row>
        <row r="419">
          <cell r="D419">
            <v>0</v>
          </cell>
          <cell r="E419">
            <v>0</v>
          </cell>
          <cell r="F419">
            <v>0</v>
          </cell>
          <cell r="G419">
            <v>0</v>
          </cell>
          <cell r="H419">
            <v>0</v>
          </cell>
          <cell r="I419">
            <v>0</v>
          </cell>
          <cell r="K419">
            <v>0</v>
          </cell>
          <cell r="M419">
            <v>0</v>
          </cell>
          <cell r="O419">
            <v>0</v>
          </cell>
          <cell r="Q419">
            <v>0</v>
          </cell>
          <cell r="S419">
            <v>0</v>
          </cell>
          <cell r="U419">
            <v>0</v>
          </cell>
          <cell r="W419">
            <v>0</v>
          </cell>
          <cell r="Y419">
            <v>0</v>
          </cell>
          <cell r="AA419">
            <v>0</v>
          </cell>
          <cell r="AC419">
            <v>0</v>
          </cell>
          <cell r="AE419">
            <v>0</v>
          </cell>
          <cell r="AG419">
            <v>0</v>
          </cell>
        </row>
        <row r="420">
          <cell r="D420">
            <v>0</v>
          </cell>
          <cell r="E420">
            <v>0</v>
          </cell>
          <cell r="F420">
            <v>0</v>
          </cell>
          <cell r="G420">
            <v>0</v>
          </cell>
          <cell r="H420">
            <v>0</v>
          </cell>
          <cell r="I420">
            <v>0</v>
          </cell>
          <cell r="K420">
            <v>0</v>
          </cell>
          <cell r="M420">
            <v>0</v>
          </cell>
          <cell r="O420">
            <v>0</v>
          </cell>
          <cell r="Q420">
            <v>0</v>
          </cell>
          <cell r="S420">
            <v>0</v>
          </cell>
          <cell r="U420">
            <v>0</v>
          </cell>
          <cell r="W420">
            <v>0</v>
          </cell>
          <cell r="Y420">
            <v>0</v>
          </cell>
          <cell r="AA420">
            <v>0</v>
          </cell>
          <cell r="AC420">
            <v>0</v>
          </cell>
          <cell r="AE420">
            <v>0</v>
          </cell>
          <cell r="AG420">
            <v>0</v>
          </cell>
        </row>
        <row r="421">
          <cell r="D421">
            <v>0</v>
          </cell>
          <cell r="E421">
            <v>0</v>
          </cell>
          <cell r="F421">
            <v>0</v>
          </cell>
          <cell r="G421">
            <v>0</v>
          </cell>
          <cell r="H421">
            <v>0</v>
          </cell>
          <cell r="I421">
            <v>0</v>
          </cell>
          <cell r="K421">
            <v>0</v>
          </cell>
          <cell r="M421">
            <v>0</v>
          </cell>
          <cell r="O421">
            <v>0</v>
          </cell>
          <cell r="Q421">
            <v>0</v>
          </cell>
          <cell r="S421">
            <v>0</v>
          </cell>
          <cell r="U421">
            <v>0</v>
          </cell>
          <cell r="W421">
            <v>0</v>
          </cell>
          <cell r="Y421">
            <v>0</v>
          </cell>
          <cell r="AA421">
            <v>0</v>
          </cell>
          <cell r="AC421">
            <v>0</v>
          </cell>
          <cell r="AE421">
            <v>0</v>
          </cell>
          <cell r="AG421">
            <v>0</v>
          </cell>
        </row>
        <row r="422">
          <cell r="D422">
            <v>0</v>
          </cell>
          <cell r="E422">
            <v>0</v>
          </cell>
          <cell r="F422">
            <v>0</v>
          </cell>
          <cell r="G422">
            <v>0</v>
          </cell>
          <cell r="H422">
            <v>0</v>
          </cell>
          <cell r="I422">
            <v>0</v>
          </cell>
          <cell r="K422">
            <v>0</v>
          </cell>
          <cell r="M422">
            <v>0</v>
          </cell>
          <cell r="O422">
            <v>0</v>
          </cell>
          <cell r="Q422">
            <v>0</v>
          </cell>
          <cell r="S422">
            <v>0</v>
          </cell>
          <cell r="U422">
            <v>0</v>
          </cell>
          <cell r="W422">
            <v>0</v>
          </cell>
          <cell r="Y422">
            <v>0</v>
          </cell>
          <cell r="AA422">
            <v>0</v>
          </cell>
          <cell r="AC422">
            <v>0</v>
          </cell>
          <cell r="AE422">
            <v>0</v>
          </cell>
          <cell r="AG422">
            <v>0</v>
          </cell>
        </row>
        <row r="423">
          <cell r="D423">
            <v>0</v>
          </cell>
          <cell r="E423">
            <v>0</v>
          </cell>
          <cell r="F423">
            <v>0</v>
          </cell>
          <cell r="G423">
            <v>0</v>
          </cell>
          <cell r="H423">
            <v>0</v>
          </cell>
          <cell r="I423">
            <v>0</v>
          </cell>
          <cell r="K423">
            <v>0</v>
          </cell>
          <cell r="M423">
            <v>0</v>
          </cell>
          <cell r="O423">
            <v>0</v>
          </cell>
          <cell r="Q423">
            <v>0</v>
          </cell>
          <cell r="S423">
            <v>0</v>
          </cell>
          <cell r="U423">
            <v>0</v>
          </cell>
          <cell r="W423">
            <v>0</v>
          </cell>
          <cell r="Y423">
            <v>0</v>
          </cell>
          <cell r="AA423">
            <v>0</v>
          </cell>
          <cell r="AC423">
            <v>0</v>
          </cell>
          <cell r="AE423">
            <v>0</v>
          </cell>
          <cell r="AG423">
            <v>0</v>
          </cell>
        </row>
        <row r="424">
          <cell r="D424">
            <v>0</v>
          </cell>
          <cell r="E424">
            <v>0</v>
          </cell>
          <cell r="F424">
            <v>0</v>
          </cell>
          <cell r="G424">
            <v>0</v>
          </cell>
          <cell r="H424">
            <v>0</v>
          </cell>
          <cell r="I424">
            <v>0</v>
          </cell>
          <cell r="K424">
            <v>0</v>
          </cell>
          <cell r="M424">
            <v>0</v>
          </cell>
          <cell r="O424">
            <v>0</v>
          </cell>
          <cell r="Q424">
            <v>0</v>
          </cell>
          <cell r="S424">
            <v>0</v>
          </cell>
          <cell r="U424">
            <v>0</v>
          </cell>
          <cell r="W424">
            <v>0</v>
          </cell>
          <cell r="Y424">
            <v>0</v>
          </cell>
          <cell r="AA424">
            <v>0</v>
          </cell>
          <cell r="AC424">
            <v>0</v>
          </cell>
          <cell r="AE424">
            <v>0</v>
          </cell>
          <cell r="AG424">
            <v>0</v>
          </cell>
        </row>
        <row r="425">
          <cell r="D425">
            <v>0</v>
          </cell>
          <cell r="E425">
            <v>0</v>
          </cell>
          <cell r="F425">
            <v>0</v>
          </cell>
          <cell r="G425">
            <v>0</v>
          </cell>
          <cell r="H425">
            <v>0</v>
          </cell>
          <cell r="I425">
            <v>0</v>
          </cell>
          <cell r="K425">
            <v>0</v>
          </cell>
          <cell r="M425">
            <v>0</v>
          </cell>
          <cell r="O425">
            <v>0</v>
          </cell>
          <cell r="Q425">
            <v>0</v>
          </cell>
          <cell r="S425">
            <v>0</v>
          </cell>
          <cell r="U425">
            <v>0</v>
          </cell>
          <cell r="W425">
            <v>0</v>
          </cell>
          <cell r="Y425">
            <v>0</v>
          </cell>
          <cell r="AA425">
            <v>0</v>
          </cell>
          <cell r="AC425">
            <v>0</v>
          </cell>
          <cell r="AE425">
            <v>0</v>
          </cell>
          <cell r="AG425">
            <v>0</v>
          </cell>
        </row>
        <row r="426">
          <cell r="D426">
            <v>0</v>
          </cell>
          <cell r="E426">
            <v>0</v>
          </cell>
          <cell r="F426">
            <v>0</v>
          </cell>
          <cell r="G426">
            <v>0</v>
          </cell>
          <cell r="H426">
            <v>0</v>
          </cell>
          <cell r="I426">
            <v>0</v>
          </cell>
          <cell r="K426">
            <v>0</v>
          </cell>
          <cell r="M426">
            <v>0</v>
          </cell>
          <cell r="O426">
            <v>0</v>
          </cell>
          <cell r="Q426">
            <v>0</v>
          </cell>
          <cell r="S426">
            <v>0</v>
          </cell>
          <cell r="U426">
            <v>0</v>
          </cell>
          <cell r="W426">
            <v>0</v>
          </cell>
          <cell r="Y426">
            <v>0</v>
          </cell>
          <cell r="AA426">
            <v>0</v>
          </cell>
          <cell r="AC426">
            <v>0</v>
          </cell>
          <cell r="AE426">
            <v>0</v>
          </cell>
          <cell r="AG426">
            <v>0</v>
          </cell>
        </row>
        <row r="427">
          <cell r="D427">
            <v>0</v>
          </cell>
          <cell r="E427">
            <v>0</v>
          </cell>
          <cell r="F427">
            <v>0</v>
          </cell>
          <cell r="G427">
            <v>0</v>
          </cell>
          <cell r="H427">
            <v>0</v>
          </cell>
          <cell r="I427">
            <v>0</v>
          </cell>
          <cell r="K427">
            <v>0</v>
          </cell>
          <cell r="M427">
            <v>0</v>
          </cell>
          <cell r="O427">
            <v>0</v>
          </cell>
          <cell r="Q427">
            <v>0</v>
          </cell>
          <cell r="S427">
            <v>0</v>
          </cell>
          <cell r="U427">
            <v>0</v>
          </cell>
          <cell r="W427">
            <v>0</v>
          </cell>
          <cell r="Y427">
            <v>0</v>
          </cell>
          <cell r="AA427">
            <v>0</v>
          </cell>
          <cell r="AC427">
            <v>0</v>
          </cell>
          <cell r="AE427">
            <v>0</v>
          </cell>
          <cell r="AG427">
            <v>0</v>
          </cell>
        </row>
        <row r="428">
          <cell r="D428">
            <v>0</v>
          </cell>
          <cell r="E428">
            <v>0</v>
          </cell>
          <cell r="F428">
            <v>0</v>
          </cell>
          <cell r="G428">
            <v>0</v>
          </cell>
          <cell r="H428">
            <v>0</v>
          </cell>
          <cell r="I428">
            <v>0</v>
          </cell>
          <cell r="K428">
            <v>0</v>
          </cell>
          <cell r="M428">
            <v>0</v>
          </cell>
          <cell r="O428">
            <v>0</v>
          </cell>
          <cell r="Q428">
            <v>0</v>
          </cell>
          <cell r="S428">
            <v>0</v>
          </cell>
          <cell r="U428">
            <v>0</v>
          </cell>
          <cell r="W428">
            <v>0</v>
          </cell>
          <cell r="Y428">
            <v>0</v>
          </cell>
          <cell r="AA428">
            <v>0</v>
          </cell>
          <cell r="AC428">
            <v>0</v>
          </cell>
          <cell r="AE428">
            <v>0</v>
          </cell>
          <cell r="AG428">
            <v>0</v>
          </cell>
        </row>
        <row r="429">
          <cell r="D429">
            <v>0</v>
          </cell>
          <cell r="E429">
            <v>0</v>
          </cell>
          <cell r="F429">
            <v>0</v>
          </cell>
          <cell r="G429">
            <v>0</v>
          </cell>
          <cell r="H429">
            <v>0</v>
          </cell>
          <cell r="I429">
            <v>0</v>
          </cell>
          <cell r="K429">
            <v>0</v>
          </cell>
          <cell r="M429">
            <v>0</v>
          </cell>
          <cell r="O429">
            <v>0</v>
          </cell>
          <cell r="Q429">
            <v>0</v>
          </cell>
          <cell r="S429">
            <v>0</v>
          </cell>
          <cell r="U429">
            <v>0</v>
          </cell>
          <cell r="W429">
            <v>0</v>
          </cell>
          <cell r="Y429">
            <v>0</v>
          </cell>
          <cell r="AA429">
            <v>0</v>
          </cell>
          <cell r="AC429">
            <v>0</v>
          </cell>
          <cell r="AE429">
            <v>0</v>
          </cell>
          <cell r="AG429">
            <v>0</v>
          </cell>
        </row>
        <row r="430">
          <cell r="D430">
            <v>0</v>
          </cell>
          <cell r="E430">
            <v>0</v>
          </cell>
          <cell r="F430">
            <v>0</v>
          </cell>
          <cell r="G430">
            <v>0</v>
          </cell>
          <cell r="H430">
            <v>0</v>
          </cell>
          <cell r="I430">
            <v>0</v>
          </cell>
          <cell r="K430">
            <v>0</v>
          </cell>
          <cell r="M430">
            <v>0</v>
          </cell>
          <cell r="O430">
            <v>0</v>
          </cell>
          <cell r="Q430">
            <v>0</v>
          </cell>
          <cell r="S430">
            <v>0</v>
          </cell>
          <cell r="U430">
            <v>0</v>
          </cell>
          <cell r="W430">
            <v>0</v>
          </cell>
          <cell r="Y430">
            <v>0</v>
          </cell>
          <cell r="AA430">
            <v>0</v>
          </cell>
          <cell r="AC430">
            <v>0</v>
          </cell>
          <cell r="AE430">
            <v>0</v>
          </cell>
          <cell r="AG430">
            <v>0</v>
          </cell>
        </row>
        <row r="431">
          <cell r="D431">
            <v>0</v>
          </cell>
          <cell r="E431">
            <v>0</v>
          </cell>
          <cell r="F431">
            <v>0</v>
          </cell>
          <cell r="G431">
            <v>0</v>
          </cell>
          <cell r="H431">
            <v>0</v>
          </cell>
          <cell r="I431">
            <v>0</v>
          </cell>
          <cell r="K431">
            <v>0</v>
          </cell>
          <cell r="M431">
            <v>0</v>
          </cell>
          <cell r="O431">
            <v>0</v>
          </cell>
          <cell r="Q431">
            <v>0</v>
          </cell>
          <cell r="S431">
            <v>0</v>
          </cell>
          <cell r="U431">
            <v>0</v>
          </cell>
          <cell r="W431">
            <v>0</v>
          </cell>
          <cell r="Y431">
            <v>0</v>
          </cell>
          <cell r="AA431">
            <v>0</v>
          </cell>
          <cell r="AC431">
            <v>0</v>
          </cell>
          <cell r="AE431">
            <v>0</v>
          </cell>
          <cell r="AG431">
            <v>0</v>
          </cell>
        </row>
        <row r="432">
          <cell r="D432">
            <v>0</v>
          </cell>
          <cell r="E432">
            <v>0</v>
          </cell>
          <cell r="F432">
            <v>0</v>
          </cell>
          <cell r="G432">
            <v>0</v>
          </cell>
          <cell r="H432">
            <v>0</v>
          </cell>
          <cell r="I432">
            <v>0</v>
          </cell>
          <cell r="K432">
            <v>0</v>
          </cell>
          <cell r="M432">
            <v>0</v>
          </cell>
          <cell r="O432">
            <v>0</v>
          </cell>
          <cell r="Q432">
            <v>0</v>
          </cell>
          <cell r="S432">
            <v>0</v>
          </cell>
          <cell r="U432">
            <v>0</v>
          </cell>
          <cell r="W432">
            <v>0</v>
          </cell>
          <cell r="Y432">
            <v>0</v>
          </cell>
          <cell r="AA432">
            <v>0</v>
          </cell>
          <cell r="AC432">
            <v>0</v>
          </cell>
          <cell r="AE432">
            <v>0</v>
          </cell>
          <cell r="AG432">
            <v>0</v>
          </cell>
        </row>
        <row r="433">
          <cell r="D433">
            <v>0</v>
          </cell>
          <cell r="E433">
            <v>0</v>
          </cell>
          <cell r="F433">
            <v>0</v>
          </cell>
          <cell r="G433">
            <v>0</v>
          </cell>
          <cell r="H433">
            <v>0</v>
          </cell>
          <cell r="I433">
            <v>0</v>
          </cell>
          <cell r="K433">
            <v>0</v>
          </cell>
          <cell r="M433">
            <v>0</v>
          </cell>
          <cell r="O433">
            <v>0</v>
          </cell>
          <cell r="Q433">
            <v>0</v>
          </cell>
          <cell r="S433">
            <v>0</v>
          </cell>
          <cell r="U433">
            <v>0</v>
          </cell>
          <cell r="W433">
            <v>0</v>
          </cell>
          <cell r="Y433">
            <v>0</v>
          </cell>
          <cell r="AA433">
            <v>0</v>
          </cell>
          <cell r="AC433">
            <v>0</v>
          </cell>
          <cell r="AE433">
            <v>0</v>
          </cell>
          <cell r="AG433">
            <v>0</v>
          </cell>
        </row>
        <row r="434">
          <cell r="D434">
            <v>0</v>
          </cell>
          <cell r="E434">
            <v>0</v>
          </cell>
          <cell r="F434">
            <v>0</v>
          </cell>
          <cell r="G434">
            <v>0</v>
          </cell>
          <cell r="H434">
            <v>0</v>
          </cell>
          <cell r="I434">
            <v>0</v>
          </cell>
          <cell r="K434">
            <v>0</v>
          </cell>
          <cell r="M434">
            <v>0</v>
          </cell>
          <cell r="O434">
            <v>0</v>
          </cell>
          <cell r="Q434">
            <v>0</v>
          </cell>
          <cell r="S434">
            <v>0</v>
          </cell>
          <cell r="U434">
            <v>0</v>
          </cell>
          <cell r="W434">
            <v>0</v>
          </cell>
          <cell r="Y434">
            <v>0</v>
          </cell>
          <cell r="AA434">
            <v>0</v>
          </cell>
          <cell r="AC434">
            <v>0</v>
          </cell>
          <cell r="AE434">
            <v>0</v>
          </cell>
          <cell r="AG434">
            <v>0</v>
          </cell>
        </row>
        <row r="435">
          <cell r="D435">
            <v>0</v>
          </cell>
          <cell r="E435">
            <v>0</v>
          </cell>
          <cell r="F435">
            <v>0</v>
          </cell>
          <cell r="G435">
            <v>0</v>
          </cell>
          <cell r="H435">
            <v>0</v>
          </cell>
          <cell r="I435">
            <v>0</v>
          </cell>
          <cell r="K435">
            <v>0</v>
          </cell>
          <cell r="M435">
            <v>0</v>
          </cell>
          <cell r="O435">
            <v>0</v>
          </cell>
          <cell r="Q435">
            <v>0</v>
          </cell>
          <cell r="S435">
            <v>0</v>
          </cell>
          <cell r="U435">
            <v>0</v>
          </cell>
          <cell r="W435">
            <v>0</v>
          </cell>
          <cell r="Y435">
            <v>0</v>
          </cell>
          <cell r="AA435">
            <v>0</v>
          </cell>
          <cell r="AC435">
            <v>0</v>
          </cell>
          <cell r="AE435">
            <v>0</v>
          </cell>
          <cell r="AG435">
            <v>0</v>
          </cell>
        </row>
        <row r="436">
          <cell r="D436">
            <v>0</v>
          </cell>
          <cell r="E436">
            <v>0</v>
          </cell>
          <cell r="F436">
            <v>0</v>
          </cell>
          <cell r="G436">
            <v>0</v>
          </cell>
          <cell r="H436">
            <v>0</v>
          </cell>
          <cell r="I436">
            <v>0</v>
          </cell>
          <cell r="K436">
            <v>0</v>
          </cell>
          <cell r="M436">
            <v>0</v>
          </cell>
          <cell r="O436">
            <v>0</v>
          </cell>
          <cell r="Q436">
            <v>0</v>
          </cell>
          <cell r="S436">
            <v>0</v>
          </cell>
          <cell r="U436">
            <v>0</v>
          </cell>
          <cell r="W436">
            <v>0</v>
          </cell>
          <cell r="Y436">
            <v>0</v>
          </cell>
          <cell r="AA436">
            <v>0</v>
          </cell>
          <cell r="AC436">
            <v>0</v>
          </cell>
          <cell r="AE436">
            <v>0</v>
          </cell>
          <cell r="AG436">
            <v>0</v>
          </cell>
        </row>
        <row r="437">
          <cell r="D437">
            <v>0</v>
          </cell>
          <cell r="E437">
            <v>0</v>
          </cell>
          <cell r="F437">
            <v>0</v>
          </cell>
          <cell r="G437">
            <v>0</v>
          </cell>
          <cell r="H437">
            <v>0</v>
          </cell>
          <cell r="I437">
            <v>0</v>
          </cell>
          <cell r="K437">
            <v>0</v>
          </cell>
          <cell r="M437">
            <v>0</v>
          </cell>
          <cell r="O437">
            <v>0</v>
          </cell>
          <cell r="Q437">
            <v>0</v>
          </cell>
          <cell r="S437">
            <v>0</v>
          </cell>
          <cell r="U437">
            <v>0</v>
          </cell>
          <cell r="W437">
            <v>0</v>
          </cell>
          <cell r="Y437">
            <v>0</v>
          </cell>
          <cell r="AA437">
            <v>0</v>
          </cell>
          <cell r="AC437">
            <v>0</v>
          </cell>
          <cell r="AE437">
            <v>0</v>
          </cell>
          <cell r="AG437">
            <v>0</v>
          </cell>
        </row>
        <row r="438">
          <cell r="D438">
            <v>0</v>
          </cell>
          <cell r="E438">
            <v>0</v>
          </cell>
          <cell r="F438">
            <v>0</v>
          </cell>
          <cell r="G438">
            <v>0</v>
          </cell>
          <cell r="H438">
            <v>0</v>
          </cell>
          <cell r="I438">
            <v>0</v>
          </cell>
          <cell r="K438">
            <v>0</v>
          </cell>
          <cell r="M438">
            <v>0</v>
          </cell>
          <cell r="O438">
            <v>0</v>
          </cell>
          <cell r="Q438">
            <v>0</v>
          </cell>
          <cell r="S438">
            <v>0</v>
          </cell>
          <cell r="U438">
            <v>0</v>
          </cell>
          <cell r="W438">
            <v>0</v>
          </cell>
          <cell r="Y438">
            <v>0</v>
          </cell>
          <cell r="AA438">
            <v>0</v>
          </cell>
          <cell r="AC438">
            <v>0</v>
          </cell>
          <cell r="AE438">
            <v>0</v>
          </cell>
          <cell r="AG438">
            <v>0</v>
          </cell>
        </row>
        <row r="439">
          <cell r="D439">
            <v>0</v>
          </cell>
          <cell r="E439">
            <v>0</v>
          </cell>
          <cell r="F439">
            <v>0</v>
          </cell>
          <cell r="G439">
            <v>0</v>
          </cell>
          <cell r="H439">
            <v>0</v>
          </cell>
          <cell r="I439">
            <v>0</v>
          </cell>
          <cell r="K439">
            <v>0</v>
          </cell>
          <cell r="M439">
            <v>0</v>
          </cell>
          <cell r="O439">
            <v>0</v>
          </cell>
          <cell r="Q439">
            <v>0</v>
          </cell>
          <cell r="S439">
            <v>0</v>
          </cell>
          <cell r="U439">
            <v>0</v>
          </cell>
          <cell r="W439">
            <v>0</v>
          </cell>
          <cell r="Y439">
            <v>0</v>
          </cell>
          <cell r="AA439">
            <v>0</v>
          </cell>
          <cell r="AC439">
            <v>0</v>
          </cell>
          <cell r="AE439">
            <v>0</v>
          </cell>
          <cell r="AG439">
            <v>0</v>
          </cell>
        </row>
        <row r="440">
          <cell r="D440">
            <v>0</v>
          </cell>
          <cell r="E440">
            <v>0</v>
          </cell>
          <cell r="F440">
            <v>0</v>
          </cell>
          <cell r="G440">
            <v>0</v>
          </cell>
          <cell r="H440">
            <v>0</v>
          </cell>
          <cell r="I440">
            <v>0</v>
          </cell>
          <cell r="K440">
            <v>0</v>
          </cell>
          <cell r="M440">
            <v>0</v>
          </cell>
          <cell r="O440">
            <v>0</v>
          </cell>
          <cell r="Q440">
            <v>0</v>
          </cell>
          <cell r="S440">
            <v>0</v>
          </cell>
          <cell r="U440">
            <v>0</v>
          </cell>
          <cell r="W440">
            <v>0</v>
          </cell>
          <cell r="Y440">
            <v>0</v>
          </cell>
          <cell r="AA440">
            <v>0</v>
          </cell>
          <cell r="AC440">
            <v>0</v>
          </cell>
          <cell r="AE440">
            <v>0</v>
          </cell>
          <cell r="AG440">
            <v>0</v>
          </cell>
        </row>
        <row r="441">
          <cell r="D441">
            <v>0</v>
          </cell>
          <cell r="E441">
            <v>0</v>
          </cell>
          <cell r="F441">
            <v>0</v>
          </cell>
          <cell r="G441">
            <v>0</v>
          </cell>
          <cell r="H441">
            <v>0</v>
          </cell>
          <cell r="I441">
            <v>0</v>
          </cell>
          <cell r="K441">
            <v>0</v>
          </cell>
          <cell r="M441">
            <v>0</v>
          </cell>
          <cell r="O441">
            <v>0</v>
          </cell>
          <cell r="Q441">
            <v>0</v>
          </cell>
          <cell r="S441">
            <v>0</v>
          </cell>
          <cell r="U441">
            <v>0</v>
          </cell>
          <cell r="W441">
            <v>0</v>
          </cell>
          <cell r="Y441">
            <v>0</v>
          </cell>
          <cell r="AA441">
            <v>0</v>
          </cell>
          <cell r="AC441">
            <v>0</v>
          </cell>
          <cell r="AE441">
            <v>0</v>
          </cell>
          <cell r="AG441">
            <v>0</v>
          </cell>
        </row>
        <row r="442">
          <cell r="D442">
            <v>0</v>
          </cell>
          <cell r="E442">
            <v>0</v>
          </cell>
          <cell r="F442">
            <v>0</v>
          </cell>
          <cell r="G442">
            <v>0</v>
          </cell>
          <cell r="H442">
            <v>0</v>
          </cell>
          <cell r="I442">
            <v>0</v>
          </cell>
          <cell r="K442">
            <v>0</v>
          </cell>
          <cell r="M442">
            <v>0</v>
          </cell>
          <cell r="O442">
            <v>0</v>
          </cell>
          <cell r="Q442">
            <v>0</v>
          </cell>
          <cell r="S442">
            <v>0</v>
          </cell>
          <cell r="U442">
            <v>0</v>
          </cell>
          <cell r="W442">
            <v>0</v>
          </cell>
          <cell r="Y442">
            <v>0</v>
          </cell>
          <cell r="AA442">
            <v>0</v>
          </cell>
          <cell r="AC442">
            <v>0</v>
          </cell>
          <cell r="AE442">
            <v>0</v>
          </cell>
          <cell r="AG442">
            <v>0</v>
          </cell>
        </row>
        <row r="443">
          <cell r="D443">
            <v>0</v>
          </cell>
          <cell r="E443">
            <v>0</v>
          </cell>
          <cell r="F443">
            <v>0</v>
          </cell>
          <cell r="G443">
            <v>0</v>
          </cell>
          <cell r="H443">
            <v>0</v>
          </cell>
          <cell r="I443">
            <v>0</v>
          </cell>
          <cell r="K443">
            <v>0</v>
          </cell>
          <cell r="M443">
            <v>0</v>
          </cell>
          <cell r="O443">
            <v>0</v>
          </cell>
          <cell r="Q443">
            <v>0</v>
          </cell>
          <cell r="S443">
            <v>0</v>
          </cell>
          <cell r="U443">
            <v>0</v>
          </cell>
          <cell r="W443">
            <v>0</v>
          </cell>
          <cell r="Y443">
            <v>0</v>
          </cell>
          <cell r="AA443">
            <v>0</v>
          </cell>
          <cell r="AC443">
            <v>0</v>
          </cell>
          <cell r="AE443">
            <v>0</v>
          </cell>
          <cell r="AG443">
            <v>0</v>
          </cell>
        </row>
        <row r="444">
          <cell r="D444">
            <v>0</v>
          </cell>
          <cell r="E444">
            <v>0</v>
          </cell>
          <cell r="F444">
            <v>0</v>
          </cell>
          <cell r="G444">
            <v>0</v>
          </cell>
          <cell r="H444">
            <v>0</v>
          </cell>
          <cell r="I444">
            <v>0</v>
          </cell>
          <cell r="K444">
            <v>0</v>
          </cell>
          <cell r="M444">
            <v>0</v>
          </cell>
          <cell r="O444">
            <v>0</v>
          </cell>
          <cell r="Q444">
            <v>0</v>
          </cell>
          <cell r="S444">
            <v>0</v>
          </cell>
          <cell r="U444">
            <v>0</v>
          </cell>
          <cell r="W444">
            <v>0</v>
          </cell>
          <cell r="Y444">
            <v>0</v>
          </cell>
          <cell r="AA444">
            <v>0</v>
          </cell>
          <cell r="AC444">
            <v>0</v>
          </cell>
          <cell r="AE444">
            <v>0</v>
          </cell>
          <cell r="AG444">
            <v>0</v>
          </cell>
        </row>
        <row r="445">
          <cell r="D445">
            <v>0</v>
          </cell>
          <cell r="E445">
            <v>0</v>
          </cell>
          <cell r="F445">
            <v>0</v>
          </cell>
          <cell r="G445">
            <v>0</v>
          </cell>
          <cell r="H445">
            <v>0</v>
          </cell>
          <cell r="I445">
            <v>0</v>
          </cell>
          <cell r="K445">
            <v>0</v>
          </cell>
          <cell r="M445">
            <v>0</v>
          </cell>
          <cell r="O445">
            <v>0</v>
          </cell>
          <cell r="Q445">
            <v>0</v>
          </cell>
          <cell r="S445">
            <v>0</v>
          </cell>
          <cell r="U445">
            <v>0</v>
          </cell>
          <cell r="W445">
            <v>0</v>
          </cell>
          <cell r="Y445">
            <v>0</v>
          </cell>
          <cell r="AA445">
            <v>0</v>
          </cell>
          <cell r="AC445">
            <v>0</v>
          </cell>
          <cell r="AE445">
            <v>0</v>
          </cell>
          <cell r="AG445">
            <v>0</v>
          </cell>
        </row>
        <row r="446">
          <cell r="D446">
            <v>0</v>
          </cell>
          <cell r="E446">
            <v>0</v>
          </cell>
          <cell r="F446">
            <v>0</v>
          </cell>
          <cell r="G446">
            <v>0</v>
          </cell>
          <cell r="H446">
            <v>0</v>
          </cell>
          <cell r="I446">
            <v>0</v>
          </cell>
          <cell r="K446">
            <v>0</v>
          </cell>
          <cell r="M446">
            <v>0</v>
          </cell>
          <cell r="O446">
            <v>0</v>
          </cell>
          <cell r="Q446">
            <v>0</v>
          </cell>
          <cell r="S446">
            <v>0</v>
          </cell>
          <cell r="U446">
            <v>0</v>
          </cell>
          <cell r="W446">
            <v>0</v>
          </cell>
          <cell r="Y446">
            <v>0</v>
          </cell>
          <cell r="AA446">
            <v>0</v>
          </cell>
          <cell r="AC446">
            <v>0</v>
          </cell>
          <cell r="AE446">
            <v>0</v>
          </cell>
          <cell r="AG446">
            <v>0</v>
          </cell>
        </row>
        <row r="447">
          <cell r="D447">
            <v>0</v>
          </cell>
          <cell r="E447">
            <v>0</v>
          </cell>
          <cell r="F447">
            <v>0</v>
          </cell>
          <cell r="G447">
            <v>0</v>
          </cell>
          <cell r="H447">
            <v>0</v>
          </cell>
          <cell r="I447">
            <v>0</v>
          </cell>
          <cell r="K447">
            <v>0</v>
          </cell>
          <cell r="M447">
            <v>0</v>
          </cell>
          <cell r="O447">
            <v>0</v>
          </cell>
          <cell r="Q447">
            <v>0</v>
          </cell>
          <cell r="S447">
            <v>0</v>
          </cell>
          <cell r="U447">
            <v>0</v>
          </cell>
          <cell r="W447">
            <v>0</v>
          </cell>
          <cell r="Y447">
            <v>0</v>
          </cell>
          <cell r="AA447">
            <v>0</v>
          </cell>
          <cell r="AC447">
            <v>0</v>
          </cell>
          <cell r="AE447">
            <v>0</v>
          </cell>
          <cell r="AG447">
            <v>0</v>
          </cell>
        </row>
        <row r="448">
          <cell r="D448">
            <v>0</v>
          </cell>
          <cell r="E448">
            <v>0</v>
          </cell>
          <cell r="F448">
            <v>0</v>
          </cell>
          <cell r="G448">
            <v>0</v>
          </cell>
          <cell r="H448">
            <v>0</v>
          </cell>
          <cell r="I448">
            <v>0</v>
          </cell>
          <cell r="K448">
            <v>0</v>
          </cell>
          <cell r="M448">
            <v>0</v>
          </cell>
          <cell r="O448">
            <v>0</v>
          </cell>
          <cell r="Q448">
            <v>0</v>
          </cell>
          <cell r="S448">
            <v>0</v>
          </cell>
          <cell r="U448">
            <v>0</v>
          </cell>
          <cell r="W448">
            <v>0</v>
          </cell>
          <cell r="Y448">
            <v>0</v>
          </cell>
          <cell r="AA448">
            <v>0</v>
          </cell>
          <cell r="AC448">
            <v>0</v>
          </cell>
          <cell r="AE448">
            <v>0</v>
          </cell>
          <cell r="AG448">
            <v>0</v>
          </cell>
        </row>
        <row r="449">
          <cell r="D449">
            <v>0</v>
          </cell>
          <cell r="E449">
            <v>0</v>
          </cell>
          <cell r="F449">
            <v>0</v>
          </cell>
          <cell r="G449">
            <v>0</v>
          </cell>
          <cell r="H449">
            <v>0</v>
          </cell>
          <cell r="I449">
            <v>0</v>
          </cell>
          <cell r="K449">
            <v>0</v>
          </cell>
          <cell r="M449">
            <v>0</v>
          </cell>
          <cell r="O449">
            <v>0</v>
          </cell>
          <cell r="Q449">
            <v>0</v>
          </cell>
          <cell r="S449">
            <v>0</v>
          </cell>
          <cell r="U449">
            <v>0</v>
          </cell>
          <cell r="W449">
            <v>0</v>
          </cell>
          <cell r="Y449">
            <v>0</v>
          </cell>
          <cell r="AA449">
            <v>0</v>
          </cell>
          <cell r="AC449">
            <v>0</v>
          </cell>
          <cell r="AE449">
            <v>0</v>
          </cell>
          <cell r="AG449">
            <v>0</v>
          </cell>
        </row>
        <row r="450">
          <cell r="D450">
            <v>0</v>
          </cell>
          <cell r="E450">
            <v>0</v>
          </cell>
          <cell r="F450">
            <v>0</v>
          </cell>
          <cell r="G450">
            <v>0</v>
          </cell>
          <cell r="H450">
            <v>0</v>
          </cell>
          <cell r="I450">
            <v>0</v>
          </cell>
          <cell r="K450">
            <v>0</v>
          </cell>
          <cell r="M450">
            <v>0</v>
          </cell>
          <cell r="O450">
            <v>0</v>
          </cell>
          <cell r="Q450">
            <v>0</v>
          </cell>
          <cell r="S450">
            <v>0</v>
          </cell>
          <cell r="U450">
            <v>0</v>
          </cell>
          <cell r="W450">
            <v>0</v>
          </cell>
          <cell r="Y450">
            <v>0</v>
          </cell>
          <cell r="AA450">
            <v>0</v>
          </cell>
          <cell r="AC450">
            <v>0</v>
          </cell>
          <cell r="AE450">
            <v>0</v>
          </cell>
          <cell r="AG450">
            <v>0</v>
          </cell>
        </row>
        <row r="451">
          <cell r="D451">
            <v>0</v>
          </cell>
          <cell r="E451">
            <v>0</v>
          </cell>
          <cell r="F451">
            <v>0</v>
          </cell>
          <cell r="G451">
            <v>0</v>
          </cell>
          <cell r="H451">
            <v>0</v>
          </cell>
          <cell r="I451">
            <v>0</v>
          </cell>
          <cell r="K451">
            <v>0</v>
          </cell>
          <cell r="M451">
            <v>0</v>
          </cell>
          <cell r="O451">
            <v>0</v>
          </cell>
          <cell r="Q451">
            <v>0</v>
          </cell>
          <cell r="S451">
            <v>0</v>
          </cell>
          <cell r="U451">
            <v>0</v>
          </cell>
          <cell r="W451">
            <v>0</v>
          </cell>
          <cell r="Y451">
            <v>0</v>
          </cell>
          <cell r="AA451">
            <v>0</v>
          </cell>
          <cell r="AC451">
            <v>0</v>
          </cell>
          <cell r="AE451">
            <v>0</v>
          </cell>
          <cell r="AG451">
            <v>0</v>
          </cell>
        </row>
        <row r="452">
          <cell r="D452">
            <v>0</v>
          </cell>
          <cell r="E452">
            <v>0</v>
          </cell>
          <cell r="F452">
            <v>0</v>
          </cell>
          <cell r="G452">
            <v>0</v>
          </cell>
          <cell r="H452">
            <v>0</v>
          </cell>
          <cell r="I452">
            <v>0</v>
          </cell>
          <cell r="K452">
            <v>0</v>
          </cell>
          <cell r="M452">
            <v>0</v>
          </cell>
          <cell r="O452">
            <v>0</v>
          </cell>
          <cell r="Q452">
            <v>0</v>
          </cell>
          <cell r="S452">
            <v>0</v>
          </cell>
          <cell r="U452">
            <v>0</v>
          </cell>
          <cell r="W452">
            <v>0</v>
          </cell>
          <cell r="Y452">
            <v>0</v>
          </cell>
          <cell r="AA452">
            <v>0</v>
          </cell>
          <cell r="AC452">
            <v>0</v>
          </cell>
          <cell r="AE452">
            <v>0</v>
          </cell>
          <cell r="AG452">
            <v>0</v>
          </cell>
        </row>
        <row r="453">
          <cell r="D453">
            <v>0</v>
          </cell>
          <cell r="E453">
            <v>0</v>
          </cell>
          <cell r="F453">
            <v>0</v>
          </cell>
          <cell r="G453">
            <v>0</v>
          </cell>
          <cell r="H453">
            <v>0</v>
          </cell>
          <cell r="I453">
            <v>0</v>
          </cell>
          <cell r="K453">
            <v>0</v>
          </cell>
          <cell r="M453">
            <v>0</v>
          </cell>
          <cell r="O453">
            <v>0</v>
          </cell>
          <cell r="Q453">
            <v>0</v>
          </cell>
          <cell r="S453">
            <v>0</v>
          </cell>
          <cell r="U453">
            <v>0</v>
          </cell>
          <cell r="W453">
            <v>0</v>
          </cell>
          <cell r="Y453">
            <v>0</v>
          </cell>
          <cell r="AA453">
            <v>0</v>
          </cell>
          <cell r="AC453">
            <v>0</v>
          </cell>
          <cell r="AE453">
            <v>0</v>
          </cell>
          <cell r="AG453">
            <v>0</v>
          </cell>
        </row>
        <row r="454">
          <cell r="D454">
            <v>0</v>
          </cell>
          <cell r="E454">
            <v>0</v>
          </cell>
          <cell r="F454">
            <v>0</v>
          </cell>
          <cell r="G454">
            <v>0</v>
          </cell>
          <cell r="H454">
            <v>0</v>
          </cell>
          <cell r="I454">
            <v>0</v>
          </cell>
          <cell r="K454">
            <v>0</v>
          </cell>
          <cell r="M454">
            <v>0</v>
          </cell>
          <cell r="O454">
            <v>0</v>
          </cell>
          <cell r="Q454">
            <v>0</v>
          </cell>
          <cell r="S454">
            <v>0</v>
          </cell>
          <cell r="U454">
            <v>0</v>
          </cell>
          <cell r="W454">
            <v>0</v>
          </cell>
          <cell r="Y454">
            <v>0</v>
          </cell>
          <cell r="AA454">
            <v>0</v>
          </cell>
          <cell r="AC454">
            <v>0</v>
          </cell>
          <cell r="AE454">
            <v>0</v>
          </cell>
          <cell r="AG454">
            <v>0</v>
          </cell>
        </row>
        <row r="455">
          <cell r="D455">
            <v>0</v>
          </cell>
          <cell r="E455">
            <v>0</v>
          </cell>
          <cell r="F455">
            <v>0</v>
          </cell>
          <cell r="G455">
            <v>0</v>
          </cell>
          <cell r="H455">
            <v>0</v>
          </cell>
          <cell r="I455">
            <v>0</v>
          </cell>
          <cell r="K455">
            <v>0</v>
          </cell>
          <cell r="M455">
            <v>0</v>
          </cell>
          <cell r="O455">
            <v>0</v>
          </cell>
          <cell r="Q455">
            <v>0</v>
          </cell>
          <cell r="S455">
            <v>0</v>
          </cell>
          <cell r="U455">
            <v>0</v>
          </cell>
          <cell r="W455">
            <v>0</v>
          </cell>
          <cell r="Y455">
            <v>0</v>
          </cell>
          <cell r="AA455">
            <v>0</v>
          </cell>
          <cell r="AC455">
            <v>0</v>
          </cell>
          <cell r="AE455">
            <v>0</v>
          </cell>
          <cell r="AG455">
            <v>0</v>
          </cell>
        </row>
        <row r="456">
          <cell r="D456">
            <v>0</v>
          </cell>
          <cell r="E456">
            <v>0</v>
          </cell>
          <cell r="F456">
            <v>0</v>
          </cell>
          <cell r="G456">
            <v>0</v>
          </cell>
          <cell r="H456">
            <v>0</v>
          </cell>
          <cell r="I456">
            <v>0</v>
          </cell>
          <cell r="K456">
            <v>0</v>
          </cell>
          <cell r="M456">
            <v>0</v>
          </cell>
          <cell r="O456">
            <v>0</v>
          </cell>
          <cell r="Q456">
            <v>0</v>
          </cell>
          <cell r="S456">
            <v>0</v>
          </cell>
          <cell r="U456">
            <v>0</v>
          </cell>
          <cell r="W456">
            <v>0</v>
          </cell>
          <cell r="Y456">
            <v>0</v>
          </cell>
          <cell r="AA456">
            <v>0</v>
          </cell>
          <cell r="AC456">
            <v>0</v>
          </cell>
          <cell r="AE456">
            <v>0</v>
          </cell>
          <cell r="AG456">
            <v>0</v>
          </cell>
        </row>
        <row r="457">
          <cell r="D457">
            <v>0</v>
          </cell>
          <cell r="E457">
            <v>0</v>
          </cell>
          <cell r="F457">
            <v>0</v>
          </cell>
          <cell r="G457">
            <v>0</v>
          </cell>
          <cell r="H457">
            <v>0</v>
          </cell>
          <cell r="I457">
            <v>0</v>
          </cell>
          <cell r="K457">
            <v>0</v>
          </cell>
          <cell r="M457">
            <v>0</v>
          </cell>
          <cell r="O457">
            <v>0</v>
          </cell>
          <cell r="Q457">
            <v>0</v>
          </cell>
          <cell r="S457">
            <v>0</v>
          </cell>
          <cell r="U457">
            <v>0</v>
          </cell>
          <cell r="W457">
            <v>0</v>
          </cell>
          <cell r="Y457">
            <v>0</v>
          </cell>
          <cell r="AA457">
            <v>0</v>
          </cell>
          <cell r="AC457">
            <v>0</v>
          </cell>
          <cell r="AE457">
            <v>0</v>
          </cell>
          <cell r="AG457">
            <v>0</v>
          </cell>
        </row>
        <row r="458">
          <cell r="D458">
            <v>0</v>
          </cell>
          <cell r="E458">
            <v>0</v>
          </cell>
          <cell r="F458">
            <v>0</v>
          </cell>
          <cell r="G458">
            <v>0</v>
          </cell>
          <cell r="H458">
            <v>0</v>
          </cell>
          <cell r="I458">
            <v>0</v>
          </cell>
          <cell r="K458">
            <v>0</v>
          </cell>
          <cell r="M458">
            <v>0</v>
          </cell>
          <cell r="O458">
            <v>0</v>
          </cell>
          <cell r="Q458">
            <v>0</v>
          </cell>
          <cell r="S458">
            <v>0</v>
          </cell>
          <cell r="U458">
            <v>0</v>
          </cell>
          <cell r="W458">
            <v>0</v>
          </cell>
          <cell r="Y458">
            <v>0</v>
          </cell>
          <cell r="AA458">
            <v>0</v>
          </cell>
          <cell r="AC458">
            <v>0</v>
          </cell>
          <cell r="AE458">
            <v>0</v>
          </cell>
          <cell r="AG458">
            <v>0</v>
          </cell>
        </row>
        <row r="459">
          <cell r="D459">
            <v>0</v>
          </cell>
          <cell r="E459">
            <v>0</v>
          </cell>
          <cell r="F459">
            <v>0</v>
          </cell>
          <cell r="G459">
            <v>0</v>
          </cell>
          <cell r="H459">
            <v>0</v>
          </cell>
          <cell r="I459">
            <v>0</v>
          </cell>
          <cell r="K459">
            <v>0</v>
          </cell>
          <cell r="M459">
            <v>0</v>
          </cell>
          <cell r="O459">
            <v>0</v>
          </cell>
          <cell r="Q459">
            <v>0</v>
          </cell>
          <cell r="S459">
            <v>0</v>
          </cell>
          <cell r="U459">
            <v>0</v>
          </cell>
          <cell r="W459">
            <v>0</v>
          </cell>
          <cell r="Y459">
            <v>0</v>
          </cell>
          <cell r="AA459">
            <v>0</v>
          </cell>
          <cell r="AC459">
            <v>0</v>
          </cell>
          <cell r="AE459">
            <v>0</v>
          </cell>
          <cell r="AG459">
            <v>0</v>
          </cell>
        </row>
        <row r="460">
          <cell r="D460">
            <v>0</v>
          </cell>
          <cell r="E460">
            <v>0</v>
          </cell>
          <cell r="F460">
            <v>0</v>
          </cell>
          <cell r="G460">
            <v>0</v>
          </cell>
          <cell r="H460">
            <v>0</v>
          </cell>
          <cell r="I460">
            <v>0</v>
          </cell>
          <cell r="K460">
            <v>0</v>
          </cell>
          <cell r="M460">
            <v>0</v>
          </cell>
          <cell r="O460">
            <v>0</v>
          </cell>
          <cell r="Q460">
            <v>0</v>
          </cell>
          <cell r="S460">
            <v>0</v>
          </cell>
          <cell r="U460">
            <v>0</v>
          </cell>
          <cell r="W460">
            <v>0</v>
          </cell>
          <cell r="Y460">
            <v>0</v>
          </cell>
          <cell r="AA460">
            <v>0</v>
          </cell>
          <cell r="AC460">
            <v>0</v>
          </cell>
          <cell r="AE460">
            <v>0</v>
          </cell>
          <cell r="AG460">
            <v>0</v>
          </cell>
        </row>
        <row r="461">
          <cell r="D461">
            <v>0</v>
          </cell>
          <cell r="E461">
            <v>0</v>
          </cell>
          <cell r="F461">
            <v>0</v>
          </cell>
          <cell r="G461">
            <v>0</v>
          </cell>
          <cell r="H461">
            <v>0</v>
          </cell>
          <cell r="I461">
            <v>0</v>
          </cell>
          <cell r="K461">
            <v>0</v>
          </cell>
          <cell r="M461">
            <v>0</v>
          </cell>
          <cell r="O461">
            <v>0</v>
          </cell>
          <cell r="Q461">
            <v>0</v>
          </cell>
          <cell r="S461">
            <v>0</v>
          </cell>
          <cell r="U461">
            <v>0</v>
          </cell>
          <cell r="W461">
            <v>0</v>
          </cell>
          <cell r="Y461">
            <v>0</v>
          </cell>
          <cell r="AA461">
            <v>0</v>
          </cell>
          <cell r="AC461">
            <v>0</v>
          </cell>
          <cell r="AE461">
            <v>0</v>
          </cell>
          <cell r="AG461">
            <v>0</v>
          </cell>
        </row>
        <row r="462">
          <cell r="D462">
            <v>0</v>
          </cell>
          <cell r="E462">
            <v>0</v>
          </cell>
          <cell r="F462">
            <v>0</v>
          </cell>
          <cell r="G462">
            <v>0</v>
          </cell>
          <cell r="H462">
            <v>0</v>
          </cell>
          <cell r="I462">
            <v>0</v>
          </cell>
          <cell r="K462">
            <v>0</v>
          </cell>
          <cell r="M462">
            <v>0</v>
          </cell>
          <cell r="O462">
            <v>0</v>
          </cell>
          <cell r="Q462">
            <v>0</v>
          </cell>
          <cell r="S462">
            <v>0</v>
          </cell>
          <cell r="U462">
            <v>0</v>
          </cell>
          <cell r="W462">
            <v>0</v>
          </cell>
          <cell r="Y462">
            <v>0</v>
          </cell>
          <cell r="AA462">
            <v>0</v>
          </cell>
          <cell r="AC462">
            <v>0</v>
          </cell>
          <cell r="AE462">
            <v>0</v>
          </cell>
          <cell r="AG462">
            <v>0</v>
          </cell>
        </row>
        <row r="463">
          <cell r="D463">
            <v>0</v>
          </cell>
          <cell r="E463">
            <v>0</v>
          </cell>
          <cell r="F463">
            <v>0</v>
          </cell>
          <cell r="G463">
            <v>0</v>
          </cell>
          <cell r="H463">
            <v>0</v>
          </cell>
          <cell r="I463">
            <v>0</v>
          </cell>
          <cell r="K463">
            <v>0</v>
          </cell>
          <cell r="M463">
            <v>0</v>
          </cell>
          <cell r="O463">
            <v>0</v>
          </cell>
          <cell r="Q463">
            <v>0</v>
          </cell>
          <cell r="S463">
            <v>0</v>
          </cell>
          <cell r="U463">
            <v>0</v>
          </cell>
          <cell r="W463">
            <v>0</v>
          </cell>
          <cell r="Y463">
            <v>0</v>
          </cell>
          <cell r="AA463">
            <v>0</v>
          </cell>
          <cell r="AC463">
            <v>0</v>
          </cell>
          <cell r="AE463">
            <v>0</v>
          </cell>
          <cell r="AG463">
            <v>0</v>
          </cell>
        </row>
        <row r="464">
          <cell r="D464">
            <v>0</v>
          </cell>
          <cell r="E464">
            <v>0</v>
          </cell>
          <cell r="F464">
            <v>0</v>
          </cell>
          <cell r="G464">
            <v>0</v>
          </cell>
          <cell r="H464">
            <v>0</v>
          </cell>
          <cell r="I464">
            <v>0</v>
          </cell>
          <cell r="K464">
            <v>0</v>
          </cell>
          <cell r="M464">
            <v>0</v>
          </cell>
          <cell r="O464">
            <v>0</v>
          </cell>
          <cell r="Q464">
            <v>0</v>
          </cell>
          <cell r="S464">
            <v>0</v>
          </cell>
          <cell r="U464">
            <v>0</v>
          </cell>
          <cell r="W464">
            <v>0</v>
          </cell>
          <cell r="Y464">
            <v>0</v>
          </cell>
          <cell r="AA464">
            <v>0</v>
          </cell>
          <cell r="AC464">
            <v>0</v>
          </cell>
          <cell r="AE464">
            <v>0</v>
          </cell>
          <cell r="AG464">
            <v>0</v>
          </cell>
        </row>
        <row r="465">
          <cell r="D465">
            <v>0</v>
          </cell>
          <cell r="E465">
            <v>0</v>
          </cell>
          <cell r="F465">
            <v>0</v>
          </cell>
          <cell r="G465">
            <v>0</v>
          </cell>
          <cell r="H465">
            <v>0</v>
          </cell>
          <cell r="I465">
            <v>0</v>
          </cell>
          <cell r="K465">
            <v>0</v>
          </cell>
          <cell r="M465">
            <v>0</v>
          </cell>
          <cell r="O465">
            <v>0</v>
          </cell>
          <cell r="Q465">
            <v>0</v>
          </cell>
          <cell r="S465">
            <v>0</v>
          </cell>
          <cell r="U465">
            <v>0</v>
          </cell>
          <cell r="W465">
            <v>0</v>
          </cell>
          <cell r="Y465">
            <v>0</v>
          </cell>
          <cell r="AA465">
            <v>0</v>
          </cell>
          <cell r="AC465">
            <v>0</v>
          </cell>
          <cell r="AE465">
            <v>0</v>
          </cell>
          <cell r="AG465">
            <v>0</v>
          </cell>
        </row>
        <row r="466">
          <cell r="D466">
            <v>0</v>
          </cell>
          <cell r="E466">
            <v>0</v>
          </cell>
          <cell r="F466">
            <v>0</v>
          </cell>
          <cell r="G466">
            <v>0</v>
          </cell>
          <cell r="H466">
            <v>0</v>
          </cell>
          <cell r="I466">
            <v>0</v>
          </cell>
          <cell r="K466">
            <v>0</v>
          </cell>
          <cell r="M466">
            <v>0</v>
          </cell>
          <cell r="O466">
            <v>0</v>
          </cell>
          <cell r="Q466">
            <v>0</v>
          </cell>
          <cell r="S466">
            <v>0</v>
          </cell>
          <cell r="U466">
            <v>0</v>
          </cell>
          <cell r="W466">
            <v>0</v>
          </cell>
          <cell r="Y466">
            <v>0</v>
          </cell>
          <cell r="AA466">
            <v>0</v>
          </cell>
          <cell r="AC466">
            <v>0</v>
          </cell>
          <cell r="AE466">
            <v>0</v>
          </cell>
          <cell r="AG466">
            <v>0</v>
          </cell>
        </row>
        <row r="467">
          <cell r="D467">
            <v>0</v>
          </cell>
          <cell r="E467">
            <v>0</v>
          </cell>
          <cell r="F467">
            <v>0</v>
          </cell>
          <cell r="G467">
            <v>0</v>
          </cell>
          <cell r="H467">
            <v>0</v>
          </cell>
          <cell r="I467">
            <v>0</v>
          </cell>
          <cell r="K467">
            <v>0</v>
          </cell>
          <cell r="M467">
            <v>0</v>
          </cell>
          <cell r="O467">
            <v>0</v>
          </cell>
          <cell r="Q467">
            <v>0</v>
          </cell>
          <cell r="S467">
            <v>0</v>
          </cell>
          <cell r="U467">
            <v>0</v>
          </cell>
          <cell r="W467">
            <v>0</v>
          </cell>
          <cell r="Y467">
            <v>0</v>
          </cell>
          <cell r="AA467">
            <v>0</v>
          </cell>
          <cell r="AC467">
            <v>0</v>
          </cell>
          <cell r="AE467">
            <v>0</v>
          </cell>
          <cell r="AG467">
            <v>0</v>
          </cell>
        </row>
        <row r="468">
          <cell r="D468">
            <v>0</v>
          </cell>
          <cell r="E468">
            <v>0</v>
          </cell>
          <cell r="F468">
            <v>0</v>
          </cell>
          <cell r="G468">
            <v>0</v>
          </cell>
          <cell r="H468">
            <v>0</v>
          </cell>
          <cell r="I468">
            <v>0</v>
          </cell>
          <cell r="K468">
            <v>0</v>
          </cell>
          <cell r="M468">
            <v>0</v>
          </cell>
          <cell r="O468">
            <v>0</v>
          </cell>
          <cell r="Q468">
            <v>0</v>
          </cell>
          <cell r="S468">
            <v>0</v>
          </cell>
          <cell r="U468">
            <v>0</v>
          </cell>
          <cell r="W468">
            <v>0</v>
          </cell>
          <cell r="Y468">
            <v>0</v>
          </cell>
          <cell r="AA468">
            <v>0</v>
          </cell>
          <cell r="AC468">
            <v>0</v>
          </cell>
          <cell r="AE468">
            <v>0</v>
          </cell>
          <cell r="AG468">
            <v>0</v>
          </cell>
        </row>
        <row r="469">
          <cell r="D469">
            <v>0</v>
          </cell>
          <cell r="E469">
            <v>0</v>
          </cell>
          <cell r="F469">
            <v>0</v>
          </cell>
          <cell r="G469">
            <v>0</v>
          </cell>
          <cell r="H469">
            <v>0</v>
          </cell>
          <cell r="I469">
            <v>0</v>
          </cell>
          <cell r="K469">
            <v>0</v>
          </cell>
          <cell r="M469">
            <v>0</v>
          </cell>
          <cell r="O469">
            <v>0</v>
          </cell>
          <cell r="Q469">
            <v>0</v>
          </cell>
          <cell r="S469">
            <v>0</v>
          </cell>
          <cell r="U469">
            <v>0</v>
          </cell>
          <cell r="W469">
            <v>0</v>
          </cell>
          <cell r="Y469">
            <v>0</v>
          </cell>
          <cell r="AA469">
            <v>0</v>
          </cell>
          <cell r="AC469">
            <v>0</v>
          </cell>
          <cell r="AE469">
            <v>0</v>
          </cell>
          <cell r="AG469">
            <v>0</v>
          </cell>
        </row>
        <row r="470">
          <cell r="D470">
            <v>0</v>
          </cell>
          <cell r="E470">
            <v>0</v>
          </cell>
          <cell r="F470">
            <v>0</v>
          </cell>
          <cell r="G470">
            <v>0</v>
          </cell>
          <cell r="H470">
            <v>0</v>
          </cell>
          <cell r="I470">
            <v>0</v>
          </cell>
          <cell r="K470">
            <v>0</v>
          </cell>
          <cell r="M470">
            <v>0</v>
          </cell>
          <cell r="O470">
            <v>0</v>
          </cell>
          <cell r="Q470">
            <v>0</v>
          </cell>
          <cell r="S470">
            <v>0</v>
          </cell>
          <cell r="U470">
            <v>0</v>
          </cell>
          <cell r="W470">
            <v>0</v>
          </cell>
          <cell r="Y470">
            <v>0</v>
          </cell>
          <cell r="AA470">
            <v>0</v>
          </cell>
          <cell r="AC470">
            <v>0</v>
          </cell>
          <cell r="AE470">
            <v>0</v>
          </cell>
          <cell r="AG470">
            <v>0</v>
          </cell>
        </row>
        <row r="471">
          <cell r="D471">
            <v>0</v>
          </cell>
          <cell r="E471">
            <v>0</v>
          </cell>
          <cell r="F471">
            <v>0</v>
          </cell>
          <cell r="G471">
            <v>0</v>
          </cell>
          <cell r="H471">
            <v>0</v>
          </cell>
          <cell r="I471">
            <v>0</v>
          </cell>
          <cell r="K471">
            <v>0</v>
          </cell>
          <cell r="M471">
            <v>0</v>
          </cell>
          <cell r="O471">
            <v>0</v>
          </cell>
          <cell r="Q471">
            <v>0</v>
          </cell>
          <cell r="S471">
            <v>0</v>
          </cell>
          <cell r="U471">
            <v>0</v>
          </cell>
          <cell r="W471">
            <v>0</v>
          </cell>
          <cell r="Y471">
            <v>0</v>
          </cell>
          <cell r="AA471">
            <v>0</v>
          </cell>
          <cell r="AC471">
            <v>0</v>
          </cell>
          <cell r="AE471">
            <v>0</v>
          </cell>
          <cell r="AG471">
            <v>0</v>
          </cell>
        </row>
        <row r="472">
          <cell r="D472">
            <v>0</v>
          </cell>
          <cell r="E472">
            <v>0</v>
          </cell>
          <cell r="F472">
            <v>0</v>
          </cell>
          <cell r="G472">
            <v>0</v>
          </cell>
          <cell r="H472">
            <v>0</v>
          </cell>
          <cell r="I472">
            <v>0</v>
          </cell>
          <cell r="K472">
            <v>0</v>
          </cell>
          <cell r="M472">
            <v>0</v>
          </cell>
          <cell r="O472">
            <v>0</v>
          </cell>
          <cell r="Q472">
            <v>0</v>
          </cell>
          <cell r="S472">
            <v>0</v>
          </cell>
          <cell r="U472">
            <v>0</v>
          </cell>
          <cell r="W472">
            <v>0</v>
          </cell>
          <cell r="Y472">
            <v>0</v>
          </cell>
          <cell r="AA472">
            <v>0</v>
          </cell>
          <cell r="AC472">
            <v>0</v>
          </cell>
          <cell r="AE472">
            <v>0</v>
          </cell>
          <cell r="AG472">
            <v>0</v>
          </cell>
        </row>
        <row r="473">
          <cell r="D473">
            <v>0</v>
          </cell>
          <cell r="E473">
            <v>0</v>
          </cell>
          <cell r="F473">
            <v>0</v>
          </cell>
          <cell r="G473">
            <v>0</v>
          </cell>
          <cell r="H473">
            <v>0</v>
          </cell>
          <cell r="I473">
            <v>0</v>
          </cell>
          <cell r="K473">
            <v>0</v>
          </cell>
          <cell r="M473">
            <v>0</v>
          </cell>
          <cell r="O473">
            <v>0</v>
          </cell>
          <cell r="Q473">
            <v>0</v>
          </cell>
          <cell r="S473">
            <v>0</v>
          </cell>
          <cell r="U473">
            <v>0</v>
          </cell>
          <cell r="W473">
            <v>0</v>
          </cell>
          <cell r="Y473">
            <v>0</v>
          </cell>
          <cell r="AA473">
            <v>0</v>
          </cell>
          <cell r="AC473">
            <v>0</v>
          </cell>
          <cell r="AE473">
            <v>0</v>
          </cell>
          <cell r="AG473">
            <v>0</v>
          </cell>
        </row>
        <row r="474">
          <cell r="D474">
            <v>0</v>
          </cell>
          <cell r="E474">
            <v>0</v>
          </cell>
          <cell r="F474">
            <v>0</v>
          </cell>
          <cell r="G474">
            <v>0</v>
          </cell>
          <cell r="H474">
            <v>0</v>
          </cell>
          <cell r="I474">
            <v>0</v>
          </cell>
          <cell r="K474">
            <v>0</v>
          </cell>
          <cell r="M474">
            <v>0</v>
          </cell>
          <cell r="O474">
            <v>0</v>
          </cell>
          <cell r="Q474">
            <v>0</v>
          </cell>
          <cell r="S474">
            <v>0</v>
          </cell>
          <cell r="U474">
            <v>0</v>
          </cell>
          <cell r="W474">
            <v>0</v>
          </cell>
          <cell r="Y474">
            <v>0</v>
          </cell>
          <cell r="AA474">
            <v>0</v>
          </cell>
          <cell r="AC474">
            <v>0</v>
          </cell>
          <cell r="AE474">
            <v>0</v>
          </cell>
          <cell r="AG474">
            <v>0</v>
          </cell>
        </row>
        <row r="475">
          <cell r="D475">
            <v>0</v>
          </cell>
          <cell r="E475">
            <v>0</v>
          </cell>
          <cell r="F475">
            <v>0</v>
          </cell>
          <cell r="G475">
            <v>0</v>
          </cell>
          <cell r="H475">
            <v>0</v>
          </cell>
          <cell r="I475">
            <v>0</v>
          </cell>
          <cell r="K475">
            <v>0</v>
          </cell>
          <cell r="M475">
            <v>0</v>
          </cell>
          <cell r="O475">
            <v>0</v>
          </cell>
          <cell r="Q475">
            <v>0</v>
          </cell>
          <cell r="S475">
            <v>0</v>
          </cell>
          <cell r="U475">
            <v>0</v>
          </cell>
          <cell r="W475">
            <v>0</v>
          </cell>
          <cell r="Y475">
            <v>0</v>
          </cell>
          <cell r="AA475">
            <v>0</v>
          </cell>
          <cell r="AC475">
            <v>0</v>
          </cell>
          <cell r="AE475">
            <v>0</v>
          </cell>
          <cell r="AG475">
            <v>0</v>
          </cell>
        </row>
        <row r="476">
          <cell r="D476">
            <v>0</v>
          </cell>
          <cell r="E476">
            <v>0</v>
          </cell>
          <cell r="F476">
            <v>0</v>
          </cell>
          <cell r="G476">
            <v>0</v>
          </cell>
          <cell r="H476">
            <v>0</v>
          </cell>
          <cell r="I476">
            <v>0</v>
          </cell>
          <cell r="K476">
            <v>0</v>
          </cell>
          <cell r="M476">
            <v>0</v>
          </cell>
          <cell r="O476">
            <v>0</v>
          </cell>
          <cell r="Q476">
            <v>0</v>
          </cell>
          <cell r="S476">
            <v>0</v>
          </cell>
          <cell r="U476">
            <v>0</v>
          </cell>
          <cell r="W476">
            <v>0</v>
          </cell>
          <cell r="Y476">
            <v>0</v>
          </cell>
          <cell r="AA476">
            <v>0</v>
          </cell>
          <cell r="AC476">
            <v>0</v>
          </cell>
          <cell r="AE476">
            <v>0</v>
          </cell>
          <cell r="AG476">
            <v>0</v>
          </cell>
        </row>
        <row r="477">
          <cell r="D477">
            <v>0</v>
          </cell>
          <cell r="E477">
            <v>0</v>
          </cell>
          <cell r="F477">
            <v>0</v>
          </cell>
          <cell r="G477">
            <v>0</v>
          </cell>
          <cell r="H477">
            <v>0</v>
          </cell>
          <cell r="I477">
            <v>0</v>
          </cell>
          <cell r="K477">
            <v>0</v>
          </cell>
          <cell r="M477">
            <v>0</v>
          </cell>
          <cell r="O477">
            <v>0</v>
          </cell>
          <cell r="Q477">
            <v>0</v>
          </cell>
          <cell r="S477">
            <v>0</v>
          </cell>
          <cell r="U477">
            <v>0</v>
          </cell>
          <cell r="W477">
            <v>0</v>
          </cell>
          <cell r="Y477">
            <v>0</v>
          </cell>
          <cell r="AA477">
            <v>0</v>
          </cell>
          <cell r="AC477">
            <v>0</v>
          </cell>
          <cell r="AE477">
            <v>0</v>
          </cell>
          <cell r="AG477">
            <v>0</v>
          </cell>
        </row>
        <row r="478">
          <cell r="D478">
            <v>0</v>
          </cell>
          <cell r="E478">
            <v>0</v>
          </cell>
          <cell r="F478">
            <v>0</v>
          </cell>
          <cell r="G478">
            <v>0</v>
          </cell>
          <cell r="H478">
            <v>0</v>
          </cell>
          <cell r="I478">
            <v>0</v>
          </cell>
          <cell r="K478">
            <v>0</v>
          </cell>
          <cell r="M478">
            <v>0</v>
          </cell>
          <cell r="O478">
            <v>0</v>
          </cell>
          <cell r="Q478">
            <v>0</v>
          </cell>
          <cell r="S478">
            <v>0</v>
          </cell>
          <cell r="U478">
            <v>0</v>
          </cell>
          <cell r="W478">
            <v>0</v>
          </cell>
          <cell r="Y478">
            <v>0</v>
          </cell>
          <cell r="AA478">
            <v>0</v>
          </cell>
          <cell r="AC478">
            <v>0</v>
          </cell>
          <cell r="AE478">
            <v>0</v>
          </cell>
          <cell r="AG478">
            <v>0</v>
          </cell>
        </row>
        <row r="479">
          <cell r="D479">
            <v>0</v>
          </cell>
          <cell r="E479">
            <v>0</v>
          </cell>
          <cell r="F479">
            <v>0</v>
          </cell>
          <cell r="G479">
            <v>0</v>
          </cell>
          <cell r="H479">
            <v>0</v>
          </cell>
          <cell r="I479">
            <v>0</v>
          </cell>
          <cell r="K479">
            <v>0</v>
          </cell>
          <cell r="M479">
            <v>0</v>
          </cell>
          <cell r="O479">
            <v>0</v>
          </cell>
          <cell r="Q479">
            <v>0</v>
          </cell>
          <cell r="S479">
            <v>0</v>
          </cell>
          <cell r="U479">
            <v>0</v>
          </cell>
          <cell r="W479">
            <v>0</v>
          </cell>
          <cell r="Y479">
            <v>0</v>
          </cell>
          <cell r="AA479">
            <v>0</v>
          </cell>
          <cell r="AC479">
            <v>0</v>
          </cell>
          <cell r="AE479">
            <v>0</v>
          </cell>
          <cell r="AG479">
            <v>0</v>
          </cell>
        </row>
        <row r="480">
          <cell r="D480">
            <v>0</v>
          </cell>
          <cell r="E480">
            <v>0</v>
          </cell>
          <cell r="F480">
            <v>0</v>
          </cell>
          <cell r="G480">
            <v>0</v>
          </cell>
          <cell r="H480">
            <v>0</v>
          </cell>
          <cell r="I480">
            <v>0</v>
          </cell>
          <cell r="K480">
            <v>0</v>
          </cell>
          <cell r="M480">
            <v>0</v>
          </cell>
          <cell r="O480">
            <v>0</v>
          </cell>
          <cell r="Q480">
            <v>0</v>
          </cell>
          <cell r="S480">
            <v>0</v>
          </cell>
          <cell r="U480">
            <v>0</v>
          </cell>
          <cell r="W480">
            <v>0</v>
          </cell>
          <cell r="Y480">
            <v>0</v>
          </cell>
          <cell r="AA480">
            <v>0</v>
          </cell>
          <cell r="AC480">
            <v>0</v>
          </cell>
          <cell r="AE480">
            <v>0</v>
          </cell>
          <cell r="AG480">
            <v>0</v>
          </cell>
        </row>
        <row r="481">
          <cell r="D481">
            <v>0</v>
          </cell>
          <cell r="E481">
            <v>0</v>
          </cell>
          <cell r="F481">
            <v>0</v>
          </cell>
          <cell r="G481">
            <v>0</v>
          </cell>
          <cell r="H481">
            <v>0</v>
          </cell>
          <cell r="I481">
            <v>0</v>
          </cell>
          <cell r="K481">
            <v>0</v>
          </cell>
          <cell r="M481">
            <v>0</v>
          </cell>
          <cell r="O481">
            <v>0</v>
          </cell>
          <cell r="Q481">
            <v>0</v>
          </cell>
          <cell r="S481">
            <v>0</v>
          </cell>
          <cell r="U481">
            <v>0</v>
          </cell>
          <cell r="W481">
            <v>0</v>
          </cell>
          <cell r="Y481">
            <v>0</v>
          </cell>
          <cell r="AA481">
            <v>0</v>
          </cell>
          <cell r="AC481">
            <v>0</v>
          </cell>
          <cell r="AE481">
            <v>0</v>
          </cell>
          <cell r="AG481">
            <v>0</v>
          </cell>
        </row>
        <row r="482">
          <cell r="D482">
            <v>0</v>
          </cell>
          <cell r="E482">
            <v>0</v>
          </cell>
          <cell r="F482">
            <v>0</v>
          </cell>
          <cell r="G482">
            <v>0</v>
          </cell>
          <cell r="H482">
            <v>0</v>
          </cell>
          <cell r="I482">
            <v>0</v>
          </cell>
          <cell r="K482">
            <v>0</v>
          </cell>
          <cell r="M482">
            <v>0</v>
          </cell>
          <cell r="O482">
            <v>0</v>
          </cell>
          <cell r="Q482">
            <v>0</v>
          </cell>
          <cell r="S482">
            <v>0</v>
          </cell>
          <cell r="U482">
            <v>0</v>
          </cell>
          <cell r="W482">
            <v>0</v>
          </cell>
          <cell r="Y482">
            <v>0</v>
          </cell>
          <cell r="AA482">
            <v>0</v>
          </cell>
          <cell r="AC482">
            <v>0</v>
          </cell>
          <cell r="AE482">
            <v>0</v>
          </cell>
          <cell r="AG482">
            <v>0</v>
          </cell>
        </row>
        <row r="483">
          <cell r="D483">
            <v>0</v>
          </cell>
          <cell r="E483">
            <v>0</v>
          </cell>
          <cell r="F483">
            <v>0</v>
          </cell>
          <cell r="G483">
            <v>0</v>
          </cell>
          <cell r="H483">
            <v>0</v>
          </cell>
          <cell r="I483">
            <v>0</v>
          </cell>
          <cell r="K483">
            <v>0</v>
          </cell>
          <cell r="M483">
            <v>0</v>
          </cell>
          <cell r="O483">
            <v>0</v>
          </cell>
          <cell r="Q483">
            <v>0</v>
          </cell>
          <cell r="S483">
            <v>0</v>
          </cell>
          <cell r="U483">
            <v>0</v>
          </cell>
          <cell r="W483">
            <v>0</v>
          </cell>
          <cell r="Y483">
            <v>0</v>
          </cell>
          <cell r="AA483">
            <v>0</v>
          </cell>
          <cell r="AC483">
            <v>0</v>
          </cell>
          <cell r="AE483">
            <v>0</v>
          </cell>
          <cell r="AG483">
            <v>0</v>
          </cell>
        </row>
        <row r="484">
          <cell r="D484">
            <v>0</v>
          </cell>
          <cell r="E484">
            <v>0</v>
          </cell>
          <cell r="F484">
            <v>0</v>
          </cell>
          <cell r="G484">
            <v>0</v>
          </cell>
          <cell r="H484">
            <v>0</v>
          </cell>
          <cell r="I484">
            <v>0</v>
          </cell>
          <cell r="K484">
            <v>0</v>
          </cell>
          <cell r="M484">
            <v>0</v>
          </cell>
          <cell r="O484">
            <v>0</v>
          </cell>
          <cell r="Q484">
            <v>0</v>
          </cell>
          <cell r="S484">
            <v>0</v>
          </cell>
          <cell r="U484">
            <v>0</v>
          </cell>
          <cell r="W484">
            <v>0</v>
          </cell>
          <cell r="Y484">
            <v>0</v>
          </cell>
          <cell r="AA484">
            <v>0</v>
          </cell>
          <cell r="AC484">
            <v>0</v>
          </cell>
          <cell r="AE484">
            <v>0</v>
          </cell>
          <cell r="AG484">
            <v>0</v>
          </cell>
        </row>
        <row r="485">
          <cell r="D485">
            <v>0</v>
          </cell>
          <cell r="E485">
            <v>0</v>
          </cell>
          <cell r="F485">
            <v>0</v>
          </cell>
          <cell r="G485">
            <v>0</v>
          </cell>
          <cell r="H485">
            <v>0</v>
          </cell>
          <cell r="I485">
            <v>0</v>
          </cell>
          <cell r="K485">
            <v>0</v>
          </cell>
          <cell r="M485">
            <v>0</v>
          </cell>
          <cell r="O485">
            <v>0</v>
          </cell>
          <cell r="Q485">
            <v>0</v>
          </cell>
          <cell r="S485">
            <v>0</v>
          </cell>
          <cell r="U485">
            <v>0</v>
          </cell>
          <cell r="W485">
            <v>0</v>
          </cell>
          <cell r="Y485">
            <v>0</v>
          </cell>
          <cell r="AA485">
            <v>0</v>
          </cell>
          <cell r="AC485">
            <v>0</v>
          </cell>
          <cell r="AE485">
            <v>0</v>
          </cell>
          <cell r="AG485">
            <v>0</v>
          </cell>
        </row>
        <row r="486">
          <cell r="D486">
            <v>0</v>
          </cell>
          <cell r="E486">
            <v>0</v>
          </cell>
          <cell r="F486">
            <v>0</v>
          </cell>
          <cell r="G486">
            <v>0</v>
          </cell>
          <cell r="H486">
            <v>0</v>
          </cell>
          <cell r="I486">
            <v>0</v>
          </cell>
          <cell r="K486">
            <v>0</v>
          </cell>
          <cell r="M486">
            <v>0</v>
          </cell>
          <cell r="O486">
            <v>0</v>
          </cell>
          <cell r="Q486">
            <v>0</v>
          </cell>
          <cell r="S486">
            <v>0</v>
          </cell>
          <cell r="U486">
            <v>0</v>
          </cell>
          <cell r="W486">
            <v>0</v>
          </cell>
          <cell r="Y486">
            <v>0</v>
          </cell>
          <cell r="AA486">
            <v>0</v>
          </cell>
          <cell r="AC486">
            <v>0</v>
          </cell>
          <cell r="AE486">
            <v>0</v>
          </cell>
          <cell r="AG486">
            <v>0</v>
          </cell>
        </row>
        <row r="487">
          <cell r="D487">
            <v>0</v>
          </cell>
          <cell r="E487">
            <v>0</v>
          </cell>
          <cell r="F487">
            <v>0</v>
          </cell>
          <cell r="G487">
            <v>0</v>
          </cell>
          <cell r="H487">
            <v>0</v>
          </cell>
          <cell r="I487">
            <v>0</v>
          </cell>
          <cell r="K487">
            <v>0</v>
          </cell>
          <cell r="M487">
            <v>0</v>
          </cell>
          <cell r="O487">
            <v>0</v>
          </cell>
          <cell r="Q487">
            <v>0</v>
          </cell>
          <cell r="S487">
            <v>0</v>
          </cell>
          <cell r="U487">
            <v>0</v>
          </cell>
          <cell r="W487">
            <v>0</v>
          </cell>
          <cell r="Y487">
            <v>0</v>
          </cell>
          <cell r="AA487">
            <v>0</v>
          </cell>
          <cell r="AC487">
            <v>0</v>
          </cell>
          <cell r="AE487">
            <v>0</v>
          </cell>
          <cell r="AG487">
            <v>0</v>
          </cell>
        </row>
        <row r="488">
          <cell r="D488">
            <v>0</v>
          </cell>
          <cell r="E488">
            <v>0</v>
          </cell>
          <cell r="F488">
            <v>0</v>
          </cell>
          <cell r="G488">
            <v>0</v>
          </cell>
          <cell r="H488">
            <v>0</v>
          </cell>
          <cell r="I488">
            <v>0</v>
          </cell>
          <cell r="K488">
            <v>0</v>
          </cell>
          <cell r="M488">
            <v>0</v>
          </cell>
          <cell r="O488">
            <v>0</v>
          </cell>
          <cell r="Q488">
            <v>0</v>
          </cell>
          <cell r="S488">
            <v>0</v>
          </cell>
          <cell r="U488">
            <v>0</v>
          </cell>
          <cell r="W488">
            <v>0</v>
          </cell>
          <cell r="Y488">
            <v>0</v>
          </cell>
          <cell r="AA488">
            <v>0</v>
          </cell>
          <cell r="AC488">
            <v>0</v>
          </cell>
          <cell r="AE488">
            <v>0</v>
          </cell>
          <cell r="AG488">
            <v>0</v>
          </cell>
        </row>
        <row r="489">
          <cell r="D489">
            <v>0</v>
          </cell>
          <cell r="E489">
            <v>0</v>
          </cell>
          <cell r="F489">
            <v>0</v>
          </cell>
          <cell r="G489">
            <v>0</v>
          </cell>
          <cell r="H489">
            <v>0</v>
          </cell>
          <cell r="I489">
            <v>0</v>
          </cell>
          <cell r="K489">
            <v>0</v>
          </cell>
          <cell r="M489">
            <v>0</v>
          </cell>
          <cell r="O489">
            <v>0</v>
          </cell>
          <cell r="Q489">
            <v>0</v>
          </cell>
          <cell r="S489">
            <v>0</v>
          </cell>
          <cell r="U489">
            <v>0</v>
          </cell>
          <cell r="W489">
            <v>0</v>
          </cell>
          <cell r="Y489">
            <v>0</v>
          </cell>
          <cell r="AA489">
            <v>0</v>
          </cell>
          <cell r="AC489">
            <v>0</v>
          </cell>
          <cell r="AE489">
            <v>0</v>
          </cell>
          <cell r="AG489">
            <v>0</v>
          </cell>
        </row>
        <row r="490">
          <cell r="D490">
            <v>0</v>
          </cell>
          <cell r="E490">
            <v>0</v>
          </cell>
          <cell r="F490">
            <v>0</v>
          </cell>
          <cell r="G490">
            <v>0</v>
          </cell>
          <cell r="H490">
            <v>0</v>
          </cell>
          <cell r="I490">
            <v>0</v>
          </cell>
          <cell r="K490">
            <v>0</v>
          </cell>
          <cell r="M490">
            <v>0</v>
          </cell>
          <cell r="O490">
            <v>0</v>
          </cell>
          <cell r="Q490">
            <v>0</v>
          </cell>
          <cell r="S490">
            <v>0</v>
          </cell>
          <cell r="U490">
            <v>0</v>
          </cell>
          <cell r="W490">
            <v>0</v>
          </cell>
          <cell r="Y490">
            <v>0</v>
          </cell>
          <cell r="AA490">
            <v>0</v>
          </cell>
          <cell r="AC490">
            <v>0</v>
          </cell>
          <cell r="AE490">
            <v>0</v>
          </cell>
          <cell r="AG490">
            <v>0</v>
          </cell>
        </row>
        <row r="491">
          <cell r="D491">
            <v>0</v>
          </cell>
          <cell r="E491">
            <v>0</v>
          </cell>
          <cell r="F491">
            <v>0</v>
          </cell>
          <cell r="G491">
            <v>0</v>
          </cell>
          <cell r="H491">
            <v>0</v>
          </cell>
          <cell r="I491">
            <v>0</v>
          </cell>
          <cell r="K491">
            <v>0</v>
          </cell>
          <cell r="M491">
            <v>0</v>
          </cell>
          <cell r="O491">
            <v>0</v>
          </cell>
          <cell r="Q491">
            <v>0</v>
          </cell>
          <cell r="S491">
            <v>0</v>
          </cell>
          <cell r="U491">
            <v>0</v>
          </cell>
          <cell r="W491">
            <v>0</v>
          </cell>
          <cell r="Y491">
            <v>0</v>
          </cell>
          <cell r="AA491">
            <v>0</v>
          </cell>
          <cell r="AC491">
            <v>0</v>
          </cell>
          <cell r="AE491">
            <v>0</v>
          </cell>
          <cell r="AG491">
            <v>0</v>
          </cell>
        </row>
        <row r="492">
          <cell r="D492">
            <v>0</v>
          </cell>
          <cell r="E492">
            <v>0</v>
          </cell>
          <cell r="F492">
            <v>0</v>
          </cell>
          <cell r="G492">
            <v>0</v>
          </cell>
          <cell r="H492">
            <v>0</v>
          </cell>
          <cell r="I492">
            <v>0</v>
          </cell>
          <cell r="K492">
            <v>0</v>
          </cell>
          <cell r="M492">
            <v>0</v>
          </cell>
          <cell r="O492">
            <v>0</v>
          </cell>
          <cell r="Q492">
            <v>0</v>
          </cell>
          <cell r="S492">
            <v>0</v>
          </cell>
          <cell r="U492">
            <v>0</v>
          </cell>
          <cell r="W492">
            <v>0</v>
          </cell>
          <cell r="Y492">
            <v>0</v>
          </cell>
          <cell r="AA492">
            <v>0</v>
          </cell>
          <cell r="AC492">
            <v>0</v>
          </cell>
          <cell r="AE492">
            <v>0</v>
          </cell>
          <cell r="AG492">
            <v>0</v>
          </cell>
        </row>
        <row r="493">
          <cell r="D493">
            <v>0</v>
          </cell>
          <cell r="E493">
            <v>0</v>
          </cell>
          <cell r="F493">
            <v>0</v>
          </cell>
          <cell r="G493">
            <v>0</v>
          </cell>
          <cell r="H493">
            <v>0</v>
          </cell>
          <cell r="I493">
            <v>0</v>
          </cell>
          <cell r="K493">
            <v>0</v>
          </cell>
          <cell r="M493">
            <v>0</v>
          </cell>
          <cell r="O493">
            <v>0</v>
          </cell>
          <cell r="Q493">
            <v>0</v>
          </cell>
          <cell r="S493">
            <v>0</v>
          </cell>
          <cell r="U493">
            <v>0</v>
          </cell>
          <cell r="W493">
            <v>0</v>
          </cell>
          <cell r="Y493">
            <v>0</v>
          </cell>
          <cell r="AA493">
            <v>0</v>
          </cell>
          <cell r="AC493">
            <v>0</v>
          </cell>
          <cell r="AE493">
            <v>0</v>
          </cell>
          <cell r="AG493">
            <v>0</v>
          </cell>
        </row>
        <row r="494">
          <cell r="D494">
            <v>0</v>
          </cell>
          <cell r="E494">
            <v>0</v>
          </cell>
          <cell r="F494">
            <v>0</v>
          </cell>
          <cell r="G494">
            <v>0</v>
          </cell>
          <cell r="H494">
            <v>0</v>
          </cell>
          <cell r="I494">
            <v>0</v>
          </cell>
          <cell r="K494">
            <v>0</v>
          </cell>
          <cell r="M494">
            <v>0</v>
          </cell>
          <cell r="O494">
            <v>0</v>
          </cell>
          <cell r="Q494">
            <v>0</v>
          </cell>
          <cell r="S494">
            <v>0</v>
          </cell>
          <cell r="U494">
            <v>0</v>
          </cell>
          <cell r="W494">
            <v>0</v>
          </cell>
          <cell r="Y494">
            <v>0</v>
          </cell>
          <cell r="AA494">
            <v>0</v>
          </cell>
          <cell r="AC494">
            <v>0</v>
          </cell>
          <cell r="AE494">
            <v>0</v>
          </cell>
          <cell r="AG494">
            <v>0</v>
          </cell>
        </row>
        <row r="495">
          <cell r="D495">
            <v>0</v>
          </cell>
          <cell r="E495">
            <v>0</v>
          </cell>
          <cell r="F495">
            <v>0</v>
          </cell>
          <cell r="G495">
            <v>0</v>
          </cell>
          <cell r="H495">
            <v>0</v>
          </cell>
          <cell r="I495">
            <v>0</v>
          </cell>
          <cell r="K495">
            <v>0</v>
          </cell>
          <cell r="M495">
            <v>0</v>
          </cell>
          <cell r="O495">
            <v>0</v>
          </cell>
          <cell r="Q495">
            <v>0</v>
          </cell>
          <cell r="S495">
            <v>0</v>
          </cell>
          <cell r="U495">
            <v>0</v>
          </cell>
          <cell r="W495">
            <v>0</v>
          </cell>
          <cell r="Y495">
            <v>0</v>
          </cell>
          <cell r="AA495">
            <v>0</v>
          </cell>
          <cell r="AC495">
            <v>0</v>
          </cell>
          <cell r="AE495">
            <v>0</v>
          </cell>
          <cell r="AG495">
            <v>0</v>
          </cell>
        </row>
        <row r="496">
          <cell r="D496">
            <v>0</v>
          </cell>
          <cell r="E496">
            <v>0</v>
          </cell>
          <cell r="F496">
            <v>0</v>
          </cell>
          <cell r="G496">
            <v>0</v>
          </cell>
          <cell r="H496">
            <v>0</v>
          </cell>
          <cell r="I496">
            <v>0</v>
          </cell>
          <cell r="K496">
            <v>0</v>
          </cell>
          <cell r="M496">
            <v>0</v>
          </cell>
          <cell r="O496">
            <v>0</v>
          </cell>
          <cell r="Q496">
            <v>0</v>
          </cell>
          <cell r="S496">
            <v>0</v>
          </cell>
          <cell r="U496">
            <v>0</v>
          </cell>
          <cell r="W496">
            <v>0</v>
          </cell>
          <cell r="Y496">
            <v>0</v>
          </cell>
          <cell r="AA496">
            <v>0</v>
          </cell>
          <cell r="AC496">
            <v>0</v>
          </cell>
          <cell r="AE496">
            <v>0</v>
          </cell>
          <cell r="AG496">
            <v>0</v>
          </cell>
        </row>
        <row r="497">
          <cell r="D497">
            <v>0</v>
          </cell>
          <cell r="E497">
            <v>0</v>
          </cell>
          <cell r="F497">
            <v>0</v>
          </cell>
          <cell r="G497">
            <v>0</v>
          </cell>
          <cell r="H497">
            <v>0</v>
          </cell>
          <cell r="I497">
            <v>0</v>
          </cell>
          <cell r="K497">
            <v>0</v>
          </cell>
          <cell r="M497">
            <v>0</v>
          </cell>
          <cell r="O497">
            <v>0</v>
          </cell>
          <cell r="Q497">
            <v>0</v>
          </cell>
          <cell r="S497">
            <v>0</v>
          </cell>
          <cell r="U497">
            <v>0</v>
          </cell>
          <cell r="W497">
            <v>0</v>
          </cell>
          <cell r="Y497">
            <v>0</v>
          </cell>
          <cell r="AA497">
            <v>0</v>
          </cell>
          <cell r="AC497">
            <v>0</v>
          </cell>
          <cell r="AE497">
            <v>0</v>
          </cell>
          <cell r="AG497">
            <v>0</v>
          </cell>
        </row>
        <row r="498">
          <cell r="D498">
            <v>0</v>
          </cell>
          <cell r="E498">
            <v>0</v>
          </cell>
          <cell r="F498">
            <v>0</v>
          </cell>
          <cell r="G498">
            <v>0</v>
          </cell>
          <cell r="H498">
            <v>0</v>
          </cell>
          <cell r="I498">
            <v>0</v>
          </cell>
          <cell r="K498">
            <v>0</v>
          </cell>
          <cell r="M498">
            <v>0</v>
          </cell>
          <cell r="O498">
            <v>0</v>
          </cell>
          <cell r="Q498">
            <v>0</v>
          </cell>
          <cell r="S498">
            <v>0</v>
          </cell>
          <cell r="U498">
            <v>0</v>
          </cell>
          <cell r="W498">
            <v>0</v>
          </cell>
          <cell r="Y498">
            <v>0</v>
          </cell>
          <cell r="AA498">
            <v>0</v>
          </cell>
          <cell r="AC498">
            <v>0</v>
          </cell>
          <cell r="AE498">
            <v>0</v>
          </cell>
          <cell r="AG498">
            <v>0</v>
          </cell>
        </row>
        <row r="499">
          <cell r="D499">
            <v>0</v>
          </cell>
          <cell r="E499">
            <v>0</v>
          </cell>
          <cell r="F499">
            <v>0</v>
          </cell>
          <cell r="G499">
            <v>0</v>
          </cell>
          <cell r="H499">
            <v>0</v>
          </cell>
          <cell r="I499">
            <v>0</v>
          </cell>
          <cell r="K499">
            <v>0</v>
          </cell>
          <cell r="M499">
            <v>0</v>
          </cell>
          <cell r="O499">
            <v>0</v>
          </cell>
          <cell r="Q499">
            <v>0</v>
          </cell>
          <cell r="S499">
            <v>0</v>
          </cell>
          <cell r="U499">
            <v>0</v>
          </cell>
          <cell r="W499">
            <v>0</v>
          </cell>
          <cell r="Y499">
            <v>0</v>
          </cell>
          <cell r="AA499">
            <v>0</v>
          </cell>
          <cell r="AC499">
            <v>0</v>
          </cell>
          <cell r="AE499">
            <v>0</v>
          </cell>
          <cell r="AG499">
            <v>0</v>
          </cell>
        </row>
        <row r="500">
          <cell r="D500">
            <v>0</v>
          </cell>
          <cell r="E500">
            <v>0</v>
          </cell>
          <cell r="F500">
            <v>0</v>
          </cell>
          <cell r="G500">
            <v>0</v>
          </cell>
          <cell r="H500">
            <v>0</v>
          </cell>
          <cell r="I500">
            <v>0</v>
          </cell>
          <cell r="K500">
            <v>0</v>
          </cell>
          <cell r="M500">
            <v>0</v>
          </cell>
          <cell r="O500">
            <v>0</v>
          </cell>
          <cell r="Q500">
            <v>0</v>
          </cell>
          <cell r="S500">
            <v>0</v>
          </cell>
          <cell r="U500">
            <v>0</v>
          </cell>
          <cell r="W500">
            <v>0</v>
          </cell>
          <cell r="Y500">
            <v>0</v>
          </cell>
          <cell r="AA500">
            <v>0</v>
          </cell>
          <cell r="AC500">
            <v>0</v>
          </cell>
          <cell r="AE500">
            <v>0</v>
          </cell>
          <cell r="AG500">
            <v>0</v>
          </cell>
        </row>
        <row r="501">
          <cell r="D501">
            <v>0</v>
          </cell>
          <cell r="E501">
            <v>0</v>
          </cell>
          <cell r="F501">
            <v>0</v>
          </cell>
          <cell r="G501">
            <v>0</v>
          </cell>
          <cell r="H501">
            <v>0</v>
          </cell>
          <cell r="I501">
            <v>0</v>
          </cell>
          <cell r="K501">
            <v>0</v>
          </cell>
          <cell r="M501">
            <v>0</v>
          </cell>
          <cell r="O501">
            <v>0</v>
          </cell>
          <cell r="Q501">
            <v>0</v>
          </cell>
          <cell r="S501">
            <v>0</v>
          </cell>
          <cell r="U501">
            <v>0</v>
          </cell>
          <cell r="W501">
            <v>0</v>
          </cell>
          <cell r="Y501">
            <v>0</v>
          </cell>
          <cell r="AA501">
            <v>0</v>
          </cell>
          <cell r="AC501">
            <v>0</v>
          </cell>
          <cell r="AE501">
            <v>0</v>
          </cell>
          <cell r="AG501">
            <v>0</v>
          </cell>
        </row>
        <row r="502">
          <cell r="D502">
            <v>0</v>
          </cell>
          <cell r="E502">
            <v>0</v>
          </cell>
          <cell r="F502">
            <v>0</v>
          </cell>
          <cell r="G502">
            <v>0</v>
          </cell>
          <cell r="H502">
            <v>0</v>
          </cell>
          <cell r="I502">
            <v>0</v>
          </cell>
          <cell r="K502">
            <v>0</v>
          </cell>
          <cell r="M502">
            <v>0</v>
          </cell>
          <cell r="O502">
            <v>0</v>
          </cell>
          <cell r="Q502">
            <v>0</v>
          </cell>
          <cell r="S502">
            <v>0</v>
          </cell>
          <cell r="U502">
            <v>0</v>
          </cell>
          <cell r="W502">
            <v>0</v>
          </cell>
          <cell r="Y502">
            <v>0</v>
          </cell>
          <cell r="AA502">
            <v>0</v>
          </cell>
          <cell r="AC502">
            <v>0</v>
          </cell>
          <cell r="AE502">
            <v>0</v>
          </cell>
          <cell r="AG502">
            <v>0</v>
          </cell>
        </row>
        <row r="503">
          <cell r="D503">
            <v>0</v>
          </cell>
          <cell r="E503">
            <v>0</v>
          </cell>
          <cell r="F503">
            <v>0</v>
          </cell>
          <cell r="G503">
            <v>0</v>
          </cell>
          <cell r="H503">
            <v>0</v>
          </cell>
          <cell r="I503">
            <v>0</v>
          </cell>
          <cell r="K503">
            <v>0</v>
          </cell>
          <cell r="M503">
            <v>0</v>
          </cell>
          <cell r="O503">
            <v>0</v>
          </cell>
          <cell r="Q503">
            <v>0</v>
          </cell>
          <cell r="S503">
            <v>0</v>
          </cell>
          <cell r="U503">
            <v>0</v>
          </cell>
          <cell r="W503">
            <v>0</v>
          </cell>
          <cell r="Y503">
            <v>0</v>
          </cell>
          <cell r="AA503">
            <v>0</v>
          </cell>
          <cell r="AC503">
            <v>0</v>
          </cell>
          <cell r="AE503">
            <v>0</v>
          </cell>
          <cell r="AG503">
            <v>0</v>
          </cell>
        </row>
        <row r="504">
          <cell r="D504">
            <v>0</v>
          </cell>
          <cell r="E504">
            <v>0</v>
          </cell>
          <cell r="F504">
            <v>0</v>
          </cell>
          <cell r="G504">
            <v>0</v>
          </cell>
          <cell r="H504">
            <v>0</v>
          </cell>
          <cell r="I504">
            <v>0</v>
          </cell>
          <cell r="K504">
            <v>0</v>
          </cell>
          <cell r="M504">
            <v>0</v>
          </cell>
          <cell r="O504">
            <v>0</v>
          </cell>
          <cell r="Q504">
            <v>0</v>
          </cell>
          <cell r="S504">
            <v>0</v>
          </cell>
          <cell r="U504">
            <v>0</v>
          </cell>
          <cell r="W504">
            <v>0</v>
          </cell>
          <cell r="Y504">
            <v>0</v>
          </cell>
          <cell r="AA504">
            <v>0</v>
          </cell>
          <cell r="AC504">
            <v>0</v>
          </cell>
          <cell r="AE504">
            <v>0</v>
          </cell>
          <cell r="AG504">
            <v>0</v>
          </cell>
        </row>
        <row r="505">
          <cell r="D505">
            <v>0</v>
          </cell>
          <cell r="E505">
            <v>0</v>
          </cell>
          <cell r="F505">
            <v>0</v>
          </cell>
          <cell r="G505">
            <v>0</v>
          </cell>
          <cell r="H505">
            <v>0</v>
          </cell>
          <cell r="I505">
            <v>0</v>
          </cell>
          <cell r="K505">
            <v>0</v>
          </cell>
          <cell r="M505">
            <v>0</v>
          </cell>
          <cell r="O505">
            <v>0</v>
          </cell>
          <cell r="Q505">
            <v>0</v>
          </cell>
          <cell r="S505">
            <v>0</v>
          </cell>
          <cell r="U505">
            <v>0</v>
          </cell>
          <cell r="W505">
            <v>0</v>
          </cell>
          <cell r="Y505">
            <v>0</v>
          </cell>
          <cell r="AA505">
            <v>0</v>
          </cell>
          <cell r="AC505">
            <v>0</v>
          </cell>
          <cell r="AE505">
            <v>0</v>
          </cell>
          <cell r="AG505">
            <v>0</v>
          </cell>
        </row>
        <row r="506">
          <cell r="D506">
            <v>0</v>
          </cell>
          <cell r="E506">
            <v>0</v>
          </cell>
          <cell r="F506">
            <v>0</v>
          </cell>
          <cell r="G506">
            <v>0</v>
          </cell>
          <cell r="H506">
            <v>0</v>
          </cell>
          <cell r="I506">
            <v>0</v>
          </cell>
          <cell r="K506">
            <v>0</v>
          </cell>
          <cell r="M506">
            <v>0</v>
          </cell>
          <cell r="O506">
            <v>0</v>
          </cell>
          <cell r="Q506">
            <v>0</v>
          </cell>
          <cell r="S506">
            <v>0</v>
          </cell>
          <cell r="U506">
            <v>0</v>
          </cell>
          <cell r="W506">
            <v>0</v>
          </cell>
          <cell r="Y506">
            <v>0</v>
          </cell>
          <cell r="AA506">
            <v>0</v>
          </cell>
          <cell r="AC506">
            <v>0</v>
          </cell>
          <cell r="AE506">
            <v>0</v>
          </cell>
          <cell r="AG506">
            <v>0</v>
          </cell>
        </row>
        <row r="507">
          <cell r="D507">
            <v>0</v>
          </cell>
          <cell r="E507">
            <v>0</v>
          </cell>
          <cell r="F507">
            <v>0</v>
          </cell>
          <cell r="G507">
            <v>0</v>
          </cell>
          <cell r="H507">
            <v>0</v>
          </cell>
          <cell r="I507">
            <v>0</v>
          </cell>
          <cell r="K507">
            <v>0</v>
          </cell>
          <cell r="M507">
            <v>0</v>
          </cell>
          <cell r="O507">
            <v>0</v>
          </cell>
          <cell r="Q507">
            <v>0</v>
          </cell>
          <cell r="S507">
            <v>0</v>
          </cell>
          <cell r="U507">
            <v>0</v>
          </cell>
          <cell r="W507">
            <v>0</v>
          </cell>
          <cell r="Y507">
            <v>0</v>
          </cell>
          <cell r="AA507">
            <v>0</v>
          </cell>
          <cell r="AC507">
            <v>0</v>
          </cell>
          <cell r="AE507">
            <v>0</v>
          </cell>
          <cell r="AG507">
            <v>0</v>
          </cell>
        </row>
        <row r="508">
          <cell r="D508">
            <v>0</v>
          </cell>
          <cell r="E508">
            <v>0</v>
          </cell>
          <cell r="F508">
            <v>0</v>
          </cell>
          <cell r="G508">
            <v>0</v>
          </cell>
          <cell r="H508">
            <v>0</v>
          </cell>
          <cell r="I508">
            <v>0</v>
          </cell>
          <cell r="K508">
            <v>0</v>
          </cell>
          <cell r="M508">
            <v>0</v>
          </cell>
          <cell r="O508">
            <v>0</v>
          </cell>
          <cell r="Q508">
            <v>0</v>
          </cell>
          <cell r="S508">
            <v>0</v>
          </cell>
          <cell r="U508">
            <v>0</v>
          </cell>
          <cell r="W508">
            <v>0</v>
          </cell>
          <cell r="Y508">
            <v>0</v>
          </cell>
          <cell r="AA508">
            <v>0</v>
          </cell>
          <cell r="AC508">
            <v>0</v>
          </cell>
          <cell r="AE508">
            <v>0</v>
          </cell>
          <cell r="AG508">
            <v>0</v>
          </cell>
        </row>
        <row r="509">
          <cell r="D509">
            <v>0</v>
          </cell>
          <cell r="E509">
            <v>0</v>
          </cell>
          <cell r="F509">
            <v>0</v>
          </cell>
          <cell r="G509">
            <v>0</v>
          </cell>
          <cell r="H509">
            <v>0</v>
          </cell>
          <cell r="I509">
            <v>0</v>
          </cell>
          <cell r="K509">
            <v>0</v>
          </cell>
          <cell r="M509">
            <v>0</v>
          </cell>
          <cell r="O509">
            <v>0</v>
          </cell>
          <cell r="Q509">
            <v>0</v>
          </cell>
          <cell r="S509">
            <v>0</v>
          </cell>
          <cell r="U509">
            <v>0</v>
          </cell>
          <cell r="W509">
            <v>0</v>
          </cell>
          <cell r="Y509">
            <v>0</v>
          </cell>
          <cell r="AA509">
            <v>0</v>
          </cell>
          <cell r="AC509">
            <v>0</v>
          </cell>
          <cell r="AE509">
            <v>0</v>
          </cell>
          <cell r="AG509">
            <v>0</v>
          </cell>
        </row>
        <row r="510">
          <cell r="D510">
            <v>0</v>
          </cell>
          <cell r="E510">
            <v>0</v>
          </cell>
          <cell r="F510">
            <v>0</v>
          </cell>
          <cell r="G510">
            <v>0</v>
          </cell>
          <cell r="H510">
            <v>0</v>
          </cell>
          <cell r="I510">
            <v>0</v>
          </cell>
          <cell r="K510">
            <v>0</v>
          </cell>
          <cell r="M510">
            <v>0</v>
          </cell>
          <cell r="O510">
            <v>0</v>
          </cell>
          <cell r="Q510">
            <v>0</v>
          </cell>
          <cell r="S510">
            <v>0</v>
          </cell>
          <cell r="U510">
            <v>0</v>
          </cell>
          <cell r="W510">
            <v>0</v>
          </cell>
          <cell r="Y510">
            <v>0</v>
          </cell>
          <cell r="AA510">
            <v>0</v>
          </cell>
          <cell r="AC510">
            <v>0</v>
          </cell>
          <cell r="AE510">
            <v>0</v>
          </cell>
          <cell r="AG510">
            <v>0</v>
          </cell>
        </row>
        <row r="511">
          <cell r="D511">
            <v>0</v>
          </cell>
          <cell r="E511">
            <v>0</v>
          </cell>
          <cell r="F511">
            <v>0</v>
          </cell>
          <cell r="G511">
            <v>0</v>
          </cell>
          <cell r="H511">
            <v>0</v>
          </cell>
          <cell r="I511">
            <v>0</v>
          </cell>
          <cell r="K511">
            <v>0</v>
          </cell>
          <cell r="M511">
            <v>0</v>
          </cell>
          <cell r="O511">
            <v>0</v>
          </cell>
          <cell r="Q511">
            <v>0</v>
          </cell>
          <cell r="S511">
            <v>0</v>
          </cell>
          <cell r="U511">
            <v>0</v>
          </cell>
          <cell r="W511">
            <v>0</v>
          </cell>
          <cell r="Y511">
            <v>0</v>
          </cell>
          <cell r="AA511">
            <v>0</v>
          </cell>
          <cell r="AC511">
            <v>0</v>
          </cell>
          <cell r="AE511">
            <v>0</v>
          </cell>
          <cell r="AG511">
            <v>0</v>
          </cell>
        </row>
        <row r="512">
          <cell r="D512">
            <v>0</v>
          </cell>
          <cell r="E512">
            <v>0</v>
          </cell>
          <cell r="F512">
            <v>0</v>
          </cell>
          <cell r="G512">
            <v>0</v>
          </cell>
          <cell r="H512">
            <v>0</v>
          </cell>
          <cell r="I512">
            <v>0</v>
          </cell>
          <cell r="K512">
            <v>0</v>
          </cell>
          <cell r="M512">
            <v>0</v>
          </cell>
          <cell r="O512">
            <v>0</v>
          </cell>
          <cell r="Q512">
            <v>0</v>
          </cell>
          <cell r="S512">
            <v>0</v>
          </cell>
          <cell r="U512">
            <v>0</v>
          </cell>
          <cell r="W512">
            <v>0</v>
          </cell>
          <cell r="Y512">
            <v>0</v>
          </cell>
          <cell r="AA512">
            <v>0</v>
          </cell>
          <cell r="AC512">
            <v>0</v>
          </cell>
          <cell r="AE512">
            <v>0</v>
          </cell>
          <cell r="AG512">
            <v>0</v>
          </cell>
        </row>
        <row r="513">
          <cell r="D513">
            <v>0</v>
          </cell>
          <cell r="E513">
            <v>0</v>
          </cell>
          <cell r="F513">
            <v>0</v>
          </cell>
          <cell r="G513">
            <v>0</v>
          </cell>
          <cell r="H513">
            <v>0</v>
          </cell>
          <cell r="I513">
            <v>0</v>
          </cell>
          <cell r="K513">
            <v>0</v>
          </cell>
          <cell r="M513">
            <v>0</v>
          </cell>
          <cell r="O513">
            <v>0</v>
          </cell>
          <cell r="Q513">
            <v>0</v>
          </cell>
          <cell r="S513">
            <v>0</v>
          </cell>
          <cell r="U513">
            <v>0</v>
          </cell>
          <cell r="W513">
            <v>0</v>
          </cell>
          <cell r="Y513">
            <v>0</v>
          </cell>
          <cell r="AA513">
            <v>0</v>
          </cell>
          <cell r="AC513">
            <v>0</v>
          </cell>
          <cell r="AE513">
            <v>0</v>
          </cell>
          <cell r="AG513">
            <v>0</v>
          </cell>
        </row>
        <row r="514">
          <cell r="D514">
            <v>0</v>
          </cell>
          <cell r="E514">
            <v>0</v>
          </cell>
          <cell r="F514">
            <v>0</v>
          </cell>
          <cell r="G514">
            <v>0</v>
          </cell>
          <cell r="H514">
            <v>0</v>
          </cell>
          <cell r="I514">
            <v>0</v>
          </cell>
          <cell r="K514">
            <v>0</v>
          </cell>
          <cell r="M514">
            <v>0</v>
          </cell>
          <cell r="O514">
            <v>0</v>
          </cell>
          <cell r="Q514">
            <v>0</v>
          </cell>
          <cell r="S514">
            <v>0</v>
          </cell>
          <cell r="U514">
            <v>0</v>
          </cell>
          <cell r="W514">
            <v>0</v>
          </cell>
          <cell r="Y514">
            <v>0</v>
          </cell>
          <cell r="AA514">
            <v>0</v>
          </cell>
          <cell r="AC514">
            <v>0</v>
          </cell>
          <cell r="AE514">
            <v>0</v>
          </cell>
          <cell r="AG514">
            <v>0</v>
          </cell>
        </row>
        <row r="515">
          <cell r="D515">
            <v>0</v>
          </cell>
          <cell r="E515">
            <v>0</v>
          </cell>
          <cell r="F515">
            <v>0</v>
          </cell>
          <cell r="G515">
            <v>0</v>
          </cell>
          <cell r="H515">
            <v>0</v>
          </cell>
          <cell r="I515">
            <v>0</v>
          </cell>
          <cell r="K515">
            <v>0</v>
          </cell>
          <cell r="M515">
            <v>0</v>
          </cell>
          <cell r="O515">
            <v>0</v>
          </cell>
          <cell r="Q515">
            <v>0</v>
          </cell>
          <cell r="S515">
            <v>0</v>
          </cell>
          <cell r="U515">
            <v>0</v>
          </cell>
          <cell r="W515">
            <v>0</v>
          </cell>
          <cell r="Y515">
            <v>0</v>
          </cell>
          <cell r="AA515">
            <v>0</v>
          </cell>
          <cell r="AC515">
            <v>0</v>
          </cell>
          <cell r="AE515">
            <v>0</v>
          </cell>
          <cell r="AG515">
            <v>0</v>
          </cell>
        </row>
        <row r="516">
          <cell r="D516">
            <v>0</v>
          </cell>
          <cell r="E516">
            <v>0</v>
          </cell>
          <cell r="F516">
            <v>0</v>
          </cell>
          <cell r="G516">
            <v>0</v>
          </cell>
          <cell r="H516">
            <v>0</v>
          </cell>
          <cell r="I516">
            <v>0</v>
          </cell>
          <cell r="K516">
            <v>0</v>
          </cell>
          <cell r="M516">
            <v>0</v>
          </cell>
          <cell r="O516">
            <v>0</v>
          </cell>
          <cell r="Q516">
            <v>0</v>
          </cell>
          <cell r="S516">
            <v>0</v>
          </cell>
          <cell r="U516">
            <v>0</v>
          </cell>
          <cell r="W516">
            <v>0</v>
          </cell>
          <cell r="Y516">
            <v>0</v>
          </cell>
          <cell r="AA516">
            <v>0</v>
          </cell>
          <cell r="AC516">
            <v>0</v>
          </cell>
          <cell r="AE516">
            <v>0</v>
          </cell>
          <cell r="AG516">
            <v>0</v>
          </cell>
        </row>
        <row r="517">
          <cell r="D517">
            <v>0</v>
          </cell>
          <cell r="E517">
            <v>0</v>
          </cell>
          <cell r="F517">
            <v>0</v>
          </cell>
          <cell r="G517">
            <v>0</v>
          </cell>
          <cell r="H517">
            <v>0</v>
          </cell>
          <cell r="I517">
            <v>0</v>
          </cell>
          <cell r="K517">
            <v>0</v>
          </cell>
          <cell r="M517">
            <v>0</v>
          </cell>
          <cell r="O517">
            <v>0</v>
          </cell>
          <cell r="Q517">
            <v>0</v>
          </cell>
          <cell r="S517">
            <v>0</v>
          </cell>
          <cell r="U517">
            <v>0</v>
          </cell>
          <cell r="W517">
            <v>0</v>
          </cell>
          <cell r="Y517">
            <v>0</v>
          </cell>
          <cell r="AA517">
            <v>0</v>
          </cell>
          <cell r="AC517">
            <v>0</v>
          </cell>
          <cell r="AE517">
            <v>0</v>
          </cell>
          <cell r="AG517">
            <v>0</v>
          </cell>
        </row>
        <row r="518">
          <cell r="D518">
            <v>0</v>
          </cell>
          <cell r="E518">
            <v>0</v>
          </cell>
          <cell r="F518">
            <v>0</v>
          </cell>
          <cell r="G518">
            <v>0</v>
          </cell>
          <cell r="H518">
            <v>0</v>
          </cell>
          <cell r="I518">
            <v>0</v>
          </cell>
          <cell r="K518">
            <v>0</v>
          </cell>
          <cell r="M518">
            <v>0</v>
          </cell>
          <cell r="O518">
            <v>0</v>
          </cell>
          <cell r="Q518">
            <v>0</v>
          </cell>
          <cell r="S518">
            <v>0</v>
          </cell>
          <cell r="U518">
            <v>0</v>
          </cell>
          <cell r="W518">
            <v>0</v>
          </cell>
          <cell r="Y518">
            <v>0</v>
          </cell>
          <cell r="AA518">
            <v>0</v>
          </cell>
          <cell r="AC518">
            <v>0</v>
          </cell>
          <cell r="AE518">
            <v>0</v>
          </cell>
          <cell r="AG518">
            <v>0</v>
          </cell>
        </row>
        <row r="519">
          <cell r="D519">
            <v>0</v>
          </cell>
          <cell r="E519">
            <v>0</v>
          </cell>
          <cell r="F519">
            <v>0</v>
          </cell>
          <cell r="G519">
            <v>0</v>
          </cell>
          <cell r="H519">
            <v>0</v>
          </cell>
          <cell r="I519">
            <v>0</v>
          </cell>
          <cell r="K519">
            <v>0</v>
          </cell>
          <cell r="M519">
            <v>0</v>
          </cell>
          <cell r="O519">
            <v>0</v>
          </cell>
          <cell r="Q519">
            <v>0</v>
          </cell>
          <cell r="S519">
            <v>0</v>
          </cell>
          <cell r="U519">
            <v>0</v>
          </cell>
          <cell r="W519">
            <v>0</v>
          </cell>
          <cell r="Y519">
            <v>0</v>
          </cell>
          <cell r="AA519">
            <v>0</v>
          </cell>
          <cell r="AC519">
            <v>0</v>
          </cell>
          <cell r="AE519">
            <v>0</v>
          </cell>
          <cell r="AG519">
            <v>0</v>
          </cell>
        </row>
        <row r="520">
          <cell r="D520">
            <v>0</v>
          </cell>
          <cell r="E520">
            <v>0</v>
          </cell>
          <cell r="F520">
            <v>0</v>
          </cell>
          <cell r="G520">
            <v>0</v>
          </cell>
          <cell r="H520">
            <v>0</v>
          </cell>
          <cell r="I520">
            <v>0</v>
          </cell>
          <cell r="K520">
            <v>0</v>
          </cell>
          <cell r="M520">
            <v>0</v>
          </cell>
          <cell r="O520">
            <v>0</v>
          </cell>
          <cell r="Q520">
            <v>0</v>
          </cell>
          <cell r="S520">
            <v>0</v>
          </cell>
          <cell r="U520">
            <v>0</v>
          </cell>
          <cell r="W520">
            <v>0</v>
          </cell>
          <cell r="Y520">
            <v>0</v>
          </cell>
          <cell r="AA520">
            <v>0</v>
          </cell>
          <cell r="AC520">
            <v>0</v>
          </cell>
          <cell r="AE520">
            <v>0</v>
          </cell>
          <cell r="AG520">
            <v>0</v>
          </cell>
        </row>
        <row r="521">
          <cell r="D521">
            <v>0</v>
          </cell>
          <cell r="E521">
            <v>0</v>
          </cell>
          <cell r="F521">
            <v>0</v>
          </cell>
          <cell r="G521">
            <v>0</v>
          </cell>
          <cell r="H521">
            <v>0</v>
          </cell>
          <cell r="I521">
            <v>0</v>
          </cell>
          <cell r="K521">
            <v>0</v>
          </cell>
          <cell r="M521">
            <v>0</v>
          </cell>
          <cell r="O521">
            <v>0</v>
          </cell>
          <cell r="Q521">
            <v>0</v>
          </cell>
          <cell r="S521">
            <v>0</v>
          </cell>
          <cell r="U521">
            <v>0</v>
          </cell>
          <cell r="W521">
            <v>0</v>
          </cell>
          <cell r="Y521">
            <v>0</v>
          </cell>
          <cell r="AA521">
            <v>0</v>
          </cell>
          <cell r="AC521">
            <v>0</v>
          </cell>
          <cell r="AE521">
            <v>0</v>
          </cell>
          <cell r="AG521">
            <v>0</v>
          </cell>
        </row>
        <row r="522">
          <cell r="D522">
            <v>0</v>
          </cell>
          <cell r="E522">
            <v>0</v>
          </cell>
          <cell r="F522">
            <v>0</v>
          </cell>
          <cell r="G522">
            <v>0</v>
          </cell>
          <cell r="H522">
            <v>0</v>
          </cell>
          <cell r="I522">
            <v>0</v>
          </cell>
          <cell r="K522">
            <v>0</v>
          </cell>
          <cell r="M522">
            <v>0</v>
          </cell>
          <cell r="O522">
            <v>0</v>
          </cell>
          <cell r="Q522">
            <v>0</v>
          </cell>
          <cell r="S522">
            <v>0</v>
          </cell>
          <cell r="U522">
            <v>0</v>
          </cell>
          <cell r="W522">
            <v>0</v>
          </cell>
          <cell r="Y522">
            <v>0</v>
          </cell>
          <cell r="AA522">
            <v>0</v>
          </cell>
          <cell r="AC522">
            <v>0</v>
          </cell>
          <cell r="AE522">
            <v>0</v>
          </cell>
          <cell r="AG522">
            <v>0</v>
          </cell>
        </row>
        <row r="523">
          <cell r="D523">
            <v>0</v>
          </cell>
          <cell r="E523">
            <v>0</v>
          </cell>
          <cell r="F523">
            <v>0</v>
          </cell>
          <cell r="G523">
            <v>0</v>
          </cell>
          <cell r="H523">
            <v>0</v>
          </cell>
          <cell r="I523">
            <v>0</v>
          </cell>
          <cell r="K523">
            <v>0</v>
          </cell>
          <cell r="M523">
            <v>0</v>
          </cell>
          <cell r="O523">
            <v>0</v>
          </cell>
          <cell r="Q523">
            <v>0</v>
          </cell>
          <cell r="S523">
            <v>0</v>
          </cell>
          <cell r="U523">
            <v>0</v>
          </cell>
          <cell r="W523">
            <v>0</v>
          </cell>
          <cell r="Y523">
            <v>0</v>
          </cell>
          <cell r="AA523">
            <v>0</v>
          </cell>
          <cell r="AC523">
            <v>0</v>
          </cell>
          <cell r="AE523">
            <v>0</v>
          </cell>
          <cell r="AG523">
            <v>0</v>
          </cell>
        </row>
        <row r="524">
          <cell r="D524">
            <v>0</v>
          </cell>
          <cell r="E524">
            <v>0</v>
          </cell>
          <cell r="F524">
            <v>0</v>
          </cell>
          <cell r="G524">
            <v>0</v>
          </cell>
          <cell r="H524">
            <v>0</v>
          </cell>
          <cell r="I524">
            <v>0</v>
          </cell>
          <cell r="K524">
            <v>0</v>
          </cell>
          <cell r="M524">
            <v>0</v>
          </cell>
          <cell r="O524">
            <v>0</v>
          </cell>
          <cell r="Q524">
            <v>0</v>
          </cell>
          <cell r="S524">
            <v>0</v>
          </cell>
          <cell r="U524">
            <v>0</v>
          </cell>
          <cell r="W524">
            <v>0</v>
          </cell>
          <cell r="Y524">
            <v>0</v>
          </cell>
          <cell r="AA524">
            <v>0</v>
          </cell>
          <cell r="AC524">
            <v>0</v>
          </cell>
          <cell r="AE524">
            <v>0</v>
          </cell>
          <cell r="AG524">
            <v>0</v>
          </cell>
        </row>
        <row r="525">
          <cell r="D525">
            <v>0</v>
          </cell>
          <cell r="E525">
            <v>0</v>
          </cell>
          <cell r="F525">
            <v>0</v>
          </cell>
          <cell r="G525">
            <v>0</v>
          </cell>
          <cell r="H525">
            <v>0</v>
          </cell>
          <cell r="I525">
            <v>0</v>
          </cell>
          <cell r="K525">
            <v>0</v>
          </cell>
          <cell r="M525">
            <v>0</v>
          </cell>
          <cell r="O525">
            <v>0</v>
          </cell>
          <cell r="Q525">
            <v>0</v>
          </cell>
          <cell r="S525">
            <v>0</v>
          </cell>
          <cell r="U525">
            <v>0</v>
          </cell>
          <cell r="W525">
            <v>0</v>
          </cell>
          <cell r="Y525">
            <v>0</v>
          </cell>
          <cell r="AA525">
            <v>0</v>
          </cell>
          <cell r="AC525">
            <v>0</v>
          </cell>
          <cell r="AE525">
            <v>0</v>
          </cell>
          <cell r="AG525">
            <v>0</v>
          </cell>
        </row>
        <row r="526">
          <cell r="D526">
            <v>0</v>
          </cell>
          <cell r="E526">
            <v>0</v>
          </cell>
          <cell r="F526">
            <v>0</v>
          </cell>
          <cell r="G526">
            <v>0</v>
          </cell>
          <cell r="H526">
            <v>0</v>
          </cell>
          <cell r="I526">
            <v>0</v>
          </cell>
          <cell r="K526">
            <v>0</v>
          </cell>
          <cell r="M526">
            <v>0</v>
          </cell>
          <cell r="O526">
            <v>0</v>
          </cell>
          <cell r="Q526">
            <v>0</v>
          </cell>
          <cell r="S526">
            <v>0</v>
          </cell>
          <cell r="U526">
            <v>0</v>
          </cell>
          <cell r="W526">
            <v>0</v>
          </cell>
          <cell r="Y526">
            <v>0</v>
          </cell>
          <cell r="AA526">
            <v>0</v>
          </cell>
          <cell r="AC526">
            <v>0</v>
          </cell>
          <cell r="AE526">
            <v>0</v>
          </cell>
          <cell r="AG526">
            <v>0</v>
          </cell>
        </row>
        <row r="527">
          <cell r="D527">
            <v>0</v>
          </cell>
          <cell r="E527">
            <v>0</v>
          </cell>
          <cell r="F527">
            <v>0</v>
          </cell>
          <cell r="G527">
            <v>0</v>
          </cell>
          <cell r="H527">
            <v>0</v>
          </cell>
          <cell r="I527">
            <v>0</v>
          </cell>
          <cell r="K527">
            <v>0</v>
          </cell>
          <cell r="M527">
            <v>0</v>
          </cell>
          <cell r="O527">
            <v>0</v>
          </cell>
          <cell r="Q527">
            <v>0</v>
          </cell>
          <cell r="S527">
            <v>0</v>
          </cell>
          <cell r="U527">
            <v>0</v>
          </cell>
          <cell r="W527">
            <v>0</v>
          </cell>
          <cell r="Y527">
            <v>0</v>
          </cell>
          <cell r="AA527">
            <v>0</v>
          </cell>
          <cell r="AC527">
            <v>0</v>
          </cell>
          <cell r="AE527">
            <v>0</v>
          </cell>
          <cell r="AG527">
            <v>0</v>
          </cell>
        </row>
        <row r="528">
          <cell r="D528">
            <v>0</v>
          </cell>
          <cell r="E528">
            <v>0</v>
          </cell>
          <cell r="F528">
            <v>0</v>
          </cell>
          <cell r="G528">
            <v>0</v>
          </cell>
          <cell r="H528">
            <v>0</v>
          </cell>
          <cell r="I528">
            <v>0</v>
          </cell>
          <cell r="K528">
            <v>0</v>
          </cell>
          <cell r="M528">
            <v>0</v>
          </cell>
          <cell r="O528">
            <v>0</v>
          </cell>
          <cell r="Q528">
            <v>0</v>
          </cell>
          <cell r="S528">
            <v>0</v>
          </cell>
          <cell r="U528">
            <v>0</v>
          </cell>
          <cell r="W528">
            <v>0</v>
          </cell>
          <cell r="Y528">
            <v>0</v>
          </cell>
          <cell r="AA528">
            <v>0</v>
          </cell>
          <cell r="AC528">
            <v>0</v>
          </cell>
          <cell r="AE528">
            <v>0</v>
          </cell>
          <cell r="AG528">
            <v>0</v>
          </cell>
        </row>
        <row r="529">
          <cell r="D529">
            <v>0</v>
          </cell>
          <cell r="E529">
            <v>0</v>
          </cell>
          <cell r="F529">
            <v>0</v>
          </cell>
          <cell r="G529">
            <v>0</v>
          </cell>
          <cell r="H529">
            <v>0</v>
          </cell>
          <cell r="I529">
            <v>0</v>
          </cell>
          <cell r="K529">
            <v>0</v>
          </cell>
          <cell r="M529">
            <v>0</v>
          </cell>
          <cell r="O529">
            <v>0</v>
          </cell>
          <cell r="Q529">
            <v>0</v>
          </cell>
          <cell r="S529">
            <v>0</v>
          </cell>
          <cell r="U529">
            <v>0</v>
          </cell>
          <cell r="W529">
            <v>0</v>
          </cell>
          <cell r="Y529">
            <v>0</v>
          </cell>
          <cell r="AA529">
            <v>0</v>
          </cell>
          <cell r="AC529">
            <v>0</v>
          </cell>
          <cell r="AE529">
            <v>0</v>
          </cell>
          <cell r="AG529">
            <v>0</v>
          </cell>
        </row>
        <row r="530">
          <cell r="D530">
            <v>0</v>
          </cell>
          <cell r="E530">
            <v>0</v>
          </cell>
          <cell r="F530">
            <v>0</v>
          </cell>
          <cell r="G530">
            <v>0</v>
          </cell>
          <cell r="H530">
            <v>0</v>
          </cell>
          <cell r="I530">
            <v>0</v>
          </cell>
          <cell r="K530">
            <v>0</v>
          </cell>
          <cell r="M530">
            <v>0</v>
          </cell>
          <cell r="O530">
            <v>0</v>
          </cell>
          <cell r="Q530">
            <v>0</v>
          </cell>
          <cell r="S530">
            <v>0</v>
          </cell>
          <cell r="U530">
            <v>0</v>
          </cell>
          <cell r="W530">
            <v>0</v>
          </cell>
          <cell r="Y530">
            <v>0</v>
          </cell>
          <cell r="AA530">
            <v>0</v>
          </cell>
          <cell r="AC530">
            <v>0</v>
          </cell>
          <cell r="AE530">
            <v>0</v>
          </cell>
          <cell r="AG530">
            <v>0</v>
          </cell>
        </row>
        <row r="531">
          <cell r="D531">
            <v>0</v>
          </cell>
          <cell r="E531">
            <v>0</v>
          </cell>
          <cell r="F531">
            <v>0</v>
          </cell>
          <cell r="G531">
            <v>0</v>
          </cell>
          <cell r="H531">
            <v>0</v>
          </cell>
          <cell r="I531">
            <v>0</v>
          </cell>
          <cell r="K531">
            <v>0</v>
          </cell>
          <cell r="M531">
            <v>0</v>
          </cell>
          <cell r="O531">
            <v>0</v>
          </cell>
          <cell r="Q531">
            <v>0</v>
          </cell>
          <cell r="S531">
            <v>0</v>
          </cell>
          <cell r="U531">
            <v>0</v>
          </cell>
          <cell r="W531">
            <v>0</v>
          </cell>
          <cell r="Y531">
            <v>0</v>
          </cell>
          <cell r="AA531">
            <v>0</v>
          </cell>
          <cell r="AC531">
            <v>0</v>
          </cell>
          <cell r="AE531">
            <v>0</v>
          </cell>
          <cell r="AG531">
            <v>0</v>
          </cell>
        </row>
        <row r="532">
          <cell r="D532">
            <v>0</v>
          </cell>
          <cell r="E532">
            <v>0</v>
          </cell>
          <cell r="F532">
            <v>0</v>
          </cell>
          <cell r="G532">
            <v>0</v>
          </cell>
          <cell r="H532">
            <v>0</v>
          </cell>
          <cell r="I532">
            <v>0</v>
          </cell>
          <cell r="K532">
            <v>0</v>
          </cell>
          <cell r="M532">
            <v>0</v>
          </cell>
          <cell r="O532">
            <v>0</v>
          </cell>
          <cell r="Q532">
            <v>0</v>
          </cell>
          <cell r="S532">
            <v>0</v>
          </cell>
          <cell r="U532">
            <v>0</v>
          </cell>
          <cell r="W532">
            <v>0</v>
          </cell>
          <cell r="Y532">
            <v>0</v>
          </cell>
          <cell r="AA532">
            <v>0</v>
          </cell>
          <cell r="AC532">
            <v>0</v>
          </cell>
          <cell r="AE532">
            <v>0</v>
          </cell>
          <cell r="AG532">
            <v>0</v>
          </cell>
        </row>
        <row r="533">
          <cell r="D533">
            <v>0</v>
          </cell>
          <cell r="E533">
            <v>0</v>
          </cell>
          <cell r="F533">
            <v>0</v>
          </cell>
          <cell r="G533">
            <v>0</v>
          </cell>
          <cell r="H533">
            <v>0</v>
          </cell>
          <cell r="I533">
            <v>0</v>
          </cell>
          <cell r="K533">
            <v>0</v>
          </cell>
          <cell r="M533">
            <v>0</v>
          </cell>
          <cell r="O533">
            <v>0</v>
          </cell>
          <cell r="Q533">
            <v>0</v>
          </cell>
          <cell r="S533">
            <v>0</v>
          </cell>
          <cell r="U533">
            <v>0</v>
          </cell>
          <cell r="W533">
            <v>0</v>
          </cell>
          <cell r="Y533">
            <v>0</v>
          </cell>
          <cell r="AA533">
            <v>0</v>
          </cell>
          <cell r="AC533">
            <v>0</v>
          </cell>
          <cell r="AE533">
            <v>0</v>
          </cell>
          <cell r="AG533">
            <v>0</v>
          </cell>
        </row>
        <row r="534">
          <cell r="D534">
            <v>0</v>
          </cell>
          <cell r="E534">
            <v>0</v>
          </cell>
          <cell r="F534">
            <v>0</v>
          </cell>
          <cell r="G534">
            <v>0</v>
          </cell>
          <cell r="H534">
            <v>0</v>
          </cell>
          <cell r="I534">
            <v>0</v>
          </cell>
          <cell r="K534">
            <v>0</v>
          </cell>
          <cell r="M534">
            <v>0</v>
          </cell>
          <cell r="O534">
            <v>0</v>
          </cell>
          <cell r="Q534">
            <v>0</v>
          </cell>
          <cell r="S534">
            <v>0</v>
          </cell>
          <cell r="U534">
            <v>0</v>
          </cell>
          <cell r="W534">
            <v>0</v>
          </cell>
          <cell r="Y534">
            <v>0</v>
          </cell>
          <cell r="AA534">
            <v>0</v>
          </cell>
          <cell r="AC534">
            <v>0</v>
          </cell>
          <cell r="AE534">
            <v>0</v>
          </cell>
          <cell r="AG534">
            <v>0</v>
          </cell>
        </row>
        <row r="535">
          <cell r="D535">
            <v>0</v>
          </cell>
          <cell r="E535">
            <v>0</v>
          </cell>
          <cell r="F535">
            <v>0</v>
          </cell>
          <cell r="G535">
            <v>0</v>
          </cell>
          <cell r="H535">
            <v>0</v>
          </cell>
          <cell r="I535">
            <v>0</v>
          </cell>
          <cell r="K535">
            <v>0</v>
          </cell>
          <cell r="M535">
            <v>0</v>
          </cell>
          <cell r="O535">
            <v>0</v>
          </cell>
          <cell r="Q535">
            <v>0</v>
          </cell>
          <cell r="S535">
            <v>0</v>
          </cell>
          <cell r="U535">
            <v>0</v>
          </cell>
          <cell r="W535">
            <v>0</v>
          </cell>
          <cell r="Y535">
            <v>0</v>
          </cell>
          <cell r="AA535">
            <v>0</v>
          </cell>
          <cell r="AC535">
            <v>0</v>
          </cell>
          <cell r="AE535">
            <v>0</v>
          </cell>
          <cell r="AG535">
            <v>0</v>
          </cell>
        </row>
        <row r="536">
          <cell r="D536">
            <v>0</v>
          </cell>
          <cell r="E536">
            <v>0</v>
          </cell>
          <cell r="F536">
            <v>0</v>
          </cell>
          <cell r="G536">
            <v>0</v>
          </cell>
          <cell r="H536">
            <v>0</v>
          </cell>
          <cell r="I536">
            <v>0</v>
          </cell>
          <cell r="K536">
            <v>0</v>
          </cell>
          <cell r="M536">
            <v>0</v>
          </cell>
          <cell r="O536">
            <v>0</v>
          </cell>
          <cell r="Q536">
            <v>0</v>
          </cell>
          <cell r="S536">
            <v>0</v>
          </cell>
          <cell r="U536">
            <v>0</v>
          </cell>
          <cell r="W536">
            <v>0</v>
          </cell>
          <cell r="Y536">
            <v>0</v>
          </cell>
          <cell r="AA536">
            <v>0</v>
          </cell>
          <cell r="AC536">
            <v>0</v>
          </cell>
          <cell r="AE536">
            <v>0</v>
          </cell>
          <cell r="AG536">
            <v>0</v>
          </cell>
        </row>
        <row r="537">
          <cell r="D537">
            <v>0</v>
          </cell>
          <cell r="E537">
            <v>0</v>
          </cell>
          <cell r="F537">
            <v>0</v>
          </cell>
          <cell r="G537">
            <v>0</v>
          </cell>
          <cell r="H537">
            <v>0</v>
          </cell>
          <cell r="I537">
            <v>0</v>
          </cell>
          <cell r="K537">
            <v>0</v>
          </cell>
          <cell r="M537">
            <v>0</v>
          </cell>
          <cell r="O537">
            <v>0</v>
          </cell>
          <cell r="Q537">
            <v>0</v>
          </cell>
          <cell r="S537">
            <v>0</v>
          </cell>
          <cell r="U537">
            <v>0</v>
          </cell>
          <cell r="W537">
            <v>0</v>
          </cell>
          <cell r="Y537">
            <v>0</v>
          </cell>
          <cell r="AA537">
            <v>0</v>
          </cell>
          <cell r="AC537">
            <v>0</v>
          </cell>
          <cell r="AE537">
            <v>0</v>
          </cell>
          <cell r="AG537">
            <v>0</v>
          </cell>
        </row>
        <row r="538">
          <cell r="D538">
            <v>0</v>
          </cell>
          <cell r="E538">
            <v>0</v>
          </cell>
          <cell r="F538">
            <v>0</v>
          </cell>
          <cell r="G538">
            <v>0</v>
          </cell>
          <cell r="H538">
            <v>0</v>
          </cell>
          <cell r="I538">
            <v>0</v>
          </cell>
          <cell r="K538">
            <v>0</v>
          </cell>
          <cell r="M538">
            <v>0</v>
          </cell>
          <cell r="O538">
            <v>0</v>
          </cell>
          <cell r="Q538">
            <v>0</v>
          </cell>
          <cell r="S538">
            <v>0</v>
          </cell>
          <cell r="U538">
            <v>0</v>
          </cell>
          <cell r="W538">
            <v>0</v>
          </cell>
          <cell r="Y538">
            <v>0</v>
          </cell>
          <cell r="AA538">
            <v>0</v>
          </cell>
          <cell r="AC538">
            <v>0</v>
          </cell>
          <cell r="AE538">
            <v>0</v>
          </cell>
          <cell r="AG538">
            <v>0</v>
          </cell>
        </row>
        <row r="539">
          <cell r="D539">
            <v>0</v>
          </cell>
          <cell r="E539">
            <v>0</v>
          </cell>
          <cell r="F539">
            <v>0</v>
          </cell>
          <cell r="G539">
            <v>0</v>
          </cell>
          <cell r="H539">
            <v>0</v>
          </cell>
          <cell r="I539">
            <v>0</v>
          </cell>
          <cell r="K539">
            <v>0</v>
          </cell>
          <cell r="M539">
            <v>0</v>
          </cell>
          <cell r="O539">
            <v>0</v>
          </cell>
          <cell r="Q539">
            <v>0</v>
          </cell>
          <cell r="S539">
            <v>0</v>
          </cell>
          <cell r="U539">
            <v>0</v>
          </cell>
          <cell r="W539">
            <v>0</v>
          </cell>
          <cell r="Y539">
            <v>0</v>
          </cell>
          <cell r="AA539">
            <v>0</v>
          </cell>
          <cell r="AC539">
            <v>0</v>
          </cell>
          <cell r="AE539">
            <v>0</v>
          </cell>
          <cell r="AG539">
            <v>0</v>
          </cell>
        </row>
        <row r="540">
          <cell r="D540">
            <v>0</v>
          </cell>
          <cell r="E540">
            <v>0</v>
          </cell>
          <cell r="F540">
            <v>0</v>
          </cell>
          <cell r="G540">
            <v>0</v>
          </cell>
          <cell r="H540">
            <v>0</v>
          </cell>
          <cell r="I540">
            <v>0</v>
          </cell>
          <cell r="K540">
            <v>0</v>
          </cell>
          <cell r="M540">
            <v>0</v>
          </cell>
          <cell r="O540">
            <v>0</v>
          </cell>
          <cell r="Q540">
            <v>0</v>
          </cell>
          <cell r="S540">
            <v>0</v>
          </cell>
          <cell r="U540">
            <v>0</v>
          </cell>
          <cell r="W540">
            <v>0</v>
          </cell>
          <cell r="Y540">
            <v>0</v>
          </cell>
          <cell r="AA540">
            <v>0</v>
          </cell>
          <cell r="AC540">
            <v>0</v>
          </cell>
          <cell r="AE540">
            <v>0</v>
          </cell>
          <cell r="AG540">
            <v>0</v>
          </cell>
        </row>
        <row r="541">
          <cell r="D541">
            <v>0</v>
          </cell>
          <cell r="E541">
            <v>0</v>
          </cell>
          <cell r="F541">
            <v>0</v>
          </cell>
          <cell r="G541">
            <v>0</v>
          </cell>
          <cell r="H541">
            <v>0</v>
          </cell>
          <cell r="I541">
            <v>0</v>
          </cell>
          <cell r="K541">
            <v>0</v>
          </cell>
          <cell r="M541">
            <v>0</v>
          </cell>
          <cell r="O541">
            <v>0</v>
          </cell>
          <cell r="Q541">
            <v>0</v>
          </cell>
          <cell r="S541">
            <v>0</v>
          </cell>
          <cell r="U541">
            <v>0</v>
          </cell>
          <cell r="W541">
            <v>0</v>
          </cell>
          <cell r="Y541">
            <v>0</v>
          </cell>
          <cell r="AA541">
            <v>0</v>
          </cell>
          <cell r="AC541">
            <v>0</v>
          </cell>
          <cell r="AE541">
            <v>0</v>
          </cell>
          <cell r="AG541">
            <v>0</v>
          </cell>
        </row>
        <row r="542">
          <cell r="D542">
            <v>0</v>
          </cell>
          <cell r="E542">
            <v>0</v>
          </cell>
          <cell r="F542">
            <v>0</v>
          </cell>
          <cell r="G542">
            <v>0</v>
          </cell>
          <cell r="H542">
            <v>0</v>
          </cell>
          <cell r="I542">
            <v>0</v>
          </cell>
          <cell r="K542">
            <v>0</v>
          </cell>
          <cell r="M542">
            <v>0</v>
          </cell>
          <cell r="O542">
            <v>0</v>
          </cell>
          <cell r="Q542">
            <v>0</v>
          </cell>
          <cell r="S542">
            <v>0</v>
          </cell>
          <cell r="U542">
            <v>0</v>
          </cell>
          <cell r="W542">
            <v>0</v>
          </cell>
          <cell r="Y542">
            <v>0</v>
          </cell>
          <cell r="AA542">
            <v>0</v>
          </cell>
          <cell r="AC542">
            <v>0</v>
          </cell>
          <cell r="AE542">
            <v>0</v>
          </cell>
          <cell r="AG542">
            <v>0</v>
          </cell>
        </row>
        <row r="543">
          <cell r="D543">
            <v>0</v>
          </cell>
          <cell r="E543">
            <v>0</v>
          </cell>
          <cell r="F543">
            <v>0</v>
          </cell>
          <cell r="G543">
            <v>0</v>
          </cell>
          <cell r="H543">
            <v>0</v>
          </cell>
          <cell r="I543">
            <v>0</v>
          </cell>
          <cell r="K543">
            <v>0</v>
          </cell>
          <cell r="M543">
            <v>0</v>
          </cell>
          <cell r="O543">
            <v>0</v>
          </cell>
          <cell r="Q543">
            <v>0</v>
          </cell>
          <cell r="S543">
            <v>0</v>
          </cell>
          <cell r="U543">
            <v>0</v>
          </cell>
          <cell r="W543">
            <v>0</v>
          </cell>
          <cell r="Y543">
            <v>0</v>
          </cell>
          <cell r="AA543">
            <v>0</v>
          </cell>
          <cell r="AC543">
            <v>0</v>
          </cell>
          <cell r="AE543">
            <v>0</v>
          </cell>
          <cell r="AG543">
            <v>0</v>
          </cell>
        </row>
        <row r="544">
          <cell r="D544">
            <v>0</v>
          </cell>
          <cell r="E544">
            <v>0</v>
          </cell>
          <cell r="F544">
            <v>0</v>
          </cell>
          <cell r="G544">
            <v>0</v>
          </cell>
          <cell r="H544">
            <v>0</v>
          </cell>
          <cell r="I544">
            <v>0</v>
          </cell>
          <cell r="K544">
            <v>0</v>
          </cell>
          <cell r="M544">
            <v>0</v>
          </cell>
          <cell r="O544">
            <v>0</v>
          </cell>
          <cell r="Q544">
            <v>0</v>
          </cell>
          <cell r="S544">
            <v>0</v>
          </cell>
          <cell r="U544">
            <v>0</v>
          </cell>
          <cell r="W544">
            <v>0</v>
          </cell>
          <cell r="Y544">
            <v>0</v>
          </cell>
          <cell r="AA544">
            <v>0</v>
          </cell>
          <cell r="AC544">
            <v>0</v>
          </cell>
          <cell r="AE544">
            <v>0</v>
          </cell>
          <cell r="AG544">
            <v>0</v>
          </cell>
        </row>
        <row r="545">
          <cell r="D545">
            <v>0</v>
          </cell>
          <cell r="E545">
            <v>0</v>
          </cell>
          <cell r="F545">
            <v>0</v>
          </cell>
          <cell r="G545">
            <v>0</v>
          </cell>
          <cell r="H545">
            <v>0</v>
          </cell>
          <cell r="I545">
            <v>0</v>
          </cell>
          <cell r="K545">
            <v>0</v>
          </cell>
          <cell r="M545">
            <v>0</v>
          </cell>
          <cell r="O545">
            <v>0</v>
          </cell>
          <cell r="Q545">
            <v>0</v>
          </cell>
          <cell r="S545">
            <v>0</v>
          </cell>
          <cell r="U545">
            <v>0</v>
          </cell>
          <cell r="W545">
            <v>0</v>
          </cell>
          <cell r="Y545">
            <v>0</v>
          </cell>
          <cell r="AA545">
            <v>0</v>
          </cell>
          <cell r="AC545">
            <v>0</v>
          </cell>
          <cell r="AE545">
            <v>0</v>
          </cell>
          <cell r="AG545">
            <v>0</v>
          </cell>
        </row>
        <row r="546">
          <cell r="D546">
            <v>0</v>
          </cell>
          <cell r="E546">
            <v>0</v>
          </cell>
          <cell r="F546">
            <v>0</v>
          </cell>
          <cell r="G546">
            <v>0</v>
          </cell>
          <cell r="H546">
            <v>0</v>
          </cell>
          <cell r="I546">
            <v>0</v>
          </cell>
          <cell r="K546">
            <v>0</v>
          </cell>
          <cell r="M546">
            <v>0</v>
          </cell>
          <cell r="O546">
            <v>0</v>
          </cell>
          <cell r="Q546">
            <v>0</v>
          </cell>
          <cell r="S546">
            <v>0</v>
          </cell>
          <cell r="U546">
            <v>0</v>
          </cell>
          <cell r="W546">
            <v>0</v>
          </cell>
          <cell r="Y546">
            <v>0</v>
          </cell>
          <cell r="AA546">
            <v>0</v>
          </cell>
          <cell r="AC546">
            <v>0</v>
          </cell>
          <cell r="AE546">
            <v>0</v>
          </cell>
          <cell r="AG546">
            <v>0</v>
          </cell>
        </row>
        <row r="547">
          <cell r="D547">
            <v>0</v>
          </cell>
          <cell r="E547">
            <v>0</v>
          </cell>
          <cell r="F547">
            <v>0</v>
          </cell>
          <cell r="G547">
            <v>0</v>
          </cell>
          <cell r="H547">
            <v>0</v>
          </cell>
          <cell r="I547">
            <v>0</v>
          </cell>
          <cell r="K547">
            <v>0</v>
          </cell>
          <cell r="M547">
            <v>0</v>
          </cell>
          <cell r="O547">
            <v>0</v>
          </cell>
          <cell r="Q547">
            <v>0</v>
          </cell>
          <cell r="S547">
            <v>0</v>
          </cell>
          <cell r="U547">
            <v>0</v>
          </cell>
          <cell r="W547">
            <v>0</v>
          </cell>
          <cell r="Y547">
            <v>0</v>
          </cell>
          <cell r="AA547">
            <v>0</v>
          </cell>
          <cell r="AC547">
            <v>0</v>
          </cell>
          <cell r="AE547">
            <v>0</v>
          </cell>
          <cell r="AG547">
            <v>0</v>
          </cell>
        </row>
        <row r="548">
          <cell r="D548">
            <v>0</v>
          </cell>
          <cell r="E548">
            <v>0</v>
          </cell>
          <cell r="F548">
            <v>0</v>
          </cell>
          <cell r="G548">
            <v>0</v>
          </cell>
          <cell r="H548">
            <v>0</v>
          </cell>
          <cell r="I548">
            <v>0</v>
          </cell>
          <cell r="K548">
            <v>0</v>
          </cell>
          <cell r="M548">
            <v>0</v>
          </cell>
          <cell r="O548">
            <v>0</v>
          </cell>
          <cell r="Q548">
            <v>0</v>
          </cell>
          <cell r="S548">
            <v>0</v>
          </cell>
          <cell r="U548">
            <v>0</v>
          </cell>
          <cell r="W548">
            <v>0</v>
          </cell>
          <cell r="Y548">
            <v>0</v>
          </cell>
          <cell r="AA548">
            <v>0</v>
          </cell>
          <cell r="AC548">
            <v>0</v>
          </cell>
          <cell r="AE548">
            <v>0</v>
          </cell>
          <cell r="AG548">
            <v>0</v>
          </cell>
        </row>
        <row r="549">
          <cell r="D549">
            <v>0</v>
          </cell>
          <cell r="E549">
            <v>0</v>
          </cell>
          <cell r="F549">
            <v>0</v>
          </cell>
          <cell r="G549">
            <v>0</v>
          </cell>
          <cell r="H549">
            <v>0</v>
          </cell>
          <cell r="I549">
            <v>0</v>
          </cell>
          <cell r="K549">
            <v>0</v>
          </cell>
          <cell r="M549">
            <v>0</v>
          </cell>
          <cell r="O549">
            <v>0</v>
          </cell>
          <cell r="Q549">
            <v>0</v>
          </cell>
          <cell r="S549">
            <v>0</v>
          </cell>
          <cell r="U549">
            <v>0</v>
          </cell>
          <cell r="W549">
            <v>0</v>
          </cell>
          <cell r="Y549">
            <v>0</v>
          </cell>
          <cell r="AA549">
            <v>0</v>
          </cell>
          <cell r="AC549">
            <v>0</v>
          </cell>
          <cell r="AE549">
            <v>0</v>
          </cell>
          <cell r="AG549">
            <v>0</v>
          </cell>
        </row>
        <row r="550">
          <cell r="D550">
            <v>0</v>
          </cell>
          <cell r="E550">
            <v>0</v>
          </cell>
          <cell r="F550">
            <v>0</v>
          </cell>
          <cell r="G550">
            <v>0</v>
          </cell>
          <cell r="H550">
            <v>0</v>
          </cell>
          <cell r="I550">
            <v>0</v>
          </cell>
          <cell r="K550">
            <v>0</v>
          </cell>
          <cell r="M550">
            <v>0</v>
          </cell>
          <cell r="O550">
            <v>0</v>
          </cell>
          <cell r="Q550">
            <v>0</v>
          </cell>
          <cell r="S550">
            <v>0</v>
          </cell>
          <cell r="U550">
            <v>0</v>
          </cell>
          <cell r="W550">
            <v>0</v>
          </cell>
          <cell r="Y550">
            <v>0</v>
          </cell>
          <cell r="AA550">
            <v>0</v>
          </cell>
          <cell r="AC550">
            <v>0</v>
          </cell>
          <cell r="AE550">
            <v>0</v>
          </cell>
          <cell r="AG550">
            <v>0</v>
          </cell>
        </row>
        <row r="551">
          <cell r="D551">
            <v>0</v>
          </cell>
          <cell r="E551">
            <v>0</v>
          </cell>
          <cell r="F551">
            <v>0</v>
          </cell>
          <cell r="G551">
            <v>0</v>
          </cell>
          <cell r="H551">
            <v>0</v>
          </cell>
          <cell r="I551">
            <v>0</v>
          </cell>
          <cell r="K551">
            <v>0</v>
          </cell>
          <cell r="M551">
            <v>0</v>
          </cell>
          <cell r="O551">
            <v>0</v>
          </cell>
          <cell r="Q551">
            <v>0</v>
          </cell>
          <cell r="S551">
            <v>0</v>
          </cell>
          <cell r="U551">
            <v>0</v>
          </cell>
          <cell r="W551">
            <v>0</v>
          </cell>
          <cell r="Y551">
            <v>0</v>
          </cell>
          <cell r="AA551">
            <v>0</v>
          </cell>
          <cell r="AC551">
            <v>0</v>
          </cell>
          <cell r="AE551">
            <v>0</v>
          </cell>
          <cell r="AG551">
            <v>0</v>
          </cell>
        </row>
        <row r="552">
          <cell r="D552">
            <v>0</v>
          </cell>
          <cell r="E552">
            <v>0</v>
          </cell>
          <cell r="F552">
            <v>0</v>
          </cell>
          <cell r="G552">
            <v>0</v>
          </cell>
          <cell r="H552">
            <v>0</v>
          </cell>
          <cell r="I552">
            <v>0</v>
          </cell>
          <cell r="K552">
            <v>0</v>
          </cell>
          <cell r="M552">
            <v>0</v>
          </cell>
          <cell r="O552">
            <v>0</v>
          </cell>
          <cell r="Q552">
            <v>0</v>
          </cell>
          <cell r="S552">
            <v>0</v>
          </cell>
          <cell r="U552">
            <v>0</v>
          </cell>
          <cell r="W552">
            <v>0</v>
          </cell>
          <cell r="Y552">
            <v>0</v>
          </cell>
          <cell r="AA552">
            <v>0</v>
          </cell>
          <cell r="AC552">
            <v>0</v>
          </cell>
          <cell r="AE552">
            <v>0</v>
          </cell>
          <cell r="AG552">
            <v>0</v>
          </cell>
        </row>
        <row r="553">
          <cell r="D553">
            <v>0</v>
          </cell>
          <cell r="E553">
            <v>0</v>
          </cell>
          <cell r="F553">
            <v>0</v>
          </cell>
          <cell r="G553">
            <v>0</v>
          </cell>
          <cell r="H553">
            <v>0</v>
          </cell>
          <cell r="I553">
            <v>0</v>
          </cell>
          <cell r="K553">
            <v>0</v>
          </cell>
          <cell r="M553">
            <v>0</v>
          </cell>
          <cell r="O553">
            <v>0</v>
          </cell>
          <cell r="Q553">
            <v>0</v>
          </cell>
          <cell r="S553">
            <v>0</v>
          </cell>
          <cell r="U553">
            <v>0</v>
          </cell>
          <cell r="W553">
            <v>0</v>
          </cell>
          <cell r="Y553">
            <v>0</v>
          </cell>
          <cell r="AA553">
            <v>0</v>
          </cell>
          <cell r="AC553">
            <v>0</v>
          </cell>
          <cell r="AE553">
            <v>0</v>
          </cell>
          <cell r="AG553">
            <v>0</v>
          </cell>
        </row>
        <row r="554">
          <cell r="D554">
            <v>0</v>
          </cell>
          <cell r="E554">
            <v>0</v>
          </cell>
          <cell r="F554">
            <v>0</v>
          </cell>
          <cell r="G554">
            <v>0</v>
          </cell>
          <cell r="H554">
            <v>0</v>
          </cell>
          <cell r="I554">
            <v>0</v>
          </cell>
          <cell r="K554">
            <v>0</v>
          </cell>
          <cell r="M554">
            <v>0</v>
          </cell>
          <cell r="O554">
            <v>0</v>
          </cell>
          <cell r="Q554">
            <v>0</v>
          </cell>
          <cell r="S554">
            <v>0</v>
          </cell>
          <cell r="U554">
            <v>0</v>
          </cell>
          <cell r="W554">
            <v>0</v>
          </cell>
          <cell r="Y554">
            <v>0</v>
          </cell>
          <cell r="AA554">
            <v>0</v>
          </cell>
          <cell r="AC554">
            <v>0</v>
          </cell>
          <cell r="AE554">
            <v>0</v>
          </cell>
          <cell r="AG554">
            <v>0</v>
          </cell>
        </row>
        <row r="555">
          <cell r="D555">
            <v>0</v>
          </cell>
          <cell r="E555">
            <v>0</v>
          </cell>
          <cell r="F555">
            <v>0</v>
          </cell>
          <cell r="G555">
            <v>0</v>
          </cell>
          <cell r="H555">
            <v>0</v>
          </cell>
          <cell r="I555">
            <v>0</v>
          </cell>
          <cell r="K555">
            <v>0</v>
          </cell>
          <cell r="M555">
            <v>0</v>
          </cell>
          <cell r="O555">
            <v>0</v>
          </cell>
          <cell r="Q555">
            <v>0</v>
          </cell>
          <cell r="S555">
            <v>0</v>
          </cell>
          <cell r="U555">
            <v>0</v>
          </cell>
          <cell r="W555">
            <v>0</v>
          </cell>
          <cell r="Y555">
            <v>0</v>
          </cell>
          <cell r="AA555">
            <v>0</v>
          </cell>
          <cell r="AC555">
            <v>0</v>
          </cell>
          <cell r="AE555">
            <v>0</v>
          </cell>
          <cell r="AG555">
            <v>0</v>
          </cell>
        </row>
        <row r="556">
          <cell r="D556">
            <v>0</v>
          </cell>
          <cell r="E556">
            <v>0</v>
          </cell>
          <cell r="F556">
            <v>0</v>
          </cell>
          <cell r="G556">
            <v>0</v>
          </cell>
          <cell r="H556">
            <v>0</v>
          </cell>
          <cell r="I556">
            <v>0</v>
          </cell>
          <cell r="K556">
            <v>0</v>
          </cell>
          <cell r="M556">
            <v>0</v>
          </cell>
          <cell r="O556">
            <v>0</v>
          </cell>
          <cell r="Q556">
            <v>0</v>
          </cell>
          <cell r="S556">
            <v>0</v>
          </cell>
          <cell r="U556">
            <v>0</v>
          </cell>
          <cell r="W556">
            <v>0</v>
          </cell>
          <cell r="Y556">
            <v>0</v>
          </cell>
          <cell r="AA556">
            <v>0</v>
          </cell>
          <cell r="AC556">
            <v>0</v>
          </cell>
          <cell r="AE556">
            <v>0</v>
          </cell>
          <cell r="AG556">
            <v>0</v>
          </cell>
        </row>
        <row r="557">
          <cell r="D557">
            <v>0</v>
          </cell>
          <cell r="E557">
            <v>0</v>
          </cell>
          <cell r="F557">
            <v>0</v>
          </cell>
          <cell r="G557">
            <v>0</v>
          </cell>
          <cell r="H557">
            <v>0</v>
          </cell>
          <cell r="I557">
            <v>0</v>
          </cell>
          <cell r="K557">
            <v>0</v>
          </cell>
          <cell r="M557">
            <v>0</v>
          </cell>
          <cell r="O557">
            <v>0</v>
          </cell>
          <cell r="Q557">
            <v>0</v>
          </cell>
          <cell r="S557">
            <v>0</v>
          </cell>
          <cell r="U557">
            <v>0</v>
          </cell>
          <cell r="W557">
            <v>0</v>
          </cell>
          <cell r="Y557">
            <v>0</v>
          </cell>
          <cell r="AA557">
            <v>0</v>
          </cell>
          <cell r="AC557">
            <v>0</v>
          </cell>
          <cell r="AE557">
            <v>0</v>
          </cell>
          <cell r="AG557">
            <v>0</v>
          </cell>
        </row>
        <row r="558">
          <cell r="D558">
            <v>0</v>
          </cell>
          <cell r="E558">
            <v>0</v>
          </cell>
          <cell r="F558">
            <v>0</v>
          </cell>
          <cell r="G558">
            <v>0</v>
          </cell>
          <cell r="H558">
            <v>0</v>
          </cell>
          <cell r="I558">
            <v>0</v>
          </cell>
          <cell r="K558">
            <v>0</v>
          </cell>
          <cell r="M558">
            <v>0</v>
          </cell>
          <cell r="O558">
            <v>0</v>
          </cell>
          <cell r="Q558">
            <v>0</v>
          </cell>
          <cell r="S558">
            <v>0</v>
          </cell>
          <cell r="U558">
            <v>0</v>
          </cell>
          <cell r="W558">
            <v>0</v>
          </cell>
          <cell r="Y558">
            <v>0</v>
          </cell>
          <cell r="AA558">
            <v>0</v>
          </cell>
          <cell r="AC558">
            <v>0</v>
          </cell>
          <cell r="AE558">
            <v>0</v>
          </cell>
          <cell r="AG558">
            <v>0</v>
          </cell>
        </row>
        <row r="559">
          <cell r="D559">
            <v>0</v>
          </cell>
          <cell r="E559">
            <v>0</v>
          </cell>
          <cell r="F559">
            <v>0</v>
          </cell>
          <cell r="G559">
            <v>0</v>
          </cell>
          <cell r="H559">
            <v>0</v>
          </cell>
          <cell r="I559">
            <v>0</v>
          </cell>
          <cell r="K559">
            <v>0</v>
          </cell>
          <cell r="M559">
            <v>0</v>
          </cell>
          <cell r="O559">
            <v>0</v>
          </cell>
          <cell r="Q559">
            <v>0</v>
          </cell>
          <cell r="S559">
            <v>0</v>
          </cell>
          <cell r="U559">
            <v>0</v>
          </cell>
          <cell r="W559">
            <v>0</v>
          </cell>
          <cell r="Y559">
            <v>0</v>
          </cell>
          <cell r="AA559">
            <v>0</v>
          </cell>
          <cell r="AC559">
            <v>0</v>
          </cell>
          <cell r="AE559">
            <v>0</v>
          </cell>
          <cell r="AG559">
            <v>0</v>
          </cell>
        </row>
        <row r="560">
          <cell r="D560">
            <v>0</v>
          </cell>
          <cell r="E560">
            <v>0</v>
          </cell>
          <cell r="F560">
            <v>0</v>
          </cell>
          <cell r="G560">
            <v>0</v>
          </cell>
          <cell r="H560">
            <v>0</v>
          </cell>
          <cell r="I560">
            <v>0</v>
          </cell>
          <cell r="K560">
            <v>0</v>
          </cell>
          <cell r="M560">
            <v>0</v>
          </cell>
          <cell r="O560">
            <v>0</v>
          </cell>
          <cell r="Q560">
            <v>0</v>
          </cell>
          <cell r="S560">
            <v>0</v>
          </cell>
          <cell r="U560">
            <v>0</v>
          </cell>
          <cell r="W560">
            <v>0</v>
          </cell>
          <cell r="Y560">
            <v>0</v>
          </cell>
          <cell r="AA560">
            <v>0</v>
          </cell>
          <cell r="AC560">
            <v>0</v>
          </cell>
          <cell r="AE560">
            <v>0</v>
          </cell>
          <cell r="AG560">
            <v>0</v>
          </cell>
        </row>
        <row r="561">
          <cell r="D561">
            <v>0</v>
          </cell>
          <cell r="E561">
            <v>0</v>
          </cell>
          <cell r="F561">
            <v>0</v>
          </cell>
          <cell r="G561">
            <v>0</v>
          </cell>
          <cell r="H561">
            <v>0</v>
          </cell>
          <cell r="I561">
            <v>0</v>
          </cell>
          <cell r="K561">
            <v>0</v>
          </cell>
          <cell r="M561">
            <v>0</v>
          </cell>
          <cell r="O561">
            <v>0</v>
          </cell>
          <cell r="Q561">
            <v>0</v>
          </cell>
          <cell r="S561">
            <v>0</v>
          </cell>
          <cell r="U561">
            <v>0</v>
          </cell>
          <cell r="W561">
            <v>0</v>
          </cell>
          <cell r="Y561">
            <v>0</v>
          </cell>
          <cell r="AA561">
            <v>0</v>
          </cell>
          <cell r="AC561">
            <v>0</v>
          </cell>
          <cell r="AE561">
            <v>0</v>
          </cell>
          <cell r="AG561">
            <v>0</v>
          </cell>
        </row>
        <row r="562">
          <cell r="D562">
            <v>0</v>
          </cell>
          <cell r="E562">
            <v>0</v>
          </cell>
          <cell r="F562">
            <v>0</v>
          </cell>
          <cell r="G562">
            <v>0</v>
          </cell>
          <cell r="H562">
            <v>0</v>
          </cell>
          <cell r="I562">
            <v>0</v>
          </cell>
          <cell r="K562">
            <v>0</v>
          </cell>
          <cell r="M562">
            <v>0</v>
          </cell>
          <cell r="O562">
            <v>0</v>
          </cell>
          <cell r="Q562">
            <v>0</v>
          </cell>
          <cell r="S562">
            <v>0</v>
          </cell>
          <cell r="U562">
            <v>0</v>
          </cell>
          <cell r="W562">
            <v>0</v>
          </cell>
          <cell r="Y562">
            <v>0</v>
          </cell>
          <cell r="AA562">
            <v>0</v>
          </cell>
          <cell r="AC562">
            <v>0</v>
          </cell>
          <cell r="AE562">
            <v>0</v>
          </cell>
          <cell r="AG562">
            <v>0</v>
          </cell>
        </row>
        <row r="563">
          <cell r="D563">
            <v>0</v>
          </cell>
          <cell r="E563">
            <v>0</v>
          </cell>
          <cell r="F563">
            <v>0</v>
          </cell>
          <cell r="G563">
            <v>0</v>
          </cell>
          <cell r="H563">
            <v>0</v>
          </cell>
          <cell r="I563">
            <v>0</v>
          </cell>
          <cell r="K563">
            <v>0</v>
          </cell>
          <cell r="M563">
            <v>0</v>
          </cell>
          <cell r="O563">
            <v>0</v>
          </cell>
          <cell r="Q563">
            <v>0</v>
          </cell>
          <cell r="S563">
            <v>0</v>
          </cell>
          <cell r="U563">
            <v>0</v>
          </cell>
          <cell r="W563">
            <v>0</v>
          </cell>
          <cell r="Y563">
            <v>0</v>
          </cell>
          <cell r="AA563">
            <v>0</v>
          </cell>
          <cell r="AC563">
            <v>0</v>
          </cell>
          <cell r="AE563">
            <v>0</v>
          </cell>
          <cell r="AG563">
            <v>0</v>
          </cell>
        </row>
        <row r="564">
          <cell r="D564">
            <v>0</v>
          </cell>
          <cell r="E564">
            <v>0</v>
          </cell>
          <cell r="F564">
            <v>0</v>
          </cell>
          <cell r="G564">
            <v>0</v>
          </cell>
          <cell r="H564">
            <v>0</v>
          </cell>
          <cell r="I564">
            <v>0</v>
          </cell>
          <cell r="K564">
            <v>0</v>
          </cell>
          <cell r="M564">
            <v>0</v>
          </cell>
          <cell r="O564">
            <v>0</v>
          </cell>
          <cell r="Q564">
            <v>0</v>
          </cell>
          <cell r="S564">
            <v>0</v>
          </cell>
          <cell r="U564">
            <v>0</v>
          </cell>
          <cell r="W564">
            <v>0</v>
          </cell>
          <cell r="Y564">
            <v>0</v>
          </cell>
          <cell r="AA564">
            <v>0</v>
          </cell>
          <cell r="AC564">
            <v>0</v>
          </cell>
          <cell r="AE564">
            <v>0</v>
          </cell>
          <cell r="AG564">
            <v>0</v>
          </cell>
        </row>
        <row r="565">
          <cell r="D565">
            <v>0</v>
          </cell>
          <cell r="E565">
            <v>0</v>
          </cell>
          <cell r="F565">
            <v>0</v>
          </cell>
          <cell r="G565">
            <v>0</v>
          </cell>
          <cell r="H565">
            <v>0</v>
          </cell>
          <cell r="I565">
            <v>0</v>
          </cell>
          <cell r="K565">
            <v>0</v>
          </cell>
          <cell r="M565">
            <v>0</v>
          </cell>
          <cell r="O565">
            <v>0</v>
          </cell>
          <cell r="Q565">
            <v>0</v>
          </cell>
          <cell r="S565">
            <v>0</v>
          </cell>
          <cell r="U565">
            <v>0</v>
          </cell>
          <cell r="W565">
            <v>0</v>
          </cell>
          <cell r="Y565">
            <v>0</v>
          </cell>
          <cell r="AA565">
            <v>0</v>
          </cell>
          <cell r="AC565">
            <v>0</v>
          </cell>
          <cell r="AE565">
            <v>0</v>
          </cell>
          <cell r="AG565">
            <v>0</v>
          </cell>
        </row>
        <row r="566">
          <cell r="D566">
            <v>0</v>
          </cell>
          <cell r="E566">
            <v>0</v>
          </cell>
          <cell r="F566">
            <v>0</v>
          </cell>
          <cell r="G566">
            <v>0</v>
          </cell>
          <cell r="H566">
            <v>0</v>
          </cell>
          <cell r="I566">
            <v>0</v>
          </cell>
          <cell r="K566">
            <v>0</v>
          </cell>
          <cell r="M566">
            <v>0</v>
          </cell>
          <cell r="O566">
            <v>0</v>
          </cell>
          <cell r="Q566">
            <v>0</v>
          </cell>
          <cell r="S566">
            <v>0</v>
          </cell>
          <cell r="U566">
            <v>0</v>
          </cell>
          <cell r="W566">
            <v>0</v>
          </cell>
          <cell r="Y566">
            <v>0</v>
          </cell>
          <cell r="AA566">
            <v>0</v>
          </cell>
          <cell r="AC566">
            <v>0</v>
          </cell>
          <cell r="AE566">
            <v>0</v>
          </cell>
          <cell r="AG566">
            <v>0</v>
          </cell>
        </row>
        <row r="567">
          <cell r="D567">
            <v>0</v>
          </cell>
          <cell r="E567">
            <v>0</v>
          </cell>
          <cell r="F567">
            <v>0</v>
          </cell>
          <cell r="G567">
            <v>0</v>
          </cell>
          <cell r="H567">
            <v>0</v>
          </cell>
          <cell r="I567">
            <v>0</v>
          </cell>
          <cell r="K567">
            <v>0</v>
          </cell>
          <cell r="M567">
            <v>0</v>
          </cell>
          <cell r="O567">
            <v>0</v>
          </cell>
          <cell r="Q567">
            <v>0</v>
          </cell>
          <cell r="S567">
            <v>0</v>
          </cell>
          <cell r="U567">
            <v>0</v>
          </cell>
          <cell r="W567">
            <v>0</v>
          </cell>
          <cell r="Y567">
            <v>0</v>
          </cell>
          <cell r="AA567">
            <v>0</v>
          </cell>
          <cell r="AC567">
            <v>0</v>
          </cell>
          <cell r="AE567">
            <v>0</v>
          </cell>
          <cell r="AG567">
            <v>0</v>
          </cell>
        </row>
        <row r="568">
          <cell r="D568">
            <v>0</v>
          </cell>
          <cell r="E568">
            <v>0</v>
          </cell>
          <cell r="F568">
            <v>0</v>
          </cell>
          <cell r="G568">
            <v>0</v>
          </cell>
          <cell r="H568">
            <v>0</v>
          </cell>
          <cell r="I568">
            <v>0</v>
          </cell>
          <cell r="K568">
            <v>0</v>
          </cell>
          <cell r="M568">
            <v>0</v>
          </cell>
          <cell r="O568">
            <v>0</v>
          </cell>
          <cell r="Q568">
            <v>0</v>
          </cell>
          <cell r="S568">
            <v>0</v>
          </cell>
          <cell r="U568">
            <v>0</v>
          </cell>
          <cell r="W568">
            <v>0</v>
          </cell>
          <cell r="Y568">
            <v>0</v>
          </cell>
          <cell r="AA568">
            <v>0</v>
          </cell>
          <cell r="AC568">
            <v>0</v>
          </cell>
          <cell r="AE568">
            <v>0</v>
          </cell>
          <cell r="AG568">
            <v>0</v>
          </cell>
        </row>
        <row r="569">
          <cell r="D569">
            <v>0</v>
          </cell>
          <cell r="E569">
            <v>0</v>
          </cell>
          <cell r="F569">
            <v>0</v>
          </cell>
          <cell r="G569">
            <v>0</v>
          </cell>
          <cell r="H569">
            <v>0</v>
          </cell>
          <cell r="I569">
            <v>0</v>
          </cell>
          <cell r="K569">
            <v>0</v>
          </cell>
          <cell r="M569">
            <v>0</v>
          </cell>
          <cell r="O569">
            <v>0</v>
          </cell>
          <cell r="Q569">
            <v>0</v>
          </cell>
          <cell r="S569">
            <v>0</v>
          </cell>
          <cell r="U569">
            <v>0</v>
          </cell>
          <cell r="W569">
            <v>0</v>
          </cell>
          <cell r="Y569">
            <v>0</v>
          </cell>
          <cell r="AA569">
            <v>0</v>
          </cell>
          <cell r="AC569">
            <v>0</v>
          </cell>
          <cell r="AE569">
            <v>0</v>
          </cell>
          <cell r="AG569">
            <v>0</v>
          </cell>
        </row>
      </sheetData>
      <sheetData sheetId="11"/>
      <sheetData sheetId="12"/>
      <sheetData sheetId="13"/>
      <sheetData sheetId="14"/>
      <sheetData sheetId="15"/>
      <sheetData sheetId="16">
        <row r="528">
          <cell r="D528">
            <v>-18116.09</v>
          </cell>
        </row>
      </sheetData>
      <sheetData sheetId="17">
        <row r="118">
          <cell r="D118">
            <v>-10021.739999999998</v>
          </cell>
        </row>
      </sheetData>
      <sheetData sheetId="18">
        <row r="2069">
          <cell r="D2069">
            <v>-60116.989999999976</v>
          </cell>
        </row>
      </sheetData>
      <sheetData sheetId="19">
        <row r="1427">
          <cell r="D1427">
            <v>423173.2099999999</v>
          </cell>
        </row>
      </sheetData>
      <sheetData sheetId="20">
        <row r="161">
          <cell r="D161">
            <v>-20496.860000000004</v>
          </cell>
        </row>
      </sheetData>
      <sheetData sheetId="21">
        <row r="495">
          <cell r="D495">
            <v>-22005.59</v>
          </cell>
        </row>
      </sheetData>
      <sheetData sheetId="2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
      <sheetName val="Input_MassChange"/>
      <sheetName val="CompRequestListing"/>
      <sheetName val="DataLists"/>
      <sheetName val="Sheet 2"/>
    </sheetNames>
    <sheetDataSet>
      <sheetData sheetId="0">
        <row r="6">
          <cell r="C6">
            <v>114336</v>
          </cell>
          <cell r="D6" t="str">
            <v>Richard Miller</v>
          </cell>
          <cell r="E6" t="str">
            <v>Equipment Operator</v>
          </cell>
          <cell r="F6" t="str">
            <v>No</v>
          </cell>
          <cell r="G6">
            <v>24.43</v>
          </cell>
          <cell r="H6">
            <v>40</v>
          </cell>
          <cell r="I6">
            <v>2.5</v>
          </cell>
          <cell r="J6">
            <v>42.5</v>
          </cell>
          <cell r="K6">
            <v>1068.8125</v>
          </cell>
          <cell r="L6">
            <v>25.04</v>
          </cell>
          <cell r="M6">
            <v>2.4969300040933257E-2</v>
          </cell>
        </row>
        <row r="7">
          <cell r="C7">
            <v>114374</v>
          </cell>
          <cell r="D7" t="str">
            <v>Steven Zipsnis</v>
          </cell>
          <cell r="E7" t="str">
            <v>JBLM Recycle Attendant</v>
          </cell>
          <cell r="F7" t="str">
            <v>No</v>
          </cell>
          <cell r="G7">
            <v>17</v>
          </cell>
          <cell r="H7">
            <v>40</v>
          </cell>
          <cell r="I7">
            <v>0</v>
          </cell>
          <cell r="J7">
            <v>40</v>
          </cell>
          <cell r="K7">
            <v>680</v>
          </cell>
          <cell r="L7">
            <v>17.43</v>
          </cell>
          <cell r="M7">
            <v>2.5294117647058807E-2</v>
          </cell>
        </row>
        <row r="8">
          <cell r="C8">
            <v>301642</v>
          </cell>
          <cell r="D8" t="str">
            <v>Kenneth Huerta</v>
          </cell>
          <cell r="E8" t="str">
            <v>Equipment Operator</v>
          </cell>
          <cell r="F8" t="str">
            <v>No</v>
          </cell>
          <cell r="G8">
            <v>17.87</v>
          </cell>
          <cell r="H8">
            <v>40</v>
          </cell>
          <cell r="I8">
            <v>2.5</v>
          </cell>
          <cell r="J8">
            <v>42.5</v>
          </cell>
          <cell r="K8">
            <v>781.81250000000011</v>
          </cell>
          <cell r="L8">
            <v>18.32</v>
          </cell>
          <cell r="M8">
            <v>2.5181869054280877E-2</v>
          </cell>
        </row>
        <row r="9">
          <cell r="C9">
            <v>308555</v>
          </cell>
          <cell r="D9" t="str">
            <v>Malissa Sapp</v>
          </cell>
          <cell r="E9" t="str">
            <v>JBLM Recycle Attendant</v>
          </cell>
          <cell r="F9" t="str">
            <v>No</v>
          </cell>
          <cell r="G9">
            <v>18</v>
          </cell>
          <cell r="H9">
            <v>40</v>
          </cell>
          <cell r="I9">
            <v>0</v>
          </cell>
          <cell r="J9">
            <v>40</v>
          </cell>
          <cell r="K9">
            <v>720</v>
          </cell>
          <cell r="L9">
            <v>18.45</v>
          </cell>
          <cell r="M9">
            <v>2.499999999999996E-2</v>
          </cell>
        </row>
        <row r="10">
          <cell r="C10">
            <v>307663</v>
          </cell>
          <cell r="D10" t="str">
            <v>Clarence Devela</v>
          </cell>
          <cell r="E10" t="str">
            <v>JBLM Recycle Attendant</v>
          </cell>
          <cell r="F10" t="str">
            <v>No</v>
          </cell>
          <cell r="G10">
            <v>18</v>
          </cell>
          <cell r="H10">
            <v>40</v>
          </cell>
          <cell r="I10">
            <v>0</v>
          </cell>
          <cell r="J10">
            <v>40</v>
          </cell>
          <cell r="K10">
            <v>720</v>
          </cell>
          <cell r="L10">
            <v>18.45</v>
          </cell>
          <cell r="M10">
            <v>2.499999999999996E-2</v>
          </cell>
        </row>
        <row r="11">
          <cell r="C11">
            <v>114086</v>
          </cell>
          <cell r="D11" t="str">
            <v>Aaron Russell</v>
          </cell>
          <cell r="E11" t="str">
            <v>Mechanic</v>
          </cell>
          <cell r="F11" t="str">
            <v>No</v>
          </cell>
          <cell r="G11">
            <v>31.5</v>
          </cell>
          <cell r="H11">
            <v>40</v>
          </cell>
          <cell r="I11">
            <v>0</v>
          </cell>
          <cell r="J11">
            <v>40</v>
          </cell>
          <cell r="K11">
            <v>1260</v>
          </cell>
          <cell r="L11">
            <v>31.5</v>
          </cell>
          <cell r="M11">
            <v>0</v>
          </cell>
        </row>
        <row r="12">
          <cell r="C12">
            <v>154133</v>
          </cell>
          <cell r="D12" t="str">
            <v>Nick Fredrickson</v>
          </cell>
          <cell r="E12" t="str">
            <v>Mechanic</v>
          </cell>
          <cell r="F12" t="str">
            <v>No</v>
          </cell>
          <cell r="G12">
            <v>29.87</v>
          </cell>
          <cell r="H12">
            <v>40</v>
          </cell>
          <cell r="I12">
            <v>5</v>
          </cell>
          <cell r="J12">
            <v>45</v>
          </cell>
          <cell r="K12">
            <v>1418.825</v>
          </cell>
          <cell r="L12">
            <v>30.71</v>
          </cell>
          <cell r="M12">
            <v>2.8121861399397385E-2</v>
          </cell>
        </row>
        <row r="13">
          <cell r="C13">
            <v>303995</v>
          </cell>
          <cell r="D13" t="str">
            <v>Darren Laube</v>
          </cell>
          <cell r="E13" t="str">
            <v>Mechanic</v>
          </cell>
          <cell r="F13" t="str">
            <v>No</v>
          </cell>
          <cell r="G13">
            <v>29.35</v>
          </cell>
          <cell r="H13">
            <v>40</v>
          </cell>
          <cell r="I13">
            <v>2.5</v>
          </cell>
          <cell r="J13">
            <v>42.5</v>
          </cell>
          <cell r="K13">
            <v>1284.0625</v>
          </cell>
          <cell r="L13">
            <v>30.17</v>
          </cell>
          <cell r="M13">
            <v>2.7938671209540043E-2</v>
          </cell>
        </row>
        <row r="14">
          <cell r="C14">
            <v>114082</v>
          </cell>
          <cell r="D14" t="str">
            <v>Andrew Tran</v>
          </cell>
          <cell r="E14" t="str">
            <v>Mechanic</v>
          </cell>
          <cell r="F14" t="str">
            <v>No</v>
          </cell>
          <cell r="G14">
            <v>29.22</v>
          </cell>
          <cell r="H14">
            <v>40</v>
          </cell>
          <cell r="I14">
            <v>1</v>
          </cell>
          <cell r="J14">
            <v>41</v>
          </cell>
          <cell r="K14">
            <v>1212.6299999999999</v>
          </cell>
          <cell r="L14">
            <v>30.04</v>
          </cell>
          <cell r="M14">
            <v>2.8062970568104049E-2</v>
          </cell>
        </row>
        <row r="15">
          <cell r="C15">
            <v>114277</v>
          </cell>
          <cell r="D15" t="str">
            <v>Duane Hackney</v>
          </cell>
          <cell r="E15" t="str">
            <v>Mechanic</v>
          </cell>
          <cell r="F15" t="str">
            <v>No</v>
          </cell>
          <cell r="G15">
            <v>28.14</v>
          </cell>
          <cell r="H15">
            <v>40</v>
          </cell>
          <cell r="I15">
            <v>0</v>
          </cell>
          <cell r="J15">
            <v>40</v>
          </cell>
          <cell r="K15">
            <v>1125.5999999999999</v>
          </cell>
          <cell r="L15">
            <v>28.93</v>
          </cell>
          <cell r="M15">
            <v>2.8073916133617597E-2</v>
          </cell>
        </row>
        <row r="16">
          <cell r="C16">
            <v>150268</v>
          </cell>
          <cell r="D16" t="str">
            <v>Tyler Clepper</v>
          </cell>
          <cell r="E16" t="str">
            <v>Lead Mechanic</v>
          </cell>
          <cell r="F16" t="str">
            <v>No</v>
          </cell>
          <cell r="G16">
            <v>27.5</v>
          </cell>
          <cell r="H16">
            <v>40</v>
          </cell>
          <cell r="I16">
            <v>5</v>
          </cell>
          <cell r="J16">
            <v>45</v>
          </cell>
          <cell r="K16">
            <v>1306.25</v>
          </cell>
          <cell r="L16">
            <v>29.5</v>
          </cell>
          <cell r="M16">
            <v>7.2727272727272724E-2</v>
          </cell>
        </row>
        <row r="17">
          <cell r="C17">
            <v>300874</v>
          </cell>
          <cell r="D17" t="str">
            <v>Donald Cisney</v>
          </cell>
          <cell r="E17" t="str">
            <v>Mechanic</v>
          </cell>
          <cell r="F17" t="str">
            <v>No</v>
          </cell>
          <cell r="G17">
            <v>27.45</v>
          </cell>
          <cell r="H17">
            <v>40</v>
          </cell>
          <cell r="I17">
            <v>5</v>
          </cell>
          <cell r="J17">
            <v>45</v>
          </cell>
          <cell r="K17">
            <v>1303.875</v>
          </cell>
          <cell r="L17">
            <v>28.22</v>
          </cell>
          <cell r="M17">
            <v>2.8051001821493608E-2</v>
          </cell>
        </row>
        <row r="18">
          <cell r="C18">
            <v>154540</v>
          </cell>
          <cell r="D18" t="str">
            <v>Travis Harvey</v>
          </cell>
          <cell r="E18" t="str">
            <v>Maintenance Manager Foreman</v>
          </cell>
          <cell r="F18" t="str">
            <v>No</v>
          </cell>
          <cell r="G18">
            <v>27.05</v>
          </cell>
          <cell r="H18">
            <v>40</v>
          </cell>
          <cell r="I18">
            <v>10</v>
          </cell>
          <cell r="J18">
            <v>50</v>
          </cell>
          <cell r="K18">
            <v>1487.75</v>
          </cell>
          <cell r="L18">
            <v>27.81</v>
          </cell>
          <cell r="M18">
            <v>2.8096118299445395E-2</v>
          </cell>
        </row>
        <row r="19">
          <cell r="C19">
            <v>158845</v>
          </cell>
          <cell r="D19" t="str">
            <v>Jason Knudtson</v>
          </cell>
          <cell r="E19" t="str">
            <v>Mechanic</v>
          </cell>
          <cell r="F19" t="str">
            <v>No</v>
          </cell>
          <cell r="G19">
            <v>27.02</v>
          </cell>
          <cell r="H19">
            <v>40</v>
          </cell>
          <cell r="I19">
            <v>0</v>
          </cell>
          <cell r="J19">
            <v>40</v>
          </cell>
          <cell r="K19">
            <v>1080.8</v>
          </cell>
          <cell r="L19">
            <v>27.78</v>
          </cell>
          <cell r="M19">
            <v>2.8127313101406422E-2</v>
          </cell>
        </row>
        <row r="20">
          <cell r="C20">
            <v>311279</v>
          </cell>
          <cell r="D20" t="str">
            <v>Augie Serrano</v>
          </cell>
          <cell r="E20" t="str">
            <v>Tire Repair</v>
          </cell>
          <cell r="F20" t="str">
            <v>No</v>
          </cell>
          <cell r="G20">
            <v>26.5</v>
          </cell>
          <cell r="H20">
            <v>40</v>
          </cell>
          <cell r="I20">
            <v>0</v>
          </cell>
          <cell r="J20">
            <v>40</v>
          </cell>
          <cell r="K20">
            <v>1060</v>
          </cell>
          <cell r="L20">
            <v>27.24</v>
          </cell>
          <cell r="M20">
            <v>2.7924528301886735E-2</v>
          </cell>
        </row>
        <row r="21">
          <cell r="C21">
            <v>114052</v>
          </cell>
          <cell r="D21" t="str">
            <v>Evan Williamson</v>
          </cell>
          <cell r="E21" t="str">
            <v>Lead Mechanic</v>
          </cell>
          <cell r="F21" t="str">
            <v>No</v>
          </cell>
          <cell r="G21">
            <v>25.97</v>
          </cell>
          <cell r="H21">
            <v>40</v>
          </cell>
          <cell r="I21">
            <v>0</v>
          </cell>
          <cell r="J21">
            <v>40</v>
          </cell>
          <cell r="K21">
            <v>1038.8</v>
          </cell>
          <cell r="L21">
            <v>26.7</v>
          </cell>
          <cell r="M21">
            <v>2.8109356950327319E-2</v>
          </cell>
        </row>
        <row r="22">
          <cell r="C22">
            <v>116292</v>
          </cell>
          <cell r="D22" t="str">
            <v>Colin Piper</v>
          </cell>
          <cell r="E22" t="str">
            <v>Mechanic</v>
          </cell>
          <cell r="F22" t="str">
            <v>No</v>
          </cell>
          <cell r="G22">
            <v>25.9</v>
          </cell>
          <cell r="H22">
            <v>40</v>
          </cell>
          <cell r="I22">
            <v>5</v>
          </cell>
          <cell r="J22">
            <v>45</v>
          </cell>
          <cell r="K22">
            <v>1230.25</v>
          </cell>
          <cell r="L22">
            <v>26.63</v>
          </cell>
          <cell r="M22">
            <v>2.8185328185328203E-2</v>
          </cell>
        </row>
        <row r="23">
          <cell r="C23">
            <v>315152</v>
          </cell>
          <cell r="D23" t="str">
            <v>Collin Northern</v>
          </cell>
          <cell r="E23" t="str">
            <v>Mechanic</v>
          </cell>
          <cell r="F23" t="str">
            <v>No</v>
          </cell>
          <cell r="G23">
            <v>25</v>
          </cell>
          <cell r="H23">
            <v>40</v>
          </cell>
          <cell r="I23">
            <v>0</v>
          </cell>
          <cell r="J23">
            <v>40</v>
          </cell>
          <cell r="K23">
            <v>1000</v>
          </cell>
          <cell r="L23">
            <v>25.7</v>
          </cell>
          <cell r="M23">
            <v>2.7999999999999973E-2</v>
          </cell>
        </row>
        <row r="24">
          <cell r="C24">
            <v>304842</v>
          </cell>
          <cell r="D24" t="str">
            <v>Zac DeWalt</v>
          </cell>
          <cell r="E24" t="str">
            <v>Mechanic</v>
          </cell>
          <cell r="F24" t="str">
            <v>No</v>
          </cell>
          <cell r="G24">
            <v>23</v>
          </cell>
          <cell r="H24">
            <v>40</v>
          </cell>
          <cell r="I24">
            <v>2.5</v>
          </cell>
          <cell r="J24">
            <v>42.5</v>
          </cell>
          <cell r="K24">
            <v>1006.25</v>
          </cell>
          <cell r="L24">
            <v>23.64</v>
          </cell>
          <cell r="M24">
            <v>2.7826086956521764E-2</v>
          </cell>
        </row>
        <row r="25">
          <cell r="C25">
            <v>309778</v>
          </cell>
          <cell r="D25" t="str">
            <v>Joseph Juban</v>
          </cell>
          <cell r="E25" t="str">
            <v>Mechanic</v>
          </cell>
          <cell r="F25" t="str">
            <v>No</v>
          </cell>
          <cell r="G25">
            <v>23</v>
          </cell>
          <cell r="H25">
            <v>40</v>
          </cell>
          <cell r="I25">
            <v>0</v>
          </cell>
          <cell r="J25">
            <v>40</v>
          </cell>
          <cell r="K25">
            <v>920</v>
          </cell>
          <cell r="L25">
            <v>23.64</v>
          </cell>
          <cell r="M25">
            <v>2.7826086956521764E-2</v>
          </cell>
        </row>
        <row r="26">
          <cell r="C26">
            <v>158069</v>
          </cell>
          <cell r="D26" t="str">
            <v>Richard Slagle</v>
          </cell>
          <cell r="E26" t="str">
            <v>Mechanic</v>
          </cell>
          <cell r="F26" t="str">
            <v>No</v>
          </cell>
          <cell r="G26">
            <v>22.62</v>
          </cell>
          <cell r="H26">
            <v>40</v>
          </cell>
          <cell r="I26">
            <v>5</v>
          </cell>
          <cell r="J26">
            <v>45</v>
          </cell>
          <cell r="K26">
            <v>1074.45</v>
          </cell>
          <cell r="L26">
            <v>23.25</v>
          </cell>
          <cell r="M26">
            <v>2.78514588859416E-2</v>
          </cell>
        </row>
        <row r="27">
          <cell r="C27">
            <v>306836</v>
          </cell>
          <cell r="D27" t="str">
            <v>Antonio Berdecia</v>
          </cell>
          <cell r="E27" t="str">
            <v>Mechanic</v>
          </cell>
          <cell r="F27" t="str">
            <v>No</v>
          </cell>
          <cell r="G27">
            <v>21.63</v>
          </cell>
          <cell r="H27">
            <v>40</v>
          </cell>
          <cell r="I27">
            <v>0</v>
          </cell>
          <cell r="J27">
            <v>40</v>
          </cell>
          <cell r="K27">
            <v>865.19999999999993</v>
          </cell>
          <cell r="L27">
            <v>22.24</v>
          </cell>
          <cell r="M27">
            <v>2.8201571890892254E-2</v>
          </cell>
        </row>
        <row r="28">
          <cell r="C28">
            <v>303996</v>
          </cell>
          <cell r="D28" t="str">
            <v>Jacob Hyneman</v>
          </cell>
          <cell r="E28" t="str">
            <v>Maintenance Clerk</v>
          </cell>
          <cell r="F28" t="str">
            <v>No</v>
          </cell>
          <cell r="G28">
            <v>20.75</v>
          </cell>
          <cell r="H28">
            <v>40</v>
          </cell>
          <cell r="I28">
            <v>5</v>
          </cell>
          <cell r="J28">
            <v>45</v>
          </cell>
          <cell r="K28">
            <v>985.625</v>
          </cell>
          <cell r="L28">
            <v>21.33</v>
          </cell>
          <cell r="M28">
            <v>2.795180722891558E-2</v>
          </cell>
        </row>
        <row r="29">
          <cell r="C29">
            <v>114233</v>
          </cell>
          <cell r="D29" t="str">
            <v>Chester Goldsmith</v>
          </cell>
          <cell r="E29" t="str">
            <v>Mechanic</v>
          </cell>
          <cell r="F29" t="str">
            <v>No</v>
          </cell>
          <cell r="G29">
            <v>20.57</v>
          </cell>
          <cell r="H29">
            <v>40</v>
          </cell>
          <cell r="I29">
            <v>0</v>
          </cell>
          <cell r="J29">
            <v>40</v>
          </cell>
          <cell r="K29">
            <v>822.8</v>
          </cell>
          <cell r="L29">
            <v>21.15</v>
          </cell>
          <cell r="M29">
            <v>2.8196402527953246E-2</v>
          </cell>
        </row>
        <row r="30">
          <cell r="C30">
            <v>156357</v>
          </cell>
          <cell r="D30" t="str">
            <v>Charles Gorman</v>
          </cell>
          <cell r="E30" t="str">
            <v>Mechanic</v>
          </cell>
          <cell r="F30" t="str">
            <v>No</v>
          </cell>
          <cell r="G30">
            <v>20.53</v>
          </cell>
          <cell r="H30">
            <v>40</v>
          </cell>
          <cell r="I30">
            <v>0</v>
          </cell>
          <cell r="J30">
            <v>40</v>
          </cell>
          <cell r="K30">
            <v>821.2</v>
          </cell>
          <cell r="L30">
            <v>21.1</v>
          </cell>
          <cell r="M30">
            <v>2.7764247442766694E-2</v>
          </cell>
        </row>
        <row r="31">
          <cell r="C31">
            <v>114301</v>
          </cell>
          <cell r="D31" t="str">
            <v>Kevin Adams</v>
          </cell>
          <cell r="E31" t="str">
            <v>Container Repair</v>
          </cell>
          <cell r="F31" t="str">
            <v>No</v>
          </cell>
          <cell r="G31">
            <v>19.38</v>
          </cell>
          <cell r="H31">
            <v>40</v>
          </cell>
          <cell r="I31">
            <v>0</v>
          </cell>
          <cell r="J31">
            <v>40</v>
          </cell>
          <cell r="K31">
            <v>775.19999999999993</v>
          </cell>
          <cell r="L31">
            <v>19.86</v>
          </cell>
          <cell r="M31">
            <v>2.4767801857585162E-2</v>
          </cell>
        </row>
        <row r="32">
          <cell r="C32">
            <v>156273</v>
          </cell>
          <cell r="D32" t="str">
            <v>John Atoigue-Ratliff</v>
          </cell>
          <cell r="E32" t="str">
            <v>Container Repair</v>
          </cell>
          <cell r="F32" t="str">
            <v>No</v>
          </cell>
          <cell r="G32">
            <v>16.16</v>
          </cell>
          <cell r="H32">
            <v>40</v>
          </cell>
          <cell r="I32">
            <v>0</v>
          </cell>
          <cell r="J32">
            <v>40</v>
          </cell>
          <cell r="K32">
            <v>646.4</v>
          </cell>
          <cell r="L32">
            <v>16.64</v>
          </cell>
          <cell r="M32">
            <v>2.9702970297029729E-2</v>
          </cell>
        </row>
        <row r="33">
          <cell r="C33">
            <v>157875</v>
          </cell>
          <cell r="D33" t="str">
            <v>James Buie</v>
          </cell>
          <cell r="E33" t="str">
            <v>Container Repair</v>
          </cell>
          <cell r="F33" t="str">
            <v>No</v>
          </cell>
          <cell r="G33">
            <v>20.47</v>
          </cell>
          <cell r="H33">
            <v>40</v>
          </cell>
          <cell r="I33">
            <v>0</v>
          </cell>
          <cell r="J33">
            <v>40</v>
          </cell>
          <cell r="K33">
            <v>818.8</v>
          </cell>
          <cell r="L33">
            <v>20.98</v>
          </cell>
          <cell r="M33">
            <v>2.4914509037616103E-2</v>
          </cell>
        </row>
        <row r="34">
          <cell r="C34">
            <v>153491</v>
          </cell>
          <cell r="D34" t="str">
            <v>James Joyes</v>
          </cell>
          <cell r="E34" t="str">
            <v>Container Repair</v>
          </cell>
          <cell r="F34" t="str">
            <v>No</v>
          </cell>
          <cell r="G34">
            <v>21.95</v>
          </cell>
          <cell r="H34">
            <v>40</v>
          </cell>
          <cell r="I34">
            <v>0.87</v>
          </cell>
          <cell r="J34">
            <v>40.869999999999997</v>
          </cell>
          <cell r="K34">
            <v>906.64475000000004</v>
          </cell>
          <cell r="L34">
            <v>22.5</v>
          </cell>
          <cell r="M34">
            <v>2.505694760820049E-2</v>
          </cell>
        </row>
        <row r="35">
          <cell r="C35">
            <v>156628</v>
          </cell>
          <cell r="D35" t="str">
            <v>Dylan Perry</v>
          </cell>
          <cell r="E35" t="str">
            <v>Container Repair</v>
          </cell>
          <cell r="F35" t="str">
            <v>No</v>
          </cell>
          <cell r="G35">
            <v>16.29</v>
          </cell>
          <cell r="H35">
            <v>40</v>
          </cell>
          <cell r="I35">
            <v>0</v>
          </cell>
          <cell r="J35">
            <v>40</v>
          </cell>
          <cell r="K35">
            <v>651.59999999999991</v>
          </cell>
          <cell r="L35">
            <v>16.7</v>
          </cell>
          <cell r="M35">
            <v>2.5168815224063851E-2</v>
          </cell>
        </row>
        <row r="36">
          <cell r="C36">
            <v>158074</v>
          </cell>
          <cell r="D36" t="str">
            <v>Travis Wiese</v>
          </cell>
          <cell r="E36" t="str">
            <v>Container Repair</v>
          </cell>
          <cell r="F36" t="str">
            <v>No</v>
          </cell>
          <cell r="G36">
            <v>19</v>
          </cell>
          <cell r="H36">
            <v>40</v>
          </cell>
          <cell r="I36">
            <v>0</v>
          </cell>
          <cell r="J36">
            <v>40</v>
          </cell>
          <cell r="K36">
            <v>760</v>
          </cell>
          <cell r="L36">
            <v>19.57</v>
          </cell>
          <cell r="M36">
            <v>3.0000000000000016E-2</v>
          </cell>
        </row>
        <row r="37">
          <cell r="C37">
            <v>114125</v>
          </cell>
          <cell r="D37" t="str">
            <v>Craig Woelke</v>
          </cell>
          <cell r="E37" t="str">
            <v>Container Repair</v>
          </cell>
          <cell r="F37" t="str">
            <v>No</v>
          </cell>
          <cell r="G37">
            <v>23.69</v>
          </cell>
          <cell r="H37">
            <v>40</v>
          </cell>
          <cell r="I37">
            <v>0</v>
          </cell>
          <cell r="J37">
            <v>40</v>
          </cell>
          <cell r="K37">
            <v>947.6</v>
          </cell>
          <cell r="L37">
            <v>24.28</v>
          </cell>
          <cell r="M37">
            <v>2.490502321654706E-2</v>
          </cell>
        </row>
        <row r="38">
          <cell r="C38">
            <v>100110</v>
          </cell>
          <cell r="D38" t="str">
            <v>Tera Glenn</v>
          </cell>
          <cell r="E38" t="str">
            <v>Accounting Clerk</v>
          </cell>
          <cell r="F38" t="str">
            <v>No</v>
          </cell>
          <cell r="G38">
            <v>27.55</v>
          </cell>
          <cell r="H38">
            <v>40</v>
          </cell>
          <cell r="I38">
            <v>0</v>
          </cell>
          <cell r="J38">
            <v>40</v>
          </cell>
          <cell r="K38">
            <v>1102</v>
          </cell>
          <cell r="L38">
            <v>27.55</v>
          </cell>
          <cell r="M38">
            <v>0</v>
          </cell>
        </row>
        <row r="39">
          <cell r="C39">
            <v>114200</v>
          </cell>
          <cell r="D39" t="str">
            <v>Carla Phillips</v>
          </cell>
          <cell r="E39" t="str">
            <v>Data Entry Clerk</v>
          </cell>
          <cell r="F39" t="str">
            <v>No</v>
          </cell>
          <cell r="G39">
            <v>25.26</v>
          </cell>
          <cell r="H39">
            <v>40</v>
          </cell>
          <cell r="I39">
            <v>0</v>
          </cell>
          <cell r="J39">
            <v>40</v>
          </cell>
          <cell r="K39">
            <v>1010.4000000000001</v>
          </cell>
          <cell r="L39">
            <v>25.26</v>
          </cell>
          <cell r="M39">
            <v>0</v>
          </cell>
        </row>
        <row r="40">
          <cell r="C40">
            <v>114252</v>
          </cell>
          <cell r="D40" t="str">
            <v>Jennifer Dane</v>
          </cell>
          <cell r="E40" t="str">
            <v>CSR</v>
          </cell>
          <cell r="F40" t="str">
            <v>No</v>
          </cell>
          <cell r="G40">
            <v>21.66</v>
          </cell>
          <cell r="H40">
            <v>40</v>
          </cell>
          <cell r="I40">
            <v>0</v>
          </cell>
          <cell r="J40">
            <v>40</v>
          </cell>
          <cell r="K40">
            <v>866.4</v>
          </cell>
          <cell r="L40">
            <v>21.66</v>
          </cell>
          <cell r="M40">
            <v>0</v>
          </cell>
        </row>
        <row r="41">
          <cell r="C41">
            <v>114255</v>
          </cell>
          <cell r="D41" t="str">
            <v>Michelle Jester</v>
          </cell>
          <cell r="E41" t="str">
            <v>Data Entry Clerk</v>
          </cell>
          <cell r="F41" t="str">
            <v>No</v>
          </cell>
          <cell r="G41">
            <v>23.11</v>
          </cell>
          <cell r="H41">
            <v>40</v>
          </cell>
          <cell r="I41">
            <v>0</v>
          </cell>
          <cell r="J41">
            <v>40</v>
          </cell>
          <cell r="K41">
            <v>924.4</v>
          </cell>
          <cell r="L41">
            <v>23.69</v>
          </cell>
          <cell r="M41">
            <v>2.5097360450021717E-2</v>
          </cell>
        </row>
        <row r="42">
          <cell r="C42">
            <v>114407</v>
          </cell>
          <cell r="D42" t="str">
            <v>Debbie Nowak</v>
          </cell>
          <cell r="E42" t="str">
            <v>Payroll</v>
          </cell>
          <cell r="F42" t="str">
            <v>No</v>
          </cell>
          <cell r="G42">
            <v>33.74</v>
          </cell>
          <cell r="H42">
            <v>40</v>
          </cell>
          <cell r="I42">
            <v>0</v>
          </cell>
          <cell r="J42">
            <v>40</v>
          </cell>
          <cell r="K42">
            <v>1349.6000000000001</v>
          </cell>
          <cell r="L42">
            <v>33.74</v>
          </cell>
          <cell r="M42">
            <v>0</v>
          </cell>
        </row>
        <row r="43">
          <cell r="C43">
            <v>116312</v>
          </cell>
          <cell r="D43" t="str">
            <v>Marie Most</v>
          </cell>
          <cell r="E43" t="str">
            <v>Administrative Assistant I</v>
          </cell>
          <cell r="F43" t="str">
            <v>No</v>
          </cell>
          <cell r="G43">
            <v>27.31</v>
          </cell>
          <cell r="H43">
            <v>40</v>
          </cell>
          <cell r="I43">
            <v>2.5</v>
          </cell>
          <cell r="J43">
            <v>42.5</v>
          </cell>
          <cell r="K43">
            <v>1194.8124999999998</v>
          </cell>
          <cell r="L43">
            <v>28</v>
          </cell>
          <cell r="M43">
            <v>2.5265470523617769E-2</v>
          </cell>
        </row>
        <row r="44">
          <cell r="C44">
            <v>116805</v>
          </cell>
          <cell r="D44" t="str">
            <v>Jana Maki</v>
          </cell>
          <cell r="E44" t="str">
            <v>Administrative Assistant I</v>
          </cell>
          <cell r="F44" t="str">
            <v>No</v>
          </cell>
          <cell r="G44">
            <v>21.54</v>
          </cell>
          <cell r="H44">
            <v>40</v>
          </cell>
          <cell r="I44">
            <v>0</v>
          </cell>
          <cell r="J44">
            <v>40</v>
          </cell>
          <cell r="K44">
            <v>861.59999999999991</v>
          </cell>
          <cell r="L44">
            <v>22.08</v>
          </cell>
          <cell r="M44">
            <v>2.5069637883008318E-2</v>
          </cell>
        </row>
        <row r="45">
          <cell r="C45">
            <v>117935</v>
          </cell>
          <cell r="D45" t="str">
            <v>Christina Moulden</v>
          </cell>
          <cell r="E45" t="str">
            <v>Customer Service Supervisor</v>
          </cell>
          <cell r="F45" t="str">
            <v>No</v>
          </cell>
          <cell r="G45">
            <v>22.62</v>
          </cell>
          <cell r="H45">
            <v>40</v>
          </cell>
          <cell r="I45">
            <v>0</v>
          </cell>
          <cell r="J45">
            <v>40</v>
          </cell>
          <cell r="K45">
            <v>904.80000000000007</v>
          </cell>
          <cell r="L45">
            <v>23.19</v>
          </cell>
          <cell r="M45">
            <v>2.5198938992042452E-2</v>
          </cell>
        </row>
        <row r="46">
          <cell r="C46">
            <v>115438</v>
          </cell>
          <cell r="D46" t="str">
            <v>Michelle Lloyd</v>
          </cell>
          <cell r="E46" t="str">
            <v>CSR</v>
          </cell>
          <cell r="F46" t="str">
            <v>No</v>
          </cell>
          <cell r="G46">
            <v>18.309999999999999</v>
          </cell>
          <cell r="H46">
            <v>40</v>
          </cell>
          <cell r="I46">
            <v>2.5</v>
          </cell>
          <cell r="J46">
            <v>42.5</v>
          </cell>
          <cell r="K46">
            <v>801.0625</v>
          </cell>
          <cell r="L46">
            <v>18.77</v>
          </cell>
          <cell r="M46">
            <v>2.5122883670125662E-2</v>
          </cell>
        </row>
        <row r="47">
          <cell r="C47">
            <v>156471</v>
          </cell>
          <cell r="D47" t="str">
            <v>Mandy Coleman</v>
          </cell>
          <cell r="E47" t="str">
            <v>CSR</v>
          </cell>
          <cell r="F47" t="str">
            <v>No</v>
          </cell>
          <cell r="G47">
            <v>17.5</v>
          </cell>
          <cell r="H47">
            <v>40</v>
          </cell>
          <cell r="I47">
            <v>2.5</v>
          </cell>
          <cell r="J47">
            <v>42.5</v>
          </cell>
          <cell r="K47">
            <v>765.625</v>
          </cell>
          <cell r="L47">
            <v>18</v>
          </cell>
          <cell r="M47">
            <v>2.8571428571428571E-2</v>
          </cell>
        </row>
        <row r="48">
          <cell r="C48">
            <v>156922</v>
          </cell>
          <cell r="D48" t="str">
            <v>Martina Fisher Sanehi</v>
          </cell>
          <cell r="E48" t="str">
            <v>CSR</v>
          </cell>
          <cell r="F48" t="str">
            <v>No</v>
          </cell>
          <cell r="G48">
            <v>17.5</v>
          </cell>
          <cell r="H48">
            <v>40</v>
          </cell>
          <cell r="I48">
            <v>2.5</v>
          </cell>
          <cell r="J48">
            <v>42.5</v>
          </cell>
          <cell r="K48">
            <v>765.625</v>
          </cell>
          <cell r="L48">
            <v>17.940000000000001</v>
          </cell>
          <cell r="M48">
            <v>2.5142857142857217E-2</v>
          </cell>
        </row>
        <row r="49">
          <cell r="C49">
            <v>311423</v>
          </cell>
          <cell r="D49" t="str">
            <v>Hannah Ljunggren</v>
          </cell>
          <cell r="E49" t="str">
            <v>CSR</v>
          </cell>
          <cell r="F49" t="str">
            <v>No</v>
          </cell>
          <cell r="G49">
            <v>17</v>
          </cell>
          <cell r="H49">
            <v>40</v>
          </cell>
          <cell r="I49">
            <v>2.5</v>
          </cell>
          <cell r="J49">
            <v>42.5</v>
          </cell>
          <cell r="K49">
            <v>743.75</v>
          </cell>
          <cell r="L49">
            <v>17.43</v>
          </cell>
          <cell r="M49">
            <v>2.5294117647058807E-2</v>
          </cell>
        </row>
        <row r="50">
          <cell r="C50">
            <v>300442</v>
          </cell>
          <cell r="D50" t="str">
            <v>Sandra Hurd</v>
          </cell>
          <cell r="E50" t="str">
            <v>CSR</v>
          </cell>
          <cell r="F50" t="str">
            <v>No</v>
          </cell>
          <cell r="G50">
            <v>16.809999999999999</v>
          </cell>
          <cell r="H50">
            <v>40</v>
          </cell>
          <cell r="I50">
            <v>2.5</v>
          </cell>
          <cell r="J50">
            <v>42.5</v>
          </cell>
          <cell r="K50">
            <v>735.4375</v>
          </cell>
          <cell r="L50">
            <v>17.309999999999999</v>
          </cell>
          <cell r="M50">
            <v>2.9744199881023201E-2</v>
          </cell>
        </row>
        <row r="51">
          <cell r="C51">
            <v>301663</v>
          </cell>
          <cell r="D51" t="str">
            <v>Carla Arreygue</v>
          </cell>
          <cell r="E51" t="str">
            <v>CSR</v>
          </cell>
          <cell r="F51" t="str">
            <v>No</v>
          </cell>
          <cell r="G51">
            <v>16.809999999999999</v>
          </cell>
          <cell r="H51">
            <v>40</v>
          </cell>
          <cell r="I51">
            <v>2.5</v>
          </cell>
          <cell r="J51">
            <v>42.5</v>
          </cell>
          <cell r="K51">
            <v>735.4375</v>
          </cell>
          <cell r="L51">
            <v>17.23</v>
          </cell>
          <cell r="M51">
            <v>2.4985127900059592E-2</v>
          </cell>
        </row>
        <row r="52">
          <cell r="C52">
            <v>302976</v>
          </cell>
          <cell r="D52" t="str">
            <v>Dianna Chhom</v>
          </cell>
          <cell r="E52" t="str">
            <v>CSR</v>
          </cell>
          <cell r="F52" t="str">
            <v>No</v>
          </cell>
          <cell r="G52">
            <v>16.809999999999999</v>
          </cell>
          <cell r="H52">
            <v>40</v>
          </cell>
          <cell r="I52">
            <v>2.5</v>
          </cell>
          <cell r="J52">
            <v>42.5</v>
          </cell>
          <cell r="K52">
            <v>735.4375</v>
          </cell>
          <cell r="L52">
            <v>17.23</v>
          </cell>
          <cell r="M52">
            <v>2.4985127900059592E-2</v>
          </cell>
        </row>
        <row r="53">
          <cell r="C53">
            <v>304865</v>
          </cell>
          <cell r="D53" t="str">
            <v>Jennifer Wheat</v>
          </cell>
          <cell r="E53" t="str">
            <v>CSR</v>
          </cell>
          <cell r="F53" t="str">
            <v>No</v>
          </cell>
          <cell r="G53">
            <v>16.399999999999999</v>
          </cell>
          <cell r="H53">
            <v>40</v>
          </cell>
          <cell r="I53">
            <v>2.5</v>
          </cell>
          <cell r="J53">
            <v>42.5</v>
          </cell>
          <cell r="K53">
            <v>717.5</v>
          </cell>
          <cell r="L53">
            <v>17</v>
          </cell>
          <cell r="M53">
            <v>3.6585365853658625E-2</v>
          </cell>
        </row>
        <row r="54">
          <cell r="C54">
            <v>305714</v>
          </cell>
          <cell r="D54" t="str">
            <v>Alaina Amundsen</v>
          </cell>
          <cell r="E54" t="str">
            <v>Accounting Clerk</v>
          </cell>
          <cell r="F54" t="str">
            <v>No</v>
          </cell>
          <cell r="G54">
            <v>22.05</v>
          </cell>
          <cell r="H54">
            <v>40</v>
          </cell>
          <cell r="I54">
            <v>2.5</v>
          </cell>
          <cell r="J54">
            <v>42.5</v>
          </cell>
          <cell r="K54">
            <v>964.6875</v>
          </cell>
          <cell r="L54">
            <v>23</v>
          </cell>
          <cell r="M54">
            <v>4.3083900226757336E-2</v>
          </cell>
        </row>
        <row r="55">
          <cell r="C55">
            <v>304887</v>
          </cell>
          <cell r="D55" t="str">
            <v>Lourdes David-Thetadig</v>
          </cell>
          <cell r="E55" t="str">
            <v>CSR</v>
          </cell>
          <cell r="F55" t="str">
            <v>No</v>
          </cell>
          <cell r="G55">
            <v>16.399999999999999</v>
          </cell>
          <cell r="H55">
            <v>40</v>
          </cell>
          <cell r="I55">
            <v>2.5</v>
          </cell>
          <cell r="J55">
            <v>42.5</v>
          </cell>
          <cell r="K55">
            <v>717.5</v>
          </cell>
          <cell r="L55">
            <v>18</v>
          </cell>
          <cell r="M55">
            <v>9.7560975609756198E-2</v>
          </cell>
        </row>
        <row r="56">
          <cell r="C56">
            <v>306830</v>
          </cell>
          <cell r="D56" t="str">
            <v>Amanda Allen</v>
          </cell>
          <cell r="E56" t="str">
            <v>CSR</v>
          </cell>
          <cell r="F56" t="str">
            <v>No</v>
          </cell>
          <cell r="G56">
            <v>16.399999999999999</v>
          </cell>
          <cell r="H56">
            <v>40</v>
          </cell>
          <cell r="I56">
            <v>2.5</v>
          </cell>
          <cell r="J56">
            <v>42.5</v>
          </cell>
          <cell r="K56">
            <v>717.5</v>
          </cell>
          <cell r="L56">
            <v>17</v>
          </cell>
          <cell r="M56">
            <v>3.6585365853658625E-2</v>
          </cell>
        </row>
        <row r="57">
          <cell r="C57">
            <v>309526</v>
          </cell>
          <cell r="D57" t="str">
            <v>Jennifer Dacy</v>
          </cell>
          <cell r="E57" t="str">
            <v>CSR</v>
          </cell>
          <cell r="F57" t="str">
            <v>No</v>
          </cell>
          <cell r="G57">
            <v>16.399999999999999</v>
          </cell>
          <cell r="H57">
            <v>40</v>
          </cell>
          <cell r="I57">
            <v>2.5</v>
          </cell>
          <cell r="J57">
            <v>42.5</v>
          </cell>
          <cell r="K57">
            <v>717.5</v>
          </cell>
          <cell r="L57">
            <v>17</v>
          </cell>
          <cell r="M57">
            <v>3.6585365853658625E-2</v>
          </cell>
        </row>
        <row r="58">
          <cell r="C58">
            <v>309681</v>
          </cell>
          <cell r="D58" t="str">
            <v>Jessica Brewer</v>
          </cell>
          <cell r="E58" t="str">
            <v>CSR</v>
          </cell>
          <cell r="F58" t="str">
            <v>No</v>
          </cell>
          <cell r="G58">
            <v>16.399999999999999</v>
          </cell>
          <cell r="H58">
            <v>40</v>
          </cell>
          <cell r="I58">
            <v>2.5</v>
          </cell>
          <cell r="J58">
            <v>42.5</v>
          </cell>
          <cell r="K58">
            <v>717.5</v>
          </cell>
          <cell r="L58">
            <v>17</v>
          </cell>
          <cell r="M58">
            <v>3.6585365853658625E-2</v>
          </cell>
        </row>
        <row r="59">
          <cell r="C59">
            <v>312263</v>
          </cell>
          <cell r="D59" t="str">
            <v>Adriana Case</v>
          </cell>
          <cell r="E59" t="str">
            <v>CSR</v>
          </cell>
          <cell r="F59" t="str">
            <v>No</v>
          </cell>
          <cell r="G59">
            <v>16.399999999999999</v>
          </cell>
          <cell r="H59">
            <v>40</v>
          </cell>
          <cell r="I59">
            <v>2.5</v>
          </cell>
          <cell r="J59">
            <v>42.5</v>
          </cell>
          <cell r="K59">
            <v>717.5</v>
          </cell>
          <cell r="L59">
            <v>17</v>
          </cell>
          <cell r="M59">
            <v>3.6585365853658625E-2</v>
          </cell>
        </row>
        <row r="60">
          <cell r="C60">
            <v>313924</v>
          </cell>
          <cell r="D60" t="str">
            <v>Rhea Ann Nangauta</v>
          </cell>
          <cell r="E60" t="str">
            <v>CSR</v>
          </cell>
          <cell r="F60" t="str">
            <v>No</v>
          </cell>
          <cell r="G60">
            <v>16.399999999999999</v>
          </cell>
          <cell r="H60">
            <v>40</v>
          </cell>
          <cell r="I60">
            <v>2.5</v>
          </cell>
          <cell r="J60">
            <v>42.5</v>
          </cell>
          <cell r="K60">
            <v>717.5</v>
          </cell>
          <cell r="L60">
            <v>17</v>
          </cell>
          <cell r="M60">
            <v>3.6585365853658625E-2</v>
          </cell>
        </row>
        <row r="61">
          <cell r="C61">
            <v>313960</v>
          </cell>
          <cell r="D61" t="str">
            <v>Erica Schmitz</v>
          </cell>
          <cell r="E61" t="str">
            <v>CSR</v>
          </cell>
          <cell r="F61" t="str">
            <v>No</v>
          </cell>
          <cell r="G61">
            <v>16.399999999999999</v>
          </cell>
          <cell r="H61">
            <v>40</v>
          </cell>
          <cell r="I61">
            <v>2.5</v>
          </cell>
          <cell r="J61">
            <v>42.5</v>
          </cell>
          <cell r="K61">
            <v>717.5</v>
          </cell>
          <cell r="L61">
            <v>17</v>
          </cell>
          <cell r="M61">
            <v>3.6585365853658625E-2</v>
          </cell>
        </row>
      </sheetData>
      <sheetData sheetId="1"/>
      <sheetData sheetId="2"/>
      <sheetData sheetId="3"/>
      <sheetData sheetId="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R OH Calc"/>
      <sheetName val="2000_IS210"/>
      <sheetName val="2017 Alloc"/>
      <sheetName val="2018 Alloc Jan-Sep"/>
      <sheetName val="2018 Alloc Oct-Dec"/>
    </sheetNames>
    <sheetDataSet>
      <sheetData sheetId="0"/>
      <sheetData sheetId="1">
        <row r="1">
          <cell r="D1" t="str">
            <v>Acct</v>
          </cell>
          <cell r="E1" t="str">
            <v>AcctName</v>
          </cell>
          <cell r="F1">
            <v>0</v>
          </cell>
          <cell r="G1">
            <v>0</v>
          </cell>
          <cell r="J1" t="str">
            <v>Act(-11)</v>
          </cell>
          <cell r="L1" t="str">
            <v>Act(-10)</v>
          </cell>
          <cell r="N1" t="str">
            <v>Act(-9)</v>
          </cell>
          <cell r="P1" t="str">
            <v>Act(-8)</v>
          </cell>
          <cell r="R1" t="str">
            <v>Act(-7)</v>
          </cell>
          <cell r="T1" t="str">
            <v>Act(-6)</v>
          </cell>
          <cell r="V1" t="str">
            <v>Act(-5)</v>
          </cell>
          <cell r="X1" t="str">
            <v>Act(-4)</v>
          </cell>
          <cell r="Z1" t="str">
            <v>Act(-3)</v>
          </cell>
          <cell r="AB1" t="str">
            <v>Act(-2)</v>
          </cell>
          <cell r="AD1" t="str">
            <v>Act(-1)</v>
          </cell>
          <cell r="AF1" t="str">
            <v>Act</v>
          </cell>
          <cell r="AH1">
            <v>0</v>
          </cell>
        </row>
        <row r="2">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row>
        <row r="3">
          <cell r="D3">
            <v>0</v>
          </cell>
          <cell r="E3">
            <v>0</v>
          </cell>
          <cell r="F3">
            <v>0</v>
          </cell>
          <cell r="G3">
            <v>0</v>
          </cell>
          <cell r="H3">
            <v>0</v>
          </cell>
          <cell r="I3">
            <v>0</v>
          </cell>
          <cell r="J3" t="str">
            <v>2018-12</v>
          </cell>
          <cell r="L3" t="str">
            <v>2019-01</v>
          </cell>
          <cell r="N3" t="str">
            <v>2019-02</v>
          </cell>
          <cell r="P3" t="str">
            <v>2019-03</v>
          </cell>
          <cell r="R3" t="str">
            <v>2019-04</v>
          </cell>
          <cell r="T3" t="str">
            <v>2019-05</v>
          </cell>
          <cell r="V3" t="str">
            <v>2019-06</v>
          </cell>
          <cell r="X3" t="str">
            <v>2019-07</v>
          </cell>
          <cell r="Z3" t="str">
            <v>2019-08</v>
          </cell>
          <cell r="AB3" t="str">
            <v>2019-09</v>
          </cell>
          <cell r="AD3" t="str">
            <v>2019-10</v>
          </cell>
          <cell r="AF3" t="str">
            <v>2019-11</v>
          </cell>
          <cell r="AH3">
            <v>0</v>
          </cell>
        </row>
        <row r="4">
          <cell r="G4">
            <v>0</v>
          </cell>
          <cell r="J4">
            <v>0</v>
          </cell>
          <cell r="L4">
            <v>0</v>
          </cell>
          <cell r="N4">
            <v>0</v>
          </cell>
          <cell r="P4">
            <v>0</v>
          </cell>
          <cell r="R4">
            <v>0</v>
          </cell>
          <cell r="T4">
            <v>0</v>
          </cell>
          <cell r="V4">
            <v>0</v>
          </cell>
          <cell r="X4">
            <v>0</v>
          </cell>
          <cell r="Z4">
            <v>0</v>
          </cell>
          <cell r="AB4">
            <v>0</v>
          </cell>
          <cell r="AD4">
            <v>0</v>
          </cell>
          <cell r="AF4">
            <v>0</v>
          </cell>
          <cell r="AH4">
            <v>0</v>
          </cell>
        </row>
        <row r="5">
          <cell r="J5">
            <v>0</v>
          </cell>
          <cell r="L5">
            <v>0</v>
          </cell>
          <cell r="N5">
            <v>0</v>
          </cell>
          <cell r="P5">
            <v>0</v>
          </cell>
          <cell r="R5">
            <v>0</v>
          </cell>
          <cell r="T5">
            <v>0</v>
          </cell>
          <cell r="V5">
            <v>0</v>
          </cell>
          <cell r="X5">
            <v>0</v>
          </cell>
          <cell r="Z5">
            <v>0</v>
          </cell>
          <cell r="AB5">
            <v>0</v>
          </cell>
          <cell r="AD5">
            <v>0</v>
          </cell>
          <cell r="AF5">
            <v>0</v>
          </cell>
          <cell r="AH5">
            <v>0</v>
          </cell>
        </row>
        <row r="6">
          <cell r="D6" t="str">
            <v>Waste Connections, Inc.</v>
          </cell>
          <cell r="M6" t="str">
            <v>Districts/Grouping:</v>
          </cell>
          <cell r="N6" t="str">
            <v>2000</v>
          </cell>
          <cell r="Q6" t="str">
            <v>Exclude IC:</v>
          </cell>
          <cell r="R6">
            <v>0</v>
          </cell>
          <cell r="S6">
            <v>0</v>
          </cell>
          <cell r="T6">
            <v>0</v>
          </cell>
          <cell r="Y6">
            <v>0</v>
          </cell>
          <cell r="Z6">
            <v>0</v>
          </cell>
          <cell r="AE6">
            <v>0</v>
          </cell>
          <cell r="AF6">
            <v>0</v>
          </cell>
          <cell r="AH6">
            <v>0</v>
          </cell>
        </row>
        <row r="7">
          <cell r="D7" t="str">
            <v>IS 210 - PL Review</v>
          </cell>
          <cell r="N7" t="str">
            <v/>
          </cell>
          <cell r="Q7" t="str">
            <v>System:</v>
          </cell>
          <cell r="R7" t="str">
            <v/>
          </cell>
          <cell r="T7" t="str">
            <v/>
          </cell>
          <cell r="Z7" t="str">
            <v/>
          </cell>
          <cell r="AF7" t="str">
            <v/>
          </cell>
        </row>
        <row r="8">
          <cell r="D8" t="str">
            <v>2019-11</v>
          </cell>
        </row>
        <row r="9">
          <cell r="D9">
            <v>1</v>
          </cell>
          <cell r="E9">
            <v>2</v>
          </cell>
          <cell r="F9">
            <v>3</v>
          </cell>
          <cell r="G9">
            <v>4</v>
          </cell>
          <cell r="H9">
            <v>5</v>
          </cell>
          <cell r="I9">
            <v>6</v>
          </cell>
          <cell r="J9">
            <v>7</v>
          </cell>
          <cell r="K9">
            <v>8</v>
          </cell>
          <cell r="L9">
            <v>9</v>
          </cell>
          <cell r="M9">
            <v>10</v>
          </cell>
          <cell r="N9">
            <v>11</v>
          </cell>
          <cell r="O9">
            <v>12</v>
          </cell>
          <cell r="P9">
            <v>13</v>
          </cell>
          <cell r="Q9">
            <v>14</v>
          </cell>
          <cell r="R9">
            <v>15</v>
          </cell>
          <cell r="S9">
            <v>16</v>
          </cell>
          <cell r="T9">
            <v>17</v>
          </cell>
          <cell r="U9">
            <v>18</v>
          </cell>
          <cell r="V9">
            <v>19</v>
          </cell>
          <cell r="W9">
            <v>20</v>
          </cell>
          <cell r="X9">
            <v>21</v>
          </cell>
          <cell r="Y9">
            <v>22</v>
          </cell>
          <cell r="Z9">
            <v>23</v>
          </cell>
          <cell r="AA9">
            <v>24</v>
          </cell>
          <cell r="AB9">
            <v>25</v>
          </cell>
          <cell r="AC9">
            <v>26</v>
          </cell>
          <cell r="AD9">
            <v>27</v>
          </cell>
          <cell r="AE9">
            <v>28</v>
          </cell>
          <cell r="AF9">
            <v>29</v>
          </cell>
          <cell r="AG9">
            <v>30</v>
          </cell>
          <cell r="AH9">
            <v>31</v>
          </cell>
        </row>
        <row r="10">
          <cell r="D10">
            <v>0</v>
          </cell>
        </row>
        <row r="11">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row>
        <row r="12">
          <cell r="D12">
            <v>0</v>
          </cell>
          <cell r="E12">
            <v>0</v>
          </cell>
          <cell r="F12">
            <v>0</v>
          </cell>
          <cell r="G12">
            <v>0</v>
          </cell>
          <cell r="H12">
            <v>0</v>
          </cell>
          <cell r="I12">
            <v>0</v>
          </cell>
          <cell r="J12">
            <v>43446</v>
          </cell>
          <cell r="K12">
            <v>0</v>
          </cell>
          <cell r="L12">
            <v>43466</v>
          </cell>
          <cell r="M12">
            <v>0</v>
          </cell>
          <cell r="N12">
            <v>43498</v>
          </cell>
          <cell r="O12">
            <v>0</v>
          </cell>
          <cell r="P12">
            <v>43527</v>
          </cell>
          <cell r="Q12">
            <v>0</v>
          </cell>
          <cell r="R12">
            <v>43559</v>
          </cell>
          <cell r="S12">
            <v>0</v>
          </cell>
          <cell r="T12">
            <v>43590</v>
          </cell>
          <cell r="U12">
            <v>0</v>
          </cell>
          <cell r="V12">
            <v>43622</v>
          </cell>
          <cell r="W12">
            <v>0</v>
          </cell>
          <cell r="X12">
            <v>43653</v>
          </cell>
          <cell r="Y12">
            <v>0</v>
          </cell>
          <cell r="Z12">
            <v>43685</v>
          </cell>
          <cell r="AA12">
            <v>0</v>
          </cell>
          <cell r="AB12">
            <v>43717</v>
          </cell>
          <cell r="AC12">
            <v>0</v>
          </cell>
          <cell r="AD12">
            <v>43748</v>
          </cell>
          <cell r="AE12">
            <v>0</v>
          </cell>
          <cell r="AF12">
            <v>43780</v>
          </cell>
          <cell r="AG12">
            <v>0</v>
          </cell>
          <cell r="AH12" t="str">
            <v>Total</v>
          </cell>
        </row>
        <row r="13">
          <cell r="D13">
            <v>98501</v>
          </cell>
          <cell r="E13" t="str">
            <v>Days - Weekdays</v>
          </cell>
          <cell r="F13">
            <v>0</v>
          </cell>
          <cell r="G13">
            <v>0</v>
          </cell>
          <cell r="H13">
            <v>0</v>
          </cell>
          <cell r="I13">
            <v>0</v>
          </cell>
          <cell r="J13">
            <v>21</v>
          </cell>
          <cell r="K13">
            <v>0</v>
          </cell>
          <cell r="L13">
            <v>23</v>
          </cell>
          <cell r="M13">
            <v>0</v>
          </cell>
          <cell r="N13">
            <v>20</v>
          </cell>
          <cell r="O13">
            <v>0</v>
          </cell>
          <cell r="P13">
            <v>21</v>
          </cell>
          <cell r="Q13">
            <v>0</v>
          </cell>
          <cell r="R13">
            <v>22</v>
          </cell>
          <cell r="S13">
            <v>0</v>
          </cell>
          <cell r="T13">
            <v>23</v>
          </cell>
          <cell r="U13">
            <v>0</v>
          </cell>
          <cell r="V13">
            <v>20</v>
          </cell>
          <cell r="W13">
            <v>0</v>
          </cell>
          <cell r="X13">
            <v>23</v>
          </cell>
          <cell r="Y13">
            <v>0</v>
          </cell>
          <cell r="Z13">
            <v>22</v>
          </cell>
          <cell r="AA13">
            <v>0</v>
          </cell>
          <cell r="AB13">
            <v>21</v>
          </cell>
          <cell r="AC13">
            <v>0</v>
          </cell>
          <cell r="AD13">
            <v>23</v>
          </cell>
          <cell r="AE13">
            <v>0</v>
          </cell>
          <cell r="AF13">
            <v>21</v>
          </cell>
          <cell r="AG13">
            <v>0</v>
          </cell>
          <cell r="AH13">
            <v>260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row>
        <row r="17">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row>
        <row r="18">
          <cell r="F18" t="str">
            <v>Hauling Revenue</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row>
        <row r="21">
          <cell r="D21">
            <v>0</v>
          </cell>
          <cell r="E21">
            <v>0</v>
          </cell>
          <cell r="F21">
            <v>0</v>
          </cell>
          <cell r="G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F22" t="str">
            <v>Transfer and MRF</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row>
        <row r="26">
          <cell r="D26">
            <v>0</v>
          </cell>
          <cell r="E26">
            <v>0</v>
          </cell>
          <cell r="F26">
            <v>0</v>
          </cell>
          <cell r="G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row>
        <row r="27">
          <cell r="F27" t="str">
            <v>Recycling Proceeds</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row>
        <row r="28">
          <cell r="D28">
            <v>0</v>
          </cell>
          <cell r="E28">
            <v>0</v>
          </cell>
          <cell r="F28">
            <v>0</v>
          </cell>
          <cell r="G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row>
        <row r="31">
          <cell r="D31">
            <v>0</v>
          </cell>
          <cell r="E31">
            <v>0</v>
          </cell>
          <cell r="F31">
            <v>0</v>
          </cell>
          <cell r="G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row>
        <row r="32">
          <cell r="F32" t="str">
            <v>Landfill Revenue</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row>
        <row r="35">
          <cell r="D35">
            <v>0</v>
          </cell>
          <cell r="E35">
            <v>0</v>
          </cell>
          <cell r="F35">
            <v>0</v>
          </cell>
          <cell r="G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F36" t="str">
            <v>Intermodal</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D39">
            <v>38001</v>
          </cell>
          <cell r="E39" t="str">
            <v>P-Card Rebate Revenue</v>
          </cell>
          <cell r="F39">
            <v>0</v>
          </cell>
          <cell r="G39">
            <v>0</v>
          </cell>
          <cell r="H39">
            <v>0</v>
          </cell>
          <cell r="I39">
            <v>0</v>
          </cell>
          <cell r="J39">
            <v>-145956.82</v>
          </cell>
          <cell r="K39">
            <v>0</v>
          </cell>
          <cell r="L39">
            <v>-130331.59</v>
          </cell>
          <cell r="M39">
            <v>0</v>
          </cell>
          <cell r="N39">
            <v>-117814.75</v>
          </cell>
          <cell r="O39">
            <v>0</v>
          </cell>
          <cell r="P39">
            <v>-116944.69</v>
          </cell>
          <cell r="Q39">
            <v>0</v>
          </cell>
          <cell r="R39">
            <v>-134118.26999999999</v>
          </cell>
          <cell r="S39">
            <v>0</v>
          </cell>
          <cell r="T39">
            <v>-127510.68</v>
          </cell>
          <cell r="U39">
            <v>0</v>
          </cell>
          <cell r="V39">
            <v>-142270.75</v>
          </cell>
          <cell r="W39">
            <v>0</v>
          </cell>
          <cell r="X39">
            <v>-135722.95000000001</v>
          </cell>
          <cell r="Y39">
            <v>0</v>
          </cell>
          <cell r="Z39">
            <v>-129565.63</v>
          </cell>
          <cell r="AA39">
            <v>0</v>
          </cell>
          <cell r="AB39">
            <v>-130783.73</v>
          </cell>
          <cell r="AC39">
            <v>0</v>
          </cell>
          <cell r="AD39">
            <v>-139847.1</v>
          </cell>
          <cell r="AE39">
            <v>0</v>
          </cell>
          <cell r="AF39">
            <v>-136598.44</v>
          </cell>
          <cell r="AG39">
            <v>0</v>
          </cell>
          <cell r="AH39">
            <v>-1587465.4000000001</v>
          </cell>
        </row>
        <row r="40">
          <cell r="D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row>
        <row r="41">
          <cell r="F41" t="str">
            <v>Other Revenue</v>
          </cell>
          <cell r="J41">
            <v>-145956.82</v>
          </cell>
          <cell r="K41">
            <v>0</v>
          </cell>
          <cell r="L41">
            <v>-130331.59</v>
          </cell>
          <cell r="M41">
            <v>0</v>
          </cell>
          <cell r="N41">
            <v>-117814.75</v>
          </cell>
          <cell r="O41">
            <v>0</v>
          </cell>
          <cell r="P41">
            <v>-116944.69</v>
          </cell>
          <cell r="Q41">
            <v>0</v>
          </cell>
          <cell r="R41">
            <v>-134118.26999999999</v>
          </cell>
          <cell r="S41">
            <v>0</v>
          </cell>
          <cell r="T41">
            <v>-127510.68</v>
          </cell>
          <cell r="U41">
            <v>0</v>
          </cell>
          <cell r="V41">
            <v>-142270.75</v>
          </cell>
          <cell r="W41">
            <v>0</v>
          </cell>
          <cell r="X41">
            <v>-135722.95000000001</v>
          </cell>
          <cell r="Y41">
            <v>0</v>
          </cell>
          <cell r="Z41">
            <v>-129565.63</v>
          </cell>
          <cell r="AA41">
            <v>0</v>
          </cell>
          <cell r="AB41">
            <v>-130783.73</v>
          </cell>
          <cell r="AC41">
            <v>0</v>
          </cell>
          <cell r="AD41">
            <v>-139847.1</v>
          </cell>
          <cell r="AE41">
            <v>0</v>
          </cell>
          <cell r="AF41">
            <v>-136598.44</v>
          </cell>
          <cell r="AG41">
            <v>0</v>
          </cell>
          <cell r="AH41">
            <v>-1587465.4000000001</v>
          </cell>
        </row>
        <row r="42">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row>
        <row r="43">
          <cell r="E43" t="str">
            <v>Revenue</v>
          </cell>
          <cell r="J43">
            <v>-145956.82</v>
          </cell>
          <cell r="K43">
            <v>0</v>
          </cell>
          <cell r="L43">
            <v>-130331.59</v>
          </cell>
          <cell r="M43">
            <v>0</v>
          </cell>
          <cell r="N43">
            <v>-117814.75</v>
          </cell>
          <cell r="O43">
            <v>0</v>
          </cell>
          <cell r="P43">
            <v>-116944.69</v>
          </cell>
          <cell r="Q43">
            <v>0</v>
          </cell>
          <cell r="R43">
            <v>-134118.26999999999</v>
          </cell>
          <cell r="S43">
            <v>0</v>
          </cell>
          <cell r="T43">
            <v>-127510.68</v>
          </cell>
          <cell r="U43">
            <v>0</v>
          </cell>
          <cell r="V43">
            <v>-142270.75</v>
          </cell>
          <cell r="W43">
            <v>0</v>
          </cell>
          <cell r="X43">
            <v>-135722.95000000001</v>
          </cell>
          <cell r="Y43">
            <v>0</v>
          </cell>
          <cell r="Z43">
            <v>-129565.63</v>
          </cell>
          <cell r="AA43">
            <v>0</v>
          </cell>
          <cell r="AB43">
            <v>-130783.73</v>
          </cell>
          <cell r="AC43">
            <v>0</v>
          </cell>
          <cell r="AD43">
            <v>-139847.1</v>
          </cell>
          <cell r="AE43">
            <v>0</v>
          </cell>
          <cell r="AF43">
            <v>-136598.44</v>
          </cell>
          <cell r="AG43">
            <v>0</v>
          </cell>
          <cell r="AH43">
            <v>-1587465.4000000001</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D47">
            <v>0</v>
          </cell>
          <cell r="E47">
            <v>0</v>
          </cell>
          <cell r="F47">
            <v>0</v>
          </cell>
          <cell r="G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row>
        <row r="48">
          <cell r="F48" t="str">
            <v>Disposal</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row>
        <row r="51">
          <cell r="D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F52" t="str">
            <v>MRF Processing</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D55">
            <v>41131</v>
          </cell>
          <cell r="E55" t="str">
            <v>Rail Drayage Expenses</v>
          </cell>
          <cell r="F55">
            <v>0</v>
          </cell>
          <cell r="G55">
            <v>0</v>
          </cell>
          <cell r="H55">
            <v>0</v>
          </cell>
          <cell r="I55">
            <v>0</v>
          </cell>
          <cell r="J55">
            <v>916039.06</v>
          </cell>
          <cell r="K55">
            <v>0</v>
          </cell>
          <cell r="L55">
            <v>0</v>
          </cell>
          <cell r="M55">
            <v>0</v>
          </cell>
          <cell r="N55">
            <v>0</v>
          </cell>
          <cell r="O55">
            <v>0</v>
          </cell>
          <cell r="P55">
            <v>0</v>
          </cell>
          <cell r="Q55">
            <v>0</v>
          </cell>
          <cell r="R55">
            <v>0</v>
          </cell>
          <cell r="S55">
            <v>0</v>
          </cell>
          <cell r="T55">
            <v>-666039.06000000006</v>
          </cell>
          <cell r="U55">
            <v>0</v>
          </cell>
          <cell r="V55">
            <v>0</v>
          </cell>
          <cell r="W55">
            <v>0</v>
          </cell>
          <cell r="X55">
            <v>0</v>
          </cell>
          <cell r="Y55">
            <v>0</v>
          </cell>
          <cell r="Z55">
            <v>0</v>
          </cell>
          <cell r="AA55">
            <v>0</v>
          </cell>
          <cell r="AB55">
            <v>0</v>
          </cell>
          <cell r="AC55">
            <v>0</v>
          </cell>
          <cell r="AD55">
            <v>0</v>
          </cell>
          <cell r="AE55">
            <v>0</v>
          </cell>
          <cell r="AF55">
            <v>0</v>
          </cell>
          <cell r="AG55">
            <v>0</v>
          </cell>
          <cell r="AH55">
            <v>250000</v>
          </cell>
        </row>
        <row r="56">
          <cell r="D56">
            <v>43001</v>
          </cell>
          <cell r="E56" t="str">
            <v>Taxes and Pass Thru Fees</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row>
        <row r="57">
          <cell r="D57">
            <v>0</v>
          </cell>
          <cell r="E57">
            <v>0</v>
          </cell>
          <cell r="F57">
            <v>0</v>
          </cell>
          <cell r="G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F58" t="str">
            <v>Brok. and Taxes</v>
          </cell>
          <cell r="G58">
            <v>0</v>
          </cell>
          <cell r="H58">
            <v>0</v>
          </cell>
          <cell r="I58">
            <v>0</v>
          </cell>
          <cell r="J58">
            <v>916039.06</v>
          </cell>
          <cell r="K58">
            <v>0</v>
          </cell>
          <cell r="L58">
            <v>0</v>
          </cell>
          <cell r="M58">
            <v>0</v>
          </cell>
          <cell r="N58">
            <v>0</v>
          </cell>
          <cell r="O58">
            <v>0</v>
          </cell>
          <cell r="P58">
            <v>0</v>
          </cell>
          <cell r="Q58">
            <v>0</v>
          </cell>
          <cell r="R58">
            <v>0</v>
          </cell>
          <cell r="S58">
            <v>0</v>
          </cell>
          <cell r="T58">
            <v>-666039.06000000006</v>
          </cell>
          <cell r="U58">
            <v>0</v>
          </cell>
          <cell r="V58">
            <v>0</v>
          </cell>
          <cell r="W58">
            <v>0</v>
          </cell>
          <cell r="X58">
            <v>0</v>
          </cell>
          <cell r="Y58">
            <v>0</v>
          </cell>
          <cell r="Z58">
            <v>0</v>
          </cell>
          <cell r="AA58">
            <v>0</v>
          </cell>
          <cell r="AB58">
            <v>0</v>
          </cell>
          <cell r="AC58">
            <v>0</v>
          </cell>
          <cell r="AD58">
            <v>0</v>
          </cell>
          <cell r="AE58">
            <v>0</v>
          </cell>
          <cell r="AF58">
            <v>0</v>
          </cell>
          <cell r="AG58">
            <v>0</v>
          </cell>
          <cell r="AH58">
            <v>250000</v>
          </cell>
        </row>
        <row r="59">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D62">
            <v>0</v>
          </cell>
          <cell r="E62">
            <v>0</v>
          </cell>
          <cell r="F62">
            <v>0</v>
          </cell>
          <cell r="G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F63" t="str">
            <v>Cost of Materials</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D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F67" t="str">
            <v>Other Expense</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E69" t="str">
            <v>Rev Reductions</v>
          </cell>
          <cell r="J69">
            <v>916039.06</v>
          </cell>
          <cell r="K69">
            <v>0</v>
          </cell>
          <cell r="L69">
            <v>0</v>
          </cell>
          <cell r="M69">
            <v>0</v>
          </cell>
          <cell r="N69">
            <v>0</v>
          </cell>
          <cell r="O69">
            <v>0</v>
          </cell>
          <cell r="P69">
            <v>0</v>
          </cell>
          <cell r="Q69">
            <v>0</v>
          </cell>
          <cell r="R69">
            <v>0</v>
          </cell>
          <cell r="S69">
            <v>0</v>
          </cell>
          <cell r="T69">
            <v>-666039.06000000006</v>
          </cell>
          <cell r="U69">
            <v>0</v>
          </cell>
          <cell r="V69">
            <v>0</v>
          </cell>
          <cell r="W69">
            <v>0</v>
          </cell>
          <cell r="X69">
            <v>0</v>
          </cell>
          <cell r="Y69">
            <v>0</v>
          </cell>
          <cell r="Z69">
            <v>0</v>
          </cell>
          <cell r="AA69">
            <v>0</v>
          </cell>
          <cell r="AB69">
            <v>0</v>
          </cell>
          <cell r="AC69">
            <v>0</v>
          </cell>
          <cell r="AD69">
            <v>0</v>
          </cell>
          <cell r="AE69">
            <v>0</v>
          </cell>
          <cell r="AF69">
            <v>0</v>
          </cell>
          <cell r="AG69">
            <v>0</v>
          </cell>
          <cell r="AH69">
            <v>250000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E71" t="str">
            <v>Net Revenue</v>
          </cell>
          <cell r="J71">
            <v>-1061995.8800000001</v>
          </cell>
          <cell r="K71">
            <v>0</v>
          </cell>
          <cell r="L71">
            <v>-130331.59</v>
          </cell>
          <cell r="M71">
            <v>0</v>
          </cell>
          <cell r="N71">
            <v>-117814.75</v>
          </cell>
          <cell r="O71">
            <v>0</v>
          </cell>
          <cell r="P71">
            <v>-116944.69</v>
          </cell>
          <cell r="Q71">
            <v>0</v>
          </cell>
          <cell r="R71">
            <v>-134118.26999999999</v>
          </cell>
          <cell r="S71">
            <v>0</v>
          </cell>
          <cell r="T71">
            <v>538528.38000000012</v>
          </cell>
          <cell r="U71">
            <v>0</v>
          </cell>
          <cell r="V71">
            <v>-142270.75</v>
          </cell>
          <cell r="W71">
            <v>0</v>
          </cell>
          <cell r="X71">
            <v>-135722.95000000001</v>
          </cell>
          <cell r="Y71">
            <v>0</v>
          </cell>
          <cell r="Z71">
            <v>-129565.63</v>
          </cell>
          <cell r="AA71">
            <v>0</v>
          </cell>
          <cell r="AB71">
            <v>-130783.73</v>
          </cell>
          <cell r="AC71">
            <v>0</v>
          </cell>
          <cell r="AD71">
            <v>-139847.1</v>
          </cell>
          <cell r="AE71">
            <v>0</v>
          </cell>
          <cell r="AF71">
            <v>-136598.44</v>
          </cell>
          <cell r="AG71">
            <v>0</v>
          </cell>
          <cell r="AH71">
            <v>-1837465.4000000001</v>
          </cell>
        </row>
        <row r="72">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D74">
            <v>50010</v>
          </cell>
          <cell r="E74" t="str">
            <v>Salaries</v>
          </cell>
          <cell r="F74">
            <v>0</v>
          </cell>
          <cell r="G74">
            <v>0</v>
          </cell>
          <cell r="H74">
            <v>0</v>
          </cell>
          <cell r="I74">
            <v>0</v>
          </cell>
          <cell r="J74">
            <v>-5230.78</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-5230.78</v>
          </cell>
        </row>
        <row r="75">
          <cell r="D75">
            <v>50036</v>
          </cell>
          <cell r="E75" t="str">
            <v>Other Bonus/Commission - Non-Safety</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D76">
            <v>50050</v>
          </cell>
          <cell r="E76" t="str">
            <v>Payroll Taxes</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D77">
            <v>50060</v>
          </cell>
          <cell r="E77" t="str">
            <v>Group Insurance</v>
          </cell>
          <cell r="F77">
            <v>0</v>
          </cell>
          <cell r="G77">
            <v>0</v>
          </cell>
          <cell r="H77">
            <v>0</v>
          </cell>
          <cell r="I77">
            <v>0</v>
          </cell>
          <cell r="J77">
            <v>-1608737.85</v>
          </cell>
          <cell r="K77">
            <v>0</v>
          </cell>
          <cell r="L77">
            <v>0</v>
          </cell>
          <cell r="M77">
            <v>0</v>
          </cell>
          <cell r="N77">
            <v>0</v>
          </cell>
          <cell r="O77">
            <v>0</v>
          </cell>
          <cell r="P77">
            <v>-1925114</v>
          </cell>
          <cell r="Q77">
            <v>0</v>
          </cell>
          <cell r="R77">
            <v>0</v>
          </cell>
          <cell r="S77">
            <v>0</v>
          </cell>
          <cell r="T77">
            <v>0</v>
          </cell>
          <cell r="U77">
            <v>0</v>
          </cell>
          <cell r="V77">
            <v>-1140916.05</v>
          </cell>
          <cell r="W77">
            <v>0</v>
          </cell>
          <cell r="X77">
            <v>0</v>
          </cell>
          <cell r="Y77">
            <v>0</v>
          </cell>
          <cell r="Z77">
            <v>0</v>
          </cell>
          <cell r="AA77">
            <v>0</v>
          </cell>
          <cell r="AB77">
            <v>-1918375.96</v>
          </cell>
          <cell r="AC77">
            <v>0</v>
          </cell>
          <cell r="AD77">
            <v>0</v>
          </cell>
          <cell r="AE77">
            <v>0</v>
          </cell>
          <cell r="AF77">
            <v>0</v>
          </cell>
          <cell r="AG77">
            <v>0</v>
          </cell>
          <cell r="AH77">
            <v>-6593143.8599999994</v>
          </cell>
        </row>
        <row r="78">
          <cell r="D78">
            <v>50086</v>
          </cell>
          <cell r="E78" t="str">
            <v>Safety and Training</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D79">
            <v>0</v>
          </cell>
          <cell r="E79">
            <v>0</v>
          </cell>
          <cell r="F79">
            <v>0</v>
          </cell>
          <cell r="G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F80" t="str">
            <v>Labor</v>
          </cell>
          <cell r="J80">
            <v>-1613968.6300000001</v>
          </cell>
          <cell r="K80">
            <v>0</v>
          </cell>
          <cell r="L80">
            <v>0</v>
          </cell>
          <cell r="M80">
            <v>0</v>
          </cell>
          <cell r="N80">
            <v>0</v>
          </cell>
          <cell r="O80">
            <v>0</v>
          </cell>
          <cell r="P80">
            <v>-1925114</v>
          </cell>
          <cell r="Q80">
            <v>0</v>
          </cell>
          <cell r="R80">
            <v>0</v>
          </cell>
          <cell r="S80">
            <v>0</v>
          </cell>
          <cell r="T80">
            <v>0</v>
          </cell>
          <cell r="U80">
            <v>0</v>
          </cell>
          <cell r="V80">
            <v>-1140916.05</v>
          </cell>
          <cell r="W80">
            <v>0</v>
          </cell>
          <cell r="X80">
            <v>0</v>
          </cell>
          <cell r="Y80">
            <v>0</v>
          </cell>
          <cell r="Z80">
            <v>0</v>
          </cell>
          <cell r="AA80">
            <v>0</v>
          </cell>
          <cell r="AB80">
            <v>-1918375.96</v>
          </cell>
          <cell r="AC80">
            <v>0</v>
          </cell>
          <cell r="AD80">
            <v>0</v>
          </cell>
          <cell r="AE80">
            <v>0</v>
          </cell>
          <cell r="AF80">
            <v>0</v>
          </cell>
          <cell r="AG80">
            <v>0</v>
          </cell>
          <cell r="AH80">
            <v>-6598374.6399999997</v>
          </cell>
        </row>
        <row r="81">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3">
          <cell r="D83">
            <v>0</v>
          </cell>
          <cell r="E83">
            <v>0</v>
          </cell>
          <cell r="F83">
            <v>0</v>
          </cell>
          <cell r="G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4">
          <cell r="F84" t="str">
            <v>Truck Fixed</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5">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6">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row>
        <row r="87">
          <cell r="D87">
            <v>52010</v>
          </cell>
          <cell r="E87" t="str">
            <v>Salaries</v>
          </cell>
          <cell r="F87">
            <v>0</v>
          </cell>
          <cell r="G87">
            <v>0</v>
          </cell>
          <cell r="H87">
            <v>0</v>
          </cell>
          <cell r="I87">
            <v>0</v>
          </cell>
          <cell r="J87">
            <v>-57849.7</v>
          </cell>
          <cell r="K87">
            <v>0</v>
          </cell>
          <cell r="L87">
            <v>-3482.3</v>
          </cell>
          <cell r="M87">
            <v>0</v>
          </cell>
          <cell r="N87">
            <v>-3482.3</v>
          </cell>
          <cell r="O87">
            <v>0</v>
          </cell>
          <cell r="P87">
            <v>-3482.3</v>
          </cell>
          <cell r="Q87">
            <v>0</v>
          </cell>
          <cell r="R87">
            <v>-3482.3</v>
          </cell>
          <cell r="S87">
            <v>0</v>
          </cell>
          <cell r="T87">
            <v>-1271.0999999999999</v>
          </cell>
          <cell r="U87">
            <v>0</v>
          </cell>
          <cell r="V87">
            <v>-1271.0999999999999</v>
          </cell>
          <cell r="W87">
            <v>0</v>
          </cell>
          <cell r="X87">
            <v>-1271.0999999999999</v>
          </cell>
          <cell r="Y87">
            <v>0</v>
          </cell>
          <cell r="Z87">
            <v>-1271.0999999999999</v>
          </cell>
          <cell r="AA87">
            <v>0</v>
          </cell>
          <cell r="AB87">
            <v>-1271.0999999999999</v>
          </cell>
          <cell r="AC87">
            <v>0</v>
          </cell>
          <cell r="AD87">
            <v>-1271.0999999999999</v>
          </cell>
          <cell r="AE87">
            <v>0</v>
          </cell>
          <cell r="AF87">
            <v>-1271.0999999999999</v>
          </cell>
          <cell r="AG87">
            <v>0</v>
          </cell>
          <cell r="AH87">
            <v>-80676.599999999991</v>
          </cell>
        </row>
        <row r="88">
          <cell r="D88">
            <v>52142</v>
          </cell>
          <cell r="E88" t="str">
            <v>Fuel Expense</v>
          </cell>
          <cell r="F88">
            <v>0</v>
          </cell>
          <cell r="G88">
            <v>0</v>
          </cell>
          <cell r="H88">
            <v>0</v>
          </cell>
          <cell r="I88">
            <v>0</v>
          </cell>
          <cell r="J88">
            <v>-95706.8</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-95706.8</v>
          </cell>
        </row>
        <row r="89">
          <cell r="D89">
            <v>52185</v>
          </cell>
          <cell r="E89" t="str">
            <v>Travel</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0">
          <cell r="D90">
            <v>52901</v>
          </cell>
          <cell r="E90" t="str">
            <v>Costs Awaiting Capitalization</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row>
        <row r="91">
          <cell r="D91">
            <v>0</v>
          </cell>
          <cell r="E91">
            <v>0</v>
          </cell>
          <cell r="F91">
            <v>0</v>
          </cell>
          <cell r="G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2">
          <cell r="F92" t="str">
            <v>Truck Variable</v>
          </cell>
          <cell r="J92">
            <v>-153556.5</v>
          </cell>
          <cell r="K92">
            <v>0</v>
          </cell>
          <cell r="L92">
            <v>-3482.3</v>
          </cell>
          <cell r="M92">
            <v>0</v>
          </cell>
          <cell r="N92">
            <v>-3482.3</v>
          </cell>
          <cell r="O92">
            <v>0</v>
          </cell>
          <cell r="P92">
            <v>-3482.3</v>
          </cell>
          <cell r="Q92">
            <v>0</v>
          </cell>
          <cell r="R92">
            <v>-3482.3</v>
          </cell>
          <cell r="S92">
            <v>0</v>
          </cell>
          <cell r="T92">
            <v>-1271.0999999999999</v>
          </cell>
          <cell r="U92">
            <v>0</v>
          </cell>
          <cell r="V92">
            <v>-1271.0999999999999</v>
          </cell>
          <cell r="W92">
            <v>0</v>
          </cell>
          <cell r="X92">
            <v>-1271.0999999999999</v>
          </cell>
          <cell r="Y92">
            <v>0</v>
          </cell>
          <cell r="Z92">
            <v>-1271.0999999999999</v>
          </cell>
          <cell r="AA92">
            <v>0</v>
          </cell>
          <cell r="AB92">
            <v>-1271.0999999999999</v>
          </cell>
          <cell r="AC92">
            <v>0</v>
          </cell>
          <cell r="AD92">
            <v>-1271.0999999999999</v>
          </cell>
          <cell r="AE92">
            <v>0</v>
          </cell>
          <cell r="AF92">
            <v>-1271.0999999999999</v>
          </cell>
          <cell r="AG92">
            <v>0</v>
          </cell>
          <cell r="AH92">
            <v>-176383.4</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4">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D96">
            <v>0</v>
          </cell>
          <cell r="E96">
            <v>0</v>
          </cell>
          <cell r="F96">
            <v>0</v>
          </cell>
          <cell r="G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7">
          <cell r="F97" t="str">
            <v>Container Exp</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D100">
            <v>56010</v>
          </cell>
          <cell r="E100" t="str">
            <v>Salaries</v>
          </cell>
          <cell r="F100">
            <v>0</v>
          </cell>
          <cell r="G100">
            <v>0</v>
          </cell>
          <cell r="H100">
            <v>0</v>
          </cell>
          <cell r="I100">
            <v>0</v>
          </cell>
          <cell r="J100">
            <v>-121299.18</v>
          </cell>
          <cell r="K100">
            <v>0</v>
          </cell>
          <cell r="L100">
            <v>-6913.4</v>
          </cell>
          <cell r="M100">
            <v>0</v>
          </cell>
          <cell r="N100">
            <v>-6913.4</v>
          </cell>
          <cell r="O100">
            <v>0</v>
          </cell>
          <cell r="P100">
            <v>-6913.4</v>
          </cell>
          <cell r="Q100">
            <v>0</v>
          </cell>
          <cell r="R100">
            <v>-6913.4</v>
          </cell>
          <cell r="S100">
            <v>0</v>
          </cell>
          <cell r="T100">
            <v>-3919.8</v>
          </cell>
          <cell r="U100">
            <v>0</v>
          </cell>
          <cell r="V100">
            <v>-3919.8</v>
          </cell>
          <cell r="W100">
            <v>0</v>
          </cell>
          <cell r="X100">
            <v>-3919.8</v>
          </cell>
          <cell r="Y100">
            <v>0</v>
          </cell>
          <cell r="Z100">
            <v>-3919.8</v>
          </cell>
          <cell r="AA100">
            <v>0</v>
          </cell>
          <cell r="AB100">
            <v>-3919.8</v>
          </cell>
          <cell r="AC100">
            <v>0</v>
          </cell>
          <cell r="AD100">
            <v>-3919.8</v>
          </cell>
          <cell r="AE100">
            <v>0</v>
          </cell>
          <cell r="AF100">
            <v>-3919.8</v>
          </cell>
          <cell r="AG100">
            <v>0</v>
          </cell>
          <cell r="AH100">
            <v>-176391.38</v>
          </cell>
        </row>
        <row r="101">
          <cell r="D101">
            <v>56036</v>
          </cell>
          <cell r="E101" t="str">
            <v>Other Bonus/Commission - Non-Safety</v>
          </cell>
          <cell r="F101">
            <v>0</v>
          </cell>
          <cell r="G101">
            <v>0</v>
          </cell>
          <cell r="H101">
            <v>0</v>
          </cell>
          <cell r="I101">
            <v>0</v>
          </cell>
          <cell r="J101">
            <v>93787.5</v>
          </cell>
          <cell r="K101">
            <v>0</v>
          </cell>
          <cell r="L101">
            <v>96601.13</v>
          </cell>
          <cell r="M101">
            <v>0</v>
          </cell>
          <cell r="N101">
            <v>96601.13</v>
          </cell>
          <cell r="O101">
            <v>0</v>
          </cell>
          <cell r="P101">
            <v>96601.13</v>
          </cell>
          <cell r="Q101">
            <v>0</v>
          </cell>
          <cell r="R101">
            <v>96601.13</v>
          </cell>
          <cell r="S101">
            <v>0</v>
          </cell>
          <cell r="T101">
            <v>96601.13</v>
          </cell>
          <cell r="U101">
            <v>0</v>
          </cell>
          <cell r="V101">
            <v>96601.13</v>
          </cell>
          <cell r="W101">
            <v>0</v>
          </cell>
          <cell r="X101">
            <v>96601.13</v>
          </cell>
          <cell r="Y101">
            <v>0</v>
          </cell>
          <cell r="Z101">
            <v>96601.13</v>
          </cell>
          <cell r="AA101">
            <v>0</v>
          </cell>
          <cell r="AB101">
            <v>96601.13</v>
          </cell>
          <cell r="AC101">
            <v>0</v>
          </cell>
          <cell r="AD101">
            <v>96601.13</v>
          </cell>
          <cell r="AE101">
            <v>0</v>
          </cell>
          <cell r="AF101">
            <v>96601.13</v>
          </cell>
          <cell r="AG101">
            <v>0</v>
          </cell>
          <cell r="AH101">
            <v>1156399.9300000002</v>
          </cell>
        </row>
        <row r="102">
          <cell r="D102">
            <v>56050</v>
          </cell>
          <cell r="E102" t="str">
            <v>Payroll Taxes</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row>
        <row r="103">
          <cell r="D103">
            <v>56060</v>
          </cell>
          <cell r="E103" t="str">
            <v>Group Insurance</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4">
          <cell r="D104">
            <v>56115</v>
          </cell>
          <cell r="E104" t="str">
            <v>Pension and Profit Sharing</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row>
        <row r="105">
          <cell r="D105">
            <v>56200</v>
          </cell>
          <cell r="E105" t="str">
            <v>Travel</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D106">
            <v>56201</v>
          </cell>
          <cell r="E106" t="str">
            <v>Meals and Entertainment</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row>
        <row r="107">
          <cell r="D107">
            <v>0</v>
          </cell>
          <cell r="E107">
            <v>0</v>
          </cell>
          <cell r="F107">
            <v>0</v>
          </cell>
          <cell r="G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08">
          <cell r="F108" t="str">
            <v>Superv. Ex</v>
          </cell>
          <cell r="J108">
            <v>-27511.679999999993</v>
          </cell>
          <cell r="K108">
            <v>0</v>
          </cell>
          <cell r="L108">
            <v>89687.73000000001</v>
          </cell>
          <cell r="M108">
            <v>0</v>
          </cell>
          <cell r="N108">
            <v>89687.73000000001</v>
          </cell>
          <cell r="O108">
            <v>0</v>
          </cell>
          <cell r="P108">
            <v>89687.73000000001</v>
          </cell>
          <cell r="Q108">
            <v>0</v>
          </cell>
          <cell r="R108">
            <v>89687.73000000001</v>
          </cell>
          <cell r="S108">
            <v>0</v>
          </cell>
          <cell r="T108">
            <v>92681.33</v>
          </cell>
          <cell r="U108">
            <v>0</v>
          </cell>
          <cell r="V108">
            <v>92681.33</v>
          </cell>
          <cell r="W108">
            <v>0</v>
          </cell>
          <cell r="X108">
            <v>92681.33</v>
          </cell>
          <cell r="Y108">
            <v>0</v>
          </cell>
          <cell r="Z108">
            <v>92681.33</v>
          </cell>
          <cell r="AA108">
            <v>0</v>
          </cell>
          <cell r="AB108">
            <v>92681.33</v>
          </cell>
          <cell r="AC108">
            <v>0</v>
          </cell>
          <cell r="AD108">
            <v>92681.33</v>
          </cell>
          <cell r="AE108">
            <v>0</v>
          </cell>
          <cell r="AF108">
            <v>92681.33</v>
          </cell>
          <cell r="AG108">
            <v>0</v>
          </cell>
          <cell r="AH108">
            <v>980008.55000000016</v>
          </cell>
        </row>
        <row r="109">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1">
          <cell r="D111">
            <v>57254</v>
          </cell>
          <cell r="E111" t="str">
            <v>Drive Cam &amp; Routing SW Fees</v>
          </cell>
          <cell r="F111">
            <v>0</v>
          </cell>
          <cell r="G111">
            <v>0</v>
          </cell>
          <cell r="H111">
            <v>0</v>
          </cell>
          <cell r="I111">
            <v>0</v>
          </cell>
          <cell r="J111">
            <v>-66109.399999999994</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29330.71</v>
          </cell>
          <cell r="AE111">
            <v>0</v>
          </cell>
          <cell r="AF111">
            <v>-29330.71</v>
          </cell>
          <cell r="AG111">
            <v>0</v>
          </cell>
          <cell r="AH111">
            <v>-66109.399999999994</v>
          </cell>
        </row>
        <row r="112">
          <cell r="D112">
            <v>0</v>
          </cell>
          <cell r="E112">
            <v>0</v>
          </cell>
          <cell r="F112">
            <v>0</v>
          </cell>
          <cell r="G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row>
        <row r="113">
          <cell r="F113" t="str">
            <v>Other Operating</v>
          </cell>
          <cell r="J113">
            <v>-66109.399999999994</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29330.71</v>
          </cell>
          <cell r="AE113">
            <v>0</v>
          </cell>
          <cell r="AF113">
            <v>-29330.71</v>
          </cell>
          <cell r="AG113">
            <v>0</v>
          </cell>
          <cell r="AH113">
            <v>-66109.399999999994</v>
          </cell>
        </row>
        <row r="114">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row>
        <row r="116">
          <cell r="D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row>
        <row r="117">
          <cell r="F117" t="str">
            <v>Closure Exp</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row>
        <row r="118">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row>
        <row r="119">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row>
        <row r="120">
          <cell r="D120">
            <v>59340</v>
          </cell>
          <cell r="E120" t="str">
            <v>Self Insurance Premium</v>
          </cell>
          <cell r="F120">
            <v>0</v>
          </cell>
          <cell r="G120">
            <v>0</v>
          </cell>
          <cell r="H120">
            <v>0</v>
          </cell>
          <cell r="I120">
            <v>0</v>
          </cell>
          <cell r="J120">
            <v>1115.1099999999999</v>
          </cell>
          <cell r="K120">
            <v>0</v>
          </cell>
          <cell r="L120">
            <v>1450.61</v>
          </cell>
          <cell r="M120">
            <v>0</v>
          </cell>
          <cell r="N120">
            <v>1450.61</v>
          </cell>
          <cell r="O120">
            <v>0</v>
          </cell>
          <cell r="P120">
            <v>411483.38</v>
          </cell>
          <cell r="Q120">
            <v>0</v>
          </cell>
          <cell r="R120">
            <v>1562.4</v>
          </cell>
          <cell r="S120">
            <v>0</v>
          </cell>
          <cell r="T120">
            <v>1562.4</v>
          </cell>
          <cell r="U120">
            <v>0</v>
          </cell>
          <cell r="V120">
            <v>1562.4</v>
          </cell>
          <cell r="W120">
            <v>0</v>
          </cell>
          <cell r="X120">
            <v>1562.4</v>
          </cell>
          <cell r="Y120">
            <v>0</v>
          </cell>
          <cell r="Z120">
            <v>1562.4</v>
          </cell>
          <cell r="AA120">
            <v>0</v>
          </cell>
          <cell r="AB120">
            <v>1562.4</v>
          </cell>
          <cell r="AC120">
            <v>0</v>
          </cell>
          <cell r="AD120">
            <v>1562.4</v>
          </cell>
          <cell r="AE120">
            <v>0</v>
          </cell>
          <cell r="AF120">
            <v>1562.4</v>
          </cell>
          <cell r="AG120">
            <v>0</v>
          </cell>
          <cell r="AH120">
            <v>427998.91</v>
          </cell>
        </row>
        <row r="121">
          <cell r="D121">
            <v>59341</v>
          </cell>
          <cell r="E121" t="str">
            <v>A&amp;L - Current Year Claims</v>
          </cell>
          <cell r="F121">
            <v>0</v>
          </cell>
          <cell r="G121">
            <v>0</v>
          </cell>
          <cell r="H121">
            <v>0</v>
          </cell>
          <cell r="I121">
            <v>0</v>
          </cell>
          <cell r="J121">
            <v>0</v>
          </cell>
          <cell r="K121">
            <v>0</v>
          </cell>
          <cell r="L121">
            <v>0</v>
          </cell>
          <cell r="M121">
            <v>0</v>
          </cell>
          <cell r="N121">
            <v>0</v>
          </cell>
          <cell r="O121">
            <v>0</v>
          </cell>
          <cell r="P121">
            <v>400949.67</v>
          </cell>
          <cell r="Q121">
            <v>0</v>
          </cell>
          <cell r="R121">
            <v>-275219.71000000002</v>
          </cell>
          <cell r="S121">
            <v>0</v>
          </cell>
          <cell r="T121">
            <v>398084.99</v>
          </cell>
          <cell r="U121">
            <v>0</v>
          </cell>
          <cell r="V121">
            <v>28942.55</v>
          </cell>
          <cell r="W121">
            <v>0</v>
          </cell>
          <cell r="X121">
            <v>253713.6</v>
          </cell>
          <cell r="Y121">
            <v>0</v>
          </cell>
          <cell r="Z121">
            <v>287436.75</v>
          </cell>
          <cell r="AA121">
            <v>0</v>
          </cell>
          <cell r="AB121">
            <v>359248.31</v>
          </cell>
          <cell r="AC121">
            <v>0</v>
          </cell>
          <cell r="AD121">
            <v>265824.34000000003</v>
          </cell>
          <cell r="AE121">
            <v>0</v>
          </cell>
          <cell r="AF121">
            <v>570789.55000000005</v>
          </cell>
          <cell r="AG121">
            <v>0</v>
          </cell>
          <cell r="AH121">
            <v>2289770.0500000003</v>
          </cell>
        </row>
        <row r="122">
          <cell r="D122">
            <v>59343</v>
          </cell>
          <cell r="E122" t="str">
            <v>WC - Current Year Claims</v>
          </cell>
          <cell r="F122">
            <v>0</v>
          </cell>
          <cell r="G122">
            <v>0</v>
          </cell>
          <cell r="H122">
            <v>0</v>
          </cell>
          <cell r="I122">
            <v>0</v>
          </cell>
          <cell r="J122">
            <v>0</v>
          </cell>
          <cell r="K122">
            <v>0</v>
          </cell>
          <cell r="L122">
            <v>0</v>
          </cell>
          <cell r="M122">
            <v>0</v>
          </cell>
          <cell r="N122">
            <v>0</v>
          </cell>
          <cell r="O122">
            <v>0</v>
          </cell>
          <cell r="P122">
            <v>-422715.1</v>
          </cell>
          <cell r="Q122">
            <v>0</v>
          </cell>
          <cell r="R122">
            <v>176984.5</v>
          </cell>
          <cell r="S122">
            <v>0</v>
          </cell>
          <cell r="T122">
            <v>-72565.570000000007</v>
          </cell>
          <cell r="U122">
            <v>0</v>
          </cell>
          <cell r="V122">
            <v>-493596.66</v>
          </cell>
          <cell r="W122">
            <v>0</v>
          </cell>
          <cell r="X122">
            <v>323622.78000000003</v>
          </cell>
          <cell r="Y122">
            <v>0</v>
          </cell>
          <cell r="Z122">
            <v>121399.88</v>
          </cell>
          <cell r="AA122">
            <v>0</v>
          </cell>
          <cell r="AB122">
            <v>17378.509999999998</v>
          </cell>
          <cell r="AC122">
            <v>0</v>
          </cell>
          <cell r="AD122">
            <v>139106.21</v>
          </cell>
          <cell r="AE122">
            <v>0</v>
          </cell>
          <cell r="AF122">
            <v>148865.85999999999</v>
          </cell>
          <cell r="AG122">
            <v>0</v>
          </cell>
          <cell r="AH122">
            <v>-61519.589999999967</v>
          </cell>
        </row>
        <row r="123">
          <cell r="D123">
            <v>59344</v>
          </cell>
          <cell r="E123" t="str">
            <v>WC - Prior Year Claims</v>
          </cell>
          <cell r="F123">
            <v>0</v>
          </cell>
          <cell r="G123">
            <v>0</v>
          </cell>
          <cell r="H123">
            <v>0</v>
          </cell>
          <cell r="I123">
            <v>0</v>
          </cell>
          <cell r="J123">
            <v>22000</v>
          </cell>
          <cell r="K123">
            <v>0</v>
          </cell>
          <cell r="L123">
            <v>0</v>
          </cell>
          <cell r="M123">
            <v>0</v>
          </cell>
          <cell r="N123">
            <v>0</v>
          </cell>
          <cell r="O123">
            <v>0</v>
          </cell>
          <cell r="P123">
            <v>8675</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30675</v>
          </cell>
        </row>
        <row r="124">
          <cell r="D124">
            <v>59350</v>
          </cell>
          <cell r="E124" t="str">
            <v>Self Insurance IBNR Estimates</v>
          </cell>
          <cell r="F124">
            <v>0</v>
          </cell>
          <cell r="G124">
            <v>0</v>
          </cell>
          <cell r="H124">
            <v>0</v>
          </cell>
          <cell r="I124">
            <v>0</v>
          </cell>
          <cell r="J124">
            <v>298202.03999999998</v>
          </cell>
          <cell r="K124">
            <v>0</v>
          </cell>
          <cell r="L124">
            <v>327070.75</v>
          </cell>
          <cell r="M124">
            <v>0</v>
          </cell>
          <cell r="N124">
            <v>520427.74</v>
          </cell>
          <cell r="O124">
            <v>0</v>
          </cell>
          <cell r="P124">
            <v>-290026.15000000002</v>
          </cell>
          <cell r="Q124">
            <v>0</v>
          </cell>
          <cell r="R124">
            <v>956190.75</v>
          </cell>
          <cell r="S124">
            <v>0</v>
          </cell>
          <cell r="T124">
            <v>180751.33</v>
          </cell>
          <cell r="U124">
            <v>0</v>
          </cell>
          <cell r="V124">
            <v>-476391.53</v>
          </cell>
          <cell r="W124">
            <v>0</v>
          </cell>
          <cell r="X124">
            <v>205751.33</v>
          </cell>
          <cell r="Y124">
            <v>0</v>
          </cell>
          <cell r="Z124">
            <v>230751.33</v>
          </cell>
          <cell r="AA124">
            <v>0</v>
          </cell>
          <cell r="AB124">
            <v>522173.69</v>
          </cell>
          <cell r="AC124">
            <v>0</v>
          </cell>
          <cell r="AD124">
            <v>205751.33</v>
          </cell>
          <cell r="AE124">
            <v>0</v>
          </cell>
          <cell r="AF124">
            <v>-269248.67</v>
          </cell>
          <cell r="AG124">
            <v>0</v>
          </cell>
          <cell r="AH124">
            <v>2411403.9399999995</v>
          </cell>
        </row>
        <row r="125">
          <cell r="D125">
            <v>0</v>
          </cell>
          <cell r="E125">
            <v>0</v>
          </cell>
          <cell r="F125">
            <v>0</v>
          </cell>
          <cell r="G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row>
        <row r="126">
          <cell r="F126" t="str">
            <v>Insurance Exp</v>
          </cell>
          <cell r="J126">
            <v>321317.14999999997</v>
          </cell>
          <cell r="K126">
            <v>0</v>
          </cell>
          <cell r="L126">
            <v>328521.36</v>
          </cell>
          <cell r="M126">
            <v>0</v>
          </cell>
          <cell r="N126">
            <v>521878.35</v>
          </cell>
          <cell r="O126">
            <v>0</v>
          </cell>
          <cell r="P126">
            <v>108366.80000000005</v>
          </cell>
          <cell r="Q126">
            <v>0</v>
          </cell>
          <cell r="R126">
            <v>859517.94</v>
          </cell>
          <cell r="S126">
            <v>0</v>
          </cell>
          <cell r="T126">
            <v>507833.15</v>
          </cell>
          <cell r="U126">
            <v>0</v>
          </cell>
          <cell r="V126">
            <v>-939483.24</v>
          </cell>
          <cell r="W126">
            <v>0</v>
          </cell>
          <cell r="X126">
            <v>784650.11</v>
          </cell>
          <cell r="Y126">
            <v>0</v>
          </cell>
          <cell r="Z126">
            <v>641150.36</v>
          </cell>
          <cell r="AA126">
            <v>0</v>
          </cell>
          <cell r="AB126">
            <v>900362.91</v>
          </cell>
          <cell r="AC126">
            <v>0</v>
          </cell>
          <cell r="AD126">
            <v>612244.28</v>
          </cell>
          <cell r="AE126">
            <v>0</v>
          </cell>
          <cell r="AF126">
            <v>451969.14000000007</v>
          </cell>
          <cell r="AG126">
            <v>0</v>
          </cell>
          <cell r="AH126">
            <v>5098328.3100000005</v>
          </cell>
        </row>
        <row r="127">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row>
        <row r="128">
          <cell r="D128">
            <v>91005</v>
          </cell>
          <cell r="E128" t="str">
            <v>Gain/Loss from Litigation Settlement</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row>
        <row r="129">
          <cell r="D129">
            <v>0</v>
          </cell>
          <cell r="E129">
            <v>0</v>
          </cell>
          <cell r="F129">
            <v>0</v>
          </cell>
          <cell r="G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row>
        <row r="130">
          <cell r="F130" t="str">
            <v>G/L on Ops</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row>
        <row r="131">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row>
        <row r="132">
          <cell r="E132" t="str">
            <v>Cost of Ops</v>
          </cell>
          <cell r="J132">
            <v>-1539829.06</v>
          </cell>
          <cell r="K132">
            <v>0</v>
          </cell>
          <cell r="L132">
            <v>414726.79</v>
          </cell>
          <cell r="M132">
            <v>0</v>
          </cell>
          <cell r="N132">
            <v>608083.78</v>
          </cell>
          <cell r="O132">
            <v>0</v>
          </cell>
          <cell r="P132">
            <v>-1730541.77</v>
          </cell>
          <cell r="Q132">
            <v>0</v>
          </cell>
          <cell r="R132">
            <v>945723.37</v>
          </cell>
          <cell r="S132">
            <v>0</v>
          </cell>
          <cell r="T132">
            <v>599243.38</v>
          </cell>
          <cell r="U132">
            <v>0</v>
          </cell>
          <cell r="V132">
            <v>-1988989.06</v>
          </cell>
          <cell r="W132">
            <v>0</v>
          </cell>
          <cell r="X132">
            <v>876060.34</v>
          </cell>
          <cell r="Y132">
            <v>0</v>
          </cell>
          <cell r="Z132">
            <v>732560.59</v>
          </cell>
          <cell r="AA132">
            <v>0</v>
          </cell>
          <cell r="AB132">
            <v>-926602.82</v>
          </cell>
          <cell r="AC132">
            <v>0</v>
          </cell>
          <cell r="AD132">
            <v>732985.22</v>
          </cell>
          <cell r="AE132">
            <v>0</v>
          </cell>
          <cell r="AF132">
            <v>514048.66000000009</v>
          </cell>
          <cell r="AG132">
            <v>0</v>
          </cell>
          <cell r="AH132">
            <v>-762530.58000000007</v>
          </cell>
        </row>
        <row r="133">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row>
        <row r="134">
          <cell r="E134" t="str">
            <v>Gross Profit</v>
          </cell>
          <cell r="J134">
            <v>477833.17999999993</v>
          </cell>
          <cell r="K134">
            <v>0</v>
          </cell>
          <cell r="L134">
            <v>-545058.38</v>
          </cell>
          <cell r="M134">
            <v>0</v>
          </cell>
          <cell r="N134">
            <v>-725898.53</v>
          </cell>
          <cell r="O134">
            <v>0</v>
          </cell>
          <cell r="P134">
            <v>1613597.08</v>
          </cell>
          <cell r="Q134">
            <v>0</v>
          </cell>
          <cell r="R134">
            <v>-1079841.6399999999</v>
          </cell>
          <cell r="S134">
            <v>0</v>
          </cell>
          <cell r="T134">
            <v>-60714.999999999884</v>
          </cell>
          <cell r="U134">
            <v>0</v>
          </cell>
          <cell r="V134">
            <v>1846718.31</v>
          </cell>
          <cell r="W134">
            <v>0</v>
          </cell>
          <cell r="X134">
            <v>-1011783.29</v>
          </cell>
          <cell r="Y134">
            <v>0</v>
          </cell>
          <cell r="Z134">
            <v>-862126.22</v>
          </cell>
          <cell r="AA134">
            <v>0</v>
          </cell>
          <cell r="AB134">
            <v>795819.09</v>
          </cell>
          <cell r="AC134">
            <v>0</v>
          </cell>
          <cell r="AD134">
            <v>-872832.32</v>
          </cell>
          <cell r="AE134">
            <v>0</v>
          </cell>
          <cell r="AF134">
            <v>-650647.10000000009</v>
          </cell>
          <cell r="AG134">
            <v>0</v>
          </cell>
          <cell r="AH134">
            <v>-1074934.82</v>
          </cell>
        </row>
        <row r="135">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row>
        <row r="136">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row>
        <row r="137">
          <cell r="D137">
            <v>60010</v>
          </cell>
          <cell r="E137" t="str">
            <v>Salaries</v>
          </cell>
          <cell r="F137">
            <v>0</v>
          </cell>
          <cell r="G137">
            <v>0</v>
          </cell>
          <cell r="H137">
            <v>0</v>
          </cell>
          <cell r="I137">
            <v>0</v>
          </cell>
          <cell r="J137">
            <v>-24023.64</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-24023.64</v>
          </cell>
        </row>
        <row r="138">
          <cell r="D138">
            <v>60030</v>
          </cell>
          <cell r="E138" t="str">
            <v>Bonuses and Commissions</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row>
        <row r="139">
          <cell r="D139">
            <v>60050</v>
          </cell>
          <cell r="E139" t="str">
            <v>Payroll Taxes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row>
        <row r="140">
          <cell r="D140">
            <v>60060</v>
          </cell>
          <cell r="E140" t="str">
            <v>Group Insurance</v>
          </cell>
          <cell r="F140">
            <v>0</v>
          </cell>
          <cell r="G140">
            <v>0</v>
          </cell>
          <cell r="H140">
            <v>0</v>
          </cell>
          <cell r="I140">
            <v>0</v>
          </cell>
          <cell r="J140">
            <v>0</v>
          </cell>
          <cell r="K140">
            <v>0</v>
          </cell>
          <cell r="L140">
            <v>0</v>
          </cell>
          <cell r="M140">
            <v>0</v>
          </cell>
          <cell r="N140">
            <v>0</v>
          </cell>
          <cell r="O140">
            <v>0</v>
          </cell>
          <cell r="P140">
            <v>0</v>
          </cell>
          <cell r="Q140">
            <v>0</v>
          </cell>
          <cell r="R140">
            <v>169.32</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169.32</v>
          </cell>
        </row>
        <row r="141">
          <cell r="D141">
            <v>60065</v>
          </cell>
          <cell r="E141" t="str">
            <v>Vacation Pay</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row>
        <row r="142">
          <cell r="D142">
            <v>60116</v>
          </cell>
          <cell r="E142" t="str">
            <v>Pension and Profit Sharing</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D143">
            <v>0</v>
          </cell>
          <cell r="E143">
            <v>0</v>
          </cell>
          <cell r="F143">
            <v>0</v>
          </cell>
          <cell r="G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F144" t="str">
            <v>Sales Exp</v>
          </cell>
          <cell r="J144">
            <v>-24023.64</v>
          </cell>
          <cell r="K144">
            <v>0</v>
          </cell>
          <cell r="L144">
            <v>0</v>
          </cell>
          <cell r="M144">
            <v>0</v>
          </cell>
          <cell r="N144">
            <v>0</v>
          </cell>
          <cell r="O144">
            <v>0</v>
          </cell>
          <cell r="P144">
            <v>0</v>
          </cell>
          <cell r="Q144">
            <v>0</v>
          </cell>
          <cell r="R144">
            <v>169.32</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-23854.32</v>
          </cell>
        </row>
        <row r="145">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row>
        <row r="147">
          <cell r="D147">
            <v>70010</v>
          </cell>
          <cell r="E147" t="str">
            <v>Salaries</v>
          </cell>
          <cell r="F147">
            <v>0</v>
          </cell>
          <cell r="G147">
            <v>0</v>
          </cell>
          <cell r="H147">
            <v>0</v>
          </cell>
          <cell r="I147">
            <v>0</v>
          </cell>
          <cell r="J147">
            <v>-523164</v>
          </cell>
          <cell r="K147">
            <v>0</v>
          </cell>
          <cell r="L147">
            <v>-39318.879999999997</v>
          </cell>
          <cell r="M147">
            <v>0</v>
          </cell>
          <cell r="N147">
            <v>-39318.879999999997</v>
          </cell>
          <cell r="O147">
            <v>0</v>
          </cell>
          <cell r="P147">
            <v>-39318.879999999997</v>
          </cell>
          <cell r="Q147">
            <v>0</v>
          </cell>
          <cell r="R147">
            <v>-39318.879999999997</v>
          </cell>
          <cell r="S147">
            <v>0</v>
          </cell>
          <cell r="T147">
            <v>-26915.46</v>
          </cell>
          <cell r="U147">
            <v>0</v>
          </cell>
          <cell r="V147">
            <v>-26915.46</v>
          </cell>
          <cell r="W147">
            <v>0</v>
          </cell>
          <cell r="X147">
            <v>-26915.46</v>
          </cell>
          <cell r="Y147">
            <v>0</v>
          </cell>
          <cell r="Z147">
            <v>-26915.46</v>
          </cell>
          <cell r="AA147">
            <v>0</v>
          </cell>
          <cell r="AB147">
            <v>-26915.46</v>
          </cell>
          <cell r="AC147">
            <v>0</v>
          </cell>
          <cell r="AD147">
            <v>-26915.46</v>
          </cell>
          <cell r="AE147">
            <v>0</v>
          </cell>
          <cell r="AF147">
            <v>-26915.46</v>
          </cell>
          <cell r="AG147">
            <v>0</v>
          </cell>
          <cell r="AH147">
            <v>-868847.74</v>
          </cell>
        </row>
        <row r="148">
          <cell r="D148">
            <v>70020</v>
          </cell>
          <cell r="E148" t="str">
            <v>Wages Regular</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row>
        <row r="149">
          <cell r="D149">
            <v>70025</v>
          </cell>
          <cell r="E149" t="str">
            <v>Wages O.T.</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row>
        <row r="150">
          <cell r="D150">
            <v>70035</v>
          </cell>
          <cell r="E150" t="str">
            <v>Safety Bonuses</v>
          </cell>
          <cell r="F150">
            <v>0</v>
          </cell>
          <cell r="G150">
            <v>0</v>
          </cell>
          <cell r="H150">
            <v>0</v>
          </cell>
          <cell r="I150">
            <v>0</v>
          </cell>
          <cell r="J150">
            <v>62.5</v>
          </cell>
          <cell r="K150">
            <v>0</v>
          </cell>
          <cell r="L150">
            <v>916.66</v>
          </cell>
          <cell r="M150">
            <v>0</v>
          </cell>
          <cell r="N150">
            <v>874.99</v>
          </cell>
          <cell r="O150">
            <v>0</v>
          </cell>
          <cell r="P150">
            <v>874.99</v>
          </cell>
          <cell r="Q150">
            <v>0</v>
          </cell>
          <cell r="R150">
            <v>750.02</v>
          </cell>
          <cell r="S150">
            <v>0</v>
          </cell>
          <cell r="T150">
            <v>812.49</v>
          </cell>
          <cell r="U150">
            <v>0</v>
          </cell>
          <cell r="V150">
            <v>812.49</v>
          </cell>
          <cell r="W150">
            <v>0</v>
          </cell>
          <cell r="X150">
            <v>812.49</v>
          </cell>
          <cell r="Y150">
            <v>0</v>
          </cell>
          <cell r="Z150">
            <v>812.49</v>
          </cell>
          <cell r="AA150">
            <v>0</v>
          </cell>
          <cell r="AB150">
            <v>1374.99</v>
          </cell>
          <cell r="AC150">
            <v>0</v>
          </cell>
          <cell r="AD150">
            <v>1374.99</v>
          </cell>
          <cell r="AE150">
            <v>0</v>
          </cell>
          <cell r="AF150">
            <v>1229.1600000000001</v>
          </cell>
          <cell r="AG150">
            <v>0</v>
          </cell>
          <cell r="AH150">
            <v>10708.259999999998</v>
          </cell>
        </row>
        <row r="151">
          <cell r="D151">
            <v>70036</v>
          </cell>
          <cell r="E151" t="str">
            <v>Other Bonus/Commission - Non-Safety</v>
          </cell>
          <cell r="F151">
            <v>0</v>
          </cell>
          <cell r="G151">
            <v>0</v>
          </cell>
          <cell r="H151">
            <v>0</v>
          </cell>
          <cell r="I151">
            <v>0</v>
          </cell>
          <cell r="J151">
            <v>1838.93</v>
          </cell>
          <cell r="K151">
            <v>0</v>
          </cell>
          <cell r="L151">
            <v>1449.74</v>
          </cell>
          <cell r="M151">
            <v>0</v>
          </cell>
          <cell r="N151">
            <v>1493.4</v>
          </cell>
          <cell r="O151">
            <v>0</v>
          </cell>
          <cell r="P151">
            <v>7343</v>
          </cell>
          <cell r="Q151">
            <v>0</v>
          </cell>
          <cell r="R151">
            <v>1592.87</v>
          </cell>
          <cell r="S151">
            <v>0</v>
          </cell>
          <cell r="T151">
            <v>150</v>
          </cell>
          <cell r="U151">
            <v>0</v>
          </cell>
          <cell r="V151">
            <v>2785.74</v>
          </cell>
          <cell r="W151">
            <v>0</v>
          </cell>
          <cell r="X151">
            <v>1393.38</v>
          </cell>
          <cell r="Y151">
            <v>0</v>
          </cell>
          <cell r="Z151">
            <v>1343</v>
          </cell>
          <cell r="AA151">
            <v>0</v>
          </cell>
          <cell r="AB151">
            <v>1493</v>
          </cell>
          <cell r="AC151">
            <v>0</v>
          </cell>
          <cell r="AD151">
            <v>21343</v>
          </cell>
          <cell r="AE151">
            <v>0</v>
          </cell>
          <cell r="AF151">
            <v>1343</v>
          </cell>
          <cell r="AG151">
            <v>0</v>
          </cell>
          <cell r="AH151">
            <v>43569.060000000005</v>
          </cell>
        </row>
        <row r="152">
          <cell r="D152">
            <v>70037</v>
          </cell>
          <cell r="E152" t="str">
            <v>Termination Pay</v>
          </cell>
          <cell r="F152">
            <v>0</v>
          </cell>
          <cell r="G152">
            <v>0</v>
          </cell>
          <cell r="H152">
            <v>0</v>
          </cell>
          <cell r="I152">
            <v>0</v>
          </cell>
          <cell r="J152">
            <v>0</v>
          </cell>
          <cell r="K152">
            <v>0</v>
          </cell>
          <cell r="L152">
            <v>55000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101450</v>
          </cell>
          <cell r="AC152">
            <v>0</v>
          </cell>
          <cell r="AD152">
            <v>0</v>
          </cell>
          <cell r="AE152">
            <v>0</v>
          </cell>
          <cell r="AF152">
            <v>0</v>
          </cell>
          <cell r="AG152">
            <v>0</v>
          </cell>
          <cell r="AH152">
            <v>156450</v>
          </cell>
        </row>
        <row r="153">
          <cell r="D153">
            <v>70050</v>
          </cell>
          <cell r="E153" t="str">
            <v>Payroll Taxes</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row>
        <row r="154">
          <cell r="D154">
            <v>70060</v>
          </cell>
          <cell r="E154" t="str">
            <v>Group Insurance</v>
          </cell>
          <cell r="F154">
            <v>0</v>
          </cell>
          <cell r="G154">
            <v>0</v>
          </cell>
          <cell r="H154">
            <v>0</v>
          </cell>
          <cell r="I154">
            <v>0</v>
          </cell>
          <cell r="J154">
            <v>-498833</v>
          </cell>
          <cell r="K154">
            <v>0</v>
          </cell>
          <cell r="L154">
            <v>0</v>
          </cell>
          <cell r="M154">
            <v>0</v>
          </cell>
          <cell r="N154">
            <v>0</v>
          </cell>
          <cell r="O154">
            <v>0</v>
          </cell>
          <cell r="P154">
            <v>-603258.61</v>
          </cell>
          <cell r="Q154">
            <v>0</v>
          </cell>
          <cell r="R154">
            <v>3389.75</v>
          </cell>
          <cell r="S154">
            <v>0</v>
          </cell>
          <cell r="T154">
            <v>0</v>
          </cell>
          <cell r="U154">
            <v>0</v>
          </cell>
          <cell r="V154">
            <v>-348987.27</v>
          </cell>
          <cell r="W154">
            <v>0</v>
          </cell>
          <cell r="X154">
            <v>0</v>
          </cell>
          <cell r="Y154">
            <v>0</v>
          </cell>
          <cell r="Z154">
            <v>0</v>
          </cell>
          <cell r="AA154">
            <v>0</v>
          </cell>
          <cell r="AB154">
            <v>-584446.64</v>
          </cell>
          <cell r="AC154">
            <v>0</v>
          </cell>
          <cell r="AD154">
            <v>0</v>
          </cell>
          <cell r="AE154">
            <v>0</v>
          </cell>
          <cell r="AF154">
            <v>0</v>
          </cell>
          <cell r="AG154">
            <v>0</v>
          </cell>
          <cell r="AH154">
            <v>-2032135.77</v>
          </cell>
        </row>
        <row r="155">
          <cell r="D155">
            <v>70065</v>
          </cell>
          <cell r="E155" t="str">
            <v>Vacation Pay</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row>
        <row r="156">
          <cell r="D156">
            <v>70070</v>
          </cell>
          <cell r="E156" t="str">
            <v>Sick Pay</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row>
        <row r="157">
          <cell r="D157">
            <v>70086</v>
          </cell>
          <cell r="E157" t="str">
            <v>Safety and Training</v>
          </cell>
          <cell r="F157">
            <v>0</v>
          </cell>
          <cell r="G157">
            <v>0</v>
          </cell>
          <cell r="H157">
            <v>0</v>
          </cell>
          <cell r="I157">
            <v>0</v>
          </cell>
          <cell r="J157">
            <v>491.1</v>
          </cell>
          <cell r="K157">
            <v>0</v>
          </cell>
          <cell r="L157">
            <v>272.57</v>
          </cell>
          <cell r="M157">
            <v>0</v>
          </cell>
          <cell r="N157">
            <v>5463.23</v>
          </cell>
          <cell r="O157">
            <v>0</v>
          </cell>
          <cell r="P157">
            <v>121.38</v>
          </cell>
          <cell r="Q157">
            <v>0</v>
          </cell>
          <cell r="R157">
            <v>580.4</v>
          </cell>
          <cell r="S157">
            <v>0</v>
          </cell>
          <cell r="T157">
            <v>-1485.01</v>
          </cell>
          <cell r="U157">
            <v>0</v>
          </cell>
          <cell r="V157">
            <v>3777.17</v>
          </cell>
          <cell r="W157">
            <v>0</v>
          </cell>
          <cell r="X157">
            <v>1918.64</v>
          </cell>
          <cell r="Y157">
            <v>0</v>
          </cell>
          <cell r="Z157">
            <v>423.1</v>
          </cell>
          <cell r="AA157">
            <v>0</v>
          </cell>
          <cell r="AB157">
            <v>156.31</v>
          </cell>
          <cell r="AC157">
            <v>0</v>
          </cell>
          <cell r="AD157">
            <v>430.05</v>
          </cell>
          <cell r="AE157">
            <v>0</v>
          </cell>
          <cell r="AF157">
            <v>2845.53</v>
          </cell>
          <cell r="AG157">
            <v>0</v>
          </cell>
          <cell r="AH157">
            <v>14994.469999999998</v>
          </cell>
        </row>
        <row r="158">
          <cell r="D158">
            <v>70090</v>
          </cell>
          <cell r="E158" t="str">
            <v>WCN Training</v>
          </cell>
          <cell r="F158">
            <v>0</v>
          </cell>
          <cell r="G158">
            <v>0</v>
          </cell>
          <cell r="H158">
            <v>0</v>
          </cell>
          <cell r="I158">
            <v>0</v>
          </cell>
          <cell r="J158">
            <v>0</v>
          </cell>
          <cell r="K158">
            <v>0</v>
          </cell>
          <cell r="L158">
            <v>0</v>
          </cell>
          <cell r="M158">
            <v>0</v>
          </cell>
          <cell r="N158">
            <v>0</v>
          </cell>
          <cell r="O158">
            <v>0</v>
          </cell>
          <cell r="P158">
            <v>126.44</v>
          </cell>
          <cell r="Q158">
            <v>0</v>
          </cell>
          <cell r="R158">
            <v>0</v>
          </cell>
          <cell r="S158">
            <v>0</v>
          </cell>
          <cell r="T158">
            <v>0</v>
          </cell>
          <cell r="U158">
            <v>0</v>
          </cell>
          <cell r="V158">
            <v>0</v>
          </cell>
          <cell r="W158">
            <v>0</v>
          </cell>
          <cell r="X158">
            <v>703.88</v>
          </cell>
          <cell r="Y158">
            <v>0</v>
          </cell>
          <cell r="Z158">
            <v>-703.88</v>
          </cell>
          <cell r="AA158">
            <v>0</v>
          </cell>
          <cell r="AB158">
            <v>51.04</v>
          </cell>
          <cell r="AC158">
            <v>0</v>
          </cell>
          <cell r="AD158">
            <v>0</v>
          </cell>
          <cell r="AE158">
            <v>0</v>
          </cell>
          <cell r="AF158">
            <v>0</v>
          </cell>
          <cell r="AG158">
            <v>0</v>
          </cell>
          <cell r="AH158">
            <v>177.47999999999996</v>
          </cell>
        </row>
        <row r="159">
          <cell r="D159">
            <v>70095</v>
          </cell>
          <cell r="E159" t="str">
            <v>Empl &amp; Commun Activ</v>
          </cell>
          <cell r="F159">
            <v>0</v>
          </cell>
          <cell r="G159">
            <v>0</v>
          </cell>
          <cell r="H159">
            <v>0</v>
          </cell>
          <cell r="I159">
            <v>0</v>
          </cell>
          <cell r="J159">
            <v>24969.46</v>
          </cell>
          <cell r="K159">
            <v>0</v>
          </cell>
          <cell r="L159">
            <v>16399.62</v>
          </cell>
          <cell r="M159">
            <v>0</v>
          </cell>
          <cell r="N159">
            <v>15299.77</v>
          </cell>
          <cell r="O159">
            <v>0</v>
          </cell>
          <cell r="P159">
            <v>7823.47</v>
          </cell>
          <cell r="Q159">
            <v>0</v>
          </cell>
          <cell r="R159">
            <v>9720.9699999999993</v>
          </cell>
          <cell r="S159">
            <v>0</v>
          </cell>
          <cell r="T159">
            <v>13022.35</v>
          </cell>
          <cell r="U159">
            <v>0</v>
          </cell>
          <cell r="V159">
            <v>8106.15</v>
          </cell>
          <cell r="W159">
            <v>0</v>
          </cell>
          <cell r="X159">
            <v>7782.39</v>
          </cell>
          <cell r="Y159">
            <v>0</v>
          </cell>
          <cell r="Z159">
            <v>10766.94</v>
          </cell>
          <cell r="AA159">
            <v>0</v>
          </cell>
          <cell r="AB159">
            <v>3092.73</v>
          </cell>
          <cell r="AC159">
            <v>0</v>
          </cell>
          <cell r="AD159">
            <v>4802.9799999999996</v>
          </cell>
          <cell r="AE159">
            <v>0</v>
          </cell>
          <cell r="AF159">
            <v>18003.009999999998</v>
          </cell>
          <cell r="AG159">
            <v>0</v>
          </cell>
          <cell r="AH159">
            <v>139789.84</v>
          </cell>
        </row>
        <row r="160">
          <cell r="D160">
            <v>70105</v>
          </cell>
          <cell r="E160" t="str">
            <v>Employee Relocation</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25650</v>
          </cell>
          <cell r="Y160">
            <v>0</v>
          </cell>
          <cell r="Z160">
            <v>-4066.22</v>
          </cell>
          <cell r="AA160">
            <v>0</v>
          </cell>
          <cell r="AB160">
            <v>0</v>
          </cell>
          <cell r="AC160">
            <v>0</v>
          </cell>
          <cell r="AD160">
            <v>0</v>
          </cell>
          <cell r="AE160">
            <v>0</v>
          </cell>
          <cell r="AF160">
            <v>0</v>
          </cell>
          <cell r="AG160">
            <v>0</v>
          </cell>
          <cell r="AH160">
            <v>21583.78</v>
          </cell>
        </row>
        <row r="161">
          <cell r="D161">
            <v>70110</v>
          </cell>
          <cell r="E161" t="str">
            <v>Contributions</v>
          </cell>
          <cell r="F161">
            <v>0</v>
          </cell>
          <cell r="G161">
            <v>0</v>
          </cell>
          <cell r="H161">
            <v>0</v>
          </cell>
          <cell r="I161">
            <v>0</v>
          </cell>
          <cell r="J161">
            <v>1250</v>
          </cell>
          <cell r="K161">
            <v>0</v>
          </cell>
          <cell r="L161">
            <v>0</v>
          </cell>
          <cell r="M161">
            <v>0</v>
          </cell>
          <cell r="N161">
            <v>0</v>
          </cell>
          <cell r="O161">
            <v>0</v>
          </cell>
          <cell r="P161">
            <v>0</v>
          </cell>
          <cell r="Q161">
            <v>0</v>
          </cell>
          <cell r="R161">
            <v>500</v>
          </cell>
          <cell r="S161">
            <v>0</v>
          </cell>
          <cell r="T161">
            <v>5000</v>
          </cell>
          <cell r="U161">
            <v>0</v>
          </cell>
          <cell r="V161">
            <v>1000</v>
          </cell>
          <cell r="W161">
            <v>0</v>
          </cell>
          <cell r="X161">
            <v>0</v>
          </cell>
          <cell r="Y161">
            <v>0</v>
          </cell>
          <cell r="Z161">
            <v>5000</v>
          </cell>
          <cell r="AA161">
            <v>0</v>
          </cell>
          <cell r="AB161">
            <v>0</v>
          </cell>
          <cell r="AC161">
            <v>0</v>
          </cell>
          <cell r="AD161">
            <v>5500</v>
          </cell>
          <cell r="AE161">
            <v>0</v>
          </cell>
          <cell r="AF161">
            <v>0</v>
          </cell>
          <cell r="AG161">
            <v>0</v>
          </cell>
          <cell r="AH161">
            <v>18250</v>
          </cell>
        </row>
        <row r="162">
          <cell r="D162">
            <v>70112</v>
          </cell>
          <cell r="E162" t="str">
            <v>Political Contributions</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1000</v>
          </cell>
          <cell r="AG162">
            <v>0</v>
          </cell>
          <cell r="AH162">
            <v>1000</v>
          </cell>
        </row>
        <row r="163">
          <cell r="D163">
            <v>70116</v>
          </cell>
          <cell r="E163" t="str">
            <v>Pension and Profit Sharing</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row>
        <row r="164">
          <cell r="D164">
            <v>70147</v>
          </cell>
          <cell r="E164" t="str">
            <v>Bldg &amp; Property Maint</v>
          </cell>
          <cell r="F164">
            <v>0</v>
          </cell>
          <cell r="G164">
            <v>0</v>
          </cell>
          <cell r="H164">
            <v>0</v>
          </cell>
          <cell r="I164">
            <v>0</v>
          </cell>
          <cell r="J164">
            <v>1194.26</v>
          </cell>
          <cell r="K164">
            <v>0</v>
          </cell>
          <cell r="L164">
            <v>1383.95</v>
          </cell>
          <cell r="M164">
            <v>0</v>
          </cell>
          <cell r="N164">
            <v>1570.96</v>
          </cell>
          <cell r="O164">
            <v>0</v>
          </cell>
          <cell r="P164">
            <v>1055</v>
          </cell>
          <cell r="Q164">
            <v>0</v>
          </cell>
          <cell r="R164">
            <v>1417.05</v>
          </cell>
          <cell r="S164">
            <v>0</v>
          </cell>
          <cell r="T164">
            <v>1055</v>
          </cell>
          <cell r="U164">
            <v>0</v>
          </cell>
          <cell r="V164">
            <v>1503</v>
          </cell>
          <cell r="W164">
            <v>0</v>
          </cell>
          <cell r="X164">
            <v>1581.24</v>
          </cell>
          <cell r="Y164">
            <v>0</v>
          </cell>
          <cell r="Z164">
            <v>1086.6500000000001</v>
          </cell>
          <cell r="AA164">
            <v>0</v>
          </cell>
          <cell r="AB164">
            <v>1086.6500000000001</v>
          </cell>
          <cell r="AC164">
            <v>0</v>
          </cell>
          <cell r="AD164">
            <v>6726.09</v>
          </cell>
          <cell r="AE164">
            <v>0</v>
          </cell>
          <cell r="AF164">
            <v>0</v>
          </cell>
          <cell r="AG164">
            <v>0</v>
          </cell>
          <cell r="AH164">
            <v>19659.849999999999</v>
          </cell>
        </row>
        <row r="165">
          <cell r="D165">
            <v>70165</v>
          </cell>
          <cell r="E165" t="str">
            <v>Communications</v>
          </cell>
          <cell r="F165">
            <v>0</v>
          </cell>
          <cell r="G165">
            <v>0</v>
          </cell>
          <cell r="H165">
            <v>0</v>
          </cell>
          <cell r="I165">
            <v>0</v>
          </cell>
          <cell r="J165">
            <v>2975.76</v>
          </cell>
          <cell r="K165">
            <v>0</v>
          </cell>
          <cell r="L165">
            <v>2480.6799999999998</v>
          </cell>
          <cell r="M165">
            <v>0</v>
          </cell>
          <cell r="N165">
            <v>3224.5</v>
          </cell>
          <cell r="O165">
            <v>0</v>
          </cell>
          <cell r="P165">
            <v>2694.21</v>
          </cell>
          <cell r="Q165">
            <v>0</v>
          </cell>
          <cell r="R165">
            <v>2582.11</v>
          </cell>
          <cell r="S165">
            <v>0</v>
          </cell>
          <cell r="T165">
            <v>3239.32</v>
          </cell>
          <cell r="U165">
            <v>0</v>
          </cell>
          <cell r="V165">
            <v>2716.7</v>
          </cell>
          <cell r="W165">
            <v>0</v>
          </cell>
          <cell r="X165">
            <v>2393.71</v>
          </cell>
          <cell r="Y165">
            <v>0</v>
          </cell>
          <cell r="Z165">
            <v>2653.29</v>
          </cell>
          <cell r="AA165">
            <v>0</v>
          </cell>
          <cell r="AB165">
            <v>4062.25</v>
          </cell>
          <cell r="AC165">
            <v>0</v>
          </cell>
          <cell r="AD165">
            <v>2377.63</v>
          </cell>
          <cell r="AE165">
            <v>0</v>
          </cell>
          <cell r="AF165">
            <v>2578.6799999999998</v>
          </cell>
          <cell r="AG165">
            <v>0</v>
          </cell>
          <cell r="AH165">
            <v>33978.839999999997</v>
          </cell>
        </row>
        <row r="166">
          <cell r="D166">
            <v>70167</v>
          </cell>
          <cell r="E166" t="str">
            <v>Cellular Telephone</v>
          </cell>
          <cell r="F166">
            <v>0</v>
          </cell>
          <cell r="G166">
            <v>0</v>
          </cell>
          <cell r="H166">
            <v>0</v>
          </cell>
          <cell r="I166">
            <v>0</v>
          </cell>
          <cell r="J166">
            <v>3781.33</v>
          </cell>
          <cell r="K166">
            <v>0</v>
          </cell>
          <cell r="L166">
            <v>1207.3599999999999</v>
          </cell>
          <cell r="M166">
            <v>0</v>
          </cell>
          <cell r="N166">
            <v>2866.79</v>
          </cell>
          <cell r="O166">
            <v>0</v>
          </cell>
          <cell r="P166">
            <v>2801.9</v>
          </cell>
          <cell r="Q166">
            <v>0</v>
          </cell>
          <cell r="R166">
            <v>2490.11</v>
          </cell>
          <cell r="S166">
            <v>0</v>
          </cell>
          <cell r="T166">
            <v>2745.22</v>
          </cell>
          <cell r="U166">
            <v>0</v>
          </cell>
          <cell r="V166">
            <v>2722.13</v>
          </cell>
          <cell r="W166">
            <v>0</v>
          </cell>
          <cell r="X166">
            <v>2447.91</v>
          </cell>
          <cell r="Y166">
            <v>0</v>
          </cell>
          <cell r="Z166">
            <v>2751.15</v>
          </cell>
          <cell r="AA166">
            <v>0</v>
          </cell>
          <cell r="AB166">
            <v>2769.47</v>
          </cell>
          <cell r="AC166">
            <v>0</v>
          </cell>
          <cell r="AD166">
            <v>3207.8</v>
          </cell>
          <cell r="AE166">
            <v>0</v>
          </cell>
          <cell r="AF166">
            <v>2509.31</v>
          </cell>
          <cell r="AG166">
            <v>0</v>
          </cell>
          <cell r="AH166">
            <v>32300.480000000003</v>
          </cell>
        </row>
        <row r="167">
          <cell r="D167">
            <v>70170</v>
          </cell>
          <cell r="E167" t="str">
            <v>Qualifying Operating Lease Expense</v>
          </cell>
          <cell r="F167">
            <v>0</v>
          </cell>
          <cell r="G167">
            <v>0</v>
          </cell>
          <cell r="H167">
            <v>0</v>
          </cell>
          <cell r="I167">
            <v>0</v>
          </cell>
          <cell r="J167">
            <v>27878.45</v>
          </cell>
          <cell r="K167">
            <v>0</v>
          </cell>
          <cell r="L167">
            <v>30547.53</v>
          </cell>
          <cell r="M167">
            <v>0</v>
          </cell>
          <cell r="N167">
            <v>30547.53</v>
          </cell>
          <cell r="O167">
            <v>0</v>
          </cell>
          <cell r="P167">
            <v>30547.53</v>
          </cell>
          <cell r="Q167">
            <v>0</v>
          </cell>
          <cell r="R167">
            <v>30547.53</v>
          </cell>
          <cell r="S167">
            <v>0</v>
          </cell>
          <cell r="T167">
            <v>30547.53</v>
          </cell>
          <cell r="U167">
            <v>0</v>
          </cell>
          <cell r="V167">
            <v>30547.53</v>
          </cell>
          <cell r="W167">
            <v>0</v>
          </cell>
          <cell r="X167">
            <v>30547.53</v>
          </cell>
          <cell r="Y167">
            <v>0</v>
          </cell>
          <cell r="Z167">
            <v>30547.53</v>
          </cell>
          <cell r="AA167">
            <v>0</v>
          </cell>
          <cell r="AB167">
            <v>30547.53</v>
          </cell>
          <cell r="AC167">
            <v>0</v>
          </cell>
          <cell r="AD167">
            <v>30547.53</v>
          </cell>
          <cell r="AE167">
            <v>0</v>
          </cell>
          <cell r="AF167">
            <v>30547.53</v>
          </cell>
          <cell r="AG167">
            <v>0</v>
          </cell>
          <cell r="AH167">
            <v>363901.28000000009</v>
          </cell>
        </row>
        <row r="168">
          <cell r="D168">
            <v>70171</v>
          </cell>
          <cell r="E168" t="str">
            <v>Variable Qualifying Lease Expense</v>
          </cell>
          <cell r="F168">
            <v>0</v>
          </cell>
          <cell r="G168">
            <v>0</v>
          </cell>
          <cell r="H168">
            <v>0</v>
          </cell>
          <cell r="I168">
            <v>0</v>
          </cell>
          <cell r="J168">
            <v>2668.93</v>
          </cell>
          <cell r="K168">
            <v>0</v>
          </cell>
          <cell r="L168">
            <v>0</v>
          </cell>
          <cell r="M168">
            <v>0</v>
          </cell>
          <cell r="N168">
            <v>0</v>
          </cell>
          <cell r="O168">
            <v>0</v>
          </cell>
          <cell r="P168">
            <v>0</v>
          </cell>
          <cell r="Q168">
            <v>0</v>
          </cell>
          <cell r="R168">
            <v>-0.56000000000000005</v>
          </cell>
          <cell r="S168">
            <v>0</v>
          </cell>
          <cell r="T168">
            <v>-0.28000000000000003</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2668.0899999999997</v>
          </cell>
        </row>
        <row r="169">
          <cell r="D169">
            <v>70185</v>
          </cell>
          <cell r="E169" t="str">
            <v>Postage</v>
          </cell>
          <cell r="F169">
            <v>0</v>
          </cell>
          <cell r="G169">
            <v>0</v>
          </cell>
          <cell r="H169">
            <v>0</v>
          </cell>
          <cell r="I169">
            <v>0</v>
          </cell>
          <cell r="J169">
            <v>1384.15</v>
          </cell>
          <cell r="K169">
            <v>0</v>
          </cell>
          <cell r="L169">
            <v>1363.84</v>
          </cell>
          <cell r="M169">
            <v>0</v>
          </cell>
          <cell r="N169">
            <v>2361.16</v>
          </cell>
          <cell r="O169">
            <v>0</v>
          </cell>
          <cell r="P169">
            <v>2141.91</v>
          </cell>
          <cell r="Q169">
            <v>0</v>
          </cell>
          <cell r="R169">
            <v>3572.03</v>
          </cell>
          <cell r="S169">
            <v>0</v>
          </cell>
          <cell r="T169">
            <v>1825.23</v>
          </cell>
          <cell r="U169">
            <v>0</v>
          </cell>
          <cell r="V169">
            <v>3020.98</v>
          </cell>
          <cell r="W169">
            <v>0</v>
          </cell>
          <cell r="X169">
            <v>1455.19</v>
          </cell>
          <cell r="Y169">
            <v>0</v>
          </cell>
          <cell r="Z169">
            <v>998.02</v>
          </cell>
          <cell r="AA169">
            <v>0</v>
          </cell>
          <cell r="AB169">
            <v>432.96</v>
          </cell>
          <cell r="AC169">
            <v>0</v>
          </cell>
          <cell r="AD169">
            <v>1654.85</v>
          </cell>
          <cell r="AE169">
            <v>0</v>
          </cell>
          <cell r="AF169">
            <v>1123.75</v>
          </cell>
          <cell r="AG169">
            <v>0</v>
          </cell>
          <cell r="AH169">
            <v>21334.070000000003</v>
          </cell>
        </row>
        <row r="170">
          <cell r="D170">
            <v>70190</v>
          </cell>
          <cell r="E170" t="str">
            <v>Registration Fees</v>
          </cell>
          <cell r="F170">
            <v>0</v>
          </cell>
          <cell r="G170">
            <v>0</v>
          </cell>
          <cell r="H170">
            <v>0</v>
          </cell>
          <cell r="I170">
            <v>0</v>
          </cell>
          <cell r="J170">
            <v>250</v>
          </cell>
          <cell r="K170">
            <v>0</v>
          </cell>
          <cell r="L170">
            <v>179.98</v>
          </cell>
          <cell r="M170">
            <v>0</v>
          </cell>
          <cell r="N170">
            <v>1090.02</v>
          </cell>
          <cell r="O170">
            <v>0</v>
          </cell>
          <cell r="P170">
            <v>172.5</v>
          </cell>
          <cell r="Q170">
            <v>0</v>
          </cell>
          <cell r="R170">
            <v>1347.02</v>
          </cell>
          <cell r="S170">
            <v>0</v>
          </cell>
          <cell r="T170">
            <v>1605</v>
          </cell>
          <cell r="U170">
            <v>0</v>
          </cell>
          <cell r="V170">
            <v>0</v>
          </cell>
          <cell r="W170">
            <v>0</v>
          </cell>
          <cell r="X170">
            <v>79</v>
          </cell>
          <cell r="Y170">
            <v>0</v>
          </cell>
          <cell r="Z170">
            <v>3065</v>
          </cell>
          <cell r="AA170">
            <v>0</v>
          </cell>
          <cell r="AB170">
            <v>1550</v>
          </cell>
          <cell r="AC170">
            <v>0</v>
          </cell>
          <cell r="AD170">
            <v>500</v>
          </cell>
          <cell r="AE170">
            <v>0</v>
          </cell>
          <cell r="AF170">
            <v>775</v>
          </cell>
          <cell r="AG170">
            <v>0</v>
          </cell>
          <cell r="AH170">
            <v>10613.52</v>
          </cell>
        </row>
        <row r="171">
          <cell r="D171">
            <v>70195</v>
          </cell>
          <cell r="E171" t="str">
            <v>Dues and Subscriptions</v>
          </cell>
          <cell r="F171">
            <v>0</v>
          </cell>
          <cell r="G171">
            <v>0</v>
          </cell>
          <cell r="H171">
            <v>0</v>
          </cell>
          <cell r="I171">
            <v>0</v>
          </cell>
          <cell r="J171">
            <v>530.99</v>
          </cell>
          <cell r="K171">
            <v>0</v>
          </cell>
          <cell r="L171">
            <v>576.99</v>
          </cell>
          <cell r="M171">
            <v>0</v>
          </cell>
          <cell r="N171">
            <v>44.99</v>
          </cell>
          <cell r="O171">
            <v>0</v>
          </cell>
          <cell r="P171">
            <v>2343.0300000000002</v>
          </cell>
          <cell r="Q171">
            <v>0</v>
          </cell>
          <cell r="R171">
            <v>44.99</v>
          </cell>
          <cell r="S171">
            <v>0</v>
          </cell>
          <cell r="T171">
            <v>258.99</v>
          </cell>
          <cell r="U171">
            <v>0</v>
          </cell>
          <cell r="V171">
            <v>1764.23</v>
          </cell>
          <cell r="W171">
            <v>0</v>
          </cell>
          <cell r="X171">
            <v>805.99</v>
          </cell>
          <cell r="Y171">
            <v>0</v>
          </cell>
          <cell r="Z171">
            <v>1368.21</v>
          </cell>
          <cell r="AA171">
            <v>0</v>
          </cell>
          <cell r="AB171">
            <v>283.99</v>
          </cell>
          <cell r="AC171">
            <v>0</v>
          </cell>
          <cell r="AD171">
            <v>44.99</v>
          </cell>
          <cell r="AE171">
            <v>0</v>
          </cell>
          <cell r="AF171">
            <v>655.86</v>
          </cell>
          <cell r="AG171">
            <v>0</v>
          </cell>
          <cell r="AH171">
            <v>8723.25</v>
          </cell>
        </row>
        <row r="172">
          <cell r="D172">
            <v>70200</v>
          </cell>
          <cell r="E172" t="str">
            <v>Travel</v>
          </cell>
          <cell r="F172">
            <v>0</v>
          </cell>
          <cell r="G172">
            <v>0</v>
          </cell>
          <cell r="H172">
            <v>0</v>
          </cell>
          <cell r="I172">
            <v>0</v>
          </cell>
          <cell r="J172">
            <v>6706.21</v>
          </cell>
          <cell r="K172">
            <v>0</v>
          </cell>
          <cell r="L172">
            <v>14491.61</v>
          </cell>
          <cell r="M172">
            <v>0</v>
          </cell>
          <cell r="N172">
            <v>13354.54</v>
          </cell>
          <cell r="O172">
            <v>0</v>
          </cell>
          <cell r="P172">
            <v>6730.21</v>
          </cell>
          <cell r="Q172">
            <v>0</v>
          </cell>
          <cell r="R172">
            <v>18255.830000000002</v>
          </cell>
          <cell r="S172">
            <v>0</v>
          </cell>
          <cell r="T172">
            <v>12998.5</v>
          </cell>
          <cell r="U172">
            <v>0</v>
          </cell>
          <cell r="V172">
            <v>13644.36</v>
          </cell>
          <cell r="W172">
            <v>0</v>
          </cell>
          <cell r="X172">
            <v>15071.96</v>
          </cell>
          <cell r="Y172">
            <v>0</v>
          </cell>
          <cell r="Z172">
            <v>20198.3</v>
          </cell>
          <cell r="AA172">
            <v>0</v>
          </cell>
          <cell r="AB172">
            <v>8854.9</v>
          </cell>
          <cell r="AC172">
            <v>0</v>
          </cell>
          <cell r="AD172">
            <v>6312.76</v>
          </cell>
          <cell r="AE172">
            <v>0</v>
          </cell>
          <cell r="AF172">
            <v>12280.26</v>
          </cell>
          <cell r="AG172">
            <v>0</v>
          </cell>
          <cell r="AH172">
            <v>148899.44000000003</v>
          </cell>
        </row>
        <row r="173">
          <cell r="D173">
            <v>70201</v>
          </cell>
          <cell r="E173" t="str">
            <v>Entertainment</v>
          </cell>
          <cell r="F173">
            <v>0</v>
          </cell>
          <cell r="G173">
            <v>0</v>
          </cell>
          <cell r="H173">
            <v>0</v>
          </cell>
          <cell r="I173">
            <v>0</v>
          </cell>
          <cell r="J173">
            <v>2417.1</v>
          </cell>
          <cell r="K173">
            <v>0</v>
          </cell>
          <cell r="L173">
            <v>3931.84</v>
          </cell>
          <cell r="M173">
            <v>0</v>
          </cell>
          <cell r="N173">
            <v>2018</v>
          </cell>
          <cell r="O173">
            <v>0</v>
          </cell>
          <cell r="P173">
            <v>3336.79</v>
          </cell>
          <cell r="Q173">
            <v>0</v>
          </cell>
          <cell r="R173">
            <v>2693.72</v>
          </cell>
          <cell r="S173">
            <v>0</v>
          </cell>
          <cell r="T173">
            <v>5133.57</v>
          </cell>
          <cell r="U173">
            <v>0</v>
          </cell>
          <cell r="V173">
            <v>3249.01</v>
          </cell>
          <cell r="W173">
            <v>0</v>
          </cell>
          <cell r="X173">
            <v>4020.19</v>
          </cell>
          <cell r="Y173">
            <v>0</v>
          </cell>
          <cell r="Z173">
            <v>4142.25</v>
          </cell>
          <cell r="AA173">
            <v>0</v>
          </cell>
          <cell r="AB173">
            <v>2677.73</v>
          </cell>
          <cell r="AC173">
            <v>0</v>
          </cell>
          <cell r="AD173">
            <v>1921.39</v>
          </cell>
          <cell r="AE173">
            <v>0</v>
          </cell>
          <cell r="AF173">
            <v>2571.5</v>
          </cell>
          <cell r="AG173">
            <v>0</v>
          </cell>
          <cell r="AH173">
            <v>38113.090000000004</v>
          </cell>
        </row>
        <row r="174">
          <cell r="D174">
            <v>70202</v>
          </cell>
          <cell r="E174" t="str">
            <v>Excursions Meetings</v>
          </cell>
          <cell r="F174">
            <v>0</v>
          </cell>
          <cell r="G174">
            <v>0</v>
          </cell>
          <cell r="H174">
            <v>0</v>
          </cell>
          <cell r="I174">
            <v>0</v>
          </cell>
          <cell r="J174">
            <v>9720.92</v>
          </cell>
          <cell r="K174">
            <v>0</v>
          </cell>
          <cell r="L174">
            <v>72676.240000000005</v>
          </cell>
          <cell r="M174">
            <v>0</v>
          </cell>
          <cell r="N174">
            <v>29397.16</v>
          </cell>
          <cell r="O174">
            <v>0</v>
          </cell>
          <cell r="P174">
            <v>109312.4</v>
          </cell>
          <cell r="Q174">
            <v>0</v>
          </cell>
          <cell r="R174">
            <v>207639.42</v>
          </cell>
          <cell r="S174">
            <v>0</v>
          </cell>
          <cell r="T174">
            <v>17283.46</v>
          </cell>
          <cell r="U174">
            <v>0</v>
          </cell>
          <cell r="V174">
            <v>424312.34</v>
          </cell>
          <cell r="W174">
            <v>0</v>
          </cell>
          <cell r="X174">
            <v>3632.05</v>
          </cell>
          <cell r="Y174">
            <v>0</v>
          </cell>
          <cell r="Z174">
            <v>2128.79</v>
          </cell>
          <cell r="AA174">
            <v>0</v>
          </cell>
          <cell r="AB174">
            <v>28624.05</v>
          </cell>
          <cell r="AC174">
            <v>0</v>
          </cell>
          <cell r="AD174">
            <v>10806.77</v>
          </cell>
          <cell r="AE174">
            <v>0</v>
          </cell>
          <cell r="AF174">
            <v>22221.86</v>
          </cell>
          <cell r="AG174">
            <v>0</v>
          </cell>
          <cell r="AH174">
            <v>937755.4600000002</v>
          </cell>
        </row>
        <row r="175">
          <cell r="D175">
            <v>70203</v>
          </cell>
          <cell r="E175" t="str">
            <v>Lodging</v>
          </cell>
          <cell r="F175">
            <v>0</v>
          </cell>
          <cell r="G175">
            <v>0</v>
          </cell>
          <cell r="H175">
            <v>0</v>
          </cell>
          <cell r="I175">
            <v>0</v>
          </cell>
          <cell r="J175">
            <v>3500.14</v>
          </cell>
          <cell r="K175">
            <v>0</v>
          </cell>
          <cell r="L175">
            <v>8326.41</v>
          </cell>
          <cell r="M175">
            <v>0</v>
          </cell>
          <cell r="N175">
            <v>5661.09</v>
          </cell>
          <cell r="O175">
            <v>0</v>
          </cell>
          <cell r="P175">
            <v>7421.25</v>
          </cell>
          <cell r="Q175">
            <v>0</v>
          </cell>
          <cell r="R175">
            <v>5139.04</v>
          </cell>
          <cell r="S175">
            <v>0</v>
          </cell>
          <cell r="T175">
            <v>12780.2</v>
          </cell>
          <cell r="U175">
            <v>0</v>
          </cell>
          <cell r="V175">
            <v>13543.93</v>
          </cell>
          <cell r="W175">
            <v>0</v>
          </cell>
          <cell r="X175">
            <v>8863.66</v>
          </cell>
          <cell r="Y175">
            <v>0</v>
          </cell>
          <cell r="Z175">
            <v>15208.79</v>
          </cell>
          <cell r="AA175">
            <v>0</v>
          </cell>
          <cell r="AB175">
            <v>8655.77</v>
          </cell>
          <cell r="AC175">
            <v>0</v>
          </cell>
          <cell r="AD175">
            <v>4941.47</v>
          </cell>
          <cell r="AE175">
            <v>0</v>
          </cell>
          <cell r="AF175">
            <v>4496.41</v>
          </cell>
          <cell r="AG175">
            <v>0</v>
          </cell>
          <cell r="AH175">
            <v>98538.16</v>
          </cell>
        </row>
        <row r="176">
          <cell r="D176">
            <v>70205</v>
          </cell>
          <cell r="E176" t="str">
            <v>Travel - Auto</v>
          </cell>
          <cell r="F176">
            <v>0</v>
          </cell>
          <cell r="G176">
            <v>0</v>
          </cell>
          <cell r="H176">
            <v>0</v>
          </cell>
          <cell r="I176">
            <v>0</v>
          </cell>
          <cell r="J176">
            <v>6640.72</v>
          </cell>
          <cell r="K176">
            <v>0</v>
          </cell>
          <cell r="L176">
            <v>10582.95</v>
          </cell>
          <cell r="M176">
            <v>0</v>
          </cell>
          <cell r="N176">
            <v>3942.21</v>
          </cell>
          <cell r="O176">
            <v>0</v>
          </cell>
          <cell r="P176">
            <v>8988.34</v>
          </cell>
          <cell r="Q176">
            <v>0</v>
          </cell>
          <cell r="R176">
            <v>6938.95</v>
          </cell>
          <cell r="S176">
            <v>0</v>
          </cell>
          <cell r="T176">
            <v>12335.45</v>
          </cell>
          <cell r="U176">
            <v>0</v>
          </cell>
          <cell r="V176">
            <v>16075.48</v>
          </cell>
          <cell r="W176">
            <v>0</v>
          </cell>
          <cell r="X176">
            <v>9427.7900000000009</v>
          </cell>
          <cell r="Y176">
            <v>0</v>
          </cell>
          <cell r="Z176">
            <v>14022.72</v>
          </cell>
          <cell r="AA176">
            <v>0</v>
          </cell>
          <cell r="AB176">
            <v>9302.0300000000007</v>
          </cell>
          <cell r="AC176">
            <v>0</v>
          </cell>
          <cell r="AD176">
            <v>6235.65</v>
          </cell>
          <cell r="AE176">
            <v>0</v>
          </cell>
          <cell r="AF176">
            <v>4577.76</v>
          </cell>
          <cell r="AG176">
            <v>0</v>
          </cell>
          <cell r="AH176">
            <v>109070.05</v>
          </cell>
        </row>
        <row r="177">
          <cell r="D177">
            <v>70206</v>
          </cell>
          <cell r="E177" t="str">
            <v>Meals</v>
          </cell>
          <cell r="F177">
            <v>0</v>
          </cell>
          <cell r="G177">
            <v>0</v>
          </cell>
          <cell r="H177">
            <v>0</v>
          </cell>
          <cell r="I177">
            <v>0</v>
          </cell>
          <cell r="J177">
            <v>1219.3499999999999</v>
          </cell>
          <cell r="K177">
            <v>0</v>
          </cell>
          <cell r="L177">
            <v>2282.71</v>
          </cell>
          <cell r="M177">
            <v>0</v>
          </cell>
          <cell r="N177">
            <v>1535.58</v>
          </cell>
          <cell r="O177">
            <v>0</v>
          </cell>
          <cell r="P177">
            <v>3139.32</v>
          </cell>
          <cell r="Q177">
            <v>0</v>
          </cell>
          <cell r="R177">
            <v>2877.94</v>
          </cell>
          <cell r="S177">
            <v>0</v>
          </cell>
          <cell r="T177">
            <v>2966.07</v>
          </cell>
          <cell r="U177">
            <v>0</v>
          </cell>
          <cell r="V177">
            <v>5042.1000000000004</v>
          </cell>
          <cell r="W177">
            <v>0</v>
          </cell>
          <cell r="X177">
            <v>1931.09</v>
          </cell>
          <cell r="Y177">
            <v>0</v>
          </cell>
          <cell r="Z177">
            <v>5021.8999999999996</v>
          </cell>
          <cell r="AA177">
            <v>0</v>
          </cell>
          <cell r="AB177">
            <v>1881</v>
          </cell>
          <cell r="AC177">
            <v>0</v>
          </cell>
          <cell r="AD177">
            <v>3122.03</v>
          </cell>
          <cell r="AE177">
            <v>0</v>
          </cell>
          <cell r="AF177">
            <v>1185.18</v>
          </cell>
          <cell r="AG177">
            <v>0</v>
          </cell>
          <cell r="AH177">
            <v>32204.269999999997</v>
          </cell>
        </row>
        <row r="178">
          <cell r="D178">
            <v>70207</v>
          </cell>
          <cell r="E178" t="str">
            <v>Meals with Customers</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5.88</v>
          </cell>
          <cell r="Y178">
            <v>0</v>
          </cell>
          <cell r="Z178">
            <v>0</v>
          </cell>
          <cell r="AA178">
            <v>0</v>
          </cell>
          <cell r="AB178">
            <v>0</v>
          </cell>
          <cell r="AC178">
            <v>0</v>
          </cell>
          <cell r="AD178">
            <v>0</v>
          </cell>
          <cell r="AE178">
            <v>0</v>
          </cell>
          <cell r="AF178">
            <v>0</v>
          </cell>
          <cell r="AG178">
            <v>0</v>
          </cell>
          <cell r="AH178">
            <v>5.88</v>
          </cell>
        </row>
        <row r="179">
          <cell r="D179">
            <v>70210</v>
          </cell>
          <cell r="E179" t="str">
            <v>Office Supplies and Equip</v>
          </cell>
          <cell r="F179">
            <v>0</v>
          </cell>
          <cell r="G179">
            <v>0</v>
          </cell>
          <cell r="H179">
            <v>0</v>
          </cell>
          <cell r="I179">
            <v>0</v>
          </cell>
          <cell r="J179">
            <v>2506.7399999999998</v>
          </cell>
          <cell r="K179">
            <v>0</v>
          </cell>
          <cell r="L179">
            <v>4929.13</v>
          </cell>
          <cell r="M179">
            <v>0</v>
          </cell>
          <cell r="N179">
            <v>4759.47</v>
          </cell>
          <cell r="O179">
            <v>0</v>
          </cell>
          <cell r="P179">
            <v>2867.79</v>
          </cell>
          <cell r="Q179">
            <v>0</v>
          </cell>
          <cell r="R179">
            <v>5384.21</v>
          </cell>
          <cell r="S179">
            <v>0</v>
          </cell>
          <cell r="T179">
            <v>2864.85</v>
          </cell>
          <cell r="U179">
            <v>0</v>
          </cell>
          <cell r="V179">
            <v>2428.52</v>
          </cell>
          <cell r="W179">
            <v>0</v>
          </cell>
          <cell r="X179">
            <v>4800.75</v>
          </cell>
          <cell r="Y179">
            <v>0</v>
          </cell>
          <cell r="Z179">
            <v>2730.57</v>
          </cell>
          <cell r="AA179">
            <v>0</v>
          </cell>
          <cell r="AB179">
            <v>1876.54</v>
          </cell>
          <cell r="AC179">
            <v>0</v>
          </cell>
          <cell r="AD179">
            <v>7899.56</v>
          </cell>
          <cell r="AE179">
            <v>0</v>
          </cell>
          <cell r="AF179">
            <v>3813.63</v>
          </cell>
          <cell r="AG179">
            <v>0</v>
          </cell>
          <cell r="AH179">
            <v>46861.759999999995</v>
          </cell>
        </row>
        <row r="180">
          <cell r="D180">
            <v>70214</v>
          </cell>
          <cell r="E180" t="str">
            <v>Credit Card Fees</v>
          </cell>
          <cell r="F180">
            <v>0</v>
          </cell>
          <cell r="G180">
            <v>0</v>
          </cell>
          <cell r="H180">
            <v>0</v>
          </cell>
          <cell r="I180">
            <v>0</v>
          </cell>
          <cell r="J180">
            <v>0</v>
          </cell>
          <cell r="K180">
            <v>0</v>
          </cell>
          <cell r="L180">
            <v>0</v>
          </cell>
          <cell r="M180">
            <v>0</v>
          </cell>
          <cell r="N180">
            <v>0.28000000000000003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0.28000000000000003</v>
          </cell>
        </row>
        <row r="181">
          <cell r="D181">
            <v>70215</v>
          </cell>
          <cell r="E181" t="str">
            <v>Bank Charges</v>
          </cell>
          <cell r="F181">
            <v>0</v>
          </cell>
          <cell r="G181">
            <v>0</v>
          </cell>
          <cell r="H181">
            <v>0</v>
          </cell>
          <cell r="I181">
            <v>0</v>
          </cell>
          <cell r="J181">
            <v>0</v>
          </cell>
          <cell r="K181">
            <v>0</v>
          </cell>
          <cell r="L181">
            <v>0</v>
          </cell>
          <cell r="M181">
            <v>0</v>
          </cell>
          <cell r="N181">
            <v>5.09</v>
          </cell>
          <cell r="O181">
            <v>0</v>
          </cell>
          <cell r="P181">
            <v>0</v>
          </cell>
          <cell r="Q181">
            <v>0</v>
          </cell>
          <cell r="R181">
            <v>110.25</v>
          </cell>
          <cell r="S181">
            <v>0</v>
          </cell>
          <cell r="T181">
            <v>0</v>
          </cell>
          <cell r="U181">
            <v>0</v>
          </cell>
          <cell r="V181">
            <v>0</v>
          </cell>
          <cell r="W181">
            <v>0</v>
          </cell>
          <cell r="X181">
            <v>1.02</v>
          </cell>
          <cell r="Y181">
            <v>0</v>
          </cell>
          <cell r="Z181">
            <v>4.3899999999999997</v>
          </cell>
          <cell r="AA181">
            <v>0</v>
          </cell>
          <cell r="AB181">
            <v>0</v>
          </cell>
          <cell r="AC181">
            <v>0</v>
          </cell>
          <cell r="AD181">
            <v>0</v>
          </cell>
          <cell r="AE181">
            <v>0</v>
          </cell>
          <cell r="AF181">
            <v>69.709999999999994</v>
          </cell>
          <cell r="AG181">
            <v>0</v>
          </cell>
          <cell r="AH181">
            <v>190.46</v>
          </cell>
        </row>
        <row r="182">
          <cell r="D182">
            <v>70225</v>
          </cell>
          <cell r="E182" t="str">
            <v>Advertising and Promotions</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120.47</v>
          </cell>
          <cell r="AG182">
            <v>0</v>
          </cell>
          <cell r="AH182">
            <v>120.47</v>
          </cell>
        </row>
        <row r="183">
          <cell r="D183">
            <v>70231</v>
          </cell>
          <cell r="E183" t="str">
            <v>Recruitment Advertising &amp; Expenses</v>
          </cell>
          <cell r="F183">
            <v>0</v>
          </cell>
          <cell r="G183">
            <v>0</v>
          </cell>
          <cell r="H183">
            <v>0</v>
          </cell>
          <cell r="I183">
            <v>0</v>
          </cell>
          <cell r="J183">
            <v>130.03</v>
          </cell>
          <cell r="K183">
            <v>0</v>
          </cell>
          <cell r="L183">
            <v>30</v>
          </cell>
          <cell r="M183">
            <v>0</v>
          </cell>
          <cell r="N183">
            <v>109.24</v>
          </cell>
          <cell r="O183">
            <v>0</v>
          </cell>
          <cell r="P183">
            <v>36.72</v>
          </cell>
          <cell r="Q183">
            <v>0</v>
          </cell>
          <cell r="R183">
            <v>2265.9299999999998</v>
          </cell>
          <cell r="S183">
            <v>0</v>
          </cell>
          <cell r="T183">
            <v>34.869999999999997</v>
          </cell>
          <cell r="U183">
            <v>0</v>
          </cell>
          <cell r="V183">
            <v>3515</v>
          </cell>
          <cell r="W183">
            <v>0</v>
          </cell>
          <cell r="X183">
            <v>0</v>
          </cell>
          <cell r="Y183">
            <v>0</v>
          </cell>
          <cell r="Z183">
            <v>339.65</v>
          </cell>
          <cell r="AA183">
            <v>0</v>
          </cell>
          <cell r="AB183">
            <v>7110.44</v>
          </cell>
          <cell r="AC183">
            <v>0</v>
          </cell>
          <cell r="AD183">
            <v>210.13</v>
          </cell>
          <cell r="AE183">
            <v>0</v>
          </cell>
          <cell r="AF183">
            <v>-16.25</v>
          </cell>
          <cell r="AG183">
            <v>0</v>
          </cell>
          <cell r="AH183">
            <v>13765.76</v>
          </cell>
        </row>
        <row r="184">
          <cell r="D184">
            <v>70232</v>
          </cell>
          <cell r="E184" t="str">
            <v>Recruitment Travel Expenses</v>
          </cell>
          <cell r="F184">
            <v>0</v>
          </cell>
          <cell r="G184">
            <v>0</v>
          </cell>
          <cell r="H184">
            <v>0</v>
          </cell>
          <cell r="I184">
            <v>0</v>
          </cell>
          <cell r="J184">
            <v>0</v>
          </cell>
          <cell r="K184">
            <v>0</v>
          </cell>
          <cell r="L184">
            <v>0</v>
          </cell>
          <cell r="M184">
            <v>0</v>
          </cell>
          <cell r="N184">
            <v>0</v>
          </cell>
          <cell r="O184">
            <v>0</v>
          </cell>
          <cell r="P184">
            <v>783.22</v>
          </cell>
          <cell r="Q184">
            <v>0</v>
          </cell>
          <cell r="R184">
            <v>1868.21</v>
          </cell>
          <cell r="S184">
            <v>0</v>
          </cell>
          <cell r="T184">
            <v>1442.61</v>
          </cell>
          <cell r="U184">
            <v>0</v>
          </cell>
          <cell r="V184">
            <v>0</v>
          </cell>
          <cell r="W184">
            <v>0</v>
          </cell>
          <cell r="X184">
            <v>0</v>
          </cell>
          <cell r="Y184">
            <v>0</v>
          </cell>
          <cell r="Z184">
            <v>0</v>
          </cell>
          <cell r="AA184">
            <v>0</v>
          </cell>
          <cell r="AB184">
            <v>0</v>
          </cell>
          <cell r="AC184">
            <v>0</v>
          </cell>
          <cell r="AD184">
            <v>0</v>
          </cell>
          <cell r="AE184">
            <v>0</v>
          </cell>
          <cell r="AF184">
            <v>1097.21</v>
          </cell>
          <cell r="AG184">
            <v>0</v>
          </cell>
          <cell r="AH184">
            <v>5191.25</v>
          </cell>
        </row>
        <row r="185">
          <cell r="D185">
            <v>70235</v>
          </cell>
          <cell r="E185" t="str">
            <v>Legal</v>
          </cell>
          <cell r="F185">
            <v>0</v>
          </cell>
          <cell r="G185">
            <v>0</v>
          </cell>
          <cell r="H185">
            <v>0</v>
          </cell>
          <cell r="I185">
            <v>0</v>
          </cell>
          <cell r="J185">
            <v>3937.03</v>
          </cell>
          <cell r="K185">
            <v>0</v>
          </cell>
          <cell r="L185">
            <v>-769</v>
          </cell>
          <cell r="M185">
            <v>0</v>
          </cell>
          <cell r="N185">
            <v>0</v>
          </cell>
          <cell r="O185">
            <v>0</v>
          </cell>
          <cell r="P185">
            <v>3203.1</v>
          </cell>
          <cell r="Q185">
            <v>0</v>
          </cell>
          <cell r="R185">
            <v>196</v>
          </cell>
          <cell r="S185">
            <v>0</v>
          </cell>
          <cell r="T185">
            <v>-228</v>
          </cell>
          <cell r="U185">
            <v>0</v>
          </cell>
          <cell r="V185">
            <v>0</v>
          </cell>
          <cell r="W185">
            <v>0</v>
          </cell>
          <cell r="X185">
            <v>0</v>
          </cell>
          <cell r="Y185">
            <v>0</v>
          </cell>
          <cell r="Z185">
            <v>0</v>
          </cell>
          <cell r="AA185">
            <v>0</v>
          </cell>
          <cell r="AB185">
            <v>1456.5</v>
          </cell>
          <cell r="AC185">
            <v>0</v>
          </cell>
          <cell r="AD185">
            <v>0</v>
          </cell>
          <cell r="AE185">
            <v>0</v>
          </cell>
          <cell r="AF185">
            <v>797.5</v>
          </cell>
          <cell r="AG185">
            <v>0</v>
          </cell>
          <cell r="AH185">
            <v>8593.130000000001</v>
          </cell>
        </row>
        <row r="186">
          <cell r="D186">
            <v>70255</v>
          </cell>
          <cell r="E186" t="str">
            <v>Other Prof Fees</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25.75</v>
          </cell>
          <cell r="Y186">
            <v>0</v>
          </cell>
          <cell r="Z186">
            <v>0</v>
          </cell>
          <cell r="AA186">
            <v>0</v>
          </cell>
          <cell r="AB186">
            <v>0</v>
          </cell>
          <cell r="AC186">
            <v>0</v>
          </cell>
          <cell r="AD186">
            <v>0</v>
          </cell>
          <cell r="AE186">
            <v>0</v>
          </cell>
          <cell r="AF186">
            <v>0</v>
          </cell>
          <cell r="AG186">
            <v>0</v>
          </cell>
          <cell r="AH186">
            <v>25.75</v>
          </cell>
        </row>
        <row r="187">
          <cell r="D187">
            <v>70275</v>
          </cell>
          <cell r="E187" t="str">
            <v>Property Taxes</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1049.06</v>
          </cell>
          <cell r="W187">
            <v>0</v>
          </cell>
          <cell r="X187">
            <v>0</v>
          </cell>
          <cell r="Y187">
            <v>0</v>
          </cell>
          <cell r="Z187">
            <v>0</v>
          </cell>
          <cell r="AA187">
            <v>0</v>
          </cell>
          <cell r="AB187">
            <v>0</v>
          </cell>
          <cell r="AC187">
            <v>0</v>
          </cell>
          <cell r="AD187">
            <v>0</v>
          </cell>
          <cell r="AE187">
            <v>0</v>
          </cell>
          <cell r="AF187">
            <v>0</v>
          </cell>
          <cell r="AG187">
            <v>0</v>
          </cell>
          <cell r="AH187">
            <v>1049.06</v>
          </cell>
        </row>
        <row r="188">
          <cell r="D188">
            <v>70302</v>
          </cell>
          <cell r="E188" t="str">
            <v>Computer Supplies</v>
          </cell>
          <cell r="F188">
            <v>0</v>
          </cell>
          <cell r="G188">
            <v>0</v>
          </cell>
          <cell r="H188">
            <v>0</v>
          </cell>
          <cell r="I188">
            <v>0</v>
          </cell>
          <cell r="J188">
            <v>21.34</v>
          </cell>
          <cell r="K188">
            <v>0</v>
          </cell>
          <cell r="L188">
            <v>96.72</v>
          </cell>
          <cell r="M188">
            <v>0</v>
          </cell>
          <cell r="N188">
            <v>0</v>
          </cell>
          <cell r="O188">
            <v>0</v>
          </cell>
          <cell r="P188">
            <v>0</v>
          </cell>
          <cell r="Q188">
            <v>0</v>
          </cell>
          <cell r="R188">
            <v>162.99</v>
          </cell>
          <cell r="S188">
            <v>0</v>
          </cell>
          <cell r="T188">
            <v>162.21</v>
          </cell>
          <cell r="U188">
            <v>0</v>
          </cell>
          <cell r="V188">
            <v>31.14</v>
          </cell>
          <cell r="W188">
            <v>0</v>
          </cell>
          <cell r="X188">
            <v>80.8</v>
          </cell>
          <cell r="Y188">
            <v>0</v>
          </cell>
          <cell r="Z188">
            <v>881.38</v>
          </cell>
          <cell r="AA188">
            <v>0</v>
          </cell>
          <cell r="AB188">
            <v>102.77</v>
          </cell>
          <cell r="AC188">
            <v>0</v>
          </cell>
          <cell r="AD188">
            <v>443.5</v>
          </cell>
          <cell r="AE188">
            <v>0</v>
          </cell>
          <cell r="AF188">
            <v>1063.31</v>
          </cell>
          <cell r="AG188">
            <v>0</v>
          </cell>
          <cell r="AH188">
            <v>3046.1600000000003</v>
          </cell>
        </row>
        <row r="189">
          <cell r="D189">
            <v>70310</v>
          </cell>
          <cell r="E189" t="str">
            <v>Bad Debt Provision</v>
          </cell>
          <cell r="F189">
            <v>0</v>
          </cell>
          <cell r="G189">
            <v>0</v>
          </cell>
          <cell r="H189">
            <v>0</v>
          </cell>
          <cell r="I189">
            <v>0</v>
          </cell>
          <cell r="J189">
            <v>300000</v>
          </cell>
          <cell r="K189">
            <v>0</v>
          </cell>
          <cell r="L189">
            <v>0</v>
          </cell>
          <cell r="M189">
            <v>0</v>
          </cell>
          <cell r="N189">
            <v>0</v>
          </cell>
          <cell r="O189">
            <v>0</v>
          </cell>
          <cell r="P189">
            <v>-300000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row>
        <row r="190">
          <cell r="D190">
            <v>70320</v>
          </cell>
          <cell r="E190" t="str">
            <v>Credit and Collection</v>
          </cell>
          <cell r="F190">
            <v>0</v>
          </cell>
          <cell r="G190">
            <v>0</v>
          </cell>
          <cell r="H190">
            <v>0</v>
          </cell>
          <cell r="I190">
            <v>0</v>
          </cell>
          <cell r="J190">
            <v>4803.13</v>
          </cell>
          <cell r="K190">
            <v>0</v>
          </cell>
          <cell r="L190">
            <v>4534.08</v>
          </cell>
          <cell r="M190">
            <v>0</v>
          </cell>
          <cell r="N190">
            <v>4492.2299999999996</v>
          </cell>
          <cell r="O190">
            <v>0</v>
          </cell>
          <cell r="P190">
            <v>4492.2299999999996</v>
          </cell>
          <cell r="Q190">
            <v>0</v>
          </cell>
          <cell r="R190">
            <v>4570.58</v>
          </cell>
          <cell r="S190">
            <v>0</v>
          </cell>
          <cell r="T190">
            <v>4679.84</v>
          </cell>
          <cell r="U190">
            <v>0</v>
          </cell>
          <cell r="V190">
            <v>4436.7700000000004</v>
          </cell>
          <cell r="W190">
            <v>0</v>
          </cell>
          <cell r="X190">
            <v>4515.8900000000003</v>
          </cell>
          <cell r="Y190">
            <v>0</v>
          </cell>
          <cell r="Z190">
            <v>4367.59</v>
          </cell>
          <cell r="AA190">
            <v>0</v>
          </cell>
          <cell r="AB190">
            <v>4359.04</v>
          </cell>
          <cell r="AC190">
            <v>0</v>
          </cell>
          <cell r="AD190">
            <v>4395.12</v>
          </cell>
          <cell r="AE190">
            <v>0</v>
          </cell>
          <cell r="AF190">
            <v>4393.87</v>
          </cell>
          <cell r="AG190">
            <v>0</v>
          </cell>
          <cell r="AH190">
            <v>54040.369999999988</v>
          </cell>
        </row>
        <row r="191">
          <cell r="D191">
            <v>70330</v>
          </cell>
          <cell r="E191" t="str">
            <v>Equipment/Truck Rodeo</v>
          </cell>
          <cell r="F191">
            <v>0</v>
          </cell>
          <cell r="G191">
            <v>0</v>
          </cell>
          <cell r="H191">
            <v>0</v>
          </cell>
          <cell r="I191">
            <v>0</v>
          </cell>
          <cell r="J191">
            <v>0</v>
          </cell>
          <cell r="K191">
            <v>0</v>
          </cell>
          <cell r="L191">
            <v>0</v>
          </cell>
          <cell r="M191">
            <v>0</v>
          </cell>
          <cell r="N191">
            <v>0</v>
          </cell>
          <cell r="O191">
            <v>0</v>
          </cell>
          <cell r="P191">
            <v>1637</v>
          </cell>
          <cell r="Q191">
            <v>0</v>
          </cell>
          <cell r="R191">
            <v>2507.16</v>
          </cell>
          <cell r="S191">
            <v>0</v>
          </cell>
          <cell r="T191">
            <v>2240.56</v>
          </cell>
          <cell r="U191">
            <v>0</v>
          </cell>
          <cell r="V191">
            <v>38859.879999999997</v>
          </cell>
          <cell r="W191">
            <v>0</v>
          </cell>
          <cell r="X191">
            <v>13419.64</v>
          </cell>
          <cell r="Y191">
            <v>0</v>
          </cell>
          <cell r="Z191">
            <v>-55.23</v>
          </cell>
          <cell r="AA191">
            <v>0</v>
          </cell>
          <cell r="AB191">
            <v>0</v>
          </cell>
          <cell r="AC191">
            <v>0</v>
          </cell>
          <cell r="AD191">
            <v>0</v>
          </cell>
          <cell r="AE191">
            <v>0</v>
          </cell>
          <cell r="AF191">
            <v>0</v>
          </cell>
          <cell r="AG191">
            <v>0</v>
          </cell>
          <cell r="AH191">
            <v>58609.009999999995</v>
          </cell>
        </row>
        <row r="192">
          <cell r="D192">
            <v>70336</v>
          </cell>
          <cell r="E192" t="str">
            <v>Coffee Bar</v>
          </cell>
          <cell r="F192">
            <v>0</v>
          </cell>
          <cell r="G192">
            <v>0</v>
          </cell>
          <cell r="H192">
            <v>0</v>
          </cell>
          <cell r="I192">
            <v>0</v>
          </cell>
          <cell r="J192">
            <v>553.79999999999995</v>
          </cell>
          <cell r="K192">
            <v>0</v>
          </cell>
          <cell r="L192">
            <v>422.52</v>
          </cell>
          <cell r="M192">
            <v>0</v>
          </cell>
          <cell r="N192">
            <v>521.5</v>
          </cell>
          <cell r="O192">
            <v>0</v>
          </cell>
          <cell r="P192">
            <v>269.58999999999997</v>
          </cell>
          <cell r="Q192">
            <v>0</v>
          </cell>
          <cell r="R192">
            <v>456.74</v>
          </cell>
          <cell r="S192">
            <v>0</v>
          </cell>
          <cell r="T192">
            <v>470.58</v>
          </cell>
          <cell r="U192">
            <v>0</v>
          </cell>
          <cell r="V192">
            <v>585.89</v>
          </cell>
          <cell r="W192">
            <v>0</v>
          </cell>
          <cell r="X192">
            <v>58.53</v>
          </cell>
          <cell r="Y192">
            <v>0</v>
          </cell>
          <cell r="Z192">
            <v>618.66</v>
          </cell>
          <cell r="AA192">
            <v>0</v>
          </cell>
          <cell r="AB192">
            <v>424.75</v>
          </cell>
          <cell r="AC192">
            <v>0</v>
          </cell>
          <cell r="AD192">
            <v>970.91</v>
          </cell>
          <cell r="AE192">
            <v>0</v>
          </cell>
          <cell r="AF192">
            <v>1107.83</v>
          </cell>
          <cell r="AG192">
            <v>0</v>
          </cell>
          <cell r="AH192">
            <v>6461.3</v>
          </cell>
        </row>
        <row r="193">
          <cell r="D193">
            <v>70902</v>
          </cell>
          <cell r="E193" t="str">
            <v>Visual Lease Clearing Account</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row>
        <row r="194">
          <cell r="D194">
            <v>70998</v>
          </cell>
          <cell r="E194" t="str">
            <v>Allocation Out - District</v>
          </cell>
          <cell r="F194">
            <v>0</v>
          </cell>
          <cell r="G194">
            <v>0</v>
          </cell>
          <cell r="H194">
            <v>0</v>
          </cell>
          <cell r="I194">
            <v>0</v>
          </cell>
          <cell r="J194">
            <v>-107495.34</v>
          </cell>
          <cell r="K194">
            <v>0</v>
          </cell>
          <cell r="L194">
            <v>-179083.13</v>
          </cell>
          <cell r="M194">
            <v>0</v>
          </cell>
          <cell r="N194">
            <v>-130633.73</v>
          </cell>
          <cell r="O194">
            <v>0</v>
          </cell>
          <cell r="P194">
            <v>-207060.22</v>
          </cell>
          <cell r="Q194">
            <v>0</v>
          </cell>
          <cell r="R194">
            <v>-316015.51</v>
          </cell>
          <cell r="S194">
            <v>0</v>
          </cell>
          <cell r="T194">
            <v>-134168.60999999999</v>
          </cell>
          <cell r="U194">
            <v>0</v>
          </cell>
          <cell r="V194">
            <v>-584480.54</v>
          </cell>
          <cell r="W194">
            <v>0</v>
          </cell>
          <cell r="X194">
            <v>-143426.35</v>
          </cell>
          <cell r="Y194">
            <v>0</v>
          </cell>
          <cell r="Z194">
            <v>-125655.03999999999</v>
          </cell>
          <cell r="AA194">
            <v>0</v>
          </cell>
          <cell r="AB194">
            <v>-121746.44</v>
          </cell>
          <cell r="AC194">
            <v>0</v>
          </cell>
          <cell r="AD194">
            <v>-125769.2</v>
          </cell>
          <cell r="AE194">
            <v>0</v>
          </cell>
          <cell r="AF194">
            <v>-121593.58</v>
          </cell>
          <cell r="AG194">
            <v>0</v>
          </cell>
          <cell r="AH194">
            <v>-2297127.6899999995</v>
          </cell>
        </row>
        <row r="195">
          <cell r="D195">
            <v>0</v>
          </cell>
          <cell r="E195">
            <v>0</v>
          </cell>
          <cell r="F195">
            <v>0</v>
          </cell>
          <cell r="G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row>
        <row r="196">
          <cell r="F196" t="str">
            <v>G&amp;A</v>
          </cell>
          <cell r="J196">
            <v>-718059.97000000009</v>
          </cell>
          <cell r="K196">
            <v>0</v>
          </cell>
          <cell r="L196">
            <v>14912.119999999995</v>
          </cell>
          <cell r="M196">
            <v>0</v>
          </cell>
          <cell r="N196">
            <v>-39318.87999999999</v>
          </cell>
          <cell r="O196">
            <v>0</v>
          </cell>
          <cell r="P196">
            <v>-939374.39</v>
          </cell>
          <cell r="Q196">
            <v>0</v>
          </cell>
          <cell r="R196">
            <v>-35733.130000000005</v>
          </cell>
          <cell r="S196">
            <v>0</v>
          </cell>
          <cell r="T196">
            <v>-27143.459999999977</v>
          </cell>
          <cell r="U196">
            <v>0</v>
          </cell>
          <cell r="V196">
            <v>-374853.67</v>
          </cell>
          <cell r="W196">
            <v>0</v>
          </cell>
          <cell r="X196">
            <v>-26915.459999999992</v>
          </cell>
          <cell r="Y196">
            <v>0</v>
          </cell>
          <cell r="Z196">
            <v>-26915.459999999992</v>
          </cell>
          <cell r="AA196">
            <v>0</v>
          </cell>
          <cell r="AB196">
            <v>-509432.1</v>
          </cell>
          <cell r="AC196">
            <v>0</v>
          </cell>
          <cell r="AD196">
            <v>-26915.460000000006</v>
          </cell>
          <cell r="AE196">
            <v>0</v>
          </cell>
          <cell r="AF196">
            <v>-26117.960000000006</v>
          </cell>
          <cell r="AG196">
            <v>0</v>
          </cell>
          <cell r="AH196">
            <v>-2735867.8199999989</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row>
        <row r="198">
          <cell r="D198">
            <v>70149</v>
          </cell>
          <cell r="E198" t="str">
            <v>Corporate Overhead Allocation In</v>
          </cell>
          <cell r="F198">
            <v>0</v>
          </cell>
          <cell r="G198">
            <v>0</v>
          </cell>
          <cell r="H198">
            <v>0</v>
          </cell>
          <cell r="I198">
            <v>0</v>
          </cell>
          <cell r="J198">
            <v>731567.3</v>
          </cell>
          <cell r="K198">
            <v>0</v>
          </cell>
          <cell r="L198">
            <v>49714.58</v>
          </cell>
          <cell r="M198">
            <v>0</v>
          </cell>
          <cell r="N198">
            <v>49714.58</v>
          </cell>
          <cell r="O198">
            <v>0</v>
          </cell>
          <cell r="P198">
            <v>-124851.24</v>
          </cell>
          <cell r="Q198">
            <v>0</v>
          </cell>
          <cell r="R198">
            <v>49714.58</v>
          </cell>
          <cell r="S198">
            <v>0</v>
          </cell>
          <cell r="T198">
            <v>32106.36</v>
          </cell>
          <cell r="U198">
            <v>0</v>
          </cell>
          <cell r="V198">
            <v>-1553500.08</v>
          </cell>
          <cell r="W198">
            <v>0</v>
          </cell>
          <cell r="X198">
            <v>32106.36</v>
          </cell>
          <cell r="Y198">
            <v>0</v>
          </cell>
          <cell r="Z198">
            <v>32106.36</v>
          </cell>
          <cell r="AA198">
            <v>0</v>
          </cell>
          <cell r="AB198">
            <v>-1330507.6599999999</v>
          </cell>
          <cell r="AC198">
            <v>0</v>
          </cell>
          <cell r="AD198">
            <v>32106.36</v>
          </cell>
          <cell r="AE198">
            <v>0</v>
          </cell>
          <cell r="AF198">
            <v>32106.36</v>
          </cell>
          <cell r="AG198">
            <v>0</v>
          </cell>
          <cell r="AH198">
            <v>-1967616.14</v>
          </cell>
        </row>
        <row r="199">
          <cell r="D199">
            <v>0</v>
          </cell>
          <cell r="E199">
            <v>0</v>
          </cell>
          <cell r="F199">
            <v>0</v>
          </cell>
          <cell r="G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row>
        <row r="200">
          <cell r="F200" t="str">
            <v>Corp Overhead</v>
          </cell>
          <cell r="J200">
            <v>731567.3</v>
          </cell>
          <cell r="K200">
            <v>0</v>
          </cell>
          <cell r="L200">
            <v>49714.58</v>
          </cell>
          <cell r="M200">
            <v>0</v>
          </cell>
          <cell r="N200">
            <v>49714.58</v>
          </cell>
          <cell r="O200">
            <v>0</v>
          </cell>
          <cell r="P200">
            <v>-124851.24</v>
          </cell>
          <cell r="Q200">
            <v>0</v>
          </cell>
          <cell r="R200">
            <v>49714.58</v>
          </cell>
          <cell r="S200">
            <v>0</v>
          </cell>
          <cell r="T200">
            <v>32106.36</v>
          </cell>
          <cell r="U200">
            <v>0</v>
          </cell>
          <cell r="V200">
            <v>-1553500.08</v>
          </cell>
          <cell r="W200">
            <v>0</v>
          </cell>
          <cell r="X200">
            <v>32106.36</v>
          </cell>
          <cell r="Y200">
            <v>0</v>
          </cell>
          <cell r="Z200">
            <v>32106.36</v>
          </cell>
          <cell r="AA200">
            <v>0</v>
          </cell>
          <cell r="AB200">
            <v>-1330507.6599999999</v>
          </cell>
          <cell r="AC200">
            <v>0</v>
          </cell>
          <cell r="AD200">
            <v>32106.36</v>
          </cell>
          <cell r="AE200">
            <v>0</v>
          </cell>
          <cell r="AF200">
            <v>32106.36</v>
          </cell>
          <cell r="AG200">
            <v>0</v>
          </cell>
          <cell r="AH200">
            <v>-1967616.14</v>
          </cell>
        </row>
        <row r="201">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row>
        <row r="202">
          <cell r="E202" t="str">
            <v>Total SG&amp;A</v>
          </cell>
          <cell r="J202">
            <v>-10516.310000000056</v>
          </cell>
          <cell r="K202">
            <v>0</v>
          </cell>
          <cell r="L202">
            <v>64626.7</v>
          </cell>
          <cell r="M202">
            <v>0</v>
          </cell>
          <cell r="N202">
            <v>10395.700000000012</v>
          </cell>
          <cell r="O202">
            <v>0</v>
          </cell>
          <cell r="P202">
            <v>-1064225.6300000001</v>
          </cell>
          <cell r="Q202">
            <v>0</v>
          </cell>
          <cell r="R202">
            <v>14150.769999999997</v>
          </cell>
          <cell r="S202">
            <v>0</v>
          </cell>
          <cell r="T202">
            <v>4962.9000000000233</v>
          </cell>
          <cell r="U202">
            <v>0</v>
          </cell>
          <cell r="V202">
            <v>-1928353.75</v>
          </cell>
          <cell r="W202">
            <v>0</v>
          </cell>
          <cell r="X202">
            <v>5190.9000000000087</v>
          </cell>
          <cell r="Y202">
            <v>0</v>
          </cell>
          <cell r="Z202">
            <v>5190.9000000000087</v>
          </cell>
          <cell r="AA202">
            <v>0</v>
          </cell>
          <cell r="AB202">
            <v>-1839939.7599999998</v>
          </cell>
          <cell r="AC202">
            <v>0</v>
          </cell>
          <cell r="AD202">
            <v>5190.8999999999942</v>
          </cell>
          <cell r="AE202">
            <v>0</v>
          </cell>
          <cell r="AF202">
            <v>5988.3999999999942</v>
          </cell>
          <cell r="AG202">
            <v>0</v>
          </cell>
          <cell r="AH202">
            <v>-4727338.2799999984</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row>
        <row r="204">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row>
        <row r="205">
          <cell r="E205" t="str">
            <v>EBITDA</v>
          </cell>
          <cell r="F205">
            <v>0</v>
          </cell>
          <cell r="G205">
            <v>0</v>
          </cell>
          <cell r="H205">
            <v>0</v>
          </cell>
          <cell r="I205">
            <v>0</v>
          </cell>
          <cell r="J205">
            <v>488349.49</v>
          </cell>
          <cell r="K205">
            <v>0</v>
          </cell>
          <cell r="L205">
            <v>-609685.07999999996</v>
          </cell>
          <cell r="M205">
            <v>0</v>
          </cell>
          <cell r="N205">
            <v>-736294.23</v>
          </cell>
          <cell r="O205">
            <v>0</v>
          </cell>
          <cell r="P205">
            <v>2677822.71</v>
          </cell>
          <cell r="Q205">
            <v>0</v>
          </cell>
          <cell r="R205">
            <v>-1093992.4099999999</v>
          </cell>
          <cell r="S205">
            <v>0</v>
          </cell>
          <cell r="T205">
            <v>-65677.899999999907</v>
          </cell>
          <cell r="U205">
            <v>0</v>
          </cell>
          <cell r="V205">
            <v>3775072.06</v>
          </cell>
          <cell r="W205">
            <v>0</v>
          </cell>
          <cell r="X205">
            <v>-1016974.1900000001</v>
          </cell>
          <cell r="Y205">
            <v>0</v>
          </cell>
          <cell r="Z205">
            <v>-867317.12</v>
          </cell>
          <cell r="AA205">
            <v>0</v>
          </cell>
          <cell r="AB205">
            <v>2635758.8499999996</v>
          </cell>
          <cell r="AC205">
            <v>0</v>
          </cell>
          <cell r="AD205">
            <v>-878023.22</v>
          </cell>
          <cell r="AE205">
            <v>0</v>
          </cell>
          <cell r="AF205">
            <v>-656635.50000000012</v>
          </cell>
          <cell r="AG205">
            <v>0</v>
          </cell>
          <cell r="AH205">
            <v>3652403.4599999981</v>
          </cell>
        </row>
        <row r="206">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row>
        <row r="207">
          <cell r="E207" t="str">
            <v>Watch list EBITDA</v>
          </cell>
          <cell r="F207">
            <v>0</v>
          </cell>
          <cell r="G207">
            <v>0</v>
          </cell>
          <cell r="H207">
            <v>0</v>
          </cell>
          <cell r="I207">
            <v>0</v>
          </cell>
          <cell r="J207">
            <v>713959.83999999985</v>
          </cell>
          <cell r="K207">
            <v>0</v>
          </cell>
          <cell r="L207">
            <v>-281163.71999999997</v>
          </cell>
          <cell r="M207">
            <v>0</v>
          </cell>
          <cell r="N207">
            <v>-214415.88</v>
          </cell>
          <cell r="O207">
            <v>0</v>
          </cell>
          <cell r="P207">
            <v>2786189.51</v>
          </cell>
          <cell r="Q207">
            <v>0</v>
          </cell>
          <cell r="R207">
            <v>-234474.46999999997</v>
          </cell>
          <cell r="S207">
            <v>0</v>
          </cell>
          <cell r="T207">
            <v>442155.25000000012</v>
          </cell>
          <cell r="U207">
            <v>0</v>
          </cell>
          <cell r="V207">
            <v>2835588.8200000003</v>
          </cell>
          <cell r="W207">
            <v>0</v>
          </cell>
          <cell r="X207">
            <v>-232324.08000000007</v>
          </cell>
          <cell r="Y207">
            <v>0</v>
          </cell>
          <cell r="Z207">
            <v>-226166.76</v>
          </cell>
          <cell r="AA207">
            <v>0</v>
          </cell>
          <cell r="AB207">
            <v>3536121.76</v>
          </cell>
          <cell r="AC207">
            <v>0</v>
          </cell>
          <cell r="AD207">
            <v>-265778.93999999994</v>
          </cell>
          <cell r="AE207">
            <v>0</v>
          </cell>
          <cell r="AF207">
            <v>-204666.36000000004</v>
          </cell>
          <cell r="AG207">
            <v>0</v>
          </cell>
          <cell r="AH207">
            <v>8655024.9699999988</v>
          </cell>
        </row>
        <row r="208">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row>
        <row r="209">
          <cell r="D209">
            <v>51260</v>
          </cell>
          <cell r="E209" t="str">
            <v>Depreciation</v>
          </cell>
          <cell r="F209">
            <v>0</v>
          </cell>
          <cell r="G209">
            <v>0</v>
          </cell>
          <cell r="H209">
            <v>0</v>
          </cell>
          <cell r="I209">
            <v>0</v>
          </cell>
          <cell r="J209">
            <v>12.27</v>
          </cell>
          <cell r="K209">
            <v>0</v>
          </cell>
          <cell r="L209">
            <v>12.27</v>
          </cell>
          <cell r="M209">
            <v>0</v>
          </cell>
          <cell r="N209">
            <v>12.27</v>
          </cell>
          <cell r="O209">
            <v>0</v>
          </cell>
          <cell r="P209">
            <v>12.26</v>
          </cell>
          <cell r="Q209">
            <v>0</v>
          </cell>
          <cell r="R209">
            <v>12.27</v>
          </cell>
          <cell r="S209">
            <v>0</v>
          </cell>
          <cell r="T209">
            <v>12.27</v>
          </cell>
          <cell r="U209">
            <v>0</v>
          </cell>
          <cell r="V209">
            <v>12.27</v>
          </cell>
          <cell r="W209">
            <v>0</v>
          </cell>
          <cell r="X209">
            <v>12.26</v>
          </cell>
          <cell r="Y209">
            <v>0</v>
          </cell>
          <cell r="Z209">
            <v>12.27</v>
          </cell>
          <cell r="AA209">
            <v>0</v>
          </cell>
          <cell r="AB209">
            <v>12.27</v>
          </cell>
          <cell r="AC209">
            <v>0</v>
          </cell>
          <cell r="AD209">
            <v>12.27</v>
          </cell>
          <cell r="AE209">
            <v>0</v>
          </cell>
          <cell r="AF209">
            <v>12.26</v>
          </cell>
          <cell r="AG209">
            <v>0</v>
          </cell>
          <cell r="AH209">
            <v>147.21</v>
          </cell>
        </row>
        <row r="210">
          <cell r="D210">
            <v>57260</v>
          </cell>
          <cell r="E210" t="str">
            <v>Depreciation</v>
          </cell>
          <cell r="F210">
            <v>0</v>
          </cell>
          <cell r="G210">
            <v>0</v>
          </cell>
          <cell r="H210">
            <v>0</v>
          </cell>
          <cell r="I210">
            <v>0</v>
          </cell>
          <cell r="J210">
            <v>2039.92</v>
          </cell>
          <cell r="K210">
            <v>0</v>
          </cell>
          <cell r="L210">
            <v>2039.93</v>
          </cell>
          <cell r="M210">
            <v>0</v>
          </cell>
          <cell r="N210">
            <v>2039.92</v>
          </cell>
          <cell r="O210">
            <v>0</v>
          </cell>
          <cell r="P210">
            <v>2039.95</v>
          </cell>
          <cell r="Q210">
            <v>0</v>
          </cell>
          <cell r="R210">
            <v>2039.9</v>
          </cell>
          <cell r="S210">
            <v>0</v>
          </cell>
          <cell r="T210">
            <v>2039.92</v>
          </cell>
          <cell r="U210">
            <v>0</v>
          </cell>
          <cell r="V210">
            <v>2039.94</v>
          </cell>
          <cell r="W210">
            <v>0</v>
          </cell>
          <cell r="X210">
            <v>2039.87</v>
          </cell>
          <cell r="Y210">
            <v>0</v>
          </cell>
          <cell r="Z210">
            <v>1731.87</v>
          </cell>
          <cell r="AA210">
            <v>0</v>
          </cell>
          <cell r="AB210">
            <v>1731.89</v>
          </cell>
          <cell r="AC210">
            <v>0</v>
          </cell>
          <cell r="AD210">
            <v>1731.9</v>
          </cell>
          <cell r="AE210">
            <v>0</v>
          </cell>
          <cell r="AF210">
            <v>1731.87</v>
          </cell>
          <cell r="AG210">
            <v>0</v>
          </cell>
          <cell r="AH210">
            <v>23246.879999999997</v>
          </cell>
        </row>
        <row r="211">
          <cell r="D211">
            <v>70260</v>
          </cell>
          <cell r="E211" t="str">
            <v>Depreciation</v>
          </cell>
          <cell r="F211">
            <v>0</v>
          </cell>
          <cell r="G211">
            <v>0</v>
          </cell>
          <cell r="H211">
            <v>0</v>
          </cell>
          <cell r="I211">
            <v>0</v>
          </cell>
          <cell r="J211">
            <v>3636.17</v>
          </cell>
          <cell r="K211">
            <v>0</v>
          </cell>
          <cell r="L211">
            <v>3636.22</v>
          </cell>
          <cell r="M211">
            <v>0</v>
          </cell>
          <cell r="N211">
            <v>3614.42</v>
          </cell>
          <cell r="O211">
            <v>0</v>
          </cell>
          <cell r="P211">
            <v>3555.61</v>
          </cell>
          <cell r="Q211">
            <v>0</v>
          </cell>
          <cell r="R211">
            <v>3737.57</v>
          </cell>
          <cell r="S211">
            <v>0</v>
          </cell>
          <cell r="T211">
            <v>3664.18</v>
          </cell>
          <cell r="U211">
            <v>0</v>
          </cell>
          <cell r="V211">
            <v>3664.27</v>
          </cell>
          <cell r="W211">
            <v>0</v>
          </cell>
          <cell r="X211">
            <v>3588.15</v>
          </cell>
          <cell r="Y211">
            <v>0</v>
          </cell>
          <cell r="Z211">
            <v>3548.55</v>
          </cell>
          <cell r="AA211">
            <v>0</v>
          </cell>
          <cell r="AB211">
            <v>3341.42</v>
          </cell>
          <cell r="AC211">
            <v>0</v>
          </cell>
          <cell r="AD211">
            <v>3308.94</v>
          </cell>
          <cell r="AE211">
            <v>0</v>
          </cell>
          <cell r="AF211">
            <v>3308.85</v>
          </cell>
          <cell r="AG211">
            <v>0</v>
          </cell>
          <cell r="AH211">
            <v>42604.35</v>
          </cell>
        </row>
        <row r="212">
          <cell r="D212">
            <v>0</v>
          </cell>
          <cell r="E212">
            <v>0</v>
          </cell>
          <cell r="F212">
            <v>0</v>
          </cell>
          <cell r="G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row>
        <row r="213">
          <cell r="F213" t="str">
            <v>Depreciation</v>
          </cell>
          <cell r="J213">
            <v>5688.3600000000006</v>
          </cell>
          <cell r="K213">
            <v>0</v>
          </cell>
          <cell r="L213">
            <v>5688.42</v>
          </cell>
          <cell r="M213">
            <v>0</v>
          </cell>
          <cell r="N213">
            <v>5666.6100000000006</v>
          </cell>
          <cell r="O213">
            <v>0</v>
          </cell>
          <cell r="P213">
            <v>5607.82</v>
          </cell>
          <cell r="Q213">
            <v>0</v>
          </cell>
          <cell r="R213">
            <v>5789.74</v>
          </cell>
          <cell r="S213">
            <v>0</v>
          </cell>
          <cell r="T213">
            <v>5716.37</v>
          </cell>
          <cell r="U213">
            <v>0</v>
          </cell>
          <cell r="V213">
            <v>5716.48</v>
          </cell>
          <cell r="W213">
            <v>0</v>
          </cell>
          <cell r="X213">
            <v>5640.2800000000007</v>
          </cell>
          <cell r="Y213">
            <v>0</v>
          </cell>
          <cell r="Z213">
            <v>5292.6900000000005</v>
          </cell>
          <cell r="AA213">
            <v>0</v>
          </cell>
          <cell r="AB213">
            <v>5085.58</v>
          </cell>
          <cell r="AC213">
            <v>0</v>
          </cell>
          <cell r="AD213">
            <v>5053.1100000000006</v>
          </cell>
          <cell r="AE213">
            <v>0</v>
          </cell>
          <cell r="AF213">
            <v>5052.9799999999996</v>
          </cell>
          <cell r="AG213">
            <v>0</v>
          </cell>
          <cell r="AH213">
            <v>65998.44</v>
          </cell>
        </row>
        <row r="214">
          <cell r="F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row>
        <row r="215">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row>
        <row r="216">
          <cell r="D216">
            <v>0</v>
          </cell>
          <cell r="E216">
            <v>0</v>
          </cell>
          <cell r="F216">
            <v>0</v>
          </cell>
          <cell r="G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row>
        <row r="217">
          <cell r="F217" t="str">
            <v>Airspace Amort</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row>
        <row r="220">
          <cell r="D220">
            <v>0</v>
          </cell>
          <cell r="E220">
            <v>0</v>
          </cell>
          <cell r="F220">
            <v>0</v>
          </cell>
          <cell r="G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row>
        <row r="221">
          <cell r="F221" t="str">
            <v>Intangible Amort</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row>
        <row r="223">
          <cell r="E223" t="str">
            <v>Total DDA</v>
          </cell>
          <cell r="J223">
            <v>5688.3600000000006</v>
          </cell>
          <cell r="K223">
            <v>0</v>
          </cell>
          <cell r="L223">
            <v>5688.42</v>
          </cell>
          <cell r="M223">
            <v>0</v>
          </cell>
          <cell r="N223">
            <v>5666.6100000000006</v>
          </cell>
          <cell r="O223">
            <v>0</v>
          </cell>
          <cell r="P223">
            <v>5607.82</v>
          </cell>
          <cell r="Q223">
            <v>0</v>
          </cell>
          <cell r="R223">
            <v>5789.74</v>
          </cell>
          <cell r="S223">
            <v>0</v>
          </cell>
          <cell r="T223">
            <v>5716.37</v>
          </cell>
          <cell r="U223">
            <v>0</v>
          </cell>
          <cell r="V223">
            <v>5716.48</v>
          </cell>
          <cell r="W223">
            <v>0</v>
          </cell>
          <cell r="X223">
            <v>5640.2800000000007</v>
          </cell>
          <cell r="Y223">
            <v>0</v>
          </cell>
          <cell r="Z223">
            <v>5292.6900000000005</v>
          </cell>
          <cell r="AA223">
            <v>0</v>
          </cell>
          <cell r="AB223">
            <v>5085.58</v>
          </cell>
          <cell r="AC223">
            <v>0</v>
          </cell>
          <cell r="AD223">
            <v>5053.1100000000006</v>
          </cell>
          <cell r="AE223">
            <v>0</v>
          </cell>
          <cell r="AF223">
            <v>5052.9799999999996</v>
          </cell>
          <cell r="AG223">
            <v>0</v>
          </cell>
          <cell r="AH223">
            <v>65998.44</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row>
        <row r="225">
          <cell r="E225" t="str">
            <v>EBIT From Ops</v>
          </cell>
          <cell r="J225">
            <v>482661.13</v>
          </cell>
          <cell r="K225">
            <v>0</v>
          </cell>
          <cell r="L225">
            <v>-615373.5</v>
          </cell>
          <cell r="M225">
            <v>0</v>
          </cell>
          <cell r="N225">
            <v>-741960.84</v>
          </cell>
          <cell r="O225">
            <v>0</v>
          </cell>
          <cell r="P225">
            <v>2672214.89</v>
          </cell>
          <cell r="Q225">
            <v>0</v>
          </cell>
          <cell r="R225">
            <v>-1099782.1499999999</v>
          </cell>
          <cell r="S225">
            <v>0</v>
          </cell>
          <cell r="T225">
            <v>-71394.269999999902</v>
          </cell>
          <cell r="U225">
            <v>0</v>
          </cell>
          <cell r="V225">
            <v>3769355.58</v>
          </cell>
          <cell r="W225">
            <v>0</v>
          </cell>
          <cell r="X225">
            <v>-1022614.4700000001</v>
          </cell>
          <cell r="Y225">
            <v>0</v>
          </cell>
          <cell r="Z225">
            <v>-872609.80999999994</v>
          </cell>
          <cell r="AA225">
            <v>0</v>
          </cell>
          <cell r="AB225">
            <v>2630673.2699999996</v>
          </cell>
          <cell r="AC225">
            <v>0</v>
          </cell>
          <cell r="AD225">
            <v>-883076.33</v>
          </cell>
          <cell r="AE225">
            <v>0</v>
          </cell>
          <cell r="AF225">
            <v>-661688.4800000001</v>
          </cell>
          <cell r="AG225">
            <v>0</v>
          </cell>
          <cell r="AH225">
            <v>3586405.0199999982</v>
          </cell>
        </row>
        <row r="226">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row>
        <row r="228">
          <cell r="D228">
            <v>0</v>
          </cell>
          <cell r="E228">
            <v>0</v>
          </cell>
          <cell r="F228">
            <v>0</v>
          </cell>
          <cell r="G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row>
        <row r="229">
          <cell r="F229" t="str">
            <v>Interest Exp</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row>
        <row r="230">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row>
        <row r="231">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row>
        <row r="232">
          <cell r="D232">
            <v>0</v>
          </cell>
          <cell r="E232">
            <v>0</v>
          </cell>
          <cell r="F232">
            <v>0</v>
          </cell>
          <cell r="G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row>
        <row r="233">
          <cell r="F233" t="str">
            <v>Interest Income</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row>
        <row r="235">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row>
        <row r="236">
          <cell r="D236">
            <v>0</v>
          </cell>
          <cell r="E236">
            <v>0</v>
          </cell>
          <cell r="F236">
            <v>0</v>
          </cell>
          <cell r="G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row>
        <row r="237">
          <cell r="F237" t="str">
            <v>Other Inc/Exp</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row>
        <row r="239">
          <cell r="E239" t="str">
            <v>NI b/ Taxes &amp; Extra</v>
          </cell>
          <cell r="J239">
            <v>482661.13</v>
          </cell>
          <cell r="K239">
            <v>0</v>
          </cell>
          <cell r="L239">
            <v>-615373.5</v>
          </cell>
          <cell r="M239">
            <v>0</v>
          </cell>
          <cell r="N239">
            <v>-741960.84</v>
          </cell>
          <cell r="O239">
            <v>0</v>
          </cell>
          <cell r="P239">
            <v>2672214.89</v>
          </cell>
          <cell r="Q239">
            <v>0</v>
          </cell>
          <cell r="R239">
            <v>-1099782.1499999999</v>
          </cell>
          <cell r="S239">
            <v>0</v>
          </cell>
          <cell r="T239">
            <v>-71394.269999999902</v>
          </cell>
          <cell r="U239">
            <v>0</v>
          </cell>
          <cell r="V239">
            <v>3769355.58</v>
          </cell>
          <cell r="W239">
            <v>0</v>
          </cell>
          <cell r="X239">
            <v>-1022614.4700000001</v>
          </cell>
          <cell r="Y239">
            <v>0</v>
          </cell>
          <cell r="Z239">
            <v>-872609.80999999994</v>
          </cell>
          <cell r="AA239">
            <v>0</v>
          </cell>
          <cell r="AB239">
            <v>2630673.2699999996</v>
          </cell>
          <cell r="AC239">
            <v>0</v>
          </cell>
          <cell r="AD239">
            <v>-883076.33</v>
          </cell>
          <cell r="AE239">
            <v>0</v>
          </cell>
          <cell r="AF239">
            <v>-661688.4800000001</v>
          </cell>
          <cell r="AG239">
            <v>0</v>
          </cell>
          <cell r="AH239">
            <v>3586405.0199999982</v>
          </cell>
        </row>
        <row r="240">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row>
        <row r="241">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row>
        <row r="242">
          <cell r="D242">
            <v>0</v>
          </cell>
          <cell r="E242">
            <v>0</v>
          </cell>
          <cell r="F242">
            <v>0</v>
          </cell>
          <cell r="G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row>
        <row r="243">
          <cell r="F243" t="str">
            <v>Extra. Items</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row>
        <row r="244">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row>
        <row r="245">
          <cell r="E245" t="str">
            <v>NI b/ Taxes</v>
          </cell>
          <cell r="J245">
            <v>482661.13</v>
          </cell>
          <cell r="K245">
            <v>0</v>
          </cell>
          <cell r="L245">
            <v>-615373.5</v>
          </cell>
          <cell r="M245">
            <v>0</v>
          </cell>
          <cell r="N245">
            <v>-741960.84</v>
          </cell>
          <cell r="O245">
            <v>0</v>
          </cell>
          <cell r="P245">
            <v>2672214.89</v>
          </cell>
          <cell r="Q245">
            <v>0</v>
          </cell>
          <cell r="R245">
            <v>-1099782.1499999999</v>
          </cell>
          <cell r="S245">
            <v>0</v>
          </cell>
          <cell r="T245">
            <v>-71394.269999999902</v>
          </cell>
          <cell r="U245">
            <v>0</v>
          </cell>
          <cell r="V245">
            <v>3769355.58</v>
          </cell>
          <cell r="W245">
            <v>0</v>
          </cell>
          <cell r="X245">
            <v>-1022614.4700000001</v>
          </cell>
          <cell r="Y245">
            <v>0</v>
          </cell>
          <cell r="Z245">
            <v>-872609.80999999994</v>
          </cell>
          <cell r="AA245">
            <v>0</v>
          </cell>
          <cell r="AB245">
            <v>2630673.2699999996</v>
          </cell>
          <cell r="AC245">
            <v>0</v>
          </cell>
          <cell r="AD245">
            <v>-883076.33</v>
          </cell>
          <cell r="AE245">
            <v>0</v>
          </cell>
          <cell r="AF245">
            <v>-661688.4800000001</v>
          </cell>
          <cell r="AG245">
            <v>0</v>
          </cell>
          <cell r="AH245">
            <v>3586405.0199999982</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row>
        <row r="247">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row>
        <row r="248">
          <cell r="D248">
            <v>0</v>
          </cell>
          <cell r="E248">
            <v>0</v>
          </cell>
          <cell r="F248">
            <v>0</v>
          </cell>
          <cell r="G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row>
        <row r="249">
          <cell r="F249" t="str">
            <v>Taxes</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row>
        <row r="251">
          <cell r="E251" t="str">
            <v>Net Income</v>
          </cell>
          <cell r="J251">
            <v>482661.13</v>
          </cell>
          <cell r="K251">
            <v>0</v>
          </cell>
          <cell r="L251">
            <v>-615373.5</v>
          </cell>
          <cell r="M251">
            <v>0</v>
          </cell>
          <cell r="N251">
            <v>-741960.84</v>
          </cell>
          <cell r="O251">
            <v>0</v>
          </cell>
          <cell r="P251">
            <v>2672214.89</v>
          </cell>
          <cell r="Q251">
            <v>0</v>
          </cell>
          <cell r="R251">
            <v>-1099782.1499999999</v>
          </cell>
          <cell r="S251">
            <v>0</v>
          </cell>
          <cell r="T251">
            <v>-71394.269999999902</v>
          </cell>
          <cell r="U251">
            <v>0</v>
          </cell>
          <cell r="V251">
            <v>3769355.58</v>
          </cell>
          <cell r="W251">
            <v>0</v>
          </cell>
          <cell r="X251">
            <v>-1022614.4700000001</v>
          </cell>
          <cell r="Y251">
            <v>0</v>
          </cell>
          <cell r="Z251">
            <v>-872609.80999999994</v>
          </cell>
          <cell r="AA251">
            <v>0</v>
          </cell>
          <cell r="AB251">
            <v>2630673.2699999996</v>
          </cell>
          <cell r="AC251">
            <v>0</v>
          </cell>
          <cell r="AD251">
            <v>-883076.33</v>
          </cell>
          <cell r="AE251">
            <v>0</v>
          </cell>
          <cell r="AF251">
            <v>-661688.4800000001</v>
          </cell>
          <cell r="AG251">
            <v>0</v>
          </cell>
          <cell r="AH251">
            <v>3586405.0199999982</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row>
        <row r="254">
          <cell r="D254">
            <v>0</v>
          </cell>
          <cell r="E254">
            <v>0</v>
          </cell>
          <cell r="F254">
            <v>0</v>
          </cell>
          <cell r="G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row>
        <row r="255">
          <cell r="F255" t="str">
            <v>Non Controlling Int</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row>
        <row r="256">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row>
        <row r="257">
          <cell r="E257" t="str">
            <v>Net Income Attrib</v>
          </cell>
          <cell r="J257">
            <v>482661.13</v>
          </cell>
          <cell r="K257">
            <v>0</v>
          </cell>
          <cell r="L257">
            <v>-615373.5</v>
          </cell>
          <cell r="M257">
            <v>0</v>
          </cell>
          <cell r="N257">
            <v>-741960.84</v>
          </cell>
          <cell r="O257">
            <v>0</v>
          </cell>
          <cell r="P257">
            <v>2672214.89</v>
          </cell>
          <cell r="Q257">
            <v>0</v>
          </cell>
          <cell r="R257">
            <v>-1099782.1499999999</v>
          </cell>
          <cell r="S257">
            <v>0</v>
          </cell>
          <cell r="T257">
            <v>-71394.269999999902</v>
          </cell>
          <cell r="U257">
            <v>0</v>
          </cell>
          <cell r="V257">
            <v>3769355.58</v>
          </cell>
          <cell r="W257">
            <v>0</v>
          </cell>
          <cell r="X257">
            <v>-1022614.4700000001</v>
          </cell>
          <cell r="Y257">
            <v>0</v>
          </cell>
          <cell r="Z257">
            <v>-872609.80999999994</v>
          </cell>
          <cell r="AA257">
            <v>0</v>
          </cell>
          <cell r="AB257">
            <v>2630673.2699999996</v>
          </cell>
          <cell r="AC257">
            <v>0</v>
          </cell>
          <cell r="AD257">
            <v>-883076.33</v>
          </cell>
          <cell r="AE257">
            <v>0</v>
          </cell>
          <cell r="AF257">
            <v>-661688.4800000001</v>
          </cell>
          <cell r="AG257">
            <v>0</v>
          </cell>
          <cell r="AH257">
            <v>3586405.0199999982</v>
          </cell>
        </row>
        <row r="258">
          <cell r="D258">
            <v>0</v>
          </cell>
          <cell r="E258">
            <v>0</v>
          </cell>
          <cell r="F258">
            <v>0</v>
          </cell>
          <cell r="G258">
            <v>0</v>
          </cell>
          <cell r="H258">
            <v>0</v>
          </cell>
          <cell r="I258">
            <v>0</v>
          </cell>
          <cell r="K258">
            <v>0</v>
          </cell>
          <cell r="M258">
            <v>0</v>
          </cell>
          <cell r="O258">
            <v>0</v>
          </cell>
          <cell r="Q258">
            <v>0</v>
          </cell>
          <cell r="S258">
            <v>0</v>
          </cell>
          <cell r="U258">
            <v>0</v>
          </cell>
          <cell r="W258">
            <v>0</v>
          </cell>
          <cell r="Y258">
            <v>0</v>
          </cell>
          <cell r="AA258">
            <v>0</v>
          </cell>
          <cell r="AC258">
            <v>0</v>
          </cell>
          <cell r="AE258">
            <v>0</v>
          </cell>
          <cell r="AG258">
            <v>0</v>
          </cell>
        </row>
        <row r="260">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row>
        <row r="261">
          <cell r="E261" t="str">
            <v>Data Not Included</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row>
        <row r="262">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row>
        <row r="263">
          <cell r="D263">
            <v>0</v>
          </cell>
          <cell r="E263">
            <v>0</v>
          </cell>
          <cell r="F263">
            <v>0</v>
          </cell>
          <cell r="G263">
            <v>0</v>
          </cell>
          <cell r="M263">
            <v>0</v>
          </cell>
          <cell r="O263">
            <v>0</v>
          </cell>
          <cell r="S263">
            <v>0</v>
          </cell>
          <cell r="U263">
            <v>0</v>
          </cell>
          <cell r="Y263">
            <v>0</v>
          </cell>
          <cell r="AA263">
            <v>0</v>
          </cell>
          <cell r="AE263">
            <v>0</v>
          </cell>
          <cell r="AG263">
            <v>0</v>
          </cell>
        </row>
        <row r="264">
          <cell r="D264">
            <v>0</v>
          </cell>
          <cell r="E264">
            <v>0</v>
          </cell>
          <cell r="F264">
            <v>0</v>
          </cell>
          <cell r="G264">
            <v>0</v>
          </cell>
          <cell r="M264">
            <v>0</v>
          </cell>
          <cell r="O264">
            <v>0</v>
          </cell>
          <cell r="S264">
            <v>0</v>
          </cell>
          <cell r="U264">
            <v>0</v>
          </cell>
          <cell r="Y264">
            <v>0</v>
          </cell>
          <cell r="AA264">
            <v>0</v>
          </cell>
          <cell r="AE264">
            <v>0</v>
          </cell>
          <cell r="AF264" t="str">
            <v>Check</v>
          </cell>
          <cell r="AG264">
            <v>0</v>
          </cell>
          <cell r="AH264">
            <v>0</v>
          </cell>
        </row>
        <row r="265">
          <cell r="D265">
            <v>0</v>
          </cell>
          <cell r="E265">
            <v>0</v>
          </cell>
          <cell r="F265">
            <v>0</v>
          </cell>
          <cell r="G265">
            <v>0</v>
          </cell>
          <cell r="H265">
            <v>0</v>
          </cell>
          <cell r="I265">
            <v>0</v>
          </cell>
          <cell r="K265">
            <v>0</v>
          </cell>
          <cell r="M265">
            <v>0</v>
          </cell>
          <cell r="O265">
            <v>0</v>
          </cell>
          <cell r="Q265">
            <v>0</v>
          </cell>
          <cell r="S265">
            <v>0</v>
          </cell>
          <cell r="U265">
            <v>0</v>
          </cell>
          <cell r="W265">
            <v>0</v>
          </cell>
          <cell r="Y265">
            <v>0</v>
          </cell>
          <cell r="AA265">
            <v>0</v>
          </cell>
          <cell r="AC265">
            <v>0</v>
          </cell>
          <cell r="AE265">
            <v>0</v>
          </cell>
          <cell r="AG265">
            <v>0</v>
          </cell>
        </row>
        <row r="266">
          <cell r="D266">
            <v>0</v>
          </cell>
          <cell r="E266">
            <v>0</v>
          </cell>
          <cell r="F266">
            <v>0</v>
          </cell>
          <cell r="G266">
            <v>0</v>
          </cell>
          <cell r="H266">
            <v>0</v>
          </cell>
          <cell r="I266">
            <v>0</v>
          </cell>
          <cell r="K266">
            <v>0</v>
          </cell>
          <cell r="M266">
            <v>0</v>
          </cell>
          <cell r="O266">
            <v>0</v>
          </cell>
          <cell r="Q266">
            <v>0</v>
          </cell>
          <cell r="S266">
            <v>0</v>
          </cell>
          <cell r="U266">
            <v>0</v>
          </cell>
          <cell r="V266">
            <v>-3911626.33</v>
          </cell>
          <cell r="W266">
            <v>0</v>
          </cell>
          <cell r="X266">
            <v>886891.52000000002</v>
          </cell>
          <cell r="Y266">
            <v>0</v>
          </cell>
          <cell r="Z266">
            <v>743044.17999999993</v>
          </cell>
          <cell r="AA266">
            <v>0</v>
          </cell>
          <cell r="AB266">
            <v>-2761456.9999999995</v>
          </cell>
          <cell r="AC266">
            <v>0</v>
          </cell>
          <cell r="AD266">
            <v>743229.23</v>
          </cell>
          <cell r="AE266">
            <v>0</v>
          </cell>
          <cell r="AF266">
            <v>525090.04</v>
          </cell>
          <cell r="AG266">
            <v>0</v>
          </cell>
          <cell r="AH266">
            <v>-5173870.4199999981</v>
          </cell>
        </row>
        <row r="267">
          <cell r="D267">
            <v>0</v>
          </cell>
          <cell r="E267">
            <v>0</v>
          </cell>
          <cell r="F267">
            <v>0</v>
          </cell>
          <cell r="G267">
            <v>0</v>
          </cell>
          <cell r="H267">
            <v>0</v>
          </cell>
          <cell r="I267">
            <v>0</v>
          </cell>
          <cell r="K267">
            <v>0</v>
          </cell>
          <cell r="M267">
            <v>0</v>
          </cell>
          <cell r="O267">
            <v>0</v>
          </cell>
          <cell r="Q267">
            <v>0</v>
          </cell>
          <cell r="S267">
            <v>0</v>
          </cell>
          <cell r="U267">
            <v>0</v>
          </cell>
          <cell r="V267">
            <v>27.494241296963711</v>
          </cell>
          <cell r="W267" t="e">
            <v>#DIV/0!</v>
          </cell>
          <cell r="X267">
            <v>-6.5345729664732453</v>
          </cell>
          <cell r="Y267">
            <v>0</v>
          </cell>
          <cell r="Z267">
            <v>-5.7348864818547938</v>
          </cell>
          <cell r="AA267">
            <v>0</v>
          </cell>
          <cell r="AB267">
            <v>21.114682996118855</v>
          </cell>
          <cell r="AC267">
            <v>0</v>
          </cell>
          <cell r="AD267">
            <v>-5.3145844997858376</v>
          </cell>
          <cell r="AE267">
            <v>0</v>
          </cell>
          <cell r="AF267">
            <v>-3.8440412643072648</v>
          </cell>
          <cell r="AG267">
            <v>0</v>
          </cell>
          <cell r="AH267">
            <v>3.2592020084343241</v>
          </cell>
        </row>
        <row r="268">
          <cell r="D268">
            <v>0</v>
          </cell>
          <cell r="E268">
            <v>0</v>
          </cell>
          <cell r="F268">
            <v>0</v>
          </cell>
          <cell r="G268">
            <v>0</v>
          </cell>
          <cell r="H268">
            <v>0</v>
          </cell>
          <cell r="I268">
            <v>0</v>
          </cell>
          <cell r="K268">
            <v>0</v>
          </cell>
          <cell r="M268">
            <v>0</v>
          </cell>
          <cell r="O268">
            <v>0</v>
          </cell>
          <cell r="Q268">
            <v>0</v>
          </cell>
          <cell r="S268">
            <v>0</v>
          </cell>
          <cell r="U268">
            <v>0</v>
          </cell>
          <cell r="W268">
            <v>0</v>
          </cell>
          <cell r="Y268">
            <v>0</v>
          </cell>
          <cell r="AA268">
            <v>0</v>
          </cell>
          <cell r="AC268">
            <v>0</v>
          </cell>
          <cell r="AE268">
            <v>0</v>
          </cell>
          <cell r="AG268">
            <v>0</v>
          </cell>
        </row>
        <row r="269">
          <cell r="D269">
            <v>0</v>
          </cell>
          <cell r="E269">
            <v>0</v>
          </cell>
          <cell r="F269">
            <v>0</v>
          </cell>
          <cell r="G269">
            <v>0</v>
          </cell>
          <cell r="H269">
            <v>0</v>
          </cell>
          <cell r="I269">
            <v>0</v>
          </cell>
          <cell r="K269">
            <v>0</v>
          </cell>
          <cell r="M269">
            <v>0</v>
          </cell>
          <cell r="O269">
            <v>0</v>
          </cell>
          <cell r="Q269">
            <v>0</v>
          </cell>
          <cell r="S269">
            <v>0</v>
          </cell>
          <cell r="U269">
            <v>0</v>
          </cell>
          <cell r="W269">
            <v>0</v>
          </cell>
          <cell r="Y269">
            <v>0</v>
          </cell>
          <cell r="AA269">
            <v>0</v>
          </cell>
          <cell r="AC269">
            <v>0</v>
          </cell>
          <cell r="AE269">
            <v>0</v>
          </cell>
          <cell r="AG269">
            <v>0</v>
          </cell>
        </row>
        <row r="270">
          <cell r="D270">
            <v>0</v>
          </cell>
          <cell r="E270">
            <v>0</v>
          </cell>
          <cell r="F270">
            <v>0</v>
          </cell>
          <cell r="G270">
            <v>0</v>
          </cell>
          <cell r="H270">
            <v>0</v>
          </cell>
          <cell r="I270">
            <v>0</v>
          </cell>
          <cell r="K270">
            <v>0</v>
          </cell>
          <cell r="M270">
            <v>0</v>
          </cell>
          <cell r="O270">
            <v>0</v>
          </cell>
          <cell r="Q270">
            <v>0</v>
          </cell>
          <cell r="S270">
            <v>0</v>
          </cell>
          <cell r="U270">
            <v>0</v>
          </cell>
          <cell r="W270">
            <v>0</v>
          </cell>
          <cell r="Y270">
            <v>0</v>
          </cell>
          <cell r="AA270">
            <v>0</v>
          </cell>
          <cell r="AC270">
            <v>0</v>
          </cell>
          <cell r="AE270">
            <v>0</v>
          </cell>
          <cell r="AG270">
            <v>0</v>
          </cell>
        </row>
        <row r="271">
          <cell r="D271">
            <v>0</v>
          </cell>
          <cell r="E271">
            <v>0</v>
          </cell>
          <cell r="F271">
            <v>0</v>
          </cell>
          <cell r="G271">
            <v>0</v>
          </cell>
          <cell r="H271">
            <v>0</v>
          </cell>
          <cell r="I271">
            <v>0</v>
          </cell>
          <cell r="K271">
            <v>0</v>
          </cell>
          <cell r="M271">
            <v>0</v>
          </cell>
          <cell r="O271">
            <v>0</v>
          </cell>
          <cell r="Q271">
            <v>0</v>
          </cell>
          <cell r="S271">
            <v>0</v>
          </cell>
          <cell r="U271">
            <v>0</v>
          </cell>
          <cell r="W271">
            <v>0</v>
          </cell>
          <cell r="Y271">
            <v>0</v>
          </cell>
          <cell r="AA271">
            <v>0</v>
          </cell>
          <cell r="AC271">
            <v>0</v>
          </cell>
          <cell r="AE271">
            <v>0</v>
          </cell>
          <cell r="AG271">
            <v>0</v>
          </cell>
        </row>
        <row r="272">
          <cell r="D272">
            <v>0</v>
          </cell>
          <cell r="E272">
            <v>0</v>
          </cell>
          <cell r="F272">
            <v>0</v>
          </cell>
          <cell r="G272">
            <v>0</v>
          </cell>
          <cell r="H272">
            <v>0</v>
          </cell>
          <cell r="I272">
            <v>0</v>
          </cell>
          <cell r="K272">
            <v>0</v>
          </cell>
          <cell r="M272">
            <v>0</v>
          </cell>
          <cell r="O272">
            <v>0</v>
          </cell>
          <cell r="Q272">
            <v>0</v>
          </cell>
          <cell r="S272">
            <v>0</v>
          </cell>
          <cell r="U272">
            <v>0</v>
          </cell>
          <cell r="W272">
            <v>0</v>
          </cell>
          <cell r="Y272">
            <v>0</v>
          </cell>
          <cell r="AA272">
            <v>0</v>
          </cell>
          <cell r="AC272">
            <v>0</v>
          </cell>
          <cell r="AE272">
            <v>0</v>
          </cell>
          <cell r="AG272">
            <v>0</v>
          </cell>
        </row>
        <row r="273">
          <cell r="D273">
            <v>0</v>
          </cell>
          <cell r="E273">
            <v>0</v>
          </cell>
          <cell r="F273">
            <v>0</v>
          </cell>
          <cell r="G273">
            <v>0</v>
          </cell>
          <cell r="H273">
            <v>0</v>
          </cell>
          <cell r="I273">
            <v>0</v>
          </cell>
          <cell r="K273">
            <v>0</v>
          </cell>
          <cell r="M273">
            <v>0</v>
          </cell>
          <cell r="O273">
            <v>0</v>
          </cell>
          <cell r="Q273">
            <v>0</v>
          </cell>
          <cell r="S273">
            <v>0</v>
          </cell>
          <cell r="U273">
            <v>0</v>
          </cell>
          <cell r="W273">
            <v>0</v>
          </cell>
          <cell r="Y273">
            <v>0</v>
          </cell>
          <cell r="AA273">
            <v>0</v>
          </cell>
          <cell r="AC273">
            <v>0</v>
          </cell>
          <cell r="AE273">
            <v>0</v>
          </cell>
          <cell r="AG273">
            <v>0</v>
          </cell>
        </row>
        <row r="274">
          <cell r="D274">
            <v>0</v>
          </cell>
          <cell r="E274">
            <v>0</v>
          </cell>
          <cell r="F274">
            <v>0</v>
          </cell>
          <cell r="G274">
            <v>0</v>
          </cell>
          <cell r="H274">
            <v>0</v>
          </cell>
          <cell r="I274">
            <v>0</v>
          </cell>
          <cell r="K274">
            <v>0</v>
          </cell>
          <cell r="M274">
            <v>0</v>
          </cell>
          <cell r="O274">
            <v>0</v>
          </cell>
          <cell r="Q274">
            <v>0</v>
          </cell>
          <cell r="S274">
            <v>0</v>
          </cell>
          <cell r="U274">
            <v>0</v>
          </cell>
          <cell r="W274">
            <v>0</v>
          </cell>
          <cell r="Y274">
            <v>0</v>
          </cell>
          <cell r="AA274">
            <v>0</v>
          </cell>
          <cell r="AC274">
            <v>0</v>
          </cell>
          <cell r="AE274">
            <v>0</v>
          </cell>
          <cell r="AG274">
            <v>0</v>
          </cell>
        </row>
        <row r="275">
          <cell r="D275">
            <v>0</v>
          </cell>
          <cell r="E275">
            <v>0</v>
          </cell>
          <cell r="F275">
            <v>0</v>
          </cell>
          <cell r="G275">
            <v>0</v>
          </cell>
          <cell r="H275">
            <v>0</v>
          </cell>
          <cell r="I275">
            <v>0</v>
          </cell>
          <cell r="K275">
            <v>0</v>
          </cell>
          <cell r="M275">
            <v>0</v>
          </cell>
          <cell r="O275">
            <v>0</v>
          </cell>
          <cell r="Q275">
            <v>0</v>
          </cell>
          <cell r="S275">
            <v>0</v>
          </cell>
          <cell r="U275">
            <v>0</v>
          </cell>
          <cell r="W275">
            <v>0</v>
          </cell>
          <cell r="Y275">
            <v>0</v>
          </cell>
          <cell r="AA275">
            <v>0</v>
          </cell>
          <cell r="AC275">
            <v>0</v>
          </cell>
          <cell r="AE275">
            <v>0</v>
          </cell>
          <cell r="AG275">
            <v>0</v>
          </cell>
        </row>
        <row r="276">
          <cell r="D276">
            <v>0</v>
          </cell>
          <cell r="E276">
            <v>0</v>
          </cell>
          <cell r="F276">
            <v>0</v>
          </cell>
          <cell r="G276">
            <v>0</v>
          </cell>
          <cell r="H276">
            <v>0</v>
          </cell>
          <cell r="I276">
            <v>0</v>
          </cell>
          <cell r="K276">
            <v>0</v>
          </cell>
          <cell r="M276">
            <v>0</v>
          </cell>
          <cell r="O276">
            <v>0</v>
          </cell>
          <cell r="Q276">
            <v>0</v>
          </cell>
          <cell r="S276">
            <v>0</v>
          </cell>
          <cell r="U276">
            <v>0</v>
          </cell>
          <cell r="W276">
            <v>0</v>
          </cell>
          <cell r="Y276">
            <v>0</v>
          </cell>
          <cell r="AA276">
            <v>0</v>
          </cell>
          <cell r="AC276">
            <v>0</v>
          </cell>
          <cell r="AE276">
            <v>0</v>
          </cell>
          <cell r="AG276">
            <v>0</v>
          </cell>
        </row>
        <row r="277">
          <cell r="D277">
            <v>0</v>
          </cell>
          <cell r="E277">
            <v>0</v>
          </cell>
          <cell r="F277">
            <v>0</v>
          </cell>
          <cell r="G277">
            <v>0</v>
          </cell>
          <cell r="H277">
            <v>0</v>
          </cell>
          <cell r="I277">
            <v>0</v>
          </cell>
          <cell r="K277">
            <v>0</v>
          </cell>
          <cell r="M277">
            <v>0</v>
          </cell>
          <cell r="O277">
            <v>0</v>
          </cell>
          <cell r="Q277">
            <v>0</v>
          </cell>
          <cell r="S277">
            <v>0</v>
          </cell>
          <cell r="U277">
            <v>0</v>
          </cell>
          <cell r="W277">
            <v>0</v>
          </cell>
          <cell r="Y277">
            <v>0</v>
          </cell>
          <cell r="AA277">
            <v>0</v>
          </cell>
          <cell r="AC277">
            <v>0</v>
          </cell>
          <cell r="AE277">
            <v>0</v>
          </cell>
          <cell r="AG277">
            <v>0</v>
          </cell>
        </row>
        <row r="278">
          <cell r="D278">
            <v>0</v>
          </cell>
          <cell r="E278">
            <v>0</v>
          </cell>
          <cell r="F278">
            <v>0</v>
          </cell>
          <cell r="G278">
            <v>0</v>
          </cell>
          <cell r="H278">
            <v>0</v>
          </cell>
          <cell r="I278">
            <v>0</v>
          </cell>
          <cell r="K278">
            <v>0</v>
          </cell>
          <cell r="M278">
            <v>0</v>
          </cell>
          <cell r="O278">
            <v>0</v>
          </cell>
          <cell r="Q278">
            <v>0</v>
          </cell>
          <cell r="S278">
            <v>0</v>
          </cell>
          <cell r="U278">
            <v>0</v>
          </cell>
          <cell r="W278">
            <v>0</v>
          </cell>
          <cell r="Y278">
            <v>0</v>
          </cell>
          <cell r="AA278">
            <v>0</v>
          </cell>
          <cell r="AC278">
            <v>0</v>
          </cell>
          <cell r="AE278">
            <v>0</v>
          </cell>
          <cell r="AG278">
            <v>0</v>
          </cell>
        </row>
        <row r="279">
          <cell r="D279">
            <v>0</v>
          </cell>
          <cell r="E279">
            <v>0</v>
          </cell>
          <cell r="F279">
            <v>0</v>
          </cell>
          <cell r="G279">
            <v>0</v>
          </cell>
          <cell r="H279">
            <v>0</v>
          </cell>
          <cell r="I279">
            <v>0</v>
          </cell>
          <cell r="K279">
            <v>0</v>
          </cell>
          <cell r="M279">
            <v>0</v>
          </cell>
          <cell r="O279">
            <v>0</v>
          </cell>
          <cell r="Q279">
            <v>0</v>
          </cell>
          <cell r="S279">
            <v>0</v>
          </cell>
          <cell r="U279">
            <v>0</v>
          </cell>
          <cell r="W279">
            <v>0</v>
          </cell>
          <cell r="Y279">
            <v>0</v>
          </cell>
          <cell r="AA279">
            <v>0</v>
          </cell>
          <cell r="AC279">
            <v>0</v>
          </cell>
          <cell r="AE279">
            <v>0</v>
          </cell>
          <cell r="AG279">
            <v>0</v>
          </cell>
        </row>
        <row r="280">
          <cell r="D280">
            <v>0</v>
          </cell>
          <cell r="E280">
            <v>0</v>
          </cell>
          <cell r="F280">
            <v>0</v>
          </cell>
          <cell r="G280">
            <v>0</v>
          </cell>
          <cell r="H280">
            <v>0</v>
          </cell>
          <cell r="I280">
            <v>0</v>
          </cell>
          <cell r="K280">
            <v>0</v>
          </cell>
          <cell r="M280">
            <v>0</v>
          </cell>
          <cell r="O280">
            <v>0</v>
          </cell>
          <cell r="Q280">
            <v>0</v>
          </cell>
          <cell r="S280">
            <v>0</v>
          </cell>
          <cell r="U280">
            <v>0</v>
          </cell>
          <cell r="W280">
            <v>0</v>
          </cell>
          <cell r="Y280">
            <v>0</v>
          </cell>
          <cell r="AA280">
            <v>0</v>
          </cell>
          <cell r="AC280">
            <v>0</v>
          </cell>
          <cell r="AE280">
            <v>0</v>
          </cell>
          <cell r="AG280">
            <v>0</v>
          </cell>
        </row>
        <row r="281">
          <cell r="D281">
            <v>0</v>
          </cell>
          <cell r="E281">
            <v>0</v>
          </cell>
          <cell r="F281">
            <v>0</v>
          </cell>
          <cell r="G281">
            <v>0</v>
          </cell>
          <cell r="H281">
            <v>0</v>
          </cell>
          <cell r="I281">
            <v>0</v>
          </cell>
          <cell r="K281">
            <v>0</v>
          </cell>
          <cell r="M281">
            <v>0</v>
          </cell>
          <cell r="O281">
            <v>0</v>
          </cell>
          <cell r="Q281">
            <v>0</v>
          </cell>
          <cell r="S281">
            <v>0</v>
          </cell>
          <cell r="U281">
            <v>0</v>
          </cell>
          <cell r="W281">
            <v>0</v>
          </cell>
          <cell r="Y281">
            <v>0</v>
          </cell>
          <cell r="AA281">
            <v>0</v>
          </cell>
          <cell r="AC281">
            <v>0</v>
          </cell>
          <cell r="AE281">
            <v>0</v>
          </cell>
          <cell r="AG281">
            <v>0</v>
          </cell>
        </row>
        <row r="282">
          <cell r="D282">
            <v>0</v>
          </cell>
          <cell r="E282">
            <v>0</v>
          </cell>
          <cell r="F282">
            <v>0</v>
          </cell>
          <cell r="G282">
            <v>0</v>
          </cell>
          <cell r="H282">
            <v>0</v>
          </cell>
          <cell r="I282">
            <v>0</v>
          </cell>
          <cell r="K282">
            <v>0</v>
          </cell>
          <cell r="M282">
            <v>0</v>
          </cell>
          <cell r="O282">
            <v>0</v>
          </cell>
          <cell r="Q282">
            <v>0</v>
          </cell>
          <cell r="S282">
            <v>0</v>
          </cell>
          <cell r="U282">
            <v>0</v>
          </cell>
          <cell r="W282">
            <v>0</v>
          </cell>
          <cell r="Y282">
            <v>0</v>
          </cell>
          <cell r="AA282">
            <v>0</v>
          </cell>
          <cell r="AC282">
            <v>0</v>
          </cell>
          <cell r="AE282">
            <v>0</v>
          </cell>
          <cell r="AG282">
            <v>0</v>
          </cell>
        </row>
        <row r="283">
          <cell r="D283">
            <v>0</v>
          </cell>
          <cell r="E283">
            <v>0</v>
          </cell>
          <cell r="F283">
            <v>0</v>
          </cell>
          <cell r="G283">
            <v>0</v>
          </cell>
          <cell r="H283">
            <v>0</v>
          </cell>
          <cell r="I283">
            <v>0</v>
          </cell>
          <cell r="K283">
            <v>0</v>
          </cell>
          <cell r="M283">
            <v>0</v>
          </cell>
          <cell r="O283">
            <v>0</v>
          </cell>
          <cell r="Q283">
            <v>0</v>
          </cell>
          <cell r="S283">
            <v>0</v>
          </cell>
          <cell r="U283">
            <v>0</v>
          </cell>
          <cell r="W283">
            <v>0</v>
          </cell>
          <cell r="Y283">
            <v>0</v>
          </cell>
          <cell r="AA283">
            <v>0</v>
          </cell>
          <cell r="AC283">
            <v>0</v>
          </cell>
          <cell r="AE283">
            <v>0</v>
          </cell>
          <cell r="AG283">
            <v>0</v>
          </cell>
        </row>
        <row r="284">
          <cell r="D284">
            <v>0</v>
          </cell>
          <cell r="E284">
            <v>0</v>
          </cell>
          <cell r="F284">
            <v>0</v>
          </cell>
          <cell r="G284">
            <v>0</v>
          </cell>
          <cell r="H284">
            <v>0</v>
          </cell>
          <cell r="I284">
            <v>0</v>
          </cell>
          <cell r="K284">
            <v>0</v>
          </cell>
          <cell r="M284">
            <v>0</v>
          </cell>
          <cell r="O284">
            <v>0</v>
          </cell>
          <cell r="Q284">
            <v>0</v>
          </cell>
          <cell r="S284">
            <v>0</v>
          </cell>
          <cell r="U284">
            <v>0</v>
          </cell>
          <cell r="W284">
            <v>0</v>
          </cell>
          <cell r="Y284">
            <v>0</v>
          </cell>
          <cell r="AA284">
            <v>0</v>
          </cell>
          <cell r="AC284">
            <v>0</v>
          </cell>
          <cell r="AE284">
            <v>0</v>
          </cell>
          <cell r="AG284">
            <v>0</v>
          </cell>
        </row>
        <row r="285">
          <cell r="D285">
            <v>0</v>
          </cell>
          <cell r="E285">
            <v>0</v>
          </cell>
          <cell r="F285">
            <v>0</v>
          </cell>
          <cell r="G285">
            <v>0</v>
          </cell>
          <cell r="H285">
            <v>0</v>
          </cell>
          <cell r="I285">
            <v>0</v>
          </cell>
          <cell r="K285">
            <v>0</v>
          </cell>
          <cell r="M285">
            <v>0</v>
          </cell>
          <cell r="O285">
            <v>0</v>
          </cell>
          <cell r="Q285">
            <v>0</v>
          </cell>
          <cell r="S285">
            <v>0</v>
          </cell>
          <cell r="U285">
            <v>0</v>
          </cell>
          <cell r="W285">
            <v>0</v>
          </cell>
          <cell r="Y285">
            <v>0</v>
          </cell>
          <cell r="AA285">
            <v>0</v>
          </cell>
          <cell r="AC285">
            <v>0</v>
          </cell>
          <cell r="AE285">
            <v>0</v>
          </cell>
          <cell r="AG285">
            <v>0</v>
          </cell>
        </row>
        <row r="286">
          <cell r="D286">
            <v>0</v>
          </cell>
          <cell r="E286">
            <v>0</v>
          </cell>
          <cell r="F286">
            <v>0</v>
          </cell>
          <cell r="G286">
            <v>0</v>
          </cell>
          <cell r="H286">
            <v>0</v>
          </cell>
          <cell r="I286">
            <v>0</v>
          </cell>
          <cell r="K286">
            <v>0</v>
          </cell>
          <cell r="M286">
            <v>0</v>
          </cell>
          <cell r="O286">
            <v>0</v>
          </cell>
          <cell r="Q286">
            <v>0</v>
          </cell>
          <cell r="S286">
            <v>0</v>
          </cell>
          <cell r="U286">
            <v>0</v>
          </cell>
          <cell r="W286">
            <v>0</v>
          </cell>
          <cell r="Y286">
            <v>0</v>
          </cell>
          <cell r="AA286">
            <v>0</v>
          </cell>
          <cell r="AC286">
            <v>0</v>
          </cell>
          <cell r="AE286">
            <v>0</v>
          </cell>
          <cell r="AG286">
            <v>0</v>
          </cell>
        </row>
        <row r="287">
          <cell r="D287">
            <v>0</v>
          </cell>
          <cell r="E287">
            <v>0</v>
          </cell>
          <cell r="F287">
            <v>0</v>
          </cell>
          <cell r="G287">
            <v>0</v>
          </cell>
          <cell r="H287">
            <v>0</v>
          </cell>
          <cell r="I287">
            <v>0</v>
          </cell>
          <cell r="K287">
            <v>0</v>
          </cell>
          <cell r="M287">
            <v>0</v>
          </cell>
          <cell r="O287">
            <v>0</v>
          </cell>
          <cell r="Q287">
            <v>0</v>
          </cell>
          <cell r="S287">
            <v>0</v>
          </cell>
          <cell r="U287">
            <v>0</v>
          </cell>
          <cell r="W287">
            <v>0</v>
          </cell>
          <cell r="Y287">
            <v>0</v>
          </cell>
          <cell r="AA287">
            <v>0</v>
          </cell>
          <cell r="AC287">
            <v>0</v>
          </cell>
          <cell r="AE287">
            <v>0</v>
          </cell>
          <cell r="AG287">
            <v>0</v>
          </cell>
        </row>
        <row r="288">
          <cell r="D288">
            <v>0</v>
          </cell>
          <cell r="E288">
            <v>0</v>
          </cell>
          <cell r="F288">
            <v>0</v>
          </cell>
          <cell r="G288">
            <v>0</v>
          </cell>
          <cell r="H288">
            <v>0</v>
          </cell>
          <cell r="I288">
            <v>0</v>
          </cell>
          <cell r="K288">
            <v>0</v>
          </cell>
          <cell r="M288">
            <v>0</v>
          </cell>
          <cell r="O288">
            <v>0</v>
          </cell>
          <cell r="Q288">
            <v>0</v>
          </cell>
          <cell r="S288">
            <v>0</v>
          </cell>
          <cell r="U288">
            <v>0</v>
          </cell>
          <cell r="W288">
            <v>0</v>
          </cell>
          <cell r="Y288">
            <v>0</v>
          </cell>
          <cell r="AA288">
            <v>0</v>
          </cell>
          <cell r="AC288">
            <v>0</v>
          </cell>
          <cell r="AE288">
            <v>0</v>
          </cell>
          <cell r="AG288">
            <v>0</v>
          </cell>
        </row>
        <row r="289">
          <cell r="D289">
            <v>0</v>
          </cell>
          <cell r="E289">
            <v>0</v>
          </cell>
          <cell r="F289">
            <v>0</v>
          </cell>
          <cell r="G289">
            <v>0</v>
          </cell>
          <cell r="H289">
            <v>0</v>
          </cell>
          <cell r="I289">
            <v>0</v>
          </cell>
          <cell r="K289">
            <v>0</v>
          </cell>
          <cell r="M289">
            <v>0</v>
          </cell>
          <cell r="O289">
            <v>0</v>
          </cell>
          <cell r="Q289">
            <v>0</v>
          </cell>
          <cell r="S289">
            <v>0</v>
          </cell>
          <cell r="U289">
            <v>0</v>
          </cell>
          <cell r="W289">
            <v>0</v>
          </cell>
          <cell r="Y289">
            <v>0</v>
          </cell>
          <cell r="AA289">
            <v>0</v>
          </cell>
          <cell r="AC289">
            <v>0</v>
          </cell>
          <cell r="AE289">
            <v>0</v>
          </cell>
          <cell r="AG289">
            <v>0</v>
          </cell>
        </row>
        <row r="290">
          <cell r="D290">
            <v>0</v>
          </cell>
          <cell r="E290">
            <v>0</v>
          </cell>
          <cell r="F290">
            <v>0</v>
          </cell>
          <cell r="G290">
            <v>0</v>
          </cell>
          <cell r="H290">
            <v>0</v>
          </cell>
          <cell r="I290">
            <v>0</v>
          </cell>
          <cell r="K290">
            <v>0</v>
          </cell>
          <cell r="M290">
            <v>0</v>
          </cell>
          <cell r="O290">
            <v>0</v>
          </cell>
          <cell r="Q290">
            <v>0</v>
          </cell>
          <cell r="S290">
            <v>0</v>
          </cell>
          <cell r="U290">
            <v>0</v>
          </cell>
          <cell r="W290">
            <v>0</v>
          </cell>
          <cell r="Y290">
            <v>0</v>
          </cell>
          <cell r="AA290">
            <v>0</v>
          </cell>
          <cell r="AC290">
            <v>0</v>
          </cell>
          <cell r="AE290">
            <v>0</v>
          </cell>
          <cell r="AG290">
            <v>0</v>
          </cell>
        </row>
        <row r="291">
          <cell r="D291">
            <v>0</v>
          </cell>
          <cell r="E291">
            <v>0</v>
          </cell>
          <cell r="F291">
            <v>0</v>
          </cell>
          <cell r="G291">
            <v>0</v>
          </cell>
          <cell r="H291">
            <v>0</v>
          </cell>
          <cell r="I291">
            <v>0</v>
          </cell>
          <cell r="K291">
            <v>0</v>
          </cell>
          <cell r="M291">
            <v>0</v>
          </cell>
          <cell r="O291">
            <v>0</v>
          </cell>
          <cell r="Q291">
            <v>0</v>
          </cell>
          <cell r="S291">
            <v>0</v>
          </cell>
          <cell r="U291">
            <v>0</v>
          </cell>
          <cell r="W291">
            <v>0</v>
          </cell>
          <cell r="Y291">
            <v>0</v>
          </cell>
          <cell r="AA291">
            <v>0</v>
          </cell>
          <cell r="AC291">
            <v>0</v>
          </cell>
          <cell r="AE291">
            <v>0</v>
          </cell>
          <cell r="AG291">
            <v>0</v>
          </cell>
        </row>
        <row r="292">
          <cell r="D292">
            <v>0</v>
          </cell>
          <cell r="E292">
            <v>0</v>
          </cell>
          <cell r="F292">
            <v>0</v>
          </cell>
          <cell r="G292">
            <v>0</v>
          </cell>
          <cell r="H292">
            <v>0</v>
          </cell>
          <cell r="I292">
            <v>0</v>
          </cell>
          <cell r="K292">
            <v>0</v>
          </cell>
          <cell r="M292">
            <v>0</v>
          </cell>
          <cell r="O292">
            <v>0</v>
          </cell>
          <cell r="Q292">
            <v>0</v>
          </cell>
          <cell r="S292">
            <v>0</v>
          </cell>
          <cell r="U292">
            <v>0</v>
          </cell>
          <cell r="W292">
            <v>0</v>
          </cell>
          <cell r="Y292">
            <v>0</v>
          </cell>
          <cell r="AA292">
            <v>0</v>
          </cell>
          <cell r="AC292">
            <v>0</v>
          </cell>
          <cell r="AE292">
            <v>0</v>
          </cell>
          <cell r="AG292">
            <v>0</v>
          </cell>
        </row>
        <row r="293">
          <cell r="D293">
            <v>0</v>
          </cell>
          <cell r="E293">
            <v>0</v>
          </cell>
          <cell r="F293">
            <v>0</v>
          </cell>
          <cell r="G293">
            <v>0</v>
          </cell>
          <cell r="H293">
            <v>0</v>
          </cell>
          <cell r="I293">
            <v>0</v>
          </cell>
          <cell r="K293">
            <v>0</v>
          </cell>
          <cell r="M293">
            <v>0</v>
          </cell>
          <cell r="O293">
            <v>0</v>
          </cell>
          <cell r="Q293">
            <v>0</v>
          </cell>
          <cell r="S293">
            <v>0</v>
          </cell>
          <cell r="U293">
            <v>0</v>
          </cell>
          <cell r="W293">
            <v>0</v>
          </cell>
          <cell r="Y293">
            <v>0</v>
          </cell>
          <cell r="AA293">
            <v>0</v>
          </cell>
          <cell r="AC293">
            <v>0</v>
          </cell>
          <cell r="AE293">
            <v>0</v>
          </cell>
          <cell r="AG293">
            <v>0</v>
          </cell>
        </row>
        <row r="294">
          <cell r="D294">
            <v>0</v>
          </cell>
          <cell r="E294">
            <v>0</v>
          </cell>
          <cell r="F294">
            <v>0</v>
          </cell>
          <cell r="G294">
            <v>0</v>
          </cell>
          <cell r="H294">
            <v>0</v>
          </cell>
          <cell r="I294">
            <v>0</v>
          </cell>
          <cell r="K294">
            <v>0</v>
          </cell>
          <cell r="M294">
            <v>0</v>
          </cell>
          <cell r="O294">
            <v>0</v>
          </cell>
          <cell r="Q294">
            <v>0</v>
          </cell>
          <cell r="S294">
            <v>0</v>
          </cell>
          <cell r="U294">
            <v>0</v>
          </cell>
          <cell r="W294">
            <v>0</v>
          </cell>
          <cell r="Y294">
            <v>0</v>
          </cell>
          <cell r="AA294">
            <v>0</v>
          </cell>
          <cell r="AC294">
            <v>0</v>
          </cell>
          <cell r="AE294">
            <v>0</v>
          </cell>
          <cell r="AG294">
            <v>0</v>
          </cell>
        </row>
        <row r="295">
          <cell r="D295">
            <v>0</v>
          </cell>
          <cell r="E295">
            <v>0</v>
          </cell>
          <cell r="F295">
            <v>0</v>
          </cell>
          <cell r="G295">
            <v>0</v>
          </cell>
          <cell r="H295">
            <v>0</v>
          </cell>
          <cell r="I295">
            <v>0</v>
          </cell>
          <cell r="K295">
            <v>0</v>
          </cell>
          <cell r="M295">
            <v>0</v>
          </cell>
          <cell r="O295">
            <v>0</v>
          </cell>
          <cell r="Q295">
            <v>0</v>
          </cell>
          <cell r="S295">
            <v>0</v>
          </cell>
          <cell r="U295">
            <v>0</v>
          </cell>
          <cell r="W295">
            <v>0</v>
          </cell>
          <cell r="Y295">
            <v>0</v>
          </cell>
          <cell r="AA295">
            <v>0</v>
          </cell>
          <cell r="AC295">
            <v>0</v>
          </cell>
          <cell r="AE295">
            <v>0</v>
          </cell>
          <cell r="AG295">
            <v>0</v>
          </cell>
        </row>
        <row r="296">
          <cell r="D296">
            <v>0</v>
          </cell>
          <cell r="E296">
            <v>0</v>
          </cell>
          <cell r="F296">
            <v>0</v>
          </cell>
          <cell r="G296">
            <v>0</v>
          </cell>
          <cell r="H296">
            <v>0</v>
          </cell>
          <cell r="I296">
            <v>0</v>
          </cell>
          <cell r="K296">
            <v>0</v>
          </cell>
          <cell r="M296">
            <v>0</v>
          </cell>
          <cell r="O296">
            <v>0</v>
          </cell>
          <cell r="Q296">
            <v>0</v>
          </cell>
          <cell r="S296">
            <v>0</v>
          </cell>
          <cell r="U296">
            <v>0</v>
          </cell>
          <cell r="W296">
            <v>0</v>
          </cell>
          <cell r="Y296">
            <v>0</v>
          </cell>
          <cell r="AA296">
            <v>0</v>
          </cell>
          <cell r="AC296">
            <v>0</v>
          </cell>
          <cell r="AE296">
            <v>0</v>
          </cell>
          <cell r="AG296">
            <v>0</v>
          </cell>
        </row>
        <row r="297">
          <cell r="D297">
            <v>0</v>
          </cell>
          <cell r="E297">
            <v>0</v>
          </cell>
          <cell r="F297">
            <v>0</v>
          </cell>
          <cell r="G297">
            <v>0</v>
          </cell>
          <cell r="H297">
            <v>0</v>
          </cell>
          <cell r="I297">
            <v>0</v>
          </cell>
          <cell r="K297">
            <v>0</v>
          </cell>
          <cell r="M297">
            <v>0</v>
          </cell>
          <cell r="O297">
            <v>0</v>
          </cell>
          <cell r="Q297">
            <v>0</v>
          </cell>
          <cell r="S297">
            <v>0</v>
          </cell>
          <cell r="U297">
            <v>0</v>
          </cell>
          <cell r="W297">
            <v>0</v>
          </cell>
          <cell r="Y297">
            <v>0</v>
          </cell>
          <cell r="AA297">
            <v>0</v>
          </cell>
          <cell r="AC297">
            <v>0</v>
          </cell>
          <cell r="AE297">
            <v>0</v>
          </cell>
          <cell r="AG297">
            <v>0</v>
          </cell>
        </row>
        <row r="298">
          <cell r="D298">
            <v>0</v>
          </cell>
          <cell r="E298">
            <v>0</v>
          </cell>
          <cell r="F298">
            <v>0</v>
          </cell>
          <cell r="G298">
            <v>0</v>
          </cell>
          <cell r="H298">
            <v>0</v>
          </cell>
          <cell r="I298">
            <v>0</v>
          </cell>
          <cell r="K298">
            <v>0</v>
          </cell>
          <cell r="M298">
            <v>0</v>
          </cell>
          <cell r="O298">
            <v>0</v>
          </cell>
          <cell r="Q298">
            <v>0</v>
          </cell>
          <cell r="S298">
            <v>0</v>
          </cell>
          <cell r="U298">
            <v>0</v>
          </cell>
          <cell r="W298">
            <v>0</v>
          </cell>
          <cell r="Y298">
            <v>0</v>
          </cell>
          <cell r="AA298">
            <v>0</v>
          </cell>
          <cell r="AC298">
            <v>0</v>
          </cell>
          <cell r="AE298">
            <v>0</v>
          </cell>
          <cell r="AG298">
            <v>0</v>
          </cell>
        </row>
        <row r="299">
          <cell r="D299">
            <v>0</v>
          </cell>
          <cell r="E299">
            <v>0</v>
          </cell>
          <cell r="F299">
            <v>0</v>
          </cell>
          <cell r="G299">
            <v>0</v>
          </cell>
          <cell r="H299">
            <v>0</v>
          </cell>
          <cell r="I299">
            <v>0</v>
          </cell>
          <cell r="K299">
            <v>0</v>
          </cell>
          <cell r="M299">
            <v>0</v>
          </cell>
          <cell r="O299">
            <v>0</v>
          </cell>
          <cell r="Q299">
            <v>0</v>
          </cell>
          <cell r="S299">
            <v>0</v>
          </cell>
          <cell r="U299">
            <v>0</v>
          </cell>
          <cell r="W299">
            <v>0</v>
          </cell>
          <cell r="Y299">
            <v>0</v>
          </cell>
          <cell r="AA299">
            <v>0</v>
          </cell>
          <cell r="AC299">
            <v>0</v>
          </cell>
          <cell r="AE299">
            <v>0</v>
          </cell>
          <cell r="AG299">
            <v>0</v>
          </cell>
        </row>
        <row r="300">
          <cell r="D300">
            <v>0</v>
          </cell>
          <cell r="E300">
            <v>0</v>
          </cell>
          <cell r="F300">
            <v>0</v>
          </cell>
          <cell r="G300">
            <v>0</v>
          </cell>
          <cell r="H300">
            <v>0</v>
          </cell>
          <cell r="I300">
            <v>0</v>
          </cell>
          <cell r="K300">
            <v>0</v>
          </cell>
          <cell r="M300">
            <v>0</v>
          </cell>
          <cell r="O300">
            <v>0</v>
          </cell>
          <cell r="Q300">
            <v>0</v>
          </cell>
          <cell r="S300">
            <v>0</v>
          </cell>
          <cell r="U300">
            <v>0</v>
          </cell>
          <cell r="W300">
            <v>0</v>
          </cell>
          <cell r="Y300">
            <v>0</v>
          </cell>
          <cell r="AA300">
            <v>0</v>
          </cell>
          <cell r="AC300">
            <v>0</v>
          </cell>
          <cell r="AE300">
            <v>0</v>
          </cell>
          <cell r="AG300">
            <v>0</v>
          </cell>
        </row>
        <row r="301">
          <cell r="D301">
            <v>0</v>
          </cell>
          <cell r="E301">
            <v>0</v>
          </cell>
          <cell r="F301">
            <v>0</v>
          </cell>
          <cell r="G301">
            <v>0</v>
          </cell>
          <cell r="H301">
            <v>0</v>
          </cell>
          <cell r="I301">
            <v>0</v>
          </cell>
          <cell r="K301">
            <v>0</v>
          </cell>
          <cell r="M301">
            <v>0</v>
          </cell>
          <cell r="O301">
            <v>0</v>
          </cell>
          <cell r="Q301">
            <v>0</v>
          </cell>
          <cell r="S301">
            <v>0</v>
          </cell>
          <cell r="U301">
            <v>0</v>
          </cell>
          <cell r="W301">
            <v>0</v>
          </cell>
          <cell r="Y301">
            <v>0</v>
          </cell>
          <cell r="AA301">
            <v>0</v>
          </cell>
          <cell r="AC301">
            <v>0</v>
          </cell>
          <cell r="AE301">
            <v>0</v>
          </cell>
          <cell r="AG301">
            <v>0</v>
          </cell>
        </row>
        <row r="302">
          <cell r="D302">
            <v>0</v>
          </cell>
          <cell r="E302">
            <v>0</v>
          </cell>
          <cell r="F302">
            <v>0</v>
          </cell>
          <cell r="G302">
            <v>0</v>
          </cell>
          <cell r="H302">
            <v>0</v>
          </cell>
          <cell r="I302">
            <v>0</v>
          </cell>
          <cell r="K302">
            <v>0</v>
          </cell>
          <cell r="M302">
            <v>0</v>
          </cell>
          <cell r="O302">
            <v>0</v>
          </cell>
          <cell r="Q302">
            <v>0</v>
          </cell>
          <cell r="S302">
            <v>0</v>
          </cell>
          <cell r="U302">
            <v>0</v>
          </cell>
          <cell r="W302">
            <v>0</v>
          </cell>
          <cell r="Y302">
            <v>0</v>
          </cell>
          <cell r="AA302">
            <v>0</v>
          </cell>
          <cell r="AC302">
            <v>0</v>
          </cell>
          <cell r="AE302">
            <v>0</v>
          </cell>
          <cell r="AG302">
            <v>0</v>
          </cell>
        </row>
        <row r="303">
          <cell r="D303">
            <v>0</v>
          </cell>
          <cell r="E303">
            <v>0</v>
          </cell>
          <cell r="F303">
            <v>0</v>
          </cell>
          <cell r="G303">
            <v>0</v>
          </cell>
          <cell r="H303">
            <v>0</v>
          </cell>
          <cell r="I303">
            <v>0</v>
          </cell>
          <cell r="K303">
            <v>0</v>
          </cell>
          <cell r="M303">
            <v>0</v>
          </cell>
          <cell r="O303">
            <v>0</v>
          </cell>
          <cell r="Q303">
            <v>0</v>
          </cell>
          <cell r="S303">
            <v>0</v>
          </cell>
          <cell r="U303">
            <v>0</v>
          </cell>
          <cell r="W303">
            <v>0</v>
          </cell>
          <cell r="Y303">
            <v>0</v>
          </cell>
          <cell r="AA303">
            <v>0</v>
          </cell>
          <cell r="AC303">
            <v>0</v>
          </cell>
          <cell r="AE303">
            <v>0</v>
          </cell>
          <cell r="AG303">
            <v>0</v>
          </cell>
        </row>
        <row r="304">
          <cell r="D304">
            <v>0</v>
          </cell>
          <cell r="E304">
            <v>0</v>
          </cell>
          <cell r="F304">
            <v>0</v>
          </cell>
          <cell r="G304">
            <v>0</v>
          </cell>
          <cell r="H304">
            <v>0</v>
          </cell>
          <cell r="I304">
            <v>0</v>
          </cell>
          <cell r="K304">
            <v>0</v>
          </cell>
          <cell r="M304">
            <v>0</v>
          </cell>
          <cell r="O304">
            <v>0</v>
          </cell>
          <cell r="Q304">
            <v>0</v>
          </cell>
          <cell r="S304">
            <v>0</v>
          </cell>
          <cell r="U304">
            <v>0</v>
          </cell>
          <cell r="W304">
            <v>0</v>
          </cell>
          <cell r="Y304">
            <v>0</v>
          </cell>
          <cell r="AA304">
            <v>0</v>
          </cell>
          <cell r="AC304">
            <v>0</v>
          </cell>
          <cell r="AE304">
            <v>0</v>
          </cell>
          <cell r="AG304">
            <v>0</v>
          </cell>
        </row>
        <row r="305">
          <cell r="D305">
            <v>0</v>
          </cell>
          <cell r="E305">
            <v>0</v>
          </cell>
          <cell r="F305">
            <v>0</v>
          </cell>
          <cell r="G305">
            <v>0</v>
          </cell>
          <cell r="H305">
            <v>0</v>
          </cell>
          <cell r="I305">
            <v>0</v>
          </cell>
          <cell r="K305">
            <v>0</v>
          </cell>
          <cell r="M305">
            <v>0</v>
          </cell>
          <cell r="O305">
            <v>0</v>
          </cell>
          <cell r="Q305">
            <v>0</v>
          </cell>
          <cell r="S305">
            <v>0</v>
          </cell>
          <cell r="U305">
            <v>0</v>
          </cell>
          <cell r="W305">
            <v>0</v>
          </cell>
          <cell r="Y305">
            <v>0</v>
          </cell>
          <cell r="AA305">
            <v>0</v>
          </cell>
          <cell r="AC305">
            <v>0</v>
          </cell>
          <cell r="AE305">
            <v>0</v>
          </cell>
          <cell r="AG305">
            <v>0</v>
          </cell>
        </row>
        <row r="306">
          <cell r="D306">
            <v>0</v>
          </cell>
          <cell r="E306">
            <v>0</v>
          </cell>
          <cell r="F306">
            <v>0</v>
          </cell>
          <cell r="G306">
            <v>0</v>
          </cell>
          <cell r="H306">
            <v>0</v>
          </cell>
          <cell r="I306">
            <v>0</v>
          </cell>
          <cell r="K306">
            <v>0</v>
          </cell>
          <cell r="M306">
            <v>0</v>
          </cell>
          <cell r="O306">
            <v>0</v>
          </cell>
          <cell r="Q306">
            <v>0</v>
          </cell>
          <cell r="S306">
            <v>0</v>
          </cell>
          <cell r="U306">
            <v>0</v>
          </cell>
          <cell r="W306">
            <v>0</v>
          </cell>
          <cell r="Y306">
            <v>0</v>
          </cell>
          <cell r="AA306">
            <v>0</v>
          </cell>
          <cell r="AC306">
            <v>0</v>
          </cell>
          <cell r="AE306">
            <v>0</v>
          </cell>
          <cell r="AG306">
            <v>0</v>
          </cell>
        </row>
        <row r="307">
          <cell r="D307">
            <v>0</v>
          </cell>
          <cell r="E307">
            <v>0</v>
          </cell>
          <cell r="F307">
            <v>0</v>
          </cell>
          <cell r="G307">
            <v>0</v>
          </cell>
          <cell r="H307">
            <v>0</v>
          </cell>
          <cell r="I307">
            <v>0</v>
          </cell>
          <cell r="K307">
            <v>0</v>
          </cell>
          <cell r="M307">
            <v>0</v>
          </cell>
          <cell r="O307">
            <v>0</v>
          </cell>
          <cell r="Q307">
            <v>0</v>
          </cell>
          <cell r="S307">
            <v>0</v>
          </cell>
          <cell r="U307">
            <v>0</v>
          </cell>
          <cell r="W307">
            <v>0</v>
          </cell>
          <cell r="Y307">
            <v>0</v>
          </cell>
          <cell r="AA307">
            <v>0</v>
          </cell>
          <cell r="AC307">
            <v>0</v>
          </cell>
          <cell r="AE307">
            <v>0</v>
          </cell>
          <cell r="AG307">
            <v>0</v>
          </cell>
        </row>
        <row r="308">
          <cell r="D308">
            <v>0</v>
          </cell>
          <cell r="E308">
            <v>0</v>
          </cell>
          <cell r="F308">
            <v>0</v>
          </cell>
          <cell r="G308">
            <v>0</v>
          </cell>
          <cell r="H308">
            <v>0</v>
          </cell>
          <cell r="I308">
            <v>0</v>
          </cell>
          <cell r="K308">
            <v>0</v>
          </cell>
          <cell r="M308">
            <v>0</v>
          </cell>
          <cell r="O308">
            <v>0</v>
          </cell>
          <cell r="Q308">
            <v>0</v>
          </cell>
          <cell r="S308">
            <v>0</v>
          </cell>
          <cell r="U308">
            <v>0</v>
          </cell>
          <cell r="W308">
            <v>0</v>
          </cell>
          <cell r="Y308">
            <v>0</v>
          </cell>
          <cell r="AA308">
            <v>0</v>
          </cell>
          <cell r="AC308">
            <v>0</v>
          </cell>
          <cell r="AE308">
            <v>0</v>
          </cell>
          <cell r="AG308">
            <v>0</v>
          </cell>
        </row>
        <row r="309">
          <cell r="D309">
            <v>0</v>
          </cell>
          <cell r="E309">
            <v>0</v>
          </cell>
          <cell r="F309">
            <v>0</v>
          </cell>
          <cell r="G309">
            <v>0</v>
          </cell>
          <cell r="H309">
            <v>0</v>
          </cell>
          <cell r="I309">
            <v>0</v>
          </cell>
          <cell r="K309">
            <v>0</v>
          </cell>
          <cell r="M309">
            <v>0</v>
          </cell>
          <cell r="O309">
            <v>0</v>
          </cell>
          <cell r="Q309">
            <v>0</v>
          </cell>
          <cell r="S309">
            <v>0</v>
          </cell>
          <cell r="U309">
            <v>0</v>
          </cell>
          <cell r="W309">
            <v>0</v>
          </cell>
          <cell r="Y309">
            <v>0</v>
          </cell>
          <cell r="AA309">
            <v>0</v>
          </cell>
          <cell r="AC309">
            <v>0</v>
          </cell>
          <cell r="AE309">
            <v>0</v>
          </cell>
          <cell r="AG309">
            <v>0</v>
          </cell>
        </row>
        <row r="310">
          <cell r="D310">
            <v>0</v>
          </cell>
          <cell r="E310">
            <v>0</v>
          </cell>
          <cell r="F310">
            <v>0</v>
          </cell>
          <cell r="G310">
            <v>0</v>
          </cell>
          <cell r="H310">
            <v>0</v>
          </cell>
          <cell r="I310">
            <v>0</v>
          </cell>
          <cell r="K310">
            <v>0</v>
          </cell>
          <cell r="M310">
            <v>0</v>
          </cell>
          <cell r="O310">
            <v>0</v>
          </cell>
          <cell r="Q310">
            <v>0</v>
          </cell>
          <cell r="S310">
            <v>0</v>
          </cell>
          <cell r="U310">
            <v>0</v>
          </cell>
          <cell r="W310">
            <v>0</v>
          </cell>
          <cell r="Y310">
            <v>0</v>
          </cell>
          <cell r="AA310">
            <v>0</v>
          </cell>
          <cell r="AC310">
            <v>0</v>
          </cell>
          <cell r="AE310">
            <v>0</v>
          </cell>
          <cell r="AG310">
            <v>0</v>
          </cell>
        </row>
        <row r="311">
          <cell r="D311">
            <v>0</v>
          </cell>
          <cell r="E311">
            <v>0</v>
          </cell>
          <cell r="F311">
            <v>0</v>
          </cell>
          <cell r="G311">
            <v>0</v>
          </cell>
          <cell r="H311">
            <v>0</v>
          </cell>
          <cell r="I311">
            <v>0</v>
          </cell>
          <cell r="K311">
            <v>0</v>
          </cell>
          <cell r="M311">
            <v>0</v>
          </cell>
          <cell r="O311">
            <v>0</v>
          </cell>
          <cell r="Q311">
            <v>0</v>
          </cell>
          <cell r="S311">
            <v>0</v>
          </cell>
          <cell r="U311">
            <v>0</v>
          </cell>
          <cell r="W311">
            <v>0</v>
          </cell>
          <cell r="Y311">
            <v>0</v>
          </cell>
          <cell r="AA311">
            <v>0</v>
          </cell>
          <cell r="AC311">
            <v>0</v>
          </cell>
          <cell r="AE311">
            <v>0</v>
          </cell>
          <cell r="AG311">
            <v>0</v>
          </cell>
        </row>
        <row r="312">
          <cell r="D312">
            <v>0</v>
          </cell>
          <cell r="E312">
            <v>0</v>
          </cell>
          <cell r="F312">
            <v>0</v>
          </cell>
          <cell r="G312">
            <v>0</v>
          </cell>
          <cell r="H312">
            <v>0</v>
          </cell>
          <cell r="I312">
            <v>0</v>
          </cell>
          <cell r="K312">
            <v>0</v>
          </cell>
          <cell r="M312">
            <v>0</v>
          </cell>
          <cell r="O312">
            <v>0</v>
          </cell>
          <cell r="Q312">
            <v>0</v>
          </cell>
          <cell r="S312">
            <v>0</v>
          </cell>
          <cell r="U312">
            <v>0</v>
          </cell>
          <cell r="W312">
            <v>0</v>
          </cell>
          <cell r="Y312">
            <v>0</v>
          </cell>
          <cell r="AA312">
            <v>0</v>
          </cell>
          <cell r="AC312">
            <v>0</v>
          </cell>
          <cell r="AE312">
            <v>0</v>
          </cell>
          <cell r="AG312">
            <v>0</v>
          </cell>
        </row>
        <row r="313">
          <cell r="D313">
            <v>0</v>
          </cell>
          <cell r="E313">
            <v>0</v>
          </cell>
          <cell r="F313">
            <v>0</v>
          </cell>
          <cell r="G313">
            <v>0</v>
          </cell>
          <cell r="H313">
            <v>0</v>
          </cell>
          <cell r="I313">
            <v>0</v>
          </cell>
          <cell r="K313">
            <v>0</v>
          </cell>
          <cell r="M313">
            <v>0</v>
          </cell>
          <cell r="O313">
            <v>0</v>
          </cell>
          <cell r="Q313">
            <v>0</v>
          </cell>
          <cell r="S313">
            <v>0</v>
          </cell>
          <cell r="U313">
            <v>0</v>
          </cell>
          <cell r="W313">
            <v>0</v>
          </cell>
          <cell r="Y313">
            <v>0</v>
          </cell>
          <cell r="AA313">
            <v>0</v>
          </cell>
          <cell r="AC313">
            <v>0</v>
          </cell>
          <cell r="AE313">
            <v>0</v>
          </cell>
          <cell r="AG313">
            <v>0</v>
          </cell>
        </row>
        <row r="314">
          <cell r="D314">
            <v>0</v>
          </cell>
          <cell r="E314">
            <v>0</v>
          </cell>
          <cell r="F314">
            <v>0</v>
          </cell>
          <cell r="G314">
            <v>0</v>
          </cell>
          <cell r="H314">
            <v>0</v>
          </cell>
          <cell r="I314">
            <v>0</v>
          </cell>
          <cell r="K314">
            <v>0</v>
          </cell>
          <cell r="M314">
            <v>0</v>
          </cell>
          <cell r="O314">
            <v>0</v>
          </cell>
          <cell r="Q314">
            <v>0</v>
          </cell>
          <cell r="S314">
            <v>0</v>
          </cell>
          <cell r="U314">
            <v>0</v>
          </cell>
          <cell r="W314">
            <v>0</v>
          </cell>
          <cell r="Y314">
            <v>0</v>
          </cell>
          <cell r="AA314">
            <v>0</v>
          </cell>
          <cell r="AC314">
            <v>0</v>
          </cell>
          <cell r="AE314">
            <v>0</v>
          </cell>
          <cell r="AG314">
            <v>0</v>
          </cell>
        </row>
        <row r="315">
          <cell r="D315">
            <v>0</v>
          </cell>
          <cell r="E315">
            <v>0</v>
          </cell>
          <cell r="F315">
            <v>0</v>
          </cell>
          <cell r="G315">
            <v>0</v>
          </cell>
          <cell r="H315">
            <v>0</v>
          </cell>
          <cell r="I315">
            <v>0</v>
          </cell>
          <cell r="K315">
            <v>0</v>
          </cell>
          <cell r="M315">
            <v>0</v>
          </cell>
          <cell r="O315">
            <v>0</v>
          </cell>
          <cell r="Q315">
            <v>0</v>
          </cell>
          <cell r="S315">
            <v>0</v>
          </cell>
          <cell r="U315">
            <v>0</v>
          </cell>
          <cell r="W315">
            <v>0</v>
          </cell>
          <cell r="Y315">
            <v>0</v>
          </cell>
          <cell r="AA315">
            <v>0</v>
          </cell>
          <cell r="AC315">
            <v>0</v>
          </cell>
          <cell r="AE315">
            <v>0</v>
          </cell>
          <cell r="AG315">
            <v>0</v>
          </cell>
        </row>
        <row r="316">
          <cell r="D316">
            <v>0</v>
          </cell>
          <cell r="E316">
            <v>0</v>
          </cell>
          <cell r="F316">
            <v>0</v>
          </cell>
          <cell r="G316">
            <v>0</v>
          </cell>
          <cell r="H316">
            <v>0</v>
          </cell>
          <cell r="I316">
            <v>0</v>
          </cell>
          <cell r="K316">
            <v>0</v>
          </cell>
          <cell r="M316">
            <v>0</v>
          </cell>
          <cell r="O316">
            <v>0</v>
          </cell>
          <cell r="Q316">
            <v>0</v>
          </cell>
          <cell r="S316">
            <v>0</v>
          </cell>
          <cell r="U316">
            <v>0</v>
          </cell>
          <cell r="W316">
            <v>0</v>
          </cell>
          <cell r="Y316">
            <v>0</v>
          </cell>
          <cell r="AA316">
            <v>0</v>
          </cell>
          <cell r="AC316">
            <v>0</v>
          </cell>
          <cell r="AE316">
            <v>0</v>
          </cell>
          <cell r="AG316">
            <v>0</v>
          </cell>
        </row>
        <row r="317">
          <cell r="D317">
            <v>0</v>
          </cell>
          <cell r="E317">
            <v>0</v>
          </cell>
          <cell r="F317">
            <v>0</v>
          </cell>
          <cell r="G317">
            <v>0</v>
          </cell>
          <cell r="H317">
            <v>0</v>
          </cell>
          <cell r="I317">
            <v>0</v>
          </cell>
          <cell r="K317">
            <v>0</v>
          </cell>
          <cell r="M317">
            <v>0</v>
          </cell>
          <cell r="O317">
            <v>0</v>
          </cell>
          <cell r="Q317">
            <v>0</v>
          </cell>
          <cell r="S317">
            <v>0</v>
          </cell>
          <cell r="U317">
            <v>0</v>
          </cell>
          <cell r="W317">
            <v>0</v>
          </cell>
          <cell r="Y317">
            <v>0</v>
          </cell>
          <cell r="AA317">
            <v>0</v>
          </cell>
          <cell r="AC317">
            <v>0</v>
          </cell>
          <cell r="AE317">
            <v>0</v>
          </cell>
          <cell r="AG317">
            <v>0</v>
          </cell>
        </row>
        <row r="318">
          <cell r="D318">
            <v>0</v>
          </cell>
          <cell r="E318">
            <v>0</v>
          </cell>
          <cell r="F318">
            <v>0</v>
          </cell>
          <cell r="G318">
            <v>0</v>
          </cell>
          <cell r="H318">
            <v>0</v>
          </cell>
          <cell r="I318">
            <v>0</v>
          </cell>
          <cell r="K318">
            <v>0</v>
          </cell>
          <cell r="M318">
            <v>0</v>
          </cell>
          <cell r="O318">
            <v>0</v>
          </cell>
          <cell r="Q318">
            <v>0</v>
          </cell>
          <cell r="S318">
            <v>0</v>
          </cell>
          <cell r="U318">
            <v>0</v>
          </cell>
          <cell r="W318">
            <v>0</v>
          </cell>
          <cell r="Y318">
            <v>0</v>
          </cell>
          <cell r="AA318">
            <v>0</v>
          </cell>
          <cell r="AC318">
            <v>0</v>
          </cell>
          <cell r="AE318">
            <v>0</v>
          </cell>
          <cell r="AG318">
            <v>0</v>
          </cell>
        </row>
        <row r="319">
          <cell r="D319">
            <v>0</v>
          </cell>
          <cell r="E319">
            <v>0</v>
          </cell>
          <cell r="F319">
            <v>0</v>
          </cell>
          <cell r="G319">
            <v>0</v>
          </cell>
          <cell r="H319">
            <v>0</v>
          </cell>
          <cell r="I319">
            <v>0</v>
          </cell>
          <cell r="K319">
            <v>0</v>
          </cell>
          <cell r="M319">
            <v>0</v>
          </cell>
          <cell r="O319">
            <v>0</v>
          </cell>
          <cell r="Q319">
            <v>0</v>
          </cell>
          <cell r="S319">
            <v>0</v>
          </cell>
          <cell r="U319">
            <v>0</v>
          </cell>
          <cell r="W319">
            <v>0</v>
          </cell>
          <cell r="Y319">
            <v>0</v>
          </cell>
          <cell r="AA319">
            <v>0</v>
          </cell>
          <cell r="AC319">
            <v>0</v>
          </cell>
          <cell r="AE319">
            <v>0</v>
          </cell>
          <cell r="AG319">
            <v>0</v>
          </cell>
        </row>
        <row r="320">
          <cell r="D320">
            <v>0</v>
          </cell>
          <cell r="E320">
            <v>0</v>
          </cell>
          <cell r="F320">
            <v>0</v>
          </cell>
          <cell r="G320">
            <v>0</v>
          </cell>
          <cell r="H320">
            <v>0</v>
          </cell>
          <cell r="I320">
            <v>0</v>
          </cell>
          <cell r="K320">
            <v>0</v>
          </cell>
          <cell r="M320">
            <v>0</v>
          </cell>
          <cell r="O320">
            <v>0</v>
          </cell>
          <cell r="Q320">
            <v>0</v>
          </cell>
          <cell r="S320">
            <v>0</v>
          </cell>
          <cell r="U320">
            <v>0</v>
          </cell>
          <cell r="W320">
            <v>0</v>
          </cell>
          <cell r="Y320">
            <v>0</v>
          </cell>
          <cell r="AA320">
            <v>0</v>
          </cell>
          <cell r="AC320">
            <v>0</v>
          </cell>
          <cell r="AE320">
            <v>0</v>
          </cell>
          <cell r="AG320">
            <v>0</v>
          </cell>
        </row>
        <row r="321">
          <cell r="D321">
            <v>0</v>
          </cell>
          <cell r="E321">
            <v>0</v>
          </cell>
          <cell r="F321">
            <v>0</v>
          </cell>
          <cell r="G321">
            <v>0</v>
          </cell>
          <cell r="H321">
            <v>0</v>
          </cell>
          <cell r="I321">
            <v>0</v>
          </cell>
          <cell r="K321">
            <v>0</v>
          </cell>
          <cell r="M321">
            <v>0</v>
          </cell>
          <cell r="O321">
            <v>0</v>
          </cell>
          <cell r="Q321">
            <v>0</v>
          </cell>
          <cell r="S321">
            <v>0</v>
          </cell>
          <cell r="U321">
            <v>0</v>
          </cell>
          <cell r="W321">
            <v>0</v>
          </cell>
          <cell r="Y321">
            <v>0</v>
          </cell>
          <cell r="AA321">
            <v>0</v>
          </cell>
          <cell r="AC321">
            <v>0</v>
          </cell>
          <cell r="AE321">
            <v>0</v>
          </cell>
          <cell r="AG321">
            <v>0</v>
          </cell>
        </row>
        <row r="322">
          <cell r="D322">
            <v>0</v>
          </cell>
          <cell r="E322">
            <v>0</v>
          </cell>
          <cell r="F322">
            <v>0</v>
          </cell>
          <cell r="G322">
            <v>0</v>
          </cell>
          <cell r="H322">
            <v>0</v>
          </cell>
          <cell r="I322">
            <v>0</v>
          </cell>
          <cell r="K322">
            <v>0</v>
          </cell>
          <cell r="M322">
            <v>0</v>
          </cell>
          <cell r="O322">
            <v>0</v>
          </cell>
          <cell r="Q322">
            <v>0</v>
          </cell>
          <cell r="S322">
            <v>0</v>
          </cell>
          <cell r="U322">
            <v>0</v>
          </cell>
          <cell r="W322">
            <v>0</v>
          </cell>
          <cell r="Y322">
            <v>0</v>
          </cell>
          <cell r="AA322">
            <v>0</v>
          </cell>
          <cell r="AC322">
            <v>0</v>
          </cell>
          <cell r="AE322">
            <v>0</v>
          </cell>
          <cell r="AG322">
            <v>0</v>
          </cell>
        </row>
        <row r="323">
          <cell r="D323">
            <v>0</v>
          </cell>
          <cell r="E323">
            <v>0</v>
          </cell>
          <cell r="F323">
            <v>0</v>
          </cell>
          <cell r="G323">
            <v>0</v>
          </cell>
          <cell r="H323">
            <v>0</v>
          </cell>
          <cell r="I323">
            <v>0</v>
          </cell>
          <cell r="K323">
            <v>0</v>
          </cell>
          <cell r="M323">
            <v>0</v>
          </cell>
          <cell r="O323">
            <v>0</v>
          </cell>
          <cell r="Q323">
            <v>0</v>
          </cell>
          <cell r="S323">
            <v>0</v>
          </cell>
          <cell r="U323">
            <v>0</v>
          </cell>
          <cell r="W323">
            <v>0</v>
          </cell>
          <cell r="Y323">
            <v>0</v>
          </cell>
          <cell r="AA323">
            <v>0</v>
          </cell>
          <cell r="AC323">
            <v>0</v>
          </cell>
          <cell r="AE323">
            <v>0</v>
          </cell>
          <cell r="AG323">
            <v>0</v>
          </cell>
        </row>
        <row r="324">
          <cell r="D324">
            <v>0</v>
          </cell>
          <cell r="E324">
            <v>0</v>
          </cell>
          <cell r="F324">
            <v>0</v>
          </cell>
          <cell r="G324">
            <v>0</v>
          </cell>
          <cell r="H324">
            <v>0</v>
          </cell>
          <cell r="I324">
            <v>0</v>
          </cell>
          <cell r="K324">
            <v>0</v>
          </cell>
          <cell r="M324">
            <v>0</v>
          </cell>
          <cell r="O324">
            <v>0</v>
          </cell>
          <cell r="Q324">
            <v>0</v>
          </cell>
          <cell r="S324">
            <v>0</v>
          </cell>
          <cell r="U324">
            <v>0</v>
          </cell>
          <cell r="W324">
            <v>0</v>
          </cell>
          <cell r="Y324">
            <v>0</v>
          </cell>
          <cell r="AA324">
            <v>0</v>
          </cell>
          <cell r="AC324">
            <v>0</v>
          </cell>
          <cell r="AE324">
            <v>0</v>
          </cell>
          <cell r="AG324">
            <v>0</v>
          </cell>
        </row>
        <row r="325">
          <cell r="D325">
            <v>0</v>
          </cell>
          <cell r="E325">
            <v>0</v>
          </cell>
          <cell r="F325">
            <v>0</v>
          </cell>
          <cell r="G325">
            <v>0</v>
          </cell>
          <cell r="H325">
            <v>0</v>
          </cell>
          <cell r="I325">
            <v>0</v>
          </cell>
          <cell r="K325">
            <v>0</v>
          </cell>
          <cell r="M325">
            <v>0</v>
          </cell>
          <cell r="O325">
            <v>0</v>
          </cell>
          <cell r="Q325">
            <v>0</v>
          </cell>
          <cell r="S325">
            <v>0</v>
          </cell>
          <cell r="U325">
            <v>0</v>
          </cell>
          <cell r="W325">
            <v>0</v>
          </cell>
          <cell r="Y325">
            <v>0</v>
          </cell>
          <cell r="AA325">
            <v>0</v>
          </cell>
          <cell r="AC325">
            <v>0</v>
          </cell>
          <cell r="AE325">
            <v>0</v>
          </cell>
          <cell r="AG325">
            <v>0</v>
          </cell>
        </row>
        <row r="326">
          <cell r="D326">
            <v>0</v>
          </cell>
          <cell r="E326">
            <v>0</v>
          </cell>
          <cell r="F326">
            <v>0</v>
          </cell>
          <cell r="G326">
            <v>0</v>
          </cell>
          <cell r="H326">
            <v>0</v>
          </cell>
          <cell r="I326">
            <v>0</v>
          </cell>
          <cell r="K326">
            <v>0</v>
          </cell>
          <cell r="M326">
            <v>0</v>
          </cell>
          <cell r="O326">
            <v>0</v>
          </cell>
          <cell r="Q326">
            <v>0</v>
          </cell>
          <cell r="S326">
            <v>0</v>
          </cell>
          <cell r="U326">
            <v>0</v>
          </cell>
          <cell r="W326">
            <v>0</v>
          </cell>
          <cell r="Y326">
            <v>0</v>
          </cell>
          <cell r="AA326">
            <v>0</v>
          </cell>
          <cell r="AC326">
            <v>0</v>
          </cell>
          <cell r="AE326">
            <v>0</v>
          </cell>
          <cell r="AG326">
            <v>0</v>
          </cell>
        </row>
        <row r="327">
          <cell r="D327">
            <v>0</v>
          </cell>
          <cell r="E327">
            <v>0</v>
          </cell>
          <cell r="F327">
            <v>0</v>
          </cell>
          <cell r="G327">
            <v>0</v>
          </cell>
          <cell r="H327">
            <v>0</v>
          </cell>
          <cell r="I327">
            <v>0</v>
          </cell>
          <cell r="K327">
            <v>0</v>
          </cell>
          <cell r="M327">
            <v>0</v>
          </cell>
          <cell r="O327">
            <v>0</v>
          </cell>
          <cell r="Q327">
            <v>0</v>
          </cell>
          <cell r="S327">
            <v>0</v>
          </cell>
          <cell r="U327">
            <v>0</v>
          </cell>
          <cell r="W327">
            <v>0</v>
          </cell>
          <cell r="Y327">
            <v>0</v>
          </cell>
          <cell r="AA327">
            <v>0</v>
          </cell>
          <cell r="AC327">
            <v>0</v>
          </cell>
          <cell r="AE327">
            <v>0</v>
          </cell>
          <cell r="AG327">
            <v>0</v>
          </cell>
        </row>
        <row r="328">
          <cell r="D328">
            <v>0</v>
          </cell>
          <cell r="E328">
            <v>0</v>
          </cell>
          <cell r="F328">
            <v>0</v>
          </cell>
          <cell r="G328">
            <v>0</v>
          </cell>
          <cell r="H328">
            <v>0</v>
          </cell>
          <cell r="I328">
            <v>0</v>
          </cell>
          <cell r="K328">
            <v>0</v>
          </cell>
          <cell r="M328">
            <v>0</v>
          </cell>
          <cell r="O328">
            <v>0</v>
          </cell>
          <cell r="Q328">
            <v>0</v>
          </cell>
          <cell r="S328">
            <v>0</v>
          </cell>
          <cell r="U328">
            <v>0</v>
          </cell>
          <cell r="W328">
            <v>0</v>
          </cell>
          <cell r="Y328">
            <v>0</v>
          </cell>
          <cell r="AA328">
            <v>0</v>
          </cell>
          <cell r="AC328">
            <v>0</v>
          </cell>
          <cell r="AE328">
            <v>0</v>
          </cell>
          <cell r="AG328">
            <v>0</v>
          </cell>
        </row>
        <row r="329">
          <cell r="D329">
            <v>0</v>
          </cell>
          <cell r="E329">
            <v>0</v>
          </cell>
          <cell r="F329">
            <v>0</v>
          </cell>
          <cell r="G329">
            <v>0</v>
          </cell>
          <cell r="H329">
            <v>0</v>
          </cell>
          <cell r="I329">
            <v>0</v>
          </cell>
          <cell r="K329">
            <v>0</v>
          </cell>
          <cell r="M329">
            <v>0</v>
          </cell>
          <cell r="O329">
            <v>0</v>
          </cell>
          <cell r="Q329">
            <v>0</v>
          </cell>
          <cell r="S329">
            <v>0</v>
          </cell>
          <cell r="U329">
            <v>0</v>
          </cell>
          <cell r="W329">
            <v>0</v>
          </cell>
          <cell r="Y329">
            <v>0</v>
          </cell>
          <cell r="AA329">
            <v>0</v>
          </cell>
          <cell r="AC329">
            <v>0</v>
          </cell>
          <cell r="AE329">
            <v>0</v>
          </cell>
          <cell r="AG329">
            <v>0</v>
          </cell>
        </row>
        <row r="330">
          <cell r="D330">
            <v>0</v>
          </cell>
          <cell r="E330">
            <v>0</v>
          </cell>
          <cell r="F330">
            <v>0</v>
          </cell>
          <cell r="G330">
            <v>0</v>
          </cell>
          <cell r="H330">
            <v>0</v>
          </cell>
          <cell r="I330">
            <v>0</v>
          </cell>
          <cell r="K330">
            <v>0</v>
          </cell>
          <cell r="M330">
            <v>0</v>
          </cell>
          <cell r="O330">
            <v>0</v>
          </cell>
          <cell r="Q330">
            <v>0</v>
          </cell>
          <cell r="S330">
            <v>0</v>
          </cell>
          <cell r="U330">
            <v>0</v>
          </cell>
          <cell r="W330">
            <v>0</v>
          </cell>
          <cell r="Y330">
            <v>0</v>
          </cell>
          <cell r="AA330">
            <v>0</v>
          </cell>
          <cell r="AC330">
            <v>0</v>
          </cell>
          <cell r="AE330">
            <v>0</v>
          </cell>
          <cell r="AG330">
            <v>0</v>
          </cell>
        </row>
        <row r="331">
          <cell r="D331">
            <v>0</v>
          </cell>
          <cell r="E331">
            <v>0</v>
          </cell>
          <cell r="F331">
            <v>0</v>
          </cell>
          <cell r="G331">
            <v>0</v>
          </cell>
          <cell r="H331">
            <v>0</v>
          </cell>
          <cell r="I331">
            <v>0</v>
          </cell>
          <cell r="K331">
            <v>0</v>
          </cell>
          <cell r="M331">
            <v>0</v>
          </cell>
          <cell r="O331">
            <v>0</v>
          </cell>
          <cell r="Q331">
            <v>0</v>
          </cell>
          <cell r="S331">
            <v>0</v>
          </cell>
          <cell r="U331">
            <v>0</v>
          </cell>
          <cell r="W331">
            <v>0</v>
          </cell>
          <cell r="Y331">
            <v>0</v>
          </cell>
          <cell r="AA331">
            <v>0</v>
          </cell>
          <cell r="AC331">
            <v>0</v>
          </cell>
          <cell r="AE331">
            <v>0</v>
          </cell>
          <cell r="AG331">
            <v>0</v>
          </cell>
        </row>
        <row r="332">
          <cell r="D332">
            <v>0</v>
          </cell>
          <cell r="E332">
            <v>0</v>
          </cell>
          <cell r="F332">
            <v>0</v>
          </cell>
          <cell r="G332">
            <v>0</v>
          </cell>
          <cell r="H332">
            <v>0</v>
          </cell>
          <cell r="I332">
            <v>0</v>
          </cell>
          <cell r="K332">
            <v>0</v>
          </cell>
          <cell r="M332">
            <v>0</v>
          </cell>
          <cell r="O332">
            <v>0</v>
          </cell>
          <cell r="Q332">
            <v>0</v>
          </cell>
          <cell r="S332">
            <v>0</v>
          </cell>
          <cell r="U332">
            <v>0</v>
          </cell>
          <cell r="W332">
            <v>0</v>
          </cell>
          <cell r="Y332">
            <v>0</v>
          </cell>
          <cell r="AA332">
            <v>0</v>
          </cell>
          <cell r="AC332">
            <v>0</v>
          </cell>
          <cell r="AE332">
            <v>0</v>
          </cell>
          <cell r="AG332">
            <v>0</v>
          </cell>
        </row>
        <row r="333">
          <cell r="D333">
            <v>0</v>
          </cell>
          <cell r="E333">
            <v>0</v>
          </cell>
          <cell r="F333">
            <v>0</v>
          </cell>
          <cell r="G333">
            <v>0</v>
          </cell>
          <cell r="H333">
            <v>0</v>
          </cell>
          <cell r="I333">
            <v>0</v>
          </cell>
          <cell r="K333">
            <v>0</v>
          </cell>
          <cell r="M333">
            <v>0</v>
          </cell>
          <cell r="O333">
            <v>0</v>
          </cell>
          <cell r="Q333">
            <v>0</v>
          </cell>
          <cell r="S333">
            <v>0</v>
          </cell>
          <cell r="U333">
            <v>0</v>
          </cell>
          <cell r="W333">
            <v>0</v>
          </cell>
          <cell r="Y333">
            <v>0</v>
          </cell>
          <cell r="AA333">
            <v>0</v>
          </cell>
          <cell r="AC333">
            <v>0</v>
          </cell>
          <cell r="AE333">
            <v>0</v>
          </cell>
          <cell r="AG333">
            <v>0</v>
          </cell>
        </row>
        <row r="334">
          <cell r="D334">
            <v>0</v>
          </cell>
          <cell r="E334">
            <v>0</v>
          </cell>
          <cell r="F334">
            <v>0</v>
          </cell>
          <cell r="G334">
            <v>0</v>
          </cell>
          <cell r="H334">
            <v>0</v>
          </cell>
          <cell r="I334">
            <v>0</v>
          </cell>
          <cell r="K334">
            <v>0</v>
          </cell>
          <cell r="M334">
            <v>0</v>
          </cell>
          <cell r="O334">
            <v>0</v>
          </cell>
          <cell r="Q334">
            <v>0</v>
          </cell>
          <cell r="S334">
            <v>0</v>
          </cell>
          <cell r="U334">
            <v>0</v>
          </cell>
          <cell r="W334">
            <v>0</v>
          </cell>
          <cell r="Y334">
            <v>0</v>
          </cell>
          <cell r="AA334">
            <v>0</v>
          </cell>
          <cell r="AC334">
            <v>0</v>
          </cell>
          <cell r="AE334">
            <v>0</v>
          </cell>
          <cell r="AG334">
            <v>0</v>
          </cell>
        </row>
        <row r="335">
          <cell r="D335">
            <v>0</v>
          </cell>
          <cell r="E335">
            <v>0</v>
          </cell>
          <cell r="F335">
            <v>0</v>
          </cell>
          <cell r="G335">
            <v>0</v>
          </cell>
          <cell r="H335">
            <v>0</v>
          </cell>
          <cell r="I335">
            <v>0</v>
          </cell>
          <cell r="K335">
            <v>0</v>
          </cell>
          <cell r="M335">
            <v>0</v>
          </cell>
          <cell r="O335">
            <v>0</v>
          </cell>
          <cell r="Q335">
            <v>0</v>
          </cell>
          <cell r="S335">
            <v>0</v>
          </cell>
          <cell r="U335">
            <v>0</v>
          </cell>
          <cell r="W335">
            <v>0</v>
          </cell>
          <cell r="Y335">
            <v>0</v>
          </cell>
          <cell r="AA335">
            <v>0</v>
          </cell>
          <cell r="AC335">
            <v>0</v>
          </cell>
          <cell r="AE335">
            <v>0</v>
          </cell>
          <cell r="AG335">
            <v>0</v>
          </cell>
        </row>
        <row r="336">
          <cell r="D336">
            <v>0</v>
          </cell>
          <cell r="E336">
            <v>0</v>
          </cell>
          <cell r="F336">
            <v>0</v>
          </cell>
          <cell r="G336">
            <v>0</v>
          </cell>
          <cell r="H336">
            <v>0</v>
          </cell>
          <cell r="I336">
            <v>0</v>
          </cell>
          <cell r="K336">
            <v>0</v>
          </cell>
          <cell r="M336">
            <v>0</v>
          </cell>
          <cell r="O336">
            <v>0</v>
          </cell>
          <cell r="Q336">
            <v>0</v>
          </cell>
          <cell r="S336">
            <v>0</v>
          </cell>
          <cell r="U336">
            <v>0</v>
          </cell>
          <cell r="W336">
            <v>0</v>
          </cell>
          <cell r="Y336">
            <v>0</v>
          </cell>
          <cell r="AA336">
            <v>0</v>
          </cell>
          <cell r="AC336">
            <v>0</v>
          </cell>
          <cell r="AE336">
            <v>0</v>
          </cell>
          <cell r="AG336">
            <v>0</v>
          </cell>
        </row>
        <row r="337">
          <cell r="D337">
            <v>0</v>
          </cell>
          <cell r="E337">
            <v>0</v>
          </cell>
          <cell r="F337">
            <v>0</v>
          </cell>
          <cell r="G337">
            <v>0</v>
          </cell>
          <cell r="H337">
            <v>0</v>
          </cell>
          <cell r="I337">
            <v>0</v>
          </cell>
          <cell r="K337">
            <v>0</v>
          </cell>
          <cell r="M337">
            <v>0</v>
          </cell>
          <cell r="O337">
            <v>0</v>
          </cell>
          <cell r="Q337">
            <v>0</v>
          </cell>
          <cell r="S337">
            <v>0</v>
          </cell>
          <cell r="U337">
            <v>0</v>
          </cell>
          <cell r="W337">
            <v>0</v>
          </cell>
          <cell r="Y337">
            <v>0</v>
          </cell>
          <cell r="AA337">
            <v>0</v>
          </cell>
          <cell r="AC337">
            <v>0</v>
          </cell>
          <cell r="AE337">
            <v>0</v>
          </cell>
          <cell r="AG337">
            <v>0</v>
          </cell>
        </row>
        <row r="338">
          <cell r="D338">
            <v>0</v>
          </cell>
          <cell r="E338">
            <v>0</v>
          </cell>
          <cell r="F338">
            <v>0</v>
          </cell>
          <cell r="G338">
            <v>0</v>
          </cell>
          <cell r="H338">
            <v>0</v>
          </cell>
          <cell r="I338">
            <v>0</v>
          </cell>
          <cell r="K338">
            <v>0</v>
          </cell>
          <cell r="M338">
            <v>0</v>
          </cell>
          <cell r="O338">
            <v>0</v>
          </cell>
          <cell r="Q338">
            <v>0</v>
          </cell>
          <cell r="S338">
            <v>0</v>
          </cell>
          <cell r="U338">
            <v>0</v>
          </cell>
          <cell r="W338">
            <v>0</v>
          </cell>
          <cell r="Y338">
            <v>0</v>
          </cell>
          <cell r="AA338">
            <v>0</v>
          </cell>
          <cell r="AC338">
            <v>0</v>
          </cell>
          <cell r="AE338">
            <v>0</v>
          </cell>
          <cell r="AG338">
            <v>0</v>
          </cell>
        </row>
        <row r="339">
          <cell r="D339">
            <v>0</v>
          </cell>
          <cell r="E339">
            <v>0</v>
          </cell>
          <cell r="F339">
            <v>0</v>
          </cell>
          <cell r="G339">
            <v>0</v>
          </cell>
          <cell r="H339">
            <v>0</v>
          </cell>
          <cell r="I339">
            <v>0</v>
          </cell>
          <cell r="K339">
            <v>0</v>
          </cell>
          <cell r="M339">
            <v>0</v>
          </cell>
          <cell r="O339">
            <v>0</v>
          </cell>
          <cell r="Q339">
            <v>0</v>
          </cell>
          <cell r="S339">
            <v>0</v>
          </cell>
          <cell r="U339">
            <v>0</v>
          </cell>
          <cell r="W339">
            <v>0</v>
          </cell>
          <cell r="Y339">
            <v>0</v>
          </cell>
          <cell r="AA339">
            <v>0</v>
          </cell>
          <cell r="AC339">
            <v>0</v>
          </cell>
          <cell r="AE339">
            <v>0</v>
          </cell>
          <cell r="AG339">
            <v>0</v>
          </cell>
        </row>
        <row r="340">
          <cell r="D340">
            <v>0</v>
          </cell>
          <cell r="E340">
            <v>0</v>
          </cell>
          <cell r="F340">
            <v>0</v>
          </cell>
          <cell r="G340">
            <v>0</v>
          </cell>
          <cell r="H340">
            <v>0</v>
          </cell>
          <cell r="I340">
            <v>0</v>
          </cell>
          <cell r="K340">
            <v>0</v>
          </cell>
          <cell r="M340">
            <v>0</v>
          </cell>
          <cell r="O340">
            <v>0</v>
          </cell>
          <cell r="Q340">
            <v>0</v>
          </cell>
          <cell r="S340">
            <v>0</v>
          </cell>
          <cell r="U340">
            <v>0</v>
          </cell>
          <cell r="W340">
            <v>0</v>
          </cell>
          <cell r="Y340">
            <v>0</v>
          </cell>
          <cell r="AA340">
            <v>0</v>
          </cell>
          <cell r="AC340">
            <v>0</v>
          </cell>
          <cell r="AE340">
            <v>0</v>
          </cell>
          <cell r="AG340">
            <v>0</v>
          </cell>
        </row>
        <row r="341">
          <cell r="D341">
            <v>0</v>
          </cell>
          <cell r="E341">
            <v>0</v>
          </cell>
          <cell r="F341">
            <v>0</v>
          </cell>
          <cell r="G341">
            <v>0</v>
          </cell>
          <cell r="H341">
            <v>0</v>
          </cell>
          <cell r="I341">
            <v>0</v>
          </cell>
          <cell r="K341">
            <v>0</v>
          </cell>
          <cell r="M341">
            <v>0</v>
          </cell>
          <cell r="O341">
            <v>0</v>
          </cell>
          <cell r="Q341">
            <v>0</v>
          </cell>
          <cell r="S341">
            <v>0</v>
          </cell>
          <cell r="U341">
            <v>0</v>
          </cell>
          <cell r="W341">
            <v>0</v>
          </cell>
          <cell r="Y341">
            <v>0</v>
          </cell>
          <cell r="AA341">
            <v>0</v>
          </cell>
          <cell r="AC341">
            <v>0</v>
          </cell>
          <cell r="AE341">
            <v>0</v>
          </cell>
          <cell r="AG341">
            <v>0</v>
          </cell>
        </row>
        <row r="342">
          <cell r="D342">
            <v>0</v>
          </cell>
          <cell r="E342">
            <v>0</v>
          </cell>
          <cell r="F342">
            <v>0</v>
          </cell>
          <cell r="G342">
            <v>0</v>
          </cell>
          <cell r="H342">
            <v>0</v>
          </cell>
          <cell r="I342">
            <v>0</v>
          </cell>
          <cell r="K342">
            <v>0</v>
          </cell>
          <cell r="M342">
            <v>0</v>
          </cell>
          <cell r="O342">
            <v>0</v>
          </cell>
          <cell r="Q342">
            <v>0</v>
          </cell>
          <cell r="S342">
            <v>0</v>
          </cell>
          <cell r="U342">
            <v>0</v>
          </cell>
          <cell r="W342">
            <v>0</v>
          </cell>
          <cell r="Y342">
            <v>0</v>
          </cell>
          <cell r="AA342">
            <v>0</v>
          </cell>
          <cell r="AC342">
            <v>0</v>
          </cell>
          <cell r="AE342">
            <v>0</v>
          </cell>
          <cell r="AG342">
            <v>0</v>
          </cell>
        </row>
        <row r="343">
          <cell r="D343">
            <v>0</v>
          </cell>
          <cell r="E343">
            <v>0</v>
          </cell>
          <cell r="F343">
            <v>0</v>
          </cell>
          <cell r="G343">
            <v>0</v>
          </cell>
          <cell r="H343">
            <v>0</v>
          </cell>
          <cell r="I343">
            <v>0</v>
          </cell>
          <cell r="K343">
            <v>0</v>
          </cell>
          <cell r="M343">
            <v>0</v>
          </cell>
          <cell r="O343">
            <v>0</v>
          </cell>
          <cell r="Q343">
            <v>0</v>
          </cell>
          <cell r="S343">
            <v>0</v>
          </cell>
          <cell r="U343">
            <v>0</v>
          </cell>
          <cell r="W343">
            <v>0</v>
          </cell>
          <cell r="Y343">
            <v>0</v>
          </cell>
          <cell r="AA343">
            <v>0</v>
          </cell>
          <cell r="AC343">
            <v>0</v>
          </cell>
          <cell r="AE343">
            <v>0</v>
          </cell>
          <cell r="AG343">
            <v>0</v>
          </cell>
        </row>
        <row r="344">
          <cell r="D344">
            <v>0</v>
          </cell>
          <cell r="E344">
            <v>0</v>
          </cell>
          <cell r="F344">
            <v>0</v>
          </cell>
          <cell r="G344">
            <v>0</v>
          </cell>
          <cell r="H344">
            <v>0</v>
          </cell>
          <cell r="I344">
            <v>0</v>
          </cell>
          <cell r="K344">
            <v>0</v>
          </cell>
          <cell r="M344">
            <v>0</v>
          </cell>
          <cell r="O344">
            <v>0</v>
          </cell>
          <cell r="Q344">
            <v>0</v>
          </cell>
          <cell r="S344">
            <v>0</v>
          </cell>
          <cell r="U344">
            <v>0</v>
          </cell>
          <cell r="W344">
            <v>0</v>
          </cell>
          <cell r="Y344">
            <v>0</v>
          </cell>
          <cell r="AA344">
            <v>0</v>
          </cell>
          <cell r="AC344">
            <v>0</v>
          </cell>
          <cell r="AE344">
            <v>0</v>
          </cell>
          <cell r="AG344">
            <v>0</v>
          </cell>
        </row>
        <row r="345">
          <cell r="D345">
            <v>0</v>
          </cell>
          <cell r="E345">
            <v>0</v>
          </cell>
          <cell r="F345">
            <v>0</v>
          </cell>
          <cell r="G345">
            <v>0</v>
          </cell>
          <cell r="H345">
            <v>0</v>
          </cell>
          <cell r="I345">
            <v>0</v>
          </cell>
          <cell r="K345">
            <v>0</v>
          </cell>
          <cell r="M345">
            <v>0</v>
          </cell>
          <cell r="O345">
            <v>0</v>
          </cell>
          <cell r="Q345">
            <v>0</v>
          </cell>
          <cell r="S345">
            <v>0</v>
          </cell>
          <cell r="U345">
            <v>0</v>
          </cell>
          <cell r="W345">
            <v>0</v>
          </cell>
          <cell r="Y345">
            <v>0</v>
          </cell>
          <cell r="AA345">
            <v>0</v>
          </cell>
          <cell r="AC345">
            <v>0</v>
          </cell>
          <cell r="AE345">
            <v>0</v>
          </cell>
          <cell r="AG345">
            <v>0</v>
          </cell>
        </row>
        <row r="346">
          <cell r="D346">
            <v>0</v>
          </cell>
          <cell r="E346">
            <v>0</v>
          </cell>
          <cell r="F346">
            <v>0</v>
          </cell>
          <cell r="G346">
            <v>0</v>
          </cell>
          <cell r="H346">
            <v>0</v>
          </cell>
          <cell r="I346">
            <v>0</v>
          </cell>
          <cell r="K346">
            <v>0</v>
          </cell>
          <cell r="M346">
            <v>0</v>
          </cell>
          <cell r="O346">
            <v>0</v>
          </cell>
          <cell r="Q346">
            <v>0</v>
          </cell>
          <cell r="S346">
            <v>0</v>
          </cell>
          <cell r="U346">
            <v>0</v>
          </cell>
          <cell r="W346">
            <v>0</v>
          </cell>
          <cell r="Y346">
            <v>0</v>
          </cell>
          <cell r="AA346">
            <v>0</v>
          </cell>
          <cell r="AC346">
            <v>0</v>
          </cell>
          <cell r="AE346">
            <v>0</v>
          </cell>
          <cell r="AG346">
            <v>0</v>
          </cell>
        </row>
        <row r="347">
          <cell r="D347">
            <v>0</v>
          </cell>
          <cell r="E347">
            <v>0</v>
          </cell>
          <cell r="F347">
            <v>0</v>
          </cell>
          <cell r="G347">
            <v>0</v>
          </cell>
          <cell r="H347">
            <v>0</v>
          </cell>
          <cell r="I347">
            <v>0</v>
          </cell>
          <cell r="K347">
            <v>0</v>
          </cell>
          <cell r="M347">
            <v>0</v>
          </cell>
          <cell r="O347">
            <v>0</v>
          </cell>
          <cell r="Q347">
            <v>0</v>
          </cell>
          <cell r="S347">
            <v>0</v>
          </cell>
          <cell r="U347">
            <v>0</v>
          </cell>
          <cell r="W347">
            <v>0</v>
          </cell>
          <cell r="Y347">
            <v>0</v>
          </cell>
          <cell r="AA347">
            <v>0</v>
          </cell>
          <cell r="AC347">
            <v>0</v>
          </cell>
          <cell r="AE347">
            <v>0</v>
          </cell>
          <cell r="AG347">
            <v>0</v>
          </cell>
        </row>
        <row r="348">
          <cell r="D348">
            <v>0</v>
          </cell>
          <cell r="E348">
            <v>0</v>
          </cell>
          <cell r="F348">
            <v>0</v>
          </cell>
          <cell r="G348">
            <v>0</v>
          </cell>
          <cell r="H348">
            <v>0</v>
          </cell>
          <cell r="I348">
            <v>0</v>
          </cell>
          <cell r="K348">
            <v>0</v>
          </cell>
          <cell r="M348">
            <v>0</v>
          </cell>
          <cell r="O348">
            <v>0</v>
          </cell>
          <cell r="Q348">
            <v>0</v>
          </cell>
          <cell r="S348">
            <v>0</v>
          </cell>
          <cell r="U348">
            <v>0</v>
          </cell>
          <cell r="W348">
            <v>0</v>
          </cell>
          <cell r="Y348">
            <v>0</v>
          </cell>
          <cell r="AA348">
            <v>0</v>
          </cell>
          <cell r="AC348">
            <v>0</v>
          </cell>
          <cell r="AE348">
            <v>0</v>
          </cell>
          <cell r="AG348">
            <v>0</v>
          </cell>
        </row>
        <row r="349">
          <cell r="D349">
            <v>0</v>
          </cell>
          <cell r="E349">
            <v>0</v>
          </cell>
          <cell r="F349">
            <v>0</v>
          </cell>
          <cell r="G349">
            <v>0</v>
          </cell>
          <cell r="H349">
            <v>0</v>
          </cell>
          <cell r="I349">
            <v>0</v>
          </cell>
          <cell r="K349">
            <v>0</v>
          </cell>
          <cell r="M349">
            <v>0</v>
          </cell>
          <cell r="O349">
            <v>0</v>
          </cell>
          <cell r="Q349">
            <v>0</v>
          </cell>
          <cell r="S349">
            <v>0</v>
          </cell>
          <cell r="U349">
            <v>0</v>
          </cell>
          <cell r="W349">
            <v>0</v>
          </cell>
          <cell r="Y349">
            <v>0</v>
          </cell>
          <cell r="AA349">
            <v>0</v>
          </cell>
          <cell r="AC349">
            <v>0</v>
          </cell>
          <cell r="AE349">
            <v>0</v>
          </cell>
          <cell r="AG349">
            <v>0</v>
          </cell>
        </row>
        <row r="350">
          <cell r="D350">
            <v>0</v>
          </cell>
          <cell r="E350">
            <v>0</v>
          </cell>
          <cell r="F350">
            <v>0</v>
          </cell>
          <cell r="G350">
            <v>0</v>
          </cell>
          <cell r="H350">
            <v>0</v>
          </cell>
          <cell r="I350">
            <v>0</v>
          </cell>
          <cell r="K350">
            <v>0</v>
          </cell>
          <cell r="M350">
            <v>0</v>
          </cell>
          <cell r="O350">
            <v>0</v>
          </cell>
          <cell r="Q350">
            <v>0</v>
          </cell>
          <cell r="S350">
            <v>0</v>
          </cell>
          <cell r="U350">
            <v>0</v>
          </cell>
          <cell r="W350">
            <v>0</v>
          </cell>
          <cell r="Y350">
            <v>0</v>
          </cell>
          <cell r="AA350">
            <v>0</v>
          </cell>
          <cell r="AC350">
            <v>0</v>
          </cell>
          <cell r="AE350">
            <v>0</v>
          </cell>
          <cell r="AG350">
            <v>0</v>
          </cell>
        </row>
        <row r="351">
          <cell r="D351">
            <v>0</v>
          </cell>
          <cell r="E351">
            <v>0</v>
          </cell>
          <cell r="F351">
            <v>0</v>
          </cell>
          <cell r="G351">
            <v>0</v>
          </cell>
          <cell r="H351">
            <v>0</v>
          </cell>
          <cell r="I351">
            <v>0</v>
          </cell>
          <cell r="K351">
            <v>0</v>
          </cell>
          <cell r="M351">
            <v>0</v>
          </cell>
          <cell r="O351">
            <v>0</v>
          </cell>
          <cell r="Q351">
            <v>0</v>
          </cell>
          <cell r="S351">
            <v>0</v>
          </cell>
          <cell r="U351">
            <v>0</v>
          </cell>
          <cell r="W351">
            <v>0</v>
          </cell>
          <cell r="Y351">
            <v>0</v>
          </cell>
          <cell r="AA351">
            <v>0</v>
          </cell>
          <cell r="AC351">
            <v>0</v>
          </cell>
          <cell r="AE351">
            <v>0</v>
          </cell>
          <cell r="AG351">
            <v>0</v>
          </cell>
        </row>
        <row r="352">
          <cell r="D352">
            <v>0</v>
          </cell>
          <cell r="E352">
            <v>0</v>
          </cell>
          <cell r="F352">
            <v>0</v>
          </cell>
          <cell r="G352">
            <v>0</v>
          </cell>
          <cell r="H352">
            <v>0</v>
          </cell>
          <cell r="I352">
            <v>0</v>
          </cell>
          <cell r="K352">
            <v>0</v>
          </cell>
          <cell r="M352">
            <v>0</v>
          </cell>
          <cell r="O352">
            <v>0</v>
          </cell>
          <cell r="Q352">
            <v>0</v>
          </cell>
          <cell r="S352">
            <v>0</v>
          </cell>
          <cell r="U352">
            <v>0</v>
          </cell>
          <cell r="W352">
            <v>0</v>
          </cell>
          <cell r="Y352">
            <v>0</v>
          </cell>
          <cell r="AA352">
            <v>0</v>
          </cell>
          <cell r="AC352">
            <v>0</v>
          </cell>
          <cell r="AE352">
            <v>0</v>
          </cell>
          <cell r="AG352">
            <v>0</v>
          </cell>
        </row>
        <row r="353">
          <cell r="D353">
            <v>0</v>
          </cell>
          <cell r="E353">
            <v>0</v>
          </cell>
          <cell r="F353">
            <v>0</v>
          </cell>
          <cell r="G353">
            <v>0</v>
          </cell>
          <cell r="H353">
            <v>0</v>
          </cell>
          <cell r="I353">
            <v>0</v>
          </cell>
          <cell r="K353">
            <v>0</v>
          </cell>
          <cell r="M353">
            <v>0</v>
          </cell>
          <cell r="O353">
            <v>0</v>
          </cell>
          <cell r="Q353">
            <v>0</v>
          </cell>
          <cell r="S353">
            <v>0</v>
          </cell>
          <cell r="U353">
            <v>0</v>
          </cell>
          <cell r="W353">
            <v>0</v>
          </cell>
          <cell r="Y353">
            <v>0</v>
          </cell>
          <cell r="AA353">
            <v>0</v>
          </cell>
          <cell r="AC353">
            <v>0</v>
          </cell>
          <cell r="AE353">
            <v>0</v>
          </cell>
          <cell r="AG353">
            <v>0</v>
          </cell>
        </row>
        <row r="354">
          <cell r="D354">
            <v>0</v>
          </cell>
          <cell r="E354">
            <v>0</v>
          </cell>
          <cell r="F354">
            <v>0</v>
          </cell>
          <cell r="G354">
            <v>0</v>
          </cell>
          <cell r="H354">
            <v>0</v>
          </cell>
          <cell r="I354">
            <v>0</v>
          </cell>
          <cell r="K354">
            <v>0</v>
          </cell>
          <cell r="M354">
            <v>0</v>
          </cell>
          <cell r="O354">
            <v>0</v>
          </cell>
          <cell r="Q354">
            <v>0</v>
          </cell>
          <cell r="S354">
            <v>0</v>
          </cell>
          <cell r="U354">
            <v>0</v>
          </cell>
          <cell r="W354">
            <v>0</v>
          </cell>
          <cell r="Y354">
            <v>0</v>
          </cell>
          <cell r="AA354">
            <v>0</v>
          </cell>
          <cell r="AC354">
            <v>0</v>
          </cell>
          <cell r="AE354">
            <v>0</v>
          </cell>
          <cell r="AG354">
            <v>0</v>
          </cell>
        </row>
        <row r="355">
          <cell r="D355">
            <v>0</v>
          </cell>
          <cell r="E355">
            <v>0</v>
          </cell>
          <cell r="F355">
            <v>0</v>
          </cell>
          <cell r="G355">
            <v>0</v>
          </cell>
          <cell r="H355">
            <v>0</v>
          </cell>
          <cell r="I355">
            <v>0</v>
          </cell>
          <cell r="K355">
            <v>0</v>
          </cell>
          <cell r="M355">
            <v>0</v>
          </cell>
          <cell r="O355">
            <v>0</v>
          </cell>
          <cell r="Q355">
            <v>0</v>
          </cell>
          <cell r="S355">
            <v>0</v>
          </cell>
          <cell r="U355">
            <v>0</v>
          </cell>
          <cell r="W355">
            <v>0</v>
          </cell>
          <cell r="Y355">
            <v>0</v>
          </cell>
          <cell r="AA355">
            <v>0</v>
          </cell>
          <cell r="AC355">
            <v>0</v>
          </cell>
          <cell r="AE355">
            <v>0</v>
          </cell>
          <cell r="AG355">
            <v>0</v>
          </cell>
        </row>
        <row r="356">
          <cell r="D356">
            <v>0</v>
          </cell>
          <cell r="E356">
            <v>0</v>
          </cell>
          <cell r="F356">
            <v>0</v>
          </cell>
          <cell r="G356">
            <v>0</v>
          </cell>
          <cell r="H356">
            <v>0</v>
          </cell>
          <cell r="I356">
            <v>0</v>
          </cell>
          <cell r="K356">
            <v>0</v>
          </cell>
          <cell r="M356">
            <v>0</v>
          </cell>
          <cell r="O356">
            <v>0</v>
          </cell>
          <cell r="Q356">
            <v>0</v>
          </cell>
          <cell r="S356">
            <v>0</v>
          </cell>
          <cell r="U356">
            <v>0</v>
          </cell>
          <cell r="W356">
            <v>0</v>
          </cell>
          <cell r="Y356">
            <v>0</v>
          </cell>
          <cell r="AA356">
            <v>0</v>
          </cell>
          <cell r="AC356">
            <v>0</v>
          </cell>
          <cell r="AE356">
            <v>0</v>
          </cell>
          <cell r="AG356">
            <v>0</v>
          </cell>
        </row>
        <row r="357">
          <cell r="D357">
            <v>0</v>
          </cell>
          <cell r="E357">
            <v>0</v>
          </cell>
          <cell r="F357">
            <v>0</v>
          </cell>
          <cell r="G357">
            <v>0</v>
          </cell>
          <cell r="H357">
            <v>0</v>
          </cell>
          <cell r="I357">
            <v>0</v>
          </cell>
          <cell r="K357">
            <v>0</v>
          </cell>
          <cell r="M357">
            <v>0</v>
          </cell>
          <cell r="O357">
            <v>0</v>
          </cell>
          <cell r="Q357">
            <v>0</v>
          </cell>
          <cell r="S357">
            <v>0</v>
          </cell>
          <cell r="U357">
            <v>0</v>
          </cell>
          <cell r="W357">
            <v>0</v>
          </cell>
          <cell r="Y357">
            <v>0</v>
          </cell>
          <cell r="AA357">
            <v>0</v>
          </cell>
          <cell r="AC357">
            <v>0</v>
          </cell>
          <cell r="AE357">
            <v>0</v>
          </cell>
          <cell r="AG357">
            <v>0</v>
          </cell>
        </row>
        <row r="358">
          <cell r="D358">
            <v>0</v>
          </cell>
          <cell r="E358">
            <v>0</v>
          </cell>
          <cell r="F358">
            <v>0</v>
          </cell>
          <cell r="G358">
            <v>0</v>
          </cell>
          <cell r="H358">
            <v>0</v>
          </cell>
          <cell r="I358">
            <v>0</v>
          </cell>
          <cell r="K358">
            <v>0</v>
          </cell>
          <cell r="M358">
            <v>0</v>
          </cell>
          <cell r="O358">
            <v>0</v>
          </cell>
          <cell r="Q358">
            <v>0</v>
          </cell>
          <cell r="S358">
            <v>0</v>
          </cell>
          <cell r="U358">
            <v>0</v>
          </cell>
          <cell r="W358">
            <v>0</v>
          </cell>
          <cell r="Y358">
            <v>0</v>
          </cell>
          <cell r="AA358">
            <v>0</v>
          </cell>
          <cell r="AC358">
            <v>0</v>
          </cell>
          <cell r="AE358">
            <v>0</v>
          </cell>
          <cell r="AG358">
            <v>0</v>
          </cell>
        </row>
        <row r="359">
          <cell r="D359">
            <v>0</v>
          </cell>
          <cell r="E359">
            <v>0</v>
          </cell>
          <cell r="F359">
            <v>0</v>
          </cell>
          <cell r="G359">
            <v>0</v>
          </cell>
          <cell r="H359">
            <v>0</v>
          </cell>
          <cell r="I359">
            <v>0</v>
          </cell>
          <cell r="K359">
            <v>0</v>
          </cell>
          <cell r="M359">
            <v>0</v>
          </cell>
          <cell r="O359">
            <v>0</v>
          </cell>
          <cell r="Q359">
            <v>0</v>
          </cell>
          <cell r="S359">
            <v>0</v>
          </cell>
          <cell r="U359">
            <v>0</v>
          </cell>
          <cell r="W359">
            <v>0</v>
          </cell>
          <cell r="Y359">
            <v>0</v>
          </cell>
          <cell r="AA359">
            <v>0</v>
          </cell>
          <cell r="AC359">
            <v>0</v>
          </cell>
          <cell r="AE359">
            <v>0</v>
          </cell>
          <cell r="AG359">
            <v>0</v>
          </cell>
        </row>
        <row r="360">
          <cell r="D360">
            <v>0</v>
          </cell>
          <cell r="E360">
            <v>0</v>
          </cell>
          <cell r="F360">
            <v>0</v>
          </cell>
          <cell r="G360">
            <v>0</v>
          </cell>
          <cell r="H360">
            <v>0</v>
          </cell>
          <cell r="I360">
            <v>0</v>
          </cell>
          <cell r="K360">
            <v>0</v>
          </cell>
          <cell r="M360">
            <v>0</v>
          </cell>
          <cell r="O360">
            <v>0</v>
          </cell>
          <cell r="Q360">
            <v>0</v>
          </cell>
          <cell r="S360">
            <v>0</v>
          </cell>
          <cell r="U360">
            <v>0</v>
          </cell>
          <cell r="W360">
            <v>0</v>
          </cell>
          <cell r="Y360">
            <v>0</v>
          </cell>
          <cell r="AA360">
            <v>0</v>
          </cell>
          <cell r="AC360">
            <v>0</v>
          </cell>
          <cell r="AE360">
            <v>0</v>
          </cell>
          <cell r="AG360">
            <v>0</v>
          </cell>
        </row>
        <row r="361">
          <cell r="D361">
            <v>0</v>
          </cell>
          <cell r="E361">
            <v>0</v>
          </cell>
          <cell r="F361">
            <v>0</v>
          </cell>
          <cell r="G361">
            <v>0</v>
          </cell>
          <cell r="H361">
            <v>0</v>
          </cell>
          <cell r="I361">
            <v>0</v>
          </cell>
          <cell r="K361">
            <v>0</v>
          </cell>
          <cell r="M361">
            <v>0</v>
          </cell>
          <cell r="O361">
            <v>0</v>
          </cell>
          <cell r="Q361">
            <v>0</v>
          </cell>
          <cell r="S361">
            <v>0</v>
          </cell>
          <cell r="U361">
            <v>0</v>
          </cell>
          <cell r="W361">
            <v>0</v>
          </cell>
          <cell r="Y361">
            <v>0</v>
          </cell>
          <cell r="AA361">
            <v>0</v>
          </cell>
          <cell r="AC361">
            <v>0</v>
          </cell>
          <cell r="AE361">
            <v>0</v>
          </cell>
          <cell r="AG361">
            <v>0</v>
          </cell>
        </row>
        <row r="362">
          <cell r="D362">
            <v>0</v>
          </cell>
          <cell r="E362">
            <v>0</v>
          </cell>
          <cell r="F362">
            <v>0</v>
          </cell>
          <cell r="G362">
            <v>0</v>
          </cell>
          <cell r="H362">
            <v>0</v>
          </cell>
          <cell r="I362">
            <v>0</v>
          </cell>
          <cell r="K362">
            <v>0</v>
          </cell>
          <cell r="M362">
            <v>0</v>
          </cell>
          <cell r="O362">
            <v>0</v>
          </cell>
          <cell r="Q362">
            <v>0</v>
          </cell>
          <cell r="S362">
            <v>0</v>
          </cell>
          <cell r="U362">
            <v>0</v>
          </cell>
          <cell r="W362">
            <v>0</v>
          </cell>
          <cell r="Y362">
            <v>0</v>
          </cell>
          <cell r="AA362">
            <v>0</v>
          </cell>
          <cell r="AC362">
            <v>0</v>
          </cell>
          <cell r="AE362">
            <v>0</v>
          </cell>
          <cell r="AG362">
            <v>0</v>
          </cell>
        </row>
        <row r="363">
          <cell r="D363">
            <v>0</v>
          </cell>
          <cell r="E363">
            <v>0</v>
          </cell>
          <cell r="F363">
            <v>0</v>
          </cell>
          <cell r="G363">
            <v>0</v>
          </cell>
          <cell r="H363">
            <v>0</v>
          </cell>
          <cell r="I363">
            <v>0</v>
          </cell>
          <cell r="K363">
            <v>0</v>
          </cell>
          <cell r="M363">
            <v>0</v>
          </cell>
          <cell r="O363">
            <v>0</v>
          </cell>
          <cell r="Q363">
            <v>0</v>
          </cell>
          <cell r="S363">
            <v>0</v>
          </cell>
          <cell r="U363">
            <v>0</v>
          </cell>
          <cell r="W363">
            <v>0</v>
          </cell>
          <cell r="Y363">
            <v>0</v>
          </cell>
          <cell r="AA363">
            <v>0</v>
          </cell>
          <cell r="AC363">
            <v>0</v>
          </cell>
          <cell r="AE363">
            <v>0</v>
          </cell>
          <cell r="AG363">
            <v>0</v>
          </cell>
        </row>
        <row r="364">
          <cell r="D364">
            <v>0</v>
          </cell>
          <cell r="E364">
            <v>0</v>
          </cell>
          <cell r="F364">
            <v>0</v>
          </cell>
          <cell r="G364">
            <v>0</v>
          </cell>
          <cell r="H364">
            <v>0</v>
          </cell>
          <cell r="I364">
            <v>0</v>
          </cell>
          <cell r="K364">
            <v>0</v>
          </cell>
          <cell r="M364">
            <v>0</v>
          </cell>
          <cell r="O364">
            <v>0</v>
          </cell>
          <cell r="Q364">
            <v>0</v>
          </cell>
          <cell r="S364">
            <v>0</v>
          </cell>
          <cell r="U364">
            <v>0</v>
          </cell>
          <cell r="W364">
            <v>0</v>
          </cell>
          <cell r="Y364">
            <v>0</v>
          </cell>
          <cell r="AA364">
            <v>0</v>
          </cell>
          <cell r="AC364">
            <v>0</v>
          </cell>
          <cell r="AE364">
            <v>0</v>
          </cell>
          <cell r="AG364">
            <v>0</v>
          </cell>
        </row>
        <row r="365">
          <cell r="D365">
            <v>0</v>
          </cell>
          <cell r="E365">
            <v>0</v>
          </cell>
          <cell r="F365">
            <v>0</v>
          </cell>
          <cell r="G365">
            <v>0</v>
          </cell>
          <cell r="H365">
            <v>0</v>
          </cell>
          <cell r="I365">
            <v>0</v>
          </cell>
          <cell r="K365">
            <v>0</v>
          </cell>
          <cell r="M365">
            <v>0</v>
          </cell>
          <cell r="O365">
            <v>0</v>
          </cell>
          <cell r="Q365">
            <v>0</v>
          </cell>
          <cell r="S365">
            <v>0</v>
          </cell>
          <cell r="U365">
            <v>0</v>
          </cell>
          <cell r="W365">
            <v>0</v>
          </cell>
          <cell r="Y365">
            <v>0</v>
          </cell>
          <cell r="AA365">
            <v>0</v>
          </cell>
          <cell r="AC365">
            <v>0</v>
          </cell>
          <cell r="AE365">
            <v>0</v>
          </cell>
          <cell r="AG365">
            <v>0</v>
          </cell>
        </row>
        <row r="366">
          <cell r="D366">
            <v>0</v>
          </cell>
          <cell r="E366">
            <v>0</v>
          </cell>
          <cell r="F366">
            <v>0</v>
          </cell>
          <cell r="G366">
            <v>0</v>
          </cell>
          <cell r="H366">
            <v>0</v>
          </cell>
          <cell r="I366">
            <v>0</v>
          </cell>
          <cell r="K366">
            <v>0</v>
          </cell>
          <cell r="M366">
            <v>0</v>
          </cell>
          <cell r="O366">
            <v>0</v>
          </cell>
          <cell r="Q366">
            <v>0</v>
          </cell>
          <cell r="S366">
            <v>0</v>
          </cell>
          <cell r="U366">
            <v>0</v>
          </cell>
          <cell r="W366">
            <v>0</v>
          </cell>
          <cell r="Y366">
            <v>0</v>
          </cell>
          <cell r="AA366">
            <v>0</v>
          </cell>
          <cell r="AC366">
            <v>0</v>
          </cell>
          <cell r="AE366">
            <v>0</v>
          </cell>
          <cell r="AG366">
            <v>0</v>
          </cell>
        </row>
        <row r="367">
          <cell r="D367">
            <v>0</v>
          </cell>
          <cell r="E367">
            <v>0</v>
          </cell>
          <cell r="F367">
            <v>0</v>
          </cell>
          <cell r="G367">
            <v>0</v>
          </cell>
          <cell r="H367">
            <v>0</v>
          </cell>
          <cell r="I367">
            <v>0</v>
          </cell>
          <cell r="K367">
            <v>0</v>
          </cell>
          <cell r="M367">
            <v>0</v>
          </cell>
          <cell r="O367">
            <v>0</v>
          </cell>
          <cell r="Q367">
            <v>0</v>
          </cell>
          <cell r="S367">
            <v>0</v>
          </cell>
          <cell r="U367">
            <v>0</v>
          </cell>
          <cell r="W367">
            <v>0</v>
          </cell>
          <cell r="Y367">
            <v>0</v>
          </cell>
          <cell r="AA367">
            <v>0</v>
          </cell>
          <cell r="AC367">
            <v>0</v>
          </cell>
          <cell r="AE367">
            <v>0</v>
          </cell>
          <cell r="AG367">
            <v>0</v>
          </cell>
        </row>
        <row r="368">
          <cell r="D368">
            <v>0</v>
          </cell>
          <cell r="E368">
            <v>0</v>
          </cell>
          <cell r="F368">
            <v>0</v>
          </cell>
          <cell r="G368">
            <v>0</v>
          </cell>
          <cell r="H368">
            <v>0</v>
          </cell>
          <cell r="I368">
            <v>0</v>
          </cell>
          <cell r="K368">
            <v>0</v>
          </cell>
          <cell r="M368">
            <v>0</v>
          </cell>
          <cell r="O368">
            <v>0</v>
          </cell>
          <cell r="Q368">
            <v>0</v>
          </cell>
          <cell r="S368">
            <v>0</v>
          </cell>
          <cell r="U368">
            <v>0</v>
          </cell>
          <cell r="W368">
            <v>0</v>
          </cell>
          <cell r="Y368">
            <v>0</v>
          </cell>
          <cell r="AA368">
            <v>0</v>
          </cell>
          <cell r="AC368">
            <v>0</v>
          </cell>
          <cell r="AE368">
            <v>0</v>
          </cell>
          <cell r="AG368">
            <v>0</v>
          </cell>
        </row>
        <row r="369">
          <cell r="D369">
            <v>0</v>
          </cell>
          <cell r="E369">
            <v>0</v>
          </cell>
          <cell r="F369">
            <v>0</v>
          </cell>
          <cell r="G369">
            <v>0</v>
          </cell>
          <cell r="H369">
            <v>0</v>
          </cell>
          <cell r="I369">
            <v>0</v>
          </cell>
          <cell r="K369">
            <v>0</v>
          </cell>
          <cell r="M369">
            <v>0</v>
          </cell>
          <cell r="O369">
            <v>0</v>
          </cell>
          <cell r="Q369">
            <v>0</v>
          </cell>
          <cell r="S369">
            <v>0</v>
          </cell>
          <cell r="U369">
            <v>0</v>
          </cell>
          <cell r="W369">
            <v>0</v>
          </cell>
          <cell r="Y369">
            <v>0</v>
          </cell>
          <cell r="AA369">
            <v>0</v>
          </cell>
          <cell r="AC369">
            <v>0</v>
          </cell>
          <cell r="AE369">
            <v>0</v>
          </cell>
          <cell r="AG369">
            <v>0</v>
          </cell>
        </row>
        <row r="370">
          <cell r="D370">
            <v>0</v>
          </cell>
          <cell r="E370">
            <v>0</v>
          </cell>
          <cell r="F370">
            <v>0</v>
          </cell>
          <cell r="G370">
            <v>0</v>
          </cell>
          <cell r="H370">
            <v>0</v>
          </cell>
          <cell r="I370">
            <v>0</v>
          </cell>
          <cell r="K370">
            <v>0</v>
          </cell>
          <cell r="M370">
            <v>0</v>
          </cell>
          <cell r="O370">
            <v>0</v>
          </cell>
          <cell r="Q370">
            <v>0</v>
          </cell>
          <cell r="S370">
            <v>0</v>
          </cell>
          <cell r="U370">
            <v>0</v>
          </cell>
          <cell r="W370">
            <v>0</v>
          </cell>
          <cell r="Y370">
            <v>0</v>
          </cell>
          <cell r="AA370">
            <v>0</v>
          </cell>
          <cell r="AC370">
            <v>0</v>
          </cell>
          <cell r="AE370">
            <v>0</v>
          </cell>
          <cell r="AG370">
            <v>0</v>
          </cell>
        </row>
        <row r="371">
          <cell r="D371">
            <v>0</v>
          </cell>
          <cell r="E371">
            <v>0</v>
          </cell>
          <cell r="F371">
            <v>0</v>
          </cell>
          <cell r="G371">
            <v>0</v>
          </cell>
          <cell r="H371">
            <v>0</v>
          </cell>
          <cell r="I371">
            <v>0</v>
          </cell>
          <cell r="K371">
            <v>0</v>
          </cell>
          <cell r="M371">
            <v>0</v>
          </cell>
          <cell r="O371">
            <v>0</v>
          </cell>
          <cell r="Q371">
            <v>0</v>
          </cell>
          <cell r="S371">
            <v>0</v>
          </cell>
          <cell r="U371">
            <v>0</v>
          </cell>
          <cell r="W371">
            <v>0</v>
          </cell>
          <cell r="Y371">
            <v>0</v>
          </cell>
          <cell r="AA371">
            <v>0</v>
          </cell>
          <cell r="AC371">
            <v>0</v>
          </cell>
          <cell r="AE371">
            <v>0</v>
          </cell>
          <cell r="AG371">
            <v>0</v>
          </cell>
        </row>
        <row r="372">
          <cell r="D372">
            <v>0</v>
          </cell>
          <cell r="E372">
            <v>0</v>
          </cell>
          <cell r="F372">
            <v>0</v>
          </cell>
          <cell r="G372">
            <v>0</v>
          </cell>
          <cell r="H372">
            <v>0</v>
          </cell>
          <cell r="I372">
            <v>0</v>
          </cell>
          <cell r="K372">
            <v>0</v>
          </cell>
          <cell r="M372">
            <v>0</v>
          </cell>
          <cell r="O372">
            <v>0</v>
          </cell>
          <cell r="Q372">
            <v>0</v>
          </cell>
          <cell r="S372">
            <v>0</v>
          </cell>
          <cell r="U372">
            <v>0</v>
          </cell>
          <cell r="W372">
            <v>0</v>
          </cell>
          <cell r="Y372">
            <v>0</v>
          </cell>
          <cell r="AA372">
            <v>0</v>
          </cell>
          <cell r="AC372">
            <v>0</v>
          </cell>
          <cell r="AE372">
            <v>0</v>
          </cell>
          <cell r="AG372">
            <v>0</v>
          </cell>
        </row>
        <row r="373">
          <cell r="D373">
            <v>0</v>
          </cell>
          <cell r="E373">
            <v>0</v>
          </cell>
          <cell r="F373">
            <v>0</v>
          </cell>
          <cell r="G373">
            <v>0</v>
          </cell>
          <cell r="H373">
            <v>0</v>
          </cell>
          <cell r="I373">
            <v>0</v>
          </cell>
          <cell r="K373">
            <v>0</v>
          </cell>
          <cell r="M373">
            <v>0</v>
          </cell>
          <cell r="O373">
            <v>0</v>
          </cell>
          <cell r="Q373">
            <v>0</v>
          </cell>
          <cell r="S373">
            <v>0</v>
          </cell>
          <cell r="U373">
            <v>0</v>
          </cell>
          <cell r="W373">
            <v>0</v>
          </cell>
          <cell r="Y373">
            <v>0</v>
          </cell>
          <cell r="AA373">
            <v>0</v>
          </cell>
          <cell r="AC373">
            <v>0</v>
          </cell>
          <cell r="AE373">
            <v>0</v>
          </cell>
          <cell r="AG373">
            <v>0</v>
          </cell>
        </row>
        <row r="374">
          <cell r="D374">
            <v>0</v>
          </cell>
          <cell r="E374">
            <v>0</v>
          </cell>
          <cell r="F374">
            <v>0</v>
          </cell>
          <cell r="G374">
            <v>0</v>
          </cell>
          <cell r="H374">
            <v>0</v>
          </cell>
          <cell r="I374">
            <v>0</v>
          </cell>
          <cell r="K374">
            <v>0</v>
          </cell>
          <cell r="M374">
            <v>0</v>
          </cell>
          <cell r="O374">
            <v>0</v>
          </cell>
          <cell r="Q374">
            <v>0</v>
          </cell>
          <cell r="S374">
            <v>0</v>
          </cell>
          <cell r="U374">
            <v>0</v>
          </cell>
          <cell r="W374">
            <v>0</v>
          </cell>
          <cell r="Y374">
            <v>0</v>
          </cell>
          <cell r="AA374">
            <v>0</v>
          </cell>
          <cell r="AC374">
            <v>0</v>
          </cell>
          <cell r="AE374">
            <v>0</v>
          </cell>
          <cell r="AG374">
            <v>0</v>
          </cell>
        </row>
        <row r="375">
          <cell r="D375">
            <v>0</v>
          </cell>
          <cell r="E375">
            <v>0</v>
          </cell>
          <cell r="F375">
            <v>0</v>
          </cell>
          <cell r="G375">
            <v>0</v>
          </cell>
          <cell r="H375">
            <v>0</v>
          </cell>
          <cell r="I375">
            <v>0</v>
          </cell>
          <cell r="K375">
            <v>0</v>
          </cell>
          <cell r="M375">
            <v>0</v>
          </cell>
          <cell r="O375">
            <v>0</v>
          </cell>
          <cell r="Q375">
            <v>0</v>
          </cell>
          <cell r="S375">
            <v>0</v>
          </cell>
          <cell r="U375">
            <v>0</v>
          </cell>
          <cell r="W375">
            <v>0</v>
          </cell>
          <cell r="Y375">
            <v>0</v>
          </cell>
          <cell r="AA375">
            <v>0</v>
          </cell>
          <cell r="AC375">
            <v>0</v>
          </cell>
          <cell r="AE375">
            <v>0</v>
          </cell>
          <cell r="AG375">
            <v>0</v>
          </cell>
        </row>
        <row r="376">
          <cell r="D376">
            <v>0</v>
          </cell>
          <cell r="E376">
            <v>0</v>
          </cell>
          <cell r="F376">
            <v>0</v>
          </cell>
          <cell r="G376">
            <v>0</v>
          </cell>
          <cell r="H376">
            <v>0</v>
          </cell>
          <cell r="I376">
            <v>0</v>
          </cell>
          <cell r="K376">
            <v>0</v>
          </cell>
          <cell r="M376">
            <v>0</v>
          </cell>
          <cell r="O376">
            <v>0</v>
          </cell>
          <cell r="Q376">
            <v>0</v>
          </cell>
          <cell r="S376">
            <v>0</v>
          </cell>
          <cell r="U376">
            <v>0</v>
          </cell>
          <cell r="W376">
            <v>0</v>
          </cell>
          <cell r="Y376">
            <v>0</v>
          </cell>
          <cell r="AA376">
            <v>0</v>
          </cell>
          <cell r="AC376">
            <v>0</v>
          </cell>
          <cell r="AE376">
            <v>0</v>
          </cell>
          <cell r="AG376">
            <v>0</v>
          </cell>
        </row>
        <row r="377">
          <cell r="D377">
            <v>0</v>
          </cell>
          <cell r="E377">
            <v>0</v>
          </cell>
          <cell r="F377">
            <v>0</v>
          </cell>
          <cell r="G377">
            <v>0</v>
          </cell>
          <cell r="H377">
            <v>0</v>
          </cell>
          <cell r="I377">
            <v>0</v>
          </cell>
          <cell r="K377">
            <v>0</v>
          </cell>
          <cell r="M377">
            <v>0</v>
          </cell>
          <cell r="O377">
            <v>0</v>
          </cell>
          <cell r="Q377">
            <v>0</v>
          </cell>
          <cell r="S377">
            <v>0</v>
          </cell>
          <cell r="U377">
            <v>0</v>
          </cell>
          <cell r="W377">
            <v>0</v>
          </cell>
          <cell r="Y377">
            <v>0</v>
          </cell>
          <cell r="AA377">
            <v>0</v>
          </cell>
          <cell r="AC377">
            <v>0</v>
          </cell>
          <cell r="AE377">
            <v>0</v>
          </cell>
          <cell r="AG377">
            <v>0</v>
          </cell>
        </row>
        <row r="378">
          <cell r="D378">
            <v>0</v>
          </cell>
          <cell r="E378">
            <v>0</v>
          </cell>
          <cell r="F378">
            <v>0</v>
          </cell>
          <cell r="G378">
            <v>0</v>
          </cell>
          <cell r="H378">
            <v>0</v>
          </cell>
          <cell r="I378">
            <v>0</v>
          </cell>
          <cell r="K378">
            <v>0</v>
          </cell>
          <cell r="M378">
            <v>0</v>
          </cell>
          <cell r="O378">
            <v>0</v>
          </cell>
          <cell r="Q378">
            <v>0</v>
          </cell>
          <cell r="S378">
            <v>0</v>
          </cell>
          <cell r="U378">
            <v>0</v>
          </cell>
          <cell r="W378">
            <v>0</v>
          </cell>
          <cell r="Y378">
            <v>0</v>
          </cell>
          <cell r="AA378">
            <v>0</v>
          </cell>
          <cell r="AC378">
            <v>0</v>
          </cell>
          <cell r="AE378">
            <v>0</v>
          </cell>
          <cell r="AG378">
            <v>0</v>
          </cell>
        </row>
        <row r="379">
          <cell r="D379">
            <v>0</v>
          </cell>
          <cell r="E379">
            <v>0</v>
          </cell>
          <cell r="F379">
            <v>0</v>
          </cell>
          <cell r="G379">
            <v>0</v>
          </cell>
          <cell r="H379">
            <v>0</v>
          </cell>
          <cell r="I379">
            <v>0</v>
          </cell>
          <cell r="K379">
            <v>0</v>
          </cell>
          <cell r="M379">
            <v>0</v>
          </cell>
          <cell r="O379">
            <v>0</v>
          </cell>
          <cell r="Q379">
            <v>0</v>
          </cell>
          <cell r="S379">
            <v>0</v>
          </cell>
          <cell r="U379">
            <v>0</v>
          </cell>
          <cell r="W379">
            <v>0</v>
          </cell>
          <cell r="Y379">
            <v>0</v>
          </cell>
          <cell r="AA379">
            <v>0</v>
          </cell>
          <cell r="AC379">
            <v>0</v>
          </cell>
          <cell r="AE379">
            <v>0</v>
          </cell>
          <cell r="AG379">
            <v>0</v>
          </cell>
        </row>
        <row r="380">
          <cell r="D380">
            <v>0</v>
          </cell>
          <cell r="E380">
            <v>0</v>
          </cell>
          <cell r="F380">
            <v>0</v>
          </cell>
          <cell r="G380">
            <v>0</v>
          </cell>
          <cell r="H380">
            <v>0</v>
          </cell>
          <cell r="I380">
            <v>0</v>
          </cell>
          <cell r="K380">
            <v>0</v>
          </cell>
          <cell r="M380">
            <v>0</v>
          </cell>
          <cell r="O380">
            <v>0</v>
          </cell>
          <cell r="Q380">
            <v>0</v>
          </cell>
          <cell r="S380">
            <v>0</v>
          </cell>
          <cell r="U380">
            <v>0</v>
          </cell>
          <cell r="W380">
            <v>0</v>
          </cell>
          <cell r="Y380">
            <v>0</v>
          </cell>
          <cell r="AA380">
            <v>0</v>
          </cell>
          <cell r="AC380">
            <v>0</v>
          </cell>
          <cell r="AE380">
            <v>0</v>
          </cell>
          <cell r="AG380">
            <v>0</v>
          </cell>
        </row>
        <row r="381">
          <cell r="D381">
            <v>0</v>
          </cell>
          <cell r="E381">
            <v>0</v>
          </cell>
          <cell r="F381">
            <v>0</v>
          </cell>
          <cell r="G381">
            <v>0</v>
          </cell>
          <cell r="H381">
            <v>0</v>
          </cell>
          <cell r="I381">
            <v>0</v>
          </cell>
          <cell r="K381">
            <v>0</v>
          </cell>
          <cell r="M381">
            <v>0</v>
          </cell>
          <cell r="O381">
            <v>0</v>
          </cell>
          <cell r="Q381">
            <v>0</v>
          </cell>
          <cell r="S381">
            <v>0</v>
          </cell>
          <cell r="U381">
            <v>0</v>
          </cell>
          <cell r="W381">
            <v>0</v>
          </cell>
          <cell r="Y381">
            <v>0</v>
          </cell>
          <cell r="AA381">
            <v>0</v>
          </cell>
          <cell r="AC381">
            <v>0</v>
          </cell>
          <cell r="AE381">
            <v>0</v>
          </cell>
          <cell r="AG381">
            <v>0</v>
          </cell>
        </row>
        <row r="382">
          <cell r="D382">
            <v>0</v>
          </cell>
          <cell r="E382">
            <v>0</v>
          </cell>
          <cell r="F382">
            <v>0</v>
          </cell>
          <cell r="G382">
            <v>0</v>
          </cell>
          <cell r="H382">
            <v>0</v>
          </cell>
          <cell r="I382">
            <v>0</v>
          </cell>
          <cell r="K382">
            <v>0</v>
          </cell>
          <cell r="M382">
            <v>0</v>
          </cell>
          <cell r="O382">
            <v>0</v>
          </cell>
          <cell r="Q382">
            <v>0</v>
          </cell>
          <cell r="S382">
            <v>0</v>
          </cell>
          <cell r="U382">
            <v>0</v>
          </cell>
          <cell r="W382">
            <v>0</v>
          </cell>
          <cell r="Y382">
            <v>0</v>
          </cell>
          <cell r="AA382">
            <v>0</v>
          </cell>
          <cell r="AC382">
            <v>0</v>
          </cell>
          <cell r="AE382">
            <v>0</v>
          </cell>
          <cell r="AG382">
            <v>0</v>
          </cell>
        </row>
        <row r="383">
          <cell r="D383">
            <v>0</v>
          </cell>
          <cell r="E383">
            <v>0</v>
          </cell>
          <cell r="F383">
            <v>0</v>
          </cell>
          <cell r="G383">
            <v>0</v>
          </cell>
          <cell r="H383">
            <v>0</v>
          </cell>
          <cell r="I383">
            <v>0</v>
          </cell>
          <cell r="K383">
            <v>0</v>
          </cell>
          <cell r="M383">
            <v>0</v>
          </cell>
          <cell r="O383">
            <v>0</v>
          </cell>
          <cell r="Q383">
            <v>0</v>
          </cell>
          <cell r="S383">
            <v>0</v>
          </cell>
          <cell r="U383">
            <v>0</v>
          </cell>
          <cell r="W383">
            <v>0</v>
          </cell>
          <cell r="Y383">
            <v>0</v>
          </cell>
          <cell r="AA383">
            <v>0</v>
          </cell>
          <cell r="AC383">
            <v>0</v>
          </cell>
          <cell r="AE383">
            <v>0</v>
          </cell>
          <cell r="AG383">
            <v>0</v>
          </cell>
        </row>
        <row r="384">
          <cell r="D384">
            <v>0</v>
          </cell>
          <cell r="E384">
            <v>0</v>
          </cell>
          <cell r="F384">
            <v>0</v>
          </cell>
          <cell r="G384">
            <v>0</v>
          </cell>
          <cell r="H384">
            <v>0</v>
          </cell>
          <cell r="I384">
            <v>0</v>
          </cell>
          <cell r="K384">
            <v>0</v>
          </cell>
          <cell r="M384">
            <v>0</v>
          </cell>
          <cell r="O384">
            <v>0</v>
          </cell>
          <cell r="Q384">
            <v>0</v>
          </cell>
          <cell r="S384">
            <v>0</v>
          </cell>
          <cell r="U384">
            <v>0</v>
          </cell>
          <cell r="W384">
            <v>0</v>
          </cell>
          <cell r="Y384">
            <v>0</v>
          </cell>
          <cell r="AA384">
            <v>0</v>
          </cell>
          <cell r="AC384">
            <v>0</v>
          </cell>
          <cell r="AE384">
            <v>0</v>
          </cell>
          <cell r="AG384">
            <v>0</v>
          </cell>
        </row>
        <row r="385">
          <cell r="D385">
            <v>0</v>
          </cell>
          <cell r="E385">
            <v>0</v>
          </cell>
          <cell r="F385">
            <v>0</v>
          </cell>
          <cell r="G385">
            <v>0</v>
          </cell>
          <cell r="H385">
            <v>0</v>
          </cell>
          <cell r="I385">
            <v>0</v>
          </cell>
          <cell r="K385">
            <v>0</v>
          </cell>
          <cell r="M385">
            <v>0</v>
          </cell>
          <cell r="O385">
            <v>0</v>
          </cell>
          <cell r="Q385">
            <v>0</v>
          </cell>
          <cell r="S385">
            <v>0</v>
          </cell>
          <cell r="U385">
            <v>0</v>
          </cell>
          <cell r="W385">
            <v>0</v>
          </cell>
          <cell r="Y385">
            <v>0</v>
          </cell>
          <cell r="AA385">
            <v>0</v>
          </cell>
          <cell r="AC385">
            <v>0</v>
          </cell>
          <cell r="AE385">
            <v>0</v>
          </cell>
          <cell r="AG385">
            <v>0</v>
          </cell>
        </row>
        <row r="386">
          <cell r="D386">
            <v>0</v>
          </cell>
          <cell r="E386">
            <v>0</v>
          </cell>
          <cell r="F386">
            <v>0</v>
          </cell>
          <cell r="G386">
            <v>0</v>
          </cell>
          <cell r="H386">
            <v>0</v>
          </cell>
          <cell r="I386">
            <v>0</v>
          </cell>
          <cell r="K386">
            <v>0</v>
          </cell>
          <cell r="M386">
            <v>0</v>
          </cell>
          <cell r="O386">
            <v>0</v>
          </cell>
          <cell r="Q386">
            <v>0</v>
          </cell>
          <cell r="S386">
            <v>0</v>
          </cell>
          <cell r="U386">
            <v>0</v>
          </cell>
          <cell r="W386">
            <v>0</v>
          </cell>
          <cell r="Y386">
            <v>0</v>
          </cell>
          <cell r="AA386">
            <v>0</v>
          </cell>
          <cell r="AC386">
            <v>0</v>
          </cell>
          <cell r="AE386">
            <v>0</v>
          </cell>
          <cell r="AG386">
            <v>0</v>
          </cell>
        </row>
        <row r="387">
          <cell r="D387">
            <v>0</v>
          </cell>
          <cell r="E387">
            <v>0</v>
          </cell>
          <cell r="F387">
            <v>0</v>
          </cell>
          <cell r="G387">
            <v>0</v>
          </cell>
          <cell r="H387">
            <v>0</v>
          </cell>
          <cell r="I387">
            <v>0</v>
          </cell>
          <cell r="K387">
            <v>0</v>
          </cell>
          <cell r="M387">
            <v>0</v>
          </cell>
          <cell r="O387">
            <v>0</v>
          </cell>
          <cell r="Q387">
            <v>0</v>
          </cell>
          <cell r="S387">
            <v>0</v>
          </cell>
          <cell r="U387">
            <v>0</v>
          </cell>
          <cell r="W387">
            <v>0</v>
          </cell>
          <cell r="Y387">
            <v>0</v>
          </cell>
          <cell r="AA387">
            <v>0</v>
          </cell>
          <cell r="AC387">
            <v>0</v>
          </cell>
          <cell r="AE387">
            <v>0</v>
          </cell>
          <cell r="AG387">
            <v>0</v>
          </cell>
        </row>
        <row r="388">
          <cell r="D388">
            <v>0</v>
          </cell>
          <cell r="E388">
            <v>0</v>
          </cell>
          <cell r="F388">
            <v>0</v>
          </cell>
          <cell r="G388">
            <v>0</v>
          </cell>
          <cell r="H388">
            <v>0</v>
          </cell>
          <cell r="I388">
            <v>0</v>
          </cell>
          <cell r="K388">
            <v>0</v>
          </cell>
          <cell r="M388">
            <v>0</v>
          </cell>
          <cell r="O388">
            <v>0</v>
          </cell>
          <cell r="Q388">
            <v>0</v>
          </cell>
          <cell r="S388">
            <v>0</v>
          </cell>
          <cell r="U388">
            <v>0</v>
          </cell>
          <cell r="W388">
            <v>0</v>
          </cell>
          <cell r="Y388">
            <v>0</v>
          </cell>
          <cell r="AA388">
            <v>0</v>
          </cell>
          <cell r="AC388">
            <v>0</v>
          </cell>
          <cell r="AE388">
            <v>0</v>
          </cell>
          <cell r="AG388">
            <v>0</v>
          </cell>
        </row>
        <row r="389">
          <cell r="D389">
            <v>0</v>
          </cell>
          <cell r="E389">
            <v>0</v>
          </cell>
          <cell r="F389">
            <v>0</v>
          </cell>
          <cell r="G389">
            <v>0</v>
          </cell>
          <cell r="H389">
            <v>0</v>
          </cell>
          <cell r="I389">
            <v>0</v>
          </cell>
          <cell r="K389">
            <v>0</v>
          </cell>
          <cell r="M389">
            <v>0</v>
          </cell>
          <cell r="O389">
            <v>0</v>
          </cell>
          <cell r="Q389">
            <v>0</v>
          </cell>
          <cell r="S389">
            <v>0</v>
          </cell>
          <cell r="U389">
            <v>0</v>
          </cell>
          <cell r="W389">
            <v>0</v>
          </cell>
          <cell r="Y389">
            <v>0</v>
          </cell>
          <cell r="AA389">
            <v>0</v>
          </cell>
          <cell r="AC389">
            <v>0</v>
          </cell>
          <cell r="AE389">
            <v>0</v>
          </cell>
          <cell r="AG389">
            <v>0</v>
          </cell>
        </row>
        <row r="390">
          <cell r="D390">
            <v>0</v>
          </cell>
          <cell r="E390">
            <v>0</v>
          </cell>
          <cell r="F390">
            <v>0</v>
          </cell>
          <cell r="G390">
            <v>0</v>
          </cell>
          <cell r="H390">
            <v>0</v>
          </cell>
          <cell r="I390">
            <v>0</v>
          </cell>
          <cell r="K390">
            <v>0</v>
          </cell>
          <cell r="M390">
            <v>0</v>
          </cell>
          <cell r="O390">
            <v>0</v>
          </cell>
          <cell r="Q390">
            <v>0</v>
          </cell>
          <cell r="S390">
            <v>0</v>
          </cell>
          <cell r="U390">
            <v>0</v>
          </cell>
          <cell r="W390">
            <v>0</v>
          </cell>
          <cell r="Y390">
            <v>0</v>
          </cell>
          <cell r="AA390">
            <v>0</v>
          </cell>
          <cell r="AC390">
            <v>0</v>
          </cell>
          <cell r="AE390">
            <v>0</v>
          </cell>
          <cell r="AG390">
            <v>0</v>
          </cell>
        </row>
        <row r="391">
          <cell r="D391">
            <v>0</v>
          </cell>
          <cell r="E391">
            <v>0</v>
          </cell>
          <cell r="F391">
            <v>0</v>
          </cell>
          <cell r="G391">
            <v>0</v>
          </cell>
          <cell r="H391">
            <v>0</v>
          </cell>
          <cell r="I391">
            <v>0</v>
          </cell>
          <cell r="K391">
            <v>0</v>
          </cell>
          <cell r="M391">
            <v>0</v>
          </cell>
          <cell r="O391">
            <v>0</v>
          </cell>
          <cell r="Q391">
            <v>0</v>
          </cell>
          <cell r="S391">
            <v>0</v>
          </cell>
          <cell r="U391">
            <v>0</v>
          </cell>
          <cell r="W391">
            <v>0</v>
          </cell>
          <cell r="Y391">
            <v>0</v>
          </cell>
          <cell r="AA391">
            <v>0</v>
          </cell>
          <cell r="AC391">
            <v>0</v>
          </cell>
          <cell r="AE391">
            <v>0</v>
          </cell>
          <cell r="AG391">
            <v>0</v>
          </cell>
        </row>
        <row r="392">
          <cell r="D392">
            <v>0</v>
          </cell>
          <cell r="E392">
            <v>0</v>
          </cell>
          <cell r="F392">
            <v>0</v>
          </cell>
          <cell r="G392">
            <v>0</v>
          </cell>
          <cell r="H392">
            <v>0</v>
          </cell>
          <cell r="I392">
            <v>0</v>
          </cell>
          <cell r="K392">
            <v>0</v>
          </cell>
          <cell r="M392">
            <v>0</v>
          </cell>
          <cell r="O392">
            <v>0</v>
          </cell>
          <cell r="Q392">
            <v>0</v>
          </cell>
          <cell r="S392">
            <v>0</v>
          </cell>
          <cell r="U392">
            <v>0</v>
          </cell>
          <cell r="W392">
            <v>0</v>
          </cell>
          <cell r="Y392">
            <v>0</v>
          </cell>
          <cell r="AA392">
            <v>0</v>
          </cell>
          <cell r="AC392">
            <v>0</v>
          </cell>
          <cell r="AE392">
            <v>0</v>
          </cell>
          <cell r="AG392">
            <v>0</v>
          </cell>
        </row>
        <row r="393">
          <cell r="D393">
            <v>0</v>
          </cell>
          <cell r="E393">
            <v>0</v>
          </cell>
          <cell r="F393">
            <v>0</v>
          </cell>
          <cell r="G393">
            <v>0</v>
          </cell>
          <cell r="H393">
            <v>0</v>
          </cell>
          <cell r="I393">
            <v>0</v>
          </cell>
          <cell r="K393">
            <v>0</v>
          </cell>
          <cell r="M393">
            <v>0</v>
          </cell>
          <cell r="O393">
            <v>0</v>
          </cell>
          <cell r="Q393">
            <v>0</v>
          </cell>
          <cell r="S393">
            <v>0</v>
          </cell>
          <cell r="U393">
            <v>0</v>
          </cell>
          <cell r="W393">
            <v>0</v>
          </cell>
          <cell r="Y393">
            <v>0</v>
          </cell>
          <cell r="AA393">
            <v>0</v>
          </cell>
          <cell r="AC393">
            <v>0</v>
          </cell>
          <cell r="AE393">
            <v>0</v>
          </cell>
          <cell r="AG393">
            <v>0</v>
          </cell>
        </row>
        <row r="394">
          <cell r="D394">
            <v>0</v>
          </cell>
          <cell r="E394">
            <v>0</v>
          </cell>
          <cell r="F394">
            <v>0</v>
          </cell>
          <cell r="G394">
            <v>0</v>
          </cell>
          <cell r="H394">
            <v>0</v>
          </cell>
          <cell r="I394">
            <v>0</v>
          </cell>
          <cell r="K394">
            <v>0</v>
          </cell>
          <cell r="M394">
            <v>0</v>
          </cell>
          <cell r="O394">
            <v>0</v>
          </cell>
          <cell r="Q394">
            <v>0</v>
          </cell>
          <cell r="S394">
            <v>0</v>
          </cell>
          <cell r="U394">
            <v>0</v>
          </cell>
          <cell r="W394">
            <v>0</v>
          </cell>
          <cell r="Y394">
            <v>0</v>
          </cell>
          <cell r="AA394">
            <v>0</v>
          </cell>
          <cell r="AC394">
            <v>0</v>
          </cell>
          <cell r="AE394">
            <v>0</v>
          </cell>
          <cell r="AG394">
            <v>0</v>
          </cell>
        </row>
        <row r="395">
          <cell r="D395">
            <v>0</v>
          </cell>
          <cell r="E395">
            <v>0</v>
          </cell>
          <cell r="F395">
            <v>0</v>
          </cell>
          <cell r="G395">
            <v>0</v>
          </cell>
          <cell r="H395">
            <v>0</v>
          </cell>
          <cell r="I395">
            <v>0</v>
          </cell>
          <cell r="K395">
            <v>0</v>
          </cell>
          <cell r="M395">
            <v>0</v>
          </cell>
          <cell r="O395">
            <v>0</v>
          </cell>
          <cell r="Q395">
            <v>0</v>
          </cell>
          <cell r="S395">
            <v>0</v>
          </cell>
          <cell r="U395">
            <v>0</v>
          </cell>
          <cell r="W395">
            <v>0</v>
          </cell>
          <cell r="Y395">
            <v>0</v>
          </cell>
          <cell r="AA395">
            <v>0</v>
          </cell>
          <cell r="AC395">
            <v>0</v>
          </cell>
          <cell r="AE395">
            <v>0</v>
          </cell>
          <cell r="AG395">
            <v>0</v>
          </cell>
        </row>
        <row r="396">
          <cell r="D396">
            <v>0</v>
          </cell>
          <cell r="E396">
            <v>0</v>
          </cell>
          <cell r="F396">
            <v>0</v>
          </cell>
          <cell r="G396">
            <v>0</v>
          </cell>
          <cell r="H396">
            <v>0</v>
          </cell>
          <cell r="I396">
            <v>0</v>
          </cell>
          <cell r="K396">
            <v>0</v>
          </cell>
          <cell r="M396">
            <v>0</v>
          </cell>
          <cell r="O396">
            <v>0</v>
          </cell>
          <cell r="Q396">
            <v>0</v>
          </cell>
          <cell r="S396">
            <v>0</v>
          </cell>
          <cell r="U396">
            <v>0</v>
          </cell>
          <cell r="W396">
            <v>0</v>
          </cell>
          <cell r="Y396">
            <v>0</v>
          </cell>
          <cell r="AA396">
            <v>0</v>
          </cell>
          <cell r="AC396">
            <v>0</v>
          </cell>
          <cell r="AE396">
            <v>0</v>
          </cell>
          <cell r="AG396">
            <v>0</v>
          </cell>
        </row>
        <row r="397">
          <cell r="D397">
            <v>0</v>
          </cell>
          <cell r="E397">
            <v>0</v>
          </cell>
          <cell r="F397">
            <v>0</v>
          </cell>
          <cell r="G397">
            <v>0</v>
          </cell>
          <cell r="H397">
            <v>0</v>
          </cell>
          <cell r="I397">
            <v>0</v>
          </cell>
          <cell r="K397">
            <v>0</v>
          </cell>
          <cell r="M397">
            <v>0</v>
          </cell>
          <cell r="O397">
            <v>0</v>
          </cell>
          <cell r="Q397">
            <v>0</v>
          </cell>
          <cell r="S397">
            <v>0</v>
          </cell>
          <cell r="U397">
            <v>0</v>
          </cell>
          <cell r="W397">
            <v>0</v>
          </cell>
          <cell r="Y397">
            <v>0</v>
          </cell>
          <cell r="AA397">
            <v>0</v>
          </cell>
          <cell r="AC397">
            <v>0</v>
          </cell>
          <cell r="AE397">
            <v>0</v>
          </cell>
          <cell r="AG397">
            <v>0</v>
          </cell>
        </row>
        <row r="398">
          <cell r="D398">
            <v>0</v>
          </cell>
          <cell r="E398">
            <v>0</v>
          </cell>
          <cell r="F398">
            <v>0</v>
          </cell>
          <cell r="G398">
            <v>0</v>
          </cell>
          <cell r="H398">
            <v>0</v>
          </cell>
          <cell r="I398">
            <v>0</v>
          </cell>
          <cell r="K398">
            <v>0</v>
          </cell>
          <cell r="M398">
            <v>0</v>
          </cell>
          <cell r="O398">
            <v>0</v>
          </cell>
          <cell r="Q398">
            <v>0</v>
          </cell>
          <cell r="S398">
            <v>0</v>
          </cell>
          <cell r="U398">
            <v>0</v>
          </cell>
          <cell r="W398">
            <v>0</v>
          </cell>
          <cell r="Y398">
            <v>0</v>
          </cell>
          <cell r="AA398">
            <v>0</v>
          </cell>
          <cell r="AC398">
            <v>0</v>
          </cell>
          <cell r="AE398">
            <v>0</v>
          </cell>
          <cell r="AG398">
            <v>0</v>
          </cell>
        </row>
        <row r="399">
          <cell r="D399">
            <v>0</v>
          </cell>
          <cell r="E399">
            <v>0</v>
          </cell>
          <cell r="F399">
            <v>0</v>
          </cell>
          <cell r="G399">
            <v>0</v>
          </cell>
          <cell r="H399">
            <v>0</v>
          </cell>
          <cell r="I399">
            <v>0</v>
          </cell>
          <cell r="K399">
            <v>0</v>
          </cell>
          <cell r="M399">
            <v>0</v>
          </cell>
          <cell r="O399">
            <v>0</v>
          </cell>
          <cell r="Q399">
            <v>0</v>
          </cell>
          <cell r="S399">
            <v>0</v>
          </cell>
          <cell r="U399">
            <v>0</v>
          </cell>
          <cell r="W399">
            <v>0</v>
          </cell>
          <cell r="Y399">
            <v>0</v>
          </cell>
          <cell r="AA399">
            <v>0</v>
          </cell>
          <cell r="AC399">
            <v>0</v>
          </cell>
          <cell r="AE399">
            <v>0</v>
          </cell>
          <cell r="AG399">
            <v>0</v>
          </cell>
        </row>
        <row r="400">
          <cell r="D400">
            <v>0</v>
          </cell>
          <cell r="E400">
            <v>0</v>
          </cell>
          <cell r="F400">
            <v>0</v>
          </cell>
          <cell r="G400">
            <v>0</v>
          </cell>
          <cell r="H400">
            <v>0</v>
          </cell>
          <cell r="I400">
            <v>0</v>
          </cell>
          <cell r="K400">
            <v>0</v>
          </cell>
          <cell r="M400">
            <v>0</v>
          </cell>
          <cell r="O400">
            <v>0</v>
          </cell>
          <cell r="Q400">
            <v>0</v>
          </cell>
          <cell r="S400">
            <v>0</v>
          </cell>
          <cell r="U400">
            <v>0</v>
          </cell>
          <cell r="W400">
            <v>0</v>
          </cell>
          <cell r="Y400">
            <v>0</v>
          </cell>
          <cell r="AA400">
            <v>0</v>
          </cell>
          <cell r="AC400">
            <v>0</v>
          </cell>
          <cell r="AE400">
            <v>0</v>
          </cell>
          <cell r="AG400">
            <v>0</v>
          </cell>
        </row>
        <row r="401">
          <cell r="D401">
            <v>0</v>
          </cell>
          <cell r="E401">
            <v>0</v>
          </cell>
          <cell r="F401">
            <v>0</v>
          </cell>
          <cell r="G401">
            <v>0</v>
          </cell>
          <cell r="H401">
            <v>0</v>
          </cell>
          <cell r="I401">
            <v>0</v>
          </cell>
          <cell r="K401">
            <v>0</v>
          </cell>
          <cell r="M401">
            <v>0</v>
          </cell>
          <cell r="O401">
            <v>0</v>
          </cell>
          <cell r="Q401">
            <v>0</v>
          </cell>
          <cell r="S401">
            <v>0</v>
          </cell>
          <cell r="U401">
            <v>0</v>
          </cell>
          <cell r="W401">
            <v>0</v>
          </cell>
          <cell r="Y401">
            <v>0</v>
          </cell>
          <cell r="AA401">
            <v>0</v>
          </cell>
          <cell r="AC401">
            <v>0</v>
          </cell>
          <cell r="AE401">
            <v>0</v>
          </cell>
          <cell r="AG401">
            <v>0</v>
          </cell>
        </row>
        <row r="402">
          <cell r="D402">
            <v>0</v>
          </cell>
          <cell r="E402">
            <v>0</v>
          </cell>
          <cell r="F402">
            <v>0</v>
          </cell>
          <cell r="G402">
            <v>0</v>
          </cell>
          <cell r="H402">
            <v>0</v>
          </cell>
          <cell r="I402">
            <v>0</v>
          </cell>
          <cell r="K402">
            <v>0</v>
          </cell>
          <cell r="M402">
            <v>0</v>
          </cell>
          <cell r="O402">
            <v>0</v>
          </cell>
          <cell r="Q402">
            <v>0</v>
          </cell>
          <cell r="S402">
            <v>0</v>
          </cell>
          <cell r="U402">
            <v>0</v>
          </cell>
          <cell r="W402">
            <v>0</v>
          </cell>
          <cell r="Y402">
            <v>0</v>
          </cell>
          <cell r="AA402">
            <v>0</v>
          </cell>
          <cell r="AC402">
            <v>0</v>
          </cell>
          <cell r="AE402">
            <v>0</v>
          </cell>
          <cell r="AG402">
            <v>0</v>
          </cell>
        </row>
        <row r="403">
          <cell r="D403">
            <v>0</v>
          </cell>
          <cell r="E403">
            <v>0</v>
          </cell>
          <cell r="F403">
            <v>0</v>
          </cell>
          <cell r="G403">
            <v>0</v>
          </cell>
          <cell r="H403">
            <v>0</v>
          </cell>
          <cell r="I403">
            <v>0</v>
          </cell>
          <cell r="K403">
            <v>0</v>
          </cell>
          <cell r="M403">
            <v>0</v>
          </cell>
          <cell r="O403">
            <v>0</v>
          </cell>
          <cell r="Q403">
            <v>0</v>
          </cell>
          <cell r="S403">
            <v>0</v>
          </cell>
          <cell r="U403">
            <v>0</v>
          </cell>
          <cell r="W403">
            <v>0</v>
          </cell>
          <cell r="Y403">
            <v>0</v>
          </cell>
          <cell r="AA403">
            <v>0</v>
          </cell>
          <cell r="AC403">
            <v>0</v>
          </cell>
          <cell r="AE403">
            <v>0</v>
          </cell>
          <cell r="AG403">
            <v>0</v>
          </cell>
        </row>
        <row r="404">
          <cell r="D404">
            <v>0</v>
          </cell>
          <cell r="E404">
            <v>0</v>
          </cell>
          <cell r="F404">
            <v>0</v>
          </cell>
          <cell r="G404">
            <v>0</v>
          </cell>
          <cell r="H404">
            <v>0</v>
          </cell>
          <cell r="I404">
            <v>0</v>
          </cell>
          <cell r="K404">
            <v>0</v>
          </cell>
          <cell r="M404">
            <v>0</v>
          </cell>
          <cell r="O404">
            <v>0</v>
          </cell>
          <cell r="Q404">
            <v>0</v>
          </cell>
          <cell r="S404">
            <v>0</v>
          </cell>
          <cell r="U404">
            <v>0</v>
          </cell>
          <cell r="W404">
            <v>0</v>
          </cell>
          <cell r="Y404">
            <v>0</v>
          </cell>
          <cell r="AA404">
            <v>0</v>
          </cell>
          <cell r="AC404">
            <v>0</v>
          </cell>
          <cell r="AE404">
            <v>0</v>
          </cell>
          <cell r="AG404">
            <v>0</v>
          </cell>
        </row>
        <row r="405">
          <cell r="D405">
            <v>0</v>
          </cell>
          <cell r="E405">
            <v>0</v>
          </cell>
          <cell r="F405">
            <v>0</v>
          </cell>
          <cell r="G405">
            <v>0</v>
          </cell>
          <cell r="H405">
            <v>0</v>
          </cell>
          <cell r="I405">
            <v>0</v>
          </cell>
          <cell r="K405">
            <v>0</v>
          </cell>
          <cell r="M405">
            <v>0</v>
          </cell>
          <cell r="O405">
            <v>0</v>
          </cell>
          <cell r="Q405">
            <v>0</v>
          </cell>
          <cell r="S405">
            <v>0</v>
          </cell>
          <cell r="U405">
            <v>0</v>
          </cell>
          <cell r="W405">
            <v>0</v>
          </cell>
          <cell r="Y405">
            <v>0</v>
          </cell>
          <cell r="AA405">
            <v>0</v>
          </cell>
          <cell r="AC405">
            <v>0</v>
          </cell>
          <cell r="AE405">
            <v>0</v>
          </cell>
          <cell r="AG405">
            <v>0</v>
          </cell>
        </row>
        <row r="406">
          <cell r="D406">
            <v>0</v>
          </cell>
          <cell r="E406">
            <v>0</v>
          </cell>
          <cell r="F406">
            <v>0</v>
          </cell>
          <cell r="G406">
            <v>0</v>
          </cell>
          <cell r="H406">
            <v>0</v>
          </cell>
          <cell r="I406">
            <v>0</v>
          </cell>
          <cell r="K406">
            <v>0</v>
          </cell>
          <cell r="M406">
            <v>0</v>
          </cell>
          <cell r="O406">
            <v>0</v>
          </cell>
          <cell r="Q406">
            <v>0</v>
          </cell>
          <cell r="S406">
            <v>0</v>
          </cell>
          <cell r="U406">
            <v>0</v>
          </cell>
          <cell r="W406">
            <v>0</v>
          </cell>
          <cell r="Y406">
            <v>0</v>
          </cell>
          <cell r="AA406">
            <v>0</v>
          </cell>
          <cell r="AC406">
            <v>0</v>
          </cell>
          <cell r="AE406">
            <v>0</v>
          </cell>
          <cell r="AG406">
            <v>0</v>
          </cell>
        </row>
        <row r="407">
          <cell r="D407">
            <v>0</v>
          </cell>
          <cell r="E407">
            <v>0</v>
          </cell>
          <cell r="F407">
            <v>0</v>
          </cell>
          <cell r="G407">
            <v>0</v>
          </cell>
          <cell r="H407">
            <v>0</v>
          </cell>
          <cell r="I407">
            <v>0</v>
          </cell>
          <cell r="K407">
            <v>0</v>
          </cell>
          <cell r="M407">
            <v>0</v>
          </cell>
          <cell r="O407">
            <v>0</v>
          </cell>
          <cell r="Q407">
            <v>0</v>
          </cell>
          <cell r="S407">
            <v>0</v>
          </cell>
          <cell r="U407">
            <v>0</v>
          </cell>
          <cell r="W407">
            <v>0</v>
          </cell>
          <cell r="Y407">
            <v>0</v>
          </cell>
          <cell r="AA407">
            <v>0</v>
          </cell>
          <cell r="AC407">
            <v>0</v>
          </cell>
          <cell r="AE407">
            <v>0</v>
          </cell>
          <cell r="AG407">
            <v>0</v>
          </cell>
        </row>
        <row r="408">
          <cell r="D408">
            <v>0</v>
          </cell>
          <cell r="E408">
            <v>0</v>
          </cell>
          <cell r="F408">
            <v>0</v>
          </cell>
          <cell r="G408">
            <v>0</v>
          </cell>
          <cell r="H408">
            <v>0</v>
          </cell>
          <cell r="I408">
            <v>0</v>
          </cell>
          <cell r="K408">
            <v>0</v>
          </cell>
          <cell r="M408">
            <v>0</v>
          </cell>
          <cell r="O408">
            <v>0</v>
          </cell>
          <cell r="Q408">
            <v>0</v>
          </cell>
          <cell r="S408">
            <v>0</v>
          </cell>
          <cell r="U408">
            <v>0</v>
          </cell>
          <cell r="W408">
            <v>0</v>
          </cell>
          <cell r="Y408">
            <v>0</v>
          </cell>
          <cell r="AA408">
            <v>0</v>
          </cell>
          <cell r="AC408">
            <v>0</v>
          </cell>
          <cell r="AE408">
            <v>0</v>
          </cell>
          <cell r="AG408">
            <v>0</v>
          </cell>
        </row>
        <row r="409">
          <cell r="D409">
            <v>0</v>
          </cell>
          <cell r="E409">
            <v>0</v>
          </cell>
          <cell r="F409">
            <v>0</v>
          </cell>
          <cell r="G409">
            <v>0</v>
          </cell>
          <cell r="H409">
            <v>0</v>
          </cell>
          <cell r="I409">
            <v>0</v>
          </cell>
          <cell r="K409">
            <v>0</v>
          </cell>
          <cell r="M409">
            <v>0</v>
          </cell>
          <cell r="O409">
            <v>0</v>
          </cell>
          <cell r="Q409">
            <v>0</v>
          </cell>
          <cell r="S409">
            <v>0</v>
          </cell>
          <cell r="U409">
            <v>0</v>
          </cell>
          <cell r="W409">
            <v>0</v>
          </cell>
          <cell r="Y409">
            <v>0</v>
          </cell>
          <cell r="AA409">
            <v>0</v>
          </cell>
          <cell r="AC409">
            <v>0</v>
          </cell>
          <cell r="AE409">
            <v>0</v>
          </cell>
          <cell r="AG409">
            <v>0</v>
          </cell>
        </row>
        <row r="410">
          <cell r="D410">
            <v>0</v>
          </cell>
          <cell r="E410">
            <v>0</v>
          </cell>
          <cell r="F410">
            <v>0</v>
          </cell>
          <cell r="G410">
            <v>0</v>
          </cell>
          <cell r="H410">
            <v>0</v>
          </cell>
          <cell r="I410">
            <v>0</v>
          </cell>
          <cell r="K410">
            <v>0</v>
          </cell>
          <cell r="M410">
            <v>0</v>
          </cell>
          <cell r="O410">
            <v>0</v>
          </cell>
          <cell r="Q410">
            <v>0</v>
          </cell>
          <cell r="S410">
            <v>0</v>
          </cell>
          <cell r="U410">
            <v>0</v>
          </cell>
          <cell r="W410">
            <v>0</v>
          </cell>
          <cell r="Y410">
            <v>0</v>
          </cell>
          <cell r="AA410">
            <v>0</v>
          </cell>
          <cell r="AC410">
            <v>0</v>
          </cell>
          <cell r="AE410">
            <v>0</v>
          </cell>
          <cell r="AG410">
            <v>0</v>
          </cell>
        </row>
        <row r="411">
          <cell r="D411">
            <v>0</v>
          </cell>
          <cell r="E411">
            <v>0</v>
          </cell>
          <cell r="F411">
            <v>0</v>
          </cell>
          <cell r="G411">
            <v>0</v>
          </cell>
          <cell r="H411">
            <v>0</v>
          </cell>
          <cell r="I411">
            <v>0</v>
          </cell>
          <cell r="K411">
            <v>0</v>
          </cell>
          <cell r="M411">
            <v>0</v>
          </cell>
          <cell r="O411">
            <v>0</v>
          </cell>
          <cell r="Q411">
            <v>0</v>
          </cell>
          <cell r="S411">
            <v>0</v>
          </cell>
          <cell r="U411">
            <v>0</v>
          </cell>
          <cell r="W411">
            <v>0</v>
          </cell>
          <cell r="Y411">
            <v>0</v>
          </cell>
          <cell r="AA411">
            <v>0</v>
          </cell>
          <cell r="AC411">
            <v>0</v>
          </cell>
          <cell r="AE411">
            <v>0</v>
          </cell>
          <cell r="AG411">
            <v>0</v>
          </cell>
        </row>
        <row r="412">
          <cell r="D412">
            <v>0</v>
          </cell>
          <cell r="E412">
            <v>0</v>
          </cell>
          <cell r="F412">
            <v>0</v>
          </cell>
          <cell r="G412">
            <v>0</v>
          </cell>
          <cell r="H412">
            <v>0</v>
          </cell>
          <cell r="I412">
            <v>0</v>
          </cell>
          <cell r="K412">
            <v>0</v>
          </cell>
          <cell r="M412">
            <v>0</v>
          </cell>
          <cell r="O412">
            <v>0</v>
          </cell>
          <cell r="Q412">
            <v>0</v>
          </cell>
          <cell r="S412">
            <v>0</v>
          </cell>
          <cell r="U412">
            <v>0</v>
          </cell>
          <cell r="W412">
            <v>0</v>
          </cell>
          <cell r="Y412">
            <v>0</v>
          </cell>
          <cell r="AA412">
            <v>0</v>
          </cell>
          <cell r="AC412">
            <v>0</v>
          </cell>
          <cell r="AE412">
            <v>0</v>
          </cell>
          <cell r="AG412">
            <v>0</v>
          </cell>
        </row>
        <row r="413">
          <cell r="D413">
            <v>0</v>
          </cell>
          <cell r="E413">
            <v>0</v>
          </cell>
          <cell r="F413">
            <v>0</v>
          </cell>
          <cell r="G413">
            <v>0</v>
          </cell>
          <cell r="H413">
            <v>0</v>
          </cell>
          <cell r="I413">
            <v>0</v>
          </cell>
          <cell r="K413">
            <v>0</v>
          </cell>
          <cell r="M413">
            <v>0</v>
          </cell>
          <cell r="O413">
            <v>0</v>
          </cell>
          <cell r="Q413">
            <v>0</v>
          </cell>
          <cell r="S413">
            <v>0</v>
          </cell>
          <cell r="U413">
            <v>0</v>
          </cell>
          <cell r="W413">
            <v>0</v>
          </cell>
          <cell r="Y413">
            <v>0</v>
          </cell>
          <cell r="AA413">
            <v>0</v>
          </cell>
          <cell r="AC413">
            <v>0</v>
          </cell>
          <cell r="AE413">
            <v>0</v>
          </cell>
          <cell r="AG413">
            <v>0</v>
          </cell>
        </row>
        <row r="414">
          <cell r="D414">
            <v>0</v>
          </cell>
          <cell r="E414">
            <v>0</v>
          </cell>
          <cell r="F414">
            <v>0</v>
          </cell>
          <cell r="G414">
            <v>0</v>
          </cell>
          <cell r="H414">
            <v>0</v>
          </cell>
          <cell r="I414">
            <v>0</v>
          </cell>
          <cell r="K414">
            <v>0</v>
          </cell>
          <cell r="M414">
            <v>0</v>
          </cell>
          <cell r="O414">
            <v>0</v>
          </cell>
          <cell r="Q414">
            <v>0</v>
          </cell>
          <cell r="S414">
            <v>0</v>
          </cell>
          <cell r="U414">
            <v>0</v>
          </cell>
          <cell r="W414">
            <v>0</v>
          </cell>
          <cell r="Y414">
            <v>0</v>
          </cell>
          <cell r="AA414">
            <v>0</v>
          </cell>
          <cell r="AC414">
            <v>0</v>
          </cell>
          <cell r="AE414">
            <v>0</v>
          </cell>
          <cell r="AG414">
            <v>0</v>
          </cell>
        </row>
        <row r="415">
          <cell r="D415">
            <v>0</v>
          </cell>
          <cell r="E415">
            <v>0</v>
          </cell>
          <cell r="F415">
            <v>0</v>
          </cell>
          <cell r="G415">
            <v>0</v>
          </cell>
          <cell r="H415">
            <v>0</v>
          </cell>
          <cell r="I415">
            <v>0</v>
          </cell>
          <cell r="K415">
            <v>0</v>
          </cell>
          <cell r="M415">
            <v>0</v>
          </cell>
          <cell r="O415">
            <v>0</v>
          </cell>
          <cell r="Q415">
            <v>0</v>
          </cell>
          <cell r="S415">
            <v>0</v>
          </cell>
          <cell r="U415">
            <v>0</v>
          </cell>
          <cell r="W415">
            <v>0</v>
          </cell>
          <cell r="Y415">
            <v>0</v>
          </cell>
          <cell r="AA415">
            <v>0</v>
          </cell>
          <cell r="AC415">
            <v>0</v>
          </cell>
          <cell r="AE415">
            <v>0</v>
          </cell>
          <cell r="AG415">
            <v>0</v>
          </cell>
        </row>
        <row r="416">
          <cell r="D416">
            <v>0</v>
          </cell>
          <cell r="E416">
            <v>0</v>
          </cell>
          <cell r="F416">
            <v>0</v>
          </cell>
          <cell r="G416">
            <v>0</v>
          </cell>
          <cell r="H416">
            <v>0</v>
          </cell>
          <cell r="I416">
            <v>0</v>
          </cell>
          <cell r="K416">
            <v>0</v>
          </cell>
          <cell r="M416">
            <v>0</v>
          </cell>
          <cell r="O416">
            <v>0</v>
          </cell>
          <cell r="Q416">
            <v>0</v>
          </cell>
          <cell r="S416">
            <v>0</v>
          </cell>
          <cell r="U416">
            <v>0</v>
          </cell>
          <cell r="W416">
            <v>0</v>
          </cell>
          <cell r="Y416">
            <v>0</v>
          </cell>
          <cell r="AA416">
            <v>0</v>
          </cell>
          <cell r="AC416">
            <v>0</v>
          </cell>
          <cell r="AE416">
            <v>0</v>
          </cell>
          <cell r="AG416">
            <v>0</v>
          </cell>
        </row>
        <row r="417">
          <cell r="D417">
            <v>0</v>
          </cell>
          <cell r="E417">
            <v>0</v>
          </cell>
          <cell r="F417">
            <v>0</v>
          </cell>
          <cell r="G417">
            <v>0</v>
          </cell>
          <cell r="H417">
            <v>0</v>
          </cell>
          <cell r="I417">
            <v>0</v>
          </cell>
          <cell r="K417">
            <v>0</v>
          </cell>
          <cell r="M417">
            <v>0</v>
          </cell>
          <cell r="O417">
            <v>0</v>
          </cell>
          <cell r="Q417">
            <v>0</v>
          </cell>
          <cell r="S417">
            <v>0</v>
          </cell>
          <cell r="U417">
            <v>0</v>
          </cell>
          <cell r="W417">
            <v>0</v>
          </cell>
          <cell r="Y417">
            <v>0</v>
          </cell>
          <cell r="AA417">
            <v>0</v>
          </cell>
          <cell r="AC417">
            <v>0</v>
          </cell>
          <cell r="AE417">
            <v>0</v>
          </cell>
          <cell r="AG417">
            <v>0</v>
          </cell>
        </row>
        <row r="418">
          <cell r="D418">
            <v>0</v>
          </cell>
          <cell r="E418">
            <v>0</v>
          </cell>
          <cell r="F418">
            <v>0</v>
          </cell>
          <cell r="G418">
            <v>0</v>
          </cell>
          <cell r="H418">
            <v>0</v>
          </cell>
          <cell r="I418">
            <v>0</v>
          </cell>
          <cell r="K418">
            <v>0</v>
          </cell>
          <cell r="M418">
            <v>0</v>
          </cell>
          <cell r="O418">
            <v>0</v>
          </cell>
          <cell r="Q418">
            <v>0</v>
          </cell>
          <cell r="S418">
            <v>0</v>
          </cell>
          <cell r="U418">
            <v>0</v>
          </cell>
          <cell r="W418">
            <v>0</v>
          </cell>
          <cell r="Y418">
            <v>0</v>
          </cell>
          <cell r="AA418">
            <v>0</v>
          </cell>
          <cell r="AC418">
            <v>0</v>
          </cell>
          <cell r="AE418">
            <v>0</v>
          </cell>
          <cell r="AG418">
            <v>0</v>
          </cell>
        </row>
        <row r="419">
          <cell r="D419">
            <v>0</v>
          </cell>
          <cell r="E419">
            <v>0</v>
          </cell>
          <cell r="F419">
            <v>0</v>
          </cell>
          <cell r="G419">
            <v>0</v>
          </cell>
          <cell r="H419">
            <v>0</v>
          </cell>
          <cell r="I419">
            <v>0</v>
          </cell>
          <cell r="K419">
            <v>0</v>
          </cell>
          <cell r="M419">
            <v>0</v>
          </cell>
          <cell r="O419">
            <v>0</v>
          </cell>
          <cell r="Q419">
            <v>0</v>
          </cell>
          <cell r="S419">
            <v>0</v>
          </cell>
          <cell r="U419">
            <v>0</v>
          </cell>
          <cell r="W419">
            <v>0</v>
          </cell>
          <cell r="Y419">
            <v>0</v>
          </cell>
          <cell r="AA419">
            <v>0</v>
          </cell>
          <cell r="AC419">
            <v>0</v>
          </cell>
          <cell r="AE419">
            <v>0</v>
          </cell>
          <cell r="AG419">
            <v>0</v>
          </cell>
        </row>
        <row r="420">
          <cell r="D420">
            <v>0</v>
          </cell>
          <cell r="E420">
            <v>0</v>
          </cell>
          <cell r="F420">
            <v>0</v>
          </cell>
          <cell r="G420">
            <v>0</v>
          </cell>
          <cell r="H420">
            <v>0</v>
          </cell>
          <cell r="I420">
            <v>0</v>
          </cell>
          <cell r="K420">
            <v>0</v>
          </cell>
          <cell r="M420">
            <v>0</v>
          </cell>
          <cell r="O420">
            <v>0</v>
          </cell>
          <cell r="Q420">
            <v>0</v>
          </cell>
          <cell r="S420">
            <v>0</v>
          </cell>
          <cell r="U420">
            <v>0</v>
          </cell>
          <cell r="W420">
            <v>0</v>
          </cell>
          <cell r="Y420">
            <v>0</v>
          </cell>
          <cell r="AA420">
            <v>0</v>
          </cell>
          <cell r="AC420">
            <v>0</v>
          </cell>
          <cell r="AE420">
            <v>0</v>
          </cell>
          <cell r="AG420">
            <v>0</v>
          </cell>
        </row>
        <row r="421">
          <cell r="D421">
            <v>0</v>
          </cell>
          <cell r="E421">
            <v>0</v>
          </cell>
          <cell r="F421">
            <v>0</v>
          </cell>
          <cell r="G421">
            <v>0</v>
          </cell>
          <cell r="H421">
            <v>0</v>
          </cell>
          <cell r="I421">
            <v>0</v>
          </cell>
          <cell r="K421">
            <v>0</v>
          </cell>
          <cell r="M421">
            <v>0</v>
          </cell>
          <cell r="O421">
            <v>0</v>
          </cell>
          <cell r="Q421">
            <v>0</v>
          </cell>
          <cell r="S421">
            <v>0</v>
          </cell>
          <cell r="U421">
            <v>0</v>
          </cell>
          <cell r="W421">
            <v>0</v>
          </cell>
          <cell r="Y421">
            <v>0</v>
          </cell>
          <cell r="AA421">
            <v>0</v>
          </cell>
          <cell r="AC421">
            <v>0</v>
          </cell>
          <cell r="AE421">
            <v>0</v>
          </cell>
          <cell r="AG421">
            <v>0</v>
          </cell>
        </row>
        <row r="422">
          <cell r="D422">
            <v>0</v>
          </cell>
          <cell r="E422">
            <v>0</v>
          </cell>
          <cell r="F422">
            <v>0</v>
          </cell>
          <cell r="G422">
            <v>0</v>
          </cell>
          <cell r="H422">
            <v>0</v>
          </cell>
          <cell r="I422">
            <v>0</v>
          </cell>
          <cell r="K422">
            <v>0</v>
          </cell>
          <cell r="M422">
            <v>0</v>
          </cell>
          <cell r="O422">
            <v>0</v>
          </cell>
          <cell r="Q422">
            <v>0</v>
          </cell>
          <cell r="S422">
            <v>0</v>
          </cell>
          <cell r="U422">
            <v>0</v>
          </cell>
          <cell r="W422">
            <v>0</v>
          </cell>
          <cell r="Y422">
            <v>0</v>
          </cell>
          <cell r="AA422">
            <v>0</v>
          </cell>
          <cell r="AC422">
            <v>0</v>
          </cell>
          <cell r="AE422">
            <v>0</v>
          </cell>
          <cell r="AG422">
            <v>0</v>
          </cell>
        </row>
        <row r="423">
          <cell r="D423">
            <v>0</v>
          </cell>
          <cell r="E423">
            <v>0</v>
          </cell>
          <cell r="F423">
            <v>0</v>
          </cell>
          <cell r="G423">
            <v>0</v>
          </cell>
          <cell r="H423">
            <v>0</v>
          </cell>
          <cell r="I423">
            <v>0</v>
          </cell>
          <cell r="K423">
            <v>0</v>
          </cell>
          <cell r="M423">
            <v>0</v>
          </cell>
          <cell r="O423">
            <v>0</v>
          </cell>
          <cell r="Q423">
            <v>0</v>
          </cell>
          <cell r="S423">
            <v>0</v>
          </cell>
          <cell r="U423">
            <v>0</v>
          </cell>
          <cell r="W423">
            <v>0</v>
          </cell>
          <cell r="Y423">
            <v>0</v>
          </cell>
          <cell r="AA423">
            <v>0</v>
          </cell>
          <cell r="AC423">
            <v>0</v>
          </cell>
          <cell r="AE423">
            <v>0</v>
          </cell>
          <cell r="AG423">
            <v>0</v>
          </cell>
        </row>
        <row r="424">
          <cell r="D424">
            <v>0</v>
          </cell>
          <cell r="E424">
            <v>0</v>
          </cell>
          <cell r="F424">
            <v>0</v>
          </cell>
          <cell r="G424">
            <v>0</v>
          </cell>
          <cell r="H424">
            <v>0</v>
          </cell>
          <cell r="I424">
            <v>0</v>
          </cell>
          <cell r="K424">
            <v>0</v>
          </cell>
          <cell r="M424">
            <v>0</v>
          </cell>
          <cell r="O424">
            <v>0</v>
          </cell>
          <cell r="Q424">
            <v>0</v>
          </cell>
          <cell r="S424">
            <v>0</v>
          </cell>
          <cell r="U424">
            <v>0</v>
          </cell>
          <cell r="W424">
            <v>0</v>
          </cell>
          <cell r="Y424">
            <v>0</v>
          </cell>
          <cell r="AA424">
            <v>0</v>
          </cell>
          <cell r="AC424">
            <v>0</v>
          </cell>
          <cell r="AE424">
            <v>0</v>
          </cell>
          <cell r="AG424">
            <v>0</v>
          </cell>
        </row>
        <row r="425">
          <cell r="D425">
            <v>0</v>
          </cell>
          <cell r="E425">
            <v>0</v>
          </cell>
          <cell r="F425">
            <v>0</v>
          </cell>
          <cell r="G425">
            <v>0</v>
          </cell>
          <cell r="H425">
            <v>0</v>
          </cell>
          <cell r="I425">
            <v>0</v>
          </cell>
          <cell r="K425">
            <v>0</v>
          </cell>
          <cell r="M425">
            <v>0</v>
          </cell>
          <cell r="O425">
            <v>0</v>
          </cell>
          <cell r="Q425">
            <v>0</v>
          </cell>
          <cell r="S425">
            <v>0</v>
          </cell>
          <cell r="U425">
            <v>0</v>
          </cell>
          <cell r="W425">
            <v>0</v>
          </cell>
          <cell r="Y425">
            <v>0</v>
          </cell>
          <cell r="AA425">
            <v>0</v>
          </cell>
          <cell r="AC425">
            <v>0</v>
          </cell>
          <cell r="AE425">
            <v>0</v>
          </cell>
          <cell r="AG425">
            <v>0</v>
          </cell>
        </row>
        <row r="426">
          <cell r="D426">
            <v>0</v>
          </cell>
          <cell r="E426">
            <v>0</v>
          </cell>
          <cell r="F426">
            <v>0</v>
          </cell>
          <cell r="G426">
            <v>0</v>
          </cell>
          <cell r="H426">
            <v>0</v>
          </cell>
          <cell r="I426">
            <v>0</v>
          </cell>
          <cell r="K426">
            <v>0</v>
          </cell>
          <cell r="M426">
            <v>0</v>
          </cell>
          <cell r="O426">
            <v>0</v>
          </cell>
          <cell r="Q426">
            <v>0</v>
          </cell>
          <cell r="S426">
            <v>0</v>
          </cell>
          <cell r="U426">
            <v>0</v>
          </cell>
          <cell r="W426">
            <v>0</v>
          </cell>
          <cell r="Y426">
            <v>0</v>
          </cell>
          <cell r="AA426">
            <v>0</v>
          </cell>
          <cell r="AC426">
            <v>0</v>
          </cell>
          <cell r="AE426">
            <v>0</v>
          </cell>
          <cell r="AG426">
            <v>0</v>
          </cell>
        </row>
        <row r="427">
          <cell r="D427">
            <v>0</v>
          </cell>
          <cell r="E427">
            <v>0</v>
          </cell>
          <cell r="F427">
            <v>0</v>
          </cell>
          <cell r="G427">
            <v>0</v>
          </cell>
          <cell r="H427">
            <v>0</v>
          </cell>
          <cell r="I427">
            <v>0</v>
          </cell>
          <cell r="K427">
            <v>0</v>
          </cell>
          <cell r="M427">
            <v>0</v>
          </cell>
          <cell r="O427">
            <v>0</v>
          </cell>
          <cell r="Q427">
            <v>0</v>
          </cell>
          <cell r="S427">
            <v>0</v>
          </cell>
          <cell r="U427">
            <v>0</v>
          </cell>
          <cell r="W427">
            <v>0</v>
          </cell>
          <cell r="Y427">
            <v>0</v>
          </cell>
          <cell r="AA427">
            <v>0</v>
          </cell>
          <cell r="AC427">
            <v>0</v>
          </cell>
          <cell r="AE427">
            <v>0</v>
          </cell>
          <cell r="AG427">
            <v>0</v>
          </cell>
        </row>
        <row r="428">
          <cell r="D428">
            <v>0</v>
          </cell>
          <cell r="E428">
            <v>0</v>
          </cell>
          <cell r="F428">
            <v>0</v>
          </cell>
          <cell r="G428">
            <v>0</v>
          </cell>
          <cell r="H428">
            <v>0</v>
          </cell>
          <cell r="I428">
            <v>0</v>
          </cell>
          <cell r="K428">
            <v>0</v>
          </cell>
          <cell r="M428">
            <v>0</v>
          </cell>
          <cell r="O428">
            <v>0</v>
          </cell>
          <cell r="Q428">
            <v>0</v>
          </cell>
          <cell r="S428">
            <v>0</v>
          </cell>
          <cell r="U428">
            <v>0</v>
          </cell>
          <cell r="W428">
            <v>0</v>
          </cell>
          <cell r="Y428">
            <v>0</v>
          </cell>
          <cell r="AA428">
            <v>0</v>
          </cell>
          <cell r="AC428">
            <v>0</v>
          </cell>
          <cell r="AE428">
            <v>0</v>
          </cell>
          <cell r="AG428">
            <v>0</v>
          </cell>
        </row>
        <row r="429">
          <cell r="D429">
            <v>0</v>
          </cell>
          <cell r="E429">
            <v>0</v>
          </cell>
          <cell r="F429">
            <v>0</v>
          </cell>
          <cell r="G429">
            <v>0</v>
          </cell>
          <cell r="H429">
            <v>0</v>
          </cell>
          <cell r="I429">
            <v>0</v>
          </cell>
          <cell r="K429">
            <v>0</v>
          </cell>
          <cell r="M429">
            <v>0</v>
          </cell>
          <cell r="O429">
            <v>0</v>
          </cell>
          <cell r="Q429">
            <v>0</v>
          </cell>
          <cell r="S429">
            <v>0</v>
          </cell>
          <cell r="U429">
            <v>0</v>
          </cell>
          <cell r="W429">
            <v>0</v>
          </cell>
          <cell r="Y429">
            <v>0</v>
          </cell>
          <cell r="AA429">
            <v>0</v>
          </cell>
          <cell r="AC429">
            <v>0</v>
          </cell>
          <cell r="AE429">
            <v>0</v>
          </cell>
          <cell r="AG429">
            <v>0</v>
          </cell>
        </row>
        <row r="430">
          <cell r="D430">
            <v>0</v>
          </cell>
          <cell r="E430">
            <v>0</v>
          </cell>
          <cell r="F430">
            <v>0</v>
          </cell>
          <cell r="G430">
            <v>0</v>
          </cell>
          <cell r="H430">
            <v>0</v>
          </cell>
          <cell r="I430">
            <v>0</v>
          </cell>
          <cell r="K430">
            <v>0</v>
          </cell>
          <cell r="M430">
            <v>0</v>
          </cell>
          <cell r="O430">
            <v>0</v>
          </cell>
          <cell r="Q430">
            <v>0</v>
          </cell>
          <cell r="S430">
            <v>0</v>
          </cell>
          <cell r="U430">
            <v>0</v>
          </cell>
          <cell r="W430">
            <v>0</v>
          </cell>
          <cell r="Y430">
            <v>0</v>
          </cell>
          <cell r="AA430">
            <v>0</v>
          </cell>
          <cell r="AC430">
            <v>0</v>
          </cell>
          <cell r="AE430">
            <v>0</v>
          </cell>
          <cell r="AG430">
            <v>0</v>
          </cell>
        </row>
        <row r="431">
          <cell r="D431">
            <v>0</v>
          </cell>
          <cell r="E431">
            <v>0</v>
          </cell>
          <cell r="F431">
            <v>0</v>
          </cell>
          <cell r="G431">
            <v>0</v>
          </cell>
          <cell r="H431">
            <v>0</v>
          </cell>
          <cell r="I431">
            <v>0</v>
          </cell>
          <cell r="K431">
            <v>0</v>
          </cell>
          <cell r="M431">
            <v>0</v>
          </cell>
          <cell r="O431">
            <v>0</v>
          </cell>
          <cell r="Q431">
            <v>0</v>
          </cell>
          <cell r="S431">
            <v>0</v>
          </cell>
          <cell r="U431">
            <v>0</v>
          </cell>
          <cell r="W431">
            <v>0</v>
          </cell>
          <cell r="Y431">
            <v>0</v>
          </cell>
          <cell r="AA431">
            <v>0</v>
          </cell>
          <cell r="AC431">
            <v>0</v>
          </cell>
          <cell r="AE431">
            <v>0</v>
          </cell>
          <cell r="AG431">
            <v>0</v>
          </cell>
        </row>
        <row r="432">
          <cell r="D432">
            <v>0</v>
          </cell>
          <cell r="E432">
            <v>0</v>
          </cell>
          <cell r="F432">
            <v>0</v>
          </cell>
          <cell r="G432">
            <v>0</v>
          </cell>
          <cell r="H432">
            <v>0</v>
          </cell>
          <cell r="I432">
            <v>0</v>
          </cell>
          <cell r="K432">
            <v>0</v>
          </cell>
          <cell r="M432">
            <v>0</v>
          </cell>
          <cell r="O432">
            <v>0</v>
          </cell>
          <cell r="Q432">
            <v>0</v>
          </cell>
          <cell r="S432">
            <v>0</v>
          </cell>
          <cell r="U432">
            <v>0</v>
          </cell>
          <cell r="W432">
            <v>0</v>
          </cell>
          <cell r="Y432">
            <v>0</v>
          </cell>
          <cell r="AA432">
            <v>0</v>
          </cell>
          <cell r="AC432">
            <v>0</v>
          </cell>
          <cell r="AE432">
            <v>0</v>
          </cell>
          <cell r="AG432">
            <v>0</v>
          </cell>
        </row>
        <row r="433">
          <cell r="D433">
            <v>0</v>
          </cell>
          <cell r="E433">
            <v>0</v>
          </cell>
          <cell r="F433">
            <v>0</v>
          </cell>
          <cell r="G433">
            <v>0</v>
          </cell>
          <cell r="H433">
            <v>0</v>
          </cell>
          <cell r="I433">
            <v>0</v>
          </cell>
          <cell r="K433">
            <v>0</v>
          </cell>
          <cell r="M433">
            <v>0</v>
          </cell>
          <cell r="O433">
            <v>0</v>
          </cell>
          <cell r="Q433">
            <v>0</v>
          </cell>
          <cell r="S433">
            <v>0</v>
          </cell>
          <cell r="U433">
            <v>0</v>
          </cell>
          <cell r="W433">
            <v>0</v>
          </cell>
          <cell r="Y433">
            <v>0</v>
          </cell>
          <cell r="AA433">
            <v>0</v>
          </cell>
          <cell r="AC433">
            <v>0</v>
          </cell>
          <cell r="AE433">
            <v>0</v>
          </cell>
          <cell r="AG433">
            <v>0</v>
          </cell>
        </row>
        <row r="434">
          <cell r="D434">
            <v>0</v>
          </cell>
          <cell r="E434">
            <v>0</v>
          </cell>
          <cell r="F434">
            <v>0</v>
          </cell>
          <cell r="G434">
            <v>0</v>
          </cell>
          <cell r="H434">
            <v>0</v>
          </cell>
          <cell r="I434">
            <v>0</v>
          </cell>
          <cell r="K434">
            <v>0</v>
          </cell>
          <cell r="M434">
            <v>0</v>
          </cell>
          <cell r="O434">
            <v>0</v>
          </cell>
          <cell r="Q434">
            <v>0</v>
          </cell>
          <cell r="S434">
            <v>0</v>
          </cell>
          <cell r="U434">
            <v>0</v>
          </cell>
          <cell r="W434">
            <v>0</v>
          </cell>
          <cell r="Y434">
            <v>0</v>
          </cell>
          <cell r="AA434">
            <v>0</v>
          </cell>
          <cell r="AC434">
            <v>0</v>
          </cell>
          <cell r="AE434">
            <v>0</v>
          </cell>
          <cell r="AG434">
            <v>0</v>
          </cell>
        </row>
        <row r="435">
          <cell r="D435">
            <v>0</v>
          </cell>
          <cell r="E435">
            <v>0</v>
          </cell>
          <cell r="F435">
            <v>0</v>
          </cell>
          <cell r="G435">
            <v>0</v>
          </cell>
          <cell r="H435">
            <v>0</v>
          </cell>
          <cell r="I435">
            <v>0</v>
          </cell>
          <cell r="K435">
            <v>0</v>
          </cell>
          <cell r="M435">
            <v>0</v>
          </cell>
          <cell r="O435">
            <v>0</v>
          </cell>
          <cell r="Q435">
            <v>0</v>
          </cell>
          <cell r="S435">
            <v>0</v>
          </cell>
          <cell r="U435">
            <v>0</v>
          </cell>
          <cell r="W435">
            <v>0</v>
          </cell>
          <cell r="Y435">
            <v>0</v>
          </cell>
          <cell r="AA435">
            <v>0</v>
          </cell>
          <cell r="AC435">
            <v>0</v>
          </cell>
          <cell r="AE435">
            <v>0</v>
          </cell>
          <cell r="AG435">
            <v>0</v>
          </cell>
        </row>
        <row r="436">
          <cell r="D436">
            <v>0</v>
          </cell>
          <cell r="E436">
            <v>0</v>
          </cell>
          <cell r="F436">
            <v>0</v>
          </cell>
          <cell r="G436">
            <v>0</v>
          </cell>
          <cell r="H436">
            <v>0</v>
          </cell>
          <cell r="I436">
            <v>0</v>
          </cell>
          <cell r="K436">
            <v>0</v>
          </cell>
          <cell r="M436">
            <v>0</v>
          </cell>
          <cell r="O436">
            <v>0</v>
          </cell>
          <cell r="Q436">
            <v>0</v>
          </cell>
          <cell r="S436">
            <v>0</v>
          </cell>
          <cell r="U436">
            <v>0</v>
          </cell>
          <cell r="W436">
            <v>0</v>
          </cell>
          <cell r="Y436">
            <v>0</v>
          </cell>
          <cell r="AA436">
            <v>0</v>
          </cell>
          <cell r="AC436">
            <v>0</v>
          </cell>
          <cell r="AE436">
            <v>0</v>
          </cell>
          <cell r="AG436">
            <v>0</v>
          </cell>
        </row>
        <row r="437">
          <cell r="D437">
            <v>0</v>
          </cell>
          <cell r="E437">
            <v>0</v>
          </cell>
          <cell r="F437">
            <v>0</v>
          </cell>
          <cell r="G437">
            <v>0</v>
          </cell>
          <cell r="H437">
            <v>0</v>
          </cell>
          <cell r="I437">
            <v>0</v>
          </cell>
          <cell r="K437">
            <v>0</v>
          </cell>
          <cell r="M437">
            <v>0</v>
          </cell>
          <cell r="O437">
            <v>0</v>
          </cell>
          <cell r="Q437">
            <v>0</v>
          </cell>
          <cell r="S437">
            <v>0</v>
          </cell>
          <cell r="U437">
            <v>0</v>
          </cell>
          <cell r="W437">
            <v>0</v>
          </cell>
          <cell r="Y437">
            <v>0</v>
          </cell>
          <cell r="AA437">
            <v>0</v>
          </cell>
          <cell r="AC437">
            <v>0</v>
          </cell>
          <cell r="AE437">
            <v>0</v>
          </cell>
          <cell r="AG437">
            <v>0</v>
          </cell>
        </row>
        <row r="438">
          <cell r="D438">
            <v>0</v>
          </cell>
          <cell r="E438">
            <v>0</v>
          </cell>
          <cell r="F438">
            <v>0</v>
          </cell>
          <cell r="G438">
            <v>0</v>
          </cell>
          <cell r="H438">
            <v>0</v>
          </cell>
          <cell r="I438">
            <v>0</v>
          </cell>
          <cell r="K438">
            <v>0</v>
          </cell>
          <cell r="M438">
            <v>0</v>
          </cell>
          <cell r="O438">
            <v>0</v>
          </cell>
          <cell r="Q438">
            <v>0</v>
          </cell>
          <cell r="S438">
            <v>0</v>
          </cell>
          <cell r="U438">
            <v>0</v>
          </cell>
          <cell r="W438">
            <v>0</v>
          </cell>
          <cell r="Y438">
            <v>0</v>
          </cell>
          <cell r="AA438">
            <v>0</v>
          </cell>
          <cell r="AC438">
            <v>0</v>
          </cell>
          <cell r="AE438">
            <v>0</v>
          </cell>
          <cell r="AG438">
            <v>0</v>
          </cell>
        </row>
        <row r="439">
          <cell r="D439">
            <v>0</v>
          </cell>
          <cell r="E439">
            <v>0</v>
          </cell>
          <cell r="F439">
            <v>0</v>
          </cell>
          <cell r="G439">
            <v>0</v>
          </cell>
          <cell r="H439">
            <v>0</v>
          </cell>
          <cell r="I439">
            <v>0</v>
          </cell>
          <cell r="K439">
            <v>0</v>
          </cell>
          <cell r="M439">
            <v>0</v>
          </cell>
          <cell r="O439">
            <v>0</v>
          </cell>
          <cell r="Q439">
            <v>0</v>
          </cell>
          <cell r="S439">
            <v>0</v>
          </cell>
          <cell r="U439">
            <v>0</v>
          </cell>
          <cell r="W439">
            <v>0</v>
          </cell>
          <cell r="Y439">
            <v>0</v>
          </cell>
          <cell r="AA439">
            <v>0</v>
          </cell>
          <cell r="AC439">
            <v>0</v>
          </cell>
          <cell r="AE439">
            <v>0</v>
          </cell>
          <cell r="AG439">
            <v>0</v>
          </cell>
        </row>
        <row r="440">
          <cell r="D440">
            <v>0</v>
          </cell>
          <cell r="E440">
            <v>0</v>
          </cell>
          <cell r="F440">
            <v>0</v>
          </cell>
          <cell r="G440">
            <v>0</v>
          </cell>
          <cell r="H440">
            <v>0</v>
          </cell>
          <cell r="I440">
            <v>0</v>
          </cell>
          <cell r="K440">
            <v>0</v>
          </cell>
          <cell r="M440">
            <v>0</v>
          </cell>
          <cell r="O440">
            <v>0</v>
          </cell>
          <cell r="Q440">
            <v>0</v>
          </cell>
          <cell r="S440">
            <v>0</v>
          </cell>
          <cell r="U440">
            <v>0</v>
          </cell>
          <cell r="W440">
            <v>0</v>
          </cell>
          <cell r="Y440">
            <v>0</v>
          </cell>
          <cell r="AA440">
            <v>0</v>
          </cell>
          <cell r="AC440">
            <v>0</v>
          </cell>
          <cell r="AE440">
            <v>0</v>
          </cell>
          <cell r="AG440">
            <v>0</v>
          </cell>
        </row>
        <row r="441">
          <cell r="D441">
            <v>0</v>
          </cell>
          <cell r="E441">
            <v>0</v>
          </cell>
          <cell r="F441">
            <v>0</v>
          </cell>
          <cell r="G441">
            <v>0</v>
          </cell>
          <cell r="H441">
            <v>0</v>
          </cell>
          <cell r="I441">
            <v>0</v>
          </cell>
          <cell r="K441">
            <v>0</v>
          </cell>
          <cell r="M441">
            <v>0</v>
          </cell>
          <cell r="O441">
            <v>0</v>
          </cell>
          <cell r="Q441">
            <v>0</v>
          </cell>
          <cell r="S441">
            <v>0</v>
          </cell>
          <cell r="U441">
            <v>0</v>
          </cell>
          <cell r="W441">
            <v>0</v>
          </cell>
          <cell r="Y441">
            <v>0</v>
          </cell>
          <cell r="AA441">
            <v>0</v>
          </cell>
          <cell r="AC441">
            <v>0</v>
          </cell>
          <cell r="AE441">
            <v>0</v>
          </cell>
          <cell r="AG441">
            <v>0</v>
          </cell>
        </row>
        <row r="442">
          <cell r="D442">
            <v>0</v>
          </cell>
          <cell r="E442">
            <v>0</v>
          </cell>
          <cell r="F442">
            <v>0</v>
          </cell>
          <cell r="G442">
            <v>0</v>
          </cell>
          <cell r="H442">
            <v>0</v>
          </cell>
          <cell r="I442">
            <v>0</v>
          </cell>
          <cell r="K442">
            <v>0</v>
          </cell>
          <cell r="M442">
            <v>0</v>
          </cell>
          <cell r="O442">
            <v>0</v>
          </cell>
          <cell r="Q442">
            <v>0</v>
          </cell>
          <cell r="S442">
            <v>0</v>
          </cell>
          <cell r="U442">
            <v>0</v>
          </cell>
          <cell r="W442">
            <v>0</v>
          </cell>
          <cell r="Y442">
            <v>0</v>
          </cell>
          <cell r="AA442">
            <v>0</v>
          </cell>
          <cell r="AC442">
            <v>0</v>
          </cell>
          <cell r="AE442">
            <v>0</v>
          </cell>
          <cell r="AG442">
            <v>0</v>
          </cell>
        </row>
        <row r="443">
          <cell r="D443">
            <v>0</v>
          </cell>
          <cell r="E443">
            <v>0</v>
          </cell>
          <cell r="F443">
            <v>0</v>
          </cell>
          <cell r="G443">
            <v>0</v>
          </cell>
          <cell r="H443">
            <v>0</v>
          </cell>
          <cell r="I443">
            <v>0</v>
          </cell>
          <cell r="K443">
            <v>0</v>
          </cell>
          <cell r="M443">
            <v>0</v>
          </cell>
          <cell r="O443">
            <v>0</v>
          </cell>
          <cell r="Q443">
            <v>0</v>
          </cell>
          <cell r="S443">
            <v>0</v>
          </cell>
          <cell r="U443">
            <v>0</v>
          </cell>
          <cell r="W443">
            <v>0</v>
          </cell>
          <cell r="Y443">
            <v>0</v>
          </cell>
          <cell r="AA443">
            <v>0</v>
          </cell>
          <cell r="AC443">
            <v>0</v>
          </cell>
          <cell r="AE443">
            <v>0</v>
          </cell>
          <cell r="AG443">
            <v>0</v>
          </cell>
        </row>
        <row r="444">
          <cell r="D444">
            <v>0</v>
          </cell>
          <cell r="E444">
            <v>0</v>
          </cell>
          <cell r="F444">
            <v>0</v>
          </cell>
          <cell r="G444">
            <v>0</v>
          </cell>
          <cell r="H444">
            <v>0</v>
          </cell>
          <cell r="I444">
            <v>0</v>
          </cell>
          <cell r="K444">
            <v>0</v>
          </cell>
          <cell r="M444">
            <v>0</v>
          </cell>
          <cell r="O444">
            <v>0</v>
          </cell>
          <cell r="Q444">
            <v>0</v>
          </cell>
          <cell r="S444">
            <v>0</v>
          </cell>
          <cell r="U444">
            <v>0</v>
          </cell>
          <cell r="W444">
            <v>0</v>
          </cell>
          <cell r="Y444">
            <v>0</v>
          </cell>
          <cell r="AA444">
            <v>0</v>
          </cell>
          <cell r="AC444">
            <v>0</v>
          </cell>
          <cell r="AE444">
            <v>0</v>
          </cell>
          <cell r="AG444">
            <v>0</v>
          </cell>
        </row>
        <row r="445">
          <cell r="D445">
            <v>0</v>
          </cell>
          <cell r="E445">
            <v>0</v>
          </cell>
          <cell r="F445">
            <v>0</v>
          </cell>
          <cell r="G445">
            <v>0</v>
          </cell>
          <cell r="H445">
            <v>0</v>
          </cell>
          <cell r="I445">
            <v>0</v>
          </cell>
          <cell r="K445">
            <v>0</v>
          </cell>
          <cell r="M445">
            <v>0</v>
          </cell>
          <cell r="O445">
            <v>0</v>
          </cell>
          <cell r="Q445">
            <v>0</v>
          </cell>
          <cell r="S445">
            <v>0</v>
          </cell>
          <cell r="U445">
            <v>0</v>
          </cell>
          <cell r="W445">
            <v>0</v>
          </cell>
          <cell r="Y445">
            <v>0</v>
          </cell>
          <cell r="AA445">
            <v>0</v>
          </cell>
          <cell r="AC445">
            <v>0</v>
          </cell>
          <cell r="AE445">
            <v>0</v>
          </cell>
          <cell r="AG445">
            <v>0</v>
          </cell>
        </row>
        <row r="446">
          <cell r="D446">
            <v>0</v>
          </cell>
          <cell r="E446">
            <v>0</v>
          </cell>
          <cell r="F446">
            <v>0</v>
          </cell>
          <cell r="G446">
            <v>0</v>
          </cell>
          <cell r="H446">
            <v>0</v>
          </cell>
          <cell r="I446">
            <v>0</v>
          </cell>
          <cell r="K446">
            <v>0</v>
          </cell>
          <cell r="M446">
            <v>0</v>
          </cell>
          <cell r="O446">
            <v>0</v>
          </cell>
          <cell r="Q446">
            <v>0</v>
          </cell>
          <cell r="S446">
            <v>0</v>
          </cell>
          <cell r="U446">
            <v>0</v>
          </cell>
          <cell r="W446">
            <v>0</v>
          </cell>
          <cell r="Y446">
            <v>0</v>
          </cell>
          <cell r="AA446">
            <v>0</v>
          </cell>
          <cell r="AC446">
            <v>0</v>
          </cell>
          <cell r="AE446">
            <v>0</v>
          </cell>
          <cell r="AG446">
            <v>0</v>
          </cell>
        </row>
        <row r="447">
          <cell r="D447">
            <v>0</v>
          </cell>
          <cell r="E447">
            <v>0</v>
          </cell>
          <cell r="F447">
            <v>0</v>
          </cell>
          <cell r="G447">
            <v>0</v>
          </cell>
          <cell r="H447">
            <v>0</v>
          </cell>
          <cell r="I447">
            <v>0</v>
          </cell>
          <cell r="K447">
            <v>0</v>
          </cell>
          <cell r="M447">
            <v>0</v>
          </cell>
          <cell r="O447">
            <v>0</v>
          </cell>
          <cell r="Q447">
            <v>0</v>
          </cell>
          <cell r="S447">
            <v>0</v>
          </cell>
          <cell r="U447">
            <v>0</v>
          </cell>
          <cell r="W447">
            <v>0</v>
          </cell>
          <cell r="Y447">
            <v>0</v>
          </cell>
          <cell r="AA447">
            <v>0</v>
          </cell>
          <cell r="AC447">
            <v>0</v>
          </cell>
          <cell r="AE447">
            <v>0</v>
          </cell>
          <cell r="AG447">
            <v>0</v>
          </cell>
        </row>
        <row r="448">
          <cell r="D448">
            <v>0</v>
          </cell>
          <cell r="E448">
            <v>0</v>
          </cell>
          <cell r="F448">
            <v>0</v>
          </cell>
          <cell r="G448">
            <v>0</v>
          </cell>
          <cell r="H448">
            <v>0</v>
          </cell>
          <cell r="I448">
            <v>0</v>
          </cell>
          <cell r="K448">
            <v>0</v>
          </cell>
          <cell r="M448">
            <v>0</v>
          </cell>
          <cell r="O448">
            <v>0</v>
          </cell>
          <cell r="Q448">
            <v>0</v>
          </cell>
          <cell r="S448">
            <v>0</v>
          </cell>
          <cell r="U448">
            <v>0</v>
          </cell>
          <cell r="W448">
            <v>0</v>
          </cell>
          <cell r="Y448">
            <v>0</v>
          </cell>
          <cell r="AA448">
            <v>0</v>
          </cell>
          <cell r="AC448">
            <v>0</v>
          </cell>
          <cell r="AE448">
            <v>0</v>
          </cell>
          <cell r="AG448">
            <v>0</v>
          </cell>
        </row>
        <row r="449">
          <cell r="D449">
            <v>0</v>
          </cell>
          <cell r="E449">
            <v>0</v>
          </cell>
          <cell r="F449">
            <v>0</v>
          </cell>
          <cell r="G449">
            <v>0</v>
          </cell>
          <cell r="H449">
            <v>0</v>
          </cell>
          <cell r="I449">
            <v>0</v>
          </cell>
          <cell r="K449">
            <v>0</v>
          </cell>
          <cell r="M449">
            <v>0</v>
          </cell>
          <cell r="O449">
            <v>0</v>
          </cell>
          <cell r="Q449">
            <v>0</v>
          </cell>
          <cell r="S449">
            <v>0</v>
          </cell>
          <cell r="U449">
            <v>0</v>
          </cell>
          <cell r="W449">
            <v>0</v>
          </cell>
          <cell r="Y449">
            <v>0</v>
          </cell>
          <cell r="AA449">
            <v>0</v>
          </cell>
          <cell r="AC449">
            <v>0</v>
          </cell>
          <cell r="AE449">
            <v>0</v>
          </cell>
          <cell r="AG449">
            <v>0</v>
          </cell>
        </row>
        <row r="450">
          <cell r="D450">
            <v>0</v>
          </cell>
          <cell r="E450">
            <v>0</v>
          </cell>
          <cell r="F450">
            <v>0</v>
          </cell>
          <cell r="G450">
            <v>0</v>
          </cell>
          <cell r="H450">
            <v>0</v>
          </cell>
          <cell r="I450">
            <v>0</v>
          </cell>
          <cell r="K450">
            <v>0</v>
          </cell>
          <cell r="M450">
            <v>0</v>
          </cell>
          <cell r="O450">
            <v>0</v>
          </cell>
          <cell r="Q450">
            <v>0</v>
          </cell>
          <cell r="S450">
            <v>0</v>
          </cell>
          <cell r="U450">
            <v>0</v>
          </cell>
          <cell r="W450">
            <v>0</v>
          </cell>
          <cell r="Y450">
            <v>0</v>
          </cell>
          <cell r="AA450">
            <v>0</v>
          </cell>
          <cell r="AC450">
            <v>0</v>
          </cell>
          <cell r="AE450">
            <v>0</v>
          </cell>
          <cell r="AG450">
            <v>0</v>
          </cell>
        </row>
        <row r="451">
          <cell r="D451">
            <v>0</v>
          </cell>
          <cell r="E451">
            <v>0</v>
          </cell>
          <cell r="F451">
            <v>0</v>
          </cell>
          <cell r="G451">
            <v>0</v>
          </cell>
          <cell r="H451">
            <v>0</v>
          </cell>
          <cell r="I451">
            <v>0</v>
          </cell>
          <cell r="K451">
            <v>0</v>
          </cell>
          <cell r="M451">
            <v>0</v>
          </cell>
          <cell r="O451">
            <v>0</v>
          </cell>
          <cell r="Q451">
            <v>0</v>
          </cell>
          <cell r="S451">
            <v>0</v>
          </cell>
          <cell r="U451">
            <v>0</v>
          </cell>
          <cell r="W451">
            <v>0</v>
          </cell>
          <cell r="Y451">
            <v>0</v>
          </cell>
          <cell r="AA451">
            <v>0</v>
          </cell>
          <cell r="AC451">
            <v>0</v>
          </cell>
          <cell r="AE451">
            <v>0</v>
          </cell>
          <cell r="AG451">
            <v>0</v>
          </cell>
        </row>
        <row r="452">
          <cell r="D452">
            <v>0</v>
          </cell>
          <cell r="E452">
            <v>0</v>
          </cell>
          <cell r="F452">
            <v>0</v>
          </cell>
          <cell r="G452">
            <v>0</v>
          </cell>
          <cell r="H452">
            <v>0</v>
          </cell>
          <cell r="I452">
            <v>0</v>
          </cell>
          <cell r="K452">
            <v>0</v>
          </cell>
          <cell r="M452">
            <v>0</v>
          </cell>
          <cell r="O452">
            <v>0</v>
          </cell>
          <cell r="Q452">
            <v>0</v>
          </cell>
          <cell r="S452">
            <v>0</v>
          </cell>
          <cell r="U452">
            <v>0</v>
          </cell>
          <cell r="W452">
            <v>0</v>
          </cell>
          <cell r="Y452">
            <v>0</v>
          </cell>
          <cell r="AA452">
            <v>0</v>
          </cell>
          <cell r="AC452">
            <v>0</v>
          </cell>
          <cell r="AE452">
            <v>0</v>
          </cell>
          <cell r="AG452">
            <v>0</v>
          </cell>
        </row>
        <row r="453">
          <cell r="D453">
            <v>0</v>
          </cell>
          <cell r="E453">
            <v>0</v>
          </cell>
          <cell r="F453">
            <v>0</v>
          </cell>
          <cell r="G453">
            <v>0</v>
          </cell>
          <cell r="H453">
            <v>0</v>
          </cell>
          <cell r="I453">
            <v>0</v>
          </cell>
          <cell r="K453">
            <v>0</v>
          </cell>
          <cell r="M453">
            <v>0</v>
          </cell>
          <cell r="O453">
            <v>0</v>
          </cell>
          <cell r="Q453">
            <v>0</v>
          </cell>
          <cell r="S453">
            <v>0</v>
          </cell>
          <cell r="U453">
            <v>0</v>
          </cell>
          <cell r="W453">
            <v>0</v>
          </cell>
          <cell r="Y453">
            <v>0</v>
          </cell>
          <cell r="AA453">
            <v>0</v>
          </cell>
          <cell r="AC453">
            <v>0</v>
          </cell>
          <cell r="AE453">
            <v>0</v>
          </cell>
          <cell r="AG453">
            <v>0</v>
          </cell>
        </row>
        <row r="454">
          <cell r="D454">
            <v>0</v>
          </cell>
          <cell r="E454">
            <v>0</v>
          </cell>
          <cell r="F454">
            <v>0</v>
          </cell>
          <cell r="G454">
            <v>0</v>
          </cell>
          <cell r="H454">
            <v>0</v>
          </cell>
          <cell r="I454">
            <v>0</v>
          </cell>
          <cell r="K454">
            <v>0</v>
          </cell>
          <cell r="M454">
            <v>0</v>
          </cell>
          <cell r="O454">
            <v>0</v>
          </cell>
          <cell r="Q454">
            <v>0</v>
          </cell>
          <cell r="S454">
            <v>0</v>
          </cell>
          <cell r="U454">
            <v>0</v>
          </cell>
          <cell r="W454">
            <v>0</v>
          </cell>
          <cell r="Y454">
            <v>0</v>
          </cell>
          <cell r="AA454">
            <v>0</v>
          </cell>
          <cell r="AC454">
            <v>0</v>
          </cell>
          <cell r="AE454">
            <v>0</v>
          </cell>
          <cell r="AG454">
            <v>0</v>
          </cell>
        </row>
        <row r="455">
          <cell r="D455">
            <v>0</v>
          </cell>
          <cell r="E455">
            <v>0</v>
          </cell>
          <cell r="F455">
            <v>0</v>
          </cell>
          <cell r="G455">
            <v>0</v>
          </cell>
          <cell r="H455">
            <v>0</v>
          </cell>
          <cell r="I455">
            <v>0</v>
          </cell>
          <cell r="K455">
            <v>0</v>
          </cell>
          <cell r="M455">
            <v>0</v>
          </cell>
          <cell r="O455">
            <v>0</v>
          </cell>
          <cell r="Q455">
            <v>0</v>
          </cell>
          <cell r="S455">
            <v>0</v>
          </cell>
          <cell r="U455">
            <v>0</v>
          </cell>
          <cell r="W455">
            <v>0</v>
          </cell>
          <cell r="Y455">
            <v>0</v>
          </cell>
          <cell r="AA455">
            <v>0</v>
          </cell>
          <cell r="AC455">
            <v>0</v>
          </cell>
          <cell r="AE455">
            <v>0</v>
          </cell>
          <cell r="AG455">
            <v>0</v>
          </cell>
        </row>
        <row r="456">
          <cell r="D456">
            <v>0</v>
          </cell>
          <cell r="E456">
            <v>0</v>
          </cell>
          <cell r="F456">
            <v>0</v>
          </cell>
          <cell r="G456">
            <v>0</v>
          </cell>
          <cell r="H456">
            <v>0</v>
          </cell>
          <cell r="I456">
            <v>0</v>
          </cell>
          <cell r="K456">
            <v>0</v>
          </cell>
          <cell r="M456">
            <v>0</v>
          </cell>
          <cell r="O456">
            <v>0</v>
          </cell>
          <cell r="Q456">
            <v>0</v>
          </cell>
          <cell r="S456">
            <v>0</v>
          </cell>
          <cell r="U456">
            <v>0</v>
          </cell>
          <cell r="W456">
            <v>0</v>
          </cell>
          <cell r="Y456">
            <v>0</v>
          </cell>
          <cell r="AA456">
            <v>0</v>
          </cell>
          <cell r="AC456">
            <v>0</v>
          </cell>
          <cell r="AE456">
            <v>0</v>
          </cell>
          <cell r="AG456">
            <v>0</v>
          </cell>
        </row>
        <row r="457">
          <cell r="D457">
            <v>0</v>
          </cell>
          <cell r="E457">
            <v>0</v>
          </cell>
          <cell r="F457">
            <v>0</v>
          </cell>
          <cell r="G457">
            <v>0</v>
          </cell>
          <cell r="H457">
            <v>0</v>
          </cell>
          <cell r="I457">
            <v>0</v>
          </cell>
          <cell r="K457">
            <v>0</v>
          </cell>
          <cell r="M457">
            <v>0</v>
          </cell>
          <cell r="O457">
            <v>0</v>
          </cell>
          <cell r="Q457">
            <v>0</v>
          </cell>
          <cell r="S457">
            <v>0</v>
          </cell>
          <cell r="U457">
            <v>0</v>
          </cell>
          <cell r="W457">
            <v>0</v>
          </cell>
          <cell r="Y457">
            <v>0</v>
          </cell>
          <cell r="AA457">
            <v>0</v>
          </cell>
          <cell r="AC457">
            <v>0</v>
          </cell>
          <cell r="AE457">
            <v>0</v>
          </cell>
          <cell r="AG457">
            <v>0</v>
          </cell>
        </row>
        <row r="458">
          <cell r="D458">
            <v>0</v>
          </cell>
          <cell r="E458">
            <v>0</v>
          </cell>
          <cell r="F458">
            <v>0</v>
          </cell>
          <cell r="G458">
            <v>0</v>
          </cell>
          <cell r="H458">
            <v>0</v>
          </cell>
          <cell r="I458">
            <v>0</v>
          </cell>
          <cell r="K458">
            <v>0</v>
          </cell>
          <cell r="M458">
            <v>0</v>
          </cell>
          <cell r="O458">
            <v>0</v>
          </cell>
          <cell r="Q458">
            <v>0</v>
          </cell>
          <cell r="S458">
            <v>0</v>
          </cell>
          <cell r="U458">
            <v>0</v>
          </cell>
          <cell r="W458">
            <v>0</v>
          </cell>
          <cell r="Y458">
            <v>0</v>
          </cell>
          <cell r="AA458">
            <v>0</v>
          </cell>
          <cell r="AC458">
            <v>0</v>
          </cell>
          <cell r="AE458">
            <v>0</v>
          </cell>
          <cell r="AG458">
            <v>0</v>
          </cell>
        </row>
        <row r="459">
          <cell r="D459">
            <v>0</v>
          </cell>
          <cell r="E459">
            <v>0</v>
          </cell>
          <cell r="F459">
            <v>0</v>
          </cell>
          <cell r="G459">
            <v>0</v>
          </cell>
          <cell r="H459">
            <v>0</v>
          </cell>
          <cell r="I459">
            <v>0</v>
          </cell>
          <cell r="K459">
            <v>0</v>
          </cell>
          <cell r="M459">
            <v>0</v>
          </cell>
          <cell r="O459">
            <v>0</v>
          </cell>
          <cell r="Q459">
            <v>0</v>
          </cell>
          <cell r="S459">
            <v>0</v>
          </cell>
          <cell r="U459">
            <v>0</v>
          </cell>
          <cell r="W459">
            <v>0</v>
          </cell>
          <cell r="Y459">
            <v>0</v>
          </cell>
          <cell r="AA459">
            <v>0</v>
          </cell>
          <cell r="AC459">
            <v>0</v>
          </cell>
          <cell r="AE459">
            <v>0</v>
          </cell>
          <cell r="AG459">
            <v>0</v>
          </cell>
        </row>
        <row r="460">
          <cell r="D460">
            <v>0</v>
          </cell>
          <cell r="E460">
            <v>0</v>
          </cell>
          <cell r="F460">
            <v>0</v>
          </cell>
          <cell r="G460">
            <v>0</v>
          </cell>
          <cell r="H460">
            <v>0</v>
          </cell>
          <cell r="I460">
            <v>0</v>
          </cell>
          <cell r="K460">
            <v>0</v>
          </cell>
          <cell r="M460">
            <v>0</v>
          </cell>
          <cell r="O460">
            <v>0</v>
          </cell>
          <cell r="Q460">
            <v>0</v>
          </cell>
          <cell r="S460">
            <v>0</v>
          </cell>
          <cell r="U460">
            <v>0</v>
          </cell>
          <cell r="W460">
            <v>0</v>
          </cell>
          <cell r="Y460">
            <v>0</v>
          </cell>
          <cell r="AA460">
            <v>0</v>
          </cell>
          <cell r="AC460">
            <v>0</v>
          </cell>
          <cell r="AE460">
            <v>0</v>
          </cell>
          <cell r="AG460">
            <v>0</v>
          </cell>
        </row>
        <row r="461">
          <cell r="D461">
            <v>0</v>
          </cell>
          <cell r="E461">
            <v>0</v>
          </cell>
          <cell r="F461">
            <v>0</v>
          </cell>
          <cell r="G461">
            <v>0</v>
          </cell>
          <cell r="H461">
            <v>0</v>
          </cell>
          <cell r="I461">
            <v>0</v>
          </cell>
          <cell r="K461">
            <v>0</v>
          </cell>
          <cell r="M461">
            <v>0</v>
          </cell>
          <cell r="O461">
            <v>0</v>
          </cell>
          <cell r="Q461">
            <v>0</v>
          </cell>
          <cell r="S461">
            <v>0</v>
          </cell>
          <cell r="U461">
            <v>0</v>
          </cell>
          <cell r="W461">
            <v>0</v>
          </cell>
          <cell r="Y461">
            <v>0</v>
          </cell>
          <cell r="AA461">
            <v>0</v>
          </cell>
          <cell r="AC461">
            <v>0</v>
          </cell>
          <cell r="AE461">
            <v>0</v>
          </cell>
          <cell r="AG461">
            <v>0</v>
          </cell>
        </row>
        <row r="462">
          <cell r="D462">
            <v>0</v>
          </cell>
          <cell r="E462">
            <v>0</v>
          </cell>
          <cell r="F462">
            <v>0</v>
          </cell>
          <cell r="G462">
            <v>0</v>
          </cell>
          <cell r="H462">
            <v>0</v>
          </cell>
          <cell r="I462">
            <v>0</v>
          </cell>
          <cell r="K462">
            <v>0</v>
          </cell>
          <cell r="M462">
            <v>0</v>
          </cell>
          <cell r="O462">
            <v>0</v>
          </cell>
          <cell r="Q462">
            <v>0</v>
          </cell>
          <cell r="S462">
            <v>0</v>
          </cell>
          <cell r="U462">
            <v>0</v>
          </cell>
          <cell r="W462">
            <v>0</v>
          </cell>
          <cell r="Y462">
            <v>0</v>
          </cell>
          <cell r="AA462">
            <v>0</v>
          </cell>
          <cell r="AC462">
            <v>0</v>
          </cell>
          <cell r="AE462">
            <v>0</v>
          </cell>
          <cell r="AG462">
            <v>0</v>
          </cell>
        </row>
        <row r="463">
          <cell r="D463">
            <v>0</v>
          </cell>
          <cell r="E463">
            <v>0</v>
          </cell>
          <cell r="F463">
            <v>0</v>
          </cell>
          <cell r="G463">
            <v>0</v>
          </cell>
          <cell r="H463">
            <v>0</v>
          </cell>
          <cell r="I463">
            <v>0</v>
          </cell>
          <cell r="K463">
            <v>0</v>
          </cell>
          <cell r="M463">
            <v>0</v>
          </cell>
          <cell r="O463">
            <v>0</v>
          </cell>
          <cell r="Q463">
            <v>0</v>
          </cell>
          <cell r="S463">
            <v>0</v>
          </cell>
          <cell r="U463">
            <v>0</v>
          </cell>
          <cell r="W463">
            <v>0</v>
          </cell>
          <cell r="Y463">
            <v>0</v>
          </cell>
          <cell r="AA463">
            <v>0</v>
          </cell>
          <cell r="AC463">
            <v>0</v>
          </cell>
          <cell r="AE463">
            <v>0</v>
          </cell>
          <cell r="AG463">
            <v>0</v>
          </cell>
        </row>
        <row r="464">
          <cell r="D464">
            <v>0</v>
          </cell>
          <cell r="E464">
            <v>0</v>
          </cell>
          <cell r="F464">
            <v>0</v>
          </cell>
          <cell r="G464">
            <v>0</v>
          </cell>
          <cell r="H464">
            <v>0</v>
          </cell>
          <cell r="I464">
            <v>0</v>
          </cell>
          <cell r="K464">
            <v>0</v>
          </cell>
          <cell r="M464">
            <v>0</v>
          </cell>
          <cell r="O464">
            <v>0</v>
          </cell>
          <cell r="Q464">
            <v>0</v>
          </cell>
          <cell r="S464">
            <v>0</v>
          </cell>
          <cell r="U464">
            <v>0</v>
          </cell>
          <cell r="W464">
            <v>0</v>
          </cell>
          <cell r="Y464">
            <v>0</v>
          </cell>
          <cell r="AA464">
            <v>0</v>
          </cell>
          <cell r="AC464">
            <v>0</v>
          </cell>
          <cell r="AE464">
            <v>0</v>
          </cell>
          <cell r="AG464">
            <v>0</v>
          </cell>
        </row>
        <row r="465">
          <cell r="D465">
            <v>0</v>
          </cell>
          <cell r="E465">
            <v>0</v>
          </cell>
          <cell r="F465">
            <v>0</v>
          </cell>
          <cell r="G465">
            <v>0</v>
          </cell>
          <cell r="H465">
            <v>0</v>
          </cell>
          <cell r="I465">
            <v>0</v>
          </cell>
          <cell r="K465">
            <v>0</v>
          </cell>
          <cell r="M465">
            <v>0</v>
          </cell>
          <cell r="O465">
            <v>0</v>
          </cell>
          <cell r="Q465">
            <v>0</v>
          </cell>
          <cell r="S465">
            <v>0</v>
          </cell>
          <cell r="U465">
            <v>0</v>
          </cell>
          <cell r="W465">
            <v>0</v>
          </cell>
          <cell r="Y465">
            <v>0</v>
          </cell>
          <cell r="AA465">
            <v>0</v>
          </cell>
          <cell r="AC465">
            <v>0</v>
          </cell>
          <cell r="AE465">
            <v>0</v>
          </cell>
          <cell r="AG465">
            <v>0</v>
          </cell>
        </row>
        <row r="466">
          <cell r="D466">
            <v>0</v>
          </cell>
          <cell r="E466">
            <v>0</v>
          </cell>
          <cell r="F466">
            <v>0</v>
          </cell>
          <cell r="G466">
            <v>0</v>
          </cell>
          <cell r="H466">
            <v>0</v>
          </cell>
          <cell r="I466">
            <v>0</v>
          </cell>
          <cell r="K466">
            <v>0</v>
          </cell>
          <cell r="M466">
            <v>0</v>
          </cell>
          <cell r="O466">
            <v>0</v>
          </cell>
          <cell r="Q466">
            <v>0</v>
          </cell>
          <cell r="S466">
            <v>0</v>
          </cell>
          <cell r="U466">
            <v>0</v>
          </cell>
          <cell r="W466">
            <v>0</v>
          </cell>
          <cell r="Y466">
            <v>0</v>
          </cell>
          <cell r="AA466">
            <v>0</v>
          </cell>
          <cell r="AC466">
            <v>0</v>
          </cell>
          <cell r="AE466">
            <v>0</v>
          </cell>
          <cell r="AG466">
            <v>0</v>
          </cell>
        </row>
        <row r="467">
          <cell r="D467">
            <v>0</v>
          </cell>
          <cell r="E467">
            <v>0</v>
          </cell>
          <cell r="F467">
            <v>0</v>
          </cell>
          <cell r="G467">
            <v>0</v>
          </cell>
          <cell r="H467">
            <v>0</v>
          </cell>
          <cell r="I467">
            <v>0</v>
          </cell>
          <cell r="K467">
            <v>0</v>
          </cell>
          <cell r="M467">
            <v>0</v>
          </cell>
          <cell r="O467">
            <v>0</v>
          </cell>
          <cell r="Q467">
            <v>0</v>
          </cell>
          <cell r="S467">
            <v>0</v>
          </cell>
          <cell r="U467">
            <v>0</v>
          </cell>
          <cell r="W467">
            <v>0</v>
          </cell>
          <cell r="Y467">
            <v>0</v>
          </cell>
          <cell r="AA467">
            <v>0</v>
          </cell>
          <cell r="AC467">
            <v>0</v>
          </cell>
          <cell r="AE467">
            <v>0</v>
          </cell>
          <cell r="AG467">
            <v>0</v>
          </cell>
        </row>
        <row r="468">
          <cell r="D468">
            <v>0</v>
          </cell>
          <cell r="E468">
            <v>0</v>
          </cell>
          <cell r="F468">
            <v>0</v>
          </cell>
          <cell r="G468">
            <v>0</v>
          </cell>
          <cell r="H468">
            <v>0</v>
          </cell>
          <cell r="I468">
            <v>0</v>
          </cell>
          <cell r="K468">
            <v>0</v>
          </cell>
          <cell r="M468">
            <v>0</v>
          </cell>
          <cell r="O468">
            <v>0</v>
          </cell>
          <cell r="Q468">
            <v>0</v>
          </cell>
          <cell r="S468">
            <v>0</v>
          </cell>
          <cell r="U468">
            <v>0</v>
          </cell>
          <cell r="W468">
            <v>0</v>
          </cell>
          <cell r="Y468">
            <v>0</v>
          </cell>
          <cell r="AA468">
            <v>0</v>
          </cell>
          <cell r="AC468">
            <v>0</v>
          </cell>
          <cell r="AE468">
            <v>0</v>
          </cell>
          <cell r="AG468">
            <v>0</v>
          </cell>
        </row>
        <row r="469">
          <cell r="D469">
            <v>0</v>
          </cell>
          <cell r="E469">
            <v>0</v>
          </cell>
          <cell r="F469">
            <v>0</v>
          </cell>
          <cell r="G469">
            <v>0</v>
          </cell>
          <cell r="H469">
            <v>0</v>
          </cell>
          <cell r="I469">
            <v>0</v>
          </cell>
          <cell r="K469">
            <v>0</v>
          </cell>
          <cell r="M469">
            <v>0</v>
          </cell>
          <cell r="O469">
            <v>0</v>
          </cell>
          <cell r="Q469">
            <v>0</v>
          </cell>
          <cell r="S469">
            <v>0</v>
          </cell>
          <cell r="U469">
            <v>0</v>
          </cell>
          <cell r="W469">
            <v>0</v>
          </cell>
          <cell r="Y469">
            <v>0</v>
          </cell>
          <cell r="AA469">
            <v>0</v>
          </cell>
          <cell r="AC469">
            <v>0</v>
          </cell>
          <cell r="AE469">
            <v>0</v>
          </cell>
          <cell r="AG469">
            <v>0</v>
          </cell>
        </row>
        <row r="470">
          <cell r="D470">
            <v>0</v>
          </cell>
          <cell r="E470">
            <v>0</v>
          </cell>
          <cell r="F470">
            <v>0</v>
          </cell>
          <cell r="G470">
            <v>0</v>
          </cell>
          <cell r="H470">
            <v>0</v>
          </cell>
          <cell r="I470">
            <v>0</v>
          </cell>
          <cell r="K470">
            <v>0</v>
          </cell>
          <cell r="M470">
            <v>0</v>
          </cell>
          <cell r="O470">
            <v>0</v>
          </cell>
          <cell r="Q470">
            <v>0</v>
          </cell>
          <cell r="S470">
            <v>0</v>
          </cell>
          <cell r="U470">
            <v>0</v>
          </cell>
          <cell r="W470">
            <v>0</v>
          </cell>
          <cell r="Y470">
            <v>0</v>
          </cell>
          <cell r="AA470">
            <v>0</v>
          </cell>
          <cell r="AC470">
            <v>0</v>
          </cell>
          <cell r="AE470">
            <v>0</v>
          </cell>
          <cell r="AG470">
            <v>0</v>
          </cell>
        </row>
        <row r="471">
          <cell r="D471">
            <v>0</v>
          </cell>
          <cell r="E471">
            <v>0</v>
          </cell>
          <cell r="F471">
            <v>0</v>
          </cell>
          <cell r="G471">
            <v>0</v>
          </cell>
          <cell r="H471">
            <v>0</v>
          </cell>
          <cell r="I471">
            <v>0</v>
          </cell>
          <cell r="K471">
            <v>0</v>
          </cell>
          <cell r="M471">
            <v>0</v>
          </cell>
          <cell r="O471">
            <v>0</v>
          </cell>
          <cell r="Q471">
            <v>0</v>
          </cell>
          <cell r="S471">
            <v>0</v>
          </cell>
          <cell r="U471">
            <v>0</v>
          </cell>
          <cell r="W471">
            <v>0</v>
          </cell>
          <cell r="Y471">
            <v>0</v>
          </cell>
          <cell r="AA471">
            <v>0</v>
          </cell>
          <cell r="AC471">
            <v>0</v>
          </cell>
          <cell r="AE471">
            <v>0</v>
          </cell>
          <cell r="AG471">
            <v>0</v>
          </cell>
        </row>
        <row r="472">
          <cell r="D472">
            <v>0</v>
          </cell>
          <cell r="E472">
            <v>0</v>
          </cell>
          <cell r="F472">
            <v>0</v>
          </cell>
          <cell r="G472">
            <v>0</v>
          </cell>
          <cell r="H472">
            <v>0</v>
          </cell>
          <cell r="I472">
            <v>0</v>
          </cell>
          <cell r="K472">
            <v>0</v>
          </cell>
          <cell r="M472">
            <v>0</v>
          </cell>
          <cell r="O472">
            <v>0</v>
          </cell>
          <cell r="Q472">
            <v>0</v>
          </cell>
          <cell r="S472">
            <v>0</v>
          </cell>
          <cell r="U472">
            <v>0</v>
          </cell>
          <cell r="W472">
            <v>0</v>
          </cell>
          <cell r="Y472">
            <v>0</v>
          </cell>
          <cell r="AA472">
            <v>0</v>
          </cell>
          <cell r="AC472">
            <v>0</v>
          </cell>
          <cell r="AE472">
            <v>0</v>
          </cell>
          <cell r="AG472">
            <v>0</v>
          </cell>
        </row>
      </sheetData>
      <sheetData sheetId="2">
        <row r="4">
          <cell r="A4" t="str">
            <v>District</v>
          </cell>
          <cell r="B4" t="str">
            <v>2017 Count</v>
          </cell>
          <cell r="C4" t="str">
            <v>Allocation Percentage</v>
          </cell>
        </row>
        <row r="5">
          <cell r="A5">
            <v>2010</v>
          </cell>
          <cell r="B5">
            <v>135149</v>
          </cell>
          <cell r="C5">
            <v>0.12184542871155732</v>
          </cell>
        </row>
        <row r="6">
          <cell r="A6">
            <v>2011</v>
          </cell>
          <cell r="B6">
            <v>30465</v>
          </cell>
          <cell r="C6">
            <v>2.7466137268478449E-2</v>
          </cell>
        </row>
        <row r="7">
          <cell r="A7">
            <v>2012</v>
          </cell>
          <cell r="B7">
            <v>23459</v>
          </cell>
          <cell r="C7">
            <v>2.1149782182216838E-2</v>
          </cell>
        </row>
        <row r="8">
          <cell r="A8">
            <v>2013</v>
          </cell>
          <cell r="B8">
            <v>59790</v>
          </cell>
          <cell r="C8">
            <v>5.3904491950839538E-2</v>
          </cell>
        </row>
        <row r="9">
          <cell r="A9">
            <v>2014</v>
          </cell>
          <cell r="B9">
            <v>71</v>
          </cell>
          <cell r="C9">
            <v>6.4011020714326922E-5</v>
          </cell>
        </row>
        <row r="10">
          <cell r="A10">
            <v>2015</v>
          </cell>
          <cell r="B10">
            <v>0</v>
          </cell>
          <cell r="C10">
            <v>0</v>
          </cell>
        </row>
        <row r="11">
          <cell r="A11">
            <v>2025</v>
          </cell>
          <cell r="B11">
            <v>2249</v>
          </cell>
          <cell r="C11">
            <v>2.0276166984017079E-3</v>
          </cell>
        </row>
        <row r="12">
          <cell r="A12">
            <v>2040</v>
          </cell>
          <cell r="B12">
            <v>7992</v>
          </cell>
          <cell r="C12">
            <v>7.2052968668859267E-3</v>
          </cell>
        </row>
        <row r="13">
          <cell r="A13">
            <v>2041</v>
          </cell>
          <cell r="B13">
            <v>2367</v>
          </cell>
          <cell r="C13">
            <v>2.1340012117015751E-3</v>
          </cell>
        </row>
        <row r="14">
          <cell r="A14">
            <v>2042</v>
          </cell>
          <cell r="B14">
            <v>130</v>
          </cell>
          <cell r="C14">
            <v>1.1720327736426057E-4</v>
          </cell>
        </row>
        <row r="15">
          <cell r="A15">
            <v>2043</v>
          </cell>
          <cell r="B15">
            <v>5346</v>
          </cell>
          <cell r="C15">
            <v>4.8197593906872081E-3</v>
          </cell>
        </row>
        <row r="16">
          <cell r="A16">
            <v>2044</v>
          </cell>
          <cell r="B16">
            <v>7763</v>
          </cell>
          <cell r="C16">
            <v>6.9988387859904215E-3</v>
          </cell>
        </row>
        <row r="17">
          <cell r="A17">
            <v>2045</v>
          </cell>
          <cell r="B17">
            <v>6311</v>
          </cell>
          <cell r="C17">
            <v>5.6897683341988348E-3</v>
          </cell>
        </row>
        <row r="18">
          <cell r="A18">
            <v>2046</v>
          </cell>
          <cell r="B18">
            <v>9403</v>
          </cell>
          <cell r="C18">
            <v>8.4774032081241704E-3</v>
          </cell>
        </row>
        <row r="19">
          <cell r="A19">
            <v>2047</v>
          </cell>
          <cell r="B19">
            <v>13706</v>
          </cell>
          <cell r="C19">
            <v>1.2356831688881196E-2</v>
          </cell>
        </row>
        <row r="20">
          <cell r="A20">
            <v>2048</v>
          </cell>
          <cell r="B20">
            <v>153</v>
          </cell>
          <cell r="C20">
            <v>1.3793924182101437E-4</v>
          </cell>
        </row>
        <row r="21">
          <cell r="A21">
            <v>2049</v>
          </cell>
          <cell r="B21">
            <v>7</v>
          </cell>
          <cell r="C21">
            <v>6.3109457042294153E-6</v>
          </cell>
        </row>
        <row r="22">
          <cell r="A22">
            <v>2050</v>
          </cell>
          <cell r="B22">
            <v>48</v>
          </cell>
          <cell r="C22">
            <v>4.3275056257573132E-5</v>
          </cell>
        </row>
        <row r="23">
          <cell r="A23">
            <v>2051</v>
          </cell>
          <cell r="B23">
            <v>459</v>
          </cell>
          <cell r="C23">
            <v>4.1381772546304313E-4</v>
          </cell>
        </row>
        <row r="24">
          <cell r="A24">
            <v>2053</v>
          </cell>
          <cell r="B24">
            <v>101</v>
          </cell>
          <cell r="C24">
            <v>9.1057930875310136E-5</v>
          </cell>
        </row>
        <row r="25">
          <cell r="A25">
            <v>2111</v>
          </cell>
          <cell r="B25">
            <v>58137</v>
          </cell>
          <cell r="C25">
            <v>5.2414207200969364E-2</v>
          </cell>
        </row>
        <row r="26">
          <cell r="A26">
            <v>2112</v>
          </cell>
          <cell r="B26">
            <v>27102</v>
          </cell>
          <cell r="C26">
            <v>2.443417863943223E-2</v>
          </cell>
        </row>
        <row r="27">
          <cell r="A27">
            <v>2113</v>
          </cell>
          <cell r="B27">
            <v>1</v>
          </cell>
          <cell r="C27">
            <v>9.0156367203277362E-7</v>
          </cell>
        </row>
        <row r="28">
          <cell r="A28">
            <v>2120</v>
          </cell>
          <cell r="B28">
            <v>6446</v>
          </cell>
          <cell r="C28">
            <v>5.8114794299232589E-3</v>
          </cell>
        </row>
        <row r="29">
          <cell r="A29">
            <v>2121</v>
          </cell>
          <cell r="B29">
            <v>0</v>
          </cell>
          <cell r="C29">
            <v>0</v>
          </cell>
        </row>
        <row r="30">
          <cell r="A30">
            <v>2125</v>
          </cell>
          <cell r="B30">
            <v>1</v>
          </cell>
          <cell r="C30">
            <v>9.0156367203277362E-7</v>
          </cell>
        </row>
        <row r="31">
          <cell r="A31">
            <v>2131</v>
          </cell>
          <cell r="B31">
            <v>0</v>
          </cell>
          <cell r="C31">
            <v>0</v>
          </cell>
        </row>
        <row r="32">
          <cell r="A32">
            <v>2132</v>
          </cell>
          <cell r="B32">
            <v>2238</v>
          </cell>
          <cell r="C32">
            <v>2.0176994980093473E-3</v>
          </cell>
        </row>
        <row r="33">
          <cell r="A33">
            <v>2140</v>
          </cell>
          <cell r="B33">
            <v>31298</v>
          </cell>
          <cell r="C33">
            <v>2.8217139807281751E-2</v>
          </cell>
        </row>
        <row r="34">
          <cell r="A34">
            <v>2143</v>
          </cell>
          <cell r="B34">
            <v>0</v>
          </cell>
          <cell r="C34">
            <v>0</v>
          </cell>
        </row>
        <row r="35">
          <cell r="A35">
            <v>2144</v>
          </cell>
          <cell r="B35">
            <v>13683</v>
          </cell>
          <cell r="C35">
            <v>1.2336095724424442E-2</v>
          </cell>
        </row>
        <row r="36">
          <cell r="A36">
            <v>2146</v>
          </cell>
          <cell r="B36">
            <v>7611</v>
          </cell>
          <cell r="C36">
            <v>6.8618011078414405E-3</v>
          </cell>
        </row>
        <row r="37">
          <cell r="A37">
            <v>2148</v>
          </cell>
          <cell r="C37">
            <v>0</v>
          </cell>
        </row>
        <row r="38">
          <cell r="A38">
            <v>2149</v>
          </cell>
          <cell r="B38">
            <v>16107</v>
          </cell>
          <cell r="C38">
            <v>1.4521486065431886E-2</v>
          </cell>
        </row>
        <row r="39">
          <cell r="A39">
            <v>2150</v>
          </cell>
          <cell r="B39">
            <v>0</v>
          </cell>
          <cell r="C39">
            <v>0</v>
          </cell>
        </row>
        <row r="40">
          <cell r="A40">
            <v>2160</v>
          </cell>
          <cell r="B40">
            <v>0</v>
          </cell>
          <cell r="C40">
            <v>0</v>
          </cell>
        </row>
        <row r="41">
          <cell r="A41">
            <v>2170</v>
          </cell>
          <cell r="B41">
            <v>0</v>
          </cell>
          <cell r="C41">
            <v>0</v>
          </cell>
        </row>
        <row r="42">
          <cell r="A42">
            <v>2171</v>
          </cell>
          <cell r="B42">
            <v>44</v>
          </cell>
          <cell r="C42">
            <v>3.9668801569442041E-5</v>
          </cell>
        </row>
        <row r="43">
          <cell r="A43">
            <v>2172</v>
          </cell>
          <cell r="B43">
            <v>10</v>
          </cell>
          <cell r="C43">
            <v>9.0156367203277356E-6</v>
          </cell>
        </row>
        <row r="44">
          <cell r="A44">
            <v>2173</v>
          </cell>
          <cell r="B44">
            <v>9</v>
          </cell>
          <cell r="C44">
            <v>8.1140730482949627E-6</v>
          </cell>
        </row>
        <row r="45">
          <cell r="A45">
            <v>2180</v>
          </cell>
          <cell r="B45">
            <v>77024</v>
          </cell>
          <cell r="C45">
            <v>6.9442040274652353E-2</v>
          </cell>
        </row>
        <row r="46">
          <cell r="A46">
            <v>2182</v>
          </cell>
          <cell r="B46">
            <v>2</v>
          </cell>
          <cell r="C46">
            <v>1.8031273440655472E-6</v>
          </cell>
        </row>
        <row r="47">
          <cell r="A47">
            <v>2183</v>
          </cell>
          <cell r="B47">
            <v>66220</v>
          </cell>
          <cell r="C47">
            <v>5.970154636201027E-2</v>
          </cell>
        </row>
        <row r="48">
          <cell r="A48">
            <v>2184</v>
          </cell>
          <cell r="B48">
            <v>1</v>
          </cell>
          <cell r="C48">
            <v>9.0156367203277362E-7</v>
          </cell>
        </row>
        <row r="49">
          <cell r="A49">
            <v>2185</v>
          </cell>
          <cell r="B49">
            <v>4193</v>
          </cell>
          <cell r="C49">
            <v>3.78025647683342E-3</v>
          </cell>
        </row>
        <row r="50">
          <cell r="A50">
            <v>2186</v>
          </cell>
          <cell r="B50">
            <v>20744</v>
          </cell>
          <cell r="C50">
            <v>1.8702036812647857E-2</v>
          </cell>
        </row>
        <row r="51">
          <cell r="A51">
            <v>2187</v>
          </cell>
          <cell r="B51">
            <v>1</v>
          </cell>
          <cell r="C51">
            <v>9.0156367203277362E-7</v>
          </cell>
        </row>
        <row r="52">
          <cell r="A52">
            <v>2188</v>
          </cell>
          <cell r="B52">
            <v>26768</v>
          </cell>
          <cell r="C52">
            <v>2.4133056372973284E-2</v>
          </cell>
        </row>
        <row r="53">
          <cell r="A53">
            <v>2189</v>
          </cell>
          <cell r="B53">
            <v>1</v>
          </cell>
          <cell r="C53">
            <v>9.0156367203277362E-7</v>
          </cell>
        </row>
        <row r="54">
          <cell r="A54">
            <v>2190</v>
          </cell>
          <cell r="B54">
            <v>465</v>
          </cell>
          <cell r="C54">
            <v>4.1922710749523975E-4</v>
          </cell>
        </row>
        <row r="55">
          <cell r="A55">
            <v>2191</v>
          </cell>
          <cell r="B55">
            <v>6</v>
          </cell>
          <cell r="C55">
            <v>5.4093820321966415E-6</v>
          </cell>
        </row>
        <row r="56">
          <cell r="A56">
            <v>2195</v>
          </cell>
          <cell r="B56">
            <v>31210</v>
          </cell>
          <cell r="C56">
            <v>2.8137802204142866E-2</v>
          </cell>
        </row>
        <row r="57">
          <cell r="A57">
            <v>2210</v>
          </cell>
          <cell r="B57">
            <v>20891</v>
          </cell>
          <cell r="C57">
            <v>1.8834566672436673E-2</v>
          </cell>
        </row>
        <row r="58">
          <cell r="A58">
            <v>2211</v>
          </cell>
          <cell r="B58">
            <v>24061</v>
          </cell>
          <cell r="C58">
            <v>2.1692523512780566E-2</v>
          </cell>
        </row>
        <row r="59">
          <cell r="A59">
            <v>2212</v>
          </cell>
          <cell r="B59">
            <v>5271</v>
          </cell>
          <cell r="C59">
            <v>4.7521421152847496E-3</v>
          </cell>
        </row>
        <row r="60">
          <cell r="A60">
            <v>2213</v>
          </cell>
          <cell r="B60">
            <v>0</v>
          </cell>
          <cell r="C60">
            <v>0</v>
          </cell>
        </row>
        <row r="61">
          <cell r="A61">
            <v>2214</v>
          </cell>
          <cell r="B61">
            <v>8668</v>
          </cell>
          <cell r="C61">
            <v>7.8147539091800826E-3</v>
          </cell>
        </row>
        <row r="62">
          <cell r="A62">
            <v>2310</v>
          </cell>
          <cell r="B62">
            <v>11703</v>
          </cell>
          <cell r="C62">
            <v>1.0550999653799549E-2</v>
          </cell>
        </row>
        <row r="63">
          <cell r="A63">
            <v>2410</v>
          </cell>
          <cell r="B63">
            <v>112591</v>
          </cell>
          <cell r="C63">
            <v>0.10150795539784202</v>
          </cell>
        </row>
        <row r="64">
          <cell r="A64">
            <v>2411</v>
          </cell>
          <cell r="B64">
            <v>0</v>
          </cell>
          <cell r="C64">
            <v>0</v>
          </cell>
        </row>
        <row r="65">
          <cell r="A65">
            <v>2412</v>
          </cell>
          <cell r="B65">
            <v>0</v>
          </cell>
          <cell r="C65">
            <v>0</v>
          </cell>
        </row>
        <row r="66">
          <cell r="A66">
            <v>2413</v>
          </cell>
          <cell r="B66">
            <v>0</v>
          </cell>
          <cell r="C66">
            <v>0</v>
          </cell>
        </row>
        <row r="67">
          <cell r="A67">
            <v>2414</v>
          </cell>
          <cell r="B67">
            <v>0</v>
          </cell>
          <cell r="C67">
            <v>0</v>
          </cell>
        </row>
        <row r="68">
          <cell r="A68">
            <v>2420</v>
          </cell>
          <cell r="B68">
            <v>0</v>
          </cell>
          <cell r="C68">
            <v>0</v>
          </cell>
        </row>
        <row r="69">
          <cell r="A69">
            <v>2430</v>
          </cell>
          <cell r="B69">
            <v>0</v>
          </cell>
          <cell r="C69">
            <v>0</v>
          </cell>
        </row>
        <row r="70">
          <cell r="A70">
            <v>2431</v>
          </cell>
          <cell r="B70">
            <v>0</v>
          </cell>
          <cell r="C70">
            <v>0</v>
          </cell>
        </row>
        <row r="71">
          <cell r="A71">
            <v>2432</v>
          </cell>
          <cell r="B71">
            <v>0</v>
          </cell>
          <cell r="C71">
            <v>0</v>
          </cell>
        </row>
        <row r="72">
          <cell r="A72">
            <v>2440</v>
          </cell>
          <cell r="B72">
            <v>0</v>
          </cell>
          <cell r="C72">
            <v>0</v>
          </cell>
        </row>
        <row r="73">
          <cell r="A73">
            <v>2450</v>
          </cell>
          <cell r="B73">
            <v>0</v>
          </cell>
          <cell r="C73">
            <v>0</v>
          </cell>
        </row>
        <row r="74">
          <cell r="A74">
            <v>2451</v>
          </cell>
          <cell r="B74">
            <v>0</v>
          </cell>
          <cell r="C74">
            <v>0</v>
          </cell>
        </row>
        <row r="75">
          <cell r="A75">
            <v>3022</v>
          </cell>
          <cell r="B75">
            <v>4618</v>
          </cell>
          <cell r="C75">
            <v>4.1634210374473487E-3</v>
          </cell>
        </row>
        <row r="76">
          <cell r="A76">
            <v>3023</v>
          </cell>
          <cell r="B76">
            <v>9552</v>
          </cell>
          <cell r="C76">
            <v>8.6117361952570536E-3</v>
          </cell>
        </row>
        <row r="77">
          <cell r="A77">
            <v>3024</v>
          </cell>
          <cell r="B77">
            <v>4437</v>
          </cell>
          <cell r="C77">
            <v>4.0002380128094164E-3</v>
          </cell>
        </row>
        <row r="78">
          <cell r="A78">
            <v>3025</v>
          </cell>
          <cell r="B78">
            <v>1187</v>
          </cell>
          <cell r="C78">
            <v>1.0701560787029023E-3</v>
          </cell>
        </row>
        <row r="79">
          <cell r="A79">
            <v>4008</v>
          </cell>
          <cell r="B79">
            <v>0</v>
          </cell>
          <cell r="C79">
            <v>0</v>
          </cell>
        </row>
        <row r="80">
          <cell r="A80">
            <v>4009</v>
          </cell>
          <cell r="B80">
            <v>0</v>
          </cell>
          <cell r="C80">
            <v>0</v>
          </cell>
        </row>
        <row r="81">
          <cell r="A81">
            <v>4010</v>
          </cell>
          <cell r="B81">
            <v>0</v>
          </cell>
          <cell r="C81">
            <v>0</v>
          </cell>
        </row>
        <row r="82">
          <cell r="A82">
            <v>4012</v>
          </cell>
          <cell r="B82">
            <v>0</v>
          </cell>
          <cell r="C82">
            <v>0</v>
          </cell>
        </row>
        <row r="83">
          <cell r="A83">
            <v>4013</v>
          </cell>
          <cell r="B83">
            <v>0</v>
          </cell>
          <cell r="C83">
            <v>0</v>
          </cell>
        </row>
        <row r="84">
          <cell r="A84">
            <v>4014</v>
          </cell>
          <cell r="B84">
            <v>5989</v>
          </cell>
          <cell r="C84">
            <v>5.3994648318042814E-3</v>
          </cell>
        </row>
        <row r="85">
          <cell r="A85">
            <v>4016</v>
          </cell>
          <cell r="B85">
            <v>41</v>
          </cell>
          <cell r="C85">
            <v>3.6964110553343722E-5</v>
          </cell>
        </row>
        <row r="86">
          <cell r="A86">
            <v>4018</v>
          </cell>
          <cell r="B86">
            <v>15411</v>
          </cell>
          <cell r="C86">
            <v>1.3893997749697075E-2</v>
          </cell>
        </row>
        <row r="87">
          <cell r="A87">
            <v>4019</v>
          </cell>
          <cell r="B87">
            <v>72</v>
          </cell>
          <cell r="C87">
            <v>6.4912584386359702E-5</v>
          </cell>
        </row>
        <row r="88">
          <cell r="A88">
            <v>4020</v>
          </cell>
          <cell r="B88">
            <v>58893</v>
          </cell>
          <cell r="C88">
            <v>5.3095789337026141E-2</v>
          </cell>
        </row>
        <row r="89">
          <cell r="A89">
            <v>4021</v>
          </cell>
          <cell r="B89">
            <v>152</v>
          </cell>
          <cell r="C89">
            <v>1.3703767814898159E-4</v>
          </cell>
        </row>
        <row r="90">
          <cell r="A90">
            <v>4022</v>
          </cell>
          <cell r="B90">
            <v>0</v>
          </cell>
          <cell r="C90">
            <v>0</v>
          </cell>
        </row>
        <row r="91">
          <cell r="A91">
            <v>4025</v>
          </cell>
          <cell r="B91">
            <v>0</v>
          </cell>
          <cell r="C91">
            <v>0</v>
          </cell>
        </row>
        <row r="92">
          <cell r="A92">
            <v>4030</v>
          </cell>
          <cell r="B92">
            <v>46560</v>
          </cell>
          <cell r="C92">
            <v>4.1976804569845941E-2</v>
          </cell>
        </row>
        <row r="93">
          <cell r="A93">
            <v>4031</v>
          </cell>
          <cell r="B93">
            <v>187</v>
          </cell>
          <cell r="C93">
            <v>1.6859240667012866E-4</v>
          </cell>
        </row>
        <row r="94">
          <cell r="A94">
            <v>4040</v>
          </cell>
          <cell r="B94">
            <v>255</v>
          </cell>
          <cell r="C94">
            <v>2.2989873636835727E-4</v>
          </cell>
        </row>
        <row r="95">
          <cell r="A95">
            <v>4050</v>
          </cell>
          <cell r="B95">
            <v>104</v>
          </cell>
          <cell r="C95">
            <v>9.3762621891408461E-5</v>
          </cell>
        </row>
        <row r="96">
          <cell r="A96">
            <v>4100</v>
          </cell>
          <cell r="B96">
            <v>241</v>
          </cell>
          <cell r="C96">
            <v>2.1727684495989846E-4</v>
          </cell>
        </row>
        <row r="97">
          <cell r="A97">
            <v>4105</v>
          </cell>
          <cell r="B97">
            <v>15</v>
          </cell>
          <cell r="C97">
            <v>1.3523455080491605E-5</v>
          </cell>
        </row>
        <row r="98">
          <cell r="A98">
            <v>4110</v>
          </cell>
          <cell r="B98">
            <v>14141</v>
          </cell>
          <cell r="C98">
            <v>1.2749011886215453E-2</v>
          </cell>
        </row>
        <row r="99">
          <cell r="A99">
            <v>4120</v>
          </cell>
          <cell r="B99">
            <v>28324</v>
          </cell>
          <cell r="C99">
            <v>2.5535889446656281E-2</v>
          </cell>
        </row>
        <row r="100">
          <cell r="A100">
            <v>4130</v>
          </cell>
          <cell r="B100">
            <v>11721</v>
          </cell>
          <cell r="C100">
            <v>1.0567227799896139E-2</v>
          </cell>
        </row>
        <row r="101">
          <cell r="A101">
            <v>4140</v>
          </cell>
          <cell r="B101">
            <v>5203</v>
          </cell>
          <cell r="C101">
            <v>4.6908357855865212E-3</v>
          </cell>
        </row>
        <row r="102">
          <cell r="A102">
            <v>4150</v>
          </cell>
          <cell r="B102">
            <v>105</v>
          </cell>
          <cell r="C102">
            <v>9.4664185563441227E-5</v>
          </cell>
        </row>
        <row r="103">
          <cell r="A103">
            <v>4160</v>
          </cell>
          <cell r="B103">
            <v>0</v>
          </cell>
          <cell r="C103">
            <v>0</v>
          </cell>
        </row>
        <row r="104">
          <cell r="A104">
            <v>5411</v>
          </cell>
          <cell r="B104">
            <v>14687</v>
          </cell>
          <cell r="C104">
            <v>1.3241265651145346E-2</v>
          </cell>
        </row>
        <row r="105">
          <cell r="A105">
            <v>5412</v>
          </cell>
          <cell r="B105">
            <v>9813</v>
          </cell>
          <cell r="C105">
            <v>8.8470443136576069E-3</v>
          </cell>
        </row>
        <row r="106">
          <cell r="A106">
            <v>5414</v>
          </cell>
          <cell r="B106">
            <v>0</v>
          </cell>
          <cell r="C106">
            <v>0</v>
          </cell>
        </row>
        <row r="107">
          <cell r="A107" t="str">
            <v>Grand Total</v>
          </cell>
          <cell r="B107">
            <v>1109184</v>
          </cell>
          <cell r="C107">
            <v>1</v>
          </cell>
        </row>
        <row r="108">
          <cell r="A108" t="str">
            <v>check figure</v>
          </cell>
          <cell r="B108">
            <v>0</v>
          </cell>
        </row>
      </sheetData>
      <sheetData sheetId="3">
        <row r="4">
          <cell r="A4" t="str">
            <v>District</v>
          </cell>
          <cell r="B4" t="str">
            <v>2018 Count</v>
          </cell>
          <cell r="C4" t="str">
            <v>Allocation Percentage</v>
          </cell>
        </row>
        <row r="5">
          <cell r="A5">
            <v>2010</v>
          </cell>
          <cell r="B5">
            <v>137814</v>
          </cell>
          <cell r="C5">
            <v>0.1232474716646669</v>
          </cell>
        </row>
        <row r="6">
          <cell r="A6">
            <v>2011</v>
          </cell>
          <cell r="B6">
            <v>31067</v>
          </cell>
          <cell r="C6">
            <v>2.7783310855255681E-2</v>
          </cell>
        </row>
        <row r="7">
          <cell r="A7">
            <v>2012</v>
          </cell>
          <cell r="B7">
            <v>24208</v>
          </cell>
          <cell r="C7">
            <v>2.164928667666751E-2</v>
          </cell>
        </row>
        <row r="8">
          <cell r="A8">
            <v>2013</v>
          </cell>
          <cell r="B8">
            <v>60438</v>
          </cell>
          <cell r="C8">
            <v>5.4049883846845295E-2</v>
          </cell>
        </row>
        <row r="9">
          <cell r="A9">
            <v>2014</v>
          </cell>
          <cell r="B9">
            <v>79</v>
          </cell>
          <cell r="C9">
            <v>7.0649935866520707E-5</v>
          </cell>
        </row>
        <row r="10">
          <cell r="A10">
            <v>2015</v>
          </cell>
          <cell r="B10">
            <v>0</v>
          </cell>
          <cell r="C10">
            <v>0</v>
          </cell>
        </row>
        <row r="11">
          <cell r="A11">
            <v>2025</v>
          </cell>
          <cell r="B11">
            <v>2244</v>
          </cell>
          <cell r="C11">
            <v>2.0068158998034491E-3</v>
          </cell>
        </row>
        <row r="12">
          <cell r="A12">
            <v>2040</v>
          </cell>
          <cell r="B12">
            <v>8045</v>
          </cell>
          <cell r="C12">
            <v>7.1946675195716341E-3</v>
          </cell>
        </row>
        <row r="13">
          <cell r="A13">
            <v>2041</v>
          </cell>
          <cell r="B13">
            <v>2277</v>
          </cell>
          <cell r="C13">
            <v>2.0363278983299704E-3</v>
          </cell>
        </row>
        <row r="14">
          <cell r="A14">
            <v>2042</v>
          </cell>
          <cell r="B14">
            <v>121</v>
          </cell>
          <cell r="C14">
            <v>1.0821066126391146E-4</v>
          </cell>
        </row>
        <row r="15">
          <cell r="A15">
            <v>2043</v>
          </cell>
          <cell r="B15">
            <v>5517</v>
          </cell>
          <cell r="C15">
            <v>4.9338695718429719E-3</v>
          </cell>
        </row>
        <row r="16">
          <cell r="A16">
            <v>2044</v>
          </cell>
          <cell r="B16">
            <v>7795</v>
          </cell>
          <cell r="C16">
            <v>6.971091773158594E-3</v>
          </cell>
        </row>
        <row r="17">
          <cell r="A17">
            <v>2045</v>
          </cell>
          <cell r="B17">
            <v>6353</v>
          </cell>
          <cell r="C17">
            <v>5.6815068678481781E-3</v>
          </cell>
        </row>
        <row r="18">
          <cell r="A18">
            <v>2046</v>
          </cell>
          <cell r="B18">
            <v>9425</v>
          </cell>
          <cell r="C18">
            <v>8.4288056397716169E-3</v>
          </cell>
        </row>
        <row r="19">
          <cell r="A19">
            <v>2047</v>
          </cell>
          <cell r="B19">
            <v>13772</v>
          </cell>
          <cell r="C19">
            <v>1.2316340718401559E-2</v>
          </cell>
        </row>
        <row r="20">
          <cell r="A20">
            <v>2048</v>
          </cell>
          <cell r="B20">
            <v>157</v>
          </cell>
          <cell r="C20">
            <v>1.4040556874738927E-4</v>
          </cell>
        </row>
        <row r="21">
          <cell r="A21">
            <v>2049</v>
          </cell>
          <cell r="B21">
            <v>3</v>
          </cell>
          <cell r="C21">
            <v>2.6829089569564824E-6</v>
          </cell>
        </row>
        <row r="22">
          <cell r="A22">
            <v>2050</v>
          </cell>
          <cell r="B22">
            <v>45</v>
          </cell>
          <cell r="C22">
            <v>4.0243634354347236E-5</v>
          </cell>
        </row>
        <row r="23">
          <cell r="A23">
            <v>2051</v>
          </cell>
          <cell r="B23">
            <v>488</v>
          </cell>
          <cell r="C23">
            <v>4.3641985699825449E-4</v>
          </cell>
        </row>
        <row r="24">
          <cell r="A24">
            <v>2053</v>
          </cell>
          <cell r="B24">
            <v>63</v>
          </cell>
          <cell r="C24">
            <v>5.6341088096086132E-5</v>
          </cell>
        </row>
        <row r="25">
          <cell r="A25">
            <v>2111</v>
          </cell>
          <cell r="B25">
            <v>60760.266997426646</v>
          </cell>
          <cell r="C25">
            <v>5.4338088184821103E-2</v>
          </cell>
        </row>
        <row r="26">
          <cell r="A26">
            <v>2112</v>
          </cell>
          <cell r="B26">
            <v>27666</v>
          </cell>
          <cell r="C26">
            <v>2.4741786401052682E-2</v>
          </cell>
        </row>
        <row r="27">
          <cell r="A27">
            <v>2113</v>
          </cell>
          <cell r="B27">
            <v>0</v>
          </cell>
          <cell r="C27">
            <v>0</v>
          </cell>
        </row>
        <row r="28">
          <cell r="A28">
            <v>2120</v>
          </cell>
          <cell r="B28">
            <v>6448</v>
          </cell>
          <cell r="C28">
            <v>5.7664656514851333E-3</v>
          </cell>
        </row>
        <row r="29">
          <cell r="A29">
            <v>2121</v>
          </cell>
          <cell r="B29">
            <v>0</v>
          </cell>
          <cell r="C29">
            <v>0</v>
          </cell>
        </row>
        <row r="30">
          <cell r="A30">
            <v>2125</v>
          </cell>
          <cell r="B30">
            <v>1</v>
          </cell>
          <cell r="C30">
            <v>8.9430298565216082E-7</v>
          </cell>
        </row>
        <row r="31">
          <cell r="A31">
            <v>2131</v>
          </cell>
          <cell r="B31">
            <v>0</v>
          </cell>
          <cell r="C31">
            <v>0</v>
          </cell>
        </row>
        <row r="32">
          <cell r="A32">
            <v>2132</v>
          </cell>
          <cell r="B32">
            <v>2335</v>
          </cell>
          <cell r="C32">
            <v>2.0881974714977956E-3</v>
          </cell>
        </row>
        <row r="33">
          <cell r="A33">
            <v>2140</v>
          </cell>
          <cell r="B33">
            <v>32103</v>
          </cell>
          <cell r="C33">
            <v>2.8709808748391321E-2</v>
          </cell>
        </row>
        <row r="34">
          <cell r="A34">
            <v>2143</v>
          </cell>
          <cell r="B34">
            <v>0</v>
          </cell>
          <cell r="C34">
            <v>0</v>
          </cell>
        </row>
        <row r="35">
          <cell r="A35">
            <v>2144</v>
          </cell>
          <cell r="B35">
            <v>14507</v>
          </cell>
          <cell r="C35">
            <v>1.2973653412855897E-2</v>
          </cell>
        </row>
        <row r="36">
          <cell r="A36">
            <v>2146</v>
          </cell>
          <cell r="B36">
            <v>7582</v>
          </cell>
          <cell r="C36">
            <v>6.780605237214684E-3</v>
          </cell>
        </row>
        <row r="37">
          <cell r="A37">
            <v>2148</v>
          </cell>
          <cell r="C37">
            <v>0</v>
          </cell>
        </row>
        <row r="38">
          <cell r="A38">
            <v>2149</v>
          </cell>
          <cell r="B38">
            <v>17710</v>
          </cell>
          <cell r="C38">
            <v>1.5838105875899768E-2</v>
          </cell>
        </row>
        <row r="39">
          <cell r="A39">
            <v>2150</v>
          </cell>
          <cell r="B39">
            <v>0</v>
          </cell>
          <cell r="C39">
            <v>0</v>
          </cell>
        </row>
        <row r="40">
          <cell r="A40">
            <v>2160</v>
          </cell>
          <cell r="B40">
            <v>0</v>
          </cell>
          <cell r="C40">
            <v>0</v>
          </cell>
        </row>
        <row r="41">
          <cell r="A41">
            <v>2170</v>
          </cell>
          <cell r="B41">
            <v>0</v>
          </cell>
          <cell r="C41">
            <v>0</v>
          </cell>
        </row>
        <row r="42">
          <cell r="A42">
            <v>2171</v>
          </cell>
          <cell r="B42">
            <v>43</v>
          </cell>
          <cell r="C42">
            <v>3.8455028383042915E-5</v>
          </cell>
        </row>
        <row r="43">
          <cell r="A43">
            <v>2172</v>
          </cell>
          <cell r="B43">
            <v>10</v>
          </cell>
          <cell r="C43">
            <v>8.9430298565216085E-6</v>
          </cell>
        </row>
        <row r="44">
          <cell r="A44">
            <v>2173</v>
          </cell>
          <cell r="B44">
            <v>5</v>
          </cell>
          <cell r="C44">
            <v>4.4715149282608042E-6</v>
          </cell>
        </row>
        <row r="45">
          <cell r="A45">
            <v>2180</v>
          </cell>
          <cell r="B45">
            <v>82059</v>
          </cell>
          <cell r="C45">
            <v>7.3385608699630664E-2</v>
          </cell>
        </row>
        <row r="46">
          <cell r="A46">
            <v>2182</v>
          </cell>
          <cell r="B46">
            <v>2</v>
          </cell>
          <cell r="C46">
            <v>1.7886059713043216E-6</v>
          </cell>
        </row>
        <row r="47">
          <cell r="A47">
            <v>2183</v>
          </cell>
          <cell r="B47">
            <v>67540</v>
          </cell>
          <cell r="C47">
            <v>6.0401223650946946E-2</v>
          </cell>
        </row>
        <row r="48">
          <cell r="A48">
            <v>2184</v>
          </cell>
          <cell r="B48">
            <v>1</v>
          </cell>
          <cell r="C48">
            <v>8.9430298565216082E-7</v>
          </cell>
        </row>
        <row r="49">
          <cell r="A49">
            <v>2185</v>
          </cell>
          <cell r="B49">
            <v>4236</v>
          </cell>
          <cell r="C49">
            <v>3.7882674472225534E-3</v>
          </cell>
        </row>
        <row r="50">
          <cell r="A50">
            <v>2186</v>
          </cell>
          <cell r="B50">
            <v>20834</v>
          </cell>
          <cell r="C50">
            <v>1.8631908403077119E-2</v>
          </cell>
        </row>
        <row r="51">
          <cell r="A51">
            <v>2187</v>
          </cell>
          <cell r="B51">
            <v>1</v>
          </cell>
          <cell r="C51">
            <v>8.9430298565216082E-7</v>
          </cell>
        </row>
        <row r="52">
          <cell r="A52">
            <v>2188</v>
          </cell>
          <cell r="B52">
            <v>26852</v>
          </cell>
          <cell r="C52">
            <v>2.4013823770731822E-2</v>
          </cell>
        </row>
        <row r="53">
          <cell r="A53">
            <v>2189</v>
          </cell>
          <cell r="B53">
            <v>1</v>
          </cell>
          <cell r="C53">
            <v>8.9430298565216082E-7</v>
          </cell>
        </row>
        <row r="54">
          <cell r="A54">
            <v>2190</v>
          </cell>
          <cell r="B54">
            <v>455</v>
          </cell>
          <cell r="C54">
            <v>4.0690785847173318E-4</v>
          </cell>
        </row>
        <row r="55">
          <cell r="A55">
            <v>2191</v>
          </cell>
          <cell r="B55">
            <v>6</v>
          </cell>
          <cell r="C55">
            <v>5.3658179139129647E-6</v>
          </cell>
        </row>
        <row r="56">
          <cell r="A56">
            <v>2195</v>
          </cell>
          <cell r="B56">
            <v>31785</v>
          </cell>
          <cell r="C56">
            <v>2.8425420398953932E-2</v>
          </cell>
        </row>
        <row r="57">
          <cell r="A57">
            <v>2210</v>
          </cell>
          <cell r="B57">
            <v>20795</v>
          </cell>
          <cell r="C57">
            <v>1.8597030586636684E-2</v>
          </cell>
        </row>
        <row r="58">
          <cell r="A58">
            <v>2211</v>
          </cell>
          <cell r="B58">
            <v>23119</v>
          </cell>
          <cell r="C58">
            <v>2.0675390725292307E-2</v>
          </cell>
        </row>
        <row r="59">
          <cell r="A59">
            <v>2212</v>
          </cell>
          <cell r="B59">
            <v>5459</v>
          </cell>
          <cell r="C59">
            <v>4.8819999986751458E-3</v>
          </cell>
        </row>
        <row r="60">
          <cell r="A60">
            <v>2213</v>
          </cell>
          <cell r="B60">
            <v>0</v>
          </cell>
          <cell r="C60">
            <v>0</v>
          </cell>
        </row>
        <row r="61">
          <cell r="A61">
            <v>2214</v>
          </cell>
          <cell r="B61">
            <v>8749</v>
          </cell>
          <cell r="C61">
            <v>7.8242568214707559E-3</v>
          </cell>
        </row>
        <row r="62">
          <cell r="A62">
            <v>2310</v>
          </cell>
          <cell r="B62">
            <v>12236</v>
          </cell>
          <cell r="C62">
            <v>1.094269133243984E-2</v>
          </cell>
        </row>
        <row r="63">
          <cell r="A63">
            <v>2410</v>
          </cell>
          <cell r="B63">
            <v>94599</v>
          </cell>
          <cell r="C63">
            <v>8.4600168139708762E-2</v>
          </cell>
        </row>
        <row r="64">
          <cell r="A64">
            <v>2411</v>
          </cell>
          <cell r="B64">
            <v>0</v>
          </cell>
          <cell r="C64">
            <v>0</v>
          </cell>
        </row>
        <row r="65">
          <cell r="A65">
            <v>2412</v>
          </cell>
          <cell r="B65">
            <v>0</v>
          </cell>
          <cell r="C65">
            <v>0</v>
          </cell>
        </row>
        <row r="66">
          <cell r="A66">
            <v>2413</v>
          </cell>
          <cell r="B66">
            <v>0</v>
          </cell>
          <cell r="C66">
            <v>0</v>
          </cell>
        </row>
        <row r="67">
          <cell r="A67">
            <v>2414</v>
          </cell>
          <cell r="B67">
            <v>0</v>
          </cell>
          <cell r="C67">
            <v>0</v>
          </cell>
        </row>
        <row r="68">
          <cell r="A68">
            <v>2420</v>
          </cell>
          <cell r="B68">
            <v>0</v>
          </cell>
          <cell r="C68">
            <v>0</v>
          </cell>
        </row>
        <row r="69">
          <cell r="A69">
            <v>2430</v>
          </cell>
          <cell r="B69">
            <v>0</v>
          </cell>
          <cell r="C69">
            <v>0</v>
          </cell>
        </row>
        <row r="70">
          <cell r="A70">
            <v>2431</v>
          </cell>
          <cell r="B70">
            <v>0</v>
          </cell>
          <cell r="C70">
            <v>0</v>
          </cell>
        </row>
        <row r="71">
          <cell r="A71">
            <v>2432</v>
          </cell>
          <cell r="B71">
            <v>0</v>
          </cell>
          <cell r="C71">
            <v>0</v>
          </cell>
        </row>
        <row r="72">
          <cell r="A72">
            <v>2440</v>
          </cell>
          <cell r="B72">
            <v>0</v>
          </cell>
          <cell r="C72">
            <v>0</v>
          </cell>
        </row>
        <row r="73">
          <cell r="A73">
            <v>2450</v>
          </cell>
          <cell r="B73">
            <v>0</v>
          </cell>
          <cell r="C73">
            <v>0</v>
          </cell>
        </row>
        <row r="74">
          <cell r="A74">
            <v>2451</v>
          </cell>
          <cell r="B74">
            <v>0</v>
          </cell>
          <cell r="C74">
            <v>0</v>
          </cell>
        </row>
        <row r="75">
          <cell r="A75">
            <v>3022</v>
          </cell>
          <cell r="B75">
            <v>4949</v>
          </cell>
          <cell r="C75">
            <v>4.4259054759925439E-3</v>
          </cell>
        </row>
        <row r="76">
          <cell r="A76">
            <v>3023</v>
          </cell>
          <cell r="B76">
            <v>13448</v>
          </cell>
          <cell r="C76">
            <v>1.202658655105026E-2</v>
          </cell>
        </row>
        <row r="77">
          <cell r="A77">
            <v>3024</v>
          </cell>
          <cell r="B77">
            <v>4888</v>
          </cell>
          <cell r="C77">
            <v>4.3713529938677626E-3</v>
          </cell>
        </row>
        <row r="78">
          <cell r="A78">
            <v>3025</v>
          </cell>
          <cell r="B78">
            <v>1243</v>
          </cell>
          <cell r="C78">
            <v>1.1116186111656359E-3</v>
          </cell>
        </row>
        <row r="79">
          <cell r="A79">
            <v>4008</v>
          </cell>
          <cell r="B79">
            <v>0</v>
          </cell>
          <cell r="C79">
            <v>0</v>
          </cell>
        </row>
        <row r="80">
          <cell r="A80">
            <v>4009</v>
          </cell>
          <cell r="B80">
            <v>0</v>
          </cell>
          <cell r="C80">
            <v>0</v>
          </cell>
        </row>
        <row r="81">
          <cell r="A81">
            <v>4010</v>
          </cell>
          <cell r="B81">
            <v>0</v>
          </cell>
          <cell r="C81">
            <v>0</v>
          </cell>
        </row>
        <row r="82">
          <cell r="A82">
            <v>4012</v>
          </cell>
          <cell r="B82">
            <v>0</v>
          </cell>
          <cell r="C82">
            <v>0</v>
          </cell>
        </row>
        <row r="83">
          <cell r="A83">
            <v>4013</v>
          </cell>
          <cell r="B83">
            <v>0</v>
          </cell>
          <cell r="C83">
            <v>0</v>
          </cell>
        </row>
        <row r="84">
          <cell r="A84">
            <v>4014</v>
          </cell>
          <cell r="B84">
            <v>6127</v>
          </cell>
          <cell r="C84">
            <v>5.4793943930907894E-3</v>
          </cell>
        </row>
        <row r="85">
          <cell r="A85">
            <v>4016</v>
          </cell>
          <cell r="B85">
            <v>33</v>
          </cell>
          <cell r="C85">
            <v>2.9511998526521307E-5</v>
          </cell>
        </row>
        <row r="86">
          <cell r="A86">
            <v>4018</v>
          </cell>
          <cell r="B86">
            <v>15827</v>
          </cell>
          <cell r="C86">
            <v>1.4154133353916749E-2</v>
          </cell>
        </row>
        <row r="87">
          <cell r="A87">
            <v>4019</v>
          </cell>
          <cell r="B87">
            <v>76</v>
          </cell>
          <cell r="C87">
            <v>6.7967026909564226E-5</v>
          </cell>
        </row>
        <row r="88">
          <cell r="A88">
            <v>4020</v>
          </cell>
          <cell r="B88">
            <v>58893</v>
          </cell>
          <cell r="C88">
            <v>5.2668185734012711E-2</v>
          </cell>
        </row>
        <row r="89">
          <cell r="A89">
            <v>4021</v>
          </cell>
          <cell r="B89">
            <v>142</v>
          </cell>
          <cell r="C89">
            <v>1.2699102396260685E-4</v>
          </cell>
        </row>
        <row r="90">
          <cell r="A90">
            <v>4022</v>
          </cell>
          <cell r="B90">
            <v>0</v>
          </cell>
          <cell r="C90">
            <v>0</v>
          </cell>
        </row>
        <row r="91">
          <cell r="A91">
            <v>4025</v>
          </cell>
          <cell r="B91">
            <v>0</v>
          </cell>
          <cell r="C91">
            <v>0</v>
          </cell>
        </row>
        <row r="92">
          <cell r="A92">
            <v>4030</v>
          </cell>
          <cell r="B92">
            <v>48998</v>
          </cell>
          <cell r="C92">
            <v>4.3819057690984577E-2</v>
          </cell>
        </row>
        <row r="93">
          <cell r="A93">
            <v>4031</v>
          </cell>
          <cell r="B93">
            <v>138</v>
          </cell>
          <cell r="C93">
            <v>1.234138120199982E-4</v>
          </cell>
        </row>
        <row r="94">
          <cell r="A94">
            <v>4040</v>
          </cell>
          <cell r="B94">
            <v>258</v>
          </cell>
          <cell r="C94">
            <v>2.3073017029825749E-4</v>
          </cell>
        </row>
        <row r="95">
          <cell r="A95">
            <v>4050</v>
          </cell>
          <cell r="B95">
            <v>95</v>
          </cell>
          <cell r="C95">
            <v>8.4958783636955275E-5</v>
          </cell>
        </row>
        <row r="96">
          <cell r="A96">
            <v>4100</v>
          </cell>
          <cell r="B96">
            <v>224</v>
          </cell>
          <cell r="C96">
            <v>2.0032386878608403E-4</v>
          </cell>
        </row>
        <row r="97">
          <cell r="A97">
            <v>4105</v>
          </cell>
          <cell r="B97">
            <v>10</v>
          </cell>
          <cell r="C97">
            <v>8.9430298565216085E-6</v>
          </cell>
        </row>
        <row r="98">
          <cell r="A98">
            <v>4110</v>
          </cell>
          <cell r="B98">
            <v>14644</v>
          </cell>
          <cell r="C98">
            <v>1.3096172921890244E-2</v>
          </cell>
        </row>
        <row r="99">
          <cell r="A99">
            <v>4120</v>
          </cell>
          <cell r="B99">
            <v>28505</v>
          </cell>
          <cell r="C99">
            <v>2.5492106606014846E-2</v>
          </cell>
        </row>
        <row r="100">
          <cell r="A100">
            <v>4130</v>
          </cell>
          <cell r="B100">
            <v>11774</v>
          </cell>
          <cell r="C100">
            <v>1.0529523353068542E-2</v>
          </cell>
        </row>
        <row r="101">
          <cell r="A101">
            <v>4140</v>
          </cell>
          <cell r="B101">
            <v>5240</v>
          </cell>
          <cell r="C101">
            <v>4.6861476448173227E-3</v>
          </cell>
        </row>
        <row r="102">
          <cell r="A102">
            <v>4150</v>
          </cell>
          <cell r="B102">
            <v>135</v>
          </cell>
          <cell r="C102">
            <v>1.2073090306304171E-4</v>
          </cell>
        </row>
        <row r="103">
          <cell r="A103">
            <v>4160</v>
          </cell>
          <cell r="B103">
            <v>0</v>
          </cell>
          <cell r="C103">
            <v>0</v>
          </cell>
        </row>
        <row r="104">
          <cell r="A104">
            <v>5411</v>
          </cell>
          <cell r="B104">
            <v>14824</v>
          </cell>
          <cell r="C104">
            <v>1.3257147459307632E-2</v>
          </cell>
        </row>
        <row r="105">
          <cell r="A105">
            <v>5412</v>
          </cell>
          <cell r="B105">
            <v>9908</v>
          </cell>
          <cell r="C105">
            <v>8.8607539818416105E-3</v>
          </cell>
        </row>
        <row r="106">
          <cell r="A106">
            <v>5414</v>
          </cell>
          <cell r="B106">
            <v>0</v>
          </cell>
          <cell r="C106">
            <v>0</v>
          </cell>
        </row>
        <row r="107">
          <cell r="A107" t="str">
            <v>Grand Total</v>
          </cell>
          <cell r="B107">
            <v>1118189.2669974267</v>
          </cell>
          <cell r="C107">
            <v>1</v>
          </cell>
        </row>
        <row r="108">
          <cell r="A108" t="str">
            <v>check figure</v>
          </cell>
          <cell r="B108">
            <v>0</v>
          </cell>
        </row>
      </sheetData>
      <sheetData sheetId="4">
        <row r="2">
          <cell r="C2">
            <v>0</v>
          </cell>
        </row>
        <row r="3">
          <cell r="A3" t="str">
            <v>District</v>
          </cell>
          <cell r="B3" t="str">
            <v>2018 Count</v>
          </cell>
          <cell r="C3" t="str">
            <v>Allocation Percentage</v>
          </cell>
        </row>
        <row r="4">
          <cell r="A4">
            <v>2010</v>
          </cell>
          <cell r="B4">
            <v>137814</v>
          </cell>
          <cell r="C4">
            <v>0.12108754029173897</v>
          </cell>
        </row>
        <row r="5">
          <cell r="A5">
            <v>2011</v>
          </cell>
          <cell r="B5">
            <v>31067</v>
          </cell>
          <cell r="C5">
            <v>2.7296403952018333E-2</v>
          </cell>
        </row>
        <row r="6">
          <cell r="A6">
            <v>2012</v>
          </cell>
          <cell r="B6">
            <v>24208</v>
          </cell>
          <cell r="C6">
            <v>2.1269879514290397E-2</v>
          </cell>
        </row>
        <row r="7">
          <cell r="A7">
            <v>2013</v>
          </cell>
          <cell r="B7">
            <v>60438</v>
          </cell>
          <cell r="C7">
            <v>5.3102651110570186E-2</v>
          </cell>
        </row>
        <row r="8">
          <cell r="A8">
            <v>2014</v>
          </cell>
          <cell r="B8">
            <v>79</v>
          </cell>
          <cell r="C8">
            <v>6.9411784601327718E-5</v>
          </cell>
        </row>
        <row r="9">
          <cell r="A9">
            <v>2015</v>
          </cell>
          <cell r="B9">
            <v>0</v>
          </cell>
          <cell r="C9">
            <v>0</v>
          </cell>
        </row>
        <row r="10">
          <cell r="A10">
            <v>2025</v>
          </cell>
          <cell r="B10">
            <v>2244</v>
          </cell>
          <cell r="C10">
            <v>1.9716461347516379E-3</v>
          </cell>
        </row>
        <row r="11">
          <cell r="A11">
            <v>2040</v>
          </cell>
          <cell r="B11">
            <v>8045</v>
          </cell>
          <cell r="C11">
            <v>7.068579836932677E-3</v>
          </cell>
        </row>
        <row r="12">
          <cell r="A12">
            <v>2041</v>
          </cell>
          <cell r="B12">
            <v>2277</v>
          </cell>
          <cell r="C12">
            <v>2.0006409308509269E-3</v>
          </cell>
        </row>
        <row r="13">
          <cell r="A13">
            <v>2042</v>
          </cell>
          <cell r="B13">
            <v>121</v>
          </cell>
          <cell r="C13">
            <v>1.0631425236405892E-4</v>
          </cell>
        </row>
        <row r="14">
          <cell r="A14">
            <v>2043</v>
          </cell>
          <cell r="B14">
            <v>5517</v>
          </cell>
          <cell r="C14">
            <v>4.84740272969019E-3</v>
          </cell>
        </row>
        <row r="15">
          <cell r="A15">
            <v>2044</v>
          </cell>
          <cell r="B15">
            <v>7795</v>
          </cell>
          <cell r="C15">
            <v>6.8489222907259437E-3</v>
          </cell>
        </row>
        <row r="16">
          <cell r="A16">
            <v>2045</v>
          </cell>
          <cell r="B16">
            <v>6353</v>
          </cell>
          <cell r="C16">
            <v>5.5819375642055065E-3</v>
          </cell>
        </row>
        <row r="17">
          <cell r="A17">
            <v>2046</v>
          </cell>
          <cell r="B17">
            <v>9425</v>
          </cell>
          <cell r="C17">
            <v>8.2810894919938451E-3</v>
          </cell>
        </row>
        <row r="18">
          <cell r="A18">
            <v>2047</v>
          </cell>
          <cell r="B18">
            <v>13772</v>
          </cell>
          <cell r="C18">
            <v>1.2100494905436524E-2</v>
          </cell>
        </row>
        <row r="19">
          <cell r="A19">
            <v>2048</v>
          </cell>
          <cell r="B19">
            <v>157</v>
          </cell>
          <cell r="C19">
            <v>1.3794493901782851E-4</v>
          </cell>
        </row>
        <row r="20">
          <cell r="A20">
            <v>2049</v>
          </cell>
          <cell r="B20">
            <v>3</v>
          </cell>
          <cell r="C20">
            <v>2.6358905544807995E-6</v>
          </cell>
        </row>
        <row r="21">
          <cell r="A21">
            <v>2050</v>
          </cell>
          <cell r="B21">
            <v>45</v>
          </cell>
          <cell r="C21">
            <v>3.9538358317211995E-5</v>
          </cell>
        </row>
        <row r="22">
          <cell r="A22">
            <v>2051</v>
          </cell>
          <cell r="B22">
            <v>488</v>
          </cell>
          <cell r="C22">
            <v>4.2877153019554338E-4</v>
          </cell>
        </row>
        <row r="23">
          <cell r="A23">
            <v>2053</v>
          </cell>
          <cell r="B23">
            <v>63</v>
          </cell>
          <cell r="C23">
            <v>5.535370164409679E-5</v>
          </cell>
        </row>
        <row r="24">
          <cell r="A24">
            <v>2111</v>
          </cell>
          <cell r="B24">
            <v>60760.266997426646</v>
          </cell>
          <cell r="C24">
            <v>5.3385804622082783E-2</v>
          </cell>
        </row>
        <row r="25">
          <cell r="A25">
            <v>2112</v>
          </cell>
          <cell r="B25">
            <v>27666</v>
          </cell>
          <cell r="C25">
            <v>2.4308182693421932E-2</v>
          </cell>
        </row>
        <row r="26">
          <cell r="A26">
            <v>2113</v>
          </cell>
          <cell r="B26">
            <v>0</v>
          </cell>
          <cell r="C26">
            <v>0</v>
          </cell>
        </row>
        <row r="27">
          <cell r="A27">
            <v>2120</v>
          </cell>
          <cell r="B27">
            <v>6448</v>
          </cell>
          <cell r="C27">
            <v>5.6654074317640654E-3</v>
          </cell>
        </row>
        <row r="28">
          <cell r="A28">
            <v>2121</v>
          </cell>
          <cell r="B28">
            <v>0</v>
          </cell>
          <cell r="C28">
            <v>0</v>
          </cell>
        </row>
        <row r="29">
          <cell r="A29">
            <v>2125</v>
          </cell>
          <cell r="B29">
            <v>1</v>
          </cell>
          <cell r="C29">
            <v>8.7863018482693313E-7</v>
          </cell>
        </row>
        <row r="30">
          <cell r="A30">
            <v>2131</v>
          </cell>
          <cell r="B30">
            <v>0</v>
          </cell>
          <cell r="C30">
            <v>0</v>
          </cell>
        </row>
        <row r="31">
          <cell r="A31">
            <v>2132</v>
          </cell>
          <cell r="B31">
            <v>2335</v>
          </cell>
          <cell r="C31">
            <v>2.0516014815708888E-3</v>
          </cell>
        </row>
        <row r="32">
          <cell r="A32">
            <v>2140</v>
          </cell>
          <cell r="B32">
            <v>32103</v>
          </cell>
          <cell r="C32">
            <v>2.8206664823499036E-2</v>
          </cell>
        </row>
        <row r="33">
          <cell r="A33">
            <v>2143</v>
          </cell>
          <cell r="B33">
            <v>0</v>
          </cell>
          <cell r="C33">
            <v>0</v>
          </cell>
        </row>
        <row r="34">
          <cell r="A34">
            <v>2144</v>
          </cell>
          <cell r="B34">
            <v>14507</v>
          </cell>
          <cell r="C34">
            <v>1.274628809128432E-2</v>
          </cell>
        </row>
        <row r="35">
          <cell r="A35">
            <v>2146</v>
          </cell>
          <cell r="B35">
            <v>7582</v>
          </cell>
          <cell r="C35">
            <v>6.6617740613578074E-3</v>
          </cell>
        </row>
        <row r="36">
          <cell r="A36">
            <v>2148</v>
          </cell>
          <cell r="B36">
            <v>0</v>
          </cell>
          <cell r="C36">
            <v>0</v>
          </cell>
        </row>
        <row r="37">
          <cell r="A37">
            <v>2149</v>
          </cell>
          <cell r="B37">
            <v>17710</v>
          </cell>
          <cell r="C37">
            <v>1.5560540573284987E-2</v>
          </cell>
        </row>
        <row r="38">
          <cell r="A38">
            <v>2150</v>
          </cell>
          <cell r="B38">
            <v>0</v>
          </cell>
          <cell r="C38">
            <v>0</v>
          </cell>
        </row>
        <row r="39">
          <cell r="A39">
            <v>2160</v>
          </cell>
          <cell r="B39">
            <v>0</v>
          </cell>
          <cell r="C39">
            <v>0</v>
          </cell>
        </row>
        <row r="40">
          <cell r="A40">
            <v>2170</v>
          </cell>
          <cell r="B40">
            <v>0</v>
          </cell>
          <cell r="C40">
            <v>0</v>
          </cell>
        </row>
        <row r="41">
          <cell r="A41">
            <v>2171</v>
          </cell>
          <cell r="B41">
            <v>43</v>
          </cell>
          <cell r="C41">
            <v>3.7781097947558128E-5</v>
          </cell>
        </row>
        <row r="42">
          <cell r="A42">
            <v>2172</v>
          </cell>
          <cell r="B42">
            <v>10</v>
          </cell>
          <cell r="C42">
            <v>8.786301848269331E-6</v>
          </cell>
        </row>
        <row r="43">
          <cell r="A43">
            <v>2173</v>
          </cell>
          <cell r="B43">
            <v>5</v>
          </cell>
          <cell r="C43">
            <v>4.3931509241346655E-6</v>
          </cell>
        </row>
        <row r="44">
          <cell r="A44">
            <v>2180</v>
          </cell>
          <cell r="B44">
            <v>82059</v>
          </cell>
          <cell r="C44">
            <v>7.2099514336713313E-2</v>
          </cell>
        </row>
        <row r="45">
          <cell r="A45">
            <v>2182</v>
          </cell>
          <cell r="B45">
            <v>2</v>
          </cell>
          <cell r="C45">
            <v>1.7572603696538663E-6</v>
          </cell>
        </row>
        <row r="46">
          <cell r="A46">
            <v>2183</v>
          </cell>
          <cell r="B46">
            <v>67540</v>
          </cell>
          <cell r="C46">
            <v>5.9342682683211065E-2</v>
          </cell>
        </row>
        <row r="47">
          <cell r="A47">
            <v>2184</v>
          </cell>
          <cell r="B47">
            <v>1</v>
          </cell>
          <cell r="C47">
            <v>8.7863018482693313E-7</v>
          </cell>
        </row>
        <row r="48">
          <cell r="A48">
            <v>2185</v>
          </cell>
          <cell r="B48">
            <v>4236</v>
          </cell>
          <cell r="C48">
            <v>3.7218774629268888E-3</v>
          </cell>
        </row>
        <row r="49">
          <cell r="A49">
            <v>2186</v>
          </cell>
          <cell r="B49">
            <v>20834</v>
          </cell>
          <cell r="C49">
            <v>1.8305381270684325E-2</v>
          </cell>
        </row>
        <row r="50">
          <cell r="A50">
            <v>2187</v>
          </cell>
          <cell r="B50">
            <v>1</v>
          </cell>
          <cell r="C50">
            <v>8.7863018482693313E-7</v>
          </cell>
        </row>
        <row r="51">
          <cell r="A51">
            <v>2188</v>
          </cell>
          <cell r="B51">
            <v>26852</v>
          </cell>
          <cell r="C51">
            <v>2.3592977722972811E-2</v>
          </cell>
        </row>
        <row r="52">
          <cell r="A52">
            <v>2189</v>
          </cell>
          <cell r="B52">
            <v>1</v>
          </cell>
          <cell r="C52">
            <v>8.7863018482693313E-7</v>
          </cell>
        </row>
        <row r="53">
          <cell r="A53">
            <v>2190</v>
          </cell>
          <cell r="B53">
            <v>455</v>
          </cell>
          <cell r="C53">
            <v>3.9977673409625461E-4</v>
          </cell>
        </row>
        <row r="54">
          <cell r="A54">
            <v>2191</v>
          </cell>
          <cell r="B54">
            <v>6</v>
          </cell>
          <cell r="C54">
            <v>5.271781108961599E-6</v>
          </cell>
        </row>
        <row r="55">
          <cell r="A55">
            <v>2195</v>
          </cell>
          <cell r="B55">
            <v>31785</v>
          </cell>
          <cell r="C55">
            <v>2.7927260424724071E-2</v>
          </cell>
        </row>
        <row r="56">
          <cell r="A56">
            <v>2210</v>
          </cell>
          <cell r="B56">
            <v>20795</v>
          </cell>
          <cell r="C56">
            <v>1.8271114693476077E-2</v>
          </cell>
        </row>
        <row r="57">
          <cell r="A57">
            <v>2211</v>
          </cell>
          <cell r="B57">
            <v>23119</v>
          </cell>
          <cell r="C57">
            <v>2.0313051243013868E-2</v>
          </cell>
        </row>
        <row r="58">
          <cell r="A58">
            <v>2212</v>
          </cell>
          <cell r="B58">
            <v>5459</v>
          </cell>
          <cell r="C58">
            <v>4.7964421789702281E-3</v>
          </cell>
        </row>
        <row r="59">
          <cell r="A59">
            <v>2213</v>
          </cell>
          <cell r="B59">
            <v>0</v>
          </cell>
          <cell r="C59">
            <v>0</v>
          </cell>
        </row>
        <row r="60">
          <cell r="A60">
            <v>2214</v>
          </cell>
          <cell r="B60">
            <v>8749</v>
          </cell>
          <cell r="C60">
            <v>7.6871354870508384E-3</v>
          </cell>
        </row>
        <row r="61">
          <cell r="A61">
            <v>2215</v>
          </cell>
          <cell r="B61">
            <v>19946</v>
          </cell>
          <cell r="C61">
            <v>1.752515766655801E-2</v>
          </cell>
        </row>
        <row r="62">
          <cell r="A62">
            <v>2310</v>
          </cell>
          <cell r="B62">
            <v>12236</v>
          </cell>
          <cell r="C62">
            <v>1.0750918941542354E-2</v>
          </cell>
        </row>
        <row r="63">
          <cell r="A63">
            <v>2410</v>
          </cell>
          <cell r="B63">
            <v>94599</v>
          </cell>
          <cell r="C63">
            <v>8.311753685444305E-2</v>
          </cell>
        </row>
        <row r="64">
          <cell r="A64">
            <v>2411</v>
          </cell>
          <cell r="B64">
            <v>0</v>
          </cell>
          <cell r="C64">
            <v>0</v>
          </cell>
        </row>
        <row r="65">
          <cell r="A65">
            <v>2412</v>
          </cell>
          <cell r="B65">
            <v>0</v>
          </cell>
          <cell r="C65">
            <v>0</v>
          </cell>
        </row>
        <row r="66">
          <cell r="A66">
            <v>2413</v>
          </cell>
          <cell r="B66">
            <v>0</v>
          </cell>
          <cell r="C66">
            <v>0</v>
          </cell>
        </row>
        <row r="67">
          <cell r="A67">
            <v>2414</v>
          </cell>
          <cell r="B67">
            <v>0</v>
          </cell>
          <cell r="C67">
            <v>0</v>
          </cell>
        </row>
        <row r="68">
          <cell r="A68">
            <v>2420</v>
          </cell>
          <cell r="B68">
            <v>0</v>
          </cell>
          <cell r="C68">
            <v>0</v>
          </cell>
        </row>
        <row r="69">
          <cell r="A69">
            <v>2430</v>
          </cell>
          <cell r="B69">
            <v>0</v>
          </cell>
          <cell r="C69">
            <v>0</v>
          </cell>
        </row>
        <row r="70">
          <cell r="A70">
            <v>2431</v>
          </cell>
          <cell r="B70">
            <v>0</v>
          </cell>
          <cell r="C70">
            <v>0</v>
          </cell>
        </row>
        <row r="71">
          <cell r="A71">
            <v>2432</v>
          </cell>
          <cell r="B71">
            <v>0</v>
          </cell>
          <cell r="C71">
            <v>0</v>
          </cell>
        </row>
        <row r="72">
          <cell r="A72">
            <v>2440</v>
          </cell>
          <cell r="B72">
            <v>0</v>
          </cell>
          <cell r="C72">
            <v>0</v>
          </cell>
        </row>
        <row r="73">
          <cell r="A73">
            <v>2450</v>
          </cell>
          <cell r="B73">
            <v>0</v>
          </cell>
          <cell r="C73">
            <v>0</v>
          </cell>
        </row>
        <row r="74">
          <cell r="A74">
            <v>2451</v>
          </cell>
          <cell r="B74">
            <v>0</v>
          </cell>
          <cell r="C74">
            <v>0</v>
          </cell>
        </row>
        <row r="75">
          <cell r="A75">
            <v>3022</v>
          </cell>
          <cell r="B75">
            <v>4949</v>
          </cell>
          <cell r="C75">
            <v>4.3483407847084926E-3</v>
          </cell>
        </row>
        <row r="76">
          <cell r="A76">
            <v>3023</v>
          </cell>
          <cell r="B76">
            <v>13448</v>
          </cell>
          <cell r="C76">
            <v>1.1815818725552598E-2</v>
          </cell>
        </row>
        <row r="77">
          <cell r="A77">
            <v>3024</v>
          </cell>
          <cell r="B77">
            <v>4888</v>
          </cell>
          <cell r="C77">
            <v>4.2947443434340491E-3</v>
          </cell>
        </row>
        <row r="78">
          <cell r="A78">
            <v>3025</v>
          </cell>
          <cell r="B78">
            <v>1243</v>
          </cell>
          <cell r="C78">
            <v>1.092137319739878E-3</v>
          </cell>
        </row>
        <row r="79">
          <cell r="A79">
            <v>4008</v>
          </cell>
          <cell r="B79">
            <v>0</v>
          </cell>
          <cell r="C79">
            <v>0</v>
          </cell>
        </row>
        <row r="80">
          <cell r="A80">
            <v>4009</v>
          </cell>
          <cell r="B80">
            <v>0</v>
          </cell>
          <cell r="C80">
            <v>0</v>
          </cell>
        </row>
        <row r="81">
          <cell r="A81">
            <v>4010</v>
          </cell>
          <cell r="B81">
            <v>0</v>
          </cell>
          <cell r="C81">
            <v>0</v>
          </cell>
        </row>
        <row r="82">
          <cell r="A82">
            <v>4012</v>
          </cell>
          <cell r="B82">
            <v>0</v>
          </cell>
          <cell r="C82">
            <v>0</v>
          </cell>
        </row>
        <row r="83">
          <cell r="A83">
            <v>4013</v>
          </cell>
          <cell r="B83">
            <v>0</v>
          </cell>
          <cell r="C83">
            <v>0</v>
          </cell>
        </row>
        <row r="84">
          <cell r="A84">
            <v>4014</v>
          </cell>
          <cell r="B84">
            <v>6127</v>
          </cell>
          <cell r="C84">
            <v>5.3833671424346197E-3</v>
          </cell>
        </row>
        <row r="85">
          <cell r="A85">
            <v>4016</v>
          </cell>
          <cell r="B85">
            <v>33</v>
          </cell>
          <cell r="C85">
            <v>2.8994796099288793E-5</v>
          </cell>
        </row>
        <row r="86">
          <cell r="A86">
            <v>4018</v>
          </cell>
          <cell r="B86">
            <v>15827</v>
          </cell>
          <cell r="C86">
            <v>1.3906079935255871E-2</v>
          </cell>
        </row>
        <row r="87">
          <cell r="A87">
            <v>4019</v>
          </cell>
          <cell r="B87">
            <v>76</v>
          </cell>
          <cell r="C87">
            <v>6.6775894046846915E-5</v>
          </cell>
        </row>
        <row r="88">
          <cell r="A88">
            <v>4020</v>
          </cell>
          <cell r="B88">
            <v>58893</v>
          </cell>
          <cell r="C88">
            <v>5.1745167475012573E-2</v>
          </cell>
        </row>
        <row r="89">
          <cell r="A89">
            <v>4021</v>
          </cell>
          <cell r="B89">
            <v>142</v>
          </cell>
          <cell r="C89">
            <v>1.247654862454245E-4</v>
          </cell>
        </row>
        <row r="90">
          <cell r="A90">
            <v>4022</v>
          </cell>
          <cell r="B90">
            <v>0</v>
          </cell>
          <cell r="C90">
            <v>0</v>
          </cell>
        </row>
        <row r="91">
          <cell r="A91">
            <v>4025</v>
          </cell>
          <cell r="B91">
            <v>0</v>
          </cell>
          <cell r="C91">
            <v>0</v>
          </cell>
        </row>
        <row r="92">
          <cell r="A92">
            <v>4030</v>
          </cell>
          <cell r="B92">
            <v>48998</v>
          </cell>
          <cell r="C92">
            <v>4.3051121796150074E-2</v>
          </cell>
        </row>
        <row r="93">
          <cell r="A93">
            <v>4031</v>
          </cell>
          <cell r="B93">
            <v>138</v>
          </cell>
          <cell r="C93">
            <v>1.2125096550611678E-4</v>
          </cell>
        </row>
        <row r="94">
          <cell r="A94">
            <v>4040</v>
          </cell>
          <cell r="B94">
            <v>258</v>
          </cell>
          <cell r="C94">
            <v>2.2668658768534877E-4</v>
          </cell>
        </row>
        <row r="95">
          <cell r="A95">
            <v>4050</v>
          </cell>
          <cell r="B95">
            <v>95</v>
          </cell>
          <cell r="C95">
            <v>8.3469867558558653E-5</v>
          </cell>
        </row>
        <row r="96">
          <cell r="A96">
            <v>4100</v>
          </cell>
          <cell r="B96">
            <v>224</v>
          </cell>
          <cell r="C96">
            <v>1.9681316140123304E-4</v>
          </cell>
        </row>
        <row r="97">
          <cell r="A97">
            <v>4105</v>
          </cell>
          <cell r="B97">
            <v>10</v>
          </cell>
          <cell r="C97">
            <v>8.786301848269331E-6</v>
          </cell>
        </row>
        <row r="98">
          <cell r="A98">
            <v>4110</v>
          </cell>
          <cell r="B98">
            <v>14644</v>
          </cell>
          <cell r="C98">
            <v>1.2866660426605609E-2</v>
          </cell>
        </row>
        <row r="99">
          <cell r="A99">
            <v>4120</v>
          </cell>
          <cell r="B99">
            <v>28505</v>
          </cell>
          <cell r="C99">
            <v>2.504535341849173E-2</v>
          </cell>
        </row>
        <row r="100">
          <cell r="A100">
            <v>4130</v>
          </cell>
          <cell r="B100">
            <v>11774</v>
          </cell>
          <cell r="C100">
            <v>1.0344991796152312E-2</v>
          </cell>
        </row>
        <row r="101">
          <cell r="A101">
            <v>4140</v>
          </cell>
          <cell r="B101">
            <v>5240</v>
          </cell>
          <cell r="C101">
            <v>4.6040221684931302E-3</v>
          </cell>
        </row>
        <row r="102">
          <cell r="A102">
            <v>4150</v>
          </cell>
          <cell r="B102">
            <v>135</v>
          </cell>
          <cell r="C102">
            <v>1.1861507495163598E-4</v>
          </cell>
        </row>
        <row r="103">
          <cell r="A103">
            <v>4160</v>
          </cell>
          <cell r="B103">
            <v>0</v>
          </cell>
          <cell r="C103">
            <v>0</v>
          </cell>
        </row>
        <row r="104">
          <cell r="A104">
            <v>5411</v>
          </cell>
          <cell r="B104">
            <v>14824</v>
          </cell>
          <cell r="C104">
            <v>1.3024813859874458E-2</v>
          </cell>
        </row>
        <row r="105">
          <cell r="A105">
            <v>5412</v>
          </cell>
          <cell r="B105">
            <v>9908</v>
          </cell>
          <cell r="C105">
            <v>8.7054678712652541E-3</v>
          </cell>
        </row>
        <row r="106">
          <cell r="A106">
            <v>5414</v>
          </cell>
          <cell r="B106">
            <v>0</v>
          </cell>
          <cell r="C106">
            <v>0</v>
          </cell>
        </row>
        <row r="107">
          <cell r="A107" t="str">
            <v>Grand Total</v>
          </cell>
          <cell r="B107">
            <v>1138135.2669974267</v>
          </cell>
          <cell r="C107">
            <v>1</v>
          </cell>
        </row>
        <row r="108">
          <cell r="A108" t="str">
            <v>check figure</v>
          </cell>
          <cell r="B108">
            <v>0</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JE Query"/>
      <sheetName val="JE Lookup"/>
      <sheetName val="ControlPanel"/>
      <sheetName val="Sheet1"/>
      <sheetName val="JE Query - 41121, 41129"/>
      <sheetName val="JE Query - Container"/>
      <sheetName val="JE Query - Drivers"/>
      <sheetName val="JE Query - Sales"/>
      <sheetName val="2184 JE Query"/>
      <sheetName val="2185 JE Query"/>
    </sheetNames>
    <sheetDataSet>
      <sheetData sheetId="0"/>
      <sheetData sheetId="1"/>
      <sheetData sheetId="2">
        <row r="1">
          <cell r="B1" t="str">
            <v>OK!: ReportRange Formula OK [jAction{}]</v>
          </cell>
        </row>
        <row r="7">
          <cell r="N7" t="str">
            <v>wci_corp</v>
          </cell>
        </row>
        <row r="8">
          <cell r="N8">
            <v>0</v>
          </cell>
        </row>
      </sheetData>
      <sheetData sheetId="3"/>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ata"/>
    </sheetNames>
    <sheetDataSet>
      <sheetData sheetId="0">
        <row r="4">
          <cell r="E4">
            <v>2278.125</v>
          </cell>
        </row>
        <row r="6">
          <cell r="E6">
            <v>12459.375</v>
          </cell>
        </row>
        <row r="8">
          <cell r="E8">
            <v>41287.5</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JE Query"/>
      <sheetName val="JE Lookup"/>
      <sheetName val="ControlPanel"/>
    </sheetNames>
    <sheetDataSet>
      <sheetData sheetId="0"/>
      <sheetData sheetId="1"/>
      <sheetData sheetId="2">
        <row r="1">
          <cell r="B1" t="str">
            <v>OK!: ReportRange Formula OK [jAction{}]</v>
          </cell>
        </row>
        <row r="7">
          <cell r="N7" t="str">
            <v>wci_corp</v>
          </cell>
        </row>
        <row r="8">
          <cell r="N8">
            <v>0</v>
          </cell>
        </row>
      </sheetData>
      <sheetData sheetId="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JE Query"/>
      <sheetName val="JE Lookup"/>
      <sheetName val="ControlPanel"/>
    </sheetNames>
    <sheetDataSet>
      <sheetData sheetId="0"/>
      <sheetData sheetId="1"/>
      <sheetData sheetId="2">
        <row r="1">
          <cell r="B1" t="str">
            <v>OK!: ReportRange Formula OK [jAction{}]</v>
          </cell>
        </row>
        <row r="7">
          <cell r="N7" t="str">
            <v>wci_corp</v>
          </cell>
        </row>
        <row r="8">
          <cell r="N8">
            <v>0</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wcnx.org\UserData\Home1B\heatherg\Desktop\Emailed%20Files\70095.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Brittany Mani" refreshedDate="43836.694832870373" createdVersion="4" refreshedVersion="4" minRefreshableVersion="3" recordCount="51">
  <cacheSource type="worksheet">
    <worksheetSource ref="B19:AQ70" sheet="JE Query - 41121, 41129"/>
  </cacheSource>
  <cacheFields count="42">
    <cacheField name="Full Account" numFmtId="0">
      <sharedItems count="2">
        <s v="41129-2180-000-03"/>
        <s v="41121-2180-000-00"/>
      </sharedItems>
    </cacheField>
    <cacheField name="Date" numFmtId="14">
      <sharedItems containsSemiMixedTypes="0" containsNonDate="0" containsDate="1" containsString="0" minDate="2018-12-31T00:00:00" maxDate="2019-12-01T00:00:00"/>
    </cacheField>
    <cacheField name="Amount USD" numFmtId="40">
      <sharedItems containsSemiMixedTypes="0" containsString="0" containsNumber="1" minValue="-24243.75" maxValue="28096.880000000001"/>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NonDate="0" containsString="0" containsBlank="1"/>
    </cacheField>
    <cacheField name="Further Description" numFmtId="0">
      <sharedItems count="7">
        <s v="2182 Commingle Hauls from Xfer Station"/>
        <s v="LTS-PCR Move, Reg activity"/>
        <s v="LTS-PCR Move, Unreg LH"/>
        <s v="2182 Yardwaste Hauls from Xfer Station"/>
        <s v="WEEK 7/22/19-7/26/19"/>
        <s v="HERMANN BROTHERS"/>
        <s v="Sept JH brokerage"/>
      </sharedItems>
    </cacheField>
    <cacheField name="Date Doc" numFmtId="175">
      <sharedItems containsNonDate="0" containsDate="1" containsString="0" containsBlank="1" minDate="2019-07-26T00:00:00" maxDate="2019-07-27T00:00:00"/>
    </cacheField>
    <cacheField name="Doc Desc" numFmtId="0">
      <sharedItems containsBlank="1"/>
    </cacheField>
    <cacheField name="Doc Ctrl Num" numFmtId="0">
      <sharedItems containsBlank="1"/>
    </cacheField>
    <cacheField name="Po Ctrl Num" numFmtId="0">
      <sharedItems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acheField>
    <cacheField name="Document 1" numFmtId="0">
      <sharedItems/>
    </cacheField>
    <cacheField name="Class Code" numFmtId="0">
      <sharedItems containsString="0" containsBlank="1" containsNumber="1" containsInteger="1" minValue="2190" maxValue="2190"/>
    </cacheField>
    <cacheField name="Date Entered" numFmtId="14">
      <sharedItems containsSemiMixedTypes="0" containsNonDate="0" containsDate="1" containsString="0" minDate="2019-01-04T00:00:00" maxDate="2019-12-05T00:00:00"/>
    </cacheField>
    <cacheField name="Date Posted" numFmtId="14">
      <sharedItems containsSemiMixedTypes="0" containsNonDate="0" containsDate="1" containsString="0" minDate="2019-01-04T00:00:00" maxDate="2019-12-05T00:00:00"/>
    </cacheField>
    <cacheField name="Amt Net" numFmtId="0">
      <sharedItems containsString="0" containsBlank="1" containsNumber="1" minValue="24854.3" maxValue="24854.3"/>
    </cacheField>
    <cacheField name="Date Due" numFmtId="14">
      <sharedItems containsNonDate="0" containsDate="1" containsString="0" containsBlank="1" minDate="2019-08-15T00:00:00" maxDate="2019-08-16T00:00:00"/>
    </cacheField>
    <cacheField name="Database" numFmtId="0">
      <sharedItems/>
    </cacheField>
    <cacheField name="Reversing Flag" numFmtId="0">
      <sharedItems containsSemiMixedTypes="0" containsString="0" containsNumber="1" containsInteger="1" minValue="0" maxValue="0"/>
    </cacheField>
    <cacheField name="Hold Flag" numFmtId="0">
      <sharedItems containsSemiMixedTypes="0" containsString="0" containsNumber="1" containsInteger="1" minValue="0" maxValue="0"/>
    </cacheField>
    <cacheField name="Recurring Flag" numFmtId="0">
      <sharedItems containsSemiMixedTypes="0" containsString="0" containsNumber="1" containsInteger="1" minValue="0" maxValue="0"/>
    </cacheField>
    <cacheField name="Repeating Flag" numFmtId="0">
      <sharedItems containsSemiMixedTypes="0" containsString="0" containsNumber="1" containsInteger="1" minValue="0" maxValue="0"/>
    </cacheField>
    <cacheField name="Type Flag" numFmtId="0">
      <sharedItems containsSemiMixedTypes="0" containsString="0" containsNumber="1" containsInteger="1" minValue="0" maxValue="5"/>
    </cacheField>
    <cacheField name="Posted Flag" numFmtId="0">
      <sharedItems containsSemiMixedTypes="0" containsString="0" containsNumber="1" containsInteger="1" minValue="1" maxValue="1"/>
    </cacheField>
    <cacheField name="Seg1" numFmtId="0">
      <sharedItems containsSemiMixedTypes="0" containsString="0" containsNumber="1" containsInteger="1" minValue="41121" maxValue="41129"/>
    </cacheField>
    <cacheField name="Seg2" numFmtId="0">
      <sharedItems containsSemiMixedTypes="0" containsString="0" containsNumber="1" containsInteger="1" minValue="2180" maxValue="2180"/>
    </cacheField>
    <cacheField name="Seg3" numFmtId="0">
      <sharedItems containsSemiMixedTypes="0" containsString="0" containsNumber="1" containsInteger="1" minValue="0" maxValue="0"/>
    </cacheField>
    <cacheField name="Seg4" numFmtId="0">
      <sharedItems containsSemiMixedTypes="0" containsString="0" containsNumber="1" containsInteger="1" minValue="0" maxValue="3"/>
    </cacheField>
    <cacheField name="Staged_RefCode" numFmtId="0">
      <sharedItems containsNonDate="0" containsString="0" containsBlank="1"/>
    </cacheField>
    <cacheField name="Staged_DocRef" numFmtId="0">
      <sharedItems containsNonDate="0" containsString="0" containsBlank="1"/>
    </cacheField>
    <cacheField name="Staged Year Month" numFmtId="0">
      <sharedItems containsNonDate="0" containsString="0" containsBlank="1"/>
    </cacheField>
    <cacheField name="Staged District" numFmtId="0">
      <sharedItems containsNonDate="0" containsString="0" containsBlank="1"/>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eather Garland" refreshedDate="43846.460307291665" createdVersion="4" refreshedVersion="4" minRefreshableVersion="3" recordCount="58">
  <cacheSource type="worksheet">
    <worksheetSource ref="B19:N77" sheet="70195 JE Query"/>
  </cacheSource>
  <cacheFields count="13">
    <cacheField name="Full Account" numFmtId="0">
      <sharedItems/>
    </cacheField>
    <cacheField name="Date" numFmtId="14">
      <sharedItems containsSemiMixedTypes="0" containsNonDate="0" containsDate="1" containsString="0" minDate="2018-12-12T00:00:00" maxDate="2019-12-01T00:00:00"/>
    </cacheField>
    <cacheField name="Amount USD" numFmtId="40">
      <sharedItems containsSemiMixedTypes="0" containsString="0" containsNumber="1" minValue="-560.38" maxValue="1593.52"/>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NonDate="0" containsString="0" containsBlank="1"/>
    </cacheField>
    <cacheField name="Further Description" numFmtId="0">
      <sharedItems count="19">
        <s v="ASSOCIATION OF WASHINGTON BUSINESS"/>
        <s v="CITY OF TACOMA FINANCE DEPARTMENT"/>
        <s v="COSTCO WHSE #0660~RYAN GUILD"/>
        <s v="LAKEWOOD CHAMBER OF COMM~TERA GLENN"/>
        <s v="MAILCHIMP    MONTHLY~RYAN GUILD"/>
        <s v="Mar.19 WD Expense Report-Brittany Mani ("/>
        <s v="NEWS TRIBUNE DIGITAL SUB~LYNSIE BRESSLER"/>
        <s v="PARKLAND CLEANERS~RYAN GUILD"/>
        <s v="PO 00137: TACOMA COUNTRY &amp; GOLF CLUB: CH"/>
        <s v="PO 00858: ASSOCIATION OF WASHINGTON BUSI"/>
        <s v="PO 02988: TACOMA COUNTRY &amp; GOLF CLUB: CH"/>
        <s v="Recollect App 7/19-6/20"/>
        <s v="ROY CITY OF"/>
        <s v="SPS Golf Harbottle Tourney"/>
        <s v="SQ  GRAHAM BUSINESS~RYAN GUILD"/>
        <s v="TACOMA COUNTRY &amp; GOLF CLUB"/>
        <s v="TACOMA PIERCE COUNTY CHAM~RYAN GUILD"/>
        <s v="TRACKBILL, LLC~LYNSIE BRESSLER"/>
        <s v="WASHINGTON REFUSE &amp; RECYCLING ASSOC"/>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Heather Garland" refreshedDate="43846.476953935184" createdVersion="4" refreshedVersion="4" minRefreshableVersion="3" recordCount="320">
  <cacheSource type="worksheet">
    <worksheetSource ref="B19:N339" sheet="JE Query" r:id="rId2"/>
  </cacheSource>
  <cacheFields count="13">
    <cacheField name="Full Account" numFmtId="0">
      <sharedItems/>
    </cacheField>
    <cacheField name="Date" numFmtId="14">
      <sharedItems containsSemiMixedTypes="0" containsNonDate="0" containsDate="1" containsString="0" minDate="2018-12-31T00:00:00" maxDate="2019-12-01T00:00:00"/>
    </cacheField>
    <cacheField name="Amount USD" numFmtId="40">
      <sharedItems containsSemiMixedTypes="0" containsString="0" containsNumber="1" minValue="-5000" maxValue="21799.91"/>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NonDate="0" containsString="0" containsBlank="1"/>
    </cacheField>
    <cacheField name="Further Description" numFmtId="0">
      <sharedItems containsMixedTypes="1" containsNumber="1" containsInteger="1" minValue="-2146826265" maxValue="-2146826265" count="156">
        <s v="EBI EBAGS.COM~LYNSIE BRESSLER"/>
        <s v="COSTCO WHSE #0660~LYNSIE BRESSLER"/>
        <s v="BESTBUYCOM805590017216~LYNSIE BRESSLER"/>
        <s v="BESTBUYCOM805590024101~LYNSIE BRESSLER"/>
        <s v="RAM RESTAURANT  PUYALLUP~RUSSELL COLE"/>
        <s v="NW CUSTOM APPAREL~LYNSIE BRESSLER"/>
        <s v="WWW COSTCO COM~RYAN GUILD"/>
        <s v="SQ  ORTING FLORAL A~RYAN GUILD"/>
        <s v="1-800-FLOWERS.COM,INC.~RYAN GUILD"/>
        <s v="FAIRMONT OLYMPIC HOTEL~CHRIS GIRALDES"/>
        <s v="BEST BUY      00003723~CHRIS GIRALDES"/>
        <s v="WASHINGTON STATE RECYCLIN~RYAN GUILD"/>
        <s v="COSTCO WHSE #0660~RYAN GUILD"/>
        <s v="CRANES CREATIONS INC~RYAN GUILD"/>
        <s v="PAULAS HALLMARK 20~LYNSIE BRESSLER"/>
        <s v="Dec. 18- WD Expense Report-Destini Wilso"/>
        <s v="Dec. 18- WD Expense Report-Chris Giralde"/>
        <s v="BikeBuild Overages 2180"/>
        <s v="EE Apprec. Party"/>
        <s v="PCARD: PO 04227: FAIRMONT: PCard: WRRA A"/>
        <s v="HARD LUCK BAR &amp; GRILL~CHRIS GIRALDES"/>
        <s v="SAFEWAY #0547~RYAN GUILD"/>
        <s v="RAM RESTAURANT  SUNRISE~CHRIS GIRALDES"/>
        <s v="SMART FOODSERVICE 579~TRAVIS ROBERTSON"/>
        <n v="-2146826265"/>
        <s v="TOTAL WINE AND MORE 1410~LYNSIE BRESSLER"/>
        <s v="FRED-MEYER #0265~LYNSIE BRESSLER"/>
        <s v="EPROMOS PROMOTIONAL PRODU~RYAN GUILD"/>
        <s v="BUSCH SYSTEMS INTL INC.~RYAN GUILD"/>
        <s v="CROSS BORDER TRANS FEE~RYAN GUILD"/>
        <s v="PAPA JOHN'S #4405~RYAN GUILD"/>
        <s v="SQ  THE CAMP BAR~CHRIS GIRALDES"/>
        <s v="HOTEL MURANO~CHRIS GIRALDES"/>
        <s v="SAFEWAY #3228~TRAVIS ROBERTSON"/>
        <s v="SAFEWAY #0547~TRAVIS ROBERTSON"/>
        <s v="Feb.19 WD Expense Report-Expense Report:"/>
        <s v="Feb 19 WD Expense Report-Chris Giraldes"/>
        <s v="Feb 19 WD Expense Report-Destini Wilson"/>
        <s v="Chris Giraldes (102330)"/>
        <s v="2019-02 Annual Event"/>
        <s v="BELLARMINE PREPARATORY SC~LYNSIE BRESSLE"/>
        <s v="THE SALISH LODGE &amp; SPA~LYNSIE BRESSLER"/>
        <s v="OFFICE DEPOT #1078~RYAN GUILD"/>
        <s v="DOMINO'S 7091~CHRIS GIRALDES"/>
        <s v="STEEL CREEK TACOMA~CHRIS GIRALDES"/>
        <s v="THE HUB TACOMA~CHRIS GIRALDES"/>
        <s v="SAFEWAY #0547~CHRIS GIRALDES"/>
        <s v="UBF - TACOMA, WA~CHRIS GIRALDES"/>
        <s v="Mar.19 WD Expense Report-Chris Giraldes"/>
        <s v="Deana Gakpe (158763)"/>
        <s v="WALMART.COM 8009666546~RYAN GUILD"/>
        <s v="PCARD: PO 01000: WALMART: PCard: CANDY -"/>
        <s v="WESTERN WASHINGTON"/>
        <s v="TST  FARRELLI S PIZZA - D~RYAN GUILD"/>
        <s v="WINNING SEASONS~RYAN GUILD"/>
        <s v="Apr. 19 WD Expense Report-Deana Gakpe (1"/>
        <s v="7122 DOMINOS PIZZA~CHRIS GIRALDES"/>
        <s v="SIGNUP  HUNGERWALK5KRUN~RYAN GUILD"/>
        <s v="2019 Tacoma Rainers Tickets"/>
        <s v="PCARD: PO 01056: WINNING SEASON: PCard:"/>
        <s v="PCARD: PO 01365: HUNGER WALK: PCard: 4 M"/>
        <s v="PCARD: PO 01399: HUNGER WALK: PCard: 1 T"/>
        <s v="Sporting Tickets - Rainier"/>
        <s v="Defer State Fair Expense"/>
        <s v="JERSEY MIKES 18026~RYAN GUILD"/>
        <s v="FRANKS DONUTS &amp; MUFFINS~RYAN GUILD"/>
        <s v="FRED-MEYER #0265~CHRIS GIRALDES"/>
        <s v="May 19 WD Expense Report-Peter Williams"/>
        <s v="TARGET.COM~LYNSIE BRESSLER"/>
        <s v="VISTAPR VISTAPRINT.COM~LYNSIE BRESSLER"/>
        <s v="COSTCO BUS CENTER 767~RYAN GUILD"/>
        <s v="WAL-MART #3525~CHRIS GIRALDES"/>
        <s v="June 19 WD Expense Report-Chris Giraldes"/>
        <s v="SAFEWAY #2640~RYAN GUILD"/>
        <s v="FRED-MEYER #0265~RYAN GUILD"/>
        <s v="QDOBA 2561~CHRIS GIRALDES"/>
        <s v="SAFEWAY #3228~CHRIS GIRALDES"/>
        <s v="SUBWAY        00443960~CHRIS GIRALDES"/>
        <s v="PCARD: PO 01943: LEMAY MARYMOUNT EVENT C"/>
        <s v="LEMAY COLLECTION FOUNDATI~RYAN GUILD"/>
        <s v="AMZN MKTP US MH5MH36F0~LYNSIE BRESSLER"/>
        <s v="AMAZON.COM MH04L4R22 AMZN~LYNSIE BRESSLE"/>
        <s v="FRED-MEYER #0424~RYAN GUILD"/>
        <s v="SAFEWAY #3228~RYAN GUILD"/>
        <s v="SAFEWAY #1645~CHRIS GIRALDES"/>
        <s v="WILLIAMS FLOWER &amp; GIFT RI~RYAN GUILD"/>
        <s v="July 19 WD Expense Report- Jeremiah Day"/>
        <s v="July 19 WD Expense Report- Amanda Fujiur"/>
        <s v="July 19 WD Expense Report- Destini Wilso"/>
        <s v="July 19 WD Expense Report- Brittany Mani"/>
        <s v="July 19 WD Expense Report- Tera Glenn (1"/>
        <s v="SMART FOODSERVICE 579~RYAN GUILD"/>
        <s v="Poker Ride Prizes"/>
        <s v="WALMART.COM 8009666546~LYNSIE BRESSLER"/>
        <s v="COSTCO BUS CENTER 767~MARLENE EADES"/>
        <s v="PAYPAL  STEWARTMARK~LYNSIE BRESSLER"/>
        <s v="PUYALLUP - TRACKSIDE P~LYNSIE BRESSLER"/>
        <s v="SPORTCO &amp; OUTDOOR EMPORI~LYNSIE BRESSLER"/>
        <s v="SPORTCO.COM~LYNSIE BRESSLER"/>
        <s v="MAN CRATES STORE~LYNSIE BRESSLER"/>
        <s v="COSTCO WHSE #0767~CHARLOTTE HARTVIGSON"/>
        <s v="COSTCO WHSE #0660~CHARLOTTE HARTVIGSON"/>
        <s v="FRED-MEYER #0265~CHARLOTTE HARTVIGSON"/>
        <s v="TOTAL WINE AND MORE 1410~CHARLOTTE HARTV"/>
        <s v="NW CUSTOM APPAREL~CHARLOTTE HARTVIGSON"/>
        <s v="SEATTLE MARINERS CONC 006~CHARLOTTE HART"/>
        <s v="LUXURY LIMO OF SEATTLE~CHARLOTTE HARTVIG"/>
        <s v="SEATTLE MARINERS CATER  0~CHARLOTTE HART"/>
        <s v="BUMPYS~CHRIS GIRALDES"/>
        <s v="SEATTLE MARINERS CONC 006~CHRIS GIRALDES"/>
        <s v="HONEY BUCKET~RYAN GUILD"/>
        <s v="CI SHENANIGANS  TACOMA~RYAN GUILD"/>
        <s v="THE CLASSIC GOLF CLUB~CHRIS GIRALDES"/>
        <s v="THE HOME COURSE~RYAN GUILD"/>
        <s v="PLAZA JALISCO MORTON~ARIN ROBERTSON"/>
        <s v="August19 WD Expense Report- Jana Maki (1"/>
        <s v="Pierce Co United Team Event"/>
        <s v="BRANKS BBQ &amp; CATERING~CHARLOTTE HARTVIGS"/>
        <s v="AIRBNB  HMAETR3FKT~LYNSIE BRESSLER"/>
        <s v="STUBHUB, INC.~LYNSIE BRESSLER"/>
        <s v="FTD.COM~LYNSIE BRESSLER"/>
        <s v="TLF BUDS AND BLOOMS AT SO~RYAN GUILD"/>
        <s v="TLF YELM FLORAL~RYAN GUILD"/>
        <s v="TST  HOPS N DROPS - FREDE~CHRIS GIRALDES"/>
        <s v="SUBWAY        00443960~TERA GLENN"/>
        <s v="Sept 19 WD Expense Report- Destini Wilso"/>
        <s v="Sept 19 WD Expense Report- Chris Giralde"/>
        <s v="2019 State Fair"/>
        <s v="2019 Family Day PDZ"/>
        <s v="Sporting Tickets - Huskies"/>
        <s v="REGAL CINEMAS MOBILE APP~LYNSIE BRESSLER"/>
        <s v="COSTCO BUS CENTER 767~TERA GLENN"/>
        <s v="LITTLE CAESARS 2086-0001~RYAN GUILD"/>
        <s v="ALBERTSONS #0493~RYAN GUILD"/>
        <s v="SAFEWAY #1798~TERA GLENN"/>
        <s v="LEGENDARY DOUGHNUTS~RYAN GUILD"/>
        <s v="PARTY CITY 464~TERA GLENN"/>
        <s v="OTC BRANDS  INC~TERA GLENN"/>
        <s v="WALMART.COM 8009666546~TERA GLENN"/>
        <s v="WINNING SEASONS~TERA GLENN"/>
        <s v="Oct 19- WD Expense Report-Matthew O'Conn"/>
        <s v="CRANES CREATIONS INC~TERA GLENN"/>
        <s v="4IMPRINT~LYNSIE BRESSLER"/>
        <s v="NORTHWEST EMBROIDERY~LYNSIE BRESSLER"/>
        <s v="TOTAL WINE COM 1410~LYNSIE BRESSLER"/>
        <s v="DJ TROPHIES AND IMPRINTS~LYNSIE BRESSLER"/>
        <s v="DOLLARTREE~LYNSIE BRESSLER"/>
        <s v="7-ELEVEN 16686~RYAN GUILD"/>
        <s v="DOYLE PRINTING CO~TERA GLENN"/>
        <s v="FRED-MEYER #0424~TERA GLENN"/>
        <s v="1-800-FLOWERS.COM,INC.~LYNSIE BRESSLER"/>
        <s v="PUGETSOUND FARMTABLES~MARIA FINLEY"/>
        <s v="Nov 19- WD Expense Report- Frederick Vah"/>
        <s v="Nov 19- WD Expense Report- Matthew O'Con"/>
        <s v="WM SUPERCENTER #3218~TERA GLENN"/>
        <s v="THE HOME DEPOT 4747~TERA GLENN"/>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1">
  <r>
    <x v="0"/>
    <d v="2018-12-31T00:00:00"/>
    <n v="4021.88"/>
    <n v="0"/>
    <s v="USD"/>
    <s v="JRNLWA00384911"/>
    <s v="P"/>
    <s v="RevJE6-Intercompany revenue"/>
    <s v="HelenaK"/>
    <s v="0/JE IC"/>
    <m/>
    <m/>
    <x v="0"/>
    <m/>
    <m/>
    <m/>
    <m/>
    <m/>
    <m/>
    <s v="JRNL00918044"/>
    <s v="JRNL00918044"/>
    <m/>
    <d v="2019-01-04T00:00:00"/>
    <d v="2019-01-04T00:00:00"/>
    <m/>
    <m/>
    <s v="wci_wa"/>
    <n v="0"/>
    <n v="0"/>
    <n v="0"/>
    <n v="0"/>
    <n v="0"/>
    <n v="1"/>
    <n v="41129"/>
    <n v="2180"/>
    <n v="0"/>
    <n v="3"/>
    <m/>
    <m/>
    <m/>
    <m/>
    <s v=""/>
  </r>
  <r>
    <x v="0"/>
    <d v="2018-12-31T00:00:00"/>
    <n v="8268.75"/>
    <n v="0"/>
    <s v="USD"/>
    <s v="JRNLWA00384911"/>
    <s v="P"/>
    <s v="RevJE6-Intercompany revenue"/>
    <s v="HelenaK"/>
    <s v="0/JE IC"/>
    <m/>
    <m/>
    <x v="1"/>
    <m/>
    <m/>
    <m/>
    <m/>
    <m/>
    <m/>
    <s v="JRNL00918044"/>
    <s v="JRNL00918044"/>
    <m/>
    <d v="2019-01-04T00:00:00"/>
    <d v="2019-01-04T00:00:00"/>
    <m/>
    <m/>
    <s v="wci_wa"/>
    <n v="0"/>
    <n v="0"/>
    <n v="0"/>
    <n v="0"/>
    <n v="0"/>
    <n v="1"/>
    <n v="41129"/>
    <n v="2180"/>
    <n v="0"/>
    <n v="3"/>
    <m/>
    <m/>
    <m/>
    <m/>
    <s v=""/>
  </r>
  <r>
    <x v="0"/>
    <d v="2018-12-31T00:00:00"/>
    <n v="1743.75"/>
    <n v="0"/>
    <s v="USD"/>
    <s v="JRNLWA00384911"/>
    <s v="P"/>
    <s v="RevJE6-Intercompany revenue"/>
    <s v="HelenaK"/>
    <s v="0/JE IC"/>
    <m/>
    <m/>
    <x v="2"/>
    <m/>
    <m/>
    <m/>
    <m/>
    <m/>
    <m/>
    <s v="JRNL00918044"/>
    <s v="JRNL00918044"/>
    <m/>
    <d v="2019-01-04T00:00:00"/>
    <d v="2019-01-04T00:00:00"/>
    <m/>
    <m/>
    <s v="wci_wa"/>
    <n v="0"/>
    <n v="0"/>
    <n v="0"/>
    <n v="0"/>
    <n v="0"/>
    <n v="1"/>
    <n v="41129"/>
    <n v="2180"/>
    <n v="0"/>
    <n v="3"/>
    <m/>
    <m/>
    <m/>
    <m/>
    <s v=""/>
  </r>
  <r>
    <x v="0"/>
    <d v="2019-01-31T00:00:00"/>
    <n v="618.75"/>
    <n v="0"/>
    <s v="USD"/>
    <s v="JRNLWA00386585"/>
    <s v="P"/>
    <s v="RevJE6-Intercompany revenue"/>
    <s v="AlexandraP"/>
    <s v="0/JE IC"/>
    <m/>
    <m/>
    <x v="3"/>
    <m/>
    <m/>
    <m/>
    <m/>
    <m/>
    <m/>
    <s v="JRNL00922222"/>
    <s v="JRNL00922222"/>
    <m/>
    <d v="2019-02-05T00:00:00"/>
    <d v="2019-02-05T00:00:00"/>
    <m/>
    <m/>
    <s v="wci_wa"/>
    <n v="0"/>
    <n v="0"/>
    <n v="0"/>
    <n v="0"/>
    <n v="0"/>
    <n v="1"/>
    <n v="41129"/>
    <n v="2180"/>
    <n v="0"/>
    <n v="3"/>
    <m/>
    <m/>
    <m/>
    <m/>
    <s v=""/>
  </r>
  <r>
    <x v="0"/>
    <d v="2019-01-31T00:00:00"/>
    <n v="4781.25"/>
    <n v="0"/>
    <s v="USD"/>
    <s v="JRNLWA00386585"/>
    <s v="P"/>
    <s v="RevJE6-Intercompany revenue"/>
    <s v="AlexandraP"/>
    <s v="0/JE IC"/>
    <m/>
    <m/>
    <x v="0"/>
    <m/>
    <m/>
    <m/>
    <m/>
    <m/>
    <m/>
    <s v="JRNL00922222"/>
    <s v="JRNL00922222"/>
    <m/>
    <d v="2019-02-05T00:00:00"/>
    <d v="2019-02-05T00:00:00"/>
    <m/>
    <m/>
    <s v="wci_wa"/>
    <n v="0"/>
    <n v="0"/>
    <n v="0"/>
    <n v="0"/>
    <n v="0"/>
    <n v="1"/>
    <n v="41129"/>
    <n v="2180"/>
    <n v="0"/>
    <n v="3"/>
    <m/>
    <m/>
    <m/>
    <m/>
    <s v=""/>
  </r>
  <r>
    <x v="0"/>
    <d v="2019-01-31T00:00:00"/>
    <n v="3037.5"/>
    <n v="0"/>
    <s v="USD"/>
    <s v="JRNLWA00386585"/>
    <s v="P"/>
    <s v="RevJE6-Intercompany revenue"/>
    <s v="AlexandraP"/>
    <s v="0/JE IC"/>
    <m/>
    <m/>
    <x v="1"/>
    <m/>
    <m/>
    <m/>
    <m/>
    <m/>
    <m/>
    <s v="JRNL00922222"/>
    <s v="JRNL00922222"/>
    <m/>
    <d v="2019-02-05T00:00:00"/>
    <d v="2019-02-05T00:00:00"/>
    <m/>
    <m/>
    <s v="wci_wa"/>
    <n v="0"/>
    <n v="0"/>
    <n v="0"/>
    <n v="0"/>
    <n v="0"/>
    <n v="1"/>
    <n v="41129"/>
    <n v="2180"/>
    <n v="0"/>
    <n v="3"/>
    <m/>
    <m/>
    <m/>
    <m/>
    <s v=""/>
  </r>
  <r>
    <x v="0"/>
    <d v="2019-01-31T00:00:00"/>
    <n v="4359.38"/>
    <n v="0"/>
    <s v="USD"/>
    <s v="JRNLWA00386585"/>
    <s v="P"/>
    <s v="RevJE6-Intercompany revenue"/>
    <s v="AlexandraP"/>
    <s v="0/JE IC"/>
    <m/>
    <m/>
    <x v="2"/>
    <m/>
    <m/>
    <m/>
    <m/>
    <m/>
    <m/>
    <s v="JRNL00922222"/>
    <s v="JRNL00922222"/>
    <m/>
    <d v="2019-02-05T00:00:00"/>
    <d v="2019-02-05T00:00:00"/>
    <m/>
    <m/>
    <s v="wci_wa"/>
    <n v="0"/>
    <n v="0"/>
    <n v="0"/>
    <n v="0"/>
    <n v="0"/>
    <n v="1"/>
    <n v="41129"/>
    <n v="2180"/>
    <n v="0"/>
    <n v="3"/>
    <m/>
    <m/>
    <m/>
    <m/>
    <s v=""/>
  </r>
  <r>
    <x v="0"/>
    <d v="2019-02-28T00:00:00"/>
    <n v="2728.13"/>
    <n v="0"/>
    <s v="USD"/>
    <s v="JRNLWA00387965"/>
    <s v="P"/>
    <s v="RevJE6-Intercompany revenue"/>
    <s v="HelenaK"/>
    <s v="0/JE IC"/>
    <m/>
    <m/>
    <x v="1"/>
    <m/>
    <m/>
    <m/>
    <m/>
    <m/>
    <m/>
    <s v="JRNL00925801"/>
    <s v="JRNL00925801"/>
    <m/>
    <d v="2019-03-05T00:00:00"/>
    <d v="2019-03-05T00:00:00"/>
    <m/>
    <m/>
    <s v="wci_wa"/>
    <n v="0"/>
    <n v="0"/>
    <n v="0"/>
    <n v="0"/>
    <n v="0"/>
    <n v="1"/>
    <n v="41129"/>
    <n v="2180"/>
    <n v="0"/>
    <n v="3"/>
    <m/>
    <m/>
    <m/>
    <m/>
    <s v=""/>
  </r>
  <r>
    <x v="0"/>
    <d v="2019-02-28T00:00:00"/>
    <n v="393.75"/>
    <n v="0"/>
    <s v="USD"/>
    <s v="JRNLWA00387965"/>
    <s v="P"/>
    <s v="RevJE6-Intercompany revenue"/>
    <s v="HelenaK"/>
    <s v="0/JE IC"/>
    <m/>
    <m/>
    <x v="3"/>
    <m/>
    <m/>
    <m/>
    <m/>
    <m/>
    <m/>
    <s v="JRNL00925801"/>
    <s v="JRNL00925801"/>
    <m/>
    <d v="2019-03-05T00:00:00"/>
    <d v="2019-03-05T00:00:00"/>
    <m/>
    <m/>
    <s v="wci_wa"/>
    <n v="0"/>
    <n v="0"/>
    <n v="0"/>
    <n v="0"/>
    <n v="0"/>
    <n v="1"/>
    <n v="41129"/>
    <n v="2180"/>
    <n v="0"/>
    <n v="3"/>
    <m/>
    <m/>
    <m/>
    <m/>
    <s v=""/>
  </r>
  <r>
    <x v="0"/>
    <d v="2019-02-28T00:00:00"/>
    <n v="2756.25"/>
    <n v="0"/>
    <s v="USD"/>
    <s v="JRNLWA00387965"/>
    <s v="P"/>
    <s v="RevJE6-Intercompany revenue"/>
    <s v="HelenaK"/>
    <s v="0/JE IC"/>
    <m/>
    <m/>
    <x v="0"/>
    <m/>
    <m/>
    <m/>
    <m/>
    <m/>
    <m/>
    <s v="JRNL00925801"/>
    <s v="JRNL00925801"/>
    <m/>
    <d v="2019-03-05T00:00:00"/>
    <d v="2019-03-05T00:00:00"/>
    <m/>
    <m/>
    <s v="wci_wa"/>
    <n v="0"/>
    <n v="0"/>
    <n v="0"/>
    <n v="0"/>
    <n v="0"/>
    <n v="1"/>
    <n v="41129"/>
    <n v="2180"/>
    <n v="0"/>
    <n v="3"/>
    <m/>
    <m/>
    <m/>
    <m/>
    <s v=""/>
  </r>
  <r>
    <x v="0"/>
    <d v="2019-02-28T00:00:00"/>
    <n v="2700"/>
    <n v="0"/>
    <s v="USD"/>
    <s v="JRNLWA00387965"/>
    <s v="P"/>
    <s v="RevJE6-Intercompany revenue"/>
    <s v="HelenaK"/>
    <s v="0/JE IC"/>
    <m/>
    <m/>
    <x v="1"/>
    <m/>
    <m/>
    <m/>
    <m/>
    <m/>
    <m/>
    <s v="JRNL00925801"/>
    <s v="JRNL00925801"/>
    <m/>
    <d v="2019-03-05T00:00:00"/>
    <d v="2019-03-05T00:00:00"/>
    <m/>
    <m/>
    <s v="wci_wa"/>
    <n v="0"/>
    <n v="0"/>
    <n v="0"/>
    <n v="0"/>
    <n v="0"/>
    <n v="1"/>
    <n v="41129"/>
    <n v="2180"/>
    <n v="0"/>
    <n v="3"/>
    <m/>
    <m/>
    <m/>
    <m/>
    <s v=""/>
  </r>
  <r>
    <x v="0"/>
    <d v="2019-02-28T00:00:00"/>
    <n v="2390.63"/>
    <n v="0"/>
    <s v="USD"/>
    <s v="JRNLWA00387965"/>
    <s v="P"/>
    <s v="RevJE6-Intercompany revenue"/>
    <s v="HelenaK"/>
    <s v="0/JE IC"/>
    <m/>
    <m/>
    <x v="2"/>
    <m/>
    <m/>
    <m/>
    <m/>
    <m/>
    <m/>
    <s v="JRNL00925801"/>
    <s v="JRNL00925801"/>
    <m/>
    <d v="2019-03-05T00:00:00"/>
    <d v="2019-03-05T00:00:00"/>
    <m/>
    <m/>
    <s v="wci_wa"/>
    <n v="0"/>
    <n v="0"/>
    <n v="0"/>
    <n v="0"/>
    <n v="0"/>
    <n v="1"/>
    <n v="41129"/>
    <n v="2180"/>
    <n v="0"/>
    <n v="3"/>
    <m/>
    <m/>
    <m/>
    <m/>
    <s v=""/>
  </r>
  <r>
    <x v="0"/>
    <d v="2019-03-31T00:00:00"/>
    <n v="281.25"/>
    <n v="0"/>
    <s v="USD"/>
    <s v="JRNLWA00389483"/>
    <s v="P"/>
    <s v="RevJE6-Intercompany revenue"/>
    <s v="HeatherWe"/>
    <s v="0/JE IC"/>
    <m/>
    <m/>
    <x v="3"/>
    <m/>
    <m/>
    <m/>
    <m/>
    <m/>
    <m/>
    <s v="JRNL00928939"/>
    <s v="JRNL00928939"/>
    <m/>
    <d v="2019-04-03T00:00:00"/>
    <d v="2019-04-03T00:00:00"/>
    <m/>
    <m/>
    <s v="wci_wa"/>
    <n v="0"/>
    <n v="0"/>
    <n v="0"/>
    <n v="0"/>
    <n v="0"/>
    <n v="1"/>
    <n v="41129"/>
    <n v="2180"/>
    <n v="0"/>
    <n v="3"/>
    <m/>
    <m/>
    <m/>
    <m/>
    <s v=""/>
  </r>
  <r>
    <x v="0"/>
    <d v="2019-03-31T00:00:00"/>
    <n v="4584.38"/>
    <n v="0"/>
    <s v="USD"/>
    <s v="JRNLWA00389483"/>
    <s v="P"/>
    <s v="RevJE6-Intercompany revenue"/>
    <s v="HeatherWe"/>
    <s v="0/JE IC"/>
    <m/>
    <m/>
    <x v="0"/>
    <m/>
    <m/>
    <m/>
    <m/>
    <m/>
    <m/>
    <s v="JRNL00928939"/>
    <s v="JRNL00928939"/>
    <m/>
    <d v="2019-04-03T00:00:00"/>
    <d v="2019-04-03T00:00:00"/>
    <m/>
    <m/>
    <s v="wci_wa"/>
    <n v="0"/>
    <n v="0"/>
    <n v="0"/>
    <n v="0"/>
    <n v="0"/>
    <n v="1"/>
    <n v="41129"/>
    <n v="2180"/>
    <n v="0"/>
    <n v="3"/>
    <m/>
    <m/>
    <m/>
    <m/>
    <s v=""/>
  </r>
  <r>
    <x v="0"/>
    <d v="2019-03-31T00:00:00"/>
    <n v="6356.25"/>
    <n v="0"/>
    <s v="USD"/>
    <s v="JRNLWA00389483"/>
    <s v="P"/>
    <s v="RevJE6-Intercompany revenue"/>
    <s v="HeatherWe"/>
    <s v="0/JE IC"/>
    <m/>
    <m/>
    <x v="1"/>
    <m/>
    <m/>
    <m/>
    <m/>
    <m/>
    <m/>
    <s v="JRNL00928939"/>
    <s v="JRNL00928939"/>
    <m/>
    <d v="2019-04-03T00:00:00"/>
    <d v="2019-04-03T00:00:00"/>
    <m/>
    <m/>
    <s v="wci_wa"/>
    <n v="0"/>
    <n v="0"/>
    <n v="0"/>
    <n v="0"/>
    <n v="0"/>
    <n v="1"/>
    <n v="41129"/>
    <n v="2180"/>
    <n v="0"/>
    <n v="3"/>
    <m/>
    <m/>
    <m/>
    <m/>
    <s v=""/>
  </r>
  <r>
    <x v="0"/>
    <d v="2019-03-31T00:00:00"/>
    <n v="4696.88"/>
    <n v="0"/>
    <s v="USD"/>
    <s v="JRNLWA00389483"/>
    <s v="P"/>
    <s v="RevJE6-Intercompany revenue"/>
    <s v="HeatherWe"/>
    <s v="0/JE IC"/>
    <m/>
    <m/>
    <x v="2"/>
    <m/>
    <m/>
    <m/>
    <m/>
    <m/>
    <m/>
    <s v="JRNL00928939"/>
    <s v="JRNL00928939"/>
    <m/>
    <d v="2019-04-03T00:00:00"/>
    <d v="2019-04-03T00:00:00"/>
    <m/>
    <m/>
    <s v="wci_wa"/>
    <n v="0"/>
    <n v="0"/>
    <n v="0"/>
    <n v="0"/>
    <n v="0"/>
    <n v="1"/>
    <n v="41129"/>
    <n v="2180"/>
    <n v="0"/>
    <n v="3"/>
    <m/>
    <m/>
    <m/>
    <m/>
    <s v=""/>
  </r>
  <r>
    <x v="0"/>
    <d v="2019-04-30T00:00:00"/>
    <n v="393.75"/>
    <n v="0"/>
    <s v="USD"/>
    <s v="JRNLWA00390869"/>
    <s v="P"/>
    <s v="RevJE6-Intercompany revenue"/>
    <s v="AlexandraP"/>
    <s v="0/JE IC"/>
    <m/>
    <m/>
    <x v="3"/>
    <m/>
    <m/>
    <m/>
    <m/>
    <m/>
    <m/>
    <s v="JRNL00931865"/>
    <s v="JRNL00931865"/>
    <m/>
    <d v="2019-05-02T00:00:00"/>
    <d v="2019-05-03T00:00:00"/>
    <m/>
    <m/>
    <s v="wci_wa"/>
    <n v="0"/>
    <n v="0"/>
    <n v="0"/>
    <n v="0"/>
    <n v="0"/>
    <n v="1"/>
    <n v="41129"/>
    <n v="2180"/>
    <n v="0"/>
    <n v="3"/>
    <m/>
    <m/>
    <m/>
    <m/>
    <s v=""/>
  </r>
  <r>
    <x v="0"/>
    <d v="2019-04-30T00:00:00"/>
    <n v="5188.5"/>
    <n v="0"/>
    <s v="USD"/>
    <s v="JRNLWA00390869"/>
    <s v="P"/>
    <s v="RevJE6-Intercompany revenue"/>
    <s v="AlexandraP"/>
    <s v="0/JE IC"/>
    <m/>
    <m/>
    <x v="0"/>
    <m/>
    <m/>
    <m/>
    <m/>
    <m/>
    <m/>
    <s v="JRNL00931865"/>
    <s v="JRNL00931865"/>
    <m/>
    <d v="2019-05-02T00:00:00"/>
    <d v="2019-05-03T00:00:00"/>
    <m/>
    <m/>
    <s v="wci_wa"/>
    <n v="0"/>
    <n v="0"/>
    <n v="0"/>
    <n v="0"/>
    <n v="0"/>
    <n v="1"/>
    <n v="41129"/>
    <n v="2180"/>
    <n v="0"/>
    <n v="3"/>
    <m/>
    <m/>
    <m/>
    <m/>
    <s v=""/>
  </r>
  <r>
    <x v="0"/>
    <d v="2019-04-30T00:00:00"/>
    <n v="9140.6299999999992"/>
    <n v="0"/>
    <s v="USD"/>
    <s v="JRNLWA00390869"/>
    <s v="P"/>
    <s v="RevJE6-Intercompany revenue"/>
    <s v="AlexandraP"/>
    <s v="0/JE IC"/>
    <m/>
    <m/>
    <x v="1"/>
    <m/>
    <m/>
    <m/>
    <m/>
    <m/>
    <m/>
    <s v="JRNL00931865"/>
    <s v="JRNL00931865"/>
    <m/>
    <d v="2019-05-02T00:00:00"/>
    <d v="2019-05-03T00:00:00"/>
    <m/>
    <m/>
    <s v="wci_wa"/>
    <n v="0"/>
    <n v="0"/>
    <n v="0"/>
    <n v="0"/>
    <n v="0"/>
    <n v="1"/>
    <n v="41129"/>
    <n v="2180"/>
    <n v="0"/>
    <n v="3"/>
    <m/>
    <m/>
    <m/>
    <m/>
    <s v=""/>
  </r>
  <r>
    <x v="0"/>
    <d v="2019-04-30T00:00:00"/>
    <n v="7790.63"/>
    <n v="0"/>
    <s v="USD"/>
    <s v="JRNLWA00390869"/>
    <s v="P"/>
    <s v="RevJE6-Intercompany revenue"/>
    <s v="AlexandraP"/>
    <s v="0/JE IC"/>
    <m/>
    <m/>
    <x v="2"/>
    <m/>
    <m/>
    <m/>
    <m/>
    <m/>
    <m/>
    <s v="JRNL00931865"/>
    <s v="JRNL00931865"/>
    <m/>
    <d v="2019-05-02T00:00:00"/>
    <d v="2019-05-03T00:00:00"/>
    <m/>
    <m/>
    <s v="wci_wa"/>
    <n v="0"/>
    <n v="0"/>
    <n v="0"/>
    <n v="0"/>
    <n v="0"/>
    <n v="1"/>
    <n v="41129"/>
    <n v="2180"/>
    <n v="0"/>
    <n v="3"/>
    <m/>
    <m/>
    <m/>
    <m/>
    <s v=""/>
  </r>
  <r>
    <x v="0"/>
    <d v="2019-05-31T00:00:00"/>
    <n v="506.25"/>
    <n v="0"/>
    <s v="USD"/>
    <s v="JRNLWA00392477"/>
    <s v="P"/>
    <s v="RevJE6-Intercompany revenue"/>
    <s v="HelenaK"/>
    <s v="0/JE IC"/>
    <m/>
    <m/>
    <x v="3"/>
    <m/>
    <m/>
    <m/>
    <m/>
    <m/>
    <m/>
    <s v="JRNL00935483"/>
    <s v="JRNL00935483"/>
    <m/>
    <d v="2019-06-05T00:00:00"/>
    <d v="2019-06-05T00:00:00"/>
    <m/>
    <m/>
    <s v="wci_wa"/>
    <n v="0"/>
    <n v="0"/>
    <n v="0"/>
    <n v="0"/>
    <n v="0"/>
    <n v="1"/>
    <n v="41129"/>
    <n v="2180"/>
    <n v="0"/>
    <n v="3"/>
    <m/>
    <m/>
    <m/>
    <m/>
    <s v=""/>
  </r>
  <r>
    <x v="0"/>
    <d v="2019-05-31T00:00:00"/>
    <n v="7143.75"/>
    <n v="0"/>
    <s v="USD"/>
    <s v="JRNLWA00392477"/>
    <s v="P"/>
    <s v="RevJE6-Intercompany revenue"/>
    <s v="HelenaK"/>
    <s v="0/JE IC"/>
    <m/>
    <m/>
    <x v="0"/>
    <m/>
    <m/>
    <m/>
    <m/>
    <m/>
    <m/>
    <s v="JRNL00935483"/>
    <s v="JRNL00935483"/>
    <m/>
    <d v="2019-06-05T00:00:00"/>
    <d v="2019-06-05T00:00:00"/>
    <m/>
    <m/>
    <s v="wci_wa"/>
    <n v="0"/>
    <n v="0"/>
    <n v="0"/>
    <n v="0"/>
    <n v="0"/>
    <n v="1"/>
    <n v="41129"/>
    <n v="2180"/>
    <n v="0"/>
    <n v="3"/>
    <m/>
    <m/>
    <m/>
    <m/>
    <s v=""/>
  </r>
  <r>
    <x v="0"/>
    <d v="2019-05-31T00:00:00"/>
    <n v="17043.75"/>
    <n v="0"/>
    <s v="USD"/>
    <s v="JRNLWA00392477"/>
    <s v="P"/>
    <s v="RevJE6-Intercompany revenue"/>
    <s v="HelenaK"/>
    <s v="0/JE IC"/>
    <m/>
    <m/>
    <x v="1"/>
    <m/>
    <m/>
    <m/>
    <m/>
    <m/>
    <m/>
    <s v="JRNL00935483"/>
    <s v="JRNL00935483"/>
    <m/>
    <d v="2019-06-05T00:00:00"/>
    <d v="2019-06-05T00:00:00"/>
    <m/>
    <m/>
    <s v="wci_wa"/>
    <n v="0"/>
    <n v="0"/>
    <n v="0"/>
    <n v="0"/>
    <n v="0"/>
    <n v="1"/>
    <n v="41129"/>
    <n v="2180"/>
    <n v="0"/>
    <n v="3"/>
    <m/>
    <m/>
    <m/>
    <m/>
    <s v=""/>
  </r>
  <r>
    <x v="0"/>
    <d v="2019-05-31T00:00:00"/>
    <n v="8184.38"/>
    <n v="0"/>
    <s v="USD"/>
    <s v="JRNLWA00392477"/>
    <s v="P"/>
    <s v="RevJE6-Intercompany revenue"/>
    <s v="HelenaK"/>
    <s v="0/JE IC"/>
    <m/>
    <m/>
    <x v="2"/>
    <m/>
    <m/>
    <m/>
    <m/>
    <m/>
    <m/>
    <s v="JRNL00935483"/>
    <s v="JRNL00935483"/>
    <m/>
    <d v="2019-06-05T00:00:00"/>
    <d v="2019-06-05T00:00:00"/>
    <m/>
    <m/>
    <s v="wci_wa"/>
    <n v="0"/>
    <n v="0"/>
    <n v="0"/>
    <n v="0"/>
    <n v="0"/>
    <n v="1"/>
    <n v="41129"/>
    <n v="2180"/>
    <n v="0"/>
    <n v="3"/>
    <m/>
    <m/>
    <m/>
    <m/>
    <s v=""/>
  </r>
  <r>
    <x v="0"/>
    <d v="2019-06-30T00:00:00"/>
    <n v="590.63"/>
    <n v="0"/>
    <s v="USD"/>
    <s v="JRNLWA00393806"/>
    <s v="P"/>
    <s v="RevJE6-Intercompany revenue"/>
    <s v="HeatherH"/>
    <s v="0/JE IC"/>
    <m/>
    <m/>
    <x v="3"/>
    <m/>
    <m/>
    <m/>
    <m/>
    <m/>
    <m/>
    <s v="JRNL00938616"/>
    <s v="JRNL00938616"/>
    <m/>
    <d v="2019-07-03T00:00:00"/>
    <d v="2019-07-03T00:00:00"/>
    <m/>
    <m/>
    <s v="wci_wa"/>
    <n v="0"/>
    <n v="0"/>
    <n v="0"/>
    <n v="0"/>
    <n v="0"/>
    <n v="1"/>
    <n v="41129"/>
    <n v="2180"/>
    <n v="0"/>
    <n v="3"/>
    <m/>
    <m/>
    <m/>
    <m/>
    <s v=""/>
  </r>
  <r>
    <x v="0"/>
    <d v="2019-06-30T00:00:00"/>
    <n v="5765.63"/>
    <n v="0"/>
    <s v="USD"/>
    <s v="JRNLWA00393806"/>
    <s v="P"/>
    <s v="RevJE6-Intercompany revenue"/>
    <s v="HeatherH"/>
    <s v="0/JE IC"/>
    <m/>
    <m/>
    <x v="0"/>
    <m/>
    <m/>
    <m/>
    <m/>
    <m/>
    <m/>
    <s v="JRNL00938616"/>
    <s v="JRNL00938616"/>
    <m/>
    <d v="2019-07-03T00:00:00"/>
    <d v="2019-07-03T00:00:00"/>
    <m/>
    <m/>
    <s v="wci_wa"/>
    <n v="0"/>
    <n v="0"/>
    <n v="0"/>
    <n v="0"/>
    <n v="0"/>
    <n v="1"/>
    <n v="41129"/>
    <n v="2180"/>
    <n v="0"/>
    <n v="3"/>
    <m/>
    <m/>
    <m/>
    <m/>
    <s v=""/>
  </r>
  <r>
    <x v="0"/>
    <d v="2019-06-30T00:00:00"/>
    <n v="7228.13"/>
    <n v="0"/>
    <s v="USD"/>
    <s v="JRNLWA00393806"/>
    <s v="P"/>
    <s v="RevJE6-Intercompany revenue"/>
    <s v="HeatherH"/>
    <s v="0/JE IC"/>
    <m/>
    <m/>
    <x v="1"/>
    <m/>
    <m/>
    <m/>
    <m/>
    <m/>
    <m/>
    <s v="JRNL00938616"/>
    <s v="JRNL00938616"/>
    <m/>
    <d v="2019-07-03T00:00:00"/>
    <d v="2019-07-03T00:00:00"/>
    <m/>
    <m/>
    <s v="wci_wa"/>
    <n v="0"/>
    <n v="0"/>
    <n v="0"/>
    <n v="0"/>
    <n v="0"/>
    <n v="1"/>
    <n v="41129"/>
    <n v="2180"/>
    <n v="0"/>
    <n v="3"/>
    <m/>
    <m/>
    <m/>
    <m/>
    <s v=""/>
  </r>
  <r>
    <x v="0"/>
    <d v="2019-06-30T00:00:00"/>
    <n v="7115.63"/>
    <n v="0"/>
    <s v="USD"/>
    <s v="JRNLWA00393806"/>
    <s v="P"/>
    <s v="RevJE6-Intercompany revenue"/>
    <s v="HeatherH"/>
    <s v="0/JE IC"/>
    <m/>
    <m/>
    <x v="2"/>
    <m/>
    <m/>
    <m/>
    <m/>
    <m/>
    <m/>
    <s v="JRNL00938616"/>
    <s v="JRNL00938616"/>
    <m/>
    <d v="2019-07-03T00:00:00"/>
    <d v="2019-07-03T00:00:00"/>
    <m/>
    <m/>
    <s v="wci_wa"/>
    <n v="0"/>
    <n v="0"/>
    <n v="0"/>
    <n v="0"/>
    <n v="0"/>
    <n v="1"/>
    <n v="41129"/>
    <n v="2180"/>
    <n v="0"/>
    <n v="3"/>
    <m/>
    <m/>
    <m/>
    <m/>
    <s v=""/>
  </r>
  <r>
    <x v="0"/>
    <d v="2019-07-31T00:00:00"/>
    <n v="5990.63"/>
    <n v="0"/>
    <s v="USD"/>
    <s v="JRNLWA00395222"/>
    <s v="P"/>
    <s v="RevJE6-Intercompany revenue"/>
    <s v="HelenaK"/>
    <s v="0/JE IC"/>
    <m/>
    <m/>
    <x v="0"/>
    <m/>
    <m/>
    <m/>
    <m/>
    <m/>
    <m/>
    <s v="JRNL00941865"/>
    <s v="JRNL00941865"/>
    <m/>
    <d v="2019-08-05T00:00:00"/>
    <d v="2019-08-05T00:00:00"/>
    <m/>
    <m/>
    <s v="wci_wa"/>
    <n v="0"/>
    <n v="0"/>
    <n v="0"/>
    <n v="0"/>
    <n v="0"/>
    <n v="1"/>
    <n v="41129"/>
    <n v="2180"/>
    <n v="0"/>
    <n v="3"/>
    <m/>
    <m/>
    <m/>
    <m/>
    <s v=""/>
  </r>
  <r>
    <x v="0"/>
    <d v="2019-07-31T00:00:00"/>
    <n v="10125"/>
    <n v="0"/>
    <s v="USD"/>
    <s v="JRNLWA00395222"/>
    <s v="P"/>
    <s v="RevJE6-Intercompany revenue"/>
    <s v="HelenaK"/>
    <s v="0/JE IC"/>
    <m/>
    <m/>
    <x v="1"/>
    <m/>
    <m/>
    <m/>
    <m/>
    <m/>
    <m/>
    <s v="JRNL00941865"/>
    <s v="JRNL00941865"/>
    <m/>
    <d v="2019-08-05T00:00:00"/>
    <d v="2019-08-05T00:00:00"/>
    <m/>
    <m/>
    <s v="wci_wa"/>
    <n v="0"/>
    <n v="0"/>
    <n v="0"/>
    <n v="0"/>
    <n v="0"/>
    <n v="1"/>
    <n v="41129"/>
    <n v="2180"/>
    <n v="0"/>
    <n v="3"/>
    <m/>
    <m/>
    <m/>
    <m/>
    <s v=""/>
  </r>
  <r>
    <x v="0"/>
    <d v="2019-07-31T00:00:00"/>
    <n v="7228.13"/>
    <n v="0"/>
    <s v="USD"/>
    <s v="JRNLWA00395222"/>
    <s v="P"/>
    <s v="RevJE6-Intercompany revenue"/>
    <s v="HelenaK"/>
    <s v="0/JE IC"/>
    <m/>
    <m/>
    <x v="2"/>
    <m/>
    <m/>
    <m/>
    <m/>
    <m/>
    <m/>
    <s v="JRNL00941865"/>
    <s v="JRNL00941865"/>
    <m/>
    <d v="2019-08-05T00:00:00"/>
    <d v="2019-08-05T00:00:00"/>
    <m/>
    <m/>
    <s v="wci_wa"/>
    <n v="0"/>
    <n v="0"/>
    <n v="0"/>
    <n v="0"/>
    <n v="0"/>
    <n v="1"/>
    <n v="41129"/>
    <n v="2180"/>
    <n v="0"/>
    <n v="3"/>
    <m/>
    <m/>
    <m/>
    <m/>
    <s v=""/>
  </r>
  <r>
    <x v="1"/>
    <d v="2019-07-31T00:00:00"/>
    <n v="226.69"/>
    <n v="0"/>
    <s v="USD"/>
    <s v="JRNLWA00395823"/>
    <s v="P"/>
    <s v="2019-07     LRI PO Log Accrual"/>
    <s v="HelenaK"/>
    <s v="0/JE IC"/>
    <m/>
    <m/>
    <x v="4"/>
    <m/>
    <m/>
    <m/>
    <m/>
    <m/>
    <m/>
    <s v="JRNL00943143"/>
    <s v="JRNL00943143"/>
    <m/>
    <d v="2019-08-07T00:00:00"/>
    <d v="2019-08-07T00:00:00"/>
    <m/>
    <m/>
    <s v="wci_wa"/>
    <n v="0"/>
    <n v="0"/>
    <n v="0"/>
    <n v="0"/>
    <n v="0"/>
    <n v="1"/>
    <n v="41121"/>
    <n v="2180"/>
    <n v="0"/>
    <n v="0"/>
    <m/>
    <m/>
    <m/>
    <m/>
    <s v=""/>
  </r>
  <r>
    <x v="1"/>
    <d v="2019-08-15T00:00:00"/>
    <n v="226.69"/>
    <n v="0"/>
    <s v="USD"/>
    <s v="JRNLWA00396073"/>
    <s v="P"/>
    <s v="From Voucher Posting."/>
    <s v="JudyA"/>
    <s v="0/JE IC"/>
    <s v="VUS000012993"/>
    <m/>
    <x v="5"/>
    <d v="2019-07-26T00:00:00"/>
    <s v="WEEK 7/22/19-7/26/19"/>
    <s v="201907261E"/>
    <s v="PO-2190-19-02861"/>
    <m/>
    <m/>
    <s v="VO05115714"/>
    <s v="JRNL00943715"/>
    <n v="2190"/>
    <d v="2019-08-15T00:00:00"/>
    <d v="2019-08-15T00:00:00"/>
    <n v="24854.3"/>
    <d v="2019-08-15T00:00:00"/>
    <s v="wci_wa"/>
    <n v="0"/>
    <n v="0"/>
    <n v="0"/>
    <n v="0"/>
    <n v="0"/>
    <n v="1"/>
    <n v="41121"/>
    <n v="2180"/>
    <n v="0"/>
    <n v="0"/>
    <m/>
    <m/>
    <m/>
    <m/>
    <s v="VO05115714"/>
  </r>
  <r>
    <x v="1"/>
    <d v="2019-08-31T00:00:00"/>
    <n v="-226.69"/>
    <n v="0"/>
    <s v="USD"/>
    <s v="JRNLWA00395879"/>
    <s v="P"/>
    <s v="2019-07     LRI PO Log Accrual"/>
    <s v="LaurenTi"/>
    <s v="0/JE IC"/>
    <m/>
    <m/>
    <x v="4"/>
    <m/>
    <m/>
    <m/>
    <m/>
    <m/>
    <m/>
    <s v="JRNL00943143"/>
    <s v="JRNL00943271"/>
    <m/>
    <d v="2019-08-07T00:00:00"/>
    <d v="2019-08-07T00:00:00"/>
    <m/>
    <m/>
    <s v="wci_wa"/>
    <n v="0"/>
    <n v="0"/>
    <n v="0"/>
    <n v="0"/>
    <n v="5"/>
    <n v="1"/>
    <n v="41121"/>
    <n v="2180"/>
    <n v="0"/>
    <n v="0"/>
    <m/>
    <m/>
    <m/>
    <m/>
    <s v=""/>
  </r>
  <r>
    <x v="0"/>
    <d v="2019-08-31T00:00:00"/>
    <n v="253.13"/>
    <n v="0"/>
    <s v="USD"/>
    <s v="JRNLWA00396533"/>
    <s v="P"/>
    <s v="RevJE6-Intercompany revenue"/>
    <s v="HelenaK"/>
    <s v="0/JE IC"/>
    <m/>
    <m/>
    <x v="3"/>
    <m/>
    <m/>
    <m/>
    <m/>
    <m/>
    <m/>
    <s v="JRNL00944846"/>
    <s v="JRNL00944846"/>
    <m/>
    <d v="2019-09-04T00:00:00"/>
    <d v="2019-09-05T00:00:00"/>
    <m/>
    <m/>
    <s v="wci_wa"/>
    <n v="0"/>
    <n v="0"/>
    <n v="0"/>
    <n v="0"/>
    <n v="0"/>
    <n v="1"/>
    <n v="41129"/>
    <n v="2180"/>
    <n v="0"/>
    <n v="3"/>
    <m/>
    <m/>
    <m/>
    <m/>
    <s v=""/>
  </r>
  <r>
    <x v="0"/>
    <d v="2019-08-31T00:00:00"/>
    <n v="5906.25"/>
    <n v="0"/>
    <s v="USD"/>
    <s v="JRNLWA00396533"/>
    <s v="P"/>
    <s v="RevJE6-Intercompany revenue"/>
    <s v="HelenaK"/>
    <s v="0/JE IC"/>
    <m/>
    <m/>
    <x v="0"/>
    <m/>
    <m/>
    <m/>
    <m/>
    <m/>
    <m/>
    <s v="JRNL00944846"/>
    <s v="JRNL00944846"/>
    <m/>
    <d v="2019-09-04T00:00:00"/>
    <d v="2019-09-05T00:00:00"/>
    <m/>
    <m/>
    <s v="wci_wa"/>
    <n v="0"/>
    <n v="0"/>
    <n v="0"/>
    <n v="0"/>
    <n v="0"/>
    <n v="1"/>
    <n v="41129"/>
    <n v="2180"/>
    <n v="0"/>
    <n v="3"/>
    <m/>
    <m/>
    <m/>
    <m/>
    <s v=""/>
  </r>
  <r>
    <x v="0"/>
    <d v="2019-08-31T00:00:00"/>
    <n v="16453.13"/>
    <n v="0"/>
    <s v="USD"/>
    <s v="JRNLWA00396533"/>
    <s v="P"/>
    <s v="RevJE6-Intercompany revenue"/>
    <s v="HelenaK"/>
    <s v="0/JE IC"/>
    <m/>
    <m/>
    <x v="1"/>
    <m/>
    <m/>
    <m/>
    <m/>
    <m/>
    <m/>
    <s v="JRNL00944846"/>
    <s v="JRNL00944846"/>
    <m/>
    <d v="2019-09-04T00:00:00"/>
    <d v="2019-09-05T00:00:00"/>
    <m/>
    <m/>
    <s v="wci_wa"/>
    <n v="0"/>
    <n v="0"/>
    <n v="0"/>
    <n v="0"/>
    <n v="0"/>
    <n v="1"/>
    <n v="41129"/>
    <n v="2180"/>
    <n v="0"/>
    <n v="3"/>
    <m/>
    <m/>
    <m/>
    <m/>
    <s v=""/>
  </r>
  <r>
    <x v="0"/>
    <d v="2019-08-31T00:00:00"/>
    <n v="5146.88"/>
    <n v="0"/>
    <s v="USD"/>
    <s v="JRNLWA00396533"/>
    <s v="P"/>
    <s v="RevJE6-Intercompany revenue"/>
    <s v="HelenaK"/>
    <s v="0/JE IC"/>
    <m/>
    <m/>
    <x v="2"/>
    <m/>
    <m/>
    <m/>
    <m/>
    <m/>
    <m/>
    <s v="JRNL00944846"/>
    <s v="JRNL00944846"/>
    <m/>
    <d v="2019-09-04T00:00:00"/>
    <d v="2019-09-05T00:00:00"/>
    <m/>
    <m/>
    <s v="wci_wa"/>
    <n v="0"/>
    <n v="0"/>
    <n v="0"/>
    <n v="0"/>
    <n v="0"/>
    <n v="1"/>
    <n v="41129"/>
    <n v="2180"/>
    <n v="0"/>
    <n v="3"/>
    <m/>
    <m/>
    <m/>
    <m/>
    <s v=""/>
  </r>
  <r>
    <x v="0"/>
    <d v="2019-09-30T00:00:00"/>
    <n v="309.38"/>
    <n v="0"/>
    <s v="USD"/>
    <s v="JRNLWA00398175"/>
    <s v="P"/>
    <s v="RevJE6-Intercompany revenue"/>
    <s v="LaurenTi"/>
    <s v="0/JE IC"/>
    <m/>
    <m/>
    <x v="3"/>
    <m/>
    <m/>
    <m/>
    <m/>
    <m/>
    <m/>
    <s v="JRNL00948489"/>
    <s v="JRNL00948489"/>
    <m/>
    <d v="2019-10-03T00:00:00"/>
    <d v="2019-10-03T00:00:00"/>
    <m/>
    <m/>
    <s v="wci_wa"/>
    <n v="0"/>
    <n v="0"/>
    <n v="0"/>
    <n v="0"/>
    <n v="0"/>
    <n v="1"/>
    <n v="41129"/>
    <n v="2180"/>
    <n v="0"/>
    <n v="3"/>
    <m/>
    <m/>
    <m/>
    <m/>
    <s v=""/>
  </r>
  <r>
    <x v="0"/>
    <d v="2019-09-30T00:00:00"/>
    <n v="6468.75"/>
    <n v="0"/>
    <s v="USD"/>
    <s v="JRNLWA00398175"/>
    <s v="P"/>
    <s v="RevJE6-Intercompany revenue"/>
    <s v="LaurenTi"/>
    <s v="0/JE IC"/>
    <m/>
    <m/>
    <x v="0"/>
    <m/>
    <m/>
    <m/>
    <m/>
    <m/>
    <m/>
    <s v="JRNL00948489"/>
    <s v="JRNL00948489"/>
    <m/>
    <d v="2019-10-03T00:00:00"/>
    <d v="2019-10-03T00:00:00"/>
    <m/>
    <m/>
    <s v="wci_wa"/>
    <n v="0"/>
    <n v="0"/>
    <n v="0"/>
    <n v="0"/>
    <n v="0"/>
    <n v="1"/>
    <n v="41129"/>
    <n v="2180"/>
    <n v="0"/>
    <n v="3"/>
    <m/>
    <m/>
    <m/>
    <m/>
    <s v=""/>
  </r>
  <r>
    <x v="0"/>
    <d v="2019-09-30T00:00:00"/>
    <n v="10715.63"/>
    <n v="0"/>
    <s v="USD"/>
    <s v="JRNLWA00398175"/>
    <s v="P"/>
    <s v="RevJE6-Intercompany revenue"/>
    <s v="LaurenTi"/>
    <s v="0/JE IC"/>
    <m/>
    <m/>
    <x v="1"/>
    <m/>
    <m/>
    <m/>
    <m/>
    <m/>
    <m/>
    <s v="JRNL00948489"/>
    <s v="JRNL00948489"/>
    <m/>
    <d v="2019-10-03T00:00:00"/>
    <d v="2019-10-03T00:00:00"/>
    <m/>
    <m/>
    <s v="wci_wa"/>
    <n v="0"/>
    <n v="0"/>
    <n v="0"/>
    <n v="0"/>
    <n v="0"/>
    <n v="1"/>
    <n v="41129"/>
    <n v="2180"/>
    <n v="0"/>
    <n v="3"/>
    <m/>
    <m/>
    <m/>
    <m/>
    <s v=""/>
  </r>
  <r>
    <x v="0"/>
    <d v="2019-09-30T00:00:00"/>
    <n v="28096.880000000001"/>
    <n v="0"/>
    <s v="USD"/>
    <s v="JRNLWA00398175"/>
    <s v="P"/>
    <s v="RevJE6-Intercompany revenue"/>
    <s v="LaurenTi"/>
    <s v="0/JE IC"/>
    <m/>
    <m/>
    <x v="2"/>
    <m/>
    <m/>
    <m/>
    <m/>
    <m/>
    <m/>
    <s v="JRNL00948489"/>
    <s v="JRNL00948489"/>
    <m/>
    <d v="2019-10-03T00:00:00"/>
    <d v="2019-10-03T00:00:00"/>
    <m/>
    <m/>
    <s v="wci_wa"/>
    <n v="0"/>
    <n v="0"/>
    <n v="0"/>
    <n v="0"/>
    <n v="0"/>
    <n v="1"/>
    <n v="41129"/>
    <n v="2180"/>
    <n v="0"/>
    <n v="3"/>
    <m/>
    <m/>
    <m/>
    <m/>
    <s v=""/>
  </r>
  <r>
    <x v="0"/>
    <d v="2019-10-31T00:00:00"/>
    <n v="-24243.75"/>
    <n v="0"/>
    <s v="USD"/>
    <s v="JRNLWA00399590"/>
    <s v="P"/>
    <s v="Misc01-Reclass JH Rev-Exp"/>
    <s v="HeatherWe"/>
    <s v="0/JE IC"/>
    <m/>
    <m/>
    <x v="6"/>
    <m/>
    <m/>
    <m/>
    <m/>
    <m/>
    <m/>
    <s v="JRNL00951700"/>
    <s v="JRNL00951700"/>
    <m/>
    <d v="2019-11-05T00:00:00"/>
    <d v="2019-11-05T00:00:00"/>
    <m/>
    <m/>
    <s v="wci_wa"/>
    <n v="0"/>
    <n v="0"/>
    <n v="0"/>
    <n v="0"/>
    <n v="0"/>
    <n v="1"/>
    <n v="41129"/>
    <n v="2180"/>
    <n v="0"/>
    <n v="3"/>
    <m/>
    <m/>
    <m/>
    <m/>
    <s v=""/>
  </r>
  <r>
    <x v="0"/>
    <d v="2019-10-31T00:00:00"/>
    <n v="225"/>
    <n v="0"/>
    <s v="USD"/>
    <s v="JRNLWA00399591"/>
    <s v="P"/>
    <s v="RevJE6-Intercompany revenue"/>
    <s v="HeatherWe"/>
    <s v="0/JE IC"/>
    <m/>
    <m/>
    <x v="3"/>
    <m/>
    <m/>
    <m/>
    <m/>
    <m/>
    <m/>
    <s v="JRNL00951701"/>
    <s v="JRNL00951701"/>
    <m/>
    <d v="2019-11-05T00:00:00"/>
    <d v="2019-11-05T00:00:00"/>
    <m/>
    <m/>
    <s v="wci_wa"/>
    <n v="0"/>
    <n v="0"/>
    <n v="0"/>
    <n v="0"/>
    <n v="0"/>
    <n v="1"/>
    <n v="41129"/>
    <n v="2180"/>
    <n v="0"/>
    <n v="3"/>
    <m/>
    <m/>
    <m/>
    <m/>
    <s v=""/>
  </r>
  <r>
    <x v="0"/>
    <d v="2019-10-31T00:00:00"/>
    <n v="6356.25"/>
    <n v="0"/>
    <s v="USD"/>
    <s v="JRNLWA00399591"/>
    <s v="P"/>
    <s v="RevJE6-Intercompany revenue"/>
    <s v="HeatherWe"/>
    <s v="0/JE IC"/>
    <m/>
    <m/>
    <x v="0"/>
    <m/>
    <m/>
    <m/>
    <m/>
    <m/>
    <m/>
    <s v="JRNL00951701"/>
    <s v="JRNL00951701"/>
    <m/>
    <d v="2019-11-05T00:00:00"/>
    <d v="2019-11-05T00:00:00"/>
    <m/>
    <m/>
    <s v="wci_wa"/>
    <n v="0"/>
    <n v="0"/>
    <n v="0"/>
    <n v="0"/>
    <n v="0"/>
    <n v="1"/>
    <n v="41129"/>
    <n v="2180"/>
    <n v="0"/>
    <n v="3"/>
    <m/>
    <m/>
    <m/>
    <m/>
    <s v=""/>
  </r>
  <r>
    <x v="0"/>
    <d v="2019-10-31T00:00:00"/>
    <n v="7087.5"/>
    <n v="0"/>
    <s v="USD"/>
    <s v="JRNLWA00399591"/>
    <s v="P"/>
    <s v="RevJE6-Intercompany revenue"/>
    <s v="HeatherWe"/>
    <s v="0/JE IC"/>
    <m/>
    <m/>
    <x v="1"/>
    <m/>
    <m/>
    <m/>
    <m/>
    <m/>
    <m/>
    <s v="JRNL00951701"/>
    <s v="JRNL00951701"/>
    <m/>
    <d v="2019-11-05T00:00:00"/>
    <d v="2019-11-05T00:00:00"/>
    <m/>
    <m/>
    <s v="wci_wa"/>
    <n v="0"/>
    <n v="0"/>
    <n v="0"/>
    <n v="0"/>
    <n v="0"/>
    <n v="1"/>
    <n v="41129"/>
    <n v="2180"/>
    <n v="0"/>
    <n v="3"/>
    <m/>
    <m/>
    <m/>
    <m/>
    <s v=""/>
  </r>
  <r>
    <x v="0"/>
    <d v="2019-10-31T00:00:00"/>
    <n v="12796.88"/>
    <n v="0"/>
    <s v="USD"/>
    <s v="JRNLWA00399591"/>
    <s v="P"/>
    <s v="RevJE6-Intercompany revenue"/>
    <s v="HeatherWe"/>
    <s v="0/JE IC"/>
    <m/>
    <m/>
    <x v="2"/>
    <m/>
    <m/>
    <m/>
    <m/>
    <m/>
    <m/>
    <s v="JRNL00951701"/>
    <s v="JRNL00951701"/>
    <m/>
    <d v="2019-11-05T00:00:00"/>
    <d v="2019-11-05T00:00:00"/>
    <m/>
    <m/>
    <s v="wci_wa"/>
    <n v="0"/>
    <n v="0"/>
    <n v="0"/>
    <n v="0"/>
    <n v="0"/>
    <n v="1"/>
    <n v="41129"/>
    <n v="2180"/>
    <n v="0"/>
    <n v="3"/>
    <m/>
    <m/>
    <m/>
    <m/>
    <s v=""/>
  </r>
  <r>
    <x v="0"/>
    <d v="2019-11-30T00:00:00"/>
    <n v="703.13"/>
    <n v="0"/>
    <s v="USD"/>
    <s v="JRNLWA00401059"/>
    <s v="P"/>
    <s v="RevJE6-Intercompany revenue"/>
    <s v="HeatherH"/>
    <s v="0/JE IC"/>
    <m/>
    <m/>
    <x v="3"/>
    <m/>
    <m/>
    <m/>
    <m/>
    <m/>
    <m/>
    <s v="JRNL00954869"/>
    <s v="JRNL00954869"/>
    <m/>
    <d v="2019-12-04T00:00:00"/>
    <d v="2019-12-04T00:00:00"/>
    <m/>
    <m/>
    <s v="wci_wa"/>
    <n v="0"/>
    <n v="0"/>
    <n v="0"/>
    <n v="0"/>
    <n v="0"/>
    <n v="1"/>
    <n v="41129"/>
    <n v="2180"/>
    <n v="0"/>
    <n v="3"/>
    <m/>
    <m/>
    <m/>
    <m/>
    <s v=""/>
  </r>
  <r>
    <x v="0"/>
    <d v="2019-11-30T00:00:00"/>
    <n v="5737.5"/>
    <n v="0"/>
    <s v="USD"/>
    <s v="JRNLWA00401059"/>
    <s v="P"/>
    <s v="RevJE6-Intercompany revenue"/>
    <s v="HeatherH"/>
    <s v="0/JE IC"/>
    <m/>
    <m/>
    <x v="0"/>
    <m/>
    <m/>
    <m/>
    <m/>
    <m/>
    <m/>
    <s v="JRNL00954869"/>
    <s v="JRNL00954869"/>
    <m/>
    <d v="2019-12-04T00:00:00"/>
    <d v="2019-12-04T00:00:00"/>
    <m/>
    <m/>
    <s v="wci_wa"/>
    <n v="0"/>
    <n v="0"/>
    <n v="0"/>
    <n v="0"/>
    <n v="0"/>
    <n v="1"/>
    <n v="41129"/>
    <n v="2180"/>
    <n v="0"/>
    <n v="3"/>
    <m/>
    <m/>
    <m/>
    <m/>
    <s v=""/>
  </r>
  <r>
    <x v="0"/>
    <d v="2019-11-30T00:00:00"/>
    <n v="15750"/>
    <n v="0"/>
    <s v="USD"/>
    <s v="JRNLWA00401059"/>
    <s v="P"/>
    <s v="RevJE6-Intercompany revenue"/>
    <s v="HeatherH"/>
    <s v="0/JE IC"/>
    <m/>
    <m/>
    <x v="1"/>
    <m/>
    <m/>
    <m/>
    <m/>
    <m/>
    <m/>
    <s v="JRNL00954869"/>
    <s v="JRNL00954869"/>
    <m/>
    <d v="2019-12-04T00:00:00"/>
    <d v="2019-12-04T00:00:00"/>
    <m/>
    <m/>
    <s v="wci_wa"/>
    <n v="0"/>
    <n v="0"/>
    <n v="0"/>
    <n v="0"/>
    <n v="0"/>
    <n v="1"/>
    <n v="41129"/>
    <n v="2180"/>
    <n v="0"/>
    <n v="3"/>
    <m/>
    <m/>
    <m/>
    <m/>
    <s v=""/>
  </r>
  <r>
    <x v="0"/>
    <d v="2019-11-30T00:00:00"/>
    <n v="6356.25"/>
    <n v="0"/>
    <s v="USD"/>
    <s v="JRNLWA00401059"/>
    <s v="P"/>
    <s v="RevJE6-Intercompany revenue"/>
    <s v="HeatherH"/>
    <s v="0/JE IC"/>
    <m/>
    <m/>
    <x v="2"/>
    <m/>
    <m/>
    <m/>
    <m/>
    <m/>
    <m/>
    <s v="JRNL00954869"/>
    <s v="JRNL00954869"/>
    <m/>
    <d v="2019-12-04T00:00:00"/>
    <d v="2019-12-04T00:00:00"/>
    <m/>
    <m/>
    <s v="wci_wa"/>
    <n v="0"/>
    <n v="0"/>
    <n v="0"/>
    <n v="0"/>
    <n v="0"/>
    <n v="1"/>
    <n v="41129"/>
    <n v="2180"/>
    <n v="0"/>
    <n v="3"/>
    <m/>
    <m/>
    <m/>
    <m/>
    <s v=""/>
  </r>
</pivotCacheRecords>
</file>

<file path=xl/pivotCache/pivotCacheRecords2.xml><?xml version="1.0" encoding="utf-8"?>
<pivotCacheRecords xmlns="http://schemas.openxmlformats.org/spreadsheetml/2006/main" xmlns:r="http://schemas.openxmlformats.org/officeDocument/2006/relationships" count="58">
  <r>
    <s v="70195-2180-000-00"/>
    <d v="2019-03-05T00:00:00"/>
    <n v="312"/>
    <n v="0"/>
    <s v="USD"/>
    <s v="JRNLWA00387839"/>
    <s v="P"/>
    <s v="From Voucher Posting."/>
    <s v="JudyA"/>
    <s v="0/JE IC"/>
    <s v="VUS000014809"/>
    <m/>
    <x v="0"/>
  </r>
  <r>
    <s v="70195-2180-000-00"/>
    <d v="2018-12-18T00:00:00"/>
    <n v="250"/>
    <n v="0"/>
    <s v="USD"/>
    <s v="JRNLWA00384266"/>
    <s v="P"/>
    <s v="From Voucher Posting."/>
    <s v="MariaJ"/>
    <s v="0/JE IC"/>
    <s v="VUS000014841"/>
    <m/>
    <x v="1"/>
  </r>
  <r>
    <s v="70195-2180-000-00"/>
    <d v="2019-06-30T00:00:00"/>
    <n v="120"/>
    <n v="0"/>
    <s v="USD"/>
    <s v="JRNLWA00394026"/>
    <s v="P"/>
    <s v="N Lemay Pcard Accrual"/>
    <s v="HelenaK"/>
    <s v="0/JE IC"/>
    <m/>
    <m/>
    <x v="2"/>
  </r>
  <r>
    <s v="70195-2180-000-00"/>
    <d v="2019-07-31T00:00:00"/>
    <n v="-120"/>
    <n v="0"/>
    <s v="USD"/>
    <s v="JRNLWA00394040"/>
    <s v="P"/>
    <s v="N Lemay Pcard Accrual"/>
    <s v="LaurenTi"/>
    <s v="0/JE IC"/>
    <m/>
    <m/>
    <x v="2"/>
  </r>
  <r>
    <s v="70195-2180-000-00"/>
    <d v="2019-07-31T00:00:00"/>
    <n v="120"/>
    <n v="0"/>
    <s v="USD"/>
    <s v="JRNLWA00395022"/>
    <s v="P"/>
    <s v="Western Pcard Activity - July"/>
    <s v="HelenaK"/>
    <s v="0/JE IC"/>
    <m/>
    <m/>
    <x v="2"/>
  </r>
  <r>
    <s v="70195-2180-000-00"/>
    <d v="2019-10-31T00:00:00"/>
    <n v="731"/>
    <n v="0"/>
    <s v="USD"/>
    <s v="JRNLWA00399466"/>
    <s v="P"/>
    <s v="Western Pcard Activity - Octob"/>
    <s v="HelenaK"/>
    <s v="0/JE IC"/>
    <m/>
    <m/>
    <x v="3"/>
  </r>
  <r>
    <s v="70195-2180-000-00"/>
    <d v="2018-12-31T00:00:00"/>
    <n v="52.21"/>
    <n v="0"/>
    <s v="USD"/>
    <s v="JRNLWA00384600"/>
    <s v="P"/>
    <s v="Western PCard Activity - Dec"/>
    <s v="HelenaK"/>
    <s v="0/JE IC"/>
    <m/>
    <m/>
    <x v="4"/>
  </r>
  <r>
    <s v="70195-2180-000-00"/>
    <d v="2019-01-31T00:00:00"/>
    <n v="30.23"/>
    <n v="0"/>
    <s v="USD"/>
    <s v="JRNLWA00386265"/>
    <s v="P"/>
    <s v="Western PCard Activity - Jan"/>
    <s v="AlexandraP"/>
    <s v="0/JE IC"/>
    <m/>
    <m/>
    <x v="4"/>
  </r>
  <r>
    <s v="70195-2180-000-00"/>
    <d v="2019-02-28T00:00:00"/>
    <n v="30.23"/>
    <n v="0"/>
    <s v="USD"/>
    <s v="JRNLWA00387734"/>
    <s v="P"/>
    <s v="Western PCard Activity - Feb"/>
    <s v="AlexandraP"/>
    <s v="0/JE IC"/>
    <m/>
    <m/>
    <x v="4"/>
  </r>
  <r>
    <s v="70195-2180-000-00"/>
    <d v="2019-03-31T00:00:00"/>
    <n v="5.5"/>
    <n v="0"/>
    <s v="USD"/>
    <s v="JRNLWA00389218"/>
    <s v="P"/>
    <s v="Western Pcard Activity - March"/>
    <s v="HelenaK"/>
    <s v="0/JE IC"/>
    <m/>
    <m/>
    <x v="4"/>
  </r>
  <r>
    <s v="70195-2180-000-00"/>
    <d v="2019-04-30T00:00:00"/>
    <n v="82.43"/>
    <n v="0"/>
    <s v="USD"/>
    <s v="JRNLWA00390650"/>
    <s v="P"/>
    <s v="Western Pcard Activity - April"/>
    <s v="HelenaK"/>
    <s v="0/JE IC"/>
    <m/>
    <m/>
    <x v="4"/>
  </r>
  <r>
    <s v="70195-2180-000-00"/>
    <d v="2019-05-31T00:00:00"/>
    <n v="82.42"/>
    <n v="0"/>
    <s v="USD"/>
    <s v="JRNLWA00392148"/>
    <s v="P"/>
    <s v="Western Pcard Activity - May"/>
    <s v="HeatherH"/>
    <s v="0/JE IC"/>
    <m/>
    <m/>
    <x v="4"/>
  </r>
  <r>
    <s v="70195-2180-000-00"/>
    <d v="2019-03-31T00:00:00"/>
    <n v="447.3"/>
    <n v="0"/>
    <s v="USD"/>
    <s v="JRNLWA00389684"/>
    <s v="P"/>
    <s v="WD Exp Report 3/2019"/>
    <s v="AlexandraP"/>
    <s v="0/JE IC"/>
    <m/>
    <m/>
    <x v="5"/>
  </r>
  <r>
    <s v="70195-2180-000-00"/>
    <d v="2019-08-31T00:00:00"/>
    <n v="1.99"/>
    <n v="0"/>
    <s v="USD"/>
    <s v="JRNLWA00396439"/>
    <s v="P"/>
    <s v="Western Pcard Activity - Aug"/>
    <s v="LaurenTi"/>
    <s v="0/JE IC"/>
    <m/>
    <m/>
    <x v="6"/>
  </r>
  <r>
    <s v="70195-2180-000-00"/>
    <d v="2019-02-28T00:00:00"/>
    <n v="32.97"/>
    <n v="0"/>
    <s v="USD"/>
    <s v="JRNLWA00388148"/>
    <s v="P"/>
    <s v="EXP18 - 2019-02 Pcard Accrual"/>
    <s v="AlexandraP"/>
    <s v="0/JE IC"/>
    <m/>
    <m/>
    <x v="7"/>
  </r>
  <r>
    <s v="70195-2180-000-00"/>
    <d v="2019-02-28T00:00:00"/>
    <n v="-32.97"/>
    <n v="0"/>
    <s v="USD"/>
    <s v="JRNLWA00388415"/>
    <s v="P"/>
    <s v="REVERSE EXP18 - 2019-02 Pcard"/>
    <s v="AlexandraP"/>
    <s v="0/JE IC"/>
    <m/>
    <m/>
    <x v="7"/>
  </r>
  <r>
    <s v="70195-2180-000-00"/>
    <d v="2019-02-28T00:00:00"/>
    <n v="32.97"/>
    <n v="0"/>
    <s v="USD"/>
    <s v="JRNLWA00388416"/>
    <s v="P"/>
    <s v="Corrected N Lemay Pcard Accrua"/>
    <s v="AlexandraP"/>
    <s v="0/JE IC"/>
    <m/>
    <m/>
    <x v="7"/>
  </r>
  <r>
    <s v="70195-2180-000-00"/>
    <d v="2019-03-31T00:00:00"/>
    <n v="-32.97"/>
    <n v="0"/>
    <s v="USD"/>
    <s v="JRNLWA00388159"/>
    <s v="P"/>
    <s v="EXP18 - 2019-02 Pcard Accrual"/>
    <s v="AlexandraP"/>
    <s v="0/JE IC"/>
    <m/>
    <m/>
    <x v="7"/>
  </r>
  <r>
    <s v="70195-2180-000-00"/>
    <d v="2019-03-31T00:00:00"/>
    <n v="32.97"/>
    <n v="0"/>
    <s v="USD"/>
    <s v="JRNLWA00388552"/>
    <s v="P"/>
    <s v="REVERSE EXP18 - 2019-02 Pcard"/>
    <s v="AlexandraP"/>
    <s v="0/JE IC"/>
    <m/>
    <m/>
    <x v="7"/>
  </r>
  <r>
    <s v="70195-2180-000-00"/>
    <d v="2019-03-31T00:00:00"/>
    <n v="-32.97"/>
    <n v="0"/>
    <s v="USD"/>
    <s v="JRNLWA00388553"/>
    <s v="P"/>
    <s v="Corrected N Lemay Pcard Accrua"/>
    <s v="AlexandraP"/>
    <s v="0/JE IC"/>
    <m/>
    <m/>
    <x v="7"/>
  </r>
  <r>
    <s v="70195-2180-000-00"/>
    <d v="2019-03-31T00:00:00"/>
    <n v="32.97"/>
    <n v="0"/>
    <s v="USD"/>
    <s v="JRNLWA00389218"/>
    <s v="P"/>
    <s v="Western Pcard Activity - March"/>
    <s v="HelenaK"/>
    <s v="0/JE IC"/>
    <m/>
    <m/>
    <x v="7"/>
  </r>
  <r>
    <s v="70195-2180-000-00"/>
    <d v="2019-01-31T00:00:00"/>
    <n v="560"/>
    <n v="0"/>
    <s v="USD"/>
    <s v="JRNLWA00387005"/>
    <s v="P"/>
    <s v="2019-01 TacH PO Log Accr"/>
    <s v="AlexandraP"/>
    <s v="0/JE IC"/>
    <m/>
    <m/>
    <x v="8"/>
  </r>
  <r>
    <s v="70195-2180-000-00"/>
    <d v="2019-02-28T00:00:00"/>
    <n v="-560"/>
    <n v="0"/>
    <s v="USD"/>
    <s v="JRNLWA00387098"/>
    <s v="P"/>
    <s v="2019-01 TacH PO Log Accr"/>
    <s v="AlexandraP"/>
    <s v="0/JE IC"/>
    <m/>
    <m/>
    <x v="8"/>
  </r>
  <r>
    <s v="70195-2180-000-00"/>
    <d v="2019-02-28T00:00:00"/>
    <n v="312"/>
    <n v="0"/>
    <s v="USD"/>
    <s v="JRNLWA00388437"/>
    <s v="P"/>
    <s v="2019-02 TacH PO Log Accr"/>
    <s v="AlexandraP"/>
    <s v="0/JE IC"/>
    <m/>
    <m/>
    <x v="9"/>
  </r>
  <r>
    <s v="70195-2180-000-00"/>
    <d v="2019-03-31T00:00:00"/>
    <n v="-312"/>
    <n v="0"/>
    <s v="USD"/>
    <s v="JRNLWA00388559"/>
    <s v="P"/>
    <s v="2019-02 TacH PO Log Accr"/>
    <s v="AlexandraP"/>
    <s v="0/JE IC"/>
    <m/>
    <m/>
    <x v="9"/>
  </r>
  <r>
    <s v="70195-2180-000-00"/>
    <d v="2018-12-31T00:00:00"/>
    <n v="-560"/>
    <n v="0"/>
    <s v="USD"/>
    <s v="JRNLWA00383972"/>
    <s v="P"/>
    <s v="2018-11 TacH PO Log Accr"/>
    <s v="AlexandraP"/>
    <s v="0/JE IC"/>
    <m/>
    <m/>
    <x v="10"/>
  </r>
  <r>
    <s v="70195-2180-000-00"/>
    <d v="2018-12-31T00:00:00"/>
    <n v="560.38"/>
    <n v="0"/>
    <s v="USD"/>
    <s v="JRNLWA00385356"/>
    <s v="P"/>
    <s v="2018-12 TacH PO Log Accr"/>
    <s v="AlexandraP"/>
    <s v="0/JE IC"/>
    <m/>
    <m/>
    <x v="10"/>
  </r>
  <r>
    <s v="70195-2180-000-00"/>
    <d v="2019-01-31T00:00:00"/>
    <n v="-560.38"/>
    <n v="0"/>
    <s v="USD"/>
    <s v="JRNLWA00385412"/>
    <s v="P"/>
    <s v="2018-12 TacH PO Log Accr"/>
    <s v="AlexandraP"/>
    <s v="0/JE IC"/>
    <m/>
    <m/>
    <x v="10"/>
  </r>
  <r>
    <s v="70195-2180-000-00"/>
    <d v="2019-09-30T00:00:00"/>
    <n v="341.67"/>
    <n v="0"/>
    <s v="USD"/>
    <s v="JRNLWA00398438"/>
    <s v="P"/>
    <s v="Exp15-Prepaid Amortization"/>
    <s v="HelenaK"/>
    <s v="0/JE IC"/>
    <m/>
    <m/>
    <x v="11"/>
  </r>
  <r>
    <s v="70195-2180-000-00"/>
    <d v="2019-10-31T00:00:00"/>
    <n v="341.67"/>
    <n v="0"/>
    <s v="USD"/>
    <s v="JRNLWA00400010"/>
    <s v="P"/>
    <s v="Exp15-Prepaid Amortization"/>
    <s v="HelenaK"/>
    <s v="0/JE IC"/>
    <m/>
    <m/>
    <x v="11"/>
  </r>
  <r>
    <s v="70195-2180-000-00"/>
    <d v="2019-11-30T00:00:00"/>
    <n v="341.66"/>
    <n v="0"/>
    <s v="USD"/>
    <s v="JRNLWA00401500"/>
    <s v="P"/>
    <s v="Exp15-Prepaid Amortization"/>
    <s v="LaurenTi"/>
    <s v="0/JE IC"/>
    <m/>
    <m/>
    <x v="11"/>
  </r>
  <r>
    <s v="70195-2180-000-00"/>
    <d v="2018-12-18T00:00:00"/>
    <n v="45"/>
    <n v="0"/>
    <s v="USD"/>
    <s v="JRNLWA00384266"/>
    <s v="P"/>
    <s v="From Voucher Posting."/>
    <s v="MariaJ"/>
    <s v="0/JE IC"/>
    <s v="VUS000015228"/>
    <m/>
    <x v="12"/>
  </r>
  <r>
    <s v="70195-2180-000-00"/>
    <d v="2019-09-30T00:00:00"/>
    <n v="1250"/>
    <n v="0"/>
    <s v="USD"/>
    <s v="JRNLWA00398438"/>
    <s v="P"/>
    <s v="Exp15-Prepaid Amortization"/>
    <s v="HelenaK"/>
    <s v="0/JE IC"/>
    <m/>
    <m/>
    <x v="13"/>
  </r>
  <r>
    <s v="70195-2180-000-00"/>
    <d v="2019-02-28T00:00:00"/>
    <n v="250"/>
    <n v="0"/>
    <s v="USD"/>
    <s v="JRNLWA00387734"/>
    <s v="P"/>
    <s v="Western PCard Activity - Feb"/>
    <s v="AlexandraP"/>
    <s v="0/JE IC"/>
    <m/>
    <m/>
    <x v="14"/>
  </r>
  <r>
    <s v="70195-2180-000-00"/>
    <d v="2018-12-18T00:00:00"/>
    <n v="560.38"/>
    <n v="0"/>
    <s v="USD"/>
    <s v="JRNLWA00384271"/>
    <s v="P"/>
    <s v="From Voucher Posting."/>
    <s v="JeffS"/>
    <s v="0/JE IC"/>
    <s v="VUS000014975"/>
    <m/>
    <x v="15"/>
  </r>
  <r>
    <s v="70195-2180-000-00"/>
    <d v="2019-01-11T00:00:00"/>
    <n v="560.38"/>
    <n v="0"/>
    <s v="USD"/>
    <s v="JRNLWA00385804"/>
    <s v="P"/>
    <s v="From Voucher Posting."/>
    <s v="MariaJ"/>
    <s v="0/JE IC"/>
    <s v="VUS000014975"/>
    <m/>
    <x v="15"/>
  </r>
  <r>
    <s v="70195-2180-000-00"/>
    <d v="2019-02-28T00:00:00"/>
    <n v="1550"/>
    <n v="0"/>
    <s v="USD"/>
    <s v="JRNLWA00387734"/>
    <s v="P"/>
    <s v="Western PCard Activity - Feb"/>
    <s v="AlexandraP"/>
    <s v="0/JE IC"/>
    <m/>
    <m/>
    <x v="16"/>
  </r>
  <r>
    <s v="70195-2180-000-00"/>
    <d v="2019-04-30T00:00:00"/>
    <n v="239.56"/>
    <n v="0"/>
    <s v="USD"/>
    <s v="JRNLWA00390650"/>
    <s v="P"/>
    <s v="Western Pcard Activity - April"/>
    <s v="HelenaK"/>
    <s v="0/JE IC"/>
    <m/>
    <m/>
    <x v="17"/>
  </r>
  <r>
    <s v="70195-2180-000-00"/>
    <d v="2019-05-31T00:00:00"/>
    <n v="239.56"/>
    <n v="0"/>
    <s v="USD"/>
    <s v="JRNLWA00392148"/>
    <s v="P"/>
    <s v="Western Pcard Activity - May"/>
    <s v="HeatherH"/>
    <s v="0/JE IC"/>
    <m/>
    <m/>
    <x v="17"/>
  </r>
  <r>
    <s v="70195-2180-000-00"/>
    <d v="2019-06-30T00:00:00"/>
    <n v="239.56"/>
    <n v="0"/>
    <s v="USD"/>
    <s v="JRNLWA00393495"/>
    <s v="P"/>
    <s v="Western Pcard Activity - Jun"/>
    <s v="HeatherWe"/>
    <s v="0/JE IC"/>
    <m/>
    <m/>
    <x v="17"/>
  </r>
  <r>
    <s v="70195-2180-000-00"/>
    <d v="2019-07-31T00:00:00"/>
    <n v="239.57"/>
    <n v="0"/>
    <s v="USD"/>
    <s v="JRNLWA00395022"/>
    <s v="P"/>
    <s v="Western Pcard Activity - July"/>
    <s v="HelenaK"/>
    <s v="0/JE IC"/>
    <m/>
    <m/>
    <x v="17"/>
  </r>
  <r>
    <s v="70195-2180-000-00"/>
    <d v="2019-08-31T00:00:00"/>
    <n v="239.56"/>
    <n v="0"/>
    <s v="USD"/>
    <s v="JRNLWA00396439"/>
    <s v="P"/>
    <s v="Western Pcard Activity - Aug"/>
    <s v="LaurenTi"/>
    <s v="0/JE IC"/>
    <m/>
    <m/>
    <x v="17"/>
  </r>
  <r>
    <s v="70195-2180-000-00"/>
    <d v="2019-09-30T00:00:00"/>
    <n v="239.56"/>
    <n v="0"/>
    <s v="USD"/>
    <s v="JRNLWA00397851"/>
    <s v="P"/>
    <s v="Western Pcard Activity - Septe"/>
    <s v="HelenaK"/>
    <s v="0/JE IC"/>
    <m/>
    <m/>
    <x v="17"/>
  </r>
  <r>
    <s v="70195-2180-000-00"/>
    <d v="2019-10-31T00:00:00"/>
    <n v="239.56"/>
    <n v="0"/>
    <s v="USD"/>
    <s v="JRNLWA00399466"/>
    <s v="P"/>
    <s v="Western Pcard Activity - Octob"/>
    <s v="HelenaK"/>
    <s v="0/JE IC"/>
    <m/>
    <m/>
    <x v="17"/>
  </r>
  <r>
    <s v="70195-2180-000-00"/>
    <d v="2019-11-30T00:00:00"/>
    <n v="239.56"/>
    <n v="0"/>
    <s v="USD"/>
    <s v="JRNLWA00400846"/>
    <s v="P"/>
    <s v="Western Pcard Activity - Novem"/>
    <s v="HeatherWe"/>
    <s v="0/JE IC"/>
    <m/>
    <m/>
    <x v="17"/>
  </r>
  <r>
    <s v="70195-2180-000-00"/>
    <d v="2018-12-12T00:00:00"/>
    <n v="1593.52"/>
    <n v="0"/>
    <s v="USD"/>
    <s v="JRNLWA00384203"/>
    <s v="P"/>
    <s v="From Voucher Posting."/>
    <s v="MariaJ"/>
    <s v="0/JE IC"/>
    <s v="VUS000014985"/>
    <m/>
    <x v="18"/>
  </r>
  <r>
    <s v="70195-2180-000-00"/>
    <d v="2019-01-17T00:00:00"/>
    <n v="1547.31"/>
    <n v="0"/>
    <s v="USD"/>
    <s v="JRNLWA00385855"/>
    <s v="P"/>
    <s v="From Voucher Posting."/>
    <s v="JudyA"/>
    <s v="0/JE IC"/>
    <s v="VUS000014985"/>
    <m/>
    <x v="18"/>
  </r>
  <r>
    <s v="70195-2180-000-00"/>
    <d v="2019-02-18T00:00:00"/>
    <n v="1547.31"/>
    <n v="0"/>
    <s v="USD"/>
    <s v="JRNLWA00387401"/>
    <s v="P"/>
    <s v="From Voucher Posting."/>
    <s v="JudyA"/>
    <s v="0/JE IC"/>
    <s v="VUS000014985"/>
    <m/>
    <x v="18"/>
  </r>
  <r>
    <s v="70195-2180-000-00"/>
    <d v="2019-03-26T00:00:00"/>
    <n v="1547.31"/>
    <n v="0"/>
    <s v="USD"/>
    <s v="JRNLWA00388964"/>
    <s v="P"/>
    <s v="From Voucher Posting."/>
    <s v="JudyA"/>
    <s v="0/JE IC"/>
    <s v="VUS000014985"/>
    <m/>
    <x v="18"/>
  </r>
  <r>
    <s v="70195-2180-000-00"/>
    <d v="2019-04-10T00:00:00"/>
    <n v="1547.31"/>
    <n v="0"/>
    <s v="USD"/>
    <s v="JRNLWA00390306"/>
    <s v="P"/>
    <s v="From Voucher Posting."/>
    <s v="JudyA"/>
    <s v="0/JE IC"/>
    <s v="VUS000014985"/>
    <m/>
    <x v="18"/>
  </r>
  <r>
    <s v="70195-2180-000-00"/>
    <d v="2019-05-21T00:00:00"/>
    <n v="1547.31"/>
    <n v="0"/>
    <s v="USD"/>
    <s v="JRNLWA00391849"/>
    <s v="P"/>
    <s v="From Voucher Posting."/>
    <s v="JudyA"/>
    <s v="0/JE IC"/>
    <s v="VUS000014985"/>
    <m/>
    <x v="18"/>
  </r>
  <r>
    <s v="70195-2180-000-00"/>
    <d v="2019-06-11T00:00:00"/>
    <n v="1547.31"/>
    <n v="0"/>
    <s v="USD"/>
    <s v="JRNLWA00393136"/>
    <s v="P"/>
    <s v="From Voucher Posting."/>
    <s v="JudyA"/>
    <s v="0/JE IC"/>
    <s v="VUS000014985"/>
    <m/>
    <x v="18"/>
  </r>
  <r>
    <s v="70195-2180-000-00"/>
    <d v="2019-07-22T00:00:00"/>
    <n v="1547.31"/>
    <n v="0"/>
    <s v="USD"/>
    <s v="JRNLWA00394712"/>
    <s v="P"/>
    <s v="From Voucher Posting."/>
    <s v="JudyA"/>
    <s v="0/JE IC"/>
    <s v="VUS000014985"/>
    <m/>
    <x v="18"/>
  </r>
  <r>
    <s v="70195-2180-000-00"/>
    <d v="2019-08-13T00:00:00"/>
    <n v="1547.31"/>
    <n v="0"/>
    <s v="USD"/>
    <s v="JRNLWA00396036"/>
    <s v="P"/>
    <s v="From Voucher Posting."/>
    <s v="JudyA"/>
    <s v="0/JE IC"/>
    <s v="VUS000014985"/>
    <m/>
    <x v="18"/>
  </r>
  <r>
    <s v="70195-2180-000-00"/>
    <d v="2019-09-17T00:00:00"/>
    <n v="300"/>
    <n v="0"/>
    <s v="USD"/>
    <s v="JRNLWA00397515"/>
    <s v="P"/>
    <s v="From Voucher Posting."/>
    <s v="JudyA"/>
    <s v="0/JE IC"/>
    <s v="VUS000014985"/>
    <m/>
    <x v="18"/>
  </r>
  <r>
    <s v="70195-2180-000-00"/>
    <d v="2019-09-26T00:00:00"/>
    <n v="1547.31"/>
    <n v="0"/>
    <s v="USD"/>
    <s v="JRNLWA00397600"/>
    <s v="P"/>
    <s v="From Voucher Posting."/>
    <s v="JudyA"/>
    <s v="0/JE IC"/>
    <s v="VUS000014985"/>
    <m/>
    <x v="18"/>
  </r>
  <r>
    <s v="70195-2180-000-00"/>
    <d v="2019-10-18T00:00:00"/>
    <n v="1547.31"/>
    <n v="0"/>
    <s v="USD"/>
    <s v="JRNLWA00399043"/>
    <s v="P"/>
    <s v="From Voucher Posting."/>
    <s v="JudyA"/>
    <s v="0/JE IC"/>
    <s v="VUS000014985"/>
    <m/>
    <x v="18"/>
  </r>
  <r>
    <s v="70195-2180-000-00"/>
    <d v="2019-11-08T00:00:00"/>
    <n v="1547.31"/>
    <n v="0"/>
    <s v="USD"/>
    <s v="JRNLWA00400371"/>
    <s v="P"/>
    <s v="From Voucher Posting."/>
    <s v="asnell"/>
    <s v="0/JE IC"/>
    <s v="VUS000014985"/>
    <m/>
    <x v="18"/>
  </r>
</pivotCacheRecords>
</file>

<file path=xl/pivotCache/pivotCacheRecords3.xml><?xml version="1.0" encoding="utf-8"?>
<pivotCacheRecords xmlns="http://schemas.openxmlformats.org/spreadsheetml/2006/main" xmlns:r="http://schemas.openxmlformats.org/officeDocument/2006/relationships" count="320">
  <r>
    <s v="70095-2180-000-00"/>
    <d v="2018-12-31T00:00:00"/>
    <n v="-329.64"/>
    <n v="0"/>
    <s v="USD"/>
    <s v="JRNLWA00383973"/>
    <s v="P"/>
    <s v="2018-11 Pcard Accrual"/>
    <s v="AlexandraP"/>
    <s v="0/JE IC"/>
    <m/>
    <m/>
    <x v="0"/>
  </r>
  <r>
    <s v="70095-2180-000-00"/>
    <d v="2018-12-31T00:00:00"/>
    <n v="-39"/>
    <n v="0"/>
    <s v="USD"/>
    <s v="JRNLWA00383973"/>
    <s v="P"/>
    <s v="2018-11 Pcard Accrual"/>
    <s v="AlexandraP"/>
    <s v="0/JE IC"/>
    <m/>
    <m/>
    <x v="1"/>
  </r>
  <r>
    <s v="70095-2180-000-00"/>
    <d v="2018-12-31T00:00:00"/>
    <n v="-219.78"/>
    <n v="0"/>
    <s v="USD"/>
    <s v="JRNLWA00383973"/>
    <s v="P"/>
    <s v="2018-11 Pcard Accrual"/>
    <s v="AlexandraP"/>
    <s v="0/JE IC"/>
    <m/>
    <m/>
    <x v="2"/>
  </r>
  <r>
    <s v="70095-2180-000-00"/>
    <d v="2018-12-31T00:00:00"/>
    <n v="-219.78"/>
    <n v="0"/>
    <s v="USD"/>
    <s v="JRNLWA00383973"/>
    <s v="P"/>
    <s v="2018-11 Pcard Accrual"/>
    <s v="AlexandraP"/>
    <s v="0/JE IC"/>
    <m/>
    <m/>
    <x v="3"/>
  </r>
  <r>
    <s v="70095-2180-000-00"/>
    <d v="2018-12-31T00:00:00"/>
    <n v="-275.83999999999997"/>
    <n v="0"/>
    <s v="USD"/>
    <s v="JRNLWA00384039"/>
    <s v="P"/>
    <s v="2190/2191 P-Card Accrual"/>
    <s v="AlexandraP"/>
    <s v="0/JE IC"/>
    <m/>
    <m/>
    <x v="4"/>
  </r>
  <r>
    <s v="70095-2180-000-00"/>
    <d v="2018-12-31T00:00:00"/>
    <n v="329.64"/>
    <n v="0"/>
    <s v="USD"/>
    <s v="JRNLWA00384600"/>
    <s v="P"/>
    <s v="Western PCard Activity - Dec"/>
    <s v="HelenaK"/>
    <s v="0/JE IC"/>
    <m/>
    <m/>
    <x v="0"/>
  </r>
  <r>
    <s v="70095-2180-000-00"/>
    <d v="2018-12-31T00:00:00"/>
    <n v="39"/>
    <n v="0"/>
    <s v="USD"/>
    <s v="JRNLWA00384600"/>
    <s v="P"/>
    <s v="Western PCard Activity - Dec"/>
    <s v="HelenaK"/>
    <s v="0/JE IC"/>
    <m/>
    <m/>
    <x v="1"/>
  </r>
  <r>
    <s v="70095-2180-000-00"/>
    <d v="2018-12-31T00:00:00"/>
    <n v="2575.7600000000002"/>
    <n v="0"/>
    <s v="USD"/>
    <s v="JRNLWA00384600"/>
    <s v="P"/>
    <s v="Western PCard Activity - Dec"/>
    <s v="HelenaK"/>
    <s v="0/JE IC"/>
    <m/>
    <m/>
    <x v="5"/>
  </r>
  <r>
    <s v="70095-2180-000-00"/>
    <d v="2018-12-31T00:00:00"/>
    <n v="219.78"/>
    <n v="0"/>
    <s v="USD"/>
    <s v="JRNLWA00384600"/>
    <s v="P"/>
    <s v="Western PCard Activity - Dec"/>
    <s v="HelenaK"/>
    <s v="0/JE IC"/>
    <m/>
    <m/>
    <x v="2"/>
  </r>
  <r>
    <s v="70095-2180-000-00"/>
    <d v="2018-12-31T00:00:00"/>
    <n v="219.78"/>
    <n v="0"/>
    <s v="USD"/>
    <s v="JRNLWA00384600"/>
    <s v="P"/>
    <s v="Western PCard Activity - Dec"/>
    <s v="HelenaK"/>
    <s v="0/JE IC"/>
    <m/>
    <m/>
    <x v="3"/>
  </r>
  <r>
    <s v="70095-2180-000-00"/>
    <d v="2018-12-31T00:00:00"/>
    <n v="107.5"/>
    <n v="0"/>
    <s v="USD"/>
    <s v="JRNLWA00384600"/>
    <s v="P"/>
    <s v="Western PCard Activity - Dec"/>
    <s v="HelenaK"/>
    <s v="0/JE IC"/>
    <m/>
    <m/>
    <x v="6"/>
  </r>
  <r>
    <s v="70095-2180-000-00"/>
    <d v="2018-12-31T00:00:00"/>
    <n v="81.98"/>
    <n v="0"/>
    <s v="USD"/>
    <s v="JRNLWA00384600"/>
    <s v="P"/>
    <s v="Western PCard Activity - Dec"/>
    <s v="HelenaK"/>
    <s v="0/JE IC"/>
    <m/>
    <m/>
    <x v="7"/>
  </r>
  <r>
    <s v="70095-2180-000-00"/>
    <d v="2018-12-31T00:00:00"/>
    <n v="98.89"/>
    <n v="0"/>
    <s v="USD"/>
    <s v="JRNLWA00384600"/>
    <s v="P"/>
    <s v="Western PCard Activity - Dec"/>
    <s v="HelenaK"/>
    <s v="0/JE IC"/>
    <m/>
    <m/>
    <x v="8"/>
  </r>
  <r>
    <s v="70095-2180-000-00"/>
    <d v="2018-12-31T00:00:00"/>
    <n v="648.55999999999995"/>
    <n v="0"/>
    <s v="USD"/>
    <s v="JRNLWA00384600"/>
    <s v="P"/>
    <s v="Western PCard Activity - Dec"/>
    <s v="HelenaK"/>
    <s v="0/JE IC"/>
    <m/>
    <m/>
    <x v="9"/>
  </r>
  <r>
    <s v="70095-2180-000-00"/>
    <d v="2018-12-31T00:00:00"/>
    <n v="879.89"/>
    <n v="0"/>
    <s v="USD"/>
    <s v="JRNLWA00384600"/>
    <s v="P"/>
    <s v="Western PCard Activity - Dec"/>
    <s v="HelenaK"/>
    <s v="0/JE IC"/>
    <m/>
    <m/>
    <x v="10"/>
  </r>
  <r>
    <s v="70095-2180-000-00"/>
    <d v="2018-12-31T00:00:00"/>
    <n v="-49.45"/>
    <n v="0"/>
    <s v="USD"/>
    <s v="JRNLWA00384600"/>
    <s v="P"/>
    <s v="Western PCard Activity - Dec"/>
    <s v="HelenaK"/>
    <s v="0/JE IC"/>
    <m/>
    <m/>
    <x v="8"/>
  </r>
  <r>
    <s v="70095-2180-000-00"/>
    <d v="2018-12-31T00:00:00"/>
    <n v="675"/>
    <n v="0"/>
    <s v="USD"/>
    <s v="JRNLWA00384600"/>
    <s v="P"/>
    <s v="Western PCard Activity - Dec"/>
    <s v="HelenaK"/>
    <s v="0/JE IC"/>
    <m/>
    <m/>
    <x v="11"/>
  </r>
  <r>
    <s v="70095-2180-000-00"/>
    <d v="2018-12-31T00:00:00"/>
    <n v="765.45"/>
    <n v="0"/>
    <s v="USD"/>
    <s v="JRNLWA00384600"/>
    <s v="P"/>
    <s v="Western PCard Activity - Dec"/>
    <s v="HelenaK"/>
    <s v="0/JE IC"/>
    <m/>
    <m/>
    <x v="12"/>
  </r>
  <r>
    <s v="70095-2180-000-00"/>
    <d v="2018-12-31T00:00:00"/>
    <n v="76.930000000000007"/>
    <n v="0"/>
    <s v="USD"/>
    <s v="JRNLWA00384600"/>
    <s v="P"/>
    <s v="Western PCard Activity - Dec"/>
    <s v="HelenaK"/>
    <s v="0/JE IC"/>
    <m/>
    <m/>
    <x v="13"/>
  </r>
  <r>
    <s v="70095-2180-000-00"/>
    <d v="2018-12-31T00:00:00"/>
    <n v="51.96"/>
    <n v="0"/>
    <s v="USD"/>
    <s v="JRNLWA00384600"/>
    <s v="P"/>
    <s v="Western PCard Activity - Dec"/>
    <s v="HelenaK"/>
    <s v="0/JE IC"/>
    <m/>
    <m/>
    <x v="12"/>
  </r>
  <r>
    <s v="70095-2180-000-00"/>
    <d v="2018-12-31T00:00:00"/>
    <n v="13.19"/>
    <n v="0"/>
    <s v="USD"/>
    <s v="JRNLWA00384600"/>
    <s v="P"/>
    <s v="Western PCard Activity - Dec"/>
    <s v="HelenaK"/>
    <s v="0/JE IC"/>
    <m/>
    <m/>
    <x v="14"/>
  </r>
  <r>
    <s v="70095-2180-000-00"/>
    <d v="2018-12-31T00:00:00"/>
    <n v="275.83999999999997"/>
    <n v="0"/>
    <s v="USD"/>
    <s v="JRNLWA00384600"/>
    <s v="P"/>
    <s v="Western PCard Activity - Dec"/>
    <s v="HelenaK"/>
    <s v="0/JE IC"/>
    <m/>
    <m/>
    <x v="4"/>
  </r>
  <r>
    <s v="70095-2180-000-00"/>
    <d v="2018-12-31T00:00:00"/>
    <n v="26.42"/>
    <n v="0"/>
    <s v="USD"/>
    <s v="JRNLWA00384986"/>
    <s v="P"/>
    <s v="WD Exp Report 12/2018"/>
    <s v="AlexandraP"/>
    <s v="0/JE IC"/>
    <m/>
    <m/>
    <x v="15"/>
  </r>
  <r>
    <s v="70095-2180-000-00"/>
    <d v="2018-12-31T00:00:00"/>
    <n v="9.99"/>
    <n v="0"/>
    <s v="USD"/>
    <s v="JRNLWA00384986"/>
    <s v="P"/>
    <s v="WD Exp Report 12/2018"/>
    <s v="AlexandraP"/>
    <s v="0/JE IC"/>
    <m/>
    <m/>
    <x v="15"/>
  </r>
  <r>
    <s v="70095-2180-000-00"/>
    <d v="2018-12-31T00:00:00"/>
    <n v="107.42"/>
    <n v="0"/>
    <s v="USD"/>
    <s v="JRNLWA00384986"/>
    <s v="P"/>
    <s v="WD Exp Report 12/2018"/>
    <s v="AlexandraP"/>
    <s v="0/JE IC"/>
    <m/>
    <m/>
    <x v="16"/>
  </r>
  <r>
    <s v="70095-2180-000-00"/>
    <d v="2018-12-31T00:00:00"/>
    <n v="234.41"/>
    <n v="0"/>
    <s v="USD"/>
    <s v="JRNLWA00385328"/>
    <s v="P"/>
    <s v="Misc11 Bike Build Overages"/>
    <s v="AlexandraP"/>
    <s v="0/JE IC"/>
    <m/>
    <m/>
    <x v="17"/>
  </r>
  <r>
    <s v="70095-2180-000-00"/>
    <d v="2018-12-31T00:00:00"/>
    <n v="2081.94"/>
    <n v="0"/>
    <s v="USD"/>
    <s v="JRNLWA00385362"/>
    <s v="P"/>
    <s v="2018-12 EE Apprec. Party"/>
    <s v="AlexandraP"/>
    <s v="0/JE IC"/>
    <m/>
    <m/>
    <x v="18"/>
  </r>
  <r>
    <s v="70095-2180-000-00"/>
    <d v="2018-12-31T00:00:00"/>
    <n v="648.55999999999995"/>
    <n v="0"/>
    <s v="USD"/>
    <s v="JRNLWA00385447"/>
    <s v="P"/>
    <s v="2018-12 NLeMay PO Log Accrual"/>
    <s v="HeatherWe"/>
    <s v="0/JE IC"/>
    <m/>
    <m/>
    <x v="19"/>
  </r>
  <r>
    <s v="70095-2180-000-00"/>
    <d v="2019-01-31T00:00:00"/>
    <n v="-648.55999999999995"/>
    <n v="0"/>
    <s v="USD"/>
    <s v="JRNLWA00385489"/>
    <s v="P"/>
    <s v="2018-12 NLeMay PO Log Accrual"/>
    <s v="HeatherWe"/>
    <s v="0/JE IC"/>
    <m/>
    <m/>
    <x v="19"/>
  </r>
  <r>
    <s v="70095-2180-000-00"/>
    <d v="2019-01-31T00:00:00"/>
    <n v="91.2"/>
    <n v="0"/>
    <s v="USD"/>
    <s v="JRNLWA00386265"/>
    <s v="P"/>
    <s v="Western PCard Activity - Jan"/>
    <s v="AlexandraP"/>
    <s v="0/JE IC"/>
    <m/>
    <m/>
    <x v="6"/>
  </r>
  <r>
    <s v="70095-2180-000-00"/>
    <d v="2019-01-31T00:00:00"/>
    <n v="336.38"/>
    <n v="0"/>
    <s v="USD"/>
    <s v="JRNLWA00386265"/>
    <s v="P"/>
    <s v="Western PCard Activity - Jan"/>
    <s v="AlexandraP"/>
    <s v="0/JE IC"/>
    <m/>
    <m/>
    <x v="20"/>
  </r>
  <r>
    <s v="70095-2180-000-00"/>
    <d v="2019-01-31T00:00:00"/>
    <n v="85.97"/>
    <n v="0"/>
    <s v="USD"/>
    <s v="JRNLWA00386265"/>
    <s v="P"/>
    <s v="Western PCard Activity - Jan"/>
    <s v="AlexandraP"/>
    <s v="0/JE IC"/>
    <m/>
    <m/>
    <x v="21"/>
  </r>
  <r>
    <s v="70095-2180-000-00"/>
    <d v="2019-01-31T00:00:00"/>
    <n v="232.59"/>
    <n v="0"/>
    <s v="USD"/>
    <s v="JRNLWA00386265"/>
    <s v="P"/>
    <s v="Western PCard Activity - Jan"/>
    <s v="AlexandraP"/>
    <s v="0/JE IC"/>
    <m/>
    <m/>
    <x v="22"/>
  </r>
  <r>
    <s v="70095-2180-000-00"/>
    <d v="2019-01-31T00:00:00"/>
    <n v="169.29"/>
    <n v="0"/>
    <s v="USD"/>
    <s v="JRNLWA00386265"/>
    <s v="P"/>
    <s v="Western PCard Activity - Jan"/>
    <s v="AlexandraP"/>
    <s v="0/JE IC"/>
    <m/>
    <m/>
    <x v="23"/>
  </r>
  <r>
    <s v="70095-2180-000-00"/>
    <d v="2019-01-31T00:00:00"/>
    <n v="5.05"/>
    <n v="0"/>
    <s v="USD"/>
    <s v="JRNLWA00386690"/>
    <s v="P"/>
    <s v="WD Exp Report 1/2019"/>
    <s v="AlexandraP"/>
    <s v="0/JE IC"/>
    <m/>
    <m/>
    <x v="24"/>
  </r>
  <r>
    <s v="70095-2180-000-00"/>
    <d v="2019-01-31T00:00:00"/>
    <n v="21.37"/>
    <n v="0"/>
    <s v="USD"/>
    <s v="JRNLWA00386690"/>
    <s v="P"/>
    <s v="WD Exp Report 1/2019"/>
    <s v="AlexandraP"/>
    <s v="0/JE IC"/>
    <m/>
    <m/>
    <x v="24"/>
  </r>
  <r>
    <s v="70095-2180-000-00"/>
    <d v="2019-01-31T00:00:00"/>
    <n v="28.91"/>
    <n v="0"/>
    <s v="USD"/>
    <s v="JRNLWA00386949"/>
    <s v="P"/>
    <s v="Misc03-Coding corrections"/>
    <s v="AlexandraP"/>
    <s v="0/JE IC"/>
    <m/>
    <m/>
    <x v="25"/>
  </r>
  <r>
    <s v="70095-2180-000-00"/>
    <d v="2019-01-31T00:00:00"/>
    <n v="4.1100000000000003"/>
    <n v="0"/>
    <s v="USD"/>
    <s v="JRNLWA00386949"/>
    <s v="P"/>
    <s v="Misc03-Coding corrections"/>
    <s v="AlexandraP"/>
    <s v="0/JE IC"/>
    <m/>
    <m/>
    <x v="26"/>
  </r>
  <r>
    <s v="70095-2180-000-00"/>
    <d v="2019-02-28T00:00:00"/>
    <n v="190.05"/>
    <n v="0"/>
    <s v="USD"/>
    <s v="JRNLWA00387734"/>
    <s v="P"/>
    <s v="Western PCard Activity - Feb"/>
    <s v="AlexandraP"/>
    <s v="0/JE IC"/>
    <m/>
    <m/>
    <x v="6"/>
  </r>
  <r>
    <s v="70095-2180-000-00"/>
    <d v="2019-02-28T00:00:00"/>
    <n v="85.41"/>
    <n v="0"/>
    <s v="USD"/>
    <s v="JRNLWA00387734"/>
    <s v="P"/>
    <s v="Western PCard Activity - Feb"/>
    <s v="AlexandraP"/>
    <s v="0/JE IC"/>
    <m/>
    <m/>
    <x v="6"/>
  </r>
  <r>
    <s v="70095-2180-000-00"/>
    <d v="2019-02-28T00:00:00"/>
    <n v="1670.24"/>
    <n v="0"/>
    <s v="USD"/>
    <s v="JRNLWA00387734"/>
    <s v="P"/>
    <s v="Western PCard Activity - Feb"/>
    <s v="AlexandraP"/>
    <s v="0/JE IC"/>
    <m/>
    <m/>
    <x v="27"/>
  </r>
  <r>
    <s v="70095-2180-000-00"/>
    <d v="2019-02-28T00:00:00"/>
    <n v="1485.17"/>
    <n v="0"/>
    <s v="USD"/>
    <s v="JRNLWA00387734"/>
    <s v="P"/>
    <s v="Western PCard Activity - Feb"/>
    <s v="AlexandraP"/>
    <s v="0/JE IC"/>
    <m/>
    <m/>
    <x v="28"/>
  </r>
  <r>
    <s v="70095-2180-000-00"/>
    <d v="2019-02-28T00:00:00"/>
    <n v="13.59"/>
    <n v="0"/>
    <s v="USD"/>
    <s v="JRNLWA00387734"/>
    <s v="P"/>
    <s v="Western PCard Activity - Feb"/>
    <s v="AlexandraP"/>
    <s v="0/JE IC"/>
    <m/>
    <m/>
    <x v="29"/>
  </r>
  <r>
    <s v="70095-2180-000-00"/>
    <d v="2019-02-28T00:00:00"/>
    <n v="192.34"/>
    <n v="0"/>
    <s v="USD"/>
    <s v="JRNLWA00387734"/>
    <s v="P"/>
    <s v="Western PCard Activity - Feb"/>
    <s v="AlexandraP"/>
    <s v="0/JE IC"/>
    <m/>
    <m/>
    <x v="30"/>
  </r>
  <r>
    <s v="70095-2180-000-00"/>
    <d v="2019-02-28T00:00:00"/>
    <n v="398.11"/>
    <n v="0"/>
    <s v="USD"/>
    <s v="JRNLWA00387734"/>
    <s v="P"/>
    <s v="Western PCard Activity - Feb"/>
    <s v="AlexandraP"/>
    <s v="0/JE IC"/>
    <m/>
    <m/>
    <x v="31"/>
  </r>
  <r>
    <s v="70095-2180-000-00"/>
    <d v="2019-02-28T00:00:00"/>
    <n v="17.62"/>
    <n v="0"/>
    <s v="USD"/>
    <s v="JRNLWA00387734"/>
    <s v="P"/>
    <s v="Western PCard Activity - Feb"/>
    <s v="AlexandraP"/>
    <s v="0/JE IC"/>
    <m/>
    <m/>
    <x v="32"/>
  </r>
  <r>
    <s v="70095-2180-000-00"/>
    <d v="2019-02-28T00:00:00"/>
    <n v="76.400000000000006"/>
    <n v="0"/>
    <s v="USD"/>
    <s v="JRNLWA00388148"/>
    <s v="P"/>
    <s v="EXP18 - 2019-02 Pcard Accrual"/>
    <s v="AlexandraP"/>
    <s v="0/JE IC"/>
    <m/>
    <m/>
    <x v="33"/>
  </r>
  <r>
    <s v="70095-2180-000-00"/>
    <d v="2019-02-28T00:00:00"/>
    <n v="85.97"/>
    <n v="0"/>
    <s v="USD"/>
    <s v="JRNLWA00388148"/>
    <s v="P"/>
    <s v="EXP18 - 2019-02 Pcard Accrual"/>
    <s v="AlexandraP"/>
    <s v="0/JE IC"/>
    <m/>
    <m/>
    <x v="34"/>
  </r>
  <r>
    <s v="70095-2180-000-00"/>
    <d v="2019-02-28T00:00:00"/>
    <n v="17.98"/>
    <n v="0"/>
    <s v="USD"/>
    <s v="JRNLWA00388160"/>
    <s v="P"/>
    <s v="WD Exp Report 2/2019"/>
    <s v="HelenaK"/>
    <s v="0/JE IC"/>
    <m/>
    <m/>
    <x v="35"/>
  </r>
  <r>
    <s v="70095-2180-000-00"/>
    <d v="2019-02-28T00:00:00"/>
    <n v="200"/>
    <n v="0"/>
    <s v="USD"/>
    <s v="JRNLWA00388175"/>
    <s v="P"/>
    <s v="WD Exp Report 2/2019-February"/>
    <s v="AlexandraP"/>
    <s v="0/JE IC"/>
    <m/>
    <m/>
    <x v="36"/>
  </r>
  <r>
    <s v="70095-2180-000-00"/>
    <d v="2019-02-28T00:00:00"/>
    <n v="43.71"/>
    <n v="0"/>
    <s v="USD"/>
    <s v="JRNLWA00388175"/>
    <s v="P"/>
    <s v="WD Exp Report 2/2019-February"/>
    <s v="AlexandraP"/>
    <s v="0/JE IC"/>
    <m/>
    <m/>
    <x v="37"/>
  </r>
  <r>
    <s v="70095-2180-000-00"/>
    <d v="2019-02-28T00:00:00"/>
    <n v="15.99"/>
    <n v="0"/>
    <s v="USD"/>
    <s v="JRNLWA00388175"/>
    <s v="P"/>
    <s v="WD Exp Report 2/2019-February"/>
    <s v="AlexandraP"/>
    <s v="0/JE IC"/>
    <m/>
    <m/>
    <x v="37"/>
  </r>
  <r>
    <s v="70095-2180-000-00"/>
    <d v="2019-02-28T00:00:00"/>
    <n v="22.11"/>
    <n v="0"/>
    <s v="USD"/>
    <s v="JRNLWA00388175"/>
    <s v="P"/>
    <s v="WD Exp Report 2/2019-February"/>
    <s v="AlexandraP"/>
    <s v="0/JE IC"/>
    <m/>
    <m/>
    <x v="37"/>
  </r>
  <r>
    <s v="70095-2180-000-00"/>
    <d v="2019-02-28T00:00:00"/>
    <n v="-76.400000000000006"/>
    <n v="0"/>
    <s v="USD"/>
    <s v="JRNLWA00388415"/>
    <s v="P"/>
    <s v="REVERSE EXP18 - 2019-02 Pcard"/>
    <s v="AlexandraP"/>
    <s v="0/JE IC"/>
    <m/>
    <m/>
    <x v="33"/>
  </r>
  <r>
    <s v="70095-2180-000-00"/>
    <d v="2019-02-28T00:00:00"/>
    <n v="-85.97"/>
    <n v="0"/>
    <s v="USD"/>
    <s v="JRNLWA00388415"/>
    <s v="P"/>
    <s v="REVERSE EXP18 - 2019-02 Pcard"/>
    <s v="AlexandraP"/>
    <s v="0/JE IC"/>
    <m/>
    <m/>
    <x v="34"/>
  </r>
  <r>
    <s v="70095-2180-000-00"/>
    <d v="2019-02-28T00:00:00"/>
    <n v="76.400000000000006"/>
    <n v="0"/>
    <s v="USD"/>
    <s v="JRNLWA00388416"/>
    <s v="P"/>
    <s v="Corrected N Lemay Pcard Accrua"/>
    <s v="AlexandraP"/>
    <s v="0/JE IC"/>
    <m/>
    <m/>
    <x v="33"/>
  </r>
  <r>
    <s v="70095-2180-000-00"/>
    <d v="2019-02-28T00:00:00"/>
    <n v="85.97"/>
    <n v="0"/>
    <s v="USD"/>
    <s v="JRNLWA00388416"/>
    <s v="P"/>
    <s v="Corrected N Lemay Pcard Accrua"/>
    <s v="AlexandraP"/>
    <s v="0/JE IC"/>
    <m/>
    <m/>
    <x v="34"/>
  </r>
  <r>
    <s v="70095-2180-000-00"/>
    <d v="2019-02-28T00:00:00"/>
    <n v="156.52000000000001"/>
    <n v="0"/>
    <s v="USD"/>
    <s v="JRNLWA00388461"/>
    <s v="P"/>
    <s v="2019-02 Exp Report Accrual"/>
    <s v="AlexandraP"/>
    <s v="0/JE IC"/>
    <m/>
    <m/>
    <x v="38"/>
  </r>
  <r>
    <s v="70095-2180-000-00"/>
    <d v="2019-02-28T00:00:00"/>
    <n v="21799.91"/>
    <n v="0"/>
    <s v="USD"/>
    <s v="JRNLWA00388667"/>
    <s v="P"/>
    <s v="2019-02 Reclass Meeting Expens"/>
    <s v="AlexandraP"/>
    <s v="0/JE IC"/>
    <m/>
    <m/>
    <x v="39"/>
  </r>
  <r>
    <s v="70095-2180-000-00"/>
    <d v="2019-02-28T00:00:00"/>
    <n v="5499.01"/>
    <n v="0"/>
    <s v="USD"/>
    <s v="JRNLWA00388719"/>
    <s v="P"/>
    <s v="2019-02 Reclass Meeting Expens"/>
    <s v="AlexandraP"/>
    <s v="0/JE IC"/>
    <m/>
    <m/>
    <x v="39"/>
  </r>
  <r>
    <s v="70095-2180-000-00"/>
    <d v="2019-03-31T00:00:00"/>
    <n v="-76.400000000000006"/>
    <n v="0"/>
    <s v="USD"/>
    <s v="JRNLWA00388159"/>
    <s v="P"/>
    <s v="EXP18 - 2019-02 Pcard Accrual"/>
    <s v="AlexandraP"/>
    <s v="0/JE IC"/>
    <m/>
    <m/>
    <x v="33"/>
  </r>
  <r>
    <s v="70095-2180-000-00"/>
    <d v="2019-03-31T00:00:00"/>
    <n v="-85.97"/>
    <n v="0"/>
    <s v="USD"/>
    <s v="JRNLWA00388159"/>
    <s v="P"/>
    <s v="EXP18 - 2019-02 Pcard Accrual"/>
    <s v="AlexandraP"/>
    <s v="0/JE IC"/>
    <m/>
    <m/>
    <x v="34"/>
  </r>
  <r>
    <s v="70095-2180-000-00"/>
    <d v="2019-03-31T00:00:00"/>
    <n v="76.400000000000006"/>
    <n v="0"/>
    <s v="USD"/>
    <s v="JRNLWA00388552"/>
    <s v="P"/>
    <s v="REVERSE EXP18 - 2019-02 Pcard"/>
    <s v="AlexandraP"/>
    <s v="0/JE IC"/>
    <m/>
    <m/>
    <x v="33"/>
  </r>
  <r>
    <s v="70095-2180-000-00"/>
    <d v="2019-03-31T00:00:00"/>
    <n v="85.97"/>
    <n v="0"/>
    <s v="USD"/>
    <s v="JRNLWA00388552"/>
    <s v="P"/>
    <s v="REVERSE EXP18 - 2019-02 Pcard"/>
    <s v="AlexandraP"/>
    <s v="0/JE IC"/>
    <m/>
    <m/>
    <x v="34"/>
  </r>
  <r>
    <s v="70095-2180-000-00"/>
    <d v="2019-03-31T00:00:00"/>
    <n v="-76.400000000000006"/>
    <n v="0"/>
    <s v="USD"/>
    <s v="JRNLWA00388553"/>
    <s v="P"/>
    <s v="Corrected N Lemay Pcard Accrua"/>
    <s v="AlexandraP"/>
    <s v="0/JE IC"/>
    <m/>
    <m/>
    <x v="33"/>
  </r>
  <r>
    <s v="70095-2180-000-00"/>
    <d v="2019-03-31T00:00:00"/>
    <n v="-85.97"/>
    <n v="0"/>
    <s v="USD"/>
    <s v="JRNLWA00388553"/>
    <s v="P"/>
    <s v="Corrected N Lemay Pcard Accrua"/>
    <s v="AlexandraP"/>
    <s v="0/JE IC"/>
    <m/>
    <m/>
    <x v="34"/>
  </r>
  <r>
    <s v="70095-2180-000-00"/>
    <d v="2019-03-31T00:00:00"/>
    <n v="-156.52000000000001"/>
    <n v="0"/>
    <s v="USD"/>
    <s v="JRNLWA00388569"/>
    <s v="P"/>
    <s v="2019-02 Exp Report Accrual"/>
    <s v="AlexandraP"/>
    <s v="0/JE IC"/>
    <m/>
    <m/>
    <x v="38"/>
  </r>
  <r>
    <s v="70095-2180-000-00"/>
    <d v="2019-03-31T00:00:00"/>
    <n v="500"/>
    <n v="0"/>
    <s v="USD"/>
    <s v="JRNLWA00389218"/>
    <s v="P"/>
    <s v="Western Pcard Activity - March"/>
    <s v="HelenaK"/>
    <s v="0/JE IC"/>
    <m/>
    <m/>
    <x v="40"/>
  </r>
  <r>
    <s v="70095-2180-000-00"/>
    <d v="2019-03-31T00:00:00"/>
    <n v="145.72"/>
    <n v="0"/>
    <s v="USD"/>
    <s v="JRNLWA00389218"/>
    <s v="P"/>
    <s v="Western Pcard Activity - March"/>
    <s v="HelenaK"/>
    <s v="0/JE IC"/>
    <m/>
    <m/>
    <x v="41"/>
  </r>
  <r>
    <s v="70095-2180-000-00"/>
    <d v="2019-03-31T00:00:00"/>
    <n v="335"/>
    <n v="0"/>
    <s v="USD"/>
    <s v="JRNLWA00389218"/>
    <s v="P"/>
    <s v="Western Pcard Activity - March"/>
    <s v="HelenaK"/>
    <s v="0/JE IC"/>
    <m/>
    <m/>
    <x v="41"/>
  </r>
  <r>
    <s v="70095-2180-000-00"/>
    <d v="2019-03-31T00:00:00"/>
    <n v="76.400000000000006"/>
    <n v="0"/>
    <s v="USD"/>
    <s v="JRNLWA00389218"/>
    <s v="P"/>
    <s v="Western Pcard Activity - March"/>
    <s v="HelenaK"/>
    <s v="0/JE IC"/>
    <m/>
    <m/>
    <x v="33"/>
  </r>
  <r>
    <s v="70095-2180-000-00"/>
    <d v="2019-03-31T00:00:00"/>
    <n v="85.97"/>
    <n v="0"/>
    <s v="USD"/>
    <s v="JRNLWA00389218"/>
    <s v="P"/>
    <s v="Western Pcard Activity - March"/>
    <s v="HelenaK"/>
    <s v="0/JE IC"/>
    <m/>
    <m/>
    <x v="34"/>
  </r>
  <r>
    <s v="70095-2180-000-00"/>
    <d v="2019-03-31T00:00:00"/>
    <n v="38.86"/>
    <n v="0"/>
    <s v="USD"/>
    <s v="JRNLWA00389218"/>
    <s v="P"/>
    <s v="Western Pcard Activity - March"/>
    <s v="HelenaK"/>
    <s v="0/JE IC"/>
    <m/>
    <m/>
    <x v="42"/>
  </r>
  <r>
    <s v="70095-2180-000-00"/>
    <d v="2019-03-31T00:00:00"/>
    <n v="115.15"/>
    <n v="0"/>
    <s v="USD"/>
    <s v="JRNLWA00389218"/>
    <s v="P"/>
    <s v="Western Pcard Activity - March"/>
    <s v="HelenaK"/>
    <s v="0/JE IC"/>
    <m/>
    <m/>
    <x v="6"/>
  </r>
  <r>
    <s v="70095-2180-000-00"/>
    <d v="2019-03-31T00:00:00"/>
    <n v="133.56"/>
    <n v="0"/>
    <s v="USD"/>
    <s v="JRNLWA00389218"/>
    <s v="P"/>
    <s v="Western Pcard Activity - March"/>
    <s v="HelenaK"/>
    <s v="0/JE IC"/>
    <m/>
    <m/>
    <x v="43"/>
  </r>
  <r>
    <s v="70095-2180-000-00"/>
    <d v="2019-03-31T00:00:00"/>
    <n v="73.260000000000005"/>
    <n v="0"/>
    <s v="USD"/>
    <s v="JRNLWA00389218"/>
    <s v="P"/>
    <s v="Western Pcard Activity - March"/>
    <s v="HelenaK"/>
    <s v="0/JE IC"/>
    <m/>
    <m/>
    <x v="31"/>
  </r>
  <r>
    <s v="70095-2180-000-00"/>
    <d v="2019-03-31T00:00:00"/>
    <n v="55"/>
    <n v="0"/>
    <s v="USD"/>
    <s v="JRNLWA00389218"/>
    <s v="P"/>
    <s v="Western Pcard Activity - March"/>
    <s v="HelenaK"/>
    <s v="0/JE IC"/>
    <m/>
    <m/>
    <x v="44"/>
  </r>
  <r>
    <s v="70095-2180-000-00"/>
    <d v="2019-03-31T00:00:00"/>
    <n v="22.82"/>
    <n v="0"/>
    <s v="USD"/>
    <s v="JRNLWA00389218"/>
    <s v="P"/>
    <s v="Western Pcard Activity - March"/>
    <s v="HelenaK"/>
    <s v="0/JE IC"/>
    <m/>
    <m/>
    <x v="45"/>
  </r>
  <r>
    <s v="70095-2180-000-00"/>
    <d v="2019-03-31T00:00:00"/>
    <n v="1331.28"/>
    <n v="0"/>
    <s v="USD"/>
    <s v="JRNLWA00389218"/>
    <s v="P"/>
    <s v="Western Pcard Activity - March"/>
    <s v="HelenaK"/>
    <s v="0/JE IC"/>
    <m/>
    <m/>
    <x v="32"/>
  </r>
  <r>
    <s v="70095-2180-000-00"/>
    <d v="2019-03-31T00:00:00"/>
    <n v="85.97"/>
    <n v="0"/>
    <s v="USD"/>
    <s v="JRNLWA00389218"/>
    <s v="P"/>
    <s v="Western Pcard Activity - March"/>
    <s v="HelenaK"/>
    <s v="0/JE IC"/>
    <m/>
    <m/>
    <x v="46"/>
  </r>
  <r>
    <s v="70095-2180-000-00"/>
    <d v="2019-03-31T00:00:00"/>
    <n v="827.95"/>
    <n v="0"/>
    <s v="USD"/>
    <s v="JRNLWA00389218"/>
    <s v="P"/>
    <s v="Western Pcard Activity - March"/>
    <s v="HelenaK"/>
    <s v="0/JE IC"/>
    <m/>
    <m/>
    <x v="47"/>
  </r>
  <r>
    <s v="70095-2180-000-00"/>
    <d v="2019-03-31T00:00:00"/>
    <n v="156.52000000000001"/>
    <n v="0"/>
    <s v="USD"/>
    <s v="JRNLWA00389684"/>
    <s v="P"/>
    <s v="WD Exp Report 3/2019"/>
    <s v="AlexandraP"/>
    <s v="0/JE IC"/>
    <m/>
    <m/>
    <x v="48"/>
  </r>
  <r>
    <s v="70095-2180-000-00"/>
    <d v="2019-03-31T00:00:00"/>
    <n v="36.92"/>
    <n v="0"/>
    <s v="USD"/>
    <s v="JRNLWA00389947"/>
    <s v="P"/>
    <s v="2019-03 Exp Report Accrual"/>
    <s v="HelenaK"/>
    <s v="0/JE IC"/>
    <m/>
    <m/>
    <x v="49"/>
  </r>
  <r>
    <s v="70095-2180-000-00"/>
    <d v="2019-03-31T00:00:00"/>
    <n v="51.88"/>
    <n v="0"/>
    <s v="USD"/>
    <s v="JRNLWA00389955"/>
    <s v="P"/>
    <s v="N Lemay Pcard Accrual"/>
    <s v="HelenaK"/>
    <s v="0/JE IC"/>
    <m/>
    <m/>
    <x v="50"/>
  </r>
  <r>
    <s v="70095-2180-000-00"/>
    <d v="2019-03-31T00:00:00"/>
    <n v="-51.88"/>
    <n v="0"/>
    <s v="USD"/>
    <s v="JRNLWA00389982"/>
    <s v="P"/>
    <s v="2019-03 NLeMay PO Log Accrual"/>
    <s v="HelenaK"/>
    <s v="0/JE IC"/>
    <m/>
    <m/>
    <x v="51"/>
  </r>
  <r>
    <s v="70095-2180-000-00"/>
    <d v="2019-03-31T00:00:00"/>
    <n v="-1498.02"/>
    <n v="0"/>
    <s v="USD"/>
    <s v="JRNLWA00390061"/>
    <s v="P"/>
    <s v="2019-03 Reclass Meeting Expens"/>
    <s v="LaurenTi"/>
    <s v="0/JE IC"/>
    <m/>
    <m/>
    <x v="39"/>
  </r>
  <r>
    <s v="70095-2180-000-00"/>
    <d v="2019-04-18T00:00:00"/>
    <n v="5000"/>
    <n v="0"/>
    <s v="USD"/>
    <s v="JRNLWA00390389"/>
    <s v="P"/>
    <s v="From Voucher Posting."/>
    <s v="JudyA"/>
    <s v="0/JE IC"/>
    <s v="VUS000015003"/>
    <m/>
    <x v="52"/>
  </r>
  <r>
    <s v="70095-2180-000-00"/>
    <d v="2019-04-30T00:00:00"/>
    <n v="-36.92"/>
    <n v="0"/>
    <s v="USD"/>
    <s v="JRNLWA00390025"/>
    <s v="P"/>
    <s v="2019-03 Exp Report Accrual"/>
    <s v="AlexandraP"/>
    <s v="0/JE IC"/>
    <m/>
    <m/>
    <x v="49"/>
  </r>
  <r>
    <s v="70095-2180-000-00"/>
    <d v="2019-04-30T00:00:00"/>
    <n v="-51.88"/>
    <n v="0"/>
    <s v="USD"/>
    <s v="JRNLWA00390028"/>
    <s v="P"/>
    <s v="N Lemay Pcard Accrual"/>
    <s v="AlexandraP"/>
    <s v="0/JE IC"/>
    <m/>
    <m/>
    <x v="50"/>
  </r>
  <r>
    <s v="70095-2180-000-00"/>
    <d v="2019-04-30T00:00:00"/>
    <n v="51.88"/>
    <n v="0"/>
    <s v="USD"/>
    <s v="JRNLWA00390033"/>
    <s v="P"/>
    <s v="2019-03 NLeMay PO Log Accrual"/>
    <s v="AlexandraP"/>
    <s v="0/JE IC"/>
    <m/>
    <m/>
    <x v="51"/>
  </r>
  <r>
    <s v="70095-2180-000-00"/>
    <d v="2019-04-30T00:00:00"/>
    <n v="51.88"/>
    <n v="0"/>
    <s v="USD"/>
    <s v="JRNLWA00390650"/>
    <s v="P"/>
    <s v="Western Pcard Activity - April"/>
    <s v="HelenaK"/>
    <s v="0/JE IC"/>
    <m/>
    <m/>
    <x v="50"/>
  </r>
  <r>
    <s v="70095-2180-000-00"/>
    <d v="2019-04-30T00:00:00"/>
    <n v="106.69"/>
    <n v="0"/>
    <s v="USD"/>
    <s v="JRNLWA00390650"/>
    <s v="P"/>
    <s v="Western Pcard Activity - April"/>
    <s v="HelenaK"/>
    <s v="0/JE IC"/>
    <m/>
    <m/>
    <x v="6"/>
  </r>
  <r>
    <s v="70095-2180-000-00"/>
    <d v="2019-04-30T00:00:00"/>
    <n v="272.76"/>
    <n v="0"/>
    <s v="USD"/>
    <s v="JRNLWA00390650"/>
    <s v="P"/>
    <s v="Western Pcard Activity - April"/>
    <s v="HelenaK"/>
    <s v="0/JE IC"/>
    <m/>
    <m/>
    <x v="53"/>
  </r>
  <r>
    <s v="70095-2180-000-00"/>
    <d v="2019-04-30T00:00:00"/>
    <n v="85.97"/>
    <n v="0"/>
    <s v="USD"/>
    <s v="JRNLWA00390650"/>
    <s v="P"/>
    <s v="Western Pcard Activity - April"/>
    <s v="HelenaK"/>
    <s v="0/JE IC"/>
    <m/>
    <m/>
    <x v="21"/>
  </r>
  <r>
    <s v="70095-2180-000-00"/>
    <d v="2019-04-30T00:00:00"/>
    <n v="109.3"/>
    <n v="0"/>
    <s v="USD"/>
    <s v="JRNLWA00390650"/>
    <s v="P"/>
    <s v="Western Pcard Activity - April"/>
    <s v="HelenaK"/>
    <s v="0/JE IC"/>
    <m/>
    <m/>
    <x v="54"/>
  </r>
  <r>
    <s v="70095-2180-000-00"/>
    <d v="2019-04-30T00:00:00"/>
    <n v="36.92"/>
    <n v="0"/>
    <s v="USD"/>
    <s v="JRNLWA00390915"/>
    <s v="P"/>
    <s v="WD Exp Report 4/2019"/>
    <s v="HelenaK"/>
    <s v="0/JE IC"/>
    <m/>
    <m/>
    <x v="55"/>
  </r>
  <r>
    <s v="70095-2180-000-00"/>
    <d v="2019-04-30T00:00:00"/>
    <n v="41.93"/>
    <n v="0"/>
    <s v="USD"/>
    <s v="JRNLWA00391413"/>
    <s v="P"/>
    <s v="N Lemay Pcard Accrual"/>
    <s v="HelenaK"/>
    <s v="0/JE IC"/>
    <m/>
    <m/>
    <x v="56"/>
  </r>
  <r>
    <s v="70095-2180-000-00"/>
    <d v="2019-04-30T00:00:00"/>
    <n v="30"/>
    <n v="0"/>
    <s v="USD"/>
    <s v="JRNLWA00391413"/>
    <s v="P"/>
    <s v="N Lemay Pcard Accrual"/>
    <s v="HelenaK"/>
    <s v="0/JE IC"/>
    <m/>
    <m/>
    <x v="57"/>
  </r>
  <r>
    <s v="70095-2180-000-00"/>
    <d v="2019-04-30T00:00:00"/>
    <n v="20"/>
    <n v="0"/>
    <s v="USD"/>
    <s v="JRNLWA00391413"/>
    <s v="P"/>
    <s v="N Lemay Pcard Accrual"/>
    <s v="HelenaK"/>
    <s v="0/JE IC"/>
    <m/>
    <m/>
    <x v="57"/>
  </r>
  <r>
    <s v="70095-2180-000-00"/>
    <d v="2019-04-30T00:00:00"/>
    <n v="1761.33"/>
    <n v="0"/>
    <s v="USD"/>
    <s v="JRNLWA00391417"/>
    <s v="P"/>
    <s v="Exp15-Prepaid Amortization"/>
    <s v="HelenaK"/>
    <s v="0/JE IC"/>
    <m/>
    <m/>
    <x v="58"/>
  </r>
  <r>
    <s v="70095-2180-000-00"/>
    <d v="2019-04-30T00:00:00"/>
    <n v="109.3"/>
    <n v="0"/>
    <s v="USD"/>
    <s v="JRNLWA00391453"/>
    <s v="P"/>
    <s v="2019-04 NLeMay PO Log Accrual"/>
    <s v="HelenaK"/>
    <s v="0/JE IC"/>
    <m/>
    <m/>
    <x v="59"/>
  </r>
  <r>
    <s v="70095-2180-000-00"/>
    <d v="2019-04-30T00:00:00"/>
    <n v="-30"/>
    <n v="0"/>
    <s v="USD"/>
    <s v="JRNLWA00391453"/>
    <s v="P"/>
    <s v="2019-04 NLeMay PO Log Accrual"/>
    <s v="HelenaK"/>
    <s v="0/JE IC"/>
    <m/>
    <m/>
    <x v="60"/>
  </r>
  <r>
    <s v="70095-2180-000-00"/>
    <d v="2019-04-30T00:00:00"/>
    <n v="-20"/>
    <n v="0"/>
    <s v="USD"/>
    <s v="JRNLWA00391453"/>
    <s v="P"/>
    <s v="2019-04 NLeMay PO Log Accrual"/>
    <s v="HelenaK"/>
    <s v="0/JE IC"/>
    <m/>
    <m/>
    <x v="61"/>
  </r>
  <r>
    <s v="70095-2180-000-00"/>
    <d v="2019-04-30T00:00:00"/>
    <n v="324.44"/>
    <n v="0"/>
    <s v="USD"/>
    <s v="JRNLWA00391556"/>
    <s v="P"/>
    <s v="Prepaids and Amortizations"/>
    <s v="AlexandraP"/>
    <s v="0/JE IC"/>
    <m/>
    <m/>
    <x v="62"/>
  </r>
  <r>
    <s v="70095-2180-000-00"/>
    <d v="2019-04-30T00:00:00"/>
    <n v="-5000"/>
    <n v="0"/>
    <s v="USD"/>
    <s v="JRNLWA00391574"/>
    <s v="P"/>
    <s v="Description required"/>
    <s v="BrittanyJ"/>
    <s v="0/JE STD"/>
    <m/>
    <m/>
    <x v="63"/>
  </r>
  <r>
    <s v="70095-2180-000-00"/>
    <d v="2019-05-31T00:00:00"/>
    <n v="-41.93"/>
    <n v="0"/>
    <s v="USD"/>
    <s v="JRNLWA00391509"/>
    <s v="P"/>
    <s v="N Lemay Pcard Accrual"/>
    <s v="HelenaK"/>
    <s v="0/JE IC"/>
    <m/>
    <m/>
    <x v="56"/>
  </r>
  <r>
    <s v="70095-2180-000-00"/>
    <d v="2019-05-31T00:00:00"/>
    <n v="-30"/>
    <n v="0"/>
    <s v="USD"/>
    <s v="JRNLWA00391509"/>
    <s v="P"/>
    <s v="N Lemay Pcard Accrual"/>
    <s v="HelenaK"/>
    <s v="0/JE IC"/>
    <m/>
    <m/>
    <x v="57"/>
  </r>
  <r>
    <s v="70095-2180-000-00"/>
    <d v="2019-05-31T00:00:00"/>
    <n v="-20"/>
    <n v="0"/>
    <s v="USD"/>
    <s v="JRNLWA00391509"/>
    <s v="P"/>
    <s v="N Lemay Pcard Accrual"/>
    <s v="HelenaK"/>
    <s v="0/JE IC"/>
    <m/>
    <m/>
    <x v="57"/>
  </r>
  <r>
    <s v="70095-2180-000-00"/>
    <d v="2019-05-31T00:00:00"/>
    <n v="-109.3"/>
    <n v="0"/>
    <s v="USD"/>
    <s v="JRNLWA00391521"/>
    <s v="P"/>
    <s v="2019-04 NLeMay PO Log Accrual"/>
    <s v="HelenaK"/>
    <s v="0/JE IC"/>
    <m/>
    <m/>
    <x v="59"/>
  </r>
  <r>
    <s v="70095-2180-000-00"/>
    <d v="2019-05-31T00:00:00"/>
    <n v="30"/>
    <n v="0"/>
    <s v="USD"/>
    <s v="JRNLWA00391521"/>
    <s v="P"/>
    <s v="2019-04 NLeMay PO Log Accrual"/>
    <s v="HelenaK"/>
    <s v="0/JE IC"/>
    <m/>
    <m/>
    <x v="60"/>
  </r>
  <r>
    <s v="70095-2180-000-00"/>
    <d v="2019-05-31T00:00:00"/>
    <n v="20"/>
    <n v="0"/>
    <s v="USD"/>
    <s v="JRNLWA00391521"/>
    <s v="P"/>
    <s v="2019-04 NLeMay PO Log Accrual"/>
    <s v="HelenaK"/>
    <s v="0/JE IC"/>
    <m/>
    <m/>
    <x v="61"/>
  </r>
  <r>
    <s v="70095-2180-000-00"/>
    <d v="2019-05-31T00:00:00"/>
    <n v="41.93"/>
    <n v="0"/>
    <s v="USD"/>
    <s v="JRNLWA00392148"/>
    <s v="P"/>
    <s v="Western Pcard Activity - May"/>
    <s v="HeatherH"/>
    <s v="0/JE IC"/>
    <m/>
    <m/>
    <x v="56"/>
  </r>
  <r>
    <s v="70095-2180-000-00"/>
    <d v="2019-05-31T00:00:00"/>
    <n v="30"/>
    <n v="0"/>
    <s v="USD"/>
    <s v="JRNLWA00392148"/>
    <s v="P"/>
    <s v="Western Pcard Activity - May"/>
    <s v="HeatherH"/>
    <s v="0/JE IC"/>
    <m/>
    <m/>
    <x v="57"/>
  </r>
  <r>
    <s v="70095-2180-000-00"/>
    <d v="2019-05-31T00:00:00"/>
    <n v="106.69"/>
    <n v="0"/>
    <s v="USD"/>
    <s v="JRNLWA00392148"/>
    <s v="P"/>
    <s v="Western Pcard Activity - May"/>
    <s v="HeatherH"/>
    <s v="0/JE IC"/>
    <m/>
    <m/>
    <x v="6"/>
  </r>
  <r>
    <s v="70095-2180-000-00"/>
    <d v="2019-05-31T00:00:00"/>
    <n v="20"/>
    <n v="0"/>
    <s v="USD"/>
    <s v="JRNLWA00392148"/>
    <s v="P"/>
    <s v="Western Pcard Activity - May"/>
    <s v="HeatherH"/>
    <s v="0/JE IC"/>
    <m/>
    <m/>
    <x v="57"/>
  </r>
  <r>
    <s v="70095-2180-000-00"/>
    <d v="2019-05-31T00:00:00"/>
    <n v="79.13"/>
    <n v="0"/>
    <s v="USD"/>
    <s v="JRNLWA00392148"/>
    <s v="P"/>
    <s v="Western Pcard Activity - May"/>
    <s v="HeatherH"/>
    <s v="0/JE IC"/>
    <m/>
    <m/>
    <x v="13"/>
  </r>
  <r>
    <s v="70095-2180-000-00"/>
    <d v="2019-05-31T00:00:00"/>
    <n v="756.74"/>
    <n v="0"/>
    <s v="USD"/>
    <s v="JRNLWA00392148"/>
    <s v="P"/>
    <s v="Western Pcard Activity - May"/>
    <s v="HeatherH"/>
    <s v="0/JE IC"/>
    <m/>
    <m/>
    <x v="64"/>
  </r>
  <r>
    <s v="70095-2180-000-00"/>
    <d v="2019-05-31T00:00:00"/>
    <n v="78"/>
    <n v="0"/>
    <s v="USD"/>
    <s v="JRNLWA00392148"/>
    <s v="P"/>
    <s v="Western Pcard Activity - May"/>
    <s v="HeatherH"/>
    <s v="0/JE IC"/>
    <m/>
    <m/>
    <x v="65"/>
  </r>
  <r>
    <s v="70095-2180-000-00"/>
    <d v="2019-05-31T00:00:00"/>
    <n v="78.03"/>
    <n v="0"/>
    <s v="USD"/>
    <s v="JRNLWA00392148"/>
    <s v="P"/>
    <s v="Western Pcard Activity - May"/>
    <s v="HeatherH"/>
    <s v="0/JE IC"/>
    <m/>
    <m/>
    <x v="13"/>
  </r>
  <r>
    <s v="70095-2180-000-00"/>
    <d v="2019-05-31T00:00:00"/>
    <n v="91.97"/>
    <n v="0"/>
    <s v="USD"/>
    <s v="JRNLWA00392148"/>
    <s v="P"/>
    <s v="Western Pcard Activity - May"/>
    <s v="HeatherH"/>
    <s v="0/JE IC"/>
    <m/>
    <m/>
    <x v="21"/>
  </r>
  <r>
    <s v="70095-2180-000-00"/>
    <d v="2019-05-31T00:00:00"/>
    <n v="252.68"/>
    <n v="0"/>
    <s v="USD"/>
    <s v="JRNLWA00392148"/>
    <s v="P"/>
    <s v="Western Pcard Activity - May"/>
    <s v="HeatherH"/>
    <s v="0/JE IC"/>
    <m/>
    <m/>
    <x v="6"/>
  </r>
  <r>
    <s v="70095-2180-000-00"/>
    <d v="2019-05-31T00:00:00"/>
    <n v="262.33"/>
    <n v="0"/>
    <s v="USD"/>
    <s v="JRNLWA00392148"/>
    <s v="P"/>
    <s v="Western Pcard Activity - May"/>
    <s v="HeatherH"/>
    <s v="0/JE IC"/>
    <m/>
    <m/>
    <x v="54"/>
  </r>
  <r>
    <s v="70095-2180-000-00"/>
    <d v="2019-05-31T00:00:00"/>
    <n v="581.09"/>
    <n v="0"/>
    <s v="USD"/>
    <s v="JRNLWA00392148"/>
    <s v="P"/>
    <s v="Western Pcard Activity - May"/>
    <s v="HeatherH"/>
    <s v="0/JE IC"/>
    <m/>
    <m/>
    <x v="66"/>
  </r>
  <r>
    <s v="70095-2180-000-00"/>
    <d v="2019-05-31T00:00:00"/>
    <n v="51.53"/>
    <n v="0"/>
    <s v="USD"/>
    <s v="JRNLWA00392546"/>
    <s v="P"/>
    <s v="WD Exp Report 5/2019"/>
    <s v="HelenaK"/>
    <s v="0/JE IC"/>
    <m/>
    <m/>
    <x v="67"/>
  </r>
  <r>
    <s v="70095-2180-000-00"/>
    <d v="2019-05-31T00:00:00"/>
    <n v="183.62"/>
    <n v="0"/>
    <s v="USD"/>
    <s v="JRNLWA00392817"/>
    <s v="P"/>
    <s v="N Lemay Pcard Accrual"/>
    <s v="HeatherH"/>
    <s v="0/JE IC"/>
    <m/>
    <m/>
    <x v="54"/>
  </r>
  <r>
    <s v="70095-2180-000-00"/>
    <d v="2019-05-31T00:00:00"/>
    <n v="1761.34"/>
    <n v="0"/>
    <s v="USD"/>
    <s v="JRNLWA00392822"/>
    <s v="P"/>
    <s v="Exp15-Prepaid Amortization"/>
    <s v="HeatherH"/>
    <s v="0/JE IC"/>
    <m/>
    <m/>
    <x v="58"/>
  </r>
  <r>
    <s v="70095-2180-000-00"/>
    <d v="2019-05-31T00:00:00"/>
    <n v="54.95"/>
    <n v="0"/>
    <s v="USD"/>
    <s v="JRNLWA00392929"/>
    <s v="P"/>
    <s v="2019-05 Pcard Accrual"/>
    <s v="HeatherH"/>
    <s v="0/JE IC"/>
    <m/>
    <m/>
    <x v="68"/>
  </r>
  <r>
    <s v="70095-2180-000-00"/>
    <d v="2019-05-31T00:00:00"/>
    <n v="67.94"/>
    <n v="0"/>
    <s v="USD"/>
    <s v="JRNLWA00392929"/>
    <s v="P"/>
    <s v="2019-05 Pcard Accrual"/>
    <s v="HeatherH"/>
    <s v="0/JE IC"/>
    <m/>
    <m/>
    <x v="69"/>
  </r>
  <r>
    <s v="70095-2180-000-00"/>
    <d v="2019-05-31T00:00:00"/>
    <n v="324.44"/>
    <n v="0"/>
    <s v="USD"/>
    <s v="JRNLWA00392979"/>
    <s v="P"/>
    <s v="Prepaids and Amortizations"/>
    <s v="HeatherWe"/>
    <s v="0/JE IC"/>
    <m/>
    <m/>
    <x v="62"/>
  </r>
  <r>
    <s v="70095-2180-000-00"/>
    <d v="2019-06-30T00:00:00"/>
    <n v="-183.62"/>
    <n v="0"/>
    <s v="USD"/>
    <s v="JRNLWA00392887"/>
    <s v="P"/>
    <s v="N Lemay Pcard Accrual"/>
    <s v="HelenaK"/>
    <s v="0/JE IC"/>
    <m/>
    <m/>
    <x v="54"/>
  </r>
  <r>
    <s v="70095-2180-000-00"/>
    <d v="2019-06-30T00:00:00"/>
    <n v="-54.95"/>
    <n v="0"/>
    <s v="USD"/>
    <s v="JRNLWA00393018"/>
    <s v="P"/>
    <s v="2019-05 Pcard Accrual"/>
    <s v="HeatherWe"/>
    <s v="0/JE IC"/>
    <m/>
    <m/>
    <x v="68"/>
  </r>
  <r>
    <s v="70095-2180-000-00"/>
    <d v="2019-06-30T00:00:00"/>
    <n v="-67.94"/>
    <n v="0"/>
    <s v="USD"/>
    <s v="JRNLWA00393018"/>
    <s v="P"/>
    <s v="2019-05 Pcard Accrual"/>
    <s v="HeatherWe"/>
    <s v="0/JE IC"/>
    <m/>
    <m/>
    <x v="69"/>
  </r>
  <r>
    <s v="70095-2180-000-00"/>
    <d v="2019-06-30T00:00:00"/>
    <n v="54.95"/>
    <n v="0"/>
    <s v="USD"/>
    <s v="JRNLWA00393495"/>
    <s v="P"/>
    <s v="Western Pcard Activity - Jun"/>
    <s v="HeatherWe"/>
    <s v="0/JE IC"/>
    <m/>
    <m/>
    <x v="68"/>
  </r>
  <r>
    <s v="70095-2180-000-00"/>
    <d v="2019-06-30T00:00:00"/>
    <n v="67.94"/>
    <n v="0"/>
    <s v="USD"/>
    <s v="JRNLWA00393495"/>
    <s v="P"/>
    <s v="Western Pcard Activity - Jun"/>
    <s v="HeatherWe"/>
    <s v="0/JE IC"/>
    <m/>
    <m/>
    <x v="69"/>
  </r>
  <r>
    <s v="70095-2180-000-00"/>
    <d v="2019-06-30T00:00:00"/>
    <n v="183.62"/>
    <n v="0"/>
    <s v="USD"/>
    <s v="JRNLWA00393495"/>
    <s v="P"/>
    <s v="Western Pcard Activity - Jun"/>
    <s v="HeatherWe"/>
    <s v="0/JE IC"/>
    <m/>
    <m/>
    <x v="54"/>
  </r>
  <r>
    <s v="70095-2180-000-00"/>
    <d v="2019-06-30T00:00:00"/>
    <n v="130.6"/>
    <n v="0"/>
    <s v="USD"/>
    <s v="JRNLWA00393495"/>
    <s v="P"/>
    <s v="Western Pcard Activity - Jun"/>
    <s v="HeatherWe"/>
    <s v="0/JE IC"/>
    <m/>
    <m/>
    <x v="70"/>
  </r>
  <r>
    <s v="70095-2180-000-00"/>
    <d v="2019-06-30T00:00:00"/>
    <n v="86.97"/>
    <n v="0"/>
    <s v="USD"/>
    <s v="JRNLWA00393495"/>
    <s v="P"/>
    <s v="Western Pcard Activity - Jun"/>
    <s v="HeatherWe"/>
    <s v="0/JE IC"/>
    <m/>
    <m/>
    <x v="34"/>
  </r>
  <r>
    <s v="70095-2180-000-00"/>
    <d v="2019-06-30T00:00:00"/>
    <n v="51.54"/>
    <n v="0"/>
    <s v="USD"/>
    <s v="JRNLWA00393495"/>
    <s v="P"/>
    <s v="Western Pcard Activity - Jun"/>
    <s v="HeatherWe"/>
    <s v="0/JE IC"/>
    <m/>
    <m/>
    <x v="71"/>
  </r>
  <r>
    <s v="70095-2180-000-00"/>
    <d v="2019-06-30T00:00:00"/>
    <n v="7.4"/>
    <n v="0"/>
    <s v="USD"/>
    <s v="JRNLWA00393940"/>
    <s v="P"/>
    <s v="WD Exp Report 6/2019"/>
    <s v="LaurenTi"/>
    <s v="0/JE IC"/>
    <m/>
    <m/>
    <x v="72"/>
  </r>
  <r>
    <s v="70095-2180-000-00"/>
    <d v="2019-06-30T00:00:00"/>
    <n v="26.31"/>
    <n v="0"/>
    <s v="USD"/>
    <s v="JRNLWA00393940"/>
    <s v="P"/>
    <s v="WD Exp Report 6/2019"/>
    <s v="LaurenTi"/>
    <s v="0/JE IC"/>
    <m/>
    <m/>
    <x v="72"/>
  </r>
  <r>
    <s v="70095-2180-000-00"/>
    <d v="2019-06-30T00:00:00"/>
    <n v="30.11"/>
    <n v="0"/>
    <s v="USD"/>
    <s v="JRNLWA00393940"/>
    <s v="P"/>
    <s v="WD Exp Report 6/2019"/>
    <s v="LaurenTi"/>
    <s v="0/JE IC"/>
    <m/>
    <m/>
    <x v="72"/>
  </r>
  <r>
    <s v="70095-2180-000-00"/>
    <d v="2019-06-30T00:00:00"/>
    <n v="53.98"/>
    <n v="0"/>
    <s v="USD"/>
    <s v="JRNLWA00394026"/>
    <s v="P"/>
    <s v="N Lemay Pcard Accrual"/>
    <s v="HelenaK"/>
    <s v="0/JE IC"/>
    <m/>
    <m/>
    <x v="73"/>
  </r>
  <r>
    <s v="70095-2180-000-00"/>
    <d v="2019-06-30T00:00:00"/>
    <n v="10.31"/>
    <n v="0"/>
    <s v="USD"/>
    <s v="JRNLWA00394026"/>
    <s v="P"/>
    <s v="N Lemay Pcard Accrual"/>
    <s v="HelenaK"/>
    <s v="0/JE IC"/>
    <m/>
    <m/>
    <x v="74"/>
  </r>
  <r>
    <s v="70095-2180-000-00"/>
    <d v="2019-06-30T00:00:00"/>
    <n v="2106.2199999999998"/>
    <n v="0"/>
    <s v="USD"/>
    <s v="JRNLWA00394026"/>
    <s v="P"/>
    <s v="N Lemay Pcard Accrual"/>
    <s v="HelenaK"/>
    <s v="0/JE IC"/>
    <m/>
    <m/>
    <x v="75"/>
  </r>
  <r>
    <s v="70095-2180-000-00"/>
    <d v="2019-06-30T00:00:00"/>
    <n v="261.33"/>
    <n v="0"/>
    <s v="USD"/>
    <s v="JRNLWA00394026"/>
    <s v="P"/>
    <s v="N Lemay Pcard Accrual"/>
    <s v="HelenaK"/>
    <s v="0/JE IC"/>
    <m/>
    <m/>
    <x v="23"/>
  </r>
  <r>
    <s v="70095-2180-000-00"/>
    <d v="2019-06-30T00:00:00"/>
    <n v="28.98"/>
    <n v="0"/>
    <s v="USD"/>
    <s v="JRNLWA00394026"/>
    <s v="P"/>
    <s v="N Lemay Pcard Accrual"/>
    <s v="HelenaK"/>
    <s v="0/JE IC"/>
    <m/>
    <m/>
    <x v="76"/>
  </r>
  <r>
    <s v="70095-2180-000-00"/>
    <d v="2019-06-30T00:00:00"/>
    <n v="87.42"/>
    <n v="0"/>
    <s v="USD"/>
    <s v="JRNLWA00394026"/>
    <s v="P"/>
    <s v="N Lemay Pcard Accrual"/>
    <s v="HelenaK"/>
    <s v="0/JE IC"/>
    <m/>
    <m/>
    <x v="77"/>
  </r>
  <r>
    <s v="70095-2180-000-00"/>
    <d v="2019-06-30T00:00:00"/>
    <n v="4131.54"/>
    <n v="0"/>
    <s v="USD"/>
    <s v="JRNLWA00394216"/>
    <s v="P"/>
    <s v="2019-06 NLeMay PO Log Accrual"/>
    <s v="HeatherH"/>
    <s v="0/JE IC"/>
    <m/>
    <m/>
    <x v="78"/>
  </r>
  <r>
    <s v="70095-2180-000-00"/>
    <d v="2019-06-30T00:00:00"/>
    <n v="1761.33"/>
    <n v="0"/>
    <s v="USD"/>
    <s v="JRNLWA00394219"/>
    <s v="P"/>
    <s v="Exp15-Prepaid Amortization"/>
    <s v="HeatherH"/>
    <s v="0/JE IC"/>
    <m/>
    <m/>
    <x v="58"/>
  </r>
  <r>
    <s v="70095-2180-000-00"/>
    <d v="2019-06-30T00:00:00"/>
    <n v="324.44"/>
    <n v="0"/>
    <s v="USD"/>
    <s v="JRNLWA00394360"/>
    <s v="P"/>
    <s v="Prepaids and Amortizations"/>
    <s v="HelenaK"/>
    <s v="0/JE IC"/>
    <m/>
    <m/>
    <x v="62"/>
  </r>
  <r>
    <s v="70095-2180-000-00"/>
    <d v="2019-07-31T00:00:00"/>
    <n v="-53.98"/>
    <n v="0"/>
    <s v="USD"/>
    <s v="JRNLWA00394040"/>
    <s v="P"/>
    <s v="N Lemay Pcard Accrual"/>
    <s v="LaurenTi"/>
    <s v="0/JE IC"/>
    <m/>
    <m/>
    <x v="73"/>
  </r>
  <r>
    <s v="70095-2180-000-00"/>
    <d v="2019-07-31T00:00:00"/>
    <n v="-10.31"/>
    <n v="0"/>
    <s v="USD"/>
    <s v="JRNLWA00394040"/>
    <s v="P"/>
    <s v="N Lemay Pcard Accrual"/>
    <s v="LaurenTi"/>
    <s v="0/JE IC"/>
    <m/>
    <m/>
    <x v="74"/>
  </r>
  <r>
    <s v="70095-2180-000-00"/>
    <d v="2019-07-31T00:00:00"/>
    <n v="-2106.2199999999998"/>
    <n v="0"/>
    <s v="USD"/>
    <s v="JRNLWA00394040"/>
    <s v="P"/>
    <s v="N Lemay Pcard Accrual"/>
    <s v="LaurenTi"/>
    <s v="0/JE IC"/>
    <m/>
    <m/>
    <x v="75"/>
  </r>
  <r>
    <s v="70095-2180-000-00"/>
    <d v="2019-07-31T00:00:00"/>
    <n v="-261.33"/>
    <n v="0"/>
    <s v="USD"/>
    <s v="JRNLWA00394040"/>
    <s v="P"/>
    <s v="N Lemay Pcard Accrual"/>
    <s v="LaurenTi"/>
    <s v="0/JE IC"/>
    <m/>
    <m/>
    <x v="23"/>
  </r>
  <r>
    <s v="70095-2180-000-00"/>
    <d v="2019-07-31T00:00:00"/>
    <n v="-28.98"/>
    <n v="0"/>
    <s v="USD"/>
    <s v="JRNLWA00394040"/>
    <s v="P"/>
    <s v="N Lemay Pcard Accrual"/>
    <s v="LaurenTi"/>
    <s v="0/JE IC"/>
    <m/>
    <m/>
    <x v="76"/>
  </r>
  <r>
    <s v="70095-2180-000-00"/>
    <d v="2019-07-31T00:00:00"/>
    <n v="-87.42"/>
    <n v="0"/>
    <s v="USD"/>
    <s v="JRNLWA00394040"/>
    <s v="P"/>
    <s v="N Lemay Pcard Accrual"/>
    <s v="LaurenTi"/>
    <s v="0/JE IC"/>
    <m/>
    <m/>
    <x v="77"/>
  </r>
  <r>
    <s v="70095-2180-000-00"/>
    <d v="2019-07-31T00:00:00"/>
    <n v="-4131.54"/>
    <n v="0"/>
    <s v="USD"/>
    <s v="JRNLWA00394253"/>
    <s v="P"/>
    <s v="2019-06 NLeMay PO Log Accrual"/>
    <s v="LaurenTi"/>
    <s v="0/JE IC"/>
    <m/>
    <m/>
    <x v="78"/>
  </r>
  <r>
    <s v="70095-2180-000-00"/>
    <d v="2019-07-31T00:00:00"/>
    <n v="4131.54"/>
    <n v="0"/>
    <s v="USD"/>
    <s v="JRNLWA00395022"/>
    <s v="P"/>
    <s v="Western Pcard Activity - July"/>
    <s v="HelenaK"/>
    <s v="0/JE IC"/>
    <m/>
    <m/>
    <x v="79"/>
  </r>
  <r>
    <s v="70095-2180-000-00"/>
    <d v="2019-07-31T00:00:00"/>
    <n v="53.98"/>
    <n v="0"/>
    <s v="USD"/>
    <s v="JRNLWA00395022"/>
    <s v="P"/>
    <s v="Western Pcard Activity - July"/>
    <s v="HelenaK"/>
    <s v="0/JE IC"/>
    <m/>
    <m/>
    <x v="73"/>
  </r>
  <r>
    <s v="70095-2180-000-00"/>
    <d v="2019-07-31T00:00:00"/>
    <n v="10.31"/>
    <n v="0"/>
    <s v="USD"/>
    <s v="JRNLWA00395022"/>
    <s v="P"/>
    <s v="Western Pcard Activity - July"/>
    <s v="HelenaK"/>
    <s v="0/JE IC"/>
    <m/>
    <m/>
    <x v="74"/>
  </r>
  <r>
    <s v="70095-2180-000-00"/>
    <d v="2019-07-31T00:00:00"/>
    <n v="2106.2199999999998"/>
    <n v="0"/>
    <s v="USD"/>
    <s v="JRNLWA00395022"/>
    <s v="P"/>
    <s v="Western Pcard Activity - July"/>
    <s v="HelenaK"/>
    <s v="0/JE IC"/>
    <m/>
    <m/>
    <x v="75"/>
  </r>
  <r>
    <s v="70095-2180-000-00"/>
    <d v="2019-07-31T00:00:00"/>
    <n v="261.33"/>
    <n v="0"/>
    <s v="USD"/>
    <s v="JRNLWA00395022"/>
    <s v="P"/>
    <s v="Western Pcard Activity - July"/>
    <s v="HelenaK"/>
    <s v="0/JE IC"/>
    <m/>
    <m/>
    <x v="23"/>
  </r>
  <r>
    <s v="70095-2180-000-00"/>
    <d v="2019-07-31T00:00:00"/>
    <n v="28.98"/>
    <n v="0"/>
    <s v="USD"/>
    <s v="JRNLWA00395022"/>
    <s v="P"/>
    <s v="Western Pcard Activity - July"/>
    <s v="HelenaK"/>
    <s v="0/JE IC"/>
    <m/>
    <m/>
    <x v="76"/>
  </r>
  <r>
    <s v="70095-2180-000-00"/>
    <d v="2019-07-31T00:00:00"/>
    <n v="87.42"/>
    <n v="0"/>
    <s v="USD"/>
    <s v="JRNLWA00395022"/>
    <s v="P"/>
    <s v="Western Pcard Activity - July"/>
    <s v="HelenaK"/>
    <s v="0/JE IC"/>
    <m/>
    <m/>
    <x v="77"/>
  </r>
  <r>
    <s v="70095-2180-000-00"/>
    <d v="2019-07-31T00:00:00"/>
    <n v="607.67999999999995"/>
    <n v="0"/>
    <s v="USD"/>
    <s v="JRNLWA00395022"/>
    <s v="P"/>
    <s v="Western Pcard Activity - July"/>
    <s v="HelenaK"/>
    <s v="0/JE IC"/>
    <m/>
    <m/>
    <x v="70"/>
  </r>
  <r>
    <s v="70095-2180-000-00"/>
    <d v="2019-07-31T00:00:00"/>
    <n v="38.51"/>
    <n v="0"/>
    <s v="USD"/>
    <s v="JRNLWA00395022"/>
    <s v="P"/>
    <s v="Western Pcard Activity - July"/>
    <s v="HelenaK"/>
    <s v="0/JE IC"/>
    <m/>
    <m/>
    <x v="50"/>
  </r>
  <r>
    <s v="70095-2180-000-00"/>
    <d v="2019-07-31T00:00:00"/>
    <n v="122.19"/>
    <n v="0"/>
    <s v="USD"/>
    <s v="JRNLWA00395022"/>
    <s v="P"/>
    <s v="Western Pcard Activity - July"/>
    <s v="HelenaK"/>
    <s v="0/JE IC"/>
    <m/>
    <m/>
    <x v="12"/>
  </r>
  <r>
    <s v="70095-2180-000-00"/>
    <d v="2019-07-31T00:00:00"/>
    <n v="85.97"/>
    <n v="0"/>
    <s v="USD"/>
    <s v="JRNLWA00395022"/>
    <s v="P"/>
    <s v="Western Pcard Activity - July"/>
    <s v="HelenaK"/>
    <s v="0/JE IC"/>
    <m/>
    <m/>
    <x v="21"/>
  </r>
  <r>
    <s v="70095-2180-000-00"/>
    <d v="2019-07-31T00:00:00"/>
    <n v="36.049999999999997"/>
    <n v="0"/>
    <s v="USD"/>
    <s v="JRNLWA00395022"/>
    <s v="P"/>
    <s v="Western Pcard Activity - July"/>
    <s v="HelenaK"/>
    <s v="0/JE IC"/>
    <m/>
    <m/>
    <x v="80"/>
  </r>
  <r>
    <s v="70095-2180-000-00"/>
    <d v="2019-07-31T00:00:00"/>
    <n v="60.34"/>
    <n v="0"/>
    <s v="USD"/>
    <s v="JRNLWA00395022"/>
    <s v="P"/>
    <s v="Western Pcard Activity - July"/>
    <s v="HelenaK"/>
    <s v="0/JE IC"/>
    <m/>
    <m/>
    <x v="81"/>
  </r>
  <r>
    <s v="70095-2180-000-00"/>
    <d v="2019-07-31T00:00:00"/>
    <n v="34.119999999999997"/>
    <n v="0"/>
    <s v="USD"/>
    <s v="JRNLWA00395022"/>
    <s v="P"/>
    <s v="Western Pcard Activity - July"/>
    <s v="HelenaK"/>
    <s v="0/JE IC"/>
    <m/>
    <m/>
    <x v="82"/>
  </r>
  <r>
    <s v="70095-2180-000-00"/>
    <d v="2019-07-31T00:00:00"/>
    <n v="77.56"/>
    <n v="0"/>
    <s v="USD"/>
    <s v="JRNLWA00395022"/>
    <s v="P"/>
    <s v="Western Pcard Activity - July"/>
    <s v="HelenaK"/>
    <s v="0/JE IC"/>
    <m/>
    <m/>
    <x v="83"/>
  </r>
  <r>
    <s v="70095-2180-000-00"/>
    <d v="2019-07-31T00:00:00"/>
    <n v="55.16"/>
    <n v="0"/>
    <s v="USD"/>
    <s v="JRNLWA00395022"/>
    <s v="P"/>
    <s v="Western Pcard Activity - July"/>
    <s v="HelenaK"/>
    <s v="0/JE IC"/>
    <m/>
    <m/>
    <x v="84"/>
  </r>
  <r>
    <s v="70095-2180-000-00"/>
    <d v="2019-07-31T00:00:00"/>
    <n v="38.89"/>
    <n v="0"/>
    <s v="USD"/>
    <s v="JRNLWA00395022"/>
    <s v="P"/>
    <s v="Western Pcard Activity - July"/>
    <s v="HelenaK"/>
    <s v="0/JE IC"/>
    <m/>
    <m/>
    <x v="82"/>
  </r>
  <r>
    <s v="70095-2180-000-00"/>
    <d v="2019-07-31T00:00:00"/>
    <n v="126.43"/>
    <n v="0"/>
    <s v="USD"/>
    <s v="JRNLWA00395022"/>
    <s v="P"/>
    <s v="Western Pcard Activity - July"/>
    <s v="HelenaK"/>
    <s v="0/JE IC"/>
    <m/>
    <m/>
    <x v="85"/>
  </r>
  <r>
    <s v="70095-2180-000-00"/>
    <d v="2019-07-31T00:00:00"/>
    <n v="35.18"/>
    <n v="0"/>
    <s v="USD"/>
    <s v="JRNLWA00395181"/>
    <s v="P"/>
    <s v="WD Exp Report 7/2019"/>
    <s v="HeatherWe"/>
    <s v="0/JE IC"/>
    <m/>
    <m/>
    <x v="86"/>
  </r>
  <r>
    <s v="70095-2180-000-00"/>
    <d v="2019-07-31T00:00:00"/>
    <n v="67.87"/>
    <n v="0"/>
    <s v="USD"/>
    <s v="JRNLWA00395181"/>
    <s v="P"/>
    <s v="WD Exp Report 7/2019"/>
    <s v="HeatherWe"/>
    <s v="0/JE IC"/>
    <m/>
    <m/>
    <x v="86"/>
  </r>
  <r>
    <s v="70095-2180-000-00"/>
    <d v="2019-07-31T00:00:00"/>
    <n v="54.75"/>
    <n v="0"/>
    <s v="USD"/>
    <s v="JRNLWA00395181"/>
    <s v="P"/>
    <s v="WD Exp Report 7/2019"/>
    <s v="HeatherWe"/>
    <s v="0/JE IC"/>
    <m/>
    <m/>
    <x v="87"/>
  </r>
  <r>
    <s v="70095-2180-000-00"/>
    <d v="2019-07-31T00:00:00"/>
    <n v="17.98"/>
    <n v="0"/>
    <s v="USD"/>
    <s v="JRNLWA00395181"/>
    <s v="P"/>
    <s v="WD Exp Report 7/2019"/>
    <s v="HeatherWe"/>
    <s v="0/JE IC"/>
    <m/>
    <m/>
    <x v="88"/>
  </r>
  <r>
    <s v="70095-2180-000-00"/>
    <d v="2019-07-31T00:00:00"/>
    <n v="31.99"/>
    <n v="0"/>
    <s v="USD"/>
    <s v="JRNLWA00395181"/>
    <s v="P"/>
    <s v="WD Exp Report 7/2019"/>
    <s v="HeatherWe"/>
    <s v="0/JE IC"/>
    <m/>
    <m/>
    <x v="88"/>
  </r>
  <r>
    <s v="70095-2180-000-00"/>
    <d v="2019-07-31T00:00:00"/>
    <n v="28.42"/>
    <n v="0"/>
    <s v="USD"/>
    <s v="JRNLWA00395181"/>
    <s v="P"/>
    <s v="WD Exp Report 7/2019"/>
    <s v="HeatherWe"/>
    <s v="0/JE IC"/>
    <m/>
    <m/>
    <x v="88"/>
  </r>
  <r>
    <s v="70095-2180-000-00"/>
    <d v="2019-07-31T00:00:00"/>
    <n v="12.98"/>
    <n v="0"/>
    <s v="USD"/>
    <s v="JRNLWA00395181"/>
    <s v="P"/>
    <s v="WD Exp Report 7/2019"/>
    <s v="HeatherWe"/>
    <s v="0/JE IC"/>
    <m/>
    <m/>
    <x v="88"/>
  </r>
  <r>
    <s v="70095-2180-000-00"/>
    <d v="2019-07-31T00:00:00"/>
    <n v="37.25"/>
    <n v="0"/>
    <s v="USD"/>
    <s v="JRNLWA00395181"/>
    <s v="P"/>
    <s v="WD Exp Report 7/2019"/>
    <s v="HeatherWe"/>
    <s v="0/JE IC"/>
    <m/>
    <m/>
    <x v="89"/>
  </r>
  <r>
    <s v="70095-2180-700-00"/>
    <d v="2019-07-31T00:00:00"/>
    <n v="153.03"/>
    <n v="0"/>
    <s v="USD"/>
    <s v="JRNLWA00395181"/>
    <s v="P"/>
    <s v="WD Exp Report 7/2019"/>
    <s v="HeatherWe"/>
    <s v="0/JE IC"/>
    <m/>
    <m/>
    <x v="90"/>
  </r>
  <r>
    <s v="70095-2180-000-00"/>
    <d v="2019-07-31T00:00:00"/>
    <n v="109.46"/>
    <n v="0"/>
    <s v="USD"/>
    <s v="JRNLWA00395586"/>
    <s v="P"/>
    <s v="N Lemay Pcard Accrual"/>
    <s v="HeatherWe"/>
    <s v="0/JE IC"/>
    <m/>
    <m/>
    <x v="91"/>
  </r>
  <r>
    <s v="70095-2180-000-00"/>
    <d v="2019-07-31T00:00:00"/>
    <n v="162.86000000000001"/>
    <n v="0"/>
    <s v="USD"/>
    <s v="JRNLWA00395586"/>
    <s v="P"/>
    <s v="N Lemay Pcard Accrual"/>
    <s v="HeatherWe"/>
    <s v="0/JE IC"/>
    <m/>
    <m/>
    <x v="54"/>
  </r>
  <r>
    <s v="70095-2180-000-00"/>
    <d v="2019-07-31T00:00:00"/>
    <n v="1761.33"/>
    <n v="0"/>
    <s v="USD"/>
    <s v="JRNLWA00395592"/>
    <s v="P"/>
    <s v="Exp15-Prepaid Amortization"/>
    <s v="HeatherWe"/>
    <s v="0/JE IC"/>
    <m/>
    <m/>
    <x v="58"/>
  </r>
  <r>
    <s v="70095-2180-000-00"/>
    <d v="2019-07-31T00:00:00"/>
    <n v="138.22999999999999"/>
    <n v="0"/>
    <s v="USD"/>
    <s v="JRNLWA00395592"/>
    <s v="P"/>
    <s v="Exp15-Prepaid Amortization"/>
    <s v="HeatherWe"/>
    <s v="0/JE IC"/>
    <m/>
    <m/>
    <x v="92"/>
  </r>
  <r>
    <s v="70095-2180-000-00"/>
    <d v="2019-07-31T00:00:00"/>
    <n v="324.44"/>
    <n v="0"/>
    <s v="USD"/>
    <s v="JRNLWA00395737"/>
    <s v="P"/>
    <s v="Prepaids and Amortizations"/>
    <s v="HelenaK"/>
    <s v="0/JE IC"/>
    <m/>
    <m/>
    <x v="62"/>
  </r>
  <r>
    <s v="70095-2180-000-00"/>
    <d v="2019-08-31T00:00:00"/>
    <n v="-109.46"/>
    <n v="0"/>
    <s v="USD"/>
    <s v="JRNLWA00395611"/>
    <s v="P"/>
    <s v="N Lemay Pcard Accrual"/>
    <s v="HelenaK"/>
    <s v="0/JE IC"/>
    <m/>
    <m/>
    <x v="91"/>
  </r>
  <r>
    <s v="70095-2180-000-00"/>
    <d v="2019-08-31T00:00:00"/>
    <n v="-162.86000000000001"/>
    <n v="0"/>
    <s v="USD"/>
    <s v="JRNLWA00395611"/>
    <s v="P"/>
    <s v="N Lemay Pcard Accrual"/>
    <s v="HelenaK"/>
    <s v="0/JE IC"/>
    <m/>
    <m/>
    <x v="54"/>
  </r>
  <r>
    <s v="70095-2180-000-00"/>
    <d v="2019-08-31T00:00:00"/>
    <n v="128.21"/>
    <n v="0"/>
    <s v="USD"/>
    <s v="JRNLWA00396439"/>
    <s v="P"/>
    <s v="Western Pcard Activity - Aug"/>
    <s v="LaurenTi"/>
    <s v="0/JE IC"/>
    <m/>
    <m/>
    <x v="93"/>
  </r>
  <r>
    <s v="70095-2180-000-00"/>
    <d v="2019-08-31T00:00:00"/>
    <n v="64.5"/>
    <n v="0"/>
    <s v="USD"/>
    <s v="JRNLWA00396439"/>
    <s v="P"/>
    <s v="Western Pcard Activity - Aug"/>
    <s v="LaurenTi"/>
    <s v="0/JE IC"/>
    <m/>
    <m/>
    <x v="94"/>
  </r>
  <r>
    <s v="70095-2180-000-00"/>
    <d v="2019-08-31T00:00:00"/>
    <n v="33.67"/>
    <n v="0"/>
    <s v="USD"/>
    <s v="JRNLWA00396439"/>
    <s v="P"/>
    <s v="Western Pcard Activity - Aug"/>
    <s v="LaurenTi"/>
    <s v="0/JE IC"/>
    <m/>
    <m/>
    <x v="95"/>
  </r>
  <r>
    <s v="70095-2180-000-00"/>
    <d v="2019-08-31T00:00:00"/>
    <n v="67.12"/>
    <n v="0"/>
    <s v="USD"/>
    <s v="JRNLWA00396439"/>
    <s v="P"/>
    <s v="Western Pcard Activity - Aug"/>
    <s v="LaurenTi"/>
    <s v="0/JE IC"/>
    <m/>
    <m/>
    <x v="96"/>
  </r>
  <r>
    <s v="70095-2180-000-00"/>
    <d v="2019-08-31T00:00:00"/>
    <n v="101.98"/>
    <n v="0"/>
    <s v="USD"/>
    <s v="JRNLWA00396439"/>
    <s v="P"/>
    <s v="Western Pcard Activity - Aug"/>
    <s v="LaurenTi"/>
    <s v="0/JE IC"/>
    <m/>
    <m/>
    <x v="26"/>
  </r>
  <r>
    <s v="70095-2180-000-00"/>
    <d v="2019-08-31T00:00:00"/>
    <n v="25.56"/>
    <n v="0"/>
    <s v="USD"/>
    <s v="JRNLWA00396439"/>
    <s v="P"/>
    <s v="Western Pcard Activity - Aug"/>
    <s v="LaurenTi"/>
    <s v="0/JE IC"/>
    <m/>
    <m/>
    <x v="97"/>
  </r>
  <r>
    <s v="70095-2180-000-00"/>
    <d v="2019-08-31T00:00:00"/>
    <n v="115.31"/>
    <n v="0"/>
    <s v="USD"/>
    <s v="JRNLWA00396439"/>
    <s v="P"/>
    <s v="Western Pcard Activity - Aug"/>
    <s v="LaurenTi"/>
    <s v="0/JE IC"/>
    <m/>
    <m/>
    <x v="98"/>
  </r>
  <r>
    <s v="70095-2180-000-00"/>
    <d v="2019-08-31T00:00:00"/>
    <n v="34.020000000000003"/>
    <n v="0"/>
    <s v="USD"/>
    <s v="JRNLWA00396439"/>
    <s v="P"/>
    <s v="Western Pcard Activity - Aug"/>
    <s v="LaurenTi"/>
    <s v="0/JE IC"/>
    <m/>
    <m/>
    <x v="99"/>
  </r>
  <r>
    <s v="70095-2180-000-00"/>
    <d v="2019-08-31T00:00:00"/>
    <n v="45.78"/>
    <n v="0"/>
    <s v="USD"/>
    <s v="JRNLWA00396439"/>
    <s v="P"/>
    <s v="Western Pcard Activity - Aug"/>
    <s v="LaurenTi"/>
    <s v="0/JE IC"/>
    <m/>
    <m/>
    <x v="100"/>
  </r>
  <r>
    <s v="70095-2180-000-00"/>
    <d v="2019-08-31T00:00:00"/>
    <n v="61.97"/>
    <n v="0"/>
    <s v="USD"/>
    <s v="JRNLWA00396439"/>
    <s v="P"/>
    <s v="Western Pcard Activity - Aug"/>
    <s v="LaurenTi"/>
    <s v="0/JE IC"/>
    <m/>
    <m/>
    <x v="101"/>
  </r>
  <r>
    <s v="70095-2180-000-00"/>
    <d v="2019-08-31T00:00:00"/>
    <n v="27"/>
    <n v="0"/>
    <s v="USD"/>
    <s v="JRNLWA00396439"/>
    <s v="P"/>
    <s v="Western Pcard Activity - Aug"/>
    <s v="LaurenTi"/>
    <s v="0/JE IC"/>
    <m/>
    <m/>
    <x v="102"/>
  </r>
  <r>
    <s v="70095-2180-000-00"/>
    <d v="2019-08-31T00:00:00"/>
    <n v="54.21"/>
    <n v="0"/>
    <s v="USD"/>
    <s v="JRNLWA00396439"/>
    <s v="P"/>
    <s v="Western Pcard Activity - Aug"/>
    <s v="LaurenTi"/>
    <s v="0/JE IC"/>
    <m/>
    <m/>
    <x v="103"/>
  </r>
  <r>
    <s v="70095-2180-000-00"/>
    <d v="2019-08-31T00:00:00"/>
    <n v="320.77"/>
    <n v="0"/>
    <s v="USD"/>
    <s v="JRNLWA00396439"/>
    <s v="P"/>
    <s v="Western Pcard Activity - Aug"/>
    <s v="LaurenTi"/>
    <s v="0/JE IC"/>
    <m/>
    <m/>
    <x v="104"/>
  </r>
  <r>
    <s v="70095-2180-000-00"/>
    <d v="2019-08-31T00:00:00"/>
    <n v="38.51"/>
    <n v="0"/>
    <s v="USD"/>
    <s v="JRNLWA00396439"/>
    <s v="P"/>
    <s v="Western Pcard Activity - Aug"/>
    <s v="LaurenTi"/>
    <s v="0/JE IC"/>
    <m/>
    <m/>
    <x v="105"/>
  </r>
  <r>
    <s v="70095-2180-000-00"/>
    <d v="2019-08-31T00:00:00"/>
    <n v="51.33"/>
    <n v="0"/>
    <s v="USD"/>
    <s v="JRNLWA00396439"/>
    <s v="P"/>
    <s v="Western Pcard Activity - Aug"/>
    <s v="LaurenTi"/>
    <s v="0/JE IC"/>
    <m/>
    <m/>
    <x v="105"/>
  </r>
  <r>
    <s v="70095-2180-000-00"/>
    <d v="2019-08-31T00:00:00"/>
    <n v="540.75"/>
    <n v="0"/>
    <s v="USD"/>
    <s v="JRNLWA00396439"/>
    <s v="P"/>
    <s v="Western Pcard Activity - Aug"/>
    <s v="LaurenTi"/>
    <s v="0/JE IC"/>
    <m/>
    <m/>
    <x v="106"/>
  </r>
  <r>
    <s v="70095-2180-000-00"/>
    <d v="2019-08-31T00:00:00"/>
    <n v="1033.3"/>
    <n v="0"/>
    <s v="USD"/>
    <s v="JRNLWA00396439"/>
    <s v="P"/>
    <s v="Western Pcard Activity - Aug"/>
    <s v="LaurenTi"/>
    <s v="0/JE IC"/>
    <m/>
    <m/>
    <x v="107"/>
  </r>
  <r>
    <s v="70095-2180-000-00"/>
    <d v="2019-08-31T00:00:00"/>
    <n v="109.46"/>
    <n v="0"/>
    <s v="USD"/>
    <s v="JRNLWA00396439"/>
    <s v="P"/>
    <s v="Western Pcard Activity - Aug"/>
    <s v="LaurenTi"/>
    <s v="0/JE IC"/>
    <m/>
    <m/>
    <x v="91"/>
  </r>
  <r>
    <s v="70095-2180-000-00"/>
    <d v="2019-08-31T00:00:00"/>
    <n v="162.86000000000001"/>
    <n v="0"/>
    <s v="USD"/>
    <s v="JRNLWA00396439"/>
    <s v="P"/>
    <s v="Western Pcard Activity - Aug"/>
    <s v="LaurenTi"/>
    <s v="0/JE IC"/>
    <m/>
    <m/>
    <x v="54"/>
  </r>
  <r>
    <s v="70095-2180-000-00"/>
    <d v="2019-08-31T00:00:00"/>
    <n v="90.81"/>
    <n v="0"/>
    <s v="USD"/>
    <s v="JRNLWA00396439"/>
    <s v="P"/>
    <s v="Western Pcard Activity - Aug"/>
    <s v="LaurenTi"/>
    <s v="0/JE IC"/>
    <m/>
    <m/>
    <x v="70"/>
  </r>
  <r>
    <s v="70095-2180-000-00"/>
    <d v="2019-08-31T00:00:00"/>
    <n v="74.73"/>
    <n v="0"/>
    <s v="USD"/>
    <s v="JRNLWA00396439"/>
    <s v="P"/>
    <s v="Western Pcard Activity - Aug"/>
    <s v="LaurenTi"/>
    <s v="0/JE IC"/>
    <m/>
    <m/>
    <x v="13"/>
  </r>
  <r>
    <s v="70095-2180-000-00"/>
    <d v="2019-08-31T00:00:00"/>
    <n v="114.12"/>
    <n v="0"/>
    <s v="USD"/>
    <s v="JRNLWA00396439"/>
    <s v="P"/>
    <s v="Western Pcard Activity - Aug"/>
    <s v="LaurenTi"/>
    <s v="0/JE IC"/>
    <m/>
    <m/>
    <x v="21"/>
  </r>
  <r>
    <s v="70095-2180-000-00"/>
    <d v="2019-08-31T00:00:00"/>
    <n v="78.75"/>
    <n v="0"/>
    <s v="USD"/>
    <s v="JRNLWA00396439"/>
    <s v="P"/>
    <s v="Western Pcard Activity - Aug"/>
    <s v="LaurenTi"/>
    <s v="0/JE IC"/>
    <m/>
    <m/>
    <x v="108"/>
  </r>
  <r>
    <s v="70095-2180-000-00"/>
    <d v="2019-08-31T00:00:00"/>
    <n v="51"/>
    <n v="0"/>
    <s v="USD"/>
    <s v="JRNLWA00396439"/>
    <s v="P"/>
    <s v="Western Pcard Activity - Aug"/>
    <s v="LaurenTi"/>
    <s v="0/JE IC"/>
    <m/>
    <m/>
    <x v="109"/>
  </r>
  <r>
    <s v="70095-2180-000-00"/>
    <d v="2019-08-31T00:00:00"/>
    <n v="120.89"/>
    <n v="0"/>
    <s v="USD"/>
    <s v="JRNLWA00396439"/>
    <s v="P"/>
    <s v="Western Pcard Activity - Aug"/>
    <s v="LaurenTi"/>
    <s v="0/JE IC"/>
    <m/>
    <m/>
    <x v="13"/>
  </r>
  <r>
    <s v="70095-2180-000-00"/>
    <d v="2019-08-31T00:00:00"/>
    <n v="175"/>
    <n v="0"/>
    <s v="USD"/>
    <s v="JRNLWA00396439"/>
    <s v="P"/>
    <s v="Western Pcard Activity - Aug"/>
    <s v="LaurenTi"/>
    <s v="0/JE IC"/>
    <m/>
    <m/>
    <x v="110"/>
  </r>
  <r>
    <s v="70095-2180-000-00"/>
    <d v="2019-08-31T00:00:00"/>
    <n v="51.74"/>
    <n v="0"/>
    <s v="USD"/>
    <s v="JRNLWA00396439"/>
    <s v="P"/>
    <s v="Western Pcard Activity - Aug"/>
    <s v="LaurenTi"/>
    <s v="0/JE IC"/>
    <m/>
    <m/>
    <x v="91"/>
  </r>
  <r>
    <s v="70095-2180-000-00"/>
    <d v="2019-08-31T00:00:00"/>
    <n v="36.520000000000003"/>
    <n v="0"/>
    <s v="USD"/>
    <s v="JRNLWA00396439"/>
    <s v="P"/>
    <s v="Western Pcard Activity - Aug"/>
    <s v="LaurenTi"/>
    <s v="0/JE IC"/>
    <m/>
    <m/>
    <x v="50"/>
  </r>
  <r>
    <s v="70095-2180-000-00"/>
    <d v="2019-08-31T00:00:00"/>
    <n v="200"/>
    <n v="0"/>
    <s v="USD"/>
    <s v="JRNLWA00396439"/>
    <s v="P"/>
    <s v="Western Pcard Activity - Aug"/>
    <s v="LaurenTi"/>
    <s v="0/JE IC"/>
    <m/>
    <m/>
    <x v="111"/>
  </r>
  <r>
    <s v="70095-2180-000-00"/>
    <d v="2019-08-31T00:00:00"/>
    <n v="109.98"/>
    <n v="0"/>
    <s v="USD"/>
    <s v="JRNLWA00396439"/>
    <s v="P"/>
    <s v="Western Pcard Activity - Aug"/>
    <s v="LaurenTi"/>
    <s v="0/JE IC"/>
    <m/>
    <m/>
    <x v="112"/>
  </r>
  <r>
    <s v="70095-2180-000-00"/>
    <d v="2019-08-31T00:00:00"/>
    <n v="21.01"/>
    <n v="0"/>
    <s v="USD"/>
    <s v="JRNLWA00396439"/>
    <s v="P"/>
    <s v="Western Pcard Activity - Aug"/>
    <s v="LaurenTi"/>
    <s v="0/JE IC"/>
    <m/>
    <m/>
    <x v="113"/>
  </r>
  <r>
    <s v="70095-2180-000-00"/>
    <d v="2019-08-31T00:00:00"/>
    <n v="42.28"/>
    <n v="0"/>
    <s v="USD"/>
    <s v="JRNLWA00396439"/>
    <s v="P"/>
    <s v="Western Pcard Activity - Aug"/>
    <s v="LaurenTi"/>
    <s v="0/JE IC"/>
    <m/>
    <m/>
    <x v="113"/>
  </r>
  <r>
    <s v="70095-2180-000-00"/>
    <d v="2019-08-31T00:00:00"/>
    <n v="72.91"/>
    <n v="0"/>
    <s v="USD"/>
    <s v="JRNLWA00396439"/>
    <s v="P"/>
    <s v="Western Pcard Activity - Aug"/>
    <s v="LaurenTi"/>
    <s v="0/JE IC"/>
    <m/>
    <m/>
    <x v="113"/>
  </r>
  <r>
    <s v="70095-2180-000-00"/>
    <d v="2019-08-31T00:00:00"/>
    <n v="88.48"/>
    <n v="0"/>
    <s v="USD"/>
    <s v="JRNLWA00396439"/>
    <s v="P"/>
    <s v="Western Pcard Activity - Aug"/>
    <s v="LaurenTi"/>
    <s v="0/JE IC"/>
    <m/>
    <m/>
    <x v="113"/>
  </r>
  <r>
    <s v="70095-2180-000-00"/>
    <d v="2019-08-31T00:00:00"/>
    <n v="268.18"/>
    <n v="0"/>
    <s v="USD"/>
    <s v="JRNLWA00396439"/>
    <s v="P"/>
    <s v="Western Pcard Activity - Aug"/>
    <s v="LaurenTi"/>
    <s v="0/JE IC"/>
    <m/>
    <m/>
    <x v="114"/>
  </r>
  <r>
    <s v="70095-2180-000-00"/>
    <d v="2019-08-31T00:00:00"/>
    <n v="13.68"/>
    <n v="0"/>
    <s v="USD"/>
    <s v="JRNLWA00396701"/>
    <s v="P"/>
    <s v="WD Exp Report 8/2019"/>
    <s v="HelenaK"/>
    <s v="0/JE IC"/>
    <m/>
    <m/>
    <x v="115"/>
  </r>
  <r>
    <s v="70095-2180-000-00"/>
    <d v="2019-08-31T00:00:00"/>
    <n v="386.93"/>
    <n v="0"/>
    <s v="USD"/>
    <s v="JRNLWA00396999"/>
    <s v="P"/>
    <s v="N Lemay Pcard Accrual"/>
    <s v="HelenaK"/>
    <s v="0/JE IC"/>
    <m/>
    <m/>
    <x v="54"/>
  </r>
  <r>
    <s v="70095-2180-000-00"/>
    <d v="2019-08-31T00:00:00"/>
    <n v="78.03"/>
    <n v="0"/>
    <s v="USD"/>
    <s v="JRNLWA00396999"/>
    <s v="P"/>
    <s v="N Lemay Pcard Accrual"/>
    <s v="HelenaK"/>
    <s v="0/JE IC"/>
    <m/>
    <m/>
    <x v="13"/>
  </r>
  <r>
    <s v="70095-2180-000-00"/>
    <d v="2019-08-31T00:00:00"/>
    <n v="2119.65"/>
    <n v="0"/>
    <s v="USD"/>
    <s v="JRNLWA00396999"/>
    <s v="P"/>
    <s v="N Lemay Pcard Accrual"/>
    <s v="HelenaK"/>
    <s v="0/JE IC"/>
    <m/>
    <m/>
    <x v="111"/>
  </r>
  <r>
    <s v="70095-2180-000-00"/>
    <d v="2019-08-31T00:00:00"/>
    <n v="1761.34"/>
    <n v="0"/>
    <s v="USD"/>
    <s v="JRNLWA00397002"/>
    <s v="P"/>
    <s v="Exp15-Prepaid Amortization"/>
    <s v="HelenaK"/>
    <s v="0/JE IC"/>
    <m/>
    <m/>
    <x v="58"/>
  </r>
  <r>
    <s v="70095-2180-000-00"/>
    <d v="2019-08-31T00:00:00"/>
    <n v="81.650000000000006"/>
    <n v="0"/>
    <s v="USD"/>
    <s v="JRNLWA00397002"/>
    <s v="P"/>
    <s v="Exp15-Prepaid Amortization"/>
    <s v="HelenaK"/>
    <s v="0/JE IC"/>
    <m/>
    <m/>
    <x v="116"/>
  </r>
  <r>
    <s v="70095-2180-000-00"/>
    <d v="2019-08-31T00:00:00"/>
    <n v="638.98"/>
    <n v="0"/>
    <s v="USD"/>
    <s v="JRNLWA00397230"/>
    <s v="P"/>
    <s v="2019-08 Pcard Accrual"/>
    <s v="HelenaK"/>
    <s v="0/JE IC"/>
    <m/>
    <m/>
    <x v="117"/>
  </r>
  <r>
    <s v="70095-2180-000-00"/>
    <d v="2019-08-31T00:00:00"/>
    <n v="324.44"/>
    <n v="0"/>
    <s v="USD"/>
    <s v="JRNLWA00397236"/>
    <s v="P"/>
    <s v="Prepaids and Amortizations"/>
    <s v="HelenaK"/>
    <s v="0/JE IC"/>
    <m/>
    <m/>
    <x v="62"/>
  </r>
  <r>
    <s v="70095-2180-000-00"/>
    <d v="2019-09-30T00:00:00"/>
    <n v="-386.93"/>
    <n v="0"/>
    <s v="USD"/>
    <s v="JRNLWA00397041"/>
    <s v="P"/>
    <s v="N Lemay Pcard Accrual"/>
    <s v="HeatherWe"/>
    <s v="0/JE IC"/>
    <m/>
    <m/>
    <x v="54"/>
  </r>
  <r>
    <s v="70095-2180-000-00"/>
    <d v="2019-09-30T00:00:00"/>
    <n v="-78.03"/>
    <n v="0"/>
    <s v="USD"/>
    <s v="JRNLWA00397041"/>
    <s v="P"/>
    <s v="N Lemay Pcard Accrual"/>
    <s v="HeatherWe"/>
    <s v="0/JE IC"/>
    <m/>
    <m/>
    <x v="13"/>
  </r>
  <r>
    <s v="70095-2180-000-00"/>
    <d v="2019-09-30T00:00:00"/>
    <n v="-2119.65"/>
    <n v="0"/>
    <s v="USD"/>
    <s v="JRNLWA00397041"/>
    <s v="P"/>
    <s v="N Lemay Pcard Accrual"/>
    <s v="HeatherWe"/>
    <s v="0/JE IC"/>
    <m/>
    <m/>
    <x v="111"/>
  </r>
  <r>
    <s v="70095-2180-000-00"/>
    <d v="2019-09-30T00:00:00"/>
    <n v="-638.98"/>
    <n v="0"/>
    <s v="USD"/>
    <s v="JRNLWA00397279"/>
    <s v="P"/>
    <s v="2019-08 Pcard Accrual"/>
    <s v="HelenaK"/>
    <s v="0/JE IC"/>
    <m/>
    <m/>
    <x v="117"/>
  </r>
  <r>
    <s v="70095-2180-000-00"/>
    <d v="2019-09-30T00:00:00"/>
    <n v="638.98"/>
    <n v="0"/>
    <s v="USD"/>
    <s v="JRNLWA00397851"/>
    <s v="P"/>
    <s v="Western Pcard Activity - Septe"/>
    <s v="HelenaK"/>
    <s v="0/JE IC"/>
    <m/>
    <m/>
    <x v="117"/>
  </r>
  <r>
    <s v="70095-2180-000-00"/>
    <d v="2019-09-30T00:00:00"/>
    <n v="750"/>
    <n v="0"/>
    <s v="USD"/>
    <s v="JRNLWA00397851"/>
    <s v="P"/>
    <s v="Western Pcard Activity - Septe"/>
    <s v="HelenaK"/>
    <s v="0/JE IC"/>
    <m/>
    <m/>
    <x v="118"/>
  </r>
  <r>
    <s v="70095-2180-000-00"/>
    <d v="2019-09-30T00:00:00"/>
    <n v="585.21"/>
    <n v="0"/>
    <s v="USD"/>
    <s v="JRNLWA00397851"/>
    <s v="P"/>
    <s v="Western Pcard Activity - Septe"/>
    <s v="HelenaK"/>
    <s v="0/JE IC"/>
    <m/>
    <m/>
    <x v="119"/>
  </r>
  <r>
    <s v="70095-2180-000-00"/>
    <d v="2019-09-30T00:00:00"/>
    <n v="101.89"/>
    <n v="0"/>
    <s v="USD"/>
    <s v="JRNLWA00397851"/>
    <s v="P"/>
    <s v="Western Pcard Activity - Septe"/>
    <s v="HelenaK"/>
    <s v="0/JE IC"/>
    <m/>
    <m/>
    <x v="120"/>
  </r>
  <r>
    <s v="70095-2180-000-00"/>
    <d v="2019-09-30T00:00:00"/>
    <n v="386.93"/>
    <n v="0"/>
    <s v="USD"/>
    <s v="JRNLWA00397851"/>
    <s v="P"/>
    <s v="Western Pcard Activity - Septe"/>
    <s v="HelenaK"/>
    <s v="0/JE IC"/>
    <m/>
    <m/>
    <x v="54"/>
  </r>
  <r>
    <s v="70095-2180-000-00"/>
    <d v="2019-09-30T00:00:00"/>
    <n v="78.03"/>
    <n v="0"/>
    <s v="USD"/>
    <s v="JRNLWA00397851"/>
    <s v="P"/>
    <s v="Western Pcard Activity - Septe"/>
    <s v="HelenaK"/>
    <s v="0/JE IC"/>
    <m/>
    <m/>
    <x v="13"/>
  </r>
  <r>
    <s v="70095-2180-000-00"/>
    <d v="2019-09-30T00:00:00"/>
    <n v="2119.65"/>
    <n v="0"/>
    <s v="USD"/>
    <s v="JRNLWA00397851"/>
    <s v="P"/>
    <s v="Western Pcard Activity - Septe"/>
    <s v="HelenaK"/>
    <s v="0/JE IC"/>
    <m/>
    <m/>
    <x v="111"/>
  </r>
  <r>
    <s v="70095-2180-000-00"/>
    <d v="2019-09-30T00:00:00"/>
    <n v="171.96"/>
    <n v="0"/>
    <s v="USD"/>
    <s v="JRNLWA00397851"/>
    <s v="P"/>
    <s v="Western Pcard Activity - Septe"/>
    <s v="HelenaK"/>
    <s v="0/JE IC"/>
    <m/>
    <m/>
    <x v="70"/>
  </r>
  <r>
    <s v="70095-2180-000-00"/>
    <d v="2019-09-30T00:00:00"/>
    <n v="76.989999999999995"/>
    <n v="0"/>
    <s v="USD"/>
    <s v="JRNLWA00397851"/>
    <s v="P"/>
    <s v="Western Pcard Activity - Septe"/>
    <s v="HelenaK"/>
    <s v="0/JE IC"/>
    <m/>
    <m/>
    <x v="121"/>
  </r>
  <r>
    <s v="70095-2180-000-00"/>
    <d v="2019-09-30T00:00:00"/>
    <n v="75.22"/>
    <n v="0"/>
    <s v="USD"/>
    <s v="JRNLWA00397851"/>
    <s v="P"/>
    <s v="Western Pcard Activity - Septe"/>
    <s v="HelenaK"/>
    <s v="0/JE IC"/>
    <m/>
    <m/>
    <x v="122"/>
  </r>
  <r>
    <s v="70095-2180-000-00"/>
    <d v="2019-09-30T00:00:00"/>
    <n v="610.58000000000004"/>
    <n v="0"/>
    <s v="USD"/>
    <s v="JRNLWA00397851"/>
    <s v="P"/>
    <s v="Western Pcard Activity - Septe"/>
    <s v="HelenaK"/>
    <s v="0/JE IC"/>
    <m/>
    <m/>
    <x v="123"/>
  </r>
  <r>
    <s v="70095-2180-000-00"/>
    <d v="2019-09-30T00:00:00"/>
    <n v="185.55"/>
    <n v="0"/>
    <s v="USD"/>
    <s v="JRNLWA00397851"/>
    <s v="P"/>
    <s v="Western Pcard Activity - Septe"/>
    <s v="HelenaK"/>
    <s v="0/JE IC"/>
    <m/>
    <m/>
    <x v="124"/>
  </r>
  <r>
    <s v="70095-2180-000-00"/>
    <d v="2019-09-30T00:00:00"/>
    <n v="109"/>
    <n v="0"/>
    <s v="USD"/>
    <s v="JRNLWA00397851"/>
    <s v="P"/>
    <s v="Western Pcard Activity - Septe"/>
    <s v="HelenaK"/>
    <s v="0/JE IC"/>
    <m/>
    <m/>
    <x v="91"/>
  </r>
  <r>
    <s v="70095-2180-000-00"/>
    <d v="2019-09-30T00:00:00"/>
    <n v="43.7"/>
    <n v="0"/>
    <s v="USD"/>
    <s v="JRNLWA00398249"/>
    <s v="P"/>
    <s v="WD Exp Report 9/2019"/>
    <s v="HelenaK"/>
    <s v="0/JE IC"/>
    <m/>
    <m/>
    <x v="125"/>
  </r>
  <r>
    <s v="70095-2180-000-00"/>
    <d v="2019-09-30T00:00:00"/>
    <n v="72.05"/>
    <n v="0"/>
    <s v="USD"/>
    <s v="JRNLWA00398249"/>
    <s v="P"/>
    <s v="WD Exp Report 9/2019"/>
    <s v="HelenaK"/>
    <s v="0/JE IC"/>
    <m/>
    <m/>
    <x v="125"/>
  </r>
  <r>
    <s v="70095-2180-000-00"/>
    <d v="2019-09-30T00:00:00"/>
    <n v="41.93"/>
    <n v="0"/>
    <s v="USD"/>
    <s v="JRNLWA00398249"/>
    <s v="P"/>
    <s v="WD Exp Report 9/2019"/>
    <s v="HelenaK"/>
    <s v="0/JE IC"/>
    <m/>
    <m/>
    <x v="125"/>
  </r>
  <r>
    <s v="70095-2180-000-00"/>
    <d v="2019-09-30T00:00:00"/>
    <n v="45.1"/>
    <n v="0"/>
    <s v="USD"/>
    <s v="JRNLWA00398249"/>
    <s v="P"/>
    <s v="WD Exp Report 9/2019"/>
    <s v="HelenaK"/>
    <s v="0/JE IC"/>
    <m/>
    <m/>
    <x v="125"/>
  </r>
  <r>
    <s v="70095-2180-000-00"/>
    <d v="2019-09-30T00:00:00"/>
    <n v="15.98"/>
    <n v="0"/>
    <s v="USD"/>
    <s v="JRNLWA00398249"/>
    <s v="P"/>
    <s v="WD Exp Report 9/2019"/>
    <s v="HelenaK"/>
    <s v="0/JE IC"/>
    <m/>
    <m/>
    <x v="125"/>
  </r>
  <r>
    <s v="70095-2180-000-00"/>
    <d v="2019-09-30T00:00:00"/>
    <n v="18.399999999999999"/>
    <n v="0"/>
    <s v="USD"/>
    <s v="JRNLWA00398249"/>
    <s v="P"/>
    <s v="WD Exp Report 9/2019"/>
    <s v="HelenaK"/>
    <s v="0/JE IC"/>
    <m/>
    <m/>
    <x v="126"/>
  </r>
  <r>
    <s v="70095-2180-000-00"/>
    <d v="2019-09-30T00:00:00"/>
    <n v="31.05"/>
    <n v="0"/>
    <s v="USD"/>
    <s v="JRNLWA00398249"/>
    <s v="P"/>
    <s v="WD Exp Report 9/2019"/>
    <s v="HelenaK"/>
    <s v="0/JE IC"/>
    <m/>
    <m/>
    <x v="126"/>
  </r>
  <r>
    <s v="70095-2180-000-00"/>
    <d v="2019-09-30T00:00:00"/>
    <n v="26.45"/>
    <n v="0"/>
    <s v="USD"/>
    <s v="JRNLWA00398249"/>
    <s v="P"/>
    <s v="WD Exp Report 9/2019"/>
    <s v="HelenaK"/>
    <s v="0/JE IC"/>
    <m/>
    <m/>
    <x v="126"/>
  </r>
  <r>
    <s v="70095-2180-000-00"/>
    <d v="2019-09-30T00:00:00"/>
    <n v="105.8"/>
    <n v="0"/>
    <s v="USD"/>
    <s v="JRNLWA00398249"/>
    <s v="P"/>
    <s v="WD Exp Report 9/2019"/>
    <s v="HelenaK"/>
    <s v="0/JE IC"/>
    <m/>
    <m/>
    <x v="126"/>
  </r>
  <r>
    <s v="70095-2180-000-00"/>
    <d v="2019-09-30T00:00:00"/>
    <n v="42.55"/>
    <n v="0"/>
    <s v="USD"/>
    <s v="JRNLWA00398249"/>
    <s v="P"/>
    <s v="WD Exp Report 9/2019"/>
    <s v="HelenaK"/>
    <s v="0/JE IC"/>
    <m/>
    <m/>
    <x v="126"/>
  </r>
  <r>
    <s v="70095-2180-000-00"/>
    <d v="2019-09-30T00:00:00"/>
    <n v="36.799999999999997"/>
    <n v="0"/>
    <s v="USD"/>
    <s v="JRNLWA00398249"/>
    <s v="P"/>
    <s v="WD Exp Report 9/2019"/>
    <s v="HelenaK"/>
    <s v="0/JE IC"/>
    <m/>
    <m/>
    <x v="126"/>
  </r>
  <r>
    <s v="70095-2180-000-00"/>
    <d v="2019-09-30T00:00:00"/>
    <n v="1761.33"/>
    <n v="0"/>
    <s v="USD"/>
    <s v="JRNLWA00398438"/>
    <s v="P"/>
    <s v="Exp15-Prepaid Amortization"/>
    <s v="HelenaK"/>
    <s v="0/JE IC"/>
    <m/>
    <m/>
    <x v="58"/>
  </r>
  <r>
    <s v="70095-2180-000-00"/>
    <d v="2019-09-30T00:00:00"/>
    <n v="11197.39"/>
    <n v="0"/>
    <s v="USD"/>
    <s v="JRNLWA00398438"/>
    <s v="P"/>
    <s v="Exp15-Prepaid Amortization"/>
    <s v="HelenaK"/>
    <s v="0/JE IC"/>
    <m/>
    <m/>
    <x v="127"/>
  </r>
  <r>
    <s v="70095-2180-000-00"/>
    <d v="2019-09-30T00:00:00"/>
    <n v="10706.97"/>
    <n v="0"/>
    <s v="USD"/>
    <s v="JRNLWA00398438"/>
    <s v="P"/>
    <s v="Exp15-Prepaid Amortization"/>
    <s v="HelenaK"/>
    <s v="0/JE IC"/>
    <m/>
    <m/>
    <x v="128"/>
  </r>
  <r>
    <s v="70095-2180-000-00"/>
    <d v="2019-09-30T00:00:00"/>
    <n v="324.44"/>
    <n v="0"/>
    <s v="USD"/>
    <s v="JRNLWA00398644"/>
    <s v="P"/>
    <s v="Prepaids and Amortizations"/>
    <s v="HelenaK"/>
    <s v="0/JE IC"/>
    <m/>
    <m/>
    <x v="62"/>
  </r>
  <r>
    <s v="70095-2180-000-00"/>
    <d v="2019-09-30T00:00:00"/>
    <n v="700.56"/>
    <n v="0"/>
    <s v="USD"/>
    <s v="JRNLWA00398644"/>
    <s v="P"/>
    <s v="Prepaids and Amortizations"/>
    <s v="HelenaK"/>
    <s v="0/JE IC"/>
    <m/>
    <m/>
    <x v="129"/>
  </r>
  <r>
    <s v="70095-2180-000-00"/>
    <d v="2019-10-31T00:00:00"/>
    <n v="46.34"/>
    <n v="0"/>
    <s v="USD"/>
    <s v="JRNLWA00399466"/>
    <s v="P"/>
    <s v="Western Pcard Activity - Octob"/>
    <s v="HelenaK"/>
    <s v="0/JE IC"/>
    <m/>
    <m/>
    <x v="130"/>
  </r>
  <r>
    <s v="70095-2180-000-00"/>
    <d v="2019-10-31T00:00:00"/>
    <n v="320.83"/>
    <n v="0"/>
    <s v="USD"/>
    <s v="JRNLWA00399466"/>
    <s v="P"/>
    <s v="Western Pcard Activity - Octob"/>
    <s v="HelenaK"/>
    <s v="0/JE IC"/>
    <m/>
    <m/>
    <x v="119"/>
  </r>
  <r>
    <s v="70095-2180-000-00"/>
    <d v="2019-10-31T00:00:00"/>
    <n v="71.8"/>
    <n v="0"/>
    <s v="USD"/>
    <s v="JRNLWA00399466"/>
    <s v="P"/>
    <s v="Western Pcard Activity - Octob"/>
    <s v="HelenaK"/>
    <s v="0/JE IC"/>
    <m/>
    <m/>
    <x v="131"/>
  </r>
  <r>
    <s v="70095-2180-000-00"/>
    <d v="2019-10-31T00:00:00"/>
    <n v="28.75"/>
    <n v="0"/>
    <s v="USD"/>
    <s v="JRNLWA00399466"/>
    <s v="P"/>
    <s v="Western Pcard Activity - Octob"/>
    <s v="HelenaK"/>
    <s v="0/JE IC"/>
    <m/>
    <m/>
    <x v="65"/>
  </r>
  <r>
    <s v="70095-2180-000-00"/>
    <d v="2019-10-31T00:00:00"/>
    <n v="72.53"/>
    <n v="0"/>
    <s v="USD"/>
    <s v="JRNLWA00399466"/>
    <s v="P"/>
    <s v="Western Pcard Activity - Octob"/>
    <s v="HelenaK"/>
    <s v="0/JE IC"/>
    <m/>
    <m/>
    <x v="132"/>
  </r>
  <r>
    <s v="70095-2180-000-00"/>
    <d v="2019-10-31T00:00:00"/>
    <n v="12.06"/>
    <n v="0"/>
    <s v="USD"/>
    <s v="JRNLWA00399466"/>
    <s v="P"/>
    <s v="Western Pcard Activity - Octob"/>
    <s v="HelenaK"/>
    <s v="0/JE IC"/>
    <m/>
    <m/>
    <x v="133"/>
  </r>
  <r>
    <s v="70095-2180-000-00"/>
    <d v="2019-10-31T00:00:00"/>
    <n v="85.98"/>
    <n v="0"/>
    <s v="USD"/>
    <s v="JRNLWA00399466"/>
    <s v="P"/>
    <s v="Western Pcard Activity - Octob"/>
    <s v="HelenaK"/>
    <s v="0/JE IC"/>
    <m/>
    <m/>
    <x v="134"/>
  </r>
  <r>
    <s v="70095-2180-000-00"/>
    <d v="2019-10-31T00:00:00"/>
    <n v="49"/>
    <n v="0"/>
    <s v="USD"/>
    <s v="JRNLWA00399466"/>
    <s v="P"/>
    <s v="Western Pcard Activity - Octob"/>
    <s v="HelenaK"/>
    <s v="0/JE IC"/>
    <m/>
    <m/>
    <x v="135"/>
  </r>
  <r>
    <s v="70095-2180-000-00"/>
    <d v="2019-10-31T00:00:00"/>
    <n v="298.73"/>
    <n v="0"/>
    <s v="USD"/>
    <s v="JRNLWA00399466"/>
    <s v="P"/>
    <s v="Western Pcard Activity - Octob"/>
    <s v="HelenaK"/>
    <s v="0/JE IC"/>
    <m/>
    <m/>
    <x v="53"/>
  </r>
  <r>
    <s v="70095-2180-000-00"/>
    <d v="2019-10-31T00:00:00"/>
    <n v="13.03"/>
    <n v="0"/>
    <s v="USD"/>
    <s v="JRNLWA00399466"/>
    <s v="P"/>
    <s v="Western Pcard Activity - Octob"/>
    <s v="HelenaK"/>
    <s v="0/JE IC"/>
    <m/>
    <m/>
    <x v="136"/>
  </r>
  <r>
    <s v="70095-2180-000-00"/>
    <d v="2019-10-31T00:00:00"/>
    <n v="157.1"/>
    <n v="0"/>
    <s v="USD"/>
    <s v="JRNLWA00399466"/>
    <s v="P"/>
    <s v="Western Pcard Activity - Octob"/>
    <s v="HelenaK"/>
    <s v="0/JE IC"/>
    <m/>
    <m/>
    <x v="137"/>
  </r>
  <r>
    <s v="70095-2180-000-00"/>
    <d v="2019-10-31T00:00:00"/>
    <n v="305.42"/>
    <n v="0"/>
    <s v="USD"/>
    <s v="JRNLWA00399466"/>
    <s v="P"/>
    <s v="Western Pcard Activity - Octob"/>
    <s v="HelenaK"/>
    <s v="0/JE IC"/>
    <m/>
    <m/>
    <x v="131"/>
  </r>
  <r>
    <s v="70095-2180-000-00"/>
    <d v="2019-10-31T00:00:00"/>
    <n v="36.520000000000003"/>
    <n v="0"/>
    <s v="USD"/>
    <s v="JRNLWA00399466"/>
    <s v="P"/>
    <s v="Western Pcard Activity - Octob"/>
    <s v="HelenaK"/>
    <s v="0/JE IC"/>
    <m/>
    <m/>
    <x v="138"/>
  </r>
  <r>
    <s v="70095-2180-000-00"/>
    <d v="2019-10-31T00:00:00"/>
    <n v="361.24"/>
    <n v="0"/>
    <s v="USD"/>
    <s v="JRNLWA00399466"/>
    <s v="P"/>
    <s v="Western Pcard Activity - Octob"/>
    <s v="HelenaK"/>
    <s v="0/JE IC"/>
    <m/>
    <m/>
    <x v="139"/>
  </r>
  <r>
    <s v="70095-2180-000-00"/>
    <d v="2019-10-31T00:00:00"/>
    <n v="66.13"/>
    <n v="0"/>
    <s v="USD"/>
    <s v="JRNLWA00399466"/>
    <s v="P"/>
    <s v="Western Pcard Activity - Octob"/>
    <s v="HelenaK"/>
    <s v="0/JE IC"/>
    <m/>
    <m/>
    <x v="139"/>
  </r>
  <r>
    <s v="70095-2180-000-00"/>
    <d v="2019-10-31T00:00:00"/>
    <n v="62.3"/>
    <n v="0"/>
    <s v="USD"/>
    <s v="JRNLWA00399466"/>
    <s v="P"/>
    <s v="Western Pcard Activity - Octob"/>
    <s v="HelenaK"/>
    <s v="0/JE IC"/>
    <m/>
    <m/>
    <x v="139"/>
  </r>
  <r>
    <s v="70095-2180-000-00"/>
    <d v="2019-10-31T00:00:00"/>
    <n v="60"/>
    <n v="0"/>
    <s v="USD"/>
    <s v="JRNLWA00399700"/>
    <s v="P"/>
    <s v="WD Exp Report 10/2019"/>
    <s v="HelenaK"/>
    <s v="0/JE IC"/>
    <m/>
    <m/>
    <x v="140"/>
  </r>
  <r>
    <s v="70095-2180-000-00"/>
    <d v="2019-10-31T00:00:00"/>
    <n v="236.29"/>
    <n v="0"/>
    <s v="USD"/>
    <s v="JRNLWA00400005"/>
    <s v="P"/>
    <s v="N Lemay Pcard Accrual"/>
    <s v="HelenaK"/>
    <s v="0/JE IC"/>
    <m/>
    <m/>
    <x v="141"/>
  </r>
  <r>
    <s v="70095-2180-000-00"/>
    <d v="2019-10-31T00:00:00"/>
    <n v="65.14"/>
    <n v="0"/>
    <s v="USD"/>
    <s v="JRNLWA00400005"/>
    <s v="P"/>
    <s v="N Lemay Pcard Accrual"/>
    <s v="HelenaK"/>
    <s v="0/JE IC"/>
    <m/>
    <m/>
    <x v="91"/>
  </r>
  <r>
    <s v="70095-2180-000-00"/>
    <d v="2019-10-31T00:00:00"/>
    <n v="341.74"/>
    <n v="0"/>
    <s v="USD"/>
    <s v="JRNLWA00400005"/>
    <s v="P"/>
    <s v="N Lemay Pcard Accrual"/>
    <s v="HelenaK"/>
    <s v="0/JE IC"/>
    <m/>
    <m/>
    <x v="131"/>
  </r>
  <r>
    <s v="70095-2180-000-00"/>
    <d v="2019-10-31T00:00:00"/>
    <n v="42.81"/>
    <n v="0"/>
    <s v="USD"/>
    <s v="JRNLWA00400148"/>
    <s v="P"/>
    <s v="2019-10 Pcard Accrual"/>
    <s v="HeatherH"/>
    <s v="0/JE IC"/>
    <m/>
    <m/>
    <x v="142"/>
  </r>
  <r>
    <s v="70095-2180-000-00"/>
    <d v="2019-10-31T00:00:00"/>
    <n v="700.56"/>
    <n v="0"/>
    <s v="USD"/>
    <s v="JRNLWA00400155"/>
    <s v="P"/>
    <s v="Prepaids and Amortizations"/>
    <s v="HeatherH"/>
    <s v="0/JE IC"/>
    <m/>
    <m/>
    <x v="129"/>
  </r>
  <r>
    <s v="70095-2180-000-00"/>
    <d v="2019-11-30T00:00:00"/>
    <n v="-236.29"/>
    <n v="0"/>
    <s v="USD"/>
    <s v="JRNLWA00400051"/>
    <s v="P"/>
    <s v="N Lemay Pcard Accrual"/>
    <s v="HelenaK"/>
    <s v="0/JE IC"/>
    <m/>
    <m/>
    <x v="141"/>
  </r>
  <r>
    <s v="70095-2180-000-00"/>
    <d v="2019-11-30T00:00:00"/>
    <n v="-65.14"/>
    <n v="0"/>
    <s v="USD"/>
    <s v="JRNLWA00400051"/>
    <s v="P"/>
    <s v="N Lemay Pcard Accrual"/>
    <s v="HelenaK"/>
    <s v="0/JE IC"/>
    <m/>
    <m/>
    <x v="91"/>
  </r>
  <r>
    <s v="70095-2180-000-00"/>
    <d v="2019-11-30T00:00:00"/>
    <n v="-341.74"/>
    <n v="0"/>
    <s v="USD"/>
    <s v="JRNLWA00400051"/>
    <s v="P"/>
    <s v="N Lemay Pcard Accrual"/>
    <s v="HelenaK"/>
    <s v="0/JE IC"/>
    <m/>
    <m/>
    <x v="131"/>
  </r>
  <r>
    <s v="70095-2180-000-00"/>
    <d v="2019-11-30T00:00:00"/>
    <n v="-42.81"/>
    <n v="0"/>
    <s v="USD"/>
    <s v="JRNLWA00400255"/>
    <s v="P"/>
    <s v="2019-10 Pcard Accrual"/>
    <s v="HelenaK"/>
    <s v="0/JE IC"/>
    <m/>
    <m/>
    <x v="142"/>
  </r>
  <r>
    <s v="70095-2180-000-00"/>
    <d v="2019-11-30T00:00:00"/>
    <n v="42.81"/>
    <n v="0"/>
    <s v="USD"/>
    <s v="JRNLWA00400846"/>
    <s v="P"/>
    <s v="Western Pcard Activity - Novem"/>
    <s v="HeatherWe"/>
    <s v="0/JE IC"/>
    <m/>
    <m/>
    <x v="142"/>
  </r>
  <r>
    <s v="70095-2180-000-00"/>
    <d v="2019-11-30T00:00:00"/>
    <n v="91"/>
    <n v="0"/>
    <s v="USD"/>
    <s v="JRNLWA00400846"/>
    <s v="P"/>
    <s v="Western Pcard Activity - Novem"/>
    <s v="HeatherWe"/>
    <s v="0/JE IC"/>
    <m/>
    <m/>
    <x v="143"/>
  </r>
  <r>
    <s v="70095-2180-000-00"/>
    <d v="2019-11-30T00:00:00"/>
    <n v="283.43"/>
    <n v="0"/>
    <s v="USD"/>
    <s v="JRNLWA00400846"/>
    <s v="P"/>
    <s v="Western Pcard Activity - Novem"/>
    <s v="HeatherWe"/>
    <s v="0/JE IC"/>
    <m/>
    <m/>
    <x v="143"/>
  </r>
  <r>
    <s v="70095-2180-000-00"/>
    <d v="2019-11-30T00:00:00"/>
    <n v="165.08"/>
    <n v="0"/>
    <s v="USD"/>
    <s v="JRNLWA00400846"/>
    <s v="P"/>
    <s v="Western Pcard Activity - Novem"/>
    <s v="HeatherWe"/>
    <s v="0/JE IC"/>
    <m/>
    <m/>
    <x v="144"/>
  </r>
  <r>
    <s v="70095-2180-000-00"/>
    <d v="2019-11-30T00:00:00"/>
    <n v="89.1"/>
    <n v="0"/>
    <s v="USD"/>
    <s v="JRNLWA00400846"/>
    <s v="P"/>
    <s v="Western Pcard Activity - Novem"/>
    <s v="HeatherWe"/>
    <s v="0/JE IC"/>
    <m/>
    <m/>
    <x v="145"/>
  </r>
  <r>
    <s v="70095-2180-000-00"/>
    <d v="2019-11-30T00:00:00"/>
    <n v="126.85"/>
    <n v="0"/>
    <s v="USD"/>
    <s v="JRNLWA00400846"/>
    <s v="P"/>
    <s v="Western Pcard Activity - Novem"/>
    <s v="HeatherWe"/>
    <s v="0/JE IC"/>
    <m/>
    <m/>
    <x v="98"/>
  </r>
  <r>
    <s v="70095-2180-000-00"/>
    <d v="2019-11-30T00:00:00"/>
    <n v="9.34"/>
    <n v="0"/>
    <s v="USD"/>
    <s v="JRNLWA00400846"/>
    <s v="P"/>
    <s v="Western Pcard Activity - Novem"/>
    <s v="HeatherWe"/>
    <s v="0/JE IC"/>
    <m/>
    <m/>
    <x v="146"/>
  </r>
  <r>
    <s v="70095-2180-000-00"/>
    <d v="2019-11-30T00:00:00"/>
    <n v="236.29"/>
    <n v="0"/>
    <s v="USD"/>
    <s v="JRNLWA00400846"/>
    <s v="P"/>
    <s v="Western Pcard Activity - Novem"/>
    <s v="HeatherWe"/>
    <s v="0/JE IC"/>
    <m/>
    <m/>
    <x v="141"/>
  </r>
  <r>
    <s v="70095-2180-000-00"/>
    <d v="2019-11-30T00:00:00"/>
    <n v="65.14"/>
    <n v="0"/>
    <s v="USD"/>
    <s v="JRNLWA00400846"/>
    <s v="P"/>
    <s v="Western Pcard Activity - Novem"/>
    <s v="HeatherWe"/>
    <s v="0/JE IC"/>
    <m/>
    <m/>
    <x v="91"/>
  </r>
  <r>
    <s v="70095-2180-000-00"/>
    <d v="2019-11-30T00:00:00"/>
    <n v="341.74"/>
    <n v="0"/>
    <s v="USD"/>
    <s v="JRNLWA00400846"/>
    <s v="P"/>
    <s v="Western Pcard Activity - Novem"/>
    <s v="HeatherWe"/>
    <s v="0/JE IC"/>
    <m/>
    <m/>
    <x v="131"/>
  </r>
  <r>
    <s v="70095-2180-000-00"/>
    <d v="2019-11-30T00:00:00"/>
    <n v="106.4"/>
    <n v="0"/>
    <s v="USD"/>
    <s v="JRNLWA00400846"/>
    <s v="P"/>
    <s v="Western Pcard Activity - Novem"/>
    <s v="HeatherWe"/>
    <s v="0/JE IC"/>
    <m/>
    <m/>
    <x v="131"/>
  </r>
  <r>
    <s v="70095-2180-000-00"/>
    <d v="2019-11-30T00:00:00"/>
    <n v="59"/>
    <n v="0"/>
    <s v="USD"/>
    <s v="JRNLWA00400846"/>
    <s v="P"/>
    <s v="Western Pcard Activity - Novem"/>
    <s v="HeatherWe"/>
    <s v="0/JE IC"/>
    <m/>
    <m/>
    <x v="138"/>
  </r>
  <r>
    <s v="70095-2180-000-00"/>
    <d v="2019-11-30T00:00:00"/>
    <n v="104"/>
    <n v="0"/>
    <s v="USD"/>
    <s v="JRNLWA00400846"/>
    <s v="P"/>
    <s v="Western Pcard Activity - Novem"/>
    <s v="HeatherWe"/>
    <s v="0/JE IC"/>
    <m/>
    <m/>
    <x v="65"/>
  </r>
  <r>
    <s v="70095-2180-000-00"/>
    <d v="2019-11-30T00:00:00"/>
    <n v="17.46"/>
    <n v="0"/>
    <s v="USD"/>
    <s v="JRNLWA00400846"/>
    <s v="P"/>
    <s v="Western Pcard Activity - Novem"/>
    <s v="HeatherWe"/>
    <s v="0/JE IC"/>
    <m/>
    <m/>
    <x v="147"/>
  </r>
  <r>
    <s v="70095-2180-000-00"/>
    <d v="2019-11-30T00:00:00"/>
    <n v="1044.92"/>
    <n v="0"/>
    <s v="USD"/>
    <s v="JRNLWA00400846"/>
    <s v="P"/>
    <s v="Western Pcard Activity - Novem"/>
    <s v="HeatherWe"/>
    <s v="0/JE IC"/>
    <m/>
    <m/>
    <x v="64"/>
  </r>
  <r>
    <s v="70095-2180-000-00"/>
    <d v="2019-11-30T00:00:00"/>
    <n v="629.73"/>
    <n v="0"/>
    <s v="USD"/>
    <s v="JRNLWA00400846"/>
    <s v="P"/>
    <s v="Western Pcard Activity - Novem"/>
    <s v="HeatherWe"/>
    <s v="0/JE IC"/>
    <m/>
    <m/>
    <x v="148"/>
  </r>
  <r>
    <s v="70095-2180-000-00"/>
    <d v="2019-11-30T00:00:00"/>
    <n v="85.97"/>
    <n v="0"/>
    <s v="USD"/>
    <s v="JRNLWA00400846"/>
    <s v="P"/>
    <s v="Western Pcard Activity - Novem"/>
    <s v="HeatherWe"/>
    <s v="0/JE IC"/>
    <m/>
    <m/>
    <x v="134"/>
  </r>
  <r>
    <s v="70095-2180-000-00"/>
    <d v="2019-11-30T00:00:00"/>
    <n v="460.2"/>
    <n v="0"/>
    <s v="USD"/>
    <s v="JRNLWA00400846"/>
    <s v="P"/>
    <s v="Western Pcard Activity - Novem"/>
    <s v="HeatherWe"/>
    <s v="0/JE IC"/>
    <m/>
    <m/>
    <x v="131"/>
  </r>
  <r>
    <s v="70095-2180-000-00"/>
    <d v="2019-11-30T00:00:00"/>
    <n v="36.86"/>
    <n v="0"/>
    <s v="USD"/>
    <s v="JRNLWA00400846"/>
    <s v="P"/>
    <s v="Western Pcard Activity - Novem"/>
    <s v="HeatherWe"/>
    <s v="0/JE IC"/>
    <m/>
    <m/>
    <x v="149"/>
  </r>
  <r>
    <s v="70095-2180-000-00"/>
    <d v="2019-11-30T00:00:00"/>
    <n v="110.97"/>
    <n v="0"/>
    <s v="USD"/>
    <s v="JRNLWA00400846"/>
    <s v="P"/>
    <s v="Western Pcard Activity - Novem"/>
    <s v="HeatherWe"/>
    <s v="0/JE IC"/>
    <m/>
    <m/>
    <x v="150"/>
  </r>
  <r>
    <s v="70095-2180-000-00"/>
    <d v="2019-11-30T00:00:00"/>
    <n v="69.77"/>
    <n v="0"/>
    <s v="USD"/>
    <s v="JRNLWA00400846"/>
    <s v="P"/>
    <s v="Western Pcard Activity - Novem"/>
    <s v="HeatherWe"/>
    <s v="0/JE IC"/>
    <m/>
    <m/>
    <x v="25"/>
  </r>
  <r>
    <s v="70095-2180-000-00"/>
    <d v="2019-11-30T00:00:00"/>
    <n v="150"/>
    <n v="0"/>
    <s v="USD"/>
    <s v="JRNLWA00400846"/>
    <s v="P"/>
    <s v="Western Pcard Activity - Novem"/>
    <s v="HeatherWe"/>
    <s v="0/JE IC"/>
    <m/>
    <m/>
    <x v="151"/>
  </r>
  <r>
    <s v="70095-2180-000-00"/>
    <d v="2019-11-30T00:00:00"/>
    <n v="29.98"/>
    <n v="0"/>
    <s v="USD"/>
    <s v="JRNLWA00401117"/>
    <s v="P"/>
    <s v="WD Exp Report 11/2019"/>
    <s v="HelenaK"/>
    <s v="0/JE IC"/>
    <m/>
    <m/>
    <x v="152"/>
  </r>
  <r>
    <s v="70095-2180-000-00"/>
    <d v="2019-11-30T00:00:00"/>
    <n v="500"/>
    <n v="0"/>
    <s v="USD"/>
    <s v="JRNLWA00401117"/>
    <s v="P"/>
    <s v="WD Exp Report 11/2019"/>
    <s v="HelenaK"/>
    <s v="0/JE IC"/>
    <m/>
    <m/>
    <x v="153"/>
  </r>
  <r>
    <s v="70095-2180-000-00"/>
    <d v="2019-11-30T00:00:00"/>
    <n v="272.13"/>
    <n v="0"/>
    <s v="USD"/>
    <s v="JRNLWA00401492"/>
    <s v="P"/>
    <s v="N Lemay Pcard Accrual"/>
    <s v="LaurenTi"/>
    <s v="0/JE IC"/>
    <m/>
    <m/>
    <x v="154"/>
  </r>
  <r>
    <s v="70095-2180-000-00"/>
    <d v="2019-11-30T00:00:00"/>
    <n v="351.5"/>
    <n v="0"/>
    <s v="USD"/>
    <s v="JRNLWA00401492"/>
    <s v="P"/>
    <s v="N Lemay Pcard Accrual"/>
    <s v="LaurenTi"/>
    <s v="0/JE IC"/>
    <m/>
    <m/>
    <x v="155"/>
  </r>
  <r>
    <s v="70095-2180-000-00"/>
    <d v="2019-11-30T00:00:00"/>
    <n v="700.56"/>
    <n v="0"/>
    <s v="USD"/>
    <s v="JRNLWA00401532"/>
    <s v="P"/>
    <s v="Prepaids and Amortizations"/>
    <s v="LaurenTi"/>
    <s v="0/JE IC"/>
    <m/>
    <m/>
    <x v="12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75:C85" firstHeaderRow="1" firstDataRow="1" firstDataCol="1"/>
  <pivotFields count="42">
    <pivotField axis="axisRow" showAll="0">
      <items count="3">
        <item x="1"/>
        <item x="0"/>
        <item t="default"/>
      </items>
    </pivotField>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8">
        <item x="0"/>
        <item x="3"/>
        <item x="5"/>
        <item x="1"/>
        <item x="2"/>
        <item x="4"/>
        <item x="6"/>
        <item t="default"/>
      </items>
    </pivotField>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2"/>
  </rowFields>
  <rowItems count="10">
    <i>
      <x/>
    </i>
    <i r="1">
      <x v="2"/>
    </i>
    <i r="1">
      <x v="5"/>
    </i>
    <i>
      <x v="1"/>
    </i>
    <i r="1">
      <x/>
    </i>
    <i r="1">
      <x v="1"/>
    </i>
    <i r="1">
      <x v="3"/>
    </i>
    <i r="1">
      <x v="4"/>
    </i>
    <i r="1">
      <x v="6"/>
    </i>
    <i t="grand">
      <x/>
    </i>
  </rowItems>
  <colItems count="1">
    <i/>
  </colItems>
  <dataFields count="1">
    <dataField name="Sum of Amount USD" fld="2" baseField="0" baseItem="0" numFmtId="43"/>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346:C503" firstHeaderRow="1" firstDataRow="1" firstDataCol="1"/>
  <pivotFields count="13">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157">
        <item x="24"/>
        <item x="150"/>
        <item x="8"/>
        <item x="128"/>
        <item x="127"/>
        <item x="58"/>
        <item x="39"/>
        <item x="142"/>
        <item x="56"/>
        <item x="147"/>
        <item x="118"/>
        <item x="133"/>
        <item x="81"/>
        <item x="80"/>
        <item x="55"/>
        <item x="115"/>
        <item x="40"/>
        <item x="10"/>
        <item x="2"/>
        <item x="3"/>
        <item x="17"/>
        <item x="117"/>
        <item x="108"/>
        <item x="28"/>
        <item x="38"/>
        <item x="111"/>
        <item x="94"/>
        <item x="70"/>
        <item x="131"/>
        <item x="101"/>
        <item x="1"/>
        <item x="12"/>
        <item x="100"/>
        <item x="13"/>
        <item x="141"/>
        <item x="29"/>
        <item x="49"/>
        <item x="16"/>
        <item x="15"/>
        <item x="63"/>
        <item x="145"/>
        <item x="146"/>
        <item x="43"/>
        <item x="148"/>
        <item x="0"/>
        <item x="18"/>
        <item x="27"/>
        <item x="9"/>
        <item x="36"/>
        <item x="37"/>
        <item x="35"/>
        <item x="65"/>
        <item x="102"/>
        <item x="66"/>
        <item x="26"/>
        <item x="74"/>
        <item x="82"/>
        <item x="149"/>
        <item x="120"/>
        <item x="20"/>
        <item x="110"/>
        <item x="32"/>
        <item x="64"/>
        <item x="87"/>
        <item x="89"/>
        <item x="88"/>
        <item x="86"/>
        <item x="90"/>
        <item x="72"/>
        <item x="135"/>
        <item x="79"/>
        <item x="132"/>
        <item x="106"/>
        <item x="99"/>
        <item x="48"/>
        <item x="67"/>
        <item x="143"/>
        <item x="152"/>
        <item x="153"/>
        <item x="104"/>
        <item x="5"/>
        <item x="140"/>
        <item x="42"/>
        <item x="137"/>
        <item x="30"/>
        <item x="136"/>
        <item x="14"/>
        <item x="95"/>
        <item x="51"/>
        <item x="59"/>
        <item x="60"/>
        <item x="61"/>
        <item x="78"/>
        <item x="19"/>
        <item x="116"/>
        <item x="114"/>
        <item x="92"/>
        <item x="151"/>
        <item x="96"/>
        <item x="75"/>
        <item x="4"/>
        <item x="22"/>
        <item x="130"/>
        <item x="46"/>
        <item x="21"/>
        <item x="34"/>
        <item x="84"/>
        <item x="134"/>
        <item x="73"/>
        <item x="76"/>
        <item x="83"/>
        <item x="33"/>
        <item x="107"/>
        <item x="105"/>
        <item x="109"/>
        <item x="126"/>
        <item x="125"/>
        <item x="57"/>
        <item x="91"/>
        <item x="23"/>
        <item x="97"/>
        <item x="98"/>
        <item x="129"/>
        <item x="62"/>
        <item x="7"/>
        <item x="31"/>
        <item x="44"/>
        <item x="119"/>
        <item x="77"/>
        <item x="124"/>
        <item x="68"/>
        <item x="112"/>
        <item x="113"/>
        <item x="155"/>
        <item x="45"/>
        <item x="41"/>
        <item x="121"/>
        <item x="122"/>
        <item x="103"/>
        <item x="25"/>
        <item x="144"/>
        <item x="53"/>
        <item x="123"/>
        <item x="47"/>
        <item x="69"/>
        <item x="71"/>
        <item x="93"/>
        <item x="50"/>
        <item x="138"/>
        <item x="11"/>
        <item x="52"/>
        <item x="85"/>
        <item x="54"/>
        <item x="139"/>
        <item x="154"/>
        <item x="6"/>
        <item t="default"/>
      </items>
    </pivotField>
  </pivotFields>
  <rowFields count="1">
    <field x="12"/>
  </rowFields>
  <rowItems count="15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t="grand">
      <x/>
    </i>
  </rowItems>
  <colItems count="1">
    <i/>
  </colItems>
  <dataFields count="1">
    <dataField name="Sum of Amount USD" fld="2" baseField="0" baseItem="0" numFmtId="43"/>
  </dataFields>
  <formats count="3">
    <format dxfId="4">
      <pivotArea outline="0" collapsedLevelsAreSubtotals="1" fieldPosition="0"/>
    </format>
    <format dxfId="3">
      <pivotArea type="all" dataOnly="0" outline="0" fieldPosition="0"/>
    </format>
    <format dxfId="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83:C103" firstHeaderRow="1" firstDataRow="1" firstDataCol="1"/>
  <pivotFields count="13">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20">
        <item x="0"/>
        <item x="1"/>
        <item x="2"/>
        <item x="3"/>
        <item x="4"/>
        <item x="5"/>
        <item x="6"/>
        <item x="7"/>
        <item x="8"/>
        <item x="9"/>
        <item x="10"/>
        <item x="11"/>
        <item x="12"/>
        <item x="13"/>
        <item x="14"/>
        <item x="15"/>
        <item x="16"/>
        <item x="17"/>
        <item x="18"/>
        <item t="default"/>
      </items>
    </pivotField>
  </pivotFields>
  <rowFields count="1">
    <field x="12"/>
  </rowFields>
  <rowItems count="20">
    <i>
      <x/>
    </i>
    <i>
      <x v="1"/>
    </i>
    <i>
      <x v="2"/>
    </i>
    <i>
      <x v="3"/>
    </i>
    <i>
      <x v="4"/>
    </i>
    <i>
      <x v="5"/>
    </i>
    <i>
      <x v="6"/>
    </i>
    <i>
      <x v="7"/>
    </i>
    <i>
      <x v="8"/>
    </i>
    <i>
      <x v="9"/>
    </i>
    <i>
      <x v="10"/>
    </i>
    <i>
      <x v="11"/>
    </i>
    <i>
      <x v="12"/>
    </i>
    <i>
      <x v="13"/>
    </i>
    <i>
      <x v="14"/>
    </i>
    <i>
      <x v="15"/>
    </i>
    <i>
      <x v="16"/>
    </i>
    <i>
      <x v="17"/>
    </i>
    <i>
      <x v="18"/>
    </i>
    <i t="grand">
      <x/>
    </i>
  </rowItems>
  <colItems count="1">
    <i/>
  </colItems>
  <dataFields count="1">
    <dataField name="Sum of Amount USD" fld="2" baseField="0" baseItem="0" numFmtId="43"/>
  </dataFields>
  <formats count="2">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1.bin"/><Relationship Id="rId7" Type="http://schemas.openxmlformats.org/officeDocument/2006/relationships/image" Target="../media/image1.emf"/><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control" Target="../activeX/activeX1.xml"/><Relationship Id="rId5" Type="http://schemas.openxmlformats.org/officeDocument/2006/relationships/vmlDrawing" Target="../drawings/vmlDrawing6.vml"/><Relationship Id="rId4"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4.bin"/><Relationship Id="rId7" Type="http://schemas.openxmlformats.org/officeDocument/2006/relationships/image" Target="../media/image2.emf"/><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control" Target="../activeX/activeX2.xml"/><Relationship Id="rId5" Type="http://schemas.openxmlformats.org/officeDocument/2006/relationships/vmlDrawing" Target="../drawings/vmlDrawing7.vml"/><Relationship Id="rId4"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xml"/><Relationship Id="rId1" Type="http://schemas.openxmlformats.org/officeDocument/2006/relationships/printerSettings" Target="../printerSettings/printerSettings35.bin"/><Relationship Id="rId6" Type="http://schemas.openxmlformats.org/officeDocument/2006/relationships/comments" Target="../comments6.xml"/><Relationship Id="rId5" Type="http://schemas.openxmlformats.org/officeDocument/2006/relationships/image" Target="../media/image3.emf"/><Relationship Id="rId4" Type="http://schemas.openxmlformats.org/officeDocument/2006/relationships/control" Target="../activeX/activeX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36.bin"/><Relationship Id="rId5" Type="http://schemas.openxmlformats.org/officeDocument/2006/relationships/image" Target="../media/image4.emf"/><Relationship Id="rId4" Type="http://schemas.openxmlformats.org/officeDocument/2006/relationships/control" Target="../activeX/activeX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3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comments" Target="../comments8.xml"/><Relationship Id="rId5" Type="http://schemas.openxmlformats.org/officeDocument/2006/relationships/vmlDrawing" Target="../drawings/vmlDrawing11.vml"/><Relationship Id="rId4"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comments" Target="../comments9.xml"/><Relationship Id="rId4"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printerSettings" Target="../printerSettings/printerSettings4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47.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5" Type="http://schemas.openxmlformats.org/officeDocument/2006/relationships/comments" Target="../comments12.xml"/><Relationship Id="rId4"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ivotTable" Target="../pivotTables/pivotTable1.xml"/><Relationship Id="rId6" Type="http://schemas.openxmlformats.org/officeDocument/2006/relationships/comments" Target="../comments13.xml"/><Relationship Id="rId5" Type="http://schemas.openxmlformats.org/officeDocument/2006/relationships/vmlDrawing" Target="../drawings/vmlDrawing16.vml"/><Relationship Id="rId4" Type="http://schemas.openxmlformats.org/officeDocument/2006/relationships/printerSettings" Target="../printerSettings/printerSettings5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5" Type="http://schemas.openxmlformats.org/officeDocument/2006/relationships/comments" Target="../comments14.xml"/><Relationship Id="rId4"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57.bin"/><Relationship Id="rId1" Type="http://schemas.openxmlformats.org/officeDocument/2006/relationships/pivotTable" Target="../pivotTables/pivotTable2.xml"/><Relationship Id="rId4" Type="http://schemas.openxmlformats.org/officeDocument/2006/relationships/comments" Target="../comments15.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ivotTable" Target="../pivotTables/pivotTable3.xml"/><Relationship Id="rId6" Type="http://schemas.openxmlformats.org/officeDocument/2006/relationships/comments" Target="../comments16.xml"/><Relationship Id="rId5" Type="http://schemas.openxmlformats.org/officeDocument/2006/relationships/vmlDrawing" Target="../drawings/vmlDrawing19.vml"/><Relationship Id="rId4" Type="http://schemas.openxmlformats.org/officeDocument/2006/relationships/printerSettings" Target="../printerSettings/printerSettings6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omments" Target="../comments5.xml"/><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tint="-0.249977111117893"/>
    <pageSetUpPr fitToPage="1"/>
  </sheetPr>
  <dimension ref="A1:AO584"/>
  <sheetViews>
    <sheetView showGridLines="0" view="pageBreakPreview" topLeftCell="D289" zoomScale="60" zoomScaleNormal="85" zoomScalePageLayoutView="70" workbookViewId="0">
      <selection activeCell="AK328" sqref="AK328"/>
    </sheetView>
  </sheetViews>
  <sheetFormatPr defaultColWidth="13.85546875" defaultRowHeight="12.75" outlineLevelRow="1"/>
  <cols>
    <col min="1" max="3" width="13.85546875" style="1" hidden="1" customWidth="1"/>
    <col min="4" max="4" width="7.85546875" style="1" customWidth="1"/>
    <col min="5" max="6" width="2.28515625" style="1" customWidth="1"/>
    <col min="7" max="7" width="27.42578125" style="1" customWidth="1"/>
    <col min="8" max="8" width="2.28515625" style="1" customWidth="1"/>
    <col min="9" max="9" width="2.140625" style="1" customWidth="1"/>
    <col min="10" max="10" width="12.28515625" style="63" customWidth="1"/>
    <col min="11" max="11" width="1.5703125" style="1" customWidth="1"/>
    <col min="12" max="12" width="12.28515625" style="63" customWidth="1"/>
    <col min="13" max="13" width="1.5703125" style="1" customWidth="1"/>
    <col min="14" max="14" width="12.28515625" style="63" customWidth="1"/>
    <col min="15" max="15" width="1.5703125" style="1" customWidth="1"/>
    <col min="16" max="16" width="13.5703125" style="63" customWidth="1"/>
    <col min="17" max="17" width="0.85546875" style="1" customWidth="1"/>
    <col min="18" max="18" width="12.28515625" style="63" customWidth="1"/>
    <col min="19" max="19" width="1.5703125" style="1" customWidth="1"/>
    <col min="20" max="20" width="12.28515625" style="63" customWidth="1"/>
    <col min="21" max="21" width="1.5703125" style="1" customWidth="1"/>
    <col min="22" max="22" width="12.28515625" style="63" customWidth="1"/>
    <col min="23" max="23" width="0.85546875" style="1" customWidth="1"/>
    <col min="24" max="24" width="12.28515625" style="63" customWidth="1"/>
    <col min="25" max="25" width="1.5703125" style="1" customWidth="1"/>
    <col min="26" max="26" width="12.28515625" style="63" customWidth="1"/>
    <col min="27" max="27" width="1.5703125" style="1" customWidth="1"/>
    <col min="28" max="28" width="12.28515625" style="63" customWidth="1"/>
    <col min="29" max="29" width="0.85546875" style="1" customWidth="1"/>
    <col min="30" max="30" width="12.28515625" style="63" customWidth="1"/>
    <col min="31" max="31" width="1.5703125" style="1" customWidth="1"/>
    <col min="32" max="32" width="12.28515625" style="63" customWidth="1"/>
    <col min="33" max="33" width="1.5703125" style="1" customWidth="1"/>
    <col min="34" max="34" width="12.28515625" style="63" customWidth="1"/>
    <col min="35" max="35" width="4.5703125" style="1424" customWidth="1"/>
    <col min="36" max="36" width="1.42578125" style="1" customWidth="1"/>
    <col min="37" max="259" width="13.85546875" style="1"/>
    <col min="260" max="260" width="7.85546875" style="1" customWidth="1"/>
    <col min="261" max="262" width="2.28515625" style="1" customWidth="1"/>
    <col min="263" max="263" width="31.42578125" style="1" customWidth="1"/>
    <col min="264" max="264" width="2.28515625" style="1" customWidth="1"/>
    <col min="265" max="265" width="2.140625" style="1" customWidth="1"/>
    <col min="266" max="266" width="12.28515625" style="1" customWidth="1"/>
    <col min="267" max="267" width="1.5703125" style="1" customWidth="1"/>
    <col min="268" max="268" width="12.28515625" style="1" customWidth="1"/>
    <col min="269" max="269" width="1.5703125" style="1" customWidth="1"/>
    <col min="270" max="270" width="12.28515625" style="1" customWidth="1"/>
    <col min="271" max="271" width="1.5703125" style="1" customWidth="1"/>
    <col min="272" max="272" width="13.5703125" style="1" customWidth="1"/>
    <col min="273" max="273" width="0.85546875" style="1" customWidth="1"/>
    <col min="274" max="274" width="12.28515625" style="1" customWidth="1"/>
    <col min="275" max="275" width="1.5703125" style="1" customWidth="1"/>
    <col min="276" max="276" width="12.28515625" style="1" customWidth="1"/>
    <col min="277" max="277" width="1.5703125" style="1" customWidth="1"/>
    <col min="278" max="278" width="12.28515625" style="1" customWidth="1"/>
    <col min="279" max="279" width="0.85546875" style="1" customWidth="1"/>
    <col min="280" max="280" width="12.28515625" style="1" customWidth="1"/>
    <col min="281" max="281" width="1.5703125" style="1" customWidth="1"/>
    <col min="282" max="282" width="12.28515625" style="1" customWidth="1"/>
    <col min="283" max="283" width="1.5703125" style="1" customWidth="1"/>
    <col min="284" max="284" width="12.28515625" style="1" customWidth="1"/>
    <col min="285" max="285" width="0.85546875" style="1" customWidth="1"/>
    <col min="286" max="286" width="12.28515625" style="1" customWidth="1"/>
    <col min="287" max="287" width="1.5703125" style="1" customWidth="1"/>
    <col min="288" max="288" width="12.28515625" style="1" customWidth="1"/>
    <col min="289" max="289" width="1.5703125" style="1" customWidth="1"/>
    <col min="290" max="290" width="12.28515625" style="1" customWidth="1"/>
    <col min="291" max="291" width="4.5703125" style="1" customWidth="1"/>
    <col min="292" max="292" width="1.42578125" style="1" customWidth="1"/>
    <col min="293" max="515" width="13.85546875" style="1"/>
    <col min="516" max="516" width="7.85546875" style="1" customWidth="1"/>
    <col min="517" max="518" width="2.28515625" style="1" customWidth="1"/>
    <col min="519" max="519" width="31.42578125" style="1" customWidth="1"/>
    <col min="520" max="520" width="2.28515625" style="1" customWidth="1"/>
    <col min="521" max="521" width="2.140625" style="1" customWidth="1"/>
    <col min="522" max="522" width="12.28515625" style="1" customWidth="1"/>
    <col min="523" max="523" width="1.5703125" style="1" customWidth="1"/>
    <col min="524" max="524" width="12.28515625" style="1" customWidth="1"/>
    <col min="525" max="525" width="1.5703125" style="1" customWidth="1"/>
    <col min="526" max="526" width="12.28515625" style="1" customWidth="1"/>
    <col min="527" max="527" width="1.5703125" style="1" customWidth="1"/>
    <col min="528" max="528" width="13.5703125" style="1" customWidth="1"/>
    <col min="529" max="529" width="0.85546875" style="1" customWidth="1"/>
    <col min="530" max="530" width="12.28515625" style="1" customWidth="1"/>
    <col min="531" max="531" width="1.5703125" style="1" customWidth="1"/>
    <col min="532" max="532" width="12.28515625" style="1" customWidth="1"/>
    <col min="533" max="533" width="1.5703125" style="1" customWidth="1"/>
    <col min="534" max="534" width="12.28515625" style="1" customWidth="1"/>
    <col min="535" max="535" width="0.85546875" style="1" customWidth="1"/>
    <col min="536" max="536" width="12.28515625" style="1" customWidth="1"/>
    <col min="537" max="537" width="1.5703125" style="1" customWidth="1"/>
    <col min="538" max="538" width="12.28515625" style="1" customWidth="1"/>
    <col min="539" max="539" width="1.5703125" style="1" customWidth="1"/>
    <col min="540" max="540" width="12.28515625" style="1" customWidth="1"/>
    <col min="541" max="541" width="0.85546875" style="1" customWidth="1"/>
    <col min="542" max="542" width="12.28515625" style="1" customWidth="1"/>
    <col min="543" max="543" width="1.5703125" style="1" customWidth="1"/>
    <col min="544" max="544" width="12.28515625" style="1" customWidth="1"/>
    <col min="545" max="545" width="1.5703125" style="1" customWidth="1"/>
    <col min="546" max="546" width="12.28515625" style="1" customWidth="1"/>
    <col min="547" max="547" width="4.5703125" style="1" customWidth="1"/>
    <col min="548" max="548" width="1.42578125" style="1" customWidth="1"/>
    <col min="549" max="771" width="13.85546875" style="1"/>
    <col min="772" max="772" width="7.85546875" style="1" customWidth="1"/>
    <col min="773" max="774" width="2.28515625" style="1" customWidth="1"/>
    <col min="775" max="775" width="31.42578125" style="1" customWidth="1"/>
    <col min="776" max="776" width="2.28515625" style="1" customWidth="1"/>
    <col min="777" max="777" width="2.140625" style="1" customWidth="1"/>
    <col min="778" max="778" width="12.28515625" style="1" customWidth="1"/>
    <col min="779" max="779" width="1.5703125" style="1" customWidth="1"/>
    <col min="780" max="780" width="12.28515625" style="1" customWidth="1"/>
    <col min="781" max="781" width="1.5703125" style="1" customWidth="1"/>
    <col min="782" max="782" width="12.28515625" style="1" customWidth="1"/>
    <col min="783" max="783" width="1.5703125" style="1" customWidth="1"/>
    <col min="784" max="784" width="13.5703125" style="1" customWidth="1"/>
    <col min="785" max="785" width="0.85546875" style="1" customWidth="1"/>
    <col min="786" max="786" width="12.28515625" style="1" customWidth="1"/>
    <col min="787" max="787" width="1.5703125" style="1" customWidth="1"/>
    <col min="788" max="788" width="12.28515625" style="1" customWidth="1"/>
    <col min="789" max="789" width="1.5703125" style="1" customWidth="1"/>
    <col min="790" max="790" width="12.28515625" style="1" customWidth="1"/>
    <col min="791" max="791" width="0.85546875" style="1" customWidth="1"/>
    <col min="792" max="792" width="12.28515625" style="1" customWidth="1"/>
    <col min="793" max="793" width="1.5703125" style="1" customWidth="1"/>
    <col min="794" max="794" width="12.28515625" style="1" customWidth="1"/>
    <col min="795" max="795" width="1.5703125" style="1" customWidth="1"/>
    <col min="796" max="796" width="12.28515625" style="1" customWidth="1"/>
    <col min="797" max="797" width="0.85546875" style="1" customWidth="1"/>
    <col min="798" max="798" width="12.28515625" style="1" customWidth="1"/>
    <col min="799" max="799" width="1.5703125" style="1" customWidth="1"/>
    <col min="800" max="800" width="12.28515625" style="1" customWidth="1"/>
    <col min="801" max="801" width="1.5703125" style="1" customWidth="1"/>
    <col min="802" max="802" width="12.28515625" style="1" customWidth="1"/>
    <col min="803" max="803" width="4.5703125" style="1" customWidth="1"/>
    <col min="804" max="804" width="1.42578125" style="1" customWidth="1"/>
    <col min="805" max="1027" width="13.85546875" style="1"/>
    <col min="1028" max="1028" width="7.85546875" style="1" customWidth="1"/>
    <col min="1029" max="1030" width="2.28515625" style="1" customWidth="1"/>
    <col min="1031" max="1031" width="31.42578125" style="1" customWidth="1"/>
    <col min="1032" max="1032" width="2.28515625" style="1" customWidth="1"/>
    <col min="1033" max="1033" width="2.140625" style="1" customWidth="1"/>
    <col min="1034" max="1034" width="12.28515625" style="1" customWidth="1"/>
    <col min="1035" max="1035" width="1.5703125" style="1" customWidth="1"/>
    <col min="1036" max="1036" width="12.28515625" style="1" customWidth="1"/>
    <col min="1037" max="1037" width="1.5703125" style="1" customWidth="1"/>
    <col min="1038" max="1038" width="12.28515625" style="1" customWidth="1"/>
    <col min="1039" max="1039" width="1.5703125" style="1" customWidth="1"/>
    <col min="1040" max="1040" width="13.5703125" style="1" customWidth="1"/>
    <col min="1041" max="1041" width="0.85546875" style="1" customWidth="1"/>
    <col min="1042" max="1042" width="12.28515625" style="1" customWidth="1"/>
    <col min="1043" max="1043" width="1.5703125" style="1" customWidth="1"/>
    <col min="1044" max="1044" width="12.28515625" style="1" customWidth="1"/>
    <col min="1045" max="1045" width="1.5703125" style="1" customWidth="1"/>
    <col min="1046" max="1046" width="12.28515625" style="1" customWidth="1"/>
    <col min="1047" max="1047" width="0.85546875" style="1" customWidth="1"/>
    <col min="1048" max="1048" width="12.28515625" style="1" customWidth="1"/>
    <col min="1049" max="1049" width="1.5703125" style="1" customWidth="1"/>
    <col min="1050" max="1050" width="12.28515625" style="1" customWidth="1"/>
    <col min="1051" max="1051" width="1.5703125" style="1" customWidth="1"/>
    <col min="1052" max="1052" width="12.28515625" style="1" customWidth="1"/>
    <col min="1053" max="1053" width="0.85546875" style="1" customWidth="1"/>
    <col min="1054" max="1054" width="12.28515625" style="1" customWidth="1"/>
    <col min="1055" max="1055" width="1.5703125" style="1" customWidth="1"/>
    <col min="1056" max="1056" width="12.28515625" style="1" customWidth="1"/>
    <col min="1057" max="1057" width="1.5703125" style="1" customWidth="1"/>
    <col min="1058" max="1058" width="12.28515625" style="1" customWidth="1"/>
    <col min="1059" max="1059" width="4.5703125" style="1" customWidth="1"/>
    <col min="1060" max="1060" width="1.42578125" style="1" customWidth="1"/>
    <col min="1061" max="1283" width="13.85546875" style="1"/>
    <col min="1284" max="1284" width="7.85546875" style="1" customWidth="1"/>
    <col min="1285" max="1286" width="2.28515625" style="1" customWidth="1"/>
    <col min="1287" max="1287" width="31.42578125" style="1" customWidth="1"/>
    <col min="1288" max="1288" width="2.28515625" style="1" customWidth="1"/>
    <col min="1289" max="1289" width="2.140625" style="1" customWidth="1"/>
    <col min="1290" max="1290" width="12.28515625" style="1" customWidth="1"/>
    <col min="1291" max="1291" width="1.5703125" style="1" customWidth="1"/>
    <col min="1292" max="1292" width="12.28515625" style="1" customWidth="1"/>
    <col min="1293" max="1293" width="1.5703125" style="1" customWidth="1"/>
    <col min="1294" max="1294" width="12.28515625" style="1" customWidth="1"/>
    <col min="1295" max="1295" width="1.5703125" style="1" customWidth="1"/>
    <col min="1296" max="1296" width="13.5703125" style="1" customWidth="1"/>
    <col min="1297" max="1297" width="0.85546875" style="1" customWidth="1"/>
    <col min="1298" max="1298" width="12.28515625" style="1" customWidth="1"/>
    <col min="1299" max="1299" width="1.5703125" style="1" customWidth="1"/>
    <col min="1300" max="1300" width="12.28515625" style="1" customWidth="1"/>
    <col min="1301" max="1301" width="1.5703125" style="1" customWidth="1"/>
    <col min="1302" max="1302" width="12.28515625" style="1" customWidth="1"/>
    <col min="1303" max="1303" width="0.85546875" style="1" customWidth="1"/>
    <col min="1304" max="1304" width="12.28515625" style="1" customWidth="1"/>
    <col min="1305" max="1305" width="1.5703125" style="1" customWidth="1"/>
    <col min="1306" max="1306" width="12.28515625" style="1" customWidth="1"/>
    <col min="1307" max="1307" width="1.5703125" style="1" customWidth="1"/>
    <col min="1308" max="1308" width="12.28515625" style="1" customWidth="1"/>
    <col min="1309" max="1309" width="0.85546875" style="1" customWidth="1"/>
    <col min="1310" max="1310" width="12.28515625" style="1" customWidth="1"/>
    <col min="1311" max="1311" width="1.5703125" style="1" customWidth="1"/>
    <col min="1312" max="1312" width="12.28515625" style="1" customWidth="1"/>
    <col min="1313" max="1313" width="1.5703125" style="1" customWidth="1"/>
    <col min="1314" max="1314" width="12.28515625" style="1" customWidth="1"/>
    <col min="1315" max="1315" width="4.5703125" style="1" customWidth="1"/>
    <col min="1316" max="1316" width="1.42578125" style="1" customWidth="1"/>
    <col min="1317" max="1539" width="13.85546875" style="1"/>
    <col min="1540" max="1540" width="7.85546875" style="1" customWidth="1"/>
    <col min="1541" max="1542" width="2.28515625" style="1" customWidth="1"/>
    <col min="1543" max="1543" width="31.42578125" style="1" customWidth="1"/>
    <col min="1544" max="1544" width="2.28515625" style="1" customWidth="1"/>
    <col min="1545" max="1545" width="2.140625" style="1" customWidth="1"/>
    <col min="1546" max="1546" width="12.28515625" style="1" customWidth="1"/>
    <col min="1547" max="1547" width="1.5703125" style="1" customWidth="1"/>
    <col min="1548" max="1548" width="12.28515625" style="1" customWidth="1"/>
    <col min="1549" max="1549" width="1.5703125" style="1" customWidth="1"/>
    <col min="1550" max="1550" width="12.28515625" style="1" customWidth="1"/>
    <col min="1551" max="1551" width="1.5703125" style="1" customWidth="1"/>
    <col min="1552" max="1552" width="13.5703125" style="1" customWidth="1"/>
    <col min="1553" max="1553" width="0.85546875" style="1" customWidth="1"/>
    <col min="1554" max="1554" width="12.28515625" style="1" customWidth="1"/>
    <col min="1555" max="1555" width="1.5703125" style="1" customWidth="1"/>
    <col min="1556" max="1556" width="12.28515625" style="1" customWidth="1"/>
    <col min="1557" max="1557" width="1.5703125" style="1" customWidth="1"/>
    <col min="1558" max="1558" width="12.28515625" style="1" customWidth="1"/>
    <col min="1559" max="1559" width="0.85546875" style="1" customWidth="1"/>
    <col min="1560" max="1560" width="12.28515625" style="1" customWidth="1"/>
    <col min="1561" max="1561" width="1.5703125" style="1" customWidth="1"/>
    <col min="1562" max="1562" width="12.28515625" style="1" customWidth="1"/>
    <col min="1563" max="1563" width="1.5703125" style="1" customWidth="1"/>
    <col min="1564" max="1564" width="12.28515625" style="1" customWidth="1"/>
    <col min="1565" max="1565" width="0.85546875" style="1" customWidth="1"/>
    <col min="1566" max="1566" width="12.28515625" style="1" customWidth="1"/>
    <col min="1567" max="1567" width="1.5703125" style="1" customWidth="1"/>
    <col min="1568" max="1568" width="12.28515625" style="1" customWidth="1"/>
    <col min="1569" max="1569" width="1.5703125" style="1" customWidth="1"/>
    <col min="1570" max="1570" width="12.28515625" style="1" customWidth="1"/>
    <col min="1571" max="1571" width="4.5703125" style="1" customWidth="1"/>
    <col min="1572" max="1572" width="1.42578125" style="1" customWidth="1"/>
    <col min="1573" max="1795" width="13.85546875" style="1"/>
    <col min="1796" max="1796" width="7.85546875" style="1" customWidth="1"/>
    <col min="1797" max="1798" width="2.28515625" style="1" customWidth="1"/>
    <col min="1799" max="1799" width="31.42578125" style="1" customWidth="1"/>
    <col min="1800" max="1800" width="2.28515625" style="1" customWidth="1"/>
    <col min="1801" max="1801" width="2.140625" style="1" customWidth="1"/>
    <col min="1802" max="1802" width="12.28515625" style="1" customWidth="1"/>
    <col min="1803" max="1803" width="1.5703125" style="1" customWidth="1"/>
    <col min="1804" max="1804" width="12.28515625" style="1" customWidth="1"/>
    <col min="1805" max="1805" width="1.5703125" style="1" customWidth="1"/>
    <col min="1806" max="1806" width="12.28515625" style="1" customWidth="1"/>
    <col min="1807" max="1807" width="1.5703125" style="1" customWidth="1"/>
    <col min="1808" max="1808" width="13.5703125" style="1" customWidth="1"/>
    <col min="1809" max="1809" width="0.85546875" style="1" customWidth="1"/>
    <col min="1810" max="1810" width="12.28515625" style="1" customWidth="1"/>
    <col min="1811" max="1811" width="1.5703125" style="1" customWidth="1"/>
    <col min="1812" max="1812" width="12.28515625" style="1" customWidth="1"/>
    <col min="1813" max="1813" width="1.5703125" style="1" customWidth="1"/>
    <col min="1814" max="1814" width="12.28515625" style="1" customWidth="1"/>
    <col min="1815" max="1815" width="0.85546875" style="1" customWidth="1"/>
    <col min="1816" max="1816" width="12.28515625" style="1" customWidth="1"/>
    <col min="1817" max="1817" width="1.5703125" style="1" customWidth="1"/>
    <col min="1818" max="1818" width="12.28515625" style="1" customWidth="1"/>
    <col min="1819" max="1819" width="1.5703125" style="1" customWidth="1"/>
    <col min="1820" max="1820" width="12.28515625" style="1" customWidth="1"/>
    <col min="1821" max="1821" width="0.85546875" style="1" customWidth="1"/>
    <col min="1822" max="1822" width="12.28515625" style="1" customWidth="1"/>
    <col min="1823" max="1823" width="1.5703125" style="1" customWidth="1"/>
    <col min="1824" max="1824" width="12.28515625" style="1" customWidth="1"/>
    <col min="1825" max="1825" width="1.5703125" style="1" customWidth="1"/>
    <col min="1826" max="1826" width="12.28515625" style="1" customWidth="1"/>
    <col min="1827" max="1827" width="4.5703125" style="1" customWidth="1"/>
    <col min="1828" max="1828" width="1.42578125" style="1" customWidth="1"/>
    <col min="1829" max="2051" width="13.85546875" style="1"/>
    <col min="2052" max="2052" width="7.85546875" style="1" customWidth="1"/>
    <col min="2053" max="2054" width="2.28515625" style="1" customWidth="1"/>
    <col min="2055" max="2055" width="31.42578125" style="1" customWidth="1"/>
    <col min="2056" max="2056" width="2.28515625" style="1" customWidth="1"/>
    <col min="2057" max="2057" width="2.140625" style="1" customWidth="1"/>
    <col min="2058" max="2058" width="12.28515625" style="1" customWidth="1"/>
    <col min="2059" max="2059" width="1.5703125" style="1" customWidth="1"/>
    <col min="2060" max="2060" width="12.28515625" style="1" customWidth="1"/>
    <col min="2061" max="2061" width="1.5703125" style="1" customWidth="1"/>
    <col min="2062" max="2062" width="12.28515625" style="1" customWidth="1"/>
    <col min="2063" max="2063" width="1.5703125" style="1" customWidth="1"/>
    <col min="2064" max="2064" width="13.5703125" style="1" customWidth="1"/>
    <col min="2065" max="2065" width="0.85546875" style="1" customWidth="1"/>
    <col min="2066" max="2066" width="12.28515625" style="1" customWidth="1"/>
    <col min="2067" max="2067" width="1.5703125" style="1" customWidth="1"/>
    <col min="2068" max="2068" width="12.28515625" style="1" customWidth="1"/>
    <col min="2069" max="2069" width="1.5703125" style="1" customWidth="1"/>
    <col min="2070" max="2070" width="12.28515625" style="1" customWidth="1"/>
    <col min="2071" max="2071" width="0.85546875" style="1" customWidth="1"/>
    <col min="2072" max="2072" width="12.28515625" style="1" customWidth="1"/>
    <col min="2073" max="2073" width="1.5703125" style="1" customWidth="1"/>
    <col min="2074" max="2074" width="12.28515625" style="1" customWidth="1"/>
    <col min="2075" max="2075" width="1.5703125" style="1" customWidth="1"/>
    <col min="2076" max="2076" width="12.28515625" style="1" customWidth="1"/>
    <col min="2077" max="2077" width="0.85546875" style="1" customWidth="1"/>
    <col min="2078" max="2078" width="12.28515625" style="1" customWidth="1"/>
    <col min="2079" max="2079" width="1.5703125" style="1" customWidth="1"/>
    <col min="2080" max="2080" width="12.28515625" style="1" customWidth="1"/>
    <col min="2081" max="2081" width="1.5703125" style="1" customWidth="1"/>
    <col min="2082" max="2082" width="12.28515625" style="1" customWidth="1"/>
    <col min="2083" max="2083" width="4.5703125" style="1" customWidth="1"/>
    <col min="2084" max="2084" width="1.42578125" style="1" customWidth="1"/>
    <col min="2085" max="2307" width="13.85546875" style="1"/>
    <col min="2308" max="2308" width="7.85546875" style="1" customWidth="1"/>
    <col min="2309" max="2310" width="2.28515625" style="1" customWidth="1"/>
    <col min="2311" max="2311" width="31.42578125" style="1" customWidth="1"/>
    <col min="2312" max="2312" width="2.28515625" style="1" customWidth="1"/>
    <col min="2313" max="2313" width="2.140625" style="1" customWidth="1"/>
    <col min="2314" max="2314" width="12.28515625" style="1" customWidth="1"/>
    <col min="2315" max="2315" width="1.5703125" style="1" customWidth="1"/>
    <col min="2316" max="2316" width="12.28515625" style="1" customWidth="1"/>
    <col min="2317" max="2317" width="1.5703125" style="1" customWidth="1"/>
    <col min="2318" max="2318" width="12.28515625" style="1" customWidth="1"/>
    <col min="2319" max="2319" width="1.5703125" style="1" customWidth="1"/>
    <col min="2320" max="2320" width="13.5703125" style="1" customWidth="1"/>
    <col min="2321" max="2321" width="0.85546875" style="1" customWidth="1"/>
    <col min="2322" max="2322" width="12.28515625" style="1" customWidth="1"/>
    <col min="2323" max="2323" width="1.5703125" style="1" customWidth="1"/>
    <col min="2324" max="2324" width="12.28515625" style="1" customWidth="1"/>
    <col min="2325" max="2325" width="1.5703125" style="1" customWidth="1"/>
    <col min="2326" max="2326" width="12.28515625" style="1" customWidth="1"/>
    <col min="2327" max="2327" width="0.85546875" style="1" customWidth="1"/>
    <col min="2328" max="2328" width="12.28515625" style="1" customWidth="1"/>
    <col min="2329" max="2329" width="1.5703125" style="1" customWidth="1"/>
    <col min="2330" max="2330" width="12.28515625" style="1" customWidth="1"/>
    <col min="2331" max="2331" width="1.5703125" style="1" customWidth="1"/>
    <col min="2332" max="2332" width="12.28515625" style="1" customWidth="1"/>
    <col min="2333" max="2333" width="0.85546875" style="1" customWidth="1"/>
    <col min="2334" max="2334" width="12.28515625" style="1" customWidth="1"/>
    <col min="2335" max="2335" width="1.5703125" style="1" customWidth="1"/>
    <col min="2336" max="2336" width="12.28515625" style="1" customWidth="1"/>
    <col min="2337" max="2337" width="1.5703125" style="1" customWidth="1"/>
    <col min="2338" max="2338" width="12.28515625" style="1" customWidth="1"/>
    <col min="2339" max="2339" width="4.5703125" style="1" customWidth="1"/>
    <col min="2340" max="2340" width="1.42578125" style="1" customWidth="1"/>
    <col min="2341" max="2563" width="13.85546875" style="1"/>
    <col min="2564" max="2564" width="7.85546875" style="1" customWidth="1"/>
    <col min="2565" max="2566" width="2.28515625" style="1" customWidth="1"/>
    <col min="2567" max="2567" width="31.42578125" style="1" customWidth="1"/>
    <col min="2568" max="2568" width="2.28515625" style="1" customWidth="1"/>
    <col min="2569" max="2569" width="2.140625" style="1" customWidth="1"/>
    <col min="2570" max="2570" width="12.28515625" style="1" customWidth="1"/>
    <col min="2571" max="2571" width="1.5703125" style="1" customWidth="1"/>
    <col min="2572" max="2572" width="12.28515625" style="1" customWidth="1"/>
    <col min="2573" max="2573" width="1.5703125" style="1" customWidth="1"/>
    <col min="2574" max="2574" width="12.28515625" style="1" customWidth="1"/>
    <col min="2575" max="2575" width="1.5703125" style="1" customWidth="1"/>
    <col min="2576" max="2576" width="13.5703125" style="1" customWidth="1"/>
    <col min="2577" max="2577" width="0.85546875" style="1" customWidth="1"/>
    <col min="2578" max="2578" width="12.28515625" style="1" customWidth="1"/>
    <col min="2579" max="2579" width="1.5703125" style="1" customWidth="1"/>
    <col min="2580" max="2580" width="12.28515625" style="1" customWidth="1"/>
    <col min="2581" max="2581" width="1.5703125" style="1" customWidth="1"/>
    <col min="2582" max="2582" width="12.28515625" style="1" customWidth="1"/>
    <col min="2583" max="2583" width="0.85546875" style="1" customWidth="1"/>
    <col min="2584" max="2584" width="12.28515625" style="1" customWidth="1"/>
    <col min="2585" max="2585" width="1.5703125" style="1" customWidth="1"/>
    <col min="2586" max="2586" width="12.28515625" style="1" customWidth="1"/>
    <col min="2587" max="2587" width="1.5703125" style="1" customWidth="1"/>
    <col min="2588" max="2588" width="12.28515625" style="1" customWidth="1"/>
    <col min="2589" max="2589" width="0.85546875" style="1" customWidth="1"/>
    <col min="2590" max="2590" width="12.28515625" style="1" customWidth="1"/>
    <col min="2591" max="2591" width="1.5703125" style="1" customWidth="1"/>
    <col min="2592" max="2592" width="12.28515625" style="1" customWidth="1"/>
    <col min="2593" max="2593" width="1.5703125" style="1" customWidth="1"/>
    <col min="2594" max="2594" width="12.28515625" style="1" customWidth="1"/>
    <col min="2595" max="2595" width="4.5703125" style="1" customWidth="1"/>
    <col min="2596" max="2596" width="1.42578125" style="1" customWidth="1"/>
    <col min="2597" max="2819" width="13.85546875" style="1"/>
    <col min="2820" max="2820" width="7.85546875" style="1" customWidth="1"/>
    <col min="2821" max="2822" width="2.28515625" style="1" customWidth="1"/>
    <col min="2823" max="2823" width="31.42578125" style="1" customWidth="1"/>
    <col min="2824" max="2824" width="2.28515625" style="1" customWidth="1"/>
    <col min="2825" max="2825" width="2.140625" style="1" customWidth="1"/>
    <col min="2826" max="2826" width="12.28515625" style="1" customWidth="1"/>
    <col min="2827" max="2827" width="1.5703125" style="1" customWidth="1"/>
    <col min="2828" max="2828" width="12.28515625" style="1" customWidth="1"/>
    <col min="2829" max="2829" width="1.5703125" style="1" customWidth="1"/>
    <col min="2830" max="2830" width="12.28515625" style="1" customWidth="1"/>
    <col min="2831" max="2831" width="1.5703125" style="1" customWidth="1"/>
    <col min="2832" max="2832" width="13.5703125" style="1" customWidth="1"/>
    <col min="2833" max="2833" width="0.85546875" style="1" customWidth="1"/>
    <col min="2834" max="2834" width="12.28515625" style="1" customWidth="1"/>
    <col min="2835" max="2835" width="1.5703125" style="1" customWidth="1"/>
    <col min="2836" max="2836" width="12.28515625" style="1" customWidth="1"/>
    <col min="2837" max="2837" width="1.5703125" style="1" customWidth="1"/>
    <col min="2838" max="2838" width="12.28515625" style="1" customWidth="1"/>
    <col min="2839" max="2839" width="0.85546875" style="1" customWidth="1"/>
    <col min="2840" max="2840" width="12.28515625" style="1" customWidth="1"/>
    <col min="2841" max="2841" width="1.5703125" style="1" customWidth="1"/>
    <col min="2842" max="2842" width="12.28515625" style="1" customWidth="1"/>
    <col min="2843" max="2843" width="1.5703125" style="1" customWidth="1"/>
    <col min="2844" max="2844" width="12.28515625" style="1" customWidth="1"/>
    <col min="2845" max="2845" width="0.85546875" style="1" customWidth="1"/>
    <col min="2846" max="2846" width="12.28515625" style="1" customWidth="1"/>
    <col min="2847" max="2847" width="1.5703125" style="1" customWidth="1"/>
    <col min="2848" max="2848" width="12.28515625" style="1" customWidth="1"/>
    <col min="2849" max="2849" width="1.5703125" style="1" customWidth="1"/>
    <col min="2850" max="2850" width="12.28515625" style="1" customWidth="1"/>
    <col min="2851" max="2851" width="4.5703125" style="1" customWidth="1"/>
    <col min="2852" max="2852" width="1.42578125" style="1" customWidth="1"/>
    <col min="2853" max="3075" width="13.85546875" style="1"/>
    <col min="3076" max="3076" width="7.85546875" style="1" customWidth="1"/>
    <col min="3077" max="3078" width="2.28515625" style="1" customWidth="1"/>
    <col min="3079" max="3079" width="31.42578125" style="1" customWidth="1"/>
    <col min="3080" max="3080" width="2.28515625" style="1" customWidth="1"/>
    <col min="3081" max="3081" width="2.140625" style="1" customWidth="1"/>
    <col min="3082" max="3082" width="12.28515625" style="1" customWidth="1"/>
    <col min="3083" max="3083" width="1.5703125" style="1" customWidth="1"/>
    <col min="3084" max="3084" width="12.28515625" style="1" customWidth="1"/>
    <col min="3085" max="3085" width="1.5703125" style="1" customWidth="1"/>
    <col min="3086" max="3086" width="12.28515625" style="1" customWidth="1"/>
    <col min="3087" max="3087" width="1.5703125" style="1" customWidth="1"/>
    <col min="3088" max="3088" width="13.5703125" style="1" customWidth="1"/>
    <col min="3089" max="3089" width="0.85546875" style="1" customWidth="1"/>
    <col min="3090" max="3090" width="12.28515625" style="1" customWidth="1"/>
    <col min="3091" max="3091" width="1.5703125" style="1" customWidth="1"/>
    <col min="3092" max="3092" width="12.28515625" style="1" customWidth="1"/>
    <col min="3093" max="3093" width="1.5703125" style="1" customWidth="1"/>
    <col min="3094" max="3094" width="12.28515625" style="1" customWidth="1"/>
    <col min="3095" max="3095" width="0.85546875" style="1" customWidth="1"/>
    <col min="3096" max="3096" width="12.28515625" style="1" customWidth="1"/>
    <col min="3097" max="3097" width="1.5703125" style="1" customWidth="1"/>
    <col min="3098" max="3098" width="12.28515625" style="1" customWidth="1"/>
    <col min="3099" max="3099" width="1.5703125" style="1" customWidth="1"/>
    <col min="3100" max="3100" width="12.28515625" style="1" customWidth="1"/>
    <col min="3101" max="3101" width="0.85546875" style="1" customWidth="1"/>
    <col min="3102" max="3102" width="12.28515625" style="1" customWidth="1"/>
    <col min="3103" max="3103" width="1.5703125" style="1" customWidth="1"/>
    <col min="3104" max="3104" width="12.28515625" style="1" customWidth="1"/>
    <col min="3105" max="3105" width="1.5703125" style="1" customWidth="1"/>
    <col min="3106" max="3106" width="12.28515625" style="1" customWidth="1"/>
    <col min="3107" max="3107" width="4.5703125" style="1" customWidth="1"/>
    <col min="3108" max="3108" width="1.42578125" style="1" customWidth="1"/>
    <col min="3109" max="3331" width="13.85546875" style="1"/>
    <col min="3332" max="3332" width="7.85546875" style="1" customWidth="1"/>
    <col min="3333" max="3334" width="2.28515625" style="1" customWidth="1"/>
    <col min="3335" max="3335" width="31.42578125" style="1" customWidth="1"/>
    <col min="3336" max="3336" width="2.28515625" style="1" customWidth="1"/>
    <col min="3337" max="3337" width="2.140625" style="1" customWidth="1"/>
    <col min="3338" max="3338" width="12.28515625" style="1" customWidth="1"/>
    <col min="3339" max="3339" width="1.5703125" style="1" customWidth="1"/>
    <col min="3340" max="3340" width="12.28515625" style="1" customWidth="1"/>
    <col min="3341" max="3341" width="1.5703125" style="1" customWidth="1"/>
    <col min="3342" max="3342" width="12.28515625" style="1" customWidth="1"/>
    <col min="3343" max="3343" width="1.5703125" style="1" customWidth="1"/>
    <col min="3344" max="3344" width="13.5703125" style="1" customWidth="1"/>
    <col min="3345" max="3345" width="0.85546875" style="1" customWidth="1"/>
    <col min="3346" max="3346" width="12.28515625" style="1" customWidth="1"/>
    <col min="3347" max="3347" width="1.5703125" style="1" customWidth="1"/>
    <col min="3348" max="3348" width="12.28515625" style="1" customWidth="1"/>
    <col min="3349" max="3349" width="1.5703125" style="1" customWidth="1"/>
    <col min="3350" max="3350" width="12.28515625" style="1" customWidth="1"/>
    <col min="3351" max="3351" width="0.85546875" style="1" customWidth="1"/>
    <col min="3352" max="3352" width="12.28515625" style="1" customWidth="1"/>
    <col min="3353" max="3353" width="1.5703125" style="1" customWidth="1"/>
    <col min="3354" max="3354" width="12.28515625" style="1" customWidth="1"/>
    <col min="3355" max="3355" width="1.5703125" style="1" customWidth="1"/>
    <col min="3356" max="3356" width="12.28515625" style="1" customWidth="1"/>
    <col min="3357" max="3357" width="0.85546875" style="1" customWidth="1"/>
    <col min="3358" max="3358" width="12.28515625" style="1" customWidth="1"/>
    <col min="3359" max="3359" width="1.5703125" style="1" customWidth="1"/>
    <col min="3360" max="3360" width="12.28515625" style="1" customWidth="1"/>
    <col min="3361" max="3361" width="1.5703125" style="1" customWidth="1"/>
    <col min="3362" max="3362" width="12.28515625" style="1" customWidth="1"/>
    <col min="3363" max="3363" width="4.5703125" style="1" customWidth="1"/>
    <col min="3364" max="3364" width="1.42578125" style="1" customWidth="1"/>
    <col min="3365" max="3587" width="13.85546875" style="1"/>
    <col min="3588" max="3588" width="7.85546875" style="1" customWidth="1"/>
    <col min="3589" max="3590" width="2.28515625" style="1" customWidth="1"/>
    <col min="3591" max="3591" width="31.42578125" style="1" customWidth="1"/>
    <col min="3592" max="3592" width="2.28515625" style="1" customWidth="1"/>
    <col min="3593" max="3593" width="2.140625" style="1" customWidth="1"/>
    <col min="3594" max="3594" width="12.28515625" style="1" customWidth="1"/>
    <col min="3595" max="3595" width="1.5703125" style="1" customWidth="1"/>
    <col min="3596" max="3596" width="12.28515625" style="1" customWidth="1"/>
    <col min="3597" max="3597" width="1.5703125" style="1" customWidth="1"/>
    <col min="3598" max="3598" width="12.28515625" style="1" customWidth="1"/>
    <col min="3599" max="3599" width="1.5703125" style="1" customWidth="1"/>
    <col min="3600" max="3600" width="13.5703125" style="1" customWidth="1"/>
    <col min="3601" max="3601" width="0.85546875" style="1" customWidth="1"/>
    <col min="3602" max="3602" width="12.28515625" style="1" customWidth="1"/>
    <col min="3603" max="3603" width="1.5703125" style="1" customWidth="1"/>
    <col min="3604" max="3604" width="12.28515625" style="1" customWidth="1"/>
    <col min="3605" max="3605" width="1.5703125" style="1" customWidth="1"/>
    <col min="3606" max="3606" width="12.28515625" style="1" customWidth="1"/>
    <col min="3607" max="3607" width="0.85546875" style="1" customWidth="1"/>
    <col min="3608" max="3608" width="12.28515625" style="1" customWidth="1"/>
    <col min="3609" max="3609" width="1.5703125" style="1" customWidth="1"/>
    <col min="3610" max="3610" width="12.28515625" style="1" customWidth="1"/>
    <col min="3611" max="3611" width="1.5703125" style="1" customWidth="1"/>
    <col min="3612" max="3612" width="12.28515625" style="1" customWidth="1"/>
    <col min="3613" max="3613" width="0.85546875" style="1" customWidth="1"/>
    <col min="3614" max="3614" width="12.28515625" style="1" customWidth="1"/>
    <col min="3615" max="3615" width="1.5703125" style="1" customWidth="1"/>
    <col min="3616" max="3616" width="12.28515625" style="1" customWidth="1"/>
    <col min="3617" max="3617" width="1.5703125" style="1" customWidth="1"/>
    <col min="3618" max="3618" width="12.28515625" style="1" customWidth="1"/>
    <col min="3619" max="3619" width="4.5703125" style="1" customWidth="1"/>
    <col min="3620" max="3620" width="1.42578125" style="1" customWidth="1"/>
    <col min="3621" max="3843" width="13.85546875" style="1"/>
    <col min="3844" max="3844" width="7.85546875" style="1" customWidth="1"/>
    <col min="3845" max="3846" width="2.28515625" style="1" customWidth="1"/>
    <col min="3847" max="3847" width="31.42578125" style="1" customWidth="1"/>
    <col min="3848" max="3848" width="2.28515625" style="1" customWidth="1"/>
    <col min="3849" max="3849" width="2.140625" style="1" customWidth="1"/>
    <col min="3850" max="3850" width="12.28515625" style="1" customWidth="1"/>
    <col min="3851" max="3851" width="1.5703125" style="1" customWidth="1"/>
    <col min="3852" max="3852" width="12.28515625" style="1" customWidth="1"/>
    <col min="3853" max="3853" width="1.5703125" style="1" customWidth="1"/>
    <col min="3854" max="3854" width="12.28515625" style="1" customWidth="1"/>
    <col min="3855" max="3855" width="1.5703125" style="1" customWidth="1"/>
    <col min="3856" max="3856" width="13.5703125" style="1" customWidth="1"/>
    <col min="3857" max="3857" width="0.85546875" style="1" customWidth="1"/>
    <col min="3858" max="3858" width="12.28515625" style="1" customWidth="1"/>
    <col min="3859" max="3859" width="1.5703125" style="1" customWidth="1"/>
    <col min="3860" max="3860" width="12.28515625" style="1" customWidth="1"/>
    <col min="3861" max="3861" width="1.5703125" style="1" customWidth="1"/>
    <col min="3862" max="3862" width="12.28515625" style="1" customWidth="1"/>
    <col min="3863" max="3863" width="0.85546875" style="1" customWidth="1"/>
    <col min="3864" max="3864" width="12.28515625" style="1" customWidth="1"/>
    <col min="3865" max="3865" width="1.5703125" style="1" customWidth="1"/>
    <col min="3866" max="3866" width="12.28515625" style="1" customWidth="1"/>
    <col min="3867" max="3867" width="1.5703125" style="1" customWidth="1"/>
    <col min="3868" max="3868" width="12.28515625" style="1" customWidth="1"/>
    <col min="3869" max="3869" width="0.85546875" style="1" customWidth="1"/>
    <col min="3870" max="3870" width="12.28515625" style="1" customWidth="1"/>
    <col min="3871" max="3871" width="1.5703125" style="1" customWidth="1"/>
    <col min="3872" max="3872" width="12.28515625" style="1" customWidth="1"/>
    <col min="3873" max="3873" width="1.5703125" style="1" customWidth="1"/>
    <col min="3874" max="3874" width="12.28515625" style="1" customWidth="1"/>
    <col min="3875" max="3875" width="4.5703125" style="1" customWidth="1"/>
    <col min="3876" max="3876" width="1.42578125" style="1" customWidth="1"/>
    <col min="3877" max="4099" width="13.85546875" style="1"/>
    <col min="4100" max="4100" width="7.85546875" style="1" customWidth="1"/>
    <col min="4101" max="4102" width="2.28515625" style="1" customWidth="1"/>
    <col min="4103" max="4103" width="31.42578125" style="1" customWidth="1"/>
    <col min="4104" max="4104" width="2.28515625" style="1" customWidth="1"/>
    <col min="4105" max="4105" width="2.140625" style="1" customWidth="1"/>
    <col min="4106" max="4106" width="12.28515625" style="1" customWidth="1"/>
    <col min="4107" max="4107" width="1.5703125" style="1" customWidth="1"/>
    <col min="4108" max="4108" width="12.28515625" style="1" customWidth="1"/>
    <col min="4109" max="4109" width="1.5703125" style="1" customWidth="1"/>
    <col min="4110" max="4110" width="12.28515625" style="1" customWidth="1"/>
    <col min="4111" max="4111" width="1.5703125" style="1" customWidth="1"/>
    <col min="4112" max="4112" width="13.5703125" style="1" customWidth="1"/>
    <col min="4113" max="4113" width="0.85546875" style="1" customWidth="1"/>
    <col min="4114" max="4114" width="12.28515625" style="1" customWidth="1"/>
    <col min="4115" max="4115" width="1.5703125" style="1" customWidth="1"/>
    <col min="4116" max="4116" width="12.28515625" style="1" customWidth="1"/>
    <col min="4117" max="4117" width="1.5703125" style="1" customWidth="1"/>
    <col min="4118" max="4118" width="12.28515625" style="1" customWidth="1"/>
    <col min="4119" max="4119" width="0.85546875" style="1" customWidth="1"/>
    <col min="4120" max="4120" width="12.28515625" style="1" customWidth="1"/>
    <col min="4121" max="4121" width="1.5703125" style="1" customWidth="1"/>
    <col min="4122" max="4122" width="12.28515625" style="1" customWidth="1"/>
    <col min="4123" max="4123" width="1.5703125" style="1" customWidth="1"/>
    <col min="4124" max="4124" width="12.28515625" style="1" customWidth="1"/>
    <col min="4125" max="4125" width="0.85546875" style="1" customWidth="1"/>
    <col min="4126" max="4126" width="12.28515625" style="1" customWidth="1"/>
    <col min="4127" max="4127" width="1.5703125" style="1" customWidth="1"/>
    <col min="4128" max="4128" width="12.28515625" style="1" customWidth="1"/>
    <col min="4129" max="4129" width="1.5703125" style="1" customWidth="1"/>
    <col min="4130" max="4130" width="12.28515625" style="1" customWidth="1"/>
    <col min="4131" max="4131" width="4.5703125" style="1" customWidth="1"/>
    <col min="4132" max="4132" width="1.42578125" style="1" customWidth="1"/>
    <col min="4133" max="4355" width="13.85546875" style="1"/>
    <col min="4356" max="4356" width="7.85546875" style="1" customWidth="1"/>
    <col min="4357" max="4358" width="2.28515625" style="1" customWidth="1"/>
    <col min="4359" max="4359" width="31.42578125" style="1" customWidth="1"/>
    <col min="4360" max="4360" width="2.28515625" style="1" customWidth="1"/>
    <col min="4361" max="4361" width="2.140625" style="1" customWidth="1"/>
    <col min="4362" max="4362" width="12.28515625" style="1" customWidth="1"/>
    <col min="4363" max="4363" width="1.5703125" style="1" customWidth="1"/>
    <col min="4364" max="4364" width="12.28515625" style="1" customWidth="1"/>
    <col min="4365" max="4365" width="1.5703125" style="1" customWidth="1"/>
    <col min="4366" max="4366" width="12.28515625" style="1" customWidth="1"/>
    <col min="4367" max="4367" width="1.5703125" style="1" customWidth="1"/>
    <col min="4368" max="4368" width="13.5703125" style="1" customWidth="1"/>
    <col min="4369" max="4369" width="0.85546875" style="1" customWidth="1"/>
    <col min="4370" max="4370" width="12.28515625" style="1" customWidth="1"/>
    <col min="4371" max="4371" width="1.5703125" style="1" customWidth="1"/>
    <col min="4372" max="4372" width="12.28515625" style="1" customWidth="1"/>
    <col min="4373" max="4373" width="1.5703125" style="1" customWidth="1"/>
    <col min="4374" max="4374" width="12.28515625" style="1" customWidth="1"/>
    <col min="4375" max="4375" width="0.85546875" style="1" customWidth="1"/>
    <col min="4376" max="4376" width="12.28515625" style="1" customWidth="1"/>
    <col min="4377" max="4377" width="1.5703125" style="1" customWidth="1"/>
    <col min="4378" max="4378" width="12.28515625" style="1" customWidth="1"/>
    <col min="4379" max="4379" width="1.5703125" style="1" customWidth="1"/>
    <col min="4380" max="4380" width="12.28515625" style="1" customWidth="1"/>
    <col min="4381" max="4381" width="0.85546875" style="1" customWidth="1"/>
    <col min="4382" max="4382" width="12.28515625" style="1" customWidth="1"/>
    <col min="4383" max="4383" width="1.5703125" style="1" customWidth="1"/>
    <col min="4384" max="4384" width="12.28515625" style="1" customWidth="1"/>
    <col min="4385" max="4385" width="1.5703125" style="1" customWidth="1"/>
    <col min="4386" max="4386" width="12.28515625" style="1" customWidth="1"/>
    <col min="4387" max="4387" width="4.5703125" style="1" customWidth="1"/>
    <col min="4388" max="4388" width="1.42578125" style="1" customWidth="1"/>
    <col min="4389" max="4611" width="13.85546875" style="1"/>
    <col min="4612" max="4612" width="7.85546875" style="1" customWidth="1"/>
    <col min="4613" max="4614" width="2.28515625" style="1" customWidth="1"/>
    <col min="4615" max="4615" width="31.42578125" style="1" customWidth="1"/>
    <col min="4616" max="4616" width="2.28515625" style="1" customWidth="1"/>
    <col min="4617" max="4617" width="2.140625" style="1" customWidth="1"/>
    <col min="4618" max="4618" width="12.28515625" style="1" customWidth="1"/>
    <col min="4619" max="4619" width="1.5703125" style="1" customWidth="1"/>
    <col min="4620" max="4620" width="12.28515625" style="1" customWidth="1"/>
    <col min="4621" max="4621" width="1.5703125" style="1" customWidth="1"/>
    <col min="4622" max="4622" width="12.28515625" style="1" customWidth="1"/>
    <col min="4623" max="4623" width="1.5703125" style="1" customWidth="1"/>
    <col min="4624" max="4624" width="13.5703125" style="1" customWidth="1"/>
    <col min="4625" max="4625" width="0.85546875" style="1" customWidth="1"/>
    <col min="4626" max="4626" width="12.28515625" style="1" customWidth="1"/>
    <col min="4627" max="4627" width="1.5703125" style="1" customWidth="1"/>
    <col min="4628" max="4628" width="12.28515625" style="1" customWidth="1"/>
    <col min="4629" max="4629" width="1.5703125" style="1" customWidth="1"/>
    <col min="4630" max="4630" width="12.28515625" style="1" customWidth="1"/>
    <col min="4631" max="4631" width="0.85546875" style="1" customWidth="1"/>
    <col min="4632" max="4632" width="12.28515625" style="1" customWidth="1"/>
    <col min="4633" max="4633" width="1.5703125" style="1" customWidth="1"/>
    <col min="4634" max="4634" width="12.28515625" style="1" customWidth="1"/>
    <col min="4635" max="4635" width="1.5703125" style="1" customWidth="1"/>
    <col min="4636" max="4636" width="12.28515625" style="1" customWidth="1"/>
    <col min="4637" max="4637" width="0.85546875" style="1" customWidth="1"/>
    <col min="4638" max="4638" width="12.28515625" style="1" customWidth="1"/>
    <col min="4639" max="4639" width="1.5703125" style="1" customWidth="1"/>
    <col min="4640" max="4640" width="12.28515625" style="1" customWidth="1"/>
    <col min="4641" max="4641" width="1.5703125" style="1" customWidth="1"/>
    <col min="4642" max="4642" width="12.28515625" style="1" customWidth="1"/>
    <col min="4643" max="4643" width="4.5703125" style="1" customWidth="1"/>
    <col min="4644" max="4644" width="1.42578125" style="1" customWidth="1"/>
    <col min="4645" max="4867" width="13.85546875" style="1"/>
    <col min="4868" max="4868" width="7.85546875" style="1" customWidth="1"/>
    <col min="4869" max="4870" width="2.28515625" style="1" customWidth="1"/>
    <col min="4871" max="4871" width="31.42578125" style="1" customWidth="1"/>
    <col min="4872" max="4872" width="2.28515625" style="1" customWidth="1"/>
    <col min="4873" max="4873" width="2.140625" style="1" customWidth="1"/>
    <col min="4874" max="4874" width="12.28515625" style="1" customWidth="1"/>
    <col min="4875" max="4875" width="1.5703125" style="1" customWidth="1"/>
    <col min="4876" max="4876" width="12.28515625" style="1" customWidth="1"/>
    <col min="4877" max="4877" width="1.5703125" style="1" customWidth="1"/>
    <col min="4878" max="4878" width="12.28515625" style="1" customWidth="1"/>
    <col min="4879" max="4879" width="1.5703125" style="1" customWidth="1"/>
    <col min="4880" max="4880" width="13.5703125" style="1" customWidth="1"/>
    <col min="4881" max="4881" width="0.85546875" style="1" customWidth="1"/>
    <col min="4882" max="4882" width="12.28515625" style="1" customWidth="1"/>
    <col min="4883" max="4883" width="1.5703125" style="1" customWidth="1"/>
    <col min="4884" max="4884" width="12.28515625" style="1" customWidth="1"/>
    <col min="4885" max="4885" width="1.5703125" style="1" customWidth="1"/>
    <col min="4886" max="4886" width="12.28515625" style="1" customWidth="1"/>
    <col min="4887" max="4887" width="0.85546875" style="1" customWidth="1"/>
    <col min="4888" max="4888" width="12.28515625" style="1" customWidth="1"/>
    <col min="4889" max="4889" width="1.5703125" style="1" customWidth="1"/>
    <col min="4890" max="4890" width="12.28515625" style="1" customWidth="1"/>
    <col min="4891" max="4891" width="1.5703125" style="1" customWidth="1"/>
    <col min="4892" max="4892" width="12.28515625" style="1" customWidth="1"/>
    <col min="4893" max="4893" width="0.85546875" style="1" customWidth="1"/>
    <col min="4894" max="4894" width="12.28515625" style="1" customWidth="1"/>
    <col min="4895" max="4895" width="1.5703125" style="1" customWidth="1"/>
    <col min="4896" max="4896" width="12.28515625" style="1" customWidth="1"/>
    <col min="4897" max="4897" width="1.5703125" style="1" customWidth="1"/>
    <col min="4898" max="4898" width="12.28515625" style="1" customWidth="1"/>
    <col min="4899" max="4899" width="4.5703125" style="1" customWidth="1"/>
    <col min="4900" max="4900" width="1.42578125" style="1" customWidth="1"/>
    <col min="4901" max="5123" width="13.85546875" style="1"/>
    <col min="5124" max="5124" width="7.85546875" style="1" customWidth="1"/>
    <col min="5125" max="5126" width="2.28515625" style="1" customWidth="1"/>
    <col min="5127" max="5127" width="31.42578125" style="1" customWidth="1"/>
    <col min="5128" max="5128" width="2.28515625" style="1" customWidth="1"/>
    <col min="5129" max="5129" width="2.140625" style="1" customWidth="1"/>
    <col min="5130" max="5130" width="12.28515625" style="1" customWidth="1"/>
    <col min="5131" max="5131" width="1.5703125" style="1" customWidth="1"/>
    <col min="5132" max="5132" width="12.28515625" style="1" customWidth="1"/>
    <col min="5133" max="5133" width="1.5703125" style="1" customWidth="1"/>
    <col min="5134" max="5134" width="12.28515625" style="1" customWidth="1"/>
    <col min="5135" max="5135" width="1.5703125" style="1" customWidth="1"/>
    <col min="5136" max="5136" width="13.5703125" style="1" customWidth="1"/>
    <col min="5137" max="5137" width="0.85546875" style="1" customWidth="1"/>
    <col min="5138" max="5138" width="12.28515625" style="1" customWidth="1"/>
    <col min="5139" max="5139" width="1.5703125" style="1" customWidth="1"/>
    <col min="5140" max="5140" width="12.28515625" style="1" customWidth="1"/>
    <col min="5141" max="5141" width="1.5703125" style="1" customWidth="1"/>
    <col min="5142" max="5142" width="12.28515625" style="1" customWidth="1"/>
    <col min="5143" max="5143" width="0.85546875" style="1" customWidth="1"/>
    <col min="5144" max="5144" width="12.28515625" style="1" customWidth="1"/>
    <col min="5145" max="5145" width="1.5703125" style="1" customWidth="1"/>
    <col min="5146" max="5146" width="12.28515625" style="1" customWidth="1"/>
    <col min="5147" max="5147" width="1.5703125" style="1" customWidth="1"/>
    <col min="5148" max="5148" width="12.28515625" style="1" customWidth="1"/>
    <col min="5149" max="5149" width="0.85546875" style="1" customWidth="1"/>
    <col min="5150" max="5150" width="12.28515625" style="1" customWidth="1"/>
    <col min="5151" max="5151" width="1.5703125" style="1" customWidth="1"/>
    <col min="5152" max="5152" width="12.28515625" style="1" customWidth="1"/>
    <col min="5153" max="5153" width="1.5703125" style="1" customWidth="1"/>
    <col min="5154" max="5154" width="12.28515625" style="1" customWidth="1"/>
    <col min="5155" max="5155" width="4.5703125" style="1" customWidth="1"/>
    <col min="5156" max="5156" width="1.42578125" style="1" customWidth="1"/>
    <col min="5157" max="5379" width="13.85546875" style="1"/>
    <col min="5380" max="5380" width="7.85546875" style="1" customWidth="1"/>
    <col min="5381" max="5382" width="2.28515625" style="1" customWidth="1"/>
    <col min="5383" max="5383" width="31.42578125" style="1" customWidth="1"/>
    <col min="5384" max="5384" width="2.28515625" style="1" customWidth="1"/>
    <col min="5385" max="5385" width="2.140625" style="1" customWidth="1"/>
    <col min="5386" max="5386" width="12.28515625" style="1" customWidth="1"/>
    <col min="5387" max="5387" width="1.5703125" style="1" customWidth="1"/>
    <col min="5388" max="5388" width="12.28515625" style="1" customWidth="1"/>
    <col min="5389" max="5389" width="1.5703125" style="1" customWidth="1"/>
    <col min="5390" max="5390" width="12.28515625" style="1" customWidth="1"/>
    <col min="5391" max="5391" width="1.5703125" style="1" customWidth="1"/>
    <col min="5392" max="5392" width="13.5703125" style="1" customWidth="1"/>
    <col min="5393" max="5393" width="0.85546875" style="1" customWidth="1"/>
    <col min="5394" max="5394" width="12.28515625" style="1" customWidth="1"/>
    <col min="5395" max="5395" width="1.5703125" style="1" customWidth="1"/>
    <col min="5396" max="5396" width="12.28515625" style="1" customWidth="1"/>
    <col min="5397" max="5397" width="1.5703125" style="1" customWidth="1"/>
    <col min="5398" max="5398" width="12.28515625" style="1" customWidth="1"/>
    <col min="5399" max="5399" width="0.85546875" style="1" customWidth="1"/>
    <col min="5400" max="5400" width="12.28515625" style="1" customWidth="1"/>
    <col min="5401" max="5401" width="1.5703125" style="1" customWidth="1"/>
    <col min="5402" max="5402" width="12.28515625" style="1" customWidth="1"/>
    <col min="5403" max="5403" width="1.5703125" style="1" customWidth="1"/>
    <col min="5404" max="5404" width="12.28515625" style="1" customWidth="1"/>
    <col min="5405" max="5405" width="0.85546875" style="1" customWidth="1"/>
    <col min="5406" max="5406" width="12.28515625" style="1" customWidth="1"/>
    <col min="5407" max="5407" width="1.5703125" style="1" customWidth="1"/>
    <col min="5408" max="5408" width="12.28515625" style="1" customWidth="1"/>
    <col min="5409" max="5409" width="1.5703125" style="1" customWidth="1"/>
    <col min="5410" max="5410" width="12.28515625" style="1" customWidth="1"/>
    <col min="5411" max="5411" width="4.5703125" style="1" customWidth="1"/>
    <col min="5412" max="5412" width="1.42578125" style="1" customWidth="1"/>
    <col min="5413" max="5635" width="13.85546875" style="1"/>
    <col min="5636" max="5636" width="7.85546875" style="1" customWidth="1"/>
    <col min="5637" max="5638" width="2.28515625" style="1" customWidth="1"/>
    <col min="5639" max="5639" width="31.42578125" style="1" customWidth="1"/>
    <col min="5640" max="5640" width="2.28515625" style="1" customWidth="1"/>
    <col min="5641" max="5641" width="2.140625" style="1" customWidth="1"/>
    <col min="5642" max="5642" width="12.28515625" style="1" customWidth="1"/>
    <col min="5643" max="5643" width="1.5703125" style="1" customWidth="1"/>
    <col min="5644" max="5644" width="12.28515625" style="1" customWidth="1"/>
    <col min="5645" max="5645" width="1.5703125" style="1" customWidth="1"/>
    <col min="5646" max="5646" width="12.28515625" style="1" customWidth="1"/>
    <col min="5647" max="5647" width="1.5703125" style="1" customWidth="1"/>
    <col min="5648" max="5648" width="13.5703125" style="1" customWidth="1"/>
    <col min="5649" max="5649" width="0.85546875" style="1" customWidth="1"/>
    <col min="5650" max="5650" width="12.28515625" style="1" customWidth="1"/>
    <col min="5651" max="5651" width="1.5703125" style="1" customWidth="1"/>
    <col min="5652" max="5652" width="12.28515625" style="1" customWidth="1"/>
    <col min="5653" max="5653" width="1.5703125" style="1" customWidth="1"/>
    <col min="5654" max="5654" width="12.28515625" style="1" customWidth="1"/>
    <col min="5655" max="5655" width="0.85546875" style="1" customWidth="1"/>
    <col min="5656" max="5656" width="12.28515625" style="1" customWidth="1"/>
    <col min="5657" max="5657" width="1.5703125" style="1" customWidth="1"/>
    <col min="5658" max="5658" width="12.28515625" style="1" customWidth="1"/>
    <col min="5659" max="5659" width="1.5703125" style="1" customWidth="1"/>
    <col min="5660" max="5660" width="12.28515625" style="1" customWidth="1"/>
    <col min="5661" max="5661" width="0.85546875" style="1" customWidth="1"/>
    <col min="5662" max="5662" width="12.28515625" style="1" customWidth="1"/>
    <col min="5663" max="5663" width="1.5703125" style="1" customWidth="1"/>
    <col min="5664" max="5664" width="12.28515625" style="1" customWidth="1"/>
    <col min="5665" max="5665" width="1.5703125" style="1" customWidth="1"/>
    <col min="5666" max="5666" width="12.28515625" style="1" customWidth="1"/>
    <col min="5667" max="5667" width="4.5703125" style="1" customWidth="1"/>
    <col min="5668" max="5668" width="1.42578125" style="1" customWidth="1"/>
    <col min="5669" max="5891" width="13.85546875" style="1"/>
    <col min="5892" max="5892" width="7.85546875" style="1" customWidth="1"/>
    <col min="5893" max="5894" width="2.28515625" style="1" customWidth="1"/>
    <col min="5895" max="5895" width="31.42578125" style="1" customWidth="1"/>
    <col min="5896" max="5896" width="2.28515625" style="1" customWidth="1"/>
    <col min="5897" max="5897" width="2.140625" style="1" customWidth="1"/>
    <col min="5898" max="5898" width="12.28515625" style="1" customWidth="1"/>
    <col min="5899" max="5899" width="1.5703125" style="1" customWidth="1"/>
    <col min="5900" max="5900" width="12.28515625" style="1" customWidth="1"/>
    <col min="5901" max="5901" width="1.5703125" style="1" customWidth="1"/>
    <col min="5902" max="5902" width="12.28515625" style="1" customWidth="1"/>
    <col min="5903" max="5903" width="1.5703125" style="1" customWidth="1"/>
    <col min="5904" max="5904" width="13.5703125" style="1" customWidth="1"/>
    <col min="5905" max="5905" width="0.85546875" style="1" customWidth="1"/>
    <col min="5906" max="5906" width="12.28515625" style="1" customWidth="1"/>
    <col min="5907" max="5907" width="1.5703125" style="1" customWidth="1"/>
    <col min="5908" max="5908" width="12.28515625" style="1" customWidth="1"/>
    <col min="5909" max="5909" width="1.5703125" style="1" customWidth="1"/>
    <col min="5910" max="5910" width="12.28515625" style="1" customWidth="1"/>
    <col min="5911" max="5911" width="0.85546875" style="1" customWidth="1"/>
    <col min="5912" max="5912" width="12.28515625" style="1" customWidth="1"/>
    <col min="5913" max="5913" width="1.5703125" style="1" customWidth="1"/>
    <col min="5914" max="5914" width="12.28515625" style="1" customWidth="1"/>
    <col min="5915" max="5915" width="1.5703125" style="1" customWidth="1"/>
    <col min="5916" max="5916" width="12.28515625" style="1" customWidth="1"/>
    <col min="5917" max="5917" width="0.85546875" style="1" customWidth="1"/>
    <col min="5918" max="5918" width="12.28515625" style="1" customWidth="1"/>
    <col min="5919" max="5919" width="1.5703125" style="1" customWidth="1"/>
    <col min="5920" max="5920" width="12.28515625" style="1" customWidth="1"/>
    <col min="5921" max="5921" width="1.5703125" style="1" customWidth="1"/>
    <col min="5922" max="5922" width="12.28515625" style="1" customWidth="1"/>
    <col min="5923" max="5923" width="4.5703125" style="1" customWidth="1"/>
    <col min="5924" max="5924" width="1.42578125" style="1" customWidth="1"/>
    <col min="5925" max="6147" width="13.85546875" style="1"/>
    <col min="6148" max="6148" width="7.85546875" style="1" customWidth="1"/>
    <col min="6149" max="6150" width="2.28515625" style="1" customWidth="1"/>
    <col min="6151" max="6151" width="31.42578125" style="1" customWidth="1"/>
    <col min="6152" max="6152" width="2.28515625" style="1" customWidth="1"/>
    <col min="6153" max="6153" width="2.140625" style="1" customWidth="1"/>
    <col min="6154" max="6154" width="12.28515625" style="1" customWidth="1"/>
    <col min="6155" max="6155" width="1.5703125" style="1" customWidth="1"/>
    <col min="6156" max="6156" width="12.28515625" style="1" customWidth="1"/>
    <col min="6157" max="6157" width="1.5703125" style="1" customWidth="1"/>
    <col min="6158" max="6158" width="12.28515625" style="1" customWidth="1"/>
    <col min="6159" max="6159" width="1.5703125" style="1" customWidth="1"/>
    <col min="6160" max="6160" width="13.5703125" style="1" customWidth="1"/>
    <col min="6161" max="6161" width="0.85546875" style="1" customWidth="1"/>
    <col min="6162" max="6162" width="12.28515625" style="1" customWidth="1"/>
    <col min="6163" max="6163" width="1.5703125" style="1" customWidth="1"/>
    <col min="6164" max="6164" width="12.28515625" style="1" customWidth="1"/>
    <col min="6165" max="6165" width="1.5703125" style="1" customWidth="1"/>
    <col min="6166" max="6166" width="12.28515625" style="1" customWidth="1"/>
    <col min="6167" max="6167" width="0.85546875" style="1" customWidth="1"/>
    <col min="6168" max="6168" width="12.28515625" style="1" customWidth="1"/>
    <col min="6169" max="6169" width="1.5703125" style="1" customWidth="1"/>
    <col min="6170" max="6170" width="12.28515625" style="1" customWidth="1"/>
    <col min="6171" max="6171" width="1.5703125" style="1" customWidth="1"/>
    <col min="6172" max="6172" width="12.28515625" style="1" customWidth="1"/>
    <col min="6173" max="6173" width="0.85546875" style="1" customWidth="1"/>
    <col min="6174" max="6174" width="12.28515625" style="1" customWidth="1"/>
    <col min="6175" max="6175" width="1.5703125" style="1" customWidth="1"/>
    <col min="6176" max="6176" width="12.28515625" style="1" customWidth="1"/>
    <col min="6177" max="6177" width="1.5703125" style="1" customWidth="1"/>
    <col min="6178" max="6178" width="12.28515625" style="1" customWidth="1"/>
    <col min="6179" max="6179" width="4.5703125" style="1" customWidth="1"/>
    <col min="6180" max="6180" width="1.42578125" style="1" customWidth="1"/>
    <col min="6181" max="6403" width="13.85546875" style="1"/>
    <col min="6404" max="6404" width="7.85546875" style="1" customWidth="1"/>
    <col min="6405" max="6406" width="2.28515625" style="1" customWidth="1"/>
    <col min="6407" max="6407" width="31.42578125" style="1" customWidth="1"/>
    <col min="6408" max="6408" width="2.28515625" style="1" customWidth="1"/>
    <col min="6409" max="6409" width="2.140625" style="1" customWidth="1"/>
    <col min="6410" max="6410" width="12.28515625" style="1" customWidth="1"/>
    <col min="6411" max="6411" width="1.5703125" style="1" customWidth="1"/>
    <col min="6412" max="6412" width="12.28515625" style="1" customWidth="1"/>
    <col min="6413" max="6413" width="1.5703125" style="1" customWidth="1"/>
    <col min="6414" max="6414" width="12.28515625" style="1" customWidth="1"/>
    <col min="6415" max="6415" width="1.5703125" style="1" customWidth="1"/>
    <col min="6416" max="6416" width="13.5703125" style="1" customWidth="1"/>
    <col min="6417" max="6417" width="0.85546875" style="1" customWidth="1"/>
    <col min="6418" max="6418" width="12.28515625" style="1" customWidth="1"/>
    <col min="6419" max="6419" width="1.5703125" style="1" customWidth="1"/>
    <col min="6420" max="6420" width="12.28515625" style="1" customWidth="1"/>
    <col min="6421" max="6421" width="1.5703125" style="1" customWidth="1"/>
    <col min="6422" max="6422" width="12.28515625" style="1" customWidth="1"/>
    <col min="6423" max="6423" width="0.85546875" style="1" customWidth="1"/>
    <col min="6424" max="6424" width="12.28515625" style="1" customWidth="1"/>
    <col min="6425" max="6425" width="1.5703125" style="1" customWidth="1"/>
    <col min="6426" max="6426" width="12.28515625" style="1" customWidth="1"/>
    <col min="6427" max="6427" width="1.5703125" style="1" customWidth="1"/>
    <col min="6428" max="6428" width="12.28515625" style="1" customWidth="1"/>
    <col min="6429" max="6429" width="0.85546875" style="1" customWidth="1"/>
    <col min="6430" max="6430" width="12.28515625" style="1" customWidth="1"/>
    <col min="6431" max="6431" width="1.5703125" style="1" customWidth="1"/>
    <col min="6432" max="6432" width="12.28515625" style="1" customWidth="1"/>
    <col min="6433" max="6433" width="1.5703125" style="1" customWidth="1"/>
    <col min="6434" max="6434" width="12.28515625" style="1" customWidth="1"/>
    <col min="6435" max="6435" width="4.5703125" style="1" customWidth="1"/>
    <col min="6436" max="6436" width="1.42578125" style="1" customWidth="1"/>
    <col min="6437" max="6659" width="13.85546875" style="1"/>
    <col min="6660" max="6660" width="7.85546875" style="1" customWidth="1"/>
    <col min="6661" max="6662" width="2.28515625" style="1" customWidth="1"/>
    <col min="6663" max="6663" width="31.42578125" style="1" customWidth="1"/>
    <col min="6664" max="6664" width="2.28515625" style="1" customWidth="1"/>
    <col min="6665" max="6665" width="2.140625" style="1" customWidth="1"/>
    <col min="6666" max="6666" width="12.28515625" style="1" customWidth="1"/>
    <col min="6667" max="6667" width="1.5703125" style="1" customWidth="1"/>
    <col min="6668" max="6668" width="12.28515625" style="1" customWidth="1"/>
    <col min="6669" max="6669" width="1.5703125" style="1" customWidth="1"/>
    <col min="6670" max="6670" width="12.28515625" style="1" customWidth="1"/>
    <col min="6671" max="6671" width="1.5703125" style="1" customWidth="1"/>
    <col min="6672" max="6672" width="13.5703125" style="1" customWidth="1"/>
    <col min="6673" max="6673" width="0.85546875" style="1" customWidth="1"/>
    <col min="6674" max="6674" width="12.28515625" style="1" customWidth="1"/>
    <col min="6675" max="6675" width="1.5703125" style="1" customWidth="1"/>
    <col min="6676" max="6676" width="12.28515625" style="1" customWidth="1"/>
    <col min="6677" max="6677" width="1.5703125" style="1" customWidth="1"/>
    <col min="6678" max="6678" width="12.28515625" style="1" customWidth="1"/>
    <col min="6679" max="6679" width="0.85546875" style="1" customWidth="1"/>
    <col min="6680" max="6680" width="12.28515625" style="1" customWidth="1"/>
    <col min="6681" max="6681" width="1.5703125" style="1" customWidth="1"/>
    <col min="6682" max="6682" width="12.28515625" style="1" customWidth="1"/>
    <col min="6683" max="6683" width="1.5703125" style="1" customWidth="1"/>
    <col min="6684" max="6684" width="12.28515625" style="1" customWidth="1"/>
    <col min="6685" max="6685" width="0.85546875" style="1" customWidth="1"/>
    <col min="6686" max="6686" width="12.28515625" style="1" customWidth="1"/>
    <col min="6687" max="6687" width="1.5703125" style="1" customWidth="1"/>
    <col min="6688" max="6688" width="12.28515625" style="1" customWidth="1"/>
    <col min="6689" max="6689" width="1.5703125" style="1" customWidth="1"/>
    <col min="6690" max="6690" width="12.28515625" style="1" customWidth="1"/>
    <col min="6691" max="6691" width="4.5703125" style="1" customWidth="1"/>
    <col min="6692" max="6692" width="1.42578125" style="1" customWidth="1"/>
    <col min="6693" max="6915" width="13.85546875" style="1"/>
    <col min="6916" max="6916" width="7.85546875" style="1" customWidth="1"/>
    <col min="6917" max="6918" width="2.28515625" style="1" customWidth="1"/>
    <col min="6919" max="6919" width="31.42578125" style="1" customWidth="1"/>
    <col min="6920" max="6920" width="2.28515625" style="1" customWidth="1"/>
    <col min="6921" max="6921" width="2.140625" style="1" customWidth="1"/>
    <col min="6922" max="6922" width="12.28515625" style="1" customWidth="1"/>
    <col min="6923" max="6923" width="1.5703125" style="1" customWidth="1"/>
    <col min="6924" max="6924" width="12.28515625" style="1" customWidth="1"/>
    <col min="6925" max="6925" width="1.5703125" style="1" customWidth="1"/>
    <col min="6926" max="6926" width="12.28515625" style="1" customWidth="1"/>
    <col min="6927" max="6927" width="1.5703125" style="1" customWidth="1"/>
    <col min="6928" max="6928" width="13.5703125" style="1" customWidth="1"/>
    <col min="6929" max="6929" width="0.85546875" style="1" customWidth="1"/>
    <col min="6930" max="6930" width="12.28515625" style="1" customWidth="1"/>
    <col min="6931" max="6931" width="1.5703125" style="1" customWidth="1"/>
    <col min="6932" max="6932" width="12.28515625" style="1" customWidth="1"/>
    <col min="6933" max="6933" width="1.5703125" style="1" customWidth="1"/>
    <col min="6934" max="6934" width="12.28515625" style="1" customWidth="1"/>
    <col min="6935" max="6935" width="0.85546875" style="1" customWidth="1"/>
    <col min="6936" max="6936" width="12.28515625" style="1" customWidth="1"/>
    <col min="6937" max="6937" width="1.5703125" style="1" customWidth="1"/>
    <col min="6938" max="6938" width="12.28515625" style="1" customWidth="1"/>
    <col min="6939" max="6939" width="1.5703125" style="1" customWidth="1"/>
    <col min="6940" max="6940" width="12.28515625" style="1" customWidth="1"/>
    <col min="6941" max="6941" width="0.85546875" style="1" customWidth="1"/>
    <col min="6942" max="6942" width="12.28515625" style="1" customWidth="1"/>
    <col min="6943" max="6943" width="1.5703125" style="1" customWidth="1"/>
    <col min="6944" max="6944" width="12.28515625" style="1" customWidth="1"/>
    <col min="6945" max="6945" width="1.5703125" style="1" customWidth="1"/>
    <col min="6946" max="6946" width="12.28515625" style="1" customWidth="1"/>
    <col min="6947" max="6947" width="4.5703125" style="1" customWidth="1"/>
    <col min="6948" max="6948" width="1.42578125" style="1" customWidth="1"/>
    <col min="6949" max="7171" width="13.85546875" style="1"/>
    <col min="7172" max="7172" width="7.85546875" style="1" customWidth="1"/>
    <col min="7173" max="7174" width="2.28515625" style="1" customWidth="1"/>
    <col min="7175" max="7175" width="31.42578125" style="1" customWidth="1"/>
    <col min="7176" max="7176" width="2.28515625" style="1" customWidth="1"/>
    <col min="7177" max="7177" width="2.140625" style="1" customWidth="1"/>
    <col min="7178" max="7178" width="12.28515625" style="1" customWidth="1"/>
    <col min="7179" max="7179" width="1.5703125" style="1" customWidth="1"/>
    <col min="7180" max="7180" width="12.28515625" style="1" customWidth="1"/>
    <col min="7181" max="7181" width="1.5703125" style="1" customWidth="1"/>
    <col min="7182" max="7182" width="12.28515625" style="1" customWidth="1"/>
    <col min="7183" max="7183" width="1.5703125" style="1" customWidth="1"/>
    <col min="7184" max="7184" width="13.5703125" style="1" customWidth="1"/>
    <col min="7185" max="7185" width="0.85546875" style="1" customWidth="1"/>
    <col min="7186" max="7186" width="12.28515625" style="1" customWidth="1"/>
    <col min="7187" max="7187" width="1.5703125" style="1" customWidth="1"/>
    <col min="7188" max="7188" width="12.28515625" style="1" customWidth="1"/>
    <col min="7189" max="7189" width="1.5703125" style="1" customWidth="1"/>
    <col min="7190" max="7190" width="12.28515625" style="1" customWidth="1"/>
    <col min="7191" max="7191" width="0.85546875" style="1" customWidth="1"/>
    <col min="7192" max="7192" width="12.28515625" style="1" customWidth="1"/>
    <col min="7193" max="7193" width="1.5703125" style="1" customWidth="1"/>
    <col min="7194" max="7194" width="12.28515625" style="1" customWidth="1"/>
    <col min="7195" max="7195" width="1.5703125" style="1" customWidth="1"/>
    <col min="7196" max="7196" width="12.28515625" style="1" customWidth="1"/>
    <col min="7197" max="7197" width="0.85546875" style="1" customWidth="1"/>
    <col min="7198" max="7198" width="12.28515625" style="1" customWidth="1"/>
    <col min="7199" max="7199" width="1.5703125" style="1" customWidth="1"/>
    <col min="7200" max="7200" width="12.28515625" style="1" customWidth="1"/>
    <col min="7201" max="7201" width="1.5703125" style="1" customWidth="1"/>
    <col min="7202" max="7202" width="12.28515625" style="1" customWidth="1"/>
    <col min="7203" max="7203" width="4.5703125" style="1" customWidth="1"/>
    <col min="7204" max="7204" width="1.42578125" style="1" customWidth="1"/>
    <col min="7205" max="7427" width="13.85546875" style="1"/>
    <col min="7428" max="7428" width="7.85546875" style="1" customWidth="1"/>
    <col min="7429" max="7430" width="2.28515625" style="1" customWidth="1"/>
    <col min="7431" max="7431" width="31.42578125" style="1" customWidth="1"/>
    <col min="7432" max="7432" width="2.28515625" style="1" customWidth="1"/>
    <col min="7433" max="7433" width="2.140625" style="1" customWidth="1"/>
    <col min="7434" max="7434" width="12.28515625" style="1" customWidth="1"/>
    <col min="7435" max="7435" width="1.5703125" style="1" customWidth="1"/>
    <col min="7436" max="7436" width="12.28515625" style="1" customWidth="1"/>
    <col min="7437" max="7437" width="1.5703125" style="1" customWidth="1"/>
    <col min="7438" max="7438" width="12.28515625" style="1" customWidth="1"/>
    <col min="7439" max="7439" width="1.5703125" style="1" customWidth="1"/>
    <col min="7440" max="7440" width="13.5703125" style="1" customWidth="1"/>
    <col min="7441" max="7441" width="0.85546875" style="1" customWidth="1"/>
    <col min="7442" max="7442" width="12.28515625" style="1" customWidth="1"/>
    <col min="7443" max="7443" width="1.5703125" style="1" customWidth="1"/>
    <col min="7444" max="7444" width="12.28515625" style="1" customWidth="1"/>
    <col min="7445" max="7445" width="1.5703125" style="1" customWidth="1"/>
    <col min="7446" max="7446" width="12.28515625" style="1" customWidth="1"/>
    <col min="7447" max="7447" width="0.85546875" style="1" customWidth="1"/>
    <col min="7448" max="7448" width="12.28515625" style="1" customWidth="1"/>
    <col min="7449" max="7449" width="1.5703125" style="1" customWidth="1"/>
    <col min="7450" max="7450" width="12.28515625" style="1" customWidth="1"/>
    <col min="7451" max="7451" width="1.5703125" style="1" customWidth="1"/>
    <col min="7452" max="7452" width="12.28515625" style="1" customWidth="1"/>
    <col min="7453" max="7453" width="0.85546875" style="1" customWidth="1"/>
    <col min="7454" max="7454" width="12.28515625" style="1" customWidth="1"/>
    <col min="7455" max="7455" width="1.5703125" style="1" customWidth="1"/>
    <col min="7456" max="7456" width="12.28515625" style="1" customWidth="1"/>
    <col min="7457" max="7457" width="1.5703125" style="1" customWidth="1"/>
    <col min="7458" max="7458" width="12.28515625" style="1" customWidth="1"/>
    <col min="7459" max="7459" width="4.5703125" style="1" customWidth="1"/>
    <col min="7460" max="7460" width="1.42578125" style="1" customWidth="1"/>
    <col min="7461" max="7683" width="13.85546875" style="1"/>
    <col min="7684" max="7684" width="7.85546875" style="1" customWidth="1"/>
    <col min="7685" max="7686" width="2.28515625" style="1" customWidth="1"/>
    <col min="7687" max="7687" width="31.42578125" style="1" customWidth="1"/>
    <col min="7688" max="7688" width="2.28515625" style="1" customWidth="1"/>
    <col min="7689" max="7689" width="2.140625" style="1" customWidth="1"/>
    <col min="7690" max="7690" width="12.28515625" style="1" customWidth="1"/>
    <col min="7691" max="7691" width="1.5703125" style="1" customWidth="1"/>
    <col min="7692" max="7692" width="12.28515625" style="1" customWidth="1"/>
    <col min="7693" max="7693" width="1.5703125" style="1" customWidth="1"/>
    <col min="7694" max="7694" width="12.28515625" style="1" customWidth="1"/>
    <col min="7695" max="7695" width="1.5703125" style="1" customWidth="1"/>
    <col min="7696" max="7696" width="13.5703125" style="1" customWidth="1"/>
    <col min="7697" max="7697" width="0.85546875" style="1" customWidth="1"/>
    <col min="7698" max="7698" width="12.28515625" style="1" customWidth="1"/>
    <col min="7699" max="7699" width="1.5703125" style="1" customWidth="1"/>
    <col min="7700" max="7700" width="12.28515625" style="1" customWidth="1"/>
    <col min="7701" max="7701" width="1.5703125" style="1" customWidth="1"/>
    <col min="7702" max="7702" width="12.28515625" style="1" customWidth="1"/>
    <col min="7703" max="7703" width="0.85546875" style="1" customWidth="1"/>
    <col min="7704" max="7704" width="12.28515625" style="1" customWidth="1"/>
    <col min="7705" max="7705" width="1.5703125" style="1" customWidth="1"/>
    <col min="7706" max="7706" width="12.28515625" style="1" customWidth="1"/>
    <col min="7707" max="7707" width="1.5703125" style="1" customWidth="1"/>
    <col min="7708" max="7708" width="12.28515625" style="1" customWidth="1"/>
    <col min="7709" max="7709" width="0.85546875" style="1" customWidth="1"/>
    <col min="7710" max="7710" width="12.28515625" style="1" customWidth="1"/>
    <col min="7711" max="7711" width="1.5703125" style="1" customWidth="1"/>
    <col min="7712" max="7712" width="12.28515625" style="1" customWidth="1"/>
    <col min="7713" max="7713" width="1.5703125" style="1" customWidth="1"/>
    <col min="7714" max="7714" width="12.28515625" style="1" customWidth="1"/>
    <col min="7715" max="7715" width="4.5703125" style="1" customWidth="1"/>
    <col min="7716" max="7716" width="1.42578125" style="1" customWidth="1"/>
    <col min="7717" max="7939" width="13.85546875" style="1"/>
    <col min="7940" max="7940" width="7.85546875" style="1" customWidth="1"/>
    <col min="7941" max="7942" width="2.28515625" style="1" customWidth="1"/>
    <col min="7943" max="7943" width="31.42578125" style="1" customWidth="1"/>
    <col min="7944" max="7944" width="2.28515625" style="1" customWidth="1"/>
    <col min="7945" max="7945" width="2.140625" style="1" customWidth="1"/>
    <col min="7946" max="7946" width="12.28515625" style="1" customWidth="1"/>
    <col min="7947" max="7947" width="1.5703125" style="1" customWidth="1"/>
    <col min="7948" max="7948" width="12.28515625" style="1" customWidth="1"/>
    <col min="7949" max="7949" width="1.5703125" style="1" customWidth="1"/>
    <col min="7950" max="7950" width="12.28515625" style="1" customWidth="1"/>
    <col min="7951" max="7951" width="1.5703125" style="1" customWidth="1"/>
    <col min="7952" max="7952" width="13.5703125" style="1" customWidth="1"/>
    <col min="7953" max="7953" width="0.85546875" style="1" customWidth="1"/>
    <col min="7954" max="7954" width="12.28515625" style="1" customWidth="1"/>
    <col min="7955" max="7955" width="1.5703125" style="1" customWidth="1"/>
    <col min="7956" max="7956" width="12.28515625" style="1" customWidth="1"/>
    <col min="7957" max="7957" width="1.5703125" style="1" customWidth="1"/>
    <col min="7958" max="7958" width="12.28515625" style="1" customWidth="1"/>
    <col min="7959" max="7959" width="0.85546875" style="1" customWidth="1"/>
    <col min="7960" max="7960" width="12.28515625" style="1" customWidth="1"/>
    <col min="7961" max="7961" width="1.5703125" style="1" customWidth="1"/>
    <col min="7962" max="7962" width="12.28515625" style="1" customWidth="1"/>
    <col min="7963" max="7963" width="1.5703125" style="1" customWidth="1"/>
    <col min="7964" max="7964" width="12.28515625" style="1" customWidth="1"/>
    <col min="7965" max="7965" width="0.85546875" style="1" customWidth="1"/>
    <col min="7966" max="7966" width="12.28515625" style="1" customWidth="1"/>
    <col min="7967" max="7967" width="1.5703125" style="1" customWidth="1"/>
    <col min="7968" max="7968" width="12.28515625" style="1" customWidth="1"/>
    <col min="7969" max="7969" width="1.5703125" style="1" customWidth="1"/>
    <col min="7970" max="7970" width="12.28515625" style="1" customWidth="1"/>
    <col min="7971" max="7971" width="4.5703125" style="1" customWidth="1"/>
    <col min="7972" max="7972" width="1.42578125" style="1" customWidth="1"/>
    <col min="7973" max="8195" width="13.85546875" style="1"/>
    <col min="8196" max="8196" width="7.85546875" style="1" customWidth="1"/>
    <col min="8197" max="8198" width="2.28515625" style="1" customWidth="1"/>
    <col min="8199" max="8199" width="31.42578125" style="1" customWidth="1"/>
    <col min="8200" max="8200" width="2.28515625" style="1" customWidth="1"/>
    <col min="8201" max="8201" width="2.140625" style="1" customWidth="1"/>
    <col min="8202" max="8202" width="12.28515625" style="1" customWidth="1"/>
    <col min="8203" max="8203" width="1.5703125" style="1" customWidth="1"/>
    <col min="8204" max="8204" width="12.28515625" style="1" customWidth="1"/>
    <col min="8205" max="8205" width="1.5703125" style="1" customWidth="1"/>
    <col min="8206" max="8206" width="12.28515625" style="1" customWidth="1"/>
    <col min="8207" max="8207" width="1.5703125" style="1" customWidth="1"/>
    <col min="8208" max="8208" width="13.5703125" style="1" customWidth="1"/>
    <col min="8209" max="8209" width="0.85546875" style="1" customWidth="1"/>
    <col min="8210" max="8210" width="12.28515625" style="1" customWidth="1"/>
    <col min="8211" max="8211" width="1.5703125" style="1" customWidth="1"/>
    <col min="8212" max="8212" width="12.28515625" style="1" customWidth="1"/>
    <col min="8213" max="8213" width="1.5703125" style="1" customWidth="1"/>
    <col min="8214" max="8214" width="12.28515625" style="1" customWidth="1"/>
    <col min="8215" max="8215" width="0.85546875" style="1" customWidth="1"/>
    <col min="8216" max="8216" width="12.28515625" style="1" customWidth="1"/>
    <col min="8217" max="8217" width="1.5703125" style="1" customWidth="1"/>
    <col min="8218" max="8218" width="12.28515625" style="1" customWidth="1"/>
    <col min="8219" max="8219" width="1.5703125" style="1" customWidth="1"/>
    <col min="8220" max="8220" width="12.28515625" style="1" customWidth="1"/>
    <col min="8221" max="8221" width="0.85546875" style="1" customWidth="1"/>
    <col min="8222" max="8222" width="12.28515625" style="1" customWidth="1"/>
    <col min="8223" max="8223" width="1.5703125" style="1" customWidth="1"/>
    <col min="8224" max="8224" width="12.28515625" style="1" customWidth="1"/>
    <col min="8225" max="8225" width="1.5703125" style="1" customWidth="1"/>
    <col min="8226" max="8226" width="12.28515625" style="1" customWidth="1"/>
    <col min="8227" max="8227" width="4.5703125" style="1" customWidth="1"/>
    <col min="8228" max="8228" width="1.42578125" style="1" customWidth="1"/>
    <col min="8229" max="8451" width="13.85546875" style="1"/>
    <col min="8452" max="8452" width="7.85546875" style="1" customWidth="1"/>
    <col min="8453" max="8454" width="2.28515625" style="1" customWidth="1"/>
    <col min="8455" max="8455" width="31.42578125" style="1" customWidth="1"/>
    <col min="8456" max="8456" width="2.28515625" style="1" customWidth="1"/>
    <col min="8457" max="8457" width="2.140625" style="1" customWidth="1"/>
    <col min="8458" max="8458" width="12.28515625" style="1" customWidth="1"/>
    <col min="8459" max="8459" width="1.5703125" style="1" customWidth="1"/>
    <col min="8460" max="8460" width="12.28515625" style="1" customWidth="1"/>
    <col min="8461" max="8461" width="1.5703125" style="1" customWidth="1"/>
    <col min="8462" max="8462" width="12.28515625" style="1" customWidth="1"/>
    <col min="8463" max="8463" width="1.5703125" style="1" customWidth="1"/>
    <col min="8464" max="8464" width="13.5703125" style="1" customWidth="1"/>
    <col min="8465" max="8465" width="0.85546875" style="1" customWidth="1"/>
    <col min="8466" max="8466" width="12.28515625" style="1" customWidth="1"/>
    <col min="8467" max="8467" width="1.5703125" style="1" customWidth="1"/>
    <col min="8468" max="8468" width="12.28515625" style="1" customWidth="1"/>
    <col min="8469" max="8469" width="1.5703125" style="1" customWidth="1"/>
    <col min="8470" max="8470" width="12.28515625" style="1" customWidth="1"/>
    <col min="8471" max="8471" width="0.85546875" style="1" customWidth="1"/>
    <col min="8472" max="8472" width="12.28515625" style="1" customWidth="1"/>
    <col min="8473" max="8473" width="1.5703125" style="1" customWidth="1"/>
    <col min="8474" max="8474" width="12.28515625" style="1" customWidth="1"/>
    <col min="8475" max="8475" width="1.5703125" style="1" customWidth="1"/>
    <col min="8476" max="8476" width="12.28515625" style="1" customWidth="1"/>
    <col min="8477" max="8477" width="0.85546875" style="1" customWidth="1"/>
    <col min="8478" max="8478" width="12.28515625" style="1" customWidth="1"/>
    <col min="8479" max="8479" width="1.5703125" style="1" customWidth="1"/>
    <col min="8480" max="8480" width="12.28515625" style="1" customWidth="1"/>
    <col min="8481" max="8481" width="1.5703125" style="1" customWidth="1"/>
    <col min="8482" max="8482" width="12.28515625" style="1" customWidth="1"/>
    <col min="8483" max="8483" width="4.5703125" style="1" customWidth="1"/>
    <col min="8484" max="8484" width="1.42578125" style="1" customWidth="1"/>
    <col min="8485" max="8707" width="13.85546875" style="1"/>
    <col min="8708" max="8708" width="7.85546875" style="1" customWidth="1"/>
    <col min="8709" max="8710" width="2.28515625" style="1" customWidth="1"/>
    <col min="8711" max="8711" width="31.42578125" style="1" customWidth="1"/>
    <col min="8712" max="8712" width="2.28515625" style="1" customWidth="1"/>
    <col min="8713" max="8713" width="2.140625" style="1" customWidth="1"/>
    <col min="8714" max="8714" width="12.28515625" style="1" customWidth="1"/>
    <col min="8715" max="8715" width="1.5703125" style="1" customWidth="1"/>
    <col min="8716" max="8716" width="12.28515625" style="1" customWidth="1"/>
    <col min="8717" max="8717" width="1.5703125" style="1" customWidth="1"/>
    <col min="8718" max="8718" width="12.28515625" style="1" customWidth="1"/>
    <col min="8719" max="8719" width="1.5703125" style="1" customWidth="1"/>
    <col min="8720" max="8720" width="13.5703125" style="1" customWidth="1"/>
    <col min="8721" max="8721" width="0.85546875" style="1" customWidth="1"/>
    <col min="8722" max="8722" width="12.28515625" style="1" customWidth="1"/>
    <col min="8723" max="8723" width="1.5703125" style="1" customWidth="1"/>
    <col min="8724" max="8724" width="12.28515625" style="1" customWidth="1"/>
    <col min="8725" max="8725" width="1.5703125" style="1" customWidth="1"/>
    <col min="8726" max="8726" width="12.28515625" style="1" customWidth="1"/>
    <col min="8727" max="8727" width="0.85546875" style="1" customWidth="1"/>
    <col min="8728" max="8728" width="12.28515625" style="1" customWidth="1"/>
    <col min="8729" max="8729" width="1.5703125" style="1" customWidth="1"/>
    <col min="8730" max="8730" width="12.28515625" style="1" customWidth="1"/>
    <col min="8731" max="8731" width="1.5703125" style="1" customWidth="1"/>
    <col min="8732" max="8732" width="12.28515625" style="1" customWidth="1"/>
    <col min="8733" max="8733" width="0.85546875" style="1" customWidth="1"/>
    <col min="8734" max="8734" width="12.28515625" style="1" customWidth="1"/>
    <col min="8735" max="8735" width="1.5703125" style="1" customWidth="1"/>
    <col min="8736" max="8736" width="12.28515625" style="1" customWidth="1"/>
    <col min="8737" max="8737" width="1.5703125" style="1" customWidth="1"/>
    <col min="8738" max="8738" width="12.28515625" style="1" customWidth="1"/>
    <col min="8739" max="8739" width="4.5703125" style="1" customWidth="1"/>
    <col min="8740" max="8740" width="1.42578125" style="1" customWidth="1"/>
    <col min="8741" max="8963" width="13.85546875" style="1"/>
    <col min="8964" max="8964" width="7.85546875" style="1" customWidth="1"/>
    <col min="8965" max="8966" width="2.28515625" style="1" customWidth="1"/>
    <col min="8967" max="8967" width="31.42578125" style="1" customWidth="1"/>
    <col min="8968" max="8968" width="2.28515625" style="1" customWidth="1"/>
    <col min="8969" max="8969" width="2.140625" style="1" customWidth="1"/>
    <col min="8970" max="8970" width="12.28515625" style="1" customWidth="1"/>
    <col min="8971" max="8971" width="1.5703125" style="1" customWidth="1"/>
    <col min="8972" max="8972" width="12.28515625" style="1" customWidth="1"/>
    <col min="8973" max="8973" width="1.5703125" style="1" customWidth="1"/>
    <col min="8974" max="8974" width="12.28515625" style="1" customWidth="1"/>
    <col min="8975" max="8975" width="1.5703125" style="1" customWidth="1"/>
    <col min="8976" max="8976" width="13.5703125" style="1" customWidth="1"/>
    <col min="8977" max="8977" width="0.85546875" style="1" customWidth="1"/>
    <col min="8978" max="8978" width="12.28515625" style="1" customWidth="1"/>
    <col min="8979" max="8979" width="1.5703125" style="1" customWidth="1"/>
    <col min="8980" max="8980" width="12.28515625" style="1" customWidth="1"/>
    <col min="8981" max="8981" width="1.5703125" style="1" customWidth="1"/>
    <col min="8982" max="8982" width="12.28515625" style="1" customWidth="1"/>
    <col min="8983" max="8983" width="0.85546875" style="1" customWidth="1"/>
    <col min="8984" max="8984" width="12.28515625" style="1" customWidth="1"/>
    <col min="8985" max="8985" width="1.5703125" style="1" customWidth="1"/>
    <col min="8986" max="8986" width="12.28515625" style="1" customWidth="1"/>
    <col min="8987" max="8987" width="1.5703125" style="1" customWidth="1"/>
    <col min="8988" max="8988" width="12.28515625" style="1" customWidth="1"/>
    <col min="8989" max="8989" width="0.85546875" style="1" customWidth="1"/>
    <col min="8990" max="8990" width="12.28515625" style="1" customWidth="1"/>
    <col min="8991" max="8991" width="1.5703125" style="1" customWidth="1"/>
    <col min="8992" max="8992" width="12.28515625" style="1" customWidth="1"/>
    <col min="8993" max="8993" width="1.5703125" style="1" customWidth="1"/>
    <col min="8994" max="8994" width="12.28515625" style="1" customWidth="1"/>
    <col min="8995" max="8995" width="4.5703125" style="1" customWidth="1"/>
    <col min="8996" max="8996" width="1.42578125" style="1" customWidth="1"/>
    <col min="8997" max="9219" width="13.85546875" style="1"/>
    <col min="9220" max="9220" width="7.85546875" style="1" customWidth="1"/>
    <col min="9221" max="9222" width="2.28515625" style="1" customWidth="1"/>
    <col min="9223" max="9223" width="31.42578125" style="1" customWidth="1"/>
    <col min="9224" max="9224" width="2.28515625" style="1" customWidth="1"/>
    <col min="9225" max="9225" width="2.140625" style="1" customWidth="1"/>
    <col min="9226" max="9226" width="12.28515625" style="1" customWidth="1"/>
    <col min="9227" max="9227" width="1.5703125" style="1" customWidth="1"/>
    <col min="9228" max="9228" width="12.28515625" style="1" customWidth="1"/>
    <col min="9229" max="9229" width="1.5703125" style="1" customWidth="1"/>
    <col min="9230" max="9230" width="12.28515625" style="1" customWidth="1"/>
    <col min="9231" max="9231" width="1.5703125" style="1" customWidth="1"/>
    <col min="9232" max="9232" width="13.5703125" style="1" customWidth="1"/>
    <col min="9233" max="9233" width="0.85546875" style="1" customWidth="1"/>
    <col min="9234" max="9234" width="12.28515625" style="1" customWidth="1"/>
    <col min="9235" max="9235" width="1.5703125" style="1" customWidth="1"/>
    <col min="9236" max="9236" width="12.28515625" style="1" customWidth="1"/>
    <col min="9237" max="9237" width="1.5703125" style="1" customWidth="1"/>
    <col min="9238" max="9238" width="12.28515625" style="1" customWidth="1"/>
    <col min="9239" max="9239" width="0.85546875" style="1" customWidth="1"/>
    <col min="9240" max="9240" width="12.28515625" style="1" customWidth="1"/>
    <col min="9241" max="9241" width="1.5703125" style="1" customWidth="1"/>
    <col min="9242" max="9242" width="12.28515625" style="1" customWidth="1"/>
    <col min="9243" max="9243" width="1.5703125" style="1" customWidth="1"/>
    <col min="9244" max="9244" width="12.28515625" style="1" customWidth="1"/>
    <col min="9245" max="9245" width="0.85546875" style="1" customWidth="1"/>
    <col min="9246" max="9246" width="12.28515625" style="1" customWidth="1"/>
    <col min="9247" max="9247" width="1.5703125" style="1" customWidth="1"/>
    <col min="9248" max="9248" width="12.28515625" style="1" customWidth="1"/>
    <col min="9249" max="9249" width="1.5703125" style="1" customWidth="1"/>
    <col min="9250" max="9250" width="12.28515625" style="1" customWidth="1"/>
    <col min="9251" max="9251" width="4.5703125" style="1" customWidth="1"/>
    <col min="9252" max="9252" width="1.42578125" style="1" customWidth="1"/>
    <col min="9253" max="9475" width="13.85546875" style="1"/>
    <col min="9476" max="9476" width="7.85546875" style="1" customWidth="1"/>
    <col min="9477" max="9478" width="2.28515625" style="1" customWidth="1"/>
    <col min="9479" max="9479" width="31.42578125" style="1" customWidth="1"/>
    <col min="9480" max="9480" width="2.28515625" style="1" customWidth="1"/>
    <col min="9481" max="9481" width="2.140625" style="1" customWidth="1"/>
    <col min="9482" max="9482" width="12.28515625" style="1" customWidth="1"/>
    <col min="9483" max="9483" width="1.5703125" style="1" customWidth="1"/>
    <col min="9484" max="9484" width="12.28515625" style="1" customWidth="1"/>
    <col min="9485" max="9485" width="1.5703125" style="1" customWidth="1"/>
    <col min="9486" max="9486" width="12.28515625" style="1" customWidth="1"/>
    <col min="9487" max="9487" width="1.5703125" style="1" customWidth="1"/>
    <col min="9488" max="9488" width="13.5703125" style="1" customWidth="1"/>
    <col min="9489" max="9489" width="0.85546875" style="1" customWidth="1"/>
    <col min="9490" max="9490" width="12.28515625" style="1" customWidth="1"/>
    <col min="9491" max="9491" width="1.5703125" style="1" customWidth="1"/>
    <col min="9492" max="9492" width="12.28515625" style="1" customWidth="1"/>
    <col min="9493" max="9493" width="1.5703125" style="1" customWidth="1"/>
    <col min="9494" max="9494" width="12.28515625" style="1" customWidth="1"/>
    <col min="9495" max="9495" width="0.85546875" style="1" customWidth="1"/>
    <col min="9496" max="9496" width="12.28515625" style="1" customWidth="1"/>
    <col min="9497" max="9497" width="1.5703125" style="1" customWidth="1"/>
    <col min="9498" max="9498" width="12.28515625" style="1" customWidth="1"/>
    <col min="9499" max="9499" width="1.5703125" style="1" customWidth="1"/>
    <col min="9500" max="9500" width="12.28515625" style="1" customWidth="1"/>
    <col min="9501" max="9501" width="0.85546875" style="1" customWidth="1"/>
    <col min="9502" max="9502" width="12.28515625" style="1" customWidth="1"/>
    <col min="9503" max="9503" width="1.5703125" style="1" customWidth="1"/>
    <col min="9504" max="9504" width="12.28515625" style="1" customWidth="1"/>
    <col min="9505" max="9505" width="1.5703125" style="1" customWidth="1"/>
    <col min="9506" max="9506" width="12.28515625" style="1" customWidth="1"/>
    <col min="9507" max="9507" width="4.5703125" style="1" customWidth="1"/>
    <col min="9508" max="9508" width="1.42578125" style="1" customWidth="1"/>
    <col min="9509" max="9731" width="13.85546875" style="1"/>
    <col min="9732" max="9732" width="7.85546875" style="1" customWidth="1"/>
    <col min="9733" max="9734" width="2.28515625" style="1" customWidth="1"/>
    <col min="9735" max="9735" width="31.42578125" style="1" customWidth="1"/>
    <col min="9736" max="9736" width="2.28515625" style="1" customWidth="1"/>
    <col min="9737" max="9737" width="2.140625" style="1" customWidth="1"/>
    <col min="9738" max="9738" width="12.28515625" style="1" customWidth="1"/>
    <col min="9739" max="9739" width="1.5703125" style="1" customWidth="1"/>
    <col min="9740" max="9740" width="12.28515625" style="1" customWidth="1"/>
    <col min="9741" max="9741" width="1.5703125" style="1" customWidth="1"/>
    <col min="9742" max="9742" width="12.28515625" style="1" customWidth="1"/>
    <col min="9743" max="9743" width="1.5703125" style="1" customWidth="1"/>
    <col min="9744" max="9744" width="13.5703125" style="1" customWidth="1"/>
    <col min="9745" max="9745" width="0.85546875" style="1" customWidth="1"/>
    <col min="9746" max="9746" width="12.28515625" style="1" customWidth="1"/>
    <col min="9747" max="9747" width="1.5703125" style="1" customWidth="1"/>
    <col min="9748" max="9748" width="12.28515625" style="1" customWidth="1"/>
    <col min="9749" max="9749" width="1.5703125" style="1" customWidth="1"/>
    <col min="9750" max="9750" width="12.28515625" style="1" customWidth="1"/>
    <col min="9751" max="9751" width="0.85546875" style="1" customWidth="1"/>
    <col min="9752" max="9752" width="12.28515625" style="1" customWidth="1"/>
    <col min="9753" max="9753" width="1.5703125" style="1" customWidth="1"/>
    <col min="9754" max="9754" width="12.28515625" style="1" customWidth="1"/>
    <col min="9755" max="9755" width="1.5703125" style="1" customWidth="1"/>
    <col min="9756" max="9756" width="12.28515625" style="1" customWidth="1"/>
    <col min="9757" max="9757" width="0.85546875" style="1" customWidth="1"/>
    <col min="9758" max="9758" width="12.28515625" style="1" customWidth="1"/>
    <col min="9759" max="9759" width="1.5703125" style="1" customWidth="1"/>
    <col min="9760" max="9760" width="12.28515625" style="1" customWidth="1"/>
    <col min="9761" max="9761" width="1.5703125" style="1" customWidth="1"/>
    <col min="9762" max="9762" width="12.28515625" style="1" customWidth="1"/>
    <col min="9763" max="9763" width="4.5703125" style="1" customWidth="1"/>
    <col min="9764" max="9764" width="1.42578125" style="1" customWidth="1"/>
    <col min="9765" max="9987" width="13.85546875" style="1"/>
    <col min="9988" max="9988" width="7.85546875" style="1" customWidth="1"/>
    <col min="9989" max="9990" width="2.28515625" style="1" customWidth="1"/>
    <col min="9991" max="9991" width="31.42578125" style="1" customWidth="1"/>
    <col min="9992" max="9992" width="2.28515625" style="1" customWidth="1"/>
    <col min="9993" max="9993" width="2.140625" style="1" customWidth="1"/>
    <col min="9994" max="9994" width="12.28515625" style="1" customWidth="1"/>
    <col min="9995" max="9995" width="1.5703125" style="1" customWidth="1"/>
    <col min="9996" max="9996" width="12.28515625" style="1" customWidth="1"/>
    <col min="9997" max="9997" width="1.5703125" style="1" customWidth="1"/>
    <col min="9998" max="9998" width="12.28515625" style="1" customWidth="1"/>
    <col min="9999" max="9999" width="1.5703125" style="1" customWidth="1"/>
    <col min="10000" max="10000" width="13.5703125" style="1" customWidth="1"/>
    <col min="10001" max="10001" width="0.85546875" style="1" customWidth="1"/>
    <col min="10002" max="10002" width="12.28515625" style="1" customWidth="1"/>
    <col min="10003" max="10003" width="1.5703125" style="1" customWidth="1"/>
    <col min="10004" max="10004" width="12.28515625" style="1" customWidth="1"/>
    <col min="10005" max="10005" width="1.5703125" style="1" customWidth="1"/>
    <col min="10006" max="10006" width="12.28515625" style="1" customWidth="1"/>
    <col min="10007" max="10007" width="0.85546875" style="1" customWidth="1"/>
    <col min="10008" max="10008" width="12.28515625" style="1" customWidth="1"/>
    <col min="10009" max="10009" width="1.5703125" style="1" customWidth="1"/>
    <col min="10010" max="10010" width="12.28515625" style="1" customWidth="1"/>
    <col min="10011" max="10011" width="1.5703125" style="1" customWidth="1"/>
    <col min="10012" max="10012" width="12.28515625" style="1" customWidth="1"/>
    <col min="10013" max="10013" width="0.85546875" style="1" customWidth="1"/>
    <col min="10014" max="10014" width="12.28515625" style="1" customWidth="1"/>
    <col min="10015" max="10015" width="1.5703125" style="1" customWidth="1"/>
    <col min="10016" max="10016" width="12.28515625" style="1" customWidth="1"/>
    <col min="10017" max="10017" width="1.5703125" style="1" customWidth="1"/>
    <col min="10018" max="10018" width="12.28515625" style="1" customWidth="1"/>
    <col min="10019" max="10019" width="4.5703125" style="1" customWidth="1"/>
    <col min="10020" max="10020" width="1.42578125" style="1" customWidth="1"/>
    <col min="10021" max="10243" width="13.85546875" style="1"/>
    <col min="10244" max="10244" width="7.85546875" style="1" customWidth="1"/>
    <col min="10245" max="10246" width="2.28515625" style="1" customWidth="1"/>
    <col min="10247" max="10247" width="31.42578125" style="1" customWidth="1"/>
    <col min="10248" max="10248" width="2.28515625" style="1" customWidth="1"/>
    <col min="10249" max="10249" width="2.140625" style="1" customWidth="1"/>
    <col min="10250" max="10250" width="12.28515625" style="1" customWidth="1"/>
    <col min="10251" max="10251" width="1.5703125" style="1" customWidth="1"/>
    <col min="10252" max="10252" width="12.28515625" style="1" customWidth="1"/>
    <col min="10253" max="10253" width="1.5703125" style="1" customWidth="1"/>
    <col min="10254" max="10254" width="12.28515625" style="1" customWidth="1"/>
    <col min="10255" max="10255" width="1.5703125" style="1" customWidth="1"/>
    <col min="10256" max="10256" width="13.5703125" style="1" customWidth="1"/>
    <col min="10257" max="10257" width="0.85546875" style="1" customWidth="1"/>
    <col min="10258" max="10258" width="12.28515625" style="1" customWidth="1"/>
    <col min="10259" max="10259" width="1.5703125" style="1" customWidth="1"/>
    <col min="10260" max="10260" width="12.28515625" style="1" customWidth="1"/>
    <col min="10261" max="10261" width="1.5703125" style="1" customWidth="1"/>
    <col min="10262" max="10262" width="12.28515625" style="1" customWidth="1"/>
    <col min="10263" max="10263" width="0.85546875" style="1" customWidth="1"/>
    <col min="10264" max="10264" width="12.28515625" style="1" customWidth="1"/>
    <col min="10265" max="10265" width="1.5703125" style="1" customWidth="1"/>
    <col min="10266" max="10266" width="12.28515625" style="1" customWidth="1"/>
    <col min="10267" max="10267" width="1.5703125" style="1" customWidth="1"/>
    <col min="10268" max="10268" width="12.28515625" style="1" customWidth="1"/>
    <col min="10269" max="10269" width="0.85546875" style="1" customWidth="1"/>
    <col min="10270" max="10270" width="12.28515625" style="1" customWidth="1"/>
    <col min="10271" max="10271" width="1.5703125" style="1" customWidth="1"/>
    <col min="10272" max="10272" width="12.28515625" style="1" customWidth="1"/>
    <col min="10273" max="10273" width="1.5703125" style="1" customWidth="1"/>
    <col min="10274" max="10274" width="12.28515625" style="1" customWidth="1"/>
    <col min="10275" max="10275" width="4.5703125" style="1" customWidth="1"/>
    <col min="10276" max="10276" width="1.42578125" style="1" customWidth="1"/>
    <col min="10277" max="10499" width="13.85546875" style="1"/>
    <col min="10500" max="10500" width="7.85546875" style="1" customWidth="1"/>
    <col min="10501" max="10502" width="2.28515625" style="1" customWidth="1"/>
    <col min="10503" max="10503" width="31.42578125" style="1" customWidth="1"/>
    <col min="10504" max="10504" width="2.28515625" style="1" customWidth="1"/>
    <col min="10505" max="10505" width="2.140625" style="1" customWidth="1"/>
    <col min="10506" max="10506" width="12.28515625" style="1" customWidth="1"/>
    <col min="10507" max="10507" width="1.5703125" style="1" customWidth="1"/>
    <col min="10508" max="10508" width="12.28515625" style="1" customWidth="1"/>
    <col min="10509" max="10509" width="1.5703125" style="1" customWidth="1"/>
    <col min="10510" max="10510" width="12.28515625" style="1" customWidth="1"/>
    <col min="10511" max="10511" width="1.5703125" style="1" customWidth="1"/>
    <col min="10512" max="10512" width="13.5703125" style="1" customWidth="1"/>
    <col min="10513" max="10513" width="0.85546875" style="1" customWidth="1"/>
    <col min="10514" max="10514" width="12.28515625" style="1" customWidth="1"/>
    <col min="10515" max="10515" width="1.5703125" style="1" customWidth="1"/>
    <col min="10516" max="10516" width="12.28515625" style="1" customWidth="1"/>
    <col min="10517" max="10517" width="1.5703125" style="1" customWidth="1"/>
    <col min="10518" max="10518" width="12.28515625" style="1" customWidth="1"/>
    <col min="10519" max="10519" width="0.85546875" style="1" customWidth="1"/>
    <col min="10520" max="10520" width="12.28515625" style="1" customWidth="1"/>
    <col min="10521" max="10521" width="1.5703125" style="1" customWidth="1"/>
    <col min="10522" max="10522" width="12.28515625" style="1" customWidth="1"/>
    <col min="10523" max="10523" width="1.5703125" style="1" customWidth="1"/>
    <col min="10524" max="10524" width="12.28515625" style="1" customWidth="1"/>
    <col min="10525" max="10525" width="0.85546875" style="1" customWidth="1"/>
    <col min="10526" max="10526" width="12.28515625" style="1" customWidth="1"/>
    <col min="10527" max="10527" width="1.5703125" style="1" customWidth="1"/>
    <col min="10528" max="10528" width="12.28515625" style="1" customWidth="1"/>
    <col min="10529" max="10529" width="1.5703125" style="1" customWidth="1"/>
    <col min="10530" max="10530" width="12.28515625" style="1" customWidth="1"/>
    <col min="10531" max="10531" width="4.5703125" style="1" customWidth="1"/>
    <col min="10532" max="10532" width="1.42578125" style="1" customWidth="1"/>
    <col min="10533" max="10755" width="13.85546875" style="1"/>
    <col min="10756" max="10756" width="7.85546875" style="1" customWidth="1"/>
    <col min="10757" max="10758" width="2.28515625" style="1" customWidth="1"/>
    <col min="10759" max="10759" width="31.42578125" style="1" customWidth="1"/>
    <col min="10760" max="10760" width="2.28515625" style="1" customWidth="1"/>
    <col min="10761" max="10761" width="2.140625" style="1" customWidth="1"/>
    <col min="10762" max="10762" width="12.28515625" style="1" customWidth="1"/>
    <col min="10763" max="10763" width="1.5703125" style="1" customWidth="1"/>
    <col min="10764" max="10764" width="12.28515625" style="1" customWidth="1"/>
    <col min="10765" max="10765" width="1.5703125" style="1" customWidth="1"/>
    <col min="10766" max="10766" width="12.28515625" style="1" customWidth="1"/>
    <col min="10767" max="10767" width="1.5703125" style="1" customWidth="1"/>
    <col min="10768" max="10768" width="13.5703125" style="1" customWidth="1"/>
    <col min="10769" max="10769" width="0.85546875" style="1" customWidth="1"/>
    <col min="10770" max="10770" width="12.28515625" style="1" customWidth="1"/>
    <col min="10771" max="10771" width="1.5703125" style="1" customWidth="1"/>
    <col min="10772" max="10772" width="12.28515625" style="1" customWidth="1"/>
    <col min="10773" max="10773" width="1.5703125" style="1" customWidth="1"/>
    <col min="10774" max="10774" width="12.28515625" style="1" customWidth="1"/>
    <col min="10775" max="10775" width="0.85546875" style="1" customWidth="1"/>
    <col min="10776" max="10776" width="12.28515625" style="1" customWidth="1"/>
    <col min="10777" max="10777" width="1.5703125" style="1" customWidth="1"/>
    <col min="10778" max="10778" width="12.28515625" style="1" customWidth="1"/>
    <col min="10779" max="10779" width="1.5703125" style="1" customWidth="1"/>
    <col min="10780" max="10780" width="12.28515625" style="1" customWidth="1"/>
    <col min="10781" max="10781" width="0.85546875" style="1" customWidth="1"/>
    <col min="10782" max="10782" width="12.28515625" style="1" customWidth="1"/>
    <col min="10783" max="10783" width="1.5703125" style="1" customWidth="1"/>
    <col min="10784" max="10784" width="12.28515625" style="1" customWidth="1"/>
    <col min="10785" max="10785" width="1.5703125" style="1" customWidth="1"/>
    <col min="10786" max="10786" width="12.28515625" style="1" customWidth="1"/>
    <col min="10787" max="10787" width="4.5703125" style="1" customWidth="1"/>
    <col min="10788" max="10788" width="1.42578125" style="1" customWidth="1"/>
    <col min="10789" max="11011" width="13.85546875" style="1"/>
    <col min="11012" max="11012" width="7.85546875" style="1" customWidth="1"/>
    <col min="11013" max="11014" width="2.28515625" style="1" customWidth="1"/>
    <col min="11015" max="11015" width="31.42578125" style="1" customWidth="1"/>
    <col min="11016" max="11016" width="2.28515625" style="1" customWidth="1"/>
    <col min="11017" max="11017" width="2.140625" style="1" customWidth="1"/>
    <col min="11018" max="11018" width="12.28515625" style="1" customWidth="1"/>
    <col min="11019" max="11019" width="1.5703125" style="1" customWidth="1"/>
    <col min="11020" max="11020" width="12.28515625" style="1" customWidth="1"/>
    <col min="11021" max="11021" width="1.5703125" style="1" customWidth="1"/>
    <col min="11022" max="11022" width="12.28515625" style="1" customWidth="1"/>
    <col min="11023" max="11023" width="1.5703125" style="1" customWidth="1"/>
    <col min="11024" max="11024" width="13.5703125" style="1" customWidth="1"/>
    <col min="11025" max="11025" width="0.85546875" style="1" customWidth="1"/>
    <col min="11026" max="11026" width="12.28515625" style="1" customWidth="1"/>
    <col min="11027" max="11027" width="1.5703125" style="1" customWidth="1"/>
    <col min="11028" max="11028" width="12.28515625" style="1" customWidth="1"/>
    <col min="11029" max="11029" width="1.5703125" style="1" customWidth="1"/>
    <col min="11030" max="11030" width="12.28515625" style="1" customWidth="1"/>
    <col min="11031" max="11031" width="0.85546875" style="1" customWidth="1"/>
    <col min="11032" max="11032" width="12.28515625" style="1" customWidth="1"/>
    <col min="11033" max="11033" width="1.5703125" style="1" customWidth="1"/>
    <col min="11034" max="11034" width="12.28515625" style="1" customWidth="1"/>
    <col min="11035" max="11035" width="1.5703125" style="1" customWidth="1"/>
    <col min="11036" max="11036" width="12.28515625" style="1" customWidth="1"/>
    <col min="11037" max="11037" width="0.85546875" style="1" customWidth="1"/>
    <col min="11038" max="11038" width="12.28515625" style="1" customWidth="1"/>
    <col min="11039" max="11039" width="1.5703125" style="1" customWidth="1"/>
    <col min="11040" max="11040" width="12.28515625" style="1" customWidth="1"/>
    <col min="11041" max="11041" width="1.5703125" style="1" customWidth="1"/>
    <col min="11042" max="11042" width="12.28515625" style="1" customWidth="1"/>
    <col min="11043" max="11043" width="4.5703125" style="1" customWidth="1"/>
    <col min="11044" max="11044" width="1.42578125" style="1" customWidth="1"/>
    <col min="11045" max="11267" width="13.85546875" style="1"/>
    <col min="11268" max="11268" width="7.85546875" style="1" customWidth="1"/>
    <col min="11269" max="11270" width="2.28515625" style="1" customWidth="1"/>
    <col min="11271" max="11271" width="31.42578125" style="1" customWidth="1"/>
    <col min="11272" max="11272" width="2.28515625" style="1" customWidth="1"/>
    <col min="11273" max="11273" width="2.140625" style="1" customWidth="1"/>
    <col min="11274" max="11274" width="12.28515625" style="1" customWidth="1"/>
    <col min="11275" max="11275" width="1.5703125" style="1" customWidth="1"/>
    <col min="11276" max="11276" width="12.28515625" style="1" customWidth="1"/>
    <col min="11277" max="11277" width="1.5703125" style="1" customWidth="1"/>
    <col min="11278" max="11278" width="12.28515625" style="1" customWidth="1"/>
    <col min="11279" max="11279" width="1.5703125" style="1" customWidth="1"/>
    <col min="11280" max="11280" width="13.5703125" style="1" customWidth="1"/>
    <col min="11281" max="11281" width="0.85546875" style="1" customWidth="1"/>
    <col min="11282" max="11282" width="12.28515625" style="1" customWidth="1"/>
    <col min="11283" max="11283" width="1.5703125" style="1" customWidth="1"/>
    <col min="11284" max="11284" width="12.28515625" style="1" customWidth="1"/>
    <col min="11285" max="11285" width="1.5703125" style="1" customWidth="1"/>
    <col min="11286" max="11286" width="12.28515625" style="1" customWidth="1"/>
    <col min="11287" max="11287" width="0.85546875" style="1" customWidth="1"/>
    <col min="11288" max="11288" width="12.28515625" style="1" customWidth="1"/>
    <col min="11289" max="11289" width="1.5703125" style="1" customWidth="1"/>
    <col min="11290" max="11290" width="12.28515625" style="1" customWidth="1"/>
    <col min="11291" max="11291" width="1.5703125" style="1" customWidth="1"/>
    <col min="11292" max="11292" width="12.28515625" style="1" customWidth="1"/>
    <col min="11293" max="11293" width="0.85546875" style="1" customWidth="1"/>
    <col min="11294" max="11294" width="12.28515625" style="1" customWidth="1"/>
    <col min="11295" max="11295" width="1.5703125" style="1" customWidth="1"/>
    <col min="11296" max="11296" width="12.28515625" style="1" customWidth="1"/>
    <col min="11297" max="11297" width="1.5703125" style="1" customWidth="1"/>
    <col min="11298" max="11298" width="12.28515625" style="1" customWidth="1"/>
    <col min="11299" max="11299" width="4.5703125" style="1" customWidth="1"/>
    <col min="11300" max="11300" width="1.42578125" style="1" customWidth="1"/>
    <col min="11301" max="11523" width="13.85546875" style="1"/>
    <col min="11524" max="11524" width="7.85546875" style="1" customWidth="1"/>
    <col min="11525" max="11526" width="2.28515625" style="1" customWidth="1"/>
    <col min="11527" max="11527" width="31.42578125" style="1" customWidth="1"/>
    <col min="11528" max="11528" width="2.28515625" style="1" customWidth="1"/>
    <col min="11529" max="11529" width="2.140625" style="1" customWidth="1"/>
    <col min="11530" max="11530" width="12.28515625" style="1" customWidth="1"/>
    <col min="11531" max="11531" width="1.5703125" style="1" customWidth="1"/>
    <col min="11532" max="11532" width="12.28515625" style="1" customWidth="1"/>
    <col min="11533" max="11533" width="1.5703125" style="1" customWidth="1"/>
    <col min="11534" max="11534" width="12.28515625" style="1" customWidth="1"/>
    <col min="11535" max="11535" width="1.5703125" style="1" customWidth="1"/>
    <col min="11536" max="11536" width="13.5703125" style="1" customWidth="1"/>
    <col min="11537" max="11537" width="0.85546875" style="1" customWidth="1"/>
    <col min="11538" max="11538" width="12.28515625" style="1" customWidth="1"/>
    <col min="11539" max="11539" width="1.5703125" style="1" customWidth="1"/>
    <col min="11540" max="11540" width="12.28515625" style="1" customWidth="1"/>
    <col min="11541" max="11541" width="1.5703125" style="1" customWidth="1"/>
    <col min="11542" max="11542" width="12.28515625" style="1" customWidth="1"/>
    <col min="11543" max="11543" width="0.85546875" style="1" customWidth="1"/>
    <col min="11544" max="11544" width="12.28515625" style="1" customWidth="1"/>
    <col min="11545" max="11545" width="1.5703125" style="1" customWidth="1"/>
    <col min="11546" max="11546" width="12.28515625" style="1" customWidth="1"/>
    <col min="11547" max="11547" width="1.5703125" style="1" customWidth="1"/>
    <col min="11548" max="11548" width="12.28515625" style="1" customWidth="1"/>
    <col min="11549" max="11549" width="0.85546875" style="1" customWidth="1"/>
    <col min="11550" max="11550" width="12.28515625" style="1" customWidth="1"/>
    <col min="11551" max="11551" width="1.5703125" style="1" customWidth="1"/>
    <col min="11552" max="11552" width="12.28515625" style="1" customWidth="1"/>
    <col min="11553" max="11553" width="1.5703125" style="1" customWidth="1"/>
    <col min="11554" max="11554" width="12.28515625" style="1" customWidth="1"/>
    <col min="11555" max="11555" width="4.5703125" style="1" customWidth="1"/>
    <col min="11556" max="11556" width="1.42578125" style="1" customWidth="1"/>
    <col min="11557" max="11779" width="13.85546875" style="1"/>
    <col min="11780" max="11780" width="7.85546875" style="1" customWidth="1"/>
    <col min="11781" max="11782" width="2.28515625" style="1" customWidth="1"/>
    <col min="11783" max="11783" width="31.42578125" style="1" customWidth="1"/>
    <col min="11784" max="11784" width="2.28515625" style="1" customWidth="1"/>
    <col min="11785" max="11785" width="2.140625" style="1" customWidth="1"/>
    <col min="11786" max="11786" width="12.28515625" style="1" customWidth="1"/>
    <col min="11787" max="11787" width="1.5703125" style="1" customWidth="1"/>
    <col min="11788" max="11788" width="12.28515625" style="1" customWidth="1"/>
    <col min="11789" max="11789" width="1.5703125" style="1" customWidth="1"/>
    <col min="11790" max="11790" width="12.28515625" style="1" customWidth="1"/>
    <col min="11791" max="11791" width="1.5703125" style="1" customWidth="1"/>
    <col min="11792" max="11792" width="13.5703125" style="1" customWidth="1"/>
    <col min="11793" max="11793" width="0.85546875" style="1" customWidth="1"/>
    <col min="11794" max="11794" width="12.28515625" style="1" customWidth="1"/>
    <col min="11795" max="11795" width="1.5703125" style="1" customWidth="1"/>
    <col min="11796" max="11796" width="12.28515625" style="1" customWidth="1"/>
    <col min="11797" max="11797" width="1.5703125" style="1" customWidth="1"/>
    <col min="11798" max="11798" width="12.28515625" style="1" customWidth="1"/>
    <col min="11799" max="11799" width="0.85546875" style="1" customWidth="1"/>
    <col min="11800" max="11800" width="12.28515625" style="1" customWidth="1"/>
    <col min="11801" max="11801" width="1.5703125" style="1" customWidth="1"/>
    <col min="11802" max="11802" width="12.28515625" style="1" customWidth="1"/>
    <col min="11803" max="11803" width="1.5703125" style="1" customWidth="1"/>
    <col min="11804" max="11804" width="12.28515625" style="1" customWidth="1"/>
    <col min="11805" max="11805" width="0.85546875" style="1" customWidth="1"/>
    <col min="11806" max="11806" width="12.28515625" style="1" customWidth="1"/>
    <col min="11807" max="11807" width="1.5703125" style="1" customWidth="1"/>
    <col min="11808" max="11808" width="12.28515625" style="1" customWidth="1"/>
    <col min="11809" max="11809" width="1.5703125" style="1" customWidth="1"/>
    <col min="11810" max="11810" width="12.28515625" style="1" customWidth="1"/>
    <col min="11811" max="11811" width="4.5703125" style="1" customWidth="1"/>
    <col min="11812" max="11812" width="1.42578125" style="1" customWidth="1"/>
    <col min="11813" max="12035" width="13.85546875" style="1"/>
    <col min="12036" max="12036" width="7.85546875" style="1" customWidth="1"/>
    <col min="12037" max="12038" width="2.28515625" style="1" customWidth="1"/>
    <col min="12039" max="12039" width="31.42578125" style="1" customWidth="1"/>
    <col min="12040" max="12040" width="2.28515625" style="1" customWidth="1"/>
    <col min="12041" max="12041" width="2.140625" style="1" customWidth="1"/>
    <col min="12042" max="12042" width="12.28515625" style="1" customWidth="1"/>
    <col min="12043" max="12043" width="1.5703125" style="1" customWidth="1"/>
    <col min="12044" max="12044" width="12.28515625" style="1" customWidth="1"/>
    <col min="12045" max="12045" width="1.5703125" style="1" customWidth="1"/>
    <col min="12046" max="12046" width="12.28515625" style="1" customWidth="1"/>
    <col min="12047" max="12047" width="1.5703125" style="1" customWidth="1"/>
    <col min="12048" max="12048" width="13.5703125" style="1" customWidth="1"/>
    <col min="12049" max="12049" width="0.85546875" style="1" customWidth="1"/>
    <col min="12050" max="12050" width="12.28515625" style="1" customWidth="1"/>
    <col min="12051" max="12051" width="1.5703125" style="1" customWidth="1"/>
    <col min="12052" max="12052" width="12.28515625" style="1" customWidth="1"/>
    <col min="12053" max="12053" width="1.5703125" style="1" customWidth="1"/>
    <col min="12054" max="12054" width="12.28515625" style="1" customWidth="1"/>
    <col min="12055" max="12055" width="0.85546875" style="1" customWidth="1"/>
    <col min="12056" max="12056" width="12.28515625" style="1" customWidth="1"/>
    <col min="12057" max="12057" width="1.5703125" style="1" customWidth="1"/>
    <col min="12058" max="12058" width="12.28515625" style="1" customWidth="1"/>
    <col min="12059" max="12059" width="1.5703125" style="1" customWidth="1"/>
    <col min="12060" max="12060" width="12.28515625" style="1" customWidth="1"/>
    <col min="12061" max="12061" width="0.85546875" style="1" customWidth="1"/>
    <col min="12062" max="12062" width="12.28515625" style="1" customWidth="1"/>
    <col min="12063" max="12063" width="1.5703125" style="1" customWidth="1"/>
    <col min="12064" max="12064" width="12.28515625" style="1" customWidth="1"/>
    <col min="12065" max="12065" width="1.5703125" style="1" customWidth="1"/>
    <col min="12066" max="12066" width="12.28515625" style="1" customWidth="1"/>
    <col min="12067" max="12067" width="4.5703125" style="1" customWidth="1"/>
    <col min="12068" max="12068" width="1.42578125" style="1" customWidth="1"/>
    <col min="12069" max="12291" width="13.85546875" style="1"/>
    <col min="12292" max="12292" width="7.85546875" style="1" customWidth="1"/>
    <col min="12293" max="12294" width="2.28515625" style="1" customWidth="1"/>
    <col min="12295" max="12295" width="31.42578125" style="1" customWidth="1"/>
    <col min="12296" max="12296" width="2.28515625" style="1" customWidth="1"/>
    <col min="12297" max="12297" width="2.140625" style="1" customWidth="1"/>
    <col min="12298" max="12298" width="12.28515625" style="1" customWidth="1"/>
    <col min="12299" max="12299" width="1.5703125" style="1" customWidth="1"/>
    <col min="12300" max="12300" width="12.28515625" style="1" customWidth="1"/>
    <col min="12301" max="12301" width="1.5703125" style="1" customWidth="1"/>
    <col min="12302" max="12302" width="12.28515625" style="1" customWidth="1"/>
    <col min="12303" max="12303" width="1.5703125" style="1" customWidth="1"/>
    <col min="12304" max="12304" width="13.5703125" style="1" customWidth="1"/>
    <col min="12305" max="12305" width="0.85546875" style="1" customWidth="1"/>
    <col min="12306" max="12306" width="12.28515625" style="1" customWidth="1"/>
    <col min="12307" max="12307" width="1.5703125" style="1" customWidth="1"/>
    <col min="12308" max="12308" width="12.28515625" style="1" customWidth="1"/>
    <col min="12309" max="12309" width="1.5703125" style="1" customWidth="1"/>
    <col min="12310" max="12310" width="12.28515625" style="1" customWidth="1"/>
    <col min="12311" max="12311" width="0.85546875" style="1" customWidth="1"/>
    <col min="12312" max="12312" width="12.28515625" style="1" customWidth="1"/>
    <col min="12313" max="12313" width="1.5703125" style="1" customWidth="1"/>
    <col min="12314" max="12314" width="12.28515625" style="1" customWidth="1"/>
    <col min="12315" max="12315" width="1.5703125" style="1" customWidth="1"/>
    <col min="12316" max="12316" width="12.28515625" style="1" customWidth="1"/>
    <col min="12317" max="12317" width="0.85546875" style="1" customWidth="1"/>
    <col min="12318" max="12318" width="12.28515625" style="1" customWidth="1"/>
    <col min="12319" max="12319" width="1.5703125" style="1" customWidth="1"/>
    <col min="12320" max="12320" width="12.28515625" style="1" customWidth="1"/>
    <col min="12321" max="12321" width="1.5703125" style="1" customWidth="1"/>
    <col min="12322" max="12322" width="12.28515625" style="1" customWidth="1"/>
    <col min="12323" max="12323" width="4.5703125" style="1" customWidth="1"/>
    <col min="12324" max="12324" width="1.42578125" style="1" customWidth="1"/>
    <col min="12325" max="12547" width="13.85546875" style="1"/>
    <col min="12548" max="12548" width="7.85546875" style="1" customWidth="1"/>
    <col min="12549" max="12550" width="2.28515625" style="1" customWidth="1"/>
    <col min="12551" max="12551" width="31.42578125" style="1" customWidth="1"/>
    <col min="12552" max="12552" width="2.28515625" style="1" customWidth="1"/>
    <col min="12553" max="12553" width="2.140625" style="1" customWidth="1"/>
    <col min="12554" max="12554" width="12.28515625" style="1" customWidth="1"/>
    <col min="12555" max="12555" width="1.5703125" style="1" customWidth="1"/>
    <col min="12556" max="12556" width="12.28515625" style="1" customWidth="1"/>
    <col min="12557" max="12557" width="1.5703125" style="1" customWidth="1"/>
    <col min="12558" max="12558" width="12.28515625" style="1" customWidth="1"/>
    <col min="12559" max="12559" width="1.5703125" style="1" customWidth="1"/>
    <col min="12560" max="12560" width="13.5703125" style="1" customWidth="1"/>
    <col min="12561" max="12561" width="0.85546875" style="1" customWidth="1"/>
    <col min="12562" max="12562" width="12.28515625" style="1" customWidth="1"/>
    <col min="12563" max="12563" width="1.5703125" style="1" customWidth="1"/>
    <col min="12564" max="12564" width="12.28515625" style="1" customWidth="1"/>
    <col min="12565" max="12565" width="1.5703125" style="1" customWidth="1"/>
    <col min="12566" max="12566" width="12.28515625" style="1" customWidth="1"/>
    <col min="12567" max="12567" width="0.85546875" style="1" customWidth="1"/>
    <col min="12568" max="12568" width="12.28515625" style="1" customWidth="1"/>
    <col min="12569" max="12569" width="1.5703125" style="1" customWidth="1"/>
    <col min="12570" max="12570" width="12.28515625" style="1" customWidth="1"/>
    <col min="12571" max="12571" width="1.5703125" style="1" customWidth="1"/>
    <col min="12572" max="12572" width="12.28515625" style="1" customWidth="1"/>
    <col min="12573" max="12573" width="0.85546875" style="1" customWidth="1"/>
    <col min="12574" max="12574" width="12.28515625" style="1" customWidth="1"/>
    <col min="12575" max="12575" width="1.5703125" style="1" customWidth="1"/>
    <col min="12576" max="12576" width="12.28515625" style="1" customWidth="1"/>
    <col min="12577" max="12577" width="1.5703125" style="1" customWidth="1"/>
    <col min="12578" max="12578" width="12.28515625" style="1" customWidth="1"/>
    <col min="12579" max="12579" width="4.5703125" style="1" customWidth="1"/>
    <col min="12580" max="12580" width="1.42578125" style="1" customWidth="1"/>
    <col min="12581" max="12803" width="13.85546875" style="1"/>
    <col min="12804" max="12804" width="7.85546875" style="1" customWidth="1"/>
    <col min="12805" max="12806" width="2.28515625" style="1" customWidth="1"/>
    <col min="12807" max="12807" width="31.42578125" style="1" customWidth="1"/>
    <col min="12808" max="12808" width="2.28515625" style="1" customWidth="1"/>
    <col min="12809" max="12809" width="2.140625" style="1" customWidth="1"/>
    <col min="12810" max="12810" width="12.28515625" style="1" customWidth="1"/>
    <col min="12811" max="12811" width="1.5703125" style="1" customWidth="1"/>
    <col min="12812" max="12812" width="12.28515625" style="1" customWidth="1"/>
    <col min="12813" max="12813" width="1.5703125" style="1" customWidth="1"/>
    <col min="12814" max="12814" width="12.28515625" style="1" customWidth="1"/>
    <col min="12815" max="12815" width="1.5703125" style="1" customWidth="1"/>
    <col min="12816" max="12816" width="13.5703125" style="1" customWidth="1"/>
    <col min="12817" max="12817" width="0.85546875" style="1" customWidth="1"/>
    <col min="12818" max="12818" width="12.28515625" style="1" customWidth="1"/>
    <col min="12819" max="12819" width="1.5703125" style="1" customWidth="1"/>
    <col min="12820" max="12820" width="12.28515625" style="1" customWidth="1"/>
    <col min="12821" max="12821" width="1.5703125" style="1" customWidth="1"/>
    <col min="12822" max="12822" width="12.28515625" style="1" customWidth="1"/>
    <col min="12823" max="12823" width="0.85546875" style="1" customWidth="1"/>
    <col min="12824" max="12824" width="12.28515625" style="1" customWidth="1"/>
    <col min="12825" max="12825" width="1.5703125" style="1" customWidth="1"/>
    <col min="12826" max="12826" width="12.28515625" style="1" customWidth="1"/>
    <col min="12827" max="12827" width="1.5703125" style="1" customWidth="1"/>
    <col min="12828" max="12828" width="12.28515625" style="1" customWidth="1"/>
    <col min="12829" max="12829" width="0.85546875" style="1" customWidth="1"/>
    <col min="12830" max="12830" width="12.28515625" style="1" customWidth="1"/>
    <col min="12831" max="12831" width="1.5703125" style="1" customWidth="1"/>
    <col min="12832" max="12832" width="12.28515625" style="1" customWidth="1"/>
    <col min="12833" max="12833" width="1.5703125" style="1" customWidth="1"/>
    <col min="12834" max="12834" width="12.28515625" style="1" customWidth="1"/>
    <col min="12835" max="12835" width="4.5703125" style="1" customWidth="1"/>
    <col min="12836" max="12836" width="1.42578125" style="1" customWidth="1"/>
    <col min="12837" max="13059" width="13.85546875" style="1"/>
    <col min="13060" max="13060" width="7.85546875" style="1" customWidth="1"/>
    <col min="13061" max="13062" width="2.28515625" style="1" customWidth="1"/>
    <col min="13063" max="13063" width="31.42578125" style="1" customWidth="1"/>
    <col min="13064" max="13064" width="2.28515625" style="1" customWidth="1"/>
    <col min="13065" max="13065" width="2.140625" style="1" customWidth="1"/>
    <col min="13066" max="13066" width="12.28515625" style="1" customWidth="1"/>
    <col min="13067" max="13067" width="1.5703125" style="1" customWidth="1"/>
    <col min="13068" max="13068" width="12.28515625" style="1" customWidth="1"/>
    <col min="13069" max="13069" width="1.5703125" style="1" customWidth="1"/>
    <col min="13070" max="13070" width="12.28515625" style="1" customWidth="1"/>
    <col min="13071" max="13071" width="1.5703125" style="1" customWidth="1"/>
    <col min="13072" max="13072" width="13.5703125" style="1" customWidth="1"/>
    <col min="13073" max="13073" width="0.85546875" style="1" customWidth="1"/>
    <col min="13074" max="13074" width="12.28515625" style="1" customWidth="1"/>
    <col min="13075" max="13075" width="1.5703125" style="1" customWidth="1"/>
    <col min="13076" max="13076" width="12.28515625" style="1" customWidth="1"/>
    <col min="13077" max="13077" width="1.5703125" style="1" customWidth="1"/>
    <col min="13078" max="13078" width="12.28515625" style="1" customWidth="1"/>
    <col min="13079" max="13079" width="0.85546875" style="1" customWidth="1"/>
    <col min="13080" max="13080" width="12.28515625" style="1" customWidth="1"/>
    <col min="13081" max="13081" width="1.5703125" style="1" customWidth="1"/>
    <col min="13082" max="13082" width="12.28515625" style="1" customWidth="1"/>
    <col min="13083" max="13083" width="1.5703125" style="1" customWidth="1"/>
    <col min="13084" max="13084" width="12.28515625" style="1" customWidth="1"/>
    <col min="13085" max="13085" width="0.85546875" style="1" customWidth="1"/>
    <col min="13086" max="13086" width="12.28515625" style="1" customWidth="1"/>
    <col min="13087" max="13087" width="1.5703125" style="1" customWidth="1"/>
    <col min="13088" max="13088" width="12.28515625" style="1" customWidth="1"/>
    <col min="13089" max="13089" width="1.5703125" style="1" customWidth="1"/>
    <col min="13090" max="13090" width="12.28515625" style="1" customWidth="1"/>
    <col min="13091" max="13091" width="4.5703125" style="1" customWidth="1"/>
    <col min="13092" max="13092" width="1.42578125" style="1" customWidth="1"/>
    <col min="13093" max="13315" width="13.85546875" style="1"/>
    <col min="13316" max="13316" width="7.85546875" style="1" customWidth="1"/>
    <col min="13317" max="13318" width="2.28515625" style="1" customWidth="1"/>
    <col min="13319" max="13319" width="31.42578125" style="1" customWidth="1"/>
    <col min="13320" max="13320" width="2.28515625" style="1" customWidth="1"/>
    <col min="13321" max="13321" width="2.140625" style="1" customWidth="1"/>
    <col min="13322" max="13322" width="12.28515625" style="1" customWidth="1"/>
    <col min="13323" max="13323" width="1.5703125" style="1" customWidth="1"/>
    <col min="13324" max="13324" width="12.28515625" style="1" customWidth="1"/>
    <col min="13325" max="13325" width="1.5703125" style="1" customWidth="1"/>
    <col min="13326" max="13326" width="12.28515625" style="1" customWidth="1"/>
    <col min="13327" max="13327" width="1.5703125" style="1" customWidth="1"/>
    <col min="13328" max="13328" width="13.5703125" style="1" customWidth="1"/>
    <col min="13329" max="13329" width="0.85546875" style="1" customWidth="1"/>
    <col min="13330" max="13330" width="12.28515625" style="1" customWidth="1"/>
    <col min="13331" max="13331" width="1.5703125" style="1" customWidth="1"/>
    <col min="13332" max="13332" width="12.28515625" style="1" customWidth="1"/>
    <col min="13333" max="13333" width="1.5703125" style="1" customWidth="1"/>
    <col min="13334" max="13334" width="12.28515625" style="1" customWidth="1"/>
    <col min="13335" max="13335" width="0.85546875" style="1" customWidth="1"/>
    <col min="13336" max="13336" width="12.28515625" style="1" customWidth="1"/>
    <col min="13337" max="13337" width="1.5703125" style="1" customWidth="1"/>
    <col min="13338" max="13338" width="12.28515625" style="1" customWidth="1"/>
    <col min="13339" max="13339" width="1.5703125" style="1" customWidth="1"/>
    <col min="13340" max="13340" width="12.28515625" style="1" customWidth="1"/>
    <col min="13341" max="13341" width="0.85546875" style="1" customWidth="1"/>
    <col min="13342" max="13342" width="12.28515625" style="1" customWidth="1"/>
    <col min="13343" max="13343" width="1.5703125" style="1" customWidth="1"/>
    <col min="13344" max="13344" width="12.28515625" style="1" customWidth="1"/>
    <col min="13345" max="13345" width="1.5703125" style="1" customWidth="1"/>
    <col min="13346" max="13346" width="12.28515625" style="1" customWidth="1"/>
    <col min="13347" max="13347" width="4.5703125" style="1" customWidth="1"/>
    <col min="13348" max="13348" width="1.42578125" style="1" customWidth="1"/>
    <col min="13349" max="13571" width="13.85546875" style="1"/>
    <col min="13572" max="13572" width="7.85546875" style="1" customWidth="1"/>
    <col min="13573" max="13574" width="2.28515625" style="1" customWidth="1"/>
    <col min="13575" max="13575" width="31.42578125" style="1" customWidth="1"/>
    <col min="13576" max="13576" width="2.28515625" style="1" customWidth="1"/>
    <col min="13577" max="13577" width="2.140625" style="1" customWidth="1"/>
    <col min="13578" max="13578" width="12.28515625" style="1" customWidth="1"/>
    <col min="13579" max="13579" width="1.5703125" style="1" customWidth="1"/>
    <col min="13580" max="13580" width="12.28515625" style="1" customWidth="1"/>
    <col min="13581" max="13581" width="1.5703125" style="1" customWidth="1"/>
    <col min="13582" max="13582" width="12.28515625" style="1" customWidth="1"/>
    <col min="13583" max="13583" width="1.5703125" style="1" customWidth="1"/>
    <col min="13584" max="13584" width="13.5703125" style="1" customWidth="1"/>
    <col min="13585" max="13585" width="0.85546875" style="1" customWidth="1"/>
    <col min="13586" max="13586" width="12.28515625" style="1" customWidth="1"/>
    <col min="13587" max="13587" width="1.5703125" style="1" customWidth="1"/>
    <col min="13588" max="13588" width="12.28515625" style="1" customWidth="1"/>
    <col min="13589" max="13589" width="1.5703125" style="1" customWidth="1"/>
    <col min="13590" max="13590" width="12.28515625" style="1" customWidth="1"/>
    <col min="13591" max="13591" width="0.85546875" style="1" customWidth="1"/>
    <col min="13592" max="13592" width="12.28515625" style="1" customWidth="1"/>
    <col min="13593" max="13593" width="1.5703125" style="1" customWidth="1"/>
    <col min="13594" max="13594" width="12.28515625" style="1" customWidth="1"/>
    <col min="13595" max="13595" width="1.5703125" style="1" customWidth="1"/>
    <col min="13596" max="13596" width="12.28515625" style="1" customWidth="1"/>
    <col min="13597" max="13597" width="0.85546875" style="1" customWidth="1"/>
    <col min="13598" max="13598" width="12.28515625" style="1" customWidth="1"/>
    <col min="13599" max="13599" width="1.5703125" style="1" customWidth="1"/>
    <col min="13600" max="13600" width="12.28515625" style="1" customWidth="1"/>
    <col min="13601" max="13601" width="1.5703125" style="1" customWidth="1"/>
    <col min="13602" max="13602" width="12.28515625" style="1" customWidth="1"/>
    <col min="13603" max="13603" width="4.5703125" style="1" customWidth="1"/>
    <col min="13604" max="13604" width="1.42578125" style="1" customWidth="1"/>
    <col min="13605" max="13827" width="13.85546875" style="1"/>
    <col min="13828" max="13828" width="7.85546875" style="1" customWidth="1"/>
    <col min="13829" max="13830" width="2.28515625" style="1" customWidth="1"/>
    <col min="13831" max="13831" width="31.42578125" style="1" customWidth="1"/>
    <col min="13832" max="13832" width="2.28515625" style="1" customWidth="1"/>
    <col min="13833" max="13833" width="2.140625" style="1" customWidth="1"/>
    <col min="13834" max="13834" width="12.28515625" style="1" customWidth="1"/>
    <col min="13835" max="13835" width="1.5703125" style="1" customWidth="1"/>
    <col min="13836" max="13836" width="12.28515625" style="1" customWidth="1"/>
    <col min="13837" max="13837" width="1.5703125" style="1" customWidth="1"/>
    <col min="13838" max="13838" width="12.28515625" style="1" customWidth="1"/>
    <col min="13839" max="13839" width="1.5703125" style="1" customWidth="1"/>
    <col min="13840" max="13840" width="13.5703125" style="1" customWidth="1"/>
    <col min="13841" max="13841" width="0.85546875" style="1" customWidth="1"/>
    <col min="13842" max="13842" width="12.28515625" style="1" customWidth="1"/>
    <col min="13843" max="13843" width="1.5703125" style="1" customWidth="1"/>
    <col min="13844" max="13844" width="12.28515625" style="1" customWidth="1"/>
    <col min="13845" max="13845" width="1.5703125" style="1" customWidth="1"/>
    <col min="13846" max="13846" width="12.28515625" style="1" customWidth="1"/>
    <col min="13847" max="13847" width="0.85546875" style="1" customWidth="1"/>
    <col min="13848" max="13848" width="12.28515625" style="1" customWidth="1"/>
    <col min="13849" max="13849" width="1.5703125" style="1" customWidth="1"/>
    <col min="13850" max="13850" width="12.28515625" style="1" customWidth="1"/>
    <col min="13851" max="13851" width="1.5703125" style="1" customWidth="1"/>
    <col min="13852" max="13852" width="12.28515625" style="1" customWidth="1"/>
    <col min="13853" max="13853" width="0.85546875" style="1" customWidth="1"/>
    <col min="13854" max="13854" width="12.28515625" style="1" customWidth="1"/>
    <col min="13855" max="13855" width="1.5703125" style="1" customWidth="1"/>
    <col min="13856" max="13856" width="12.28515625" style="1" customWidth="1"/>
    <col min="13857" max="13857" width="1.5703125" style="1" customWidth="1"/>
    <col min="13858" max="13858" width="12.28515625" style="1" customWidth="1"/>
    <col min="13859" max="13859" width="4.5703125" style="1" customWidth="1"/>
    <col min="13860" max="13860" width="1.42578125" style="1" customWidth="1"/>
    <col min="13861" max="14083" width="13.85546875" style="1"/>
    <col min="14084" max="14084" width="7.85546875" style="1" customWidth="1"/>
    <col min="14085" max="14086" width="2.28515625" style="1" customWidth="1"/>
    <col min="14087" max="14087" width="31.42578125" style="1" customWidth="1"/>
    <col min="14088" max="14088" width="2.28515625" style="1" customWidth="1"/>
    <col min="14089" max="14089" width="2.140625" style="1" customWidth="1"/>
    <col min="14090" max="14090" width="12.28515625" style="1" customWidth="1"/>
    <col min="14091" max="14091" width="1.5703125" style="1" customWidth="1"/>
    <col min="14092" max="14092" width="12.28515625" style="1" customWidth="1"/>
    <col min="14093" max="14093" width="1.5703125" style="1" customWidth="1"/>
    <col min="14094" max="14094" width="12.28515625" style="1" customWidth="1"/>
    <col min="14095" max="14095" width="1.5703125" style="1" customWidth="1"/>
    <col min="14096" max="14096" width="13.5703125" style="1" customWidth="1"/>
    <col min="14097" max="14097" width="0.85546875" style="1" customWidth="1"/>
    <col min="14098" max="14098" width="12.28515625" style="1" customWidth="1"/>
    <col min="14099" max="14099" width="1.5703125" style="1" customWidth="1"/>
    <col min="14100" max="14100" width="12.28515625" style="1" customWidth="1"/>
    <col min="14101" max="14101" width="1.5703125" style="1" customWidth="1"/>
    <col min="14102" max="14102" width="12.28515625" style="1" customWidth="1"/>
    <col min="14103" max="14103" width="0.85546875" style="1" customWidth="1"/>
    <col min="14104" max="14104" width="12.28515625" style="1" customWidth="1"/>
    <col min="14105" max="14105" width="1.5703125" style="1" customWidth="1"/>
    <col min="14106" max="14106" width="12.28515625" style="1" customWidth="1"/>
    <col min="14107" max="14107" width="1.5703125" style="1" customWidth="1"/>
    <col min="14108" max="14108" width="12.28515625" style="1" customWidth="1"/>
    <col min="14109" max="14109" width="0.85546875" style="1" customWidth="1"/>
    <col min="14110" max="14110" width="12.28515625" style="1" customWidth="1"/>
    <col min="14111" max="14111" width="1.5703125" style="1" customWidth="1"/>
    <col min="14112" max="14112" width="12.28515625" style="1" customWidth="1"/>
    <col min="14113" max="14113" width="1.5703125" style="1" customWidth="1"/>
    <col min="14114" max="14114" width="12.28515625" style="1" customWidth="1"/>
    <col min="14115" max="14115" width="4.5703125" style="1" customWidth="1"/>
    <col min="14116" max="14116" width="1.42578125" style="1" customWidth="1"/>
    <col min="14117" max="14339" width="13.85546875" style="1"/>
    <col min="14340" max="14340" width="7.85546875" style="1" customWidth="1"/>
    <col min="14341" max="14342" width="2.28515625" style="1" customWidth="1"/>
    <col min="14343" max="14343" width="31.42578125" style="1" customWidth="1"/>
    <col min="14344" max="14344" width="2.28515625" style="1" customWidth="1"/>
    <col min="14345" max="14345" width="2.140625" style="1" customWidth="1"/>
    <col min="14346" max="14346" width="12.28515625" style="1" customWidth="1"/>
    <col min="14347" max="14347" width="1.5703125" style="1" customWidth="1"/>
    <col min="14348" max="14348" width="12.28515625" style="1" customWidth="1"/>
    <col min="14349" max="14349" width="1.5703125" style="1" customWidth="1"/>
    <col min="14350" max="14350" width="12.28515625" style="1" customWidth="1"/>
    <col min="14351" max="14351" width="1.5703125" style="1" customWidth="1"/>
    <col min="14352" max="14352" width="13.5703125" style="1" customWidth="1"/>
    <col min="14353" max="14353" width="0.85546875" style="1" customWidth="1"/>
    <col min="14354" max="14354" width="12.28515625" style="1" customWidth="1"/>
    <col min="14355" max="14355" width="1.5703125" style="1" customWidth="1"/>
    <col min="14356" max="14356" width="12.28515625" style="1" customWidth="1"/>
    <col min="14357" max="14357" width="1.5703125" style="1" customWidth="1"/>
    <col min="14358" max="14358" width="12.28515625" style="1" customWidth="1"/>
    <col min="14359" max="14359" width="0.85546875" style="1" customWidth="1"/>
    <col min="14360" max="14360" width="12.28515625" style="1" customWidth="1"/>
    <col min="14361" max="14361" width="1.5703125" style="1" customWidth="1"/>
    <col min="14362" max="14362" width="12.28515625" style="1" customWidth="1"/>
    <col min="14363" max="14363" width="1.5703125" style="1" customWidth="1"/>
    <col min="14364" max="14364" width="12.28515625" style="1" customWidth="1"/>
    <col min="14365" max="14365" width="0.85546875" style="1" customWidth="1"/>
    <col min="14366" max="14366" width="12.28515625" style="1" customWidth="1"/>
    <col min="14367" max="14367" width="1.5703125" style="1" customWidth="1"/>
    <col min="14368" max="14368" width="12.28515625" style="1" customWidth="1"/>
    <col min="14369" max="14369" width="1.5703125" style="1" customWidth="1"/>
    <col min="14370" max="14370" width="12.28515625" style="1" customWidth="1"/>
    <col min="14371" max="14371" width="4.5703125" style="1" customWidth="1"/>
    <col min="14372" max="14372" width="1.42578125" style="1" customWidth="1"/>
    <col min="14373" max="14595" width="13.85546875" style="1"/>
    <col min="14596" max="14596" width="7.85546875" style="1" customWidth="1"/>
    <col min="14597" max="14598" width="2.28515625" style="1" customWidth="1"/>
    <col min="14599" max="14599" width="31.42578125" style="1" customWidth="1"/>
    <col min="14600" max="14600" width="2.28515625" style="1" customWidth="1"/>
    <col min="14601" max="14601" width="2.140625" style="1" customWidth="1"/>
    <col min="14602" max="14602" width="12.28515625" style="1" customWidth="1"/>
    <col min="14603" max="14603" width="1.5703125" style="1" customWidth="1"/>
    <col min="14604" max="14604" width="12.28515625" style="1" customWidth="1"/>
    <col min="14605" max="14605" width="1.5703125" style="1" customWidth="1"/>
    <col min="14606" max="14606" width="12.28515625" style="1" customWidth="1"/>
    <col min="14607" max="14607" width="1.5703125" style="1" customWidth="1"/>
    <col min="14608" max="14608" width="13.5703125" style="1" customWidth="1"/>
    <col min="14609" max="14609" width="0.85546875" style="1" customWidth="1"/>
    <col min="14610" max="14610" width="12.28515625" style="1" customWidth="1"/>
    <col min="14611" max="14611" width="1.5703125" style="1" customWidth="1"/>
    <col min="14612" max="14612" width="12.28515625" style="1" customWidth="1"/>
    <col min="14613" max="14613" width="1.5703125" style="1" customWidth="1"/>
    <col min="14614" max="14614" width="12.28515625" style="1" customWidth="1"/>
    <col min="14615" max="14615" width="0.85546875" style="1" customWidth="1"/>
    <col min="14616" max="14616" width="12.28515625" style="1" customWidth="1"/>
    <col min="14617" max="14617" width="1.5703125" style="1" customWidth="1"/>
    <col min="14618" max="14618" width="12.28515625" style="1" customWidth="1"/>
    <col min="14619" max="14619" width="1.5703125" style="1" customWidth="1"/>
    <col min="14620" max="14620" width="12.28515625" style="1" customWidth="1"/>
    <col min="14621" max="14621" width="0.85546875" style="1" customWidth="1"/>
    <col min="14622" max="14622" width="12.28515625" style="1" customWidth="1"/>
    <col min="14623" max="14623" width="1.5703125" style="1" customWidth="1"/>
    <col min="14624" max="14624" width="12.28515625" style="1" customWidth="1"/>
    <col min="14625" max="14625" width="1.5703125" style="1" customWidth="1"/>
    <col min="14626" max="14626" width="12.28515625" style="1" customWidth="1"/>
    <col min="14627" max="14627" width="4.5703125" style="1" customWidth="1"/>
    <col min="14628" max="14628" width="1.42578125" style="1" customWidth="1"/>
    <col min="14629" max="14851" width="13.85546875" style="1"/>
    <col min="14852" max="14852" width="7.85546875" style="1" customWidth="1"/>
    <col min="14853" max="14854" width="2.28515625" style="1" customWidth="1"/>
    <col min="14855" max="14855" width="31.42578125" style="1" customWidth="1"/>
    <col min="14856" max="14856" width="2.28515625" style="1" customWidth="1"/>
    <col min="14857" max="14857" width="2.140625" style="1" customWidth="1"/>
    <col min="14858" max="14858" width="12.28515625" style="1" customWidth="1"/>
    <col min="14859" max="14859" width="1.5703125" style="1" customWidth="1"/>
    <col min="14860" max="14860" width="12.28515625" style="1" customWidth="1"/>
    <col min="14861" max="14861" width="1.5703125" style="1" customWidth="1"/>
    <col min="14862" max="14862" width="12.28515625" style="1" customWidth="1"/>
    <col min="14863" max="14863" width="1.5703125" style="1" customWidth="1"/>
    <col min="14864" max="14864" width="13.5703125" style="1" customWidth="1"/>
    <col min="14865" max="14865" width="0.85546875" style="1" customWidth="1"/>
    <col min="14866" max="14866" width="12.28515625" style="1" customWidth="1"/>
    <col min="14867" max="14867" width="1.5703125" style="1" customWidth="1"/>
    <col min="14868" max="14868" width="12.28515625" style="1" customWidth="1"/>
    <col min="14869" max="14869" width="1.5703125" style="1" customWidth="1"/>
    <col min="14870" max="14870" width="12.28515625" style="1" customWidth="1"/>
    <col min="14871" max="14871" width="0.85546875" style="1" customWidth="1"/>
    <col min="14872" max="14872" width="12.28515625" style="1" customWidth="1"/>
    <col min="14873" max="14873" width="1.5703125" style="1" customWidth="1"/>
    <col min="14874" max="14874" width="12.28515625" style="1" customWidth="1"/>
    <col min="14875" max="14875" width="1.5703125" style="1" customWidth="1"/>
    <col min="14876" max="14876" width="12.28515625" style="1" customWidth="1"/>
    <col min="14877" max="14877" width="0.85546875" style="1" customWidth="1"/>
    <col min="14878" max="14878" width="12.28515625" style="1" customWidth="1"/>
    <col min="14879" max="14879" width="1.5703125" style="1" customWidth="1"/>
    <col min="14880" max="14880" width="12.28515625" style="1" customWidth="1"/>
    <col min="14881" max="14881" width="1.5703125" style="1" customWidth="1"/>
    <col min="14882" max="14882" width="12.28515625" style="1" customWidth="1"/>
    <col min="14883" max="14883" width="4.5703125" style="1" customWidth="1"/>
    <col min="14884" max="14884" width="1.42578125" style="1" customWidth="1"/>
    <col min="14885" max="15107" width="13.85546875" style="1"/>
    <col min="15108" max="15108" width="7.85546875" style="1" customWidth="1"/>
    <col min="15109" max="15110" width="2.28515625" style="1" customWidth="1"/>
    <col min="15111" max="15111" width="31.42578125" style="1" customWidth="1"/>
    <col min="15112" max="15112" width="2.28515625" style="1" customWidth="1"/>
    <col min="15113" max="15113" width="2.140625" style="1" customWidth="1"/>
    <col min="15114" max="15114" width="12.28515625" style="1" customWidth="1"/>
    <col min="15115" max="15115" width="1.5703125" style="1" customWidth="1"/>
    <col min="15116" max="15116" width="12.28515625" style="1" customWidth="1"/>
    <col min="15117" max="15117" width="1.5703125" style="1" customWidth="1"/>
    <col min="15118" max="15118" width="12.28515625" style="1" customWidth="1"/>
    <col min="15119" max="15119" width="1.5703125" style="1" customWidth="1"/>
    <col min="15120" max="15120" width="13.5703125" style="1" customWidth="1"/>
    <col min="15121" max="15121" width="0.85546875" style="1" customWidth="1"/>
    <col min="15122" max="15122" width="12.28515625" style="1" customWidth="1"/>
    <col min="15123" max="15123" width="1.5703125" style="1" customWidth="1"/>
    <col min="15124" max="15124" width="12.28515625" style="1" customWidth="1"/>
    <col min="15125" max="15125" width="1.5703125" style="1" customWidth="1"/>
    <col min="15126" max="15126" width="12.28515625" style="1" customWidth="1"/>
    <col min="15127" max="15127" width="0.85546875" style="1" customWidth="1"/>
    <col min="15128" max="15128" width="12.28515625" style="1" customWidth="1"/>
    <col min="15129" max="15129" width="1.5703125" style="1" customWidth="1"/>
    <col min="15130" max="15130" width="12.28515625" style="1" customWidth="1"/>
    <col min="15131" max="15131" width="1.5703125" style="1" customWidth="1"/>
    <col min="15132" max="15132" width="12.28515625" style="1" customWidth="1"/>
    <col min="15133" max="15133" width="0.85546875" style="1" customWidth="1"/>
    <col min="15134" max="15134" width="12.28515625" style="1" customWidth="1"/>
    <col min="15135" max="15135" width="1.5703125" style="1" customWidth="1"/>
    <col min="15136" max="15136" width="12.28515625" style="1" customWidth="1"/>
    <col min="15137" max="15137" width="1.5703125" style="1" customWidth="1"/>
    <col min="15138" max="15138" width="12.28515625" style="1" customWidth="1"/>
    <col min="15139" max="15139" width="4.5703125" style="1" customWidth="1"/>
    <col min="15140" max="15140" width="1.42578125" style="1" customWidth="1"/>
    <col min="15141" max="15363" width="13.85546875" style="1"/>
    <col min="15364" max="15364" width="7.85546875" style="1" customWidth="1"/>
    <col min="15365" max="15366" width="2.28515625" style="1" customWidth="1"/>
    <col min="15367" max="15367" width="31.42578125" style="1" customWidth="1"/>
    <col min="15368" max="15368" width="2.28515625" style="1" customWidth="1"/>
    <col min="15369" max="15369" width="2.140625" style="1" customWidth="1"/>
    <col min="15370" max="15370" width="12.28515625" style="1" customWidth="1"/>
    <col min="15371" max="15371" width="1.5703125" style="1" customWidth="1"/>
    <col min="15372" max="15372" width="12.28515625" style="1" customWidth="1"/>
    <col min="15373" max="15373" width="1.5703125" style="1" customWidth="1"/>
    <col min="15374" max="15374" width="12.28515625" style="1" customWidth="1"/>
    <col min="15375" max="15375" width="1.5703125" style="1" customWidth="1"/>
    <col min="15376" max="15376" width="13.5703125" style="1" customWidth="1"/>
    <col min="15377" max="15377" width="0.85546875" style="1" customWidth="1"/>
    <col min="15378" max="15378" width="12.28515625" style="1" customWidth="1"/>
    <col min="15379" max="15379" width="1.5703125" style="1" customWidth="1"/>
    <col min="15380" max="15380" width="12.28515625" style="1" customWidth="1"/>
    <col min="15381" max="15381" width="1.5703125" style="1" customWidth="1"/>
    <col min="15382" max="15382" width="12.28515625" style="1" customWidth="1"/>
    <col min="15383" max="15383" width="0.85546875" style="1" customWidth="1"/>
    <col min="15384" max="15384" width="12.28515625" style="1" customWidth="1"/>
    <col min="15385" max="15385" width="1.5703125" style="1" customWidth="1"/>
    <col min="15386" max="15386" width="12.28515625" style="1" customWidth="1"/>
    <col min="15387" max="15387" width="1.5703125" style="1" customWidth="1"/>
    <col min="15388" max="15388" width="12.28515625" style="1" customWidth="1"/>
    <col min="15389" max="15389" width="0.85546875" style="1" customWidth="1"/>
    <col min="15390" max="15390" width="12.28515625" style="1" customWidth="1"/>
    <col min="15391" max="15391" width="1.5703125" style="1" customWidth="1"/>
    <col min="15392" max="15392" width="12.28515625" style="1" customWidth="1"/>
    <col min="15393" max="15393" width="1.5703125" style="1" customWidth="1"/>
    <col min="15394" max="15394" width="12.28515625" style="1" customWidth="1"/>
    <col min="15395" max="15395" width="4.5703125" style="1" customWidth="1"/>
    <col min="15396" max="15396" width="1.42578125" style="1" customWidth="1"/>
    <col min="15397" max="15619" width="13.85546875" style="1"/>
    <col min="15620" max="15620" width="7.85546875" style="1" customWidth="1"/>
    <col min="15621" max="15622" width="2.28515625" style="1" customWidth="1"/>
    <col min="15623" max="15623" width="31.42578125" style="1" customWidth="1"/>
    <col min="15624" max="15624" width="2.28515625" style="1" customWidth="1"/>
    <col min="15625" max="15625" width="2.140625" style="1" customWidth="1"/>
    <col min="15626" max="15626" width="12.28515625" style="1" customWidth="1"/>
    <col min="15627" max="15627" width="1.5703125" style="1" customWidth="1"/>
    <col min="15628" max="15628" width="12.28515625" style="1" customWidth="1"/>
    <col min="15629" max="15629" width="1.5703125" style="1" customWidth="1"/>
    <col min="15630" max="15630" width="12.28515625" style="1" customWidth="1"/>
    <col min="15631" max="15631" width="1.5703125" style="1" customWidth="1"/>
    <col min="15632" max="15632" width="13.5703125" style="1" customWidth="1"/>
    <col min="15633" max="15633" width="0.85546875" style="1" customWidth="1"/>
    <col min="15634" max="15634" width="12.28515625" style="1" customWidth="1"/>
    <col min="15635" max="15635" width="1.5703125" style="1" customWidth="1"/>
    <col min="15636" max="15636" width="12.28515625" style="1" customWidth="1"/>
    <col min="15637" max="15637" width="1.5703125" style="1" customWidth="1"/>
    <col min="15638" max="15638" width="12.28515625" style="1" customWidth="1"/>
    <col min="15639" max="15639" width="0.85546875" style="1" customWidth="1"/>
    <col min="15640" max="15640" width="12.28515625" style="1" customWidth="1"/>
    <col min="15641" max="15641" width="1.5703125" style="1" customWidth="1"/>
    <col min="15642" max="15642" width="12.28515625" style="1" customWidth="1"/>
    <col min="15643" max="15643" width="1.5703125" style="1" customWidth="1"/>
    <col min="15644" max="15644" width="12.28515625" style="1" customWidth="1"/>
    <col min="15645" max="15645" width="0.85546875" style="1" customWidth="1"/>
    <col min="15646" max="15646" width="12.28515625" style="1" customWidth="1"/>
    <col min="15647" max="15647" width="1.5703125" style="1" customWidth="1"/>
    <col min="15648" max="15648" width="12.28515625" style="1" customWidth="1"/>
    <col min="15649" max="15649" width="1.5703125" style="1" customWidth="1"/>
    <col min="15650" max="15650" width="12.28515625" style="1" customWidth="1"/>
    <col min="15651" max="15651" width="4.5703125" style="1" customWidth="1"/>
    <col min="15652" max="15652" width="1.42578125" style="1" customWidth="1"/>
    <col min="15653" max="15875" width="13.85546875" style="1"/>
    <col min="15876" max="15876" width="7.85546875" style="1" customWidth="1"/>
    <col min="15877" max="15878" width="2.28515625" style="1" customWidth="1"/>
    <col min="15879" max="15879" width="31.42578125" style="1" customWidth="1"/>
    <col min="15880" max="15880" width="2.28515625" style="1" customWidth="1"/>
    <col min="15881" max="15881" width="2.140625" style="1" customWidth="1"/>
    <col min="15882" max="15882" width="12.28515625" style="1" customWidth="1"/>
    <col min="15883" max="15883" width="1.5703125" style="1" customWidth="1"/>
    <col min="15884" max="15884" width="12.28515625" style="1" customWidth="1"/>
    <col min="15885" max="15885" width="1.5703125" style="1" customWidth="1"/>
    <col min="15886" max="15886" width="12.28515625" style="1" customWidth="1"/>
    <col min="15887" max="15887" width="1.5703125" style="1" customWidth="1"/>
    <col min="15888" max="15888" width="13.5703125" style="1" customWidth="1"/>
    <col min="15889" max="15889" width="0.85546875" style="1" customWidth="1"/>
    <col min="15890" max="15890" width="12.28515625" style="1" customWidth="1"/>
    <col min="15891" max="15891" width="1.5703125" style="1" customWidth="1"/>
    <col min="15892" max="15892" width="12.28515625" style="1" customWidth="1"/>
    <col min="15893" max="15893" width="1.5703125" style="1" customWidth="1"/>
    <col min="15894" max="15894" width="12.28515625" style="1" customWidth="1"/>
    <col min="15895" max="15895" width="0.85546875" style="1" customWidth="1"/>
    <col min="15896" max="15896" width="12.28515625" style="1" customWidth="1"/>
    <col min="15897" max="15897" width="1.5703125" style="1" customWidth="1"/>
    <col min="15898" max="15898" width="12.28515625" style="1" customWidth="1"/>
    <col min="15899" max="15899" width="1.5703125" style="1" customWidth="1"/>
    <col min="15900" max="15900" width="12.28515625" style="1" customWidth="1"/>
    <col min="15901" max="15901" width="0.85546875" style="1" customWidth="1"/>
    <col min="15902" max="15902" width="12.28515625" style="1" customWidth="1"/>
    <col min="15903" max="15903" width="1.5703125" style="1" customWidth="1"/>
    <col min="15904" max="15904" width="12.28515625" style="1" customWidth="1"/>
    <col min="15905" max="15905" width="1.5703125" style="1" customWidth="1"/>
    <col min="15906" max="15906" width="12.28515625" style="1" customWidth="1"/>
    <col min="15907" max="15907" width="4.5703125" style="1" customWidth="1"/>
    <col min="15908" max="15908" width="1.42578125" style="1" customWidth="1"/>
    <col min="15909" max="16131" width="13.85546875" style="1"/>
    <col min="16132" max="16132" width="7.85546875" style="1" customWidth="1"/>
    <col min="16133" max="16134" width="2.28515625" style="1" customWidth="1"/>
    <col min="16135" max="16135" width="31.42578125" style="1" customWidth="1"/>
    <col min="16136" max="16136" width="2.28515625" style="1" customWidth="1"/>
    <col min="16137" max="16137" width="2.140625" style="1" customWidth="1"/>
    <col min="16138" max="16138" width="12.28515625" style="1" customWidth="1"/>
    <col min="16139" max="16139" width="1.5703125" style="1" customWidth="1"/>
    <col min="16140" max="16140" width="12.28515625" style="1" customWidth="1"/>
    <col min="16141" max="16141" width="1.5703125" style="1" customWidth="1"/>
    <col min="16142" max="16142" width="12.28515625" style="1" customWidth="1"/>
    <col min="16143" max="16143" width="1.5703125" style="1" customWidth="1"/>
    <col min="16144" max="16144" width="13.5703125" style="1" customWidth="1"/>
    <col min="16145" max="16145" width="0.85546875" style="1" customWidth="1"/>
    <col min="16146" max="16146" width="12.28515625" style="1" customWidth="1"/>
    <col min="16147" max="16147" width="1.5703125" style="1" customWidth="1"/>
    <col min="16148" max="16148" width="12.28515625" style="1" customWidth="1"/>
    <col min="16149" max="16149" width="1.5703125" style="1" customWidth="1"/>
    <col min="16150" max="16150" width="12.28515625" style="1" customWidth="1"/>
    <col min="16151" max="16151" width="0.85546875" style="1" customWidth="1"/>
    <col min="16152" max="16152" width="12.28515625" style="1" customWidth="1"/>
    <col min="16153" max="16153" width="1.5703125" style="1" customWidth="1"/>
    <col min="16154" max="16154" width="12.28515625" style="1" customWidth="1"/>
    <col min="16155" max="16155" width="1.5703125" style="1" customWidth="1"/>
    <col min="16156" max="16156" width="12.28515625" style="1" customWidth="1"/>
    <col min="16157" max="16157" width="0.85546875" style="1" customWidth="1"/>
    <col min="16158" max="16158" width="12.28515625" style="1" customWidth="1"/>
    <col min="16159" max="16159" width="1.5703125" style="1" customWidth="1"/>
    <col min="16160" max="16160" width="12.28515625" style="1" customWidth="1"/>
    <col min="16161" max="16161" width="1.5703125" style="1" customWidth="1"/>
    <col min="16162" max="16162" width="12.28515625" style="1" customWidth="1"/>
    <col min="16163" max="16163" width="4.5703125" style="1" customWidth="1"/>
    <col min="16164" max="16164" width="1.42578125" style="1" customWidth="1"/>
    <col min="16165" max="16384" width="13.85546875" style="1"/>
  </cols>
  <sheetData>
    <row r="1" spans="1:41" s="14" customFormat="1" ht="15.75">
      <c r="A1" s="1"/>
      <c r="B1" s="1"/>
      <c r="C1" s="1"/>
      <c r="D1" s="13" t="s">
        <v>312</v>
      </c>
      <c r="J1" s="13" t="s">
        <v>2987</v>
      </c>
      <c r="K1" s="13"/>
      <c r="L1" s="13"/>
      <c r="M1" s="15"/>
      <c r="N1" s="1208"/>
      <c r="O1" s="13"/>
      <c r="P1" s="13"/>
      <c r="Q1" s="15"/>
      <c r="R1" s="1209"/>
      <c r="S1" s="15"/>
      <c r="T1" s="1208"/>
      <c r="U1" s="13"/>
      <c r="V1" s="13"/>
      <c r="W1" s="13"/>
      <c r="Y1" s="15"/>
      <c r="Z1" s="16"/>
      <c r="AE1" s="15"/>
      <c r="AF1" s="16"/>
      <c r="AH1" s="18"/>
      <c r="AI1" s="54"/>
      <c r="AL1" s="180"/>
      <c r="AM1" s="180"/>
      <c r="AN1" s="54"/>
      <c r="AO1" s="54"/>
    </row>
    <row r="2" spans="1:41" s="14" customFormat="1" ht="15.75">
      <c r="A2" s="1"/>
      <c r="D2" s="13" t="s">
        <v>340</v>
      </c>
      <c r="N2" s="19"/>
      <c r="Q2" s="15"/>
      <c r="R2" s="19"/>
      <c r="T2" s="19" t="s">
        <v>187</v>
      </c>
      <c r="Z2" s="19" t="s">
        <v>187</v>
      </c>
      <c r="AF2" s="19" t="s">
        <v>187</v>
      </c>
      <c r="AI2" s="54"/>
    </row>
    <row r="3" spans="1:41" s="14" customFormat="1" ht="15.75">
      <c r="A3" s="1"/>
      <c r="D3" s="20" t="s">
        <v>2986</v>
      </c>
      <c r="AI3" s="54"/>
    </row>
    <row r="4" spans="1:41" s="14" customFormat="1" ht="15.75">
      <c r="A4" s="1"/>
      <c r="D4" s="21"/>
      <c r="AI4" s="54"/>
    </row>
    <row r="5" spans="1:41" s="14" customFormat="1" ht="15">
      <c r="A5" s="1"/>
      <c r="D5" s="22"/>
      <c r="AH5" s="560"/>
      <c r="AI5" s="54"/>
    </row>
    <row r="6" spans="1:41" s="14" customFormat="1" ht="15">
      <c r="A6" s="1"/>
      <c r="D6" s="23"/>
      <c r="E6" s="23"/>
      <c r="F6" s="23"/>
      <c r="G6" s="23"/>
      <c r="H6" s="23"/>
      <c r="I6" s="23"/>
      <c r="J6" s="24"/>
      <c r="K6" s="25"/>
      <c r="L6" s="24"/>
      <c r="M6" s="25"/>
      <c r="N6" s="26"/>
      <c r="O6" s="25"/>
      <c r="P6" s="24"/>
      <c r="Q6" s="25"/>
      <c r="R6" s="24"/>
      <c r="S6" s="25"/>
      <c r="T6" s="26"/>
      <c r="U6" s="25"/>
      <c r="V6" s="24"/>
      <c r="W6" s="25"/>
      <c r="X6" s="24"/>
      <c r="Y6" s="25"/>
      <c r="Z6" s="26"/>
      <c r="AA6" s="25"/>
      <c r="AB6" s="24"/>
      <c r="AC6" s="25"/>
      <c r="AD6" s="24"/>
      <c r="AE6" s="25"/>
      <c r="AF6" s="26"/>
      <c r="AG6" s="25"/>
      <c r="AH6" s="24"/>
      <c r="AI6" s="24"/>
    </row>
    <row r="7" spans="1:41" s="14" customFormat="1" ht="15.75" thickBot="1">
      <c r="A7" s="1"/>
      <c r="B7" s="74" t="s">
        <v>377</v>
      </c>
      <c r="D7" s="23"/>
      <c r="E7" s="23"/>
      <c r="F7" s="23"/>
      <c r="G7" s="23"/>
      <c r="H7" s="23"/>
      <c r="I7" s="23"/>
      <c r="J7" s="27">
        <v>43446</v>
      </c>
      <c r="K7" s="28"/>
      <c r="L7" s="27">
        <v>43466</v>
      </c>
      <c r="M7" s="28"/>
      <c r="N7" s="27">
        <v>43498</v>
      </c>
      <c r="O7" s="29"/>
      <c r="P7" s="27">
        <v>43527</v>
      </c>
      <c r="Q7" s="28"/>
      <c r="R7" s="27">
        <v>43559</v>
      </c>
      <c r="S7" s="28"/>
      <c r="T7" s="27">
        <v>43590</v>
      </c>
      <c r="U7" s="29"/>
      <c r="V7" s="27">
        <v>43622</v>
      </c>
      <c r="W7" s="28"/>
      <c r="X7" s="27">
        <v>43653</v>
      </c>
      <c r="Y7" s="28"/>
      <c r="Z7" s="27">
        <v>43685</v>
      </c>
      <c r="AA7" s="29"/>
      <c r="AB7" s="27">
        <v>43717</v>
      </c>
      <c r="AC7" s="28"/>
      <c r="AD7" s="27">
        <v>43748</v>
      </c>
      <c r="AE7" s="28"/>
      <c r="AF7" s="27">
        <v>43780</v>
      </c>
      <c r="AG7" s="29"/>
      <c r="AH7" s="30" t="s">
        <v>13</v>
      </c>
      <c r="AI7" s="31"/>
    </row>
    <row r="8" spans="1:41" outlineLevel="1">
      <c r="B8" s="71" t="s">
        <v>378</v>
      </c>
      <c r="D8" s="5">
        <v>98501</v>
      </c>
      <c r="E8" s="5" t="s">
        <v>541</v>
      </c>
      <c r="F8" s="6"/>
      <c r="G8" s="3"/>
      <c r="H8" s="7"/>
      <c r="I8" s="8"/>
      <c r="J8" s="9">
        <v>21</v>
      </c>
      <c r="K8" s="8"/>
      <c r="L8" s="9">
        <v>23</v>
      </c>
      <c r="M8" s="8"/>
      <c r="N8" s="9">
        <v>20</v>
      </c>
      <c r="O8" s="8"/>
      <c r="P8" s="9">
        <v>21</v>
      </c>
      <c r="Q8" s="8"/>
      <c r="R8" s="9">
        <v>22</v>
      </c>
      <c r="S8" s="8"/>
      <c r="T8" s="9">
        <v>23</v>
      </c>
      <c r="U8" s="8"/>
      <c r="V8" s="9">
        <v>20</v>
      </c>
      <c r="W8" s="8"/>
      <c r="X8" s="9">
        <v>23</v>
      </c>
      <c r="Y8" s="8"/>
      <c r="Z8" s="9">
        <v>22</v>
      </c>
      <c r="AA8" s="8"/>
      <c r="AB8" s="9">
        <v>21</v>
      </c>
      <c r="AC8" s="8"/>
      <c r="AD8" s="9">
        <v>23</v>
      </c>
      <c r="AE8" s="8"/>
      <c r="AF8" s="9">
        <v>21</v>
      </c>
      <c r="AG8" s="8"/>
      <c r="AH8" s="9">
        <f>AF8+AD8+AB8+Z8+X8+V8+T8+R8+P8+N8+L8+J8</f>
        <v>260</v>
      </c>
      <c r="AI8" s="10">
        <f>IF(AH$61=0,0,AH8/AH$61)</f>
        <v>4.1480268810195372E-6</v>
      </c>
      <c r="AJ8" s="11"/>
    </row>
    <row r="9" spans="1:41" s="7" customFormat="1" ht="4.5" customHeight="1">
      <c r="J9" s="8"/>
      <c r="K9" s="14"/>
      <c r="L9" s="8"/>
      <c r="M9" s="14"/>
      <c r="N9" s="8"/>
      <c r="O9" s="14"/>
      <c r="P9" s="8"/>
      <c r="Q9" s="14"/>
      <c r="R9" s="8"/>
      <c r="S9" s="14"/>
      <c r="T9" s="8"/>
      <c r="U9" s="14"/>
      <c r="V9" s="8"/>
      <c r="W9" s="14"/>
      <c r="X9" s="8"/>
      <c r="Y9" s="14"/>
      <c r="Z9" s="8"/>
      <c r="AA9" s="14"/>
      <c r="AB9" s="8"/>
      <c r="AC9" s="14"/>
      <c r="AD9" s="8"/>
      <c r="AE9" s="14"/>
      <c r="AF9" s="8"/>
      <c r="AG9" s="14"/>
      <c r="AH9" s="8"/>
      <c r="AI9" s="1634"/>
      <c r="AJ9" s="14"/>
    </row>
    <row r="10" spans="1:41" s="7" customFormat="1" ht="15" outlineLevel="1">
      <c r="J10" s="8"/>
      <c r="K10" s="14"/>
      <c r="L10" s="8"/>
      <c r="M10" s="14"/>
      <c r="N10" s="8"/>
      <c r="O10" s="14"/>
      <c r="P10" s="8"/>
      <c r="Q10" s="14"/>
      <c r="R10" s="8"/>
      <c r="S10" s="14"/>
      <c r="T10" s="8"/>
      <c r="U10" s="14"/>
      <c r="V10" s="8"/>
      <c r="W10" s="14"/>
      <c r="X10" s="8"/>
      <c r="Y10" s="14"/>
      <c r="Z10" s="8"/>
      <c r="AA10" s="14"/>
      <c r="AB10" s="8"/>
      <c r="AC10" s="14"/>
      <c r="AD10" s="8"/>
      <c r="AE10" s="14"/>
      <c r="AF10" s="8"/>
      <c r="AG10" s="14"/>
      <c r="AH10" s="8"/>
      <c r="AI10" s="1635"/>
      <c r="AJ10" s="14"/>
    </row>
    <row r="11" spans="1:41" outlineLevel="1">
      <c r="B11" s="71" t="s">
        <v>379</v>
      </c>
      <c r="D11" s="1396">
        <v>31000</v>
      </c>
      <c r="E11" s="1396" t="s">
        <v>189</v>
      </c>
      <c r="F11" s="1397"/>
      <c r="G11" s="1398"/>
      <c r="H11" s="1399"/>
      <c r="I11" s="1400"/>
      <c r="J11" s="1401">
        <v>147972.32999999999</v>
      </c>
      <c r="K11" s="1400"/>
      <c r="L11" s="1401">
        <v>173272.13</v>
      </c>
      <c r="M11" s="1400"/>
      <c r="N11" s="1401">
        <v>135950.81</v>
      </c>
      <c r="O11" s="1400"/>
      <c r="P11" s="1401">
        <v>167765.54</v>
      </c>
      <c r="Q11" s="1400"/>
      <c r="R11" s="1401">
        <v>176689.44</v>
      </c>
      <c r="S11" s="1400"/>
      <c r="T11" s="1401">
        <v>189092.21</v>
      </c>
      <c r="U11" s="1400"/>
      <c r="V11" s="1401">
        <v>173180.51</v>
      </c>
      <c r="W11" s="1400"/>
      <c r="X11" s="1401">
        <v>177795.1</v>
      </c>
      <c r="Y11" s="1400"/>
      <c r="Z11" s="1401">
        <v>190484.63</v>
      </c>
      <c r="AA11" s="1400"/>
      <c r="AB11" s="1401">
        <v>181398.49</v>
      </c>
      <c r="AC11" s="1400"/>
      <c r="AD11" s="1401">
        <v>201721.86</v>
      </c>
      <c r="AE11" s="1400"/>
      <c r="AF11" s="1401">
        <v>169708.25</v>
      </c>
      <c r="AG11" s="1400"/>
      <c r="AH11" s="1401">
        <f t="shared" ref="AH11:AH27" si="0">AF11+AD11+AB11+Z11+X11+V11+T11+R11+P11+N11+L11+J11</f>
        <v>2085031.2999999998</v>
      </c>
      <c r="AI11" s="1574">
        <f t="shared" ref="AI11:AI27" si="1">IF(AH$61=0,0,AH11/AH$61)</f>
        <v>3.3264484154488891E-2</v>
      </c>
      <c r="AJ11" s="11"/>
    </row>
    <row r="12" spans="1:41" outlineLevel="1">
      <c r="B12" s="71" t="s">
        <v>380</v>
      </c>
      <c r="D12" s="1396">
        <v>31001</v>
      </c>
      <c r="E12" s="1396" t="s">
        <v>190</v>
      </c>
      <c r="F12" s="1397"/>
      <c r="G12" s="1398"/>
      <c r="H12" s="1399"/>
      <c r="I12" s="1400"/>
      <c r="J12" s="1401">
        <v>12906.85</v>
      </c>
      <c r="K12" s="1400"/>
      <c r="L12" s="1401">
        <v>23928.71</v>
      </c>
      <c r="M12" s="1400"/>
      <c r="N12" s="1401">
        <v>13994.55</v>
      </c>
      <c r="O12" s="1400"/>
      <c r="P12" s="1401">
        <v>26349.84</v>
      </c>
      <c r="Q12" s="1400"/>
      <c r="R12" s="1401">
        <v>27880.33</v>
      </c>
      <c r="S12" s="1400"/>
      <c r="T12" s="1401">
        <v>30823.57</v>
      </c>
      <c r="U12" s="1400"/>
      <c r="V12" s="1401">
        <v>28403.41</v>
      </c>
      <c r="W12" s="1400"/>
      <c r="X12" s="1401">
        <v>26813.06</v>
      </c>
      <c r="Y12" s="1400"/>
      <c r="Z12" s="1401">
        <v>30098</v>
      </c>
      <c r="AA12" s="1400"/>
      <c r="AB12" s="1401">
        <v>27362.52</v>
      </c>
      <c r="AC12" s="1400"/>
      <c r="AD12" s="1401">
        <v>19431.43</v>
      </c>
      <c r="AE12" s="1400"/>
      <c r="AF12" s="1401">
        <v>18316.310000000001</v>
      </c>
      <c r="AG12" s="1400"/>
      <c r="AH12" s="1401">
        <f t="shared" si="0"/>
        <v>286308.57999999996</v>
      </c>
      <c r="AI12" s="1574">
        <f t="shared" si="1"/>
        <v>4.5677526388712792E-3</v>
      </c>
      <c r="AJ12" s="11"/>
    </row>
    <row r="13" spans="1:41" outlineLevel="1">
      <c r="B13" s="71" t="s">
        <v>380</v>
      </c>
      <c r="D13" s="1396">
        <v>31002</v>
      </c>
      <c r="E13" s="1396" t="s">
        <v>191</v>
      </c>
      <c r="F13" s="1397"/>
      <c r="G13" s="1398"/>
      <c r="H13" s="1399"/>
      <c r="I13" s="1400"/>
      <c r="J13" s="1401">
        <v>33333.4</v>
      </c>
      <c r="K13" s="1400"/>
      <c r="L13" s="1401">
        <v>33735.39</v>
      </c>
      <c r="M13" s="1400"/>
      <c r="N13" s="1401">
        <v>33068.07</v>
      </c>
      <c r="O13" s="1400"/>
      <c r="P13" s="1401">
        <v>37541.14</v>
      </c>
      <c r="Q13" s="1400"/>
      <c r="R13" s="1401">
        <v>36768.449999999997</v>
      </c>
      <c r="S13" s="1400"/>
      <c r="T13" s="1401">
        <v>38076.239999999998</v>
      </c>
      <c r="U13" s="1400"/>
      <c r="V13" s="1401">
        <v>33308.65</v>
      </c>
      <c r="W13" s="1400"/>
      <c r="X13" s="1401">
        <v>37691.910000000003</v>
      </c>
      <c r="Y13" s="1400"/>
      <c r="Z13" s="1401">
        <v>37254.379999999997</v>
      </c>
      <c r="AA13" s="1400"/>
      <c r="AB13" s="1401">
        <v>37262.78</v>
      </c>
      <c r="AC13" s="1400"/>
      <c r="AD13" s="1401">
        <v>34672.53</v>
      </c>
      <c r="AE13" s="1400"/>
      <c r="AF13" s="1401">
        <v>34203.910000000003</v>
      </c>
      <c r="AG13" s="1400"/>
      <c r="AH13" s="1401">
        <f t="shared" si="0"/>
        <v>426916.85000000003</v>
      </c>
      <c r="AI13" s="1574">
        <f t="shared" si="1"/>
        <v>6.8110098836930231E-3</v>
      </c>
      <c r="AJ13" s="11"/>
    </row>
    <row r="14" spans="1:41" outlineLevel="1">
      <c r="B14" s="71" t="s">
        <v>380</v>
      </c>
      <c r="D14" s="1396">
        <v>31004</v>
      </c>
      <c r="E14" s="1396" t="s">
        <v>539</v>
      </c>
      <c r="F14" s="1397"/>
      <c r="G14" s="1398"/>
      <c r="H14" s="1399"/>
      <c r="I14" s="1400"/>
      <c r="J14" s="1401">
        <v>0</v>
      </c>
      <c r="K14" s="1400"/>
      <c r="L14" s="1401">
        <v>0</v>
      </c>
      <c r="M14" s="1400"/>
      <c r="N14" s="1401">
        <v>0</v>
      </c>
      <c r="O14" s="1400"/>
      <c r="P14" s="1401">
        <v>0</v>
      </c>
      <c r="Q14" s="1400"/>
      <c r="R14" s="1401">
        <v>0</v>
      </c>
      <c r="S14" s="1400"/>
      <c r="T14" s="1401">
        <v>0</v>
      </c>
      <c r="U14" s="1400"/>
      <c r="V14" s="1401">
        <v>1135.8800000000001</v>
      </c>
      <c r="W14" s="1400"/>
      <c r="X14" s="1401">
        <v>2738.75</v>
      </c>
      <c r="Y14" s="1400"/>
      <c r="Z14" s="1401">
        <v>0</v>
      </c>
      <c r="AA14" s="1400"/>
      <c r="AB14" s="1401">
        <v>1084.8599999999999</v>
      </c>
      <c r="AC14" s="1400"/>
      <c r="AD14" s="1401">
        <v>944.08</v>
      </c>
      <c r="AE14" s="1400"/>
      <c r="AF14" s="1401">
        <v>0</v>
      </c>
      <c r="AG14" s="1400"/>
      <c r="AH14" s="1401">
        <f t="shared" si="0"/>
        <v>5903.5700000000006</v>
      </c>
      <c r="AI14" s="1574">
        <f t="shared" si="1"/>
        <v>9.4185257899925056E-5</v>
      </c>
      <c r="AJ14" s="11"/>
    </row>
    <row r="15" spans="1:41" outlineLevel="1">
      <c r="B15" s="71" t="s">
        <v>380</v>
      </c>
      <c r="D15" s="1396">
        <v>31005</v>
      </c>
      <c r="E15" s="1396" t="s">
        <v>654</v>
      </c>
      <c r="F15" s="1397"/>
      <c r="G15" s="1398"/>
      <c r="H15" s="1399"/>
      <c r="I15" s="1400"/>
      <c r="J15" s="1401">
        <v>417837.75</v>
      </c>
      <c r="K15" s="1400"/>
      <c r="L15" s="1401">
        <v>485320.1</v>
      </c>
      <c r="M15" s="1400"/>
      <c r="N15" s="1401">
        <v>381162.74</v>
      </c>
      <c r="O15" s="1400"/>
      <c r="P15" s="1401">
        <v>469324.28</v>
      </c>
      <c r="Q15" s="1400"/>
      <c r="R15" s="1401">
        <v>508528.58</v>
      </c>
      <c r="S15" s="1400"/>
      <c r="T15" s="1401">
        <v>508117.73</v>
      </c>
      <c r="U15" s="1400"/>
      <c r="V15" s="1401">
        <v>473747.23</v>
      </c>
      <c r="W15" s="1400"/>
      <c r="X15" s="1401">
        <v>478243.06</v>
      </c>
      <c r="Y15" s="1400"/>
      <c r="Z15" s="1401">
        <v>512685.58</v>
      </c>
      <c r="AA15" s="1400"/>
      <c r="AB15" s="1401">
        <v>493282.55</v>
      </c>
      <c r="AC15" s="1400"/>
      <c r="AD15" s="1401">
        <v>487354.7</v>
      </c>
      <c r="AE15" s="1400"/>
      <c r="AF15" s="1401">
        <v>440604.73</v>
      </c>
      <c r="AG15" s="1400"/>
      <c r="AH15" s="1401">
        <f t="shared" si="0"/>
        <v>5656209.0300000003</v>
      </c>
      <c r="AI15" s="1574">
        <f t="shared" si="1"/>
        <v>9.0238873465790168E-2</v>
      </c>
      <c r="AJ15" s="11"/>
    </row>
    <row r="16" spans="1:41" outlineLevel="1">
      <c r="B16" s="71" t="s">
        <v>380</v>
      </c>
      <c r="D16" s="1396">
        <v>31009</v>
      </c>
      <c r="E16" s="1396" t="s">
        <v>192</v>
      </c>
      <c r="F16" s="1397"/>
      <c r="G16" s="1398"/>
      <c r="H16" s="1399"/>
      <c r="I16" s="1400"/>
      <c r="J16" s="1401">
        <v>4900.41</v>
      </c>
      <c r="K16" s="1400"/>
      <c r="L16" s="1401">
        <v>6925.77</v>
      </c>
      <c r="M16" s="1400"/>
      <c r="N16" s="1401">
        <v>5460.87</v>
      </c>
      <c r="O16" s="1400"/>
      <c r="P16" s="1401">
        <v>4046.15</v>
      </c>
      <c r="Q16" s="1400"/>
      <c r="R16" s="1401">
        <v>4584.6000000000004</v>
      </c>
      <c r="S16" s="1400"/>
      <c r="T16" s="1401">
        <v>7526.82</v>
      </c>
      <c r="U16" s="1400"/>
      <c r="V16" s="1401">
        <v>6326.4</v>
      </c>
      <c r="W16" s="1400"/>
      <c r="X16" s="1401">
        <v>7179.43</v>
      </c>
      <c r="Y16" s="1400"/>
      <c r="Z16" s="1401">
        <v>6962.21</v>
      </c>
      <c r="AA16" s="1400"/>
      <c r="AB16" s="1401">
        <v>6016.42</v>
      </c>
      <c r="AC16" s="1400"/>
      <c r="AD16" s="1401">
        <v>6869.45</v>
      </c>
      <c r="AE16" s="1400"/>
      <c r="AF16" s="1401">
        <v>5635.24</v>
      </c>
      <c r="AG16" s="1400"/>
      <c r="AH16" s="1401">
        <f t="shared" si="0"/>
        <v>72433.77</v>
      </c>
      <c r="AI16" s="1574">
        <f t="shared" si="1"/>
        <v>1.1556047117445636E-3</v>
      </c>
      <c r="AJ16" s="11"/>
    </row>
    <row r="17" spans="2:37" outlineLevel="1">
      <c r="B17" s="71" t="s">
        <v>380</v>
      </c>
      <c r="D17" s="1396">
        <v>31010</v>
      </c>
      <c r="E17" s="1396" t="s">
        <v>655</v>
      </c>
      <c r="F17" s="1397"/>
      <c r="G17" s="1398"/>
      <c r="H17" s="1399"/>
      <c r="I17" s="1400"/>
      <c r="J17" s="1401">
        <v>0</v>
      </c>
      <c r="K17" s="1400"/>
      <c r="L17" s="1401">
        <v>0</v>
      </c>
      <c r="M17" s="1400"/>
      <c r="N17" s="1401">
        <v>0</v>
      </c>
      <c r="O17" s="1400"/>
      <c r="P17" s="1401">
        <v>0</v>
      </c>
      <c r="Q17" s="1400"/>
      <c r="R17" s="1401">
        <v>0</v>
      </c>
      <c r="S17" s="1400"/>
      <c r="T17" s="1401">
        <v>0</v>
      </c>
      <c r="U17" s="1400"/>
      <c r="V17" s="1401">
        <v>0</v>
      </c>
      <c r="W17" s="1400"/>
      <c r="X17" s="1401">
        <v>0</v>
      </c>
      <c r="Y17" s="1400"/>
      <c r="Z17" s="1401">
        <v>365.63</v>
      </c>
      <c r="AA17" s="1400"/>
      <c r="AB17" s="1401">
        <v>0</v>
      </c>
      <c r="AC17" s="1400"/>
      <c r="AD17" s="1401">
        <v>0</v>
      </c>
      <c r="AE17" s="1400"/>
      <c r="AF17" s="1401">
        <v>0</v>
      </c>
      <c r="AG17" s="1400"/>
      <c r="AH17" s="1401">
        <f t="shared" si="0"/>
        <v>365.63</v>
      </c>
      <c r="AI17" s="1574">
        <f t="shared" si="1"/>
        <v>5.8332425711814368E-6</v>
      </c>
      <c r="AJ17" s="11"/>
    </row>
    <row r="18" spans="2:37" outlineLevel="1">
      <c r="B18" s="71" t="s">
        <v>380</v>
      </c>
      <c r="D18" s="1396">
        <v>31020</v>
      </c>
      <c r="E18" s="1396" t="s">
        <v>542</v>
      </c>
      <c r="F18" s="1397"/>
      <c r="G18" s="1398"/>
      <c r="H18" s="1399"/>
      <c r="I18" s="1400"/>
      <c r="J18" s="1401">
        <v>0</v>
      </c>
      <c r="K18" s="1400"/>
      <c r="L18" s="1401">
        <v>0</v>
      </c>
      <c r="M18" s="1400"/>
      <c r="N18" s="1401">
        <v>0</v>
      </c>
      <c r="O18" s="1400"/>
      <c r="P18" s="1401">
        <v>0</v>
      </c>
      <c r="Q18" s="1400"/>
      <c r="R18" s="1401">
        <v>0</v>
      </c>
      <c r="S18" s="1400"/>
      <c r="T18" s="1401">
        <v>0</v>
      </c>
      <c r="U18" s="1400"/>
      <c r="V18" s="1401">
        <v>0</v>
      </c>
      <c r="W18" s="1400"/>
      <c r="X18" s="1401">
        <v>0</v>
      </c>
      <c r="Y18" s="1400"/>
      <c r="Z18" s="1401">
        <v>0</v>
      </c>
      <c r="AA18" s="1400"/>
      <c r="AB18" s="1401">
        <v>177204.28</v>
      </c>
      <c r="AC18" s="1400"/>
      <c r="AD18" s="1401">
        <v>-177204.28</v>
      </c>
      <c r="AE18" s="1400"/>
      <c r="AF18" s="1401">
        <v>0</v>
      </c>
      <c r="AG18" s="1400"/>
      <c r="AH18" s="1401">
        <f t="shared" si="0"/>
        <v>0</v>
      </c>
      <c r="AI18" s="1574">
        <f t="shared" si="1"/>
        <v>0</v>
      </c>
      <c r="AJ18" s="11"/>
    </row>
    <row r="19" spans="2:37" outlineLevel="1">
      <c r="B19" s="71" t="s">
        <v>380</v>
      </c>
      <c r="D19" s="1396">
        <v>32000</v>
      </c>
      <c r="E19" s="1396" t="s">
        <v>193</v>
      </c>
      <c r="F19" s="1397"/>
      <c r="G19" s="1398"/>
      <c r="H19" s="1399"/>
      <c r="I19" s="1400"/>
      <c r="J19" s="1401">
        <v>1945476.99</v>
      </c>
      <c r="K19" s="1400"/>
      <c r="L19" s="1401">
        <v>1946679</v>
      </c>
      <c r="M19" s="1400"/>
      <c r="N19" s="1401">
        <v>1943204.35</v>
      </c>
      <c r="O19" s="1400"/>
      <c r="P19" s="1401">
        <v>2006993.36</v>
      </c>
      <c r="Q19" s="1400"/>
      <c r="R19" s="1401">
        <v>2016567.11</v>
      </c>
      <c r="S19" s="1400"/>
      <c r="T19" s="1401">
        <v>2021930.46</v>
      </c>
      <c r="U19" s="1400"/>
      <c r="V19" s="1401">
        <v>2027855.24</v>
      </c>
      <c r="W19" s="1400"/>
      <c r="X19" s="1401">
        <v>2028829.85</v>
      </c>
      <c r="Y19" s="1400"/>
      <c r="Z19" s="1401">
        <v>2034813.42</v>
      </c>
      <c r="AA19" s="1400"/>
      <c r="AB19" s="1401">
        <v>2038681.34</v>
      </c>
      <c r="AC19" s="1400"/>
      <c r="AD19" s="1401">
        <v>2038826.68</v>
      </c>
      <c r="AE19" s="1400"/>
      <c r="AF19" s="1401">
        <v>2040343.81</v>
      </c>
      <c r="AG19" s="1400"/>
      <c r="AH19" s="1401">
        <f t="shared" si="0"/>
        <v>24090201.609999999</v>
      </c>
      <c r="AI19" s="1574">
        <f t="shared" si="1"/>
        <v>0.38433386095176975</v>
      </c>
      <c r="AJ19" s="11"/>
    </row>
    <row r="20" spans="2:37" outlineLevel="1">
      <c r="B20" s="71" t="s">
        <v>380</v>
      </c>
      <c r="D20" s="1396">
        <v>32001</v>
      </c>
      <c r="E20" s="1396" t="s">
        <v>194</v>
      </c>
      <c r="F20" s="1397"/>
      <c r="G20" s="1398"/>
      <c r="H20" s="1399"/>
      <c r="I20" s="1400"/>
      <c r="J20" s="1401">
        <v>58358.92</v>
      </c>
      <c r="K20" s="1400"/>
      <c r="L20" s="1401">
        <v>63098.23</v>
      </c>
      <c r="M20" s="1400"/>
      <c r="N20" s="1401">
        <v>39717.67</v>
      </c>
      <c r="O20" s="1400"/>
      <c r="P20" s="1401">
        <v>54517.54</v>
      </c>
      <c r="Q20" s="1400"/>
      <c r="R20" s="1401">
        <v>46573.13</v>
      </c>
      <c r="S20" s="1400"/>
      <c r="T20" s="1401">
        <v>49914.23</v>
      </c>
      <c r="U20" s="1400"/>
      <c r="V20" s="1401">
        <v>46751.72</v>
      </c>
      <c r="W20" s="1400"/>
      <c r="X20" s="1401">
        <v>55652.14</v>
      </c>
      <c r="Y20" s="1400"/>
      <c r="Z20" s="1401">
        <v>52717.18</v>
      </c>
      <c r="AA20" s="1400"/>
      <c r="AB20" s="1401">
        <v>41753.870000000003</v>
      </c>
      <c r="AC20" s="1400"/>
      <c r="AD20" s="1401">
        <v>44006.080000000002</v>
      </c>
      <c r="AE20" s="1400"/>
      <c r="AF20" s="1401">
        <v>49563.96</v>
      </c>
      <c r="AG20" s="1400"/>
      <c r="AH20" s="1401">
        <f t="shared" si="0"/>
        <v>602624.66999999993</v>
      </c>
      <c r="AI20" s="1574">
        <f t="shared" si="1"/>
        <v>9.6142435781751065E-3</v>
      </c>
      <c r="AJ20" s="11"/>
    </row>
    <row r="21" spans="2:37" outlineLevel="1">
      <c r="B21" s="71" t="s">
        <v>380</v>
      </c>
      <c r="D21" s="1396">
        <v>32100</v>
      </c>
      <c r="E21" s="1396" t="s">
        <v>195</v>
      </c>
      <c r="F21" s="1397"/>
      <c r="G21" s="1398"/>
      <c r="H21" s="1399"/>
      <c r="I21" s="1400"/>
      <c r="J21" s="1401">
        <v>292450.21999999997</v>
      </c>
      <c r="K21" s="1400"/>
      <c r="L21" s="1401">
        <v>292686.95</v>
      </c>
      <c r="M21" s="1400"/>
      <c r="N21" s="1401">
        <v>292151.21000000002</v>
      </c>
      <c r="O21" s="1400"/>
      <c r="P21" s="1401">
        <v>293474.84999999998</v>
      </c>
      <c r="Q21" s="1400"/>
      <c r="R21" s="1401">
        <v>294727.26</v>
      </c>
      <c r="S21" s="1400"/>
      <c r="T21" s="1401">
        <v>295438.73</v>
      </c>
      <c r="U21" s="1400"/>
      <c r="V21" s="1401">
        <v>295948.26</v>
      </c>
      <c r="W21" s="1400"/>
      <c r="X21" s="1401">
        <v>296157.19</v>
      </c>
      <c r="Y21" s="1400"/>
      <c r="Z21" s="1401">
        <v>297226.07</v>
      </c>
      <c r="AA21" s="1400"/>
      <c r="AB21" s="1401">
        <v>296961.78000000003</v>
      </c>
      <c r="AC21" s="1400"/>
      <c r="AD21" s="1401">
        <v>297307.37</v>
      </c>
      <c r="AE21" s="1400"/>
      <c r="AF21" s="1401">
        <v>297230.40000000002</v>
      </c>
      <c r="AG21" s="1400"/>
      <c r="AH21" s="1401">
        <f t="shared" si="0"/>
        <v>3541760.29</v>
      </c>
      <c r="AI21" s="1574">
        <f t="shared" si="1"/>
        <v>5.6505064957875203E-2</v>
      </c>
      <c r="AJ21" s="11"/>
    </row>
    <row r="22" spans="2:37" outlineLevel="1">
      <c r="B22" s="71" t="s">
        <v>380</v>
      </c>
      <c r="D22" s="1396">
        <v>32110</v>
      </c>
      <c r="E22" s="1396" t="s">
        <v>196</v>
      </c>
      <c r="F22" s="1397"/>
      <c r="G22" s="1398"/>
      <c r="H22" s="1399"/>
      <c r="I22" s="1400"/>
      <c r="J22" s="1401">
        <v>230863.69</v>
      </c>
      <c r="K22" s="1400"/>
      <c r="L22" s="1401">
        <v>228523.58</v>
      </c>
      <c r="M22" s="1400"/>
      <c r="N22" s="1401">
        <v>225847.16</v>
      </c>
      <c r="O22" s="1400"/>
      <c r="P22" s="1401">
        <v>230409.5</v>
      </c>
      <c r="Q22" s="1400"/>
      <c r="R22" s="1401">
        <v>236360.26</v>
      </c>
      <c r="S22" s="1400"/>
      <c r="T22" s="1401">
        <v>242939.79</v>
      </c>
      <c r="U22" s="1400"/>
      <c r="V22" s="1401">
        <v>247963.28</v>
      </c>
      <c r="W22" s="1400"/>
      <c r="X22" s="1401">
        <v>250955.95</v>
      </c>
      <c r="Y22" s="1400"/>
      <c r="Z22" s="1401">
        <v>251972.44</v>
      </c>
      <c r="AA22" s="1400"/>
      <c r="AB22" s="1401">
        <v>251274.81</v>
      </c>
      <c r="AC22" s="1400"/>
      <c r="AD22" s="1401">
        <v>247062.45</v>
      </c>
      <c r="AE22" s="1400"/>
      <c r="AF22" s="1401">
        <v>247872.65</v>
      </c>
      <c r="AG22" s="1400"/>
      <c r="AH22" s="1401">
        <f t="shared" si="0"/>
        <v>2892045.56</v>
      </c>
      <c r="AI22" s="1574">
        <f t="shared" si="1"/>
        <v>4.6139548938512319E-2</v>
      </c>
      <c r="AJ22" s="11"/>
    </row>
    <row r="23" spans="2:37" outlineLevel="1">
      <c r="B23" s="71" t="s">
        <v>380</v>
      </c>
      <c r="D23" s="1396">
        <v>33000</v>
      </c>
      <c r="E23" s="1396" t="s">
        <v>197</v>
      </c>
      <c r="F23" s="1397"/>
      <c r="G23" s="1398"/>
      <c r="H23" s="1399"/>
      <c r="I23" s="1400"/>
      <c r="J23" s="1401">
        <v>1558981.33</v>
      </c>
      <c r="K23" s="1400"/>
      <c r="L23" s="1401">
        <v>1573483.41</v>
      </c>
      <c r="M23" s="1400"/>
      <c r="N23" s="1401">
        <v>1538309.52</v>
      </c>
      <c r="O23" s="1400"/>
      <c r="P23" s="1401">
        <v>1647055.36</v>
      </c>
      <c r="Q23" s="1400"/>
      <c r="R23" s="1401">
        <v>1669253.56</v>
      </c>
      <c r="S23" s="1400"/>
      <c r="T23" s="1401">
        <v>1652994.97</v>
      </c>
      <c r="U23" s="1400"/>
      <c r="V23" s="1401">
        <v>1641776.56</v>
      </c>
      <c r="W23" s="1400"/>
      <c r="X23" s="1401">
        <v>1628786.31</v>
      </c>
      <c r="Y23" s="1400"/>
      <c r="Z23" s="1401">
        <v>1634308.82</v>
      </c>
      <c r="AA23" s="1400"/>
      <c r="AB23" s="1401">
        <v>1652142.82</v>
      </c>
      <c r="AC23" s="1400"/>
      <c r="AD23" s="1401">
        <v>1720841.19</v>
      </c>
      <c r="AE23" s="1400"/>
      <c r="AF23" s="1401">
        <v>1644646.26</v>
      </c>
      <c r="AG23" s="1400"/>
      <c r="AH23" s="1401">
        <f t="shared" si="0"/>
        <v>19562580.109999999</v>
      </c>
      <c r="AI23" s="1574">
        <f t="shared" si="1"/>
        <v>0.31210041599376209</v>
      </c>
      <c r="AJ23" s="11"/>
    </row>
    <row r="24" spans="2:37" outlineLevel="1">
      <c r="B24" s="71" t="s">
        <v>380</v>
      </c>
      <c r="D24" s="1396">
        <v>33001</v>
      </c>
      <c r="E24" s="1396" t="s">
        <v>198</v>
      </c>
      <c r="F24" s="1397"/>
      <c r="G24" s="1398"/>
      <c r="H24" s="1399"/>
      <c r="I24" s="1400"/>
      <c r="J24" s="1401">
        <v>13481.52</v>
      </c>
      <c r="K24" s="1400"/>
      <c r="L24" s="1401">
        <v>16917.98</v>
      </c>
      <c r="M24" s="1400"/>
      <c r="N24" s="1401">
        <v>8812.1299999999992</v>
      </c>
      <c r="O24" s="1400"/>
      <c r="P24" s="1401">
        <v>21249.13</v>
      </c>
      <c r="Q24" s="1400"/>
      <c r="R24" s="1401">
        <v>19839.509999999998</v>
      </c>
      <c r="S24" s="1400"/>
      <c r="T24" s="1401">
        <v>19280.77</v>
      </c>
      <c r="U24" s="1400"/>
      <c r="V24" s="1401">
        <v>29515.19</v>
      </c>
      <c r="W24" s="1400"/>
      <c r="X24" s="1401">
        <v>25962.61</v>
      </c>
      <c r="Y24" s="1400"/>
      <c r="Z24" s="1401">
        <v>20856.349999999999</v>
      </c>
      <c r="AA24" s="1400"/>
      <c r="AB24" s="1401">
        <v>14212.72</v>
      </c>
      <c r="AC24" s="1400"/>
      <c r="AD24" s="1401">
        <v>20593.759999999998</v>
      </c>
      <c r="AE24" s="1400"/>
      <c r="AF24" s="1401">
        <v>15800.58</v>
      </c>
      <c r="AG24" s="1400"/>
      <c r="AH24" s="1401">
        <f t="shared" si="0"/>
        <v>226522.25000000003</v>
      </c>
      <c r="AI24" s="1574">
        <f t="shared" si="1"/>
        <v>3.613924546727031E-3</v>
      </c>
      <c r="AJ24" s="11"/>
    </row>
    <row r="25" spans="2:37" outlineLevel="1">
      <c r="B25" s="71" t="s">
        <v>380</v>
      </c>
      <c r="D25" s="1396">
        <v>33002</v>
      </c>
      <c r="E25" s="1396" t="s">
        <v>540</v>
      </c>
      <c r="F25" s="1397"/>
      <c r="G25" s="1398"/>
      <c r="H25" s="1399"/>
      <c r="I25" s="1400"/>
      <c r="J25" s="1401">
        <v>11250.63</v>
      </c>
      <c r="K25" s="1400"/>
      <c r="L25" s="1401">
        <v>12412.38</v>
      </c>
      <c r="M25" s="1400"/>
      <c r="N25" s="1401">
        <v>14072.74</v>
      </c>
      <c r="O25" s="1400"/>
      <c r="P25" s="1401">
        <v>0</v>
      </c>
      <c r="Q25" s="1400"/>
      <c r="R25" s="1401">
        <v>0</v>
      </c>
      <c r="S25" s="1400"/>
      <c r="T25" s="1401">
        <v>807.87</v>
      </c>
      <c r="U25" s="1400"/>
      <c r="V25" s="1401">
        <v>1089.9100000000001</v>
      </c>
      <c r="W25" s="1400"/>
      <c r="X25" s="1401">
        <v>1048.4100000000001</v>
      </c>
      <c r="Y25" s="1400"/>
      <c r="Z25" s="1401">
        <v>1047.8499999999999</v>
      </c>
      <c r="AA25" s="1400"/>
      <c r="AB25" s="1401">
        <v>943.61</v>
      </c>
      <c r="AC25" s="1400"/>
      <c r="AD25" s="1401">
        <v>1036.01</v>
      </c>
      <c r="AE25" s="1400"/>
      <c r="AF25" s="1401">
        <v>980.33</v>
      </c>
      <c r="AG25" s="1400"/>
      <c r="AH25" s="1401">
        <f t="shared" si="0"/>
        <v>44689.74</v>
      </c>
      <c r="AI25" s="1574">
        <f t="shared" si="1"/>
        <v>7.1297785702220792E-4</v>
      </c>
      <c r="AJ25" s="11"/>
    </row>
    <row r="26" spans="2:37" outlineLevel="1">
      <c r="B26" s="71" t="s">
        <v>380</v>
      </c>
      <c r="D26" s="1396">
        <v>33020</v>
      </c>
      <c r="E26" s="1396" t="s">
        <v>199</v>
      </c>
      <c r="F26" s="1397"/>
      <c r="G26" s="1398"/>
      <c r="H26" s="1399"/>
      <c r="I26" s="1400"/>
      <c r="J26" s="1401">
        <v>222397.54</v>
      </c>
      <c r="K26" s="1400"/>
      <c r="L26" s="1401">
        <v>223227.36</v>
      </c>
      <c r="M26" s="1400"/>
      <c r="N26" s="1401">
        <v>224456.37</v>
      </c>
      <c r="O26" s="1400"/>
      <c r="P26" s="1401">
        <v>241700.34</v>
      </c>
      <c r="Q26" s="1400"/>
      <c r="R26" s="1401">
        <v>239937.12</v>
      </c>
      <c r="S26" s="1400"/>
      <c r="T26" s="1401">
        <v>243107.15</v>
      </c>
      <c r="U26" s="1400"/>
      <c r="V26" s="1401">
        <v>245112.03</v>
      </c>
      <c r="W26" s="1400"/>
      <c r="X26" s="1401">
        <v>234628.84</v>
      </c>
      <c r="Y26" s="1400"/>
      <c r="Z26" s="1401">
        <v>242754.8</v>
      </c>
      <c r="AA26" s="1400"/>
      <c r="AB26" s="1401">
        <v>252080.03</v>
      </c>
      <c r="AC26" s="1400"/>
      <c r="AD26" s="1401">
        <v>250549.92</v>
      </c>
      <c r="AE26" s="1400"/>
      <c r="AF26" s="1401">
        <v>255084.63</v>
      </c>
      <c r="AG26" s="1400"/>
      <c r="AH26" s="1401">
        <f t="shared" si="0"/>
        <v>2875036.13</v>
      </c>
      <c r="AI26" s="1574">
        <f t="shared" si="1"/>
        <v>4.586818135054762E-2</v>
      </c>
      <c r="AJ26" s="11"/>
    </row>
    <row r="27" spans="2:37" outlineLevel="1">
      <c r="B27" s="71" t="s">
        <v>380</v>
      </c>
      <c r="D27" s="1396">
        <v>33022</v>
      </c>
      <c r="E27" s="1396" t="s">
        <v>199</v>
      </c>
      <c r="F27" s="1397"/>
      <c r="G27" s="1398"/>
      <c r="H27" s="1399"/>
      <c r="I27" s="1400"/>
      <c r="J27" s="1401">
        <v>0</v>
      </c>
      <c r="K27" s="1400"/>
      <c r="L27" s="1401">
        <v>0</v>
      </c>
      <c r="M27" s="1400"/>
      <c r="N27" s="1401">
        <v>0</v>
      </c>
      <c r="O27" s="1400"/>
      <c r="P27" s="1401">
        <v>16335.09</v>
      </c>
      <c r="Q27" s="1400"/>
      <c r="R27" s="1401">
        <v>17220.46</v>
      </c>
      <c r="S27" s="1400"/>
      <c r="T27" s="1401">
        <v>17850.990000000002</v>
      </c>
      <c r="U27" s="1400"/>
      <c r="V27" s="1401">
        <v>17699.830000000002</v>
      </c>
      <c r="W27" s="1400"/>
      <c r="X27" s="1401">
        <v>16230.69</v>
      </c>
      <c r="Y27" s="1400"/>
      <c r="Z27" s="1401">
        <v>17139.580000000002</v>
      </c>
      <c r="AA27" s="1400"/>
      <c r="AB27" s="1401">
        <v>19074.05</v>
      </c>
      <c r="AC27" s="1400"/>
      <c r="AD27" s="1401">
        <v>18871.810000000001</v>
      </c>
      <c r="AE27" s="1400"/>
      <c r="AF27" s="1401">
        <v>19565.89</v>
      </c>
      <c r="AG27" s="1400"/>
      <c r="AH27" s="1401">
        <f t="shared" si="0"/>
        <v>159988.39000000001</v>
      </c>
      <c r="AI27" s="1574">
        <f t="shared" si="1"/>
        <v>2.5524467014270669E-3</v>
      </c>
      <c r="AJ27" s="11"/>
    </row>
    <row r="28" spans="2:37" s="7" customFormat="1" ht="4.5" customHeight="1" outlineLevel="1">
      <c r="B28" s="34" t="s">
        <v>187</v>
      </c>
      <c r="D28" s="1399"/>
      <c r="E28" s="1399"/>
      <c r="F28" s="1399"/>
      <c r="G28" s="1399"/>
      <c r="H28" s="1399"/>
      <c r="I28" s="1399"/>
      <c r="J28" s="1402"/>
      <c r="K28" s="1403"/>
      <c r="L28" s="1402"/>
      <c r="M28" s="1403"/>
      <c r="N28" s="1402"/>
      <c r="O28" s="1403"/>
      <c r="P28" s="1402"/>
      <c r="Q28" s="1403"/>
      <c r="R28" s="1402"/>
      <c r="S28" s="1403"/>
      <c r="T28" s="1402"/>
      <c r="U28" s="1403"/>
      <c r="V28" s="1402"/>
      <c r="W28" s="1403"/>
      <c r="X28" s="1402"/>
      <c r="Y28" s="1403"/>
      <c r="Z28" s="1402"/>
      <c r="AA28" s="1403"/>
      <c r="AB28" s="1402"/>
      <c r="AC28" s="1403"/>
      <c r="AD28" s="1402"/>
      <c r="AE28" s="1403"/>
      <c r="AF28" s="1402"/>
      <c r="AG28" s="1403"/>
      <c r="AH28" s="1402"/>
      <c r="AI28" s="1573"/>
      <c r="AJ28" s="14"/>
      <c r="AK28" s="1"/>
    </row>
    <row r="29" spans="2:37" s="7" customFormat="1" ht="15">
      <c r="B29" s="1" t="s">
        <v>187</v>
      </c>
      <c r="D29" s="1399"/>
      <c r="E29" s="1399"/>
      <c r="F29" s="1399" t="s">
        <v>200</v>
      </c>
      <c r="G29" s="1399"/>
      <c r="H29" s="1399"/>
      <c r="I29" s="1399"/>
      <c r="J29" s="1404">
        <f>SUM(J10:J28)</f>
        <v>4950211.58</v>
      </c>
      <c r="K29" s="1405"/>
      <c r="L29" s="1404">
        <f>SUM(L10:L28)</f>
        <v>5080210.9900000012</v>
      </c>
      <c r="M29" s="1405"/>
      <c r="N29" s="1404">
        <f>SUM(N10:N28)</f>
        <v>4856208.1900000004</v>
      </c>
      <c r="O29" s="1405"/>
      <c r="P29" s="1404">
        <f>SUM(P10:P28)</f>
        <v>5216762.12</v>
      </c>
      <c r="Q29" s="1405"/>
      <c r="R29" s="1404">
        <f>SUM(R10:R28)</f>
        <v>5294929.8100000005</v>
      </c>
      <c r="S29" s="1405"/>
      <c r="T29" s="1404">
        <f>SUM(T10:T28)</f>
        <v>5317901.53</v>
      </c>
      <c r="U29" s="1405"/>
      <c r="V29" s="1404">
        <f>SUM(V10:V28)</f>
        <v>5269814.1000000006</v>
      </c>
      <c r="W29" s="1405"/>
      <c r="X29" s="1404">
        <f>SUM(X10:X28)</f>
        <v>5268713.3000000007</v>
      </c>
      <c r="Y29" s="1405"/>
      <c r="Z29" s="1404">
        <f>SUM(Z10:Z28)</f>
        <v>5330686.9399999995</v>
      </c>
      <c r="AA29" s="1405"/>
      <c r="AB29" s="1404">
        <f>SUM(AB10:AB28)</f>
        <v>5490736.9300000006</v>
      </c>
      <c r="AC29" s="1405"/>
      <c r="AD29" s="1404">
        <f>SUM(AD10:AD28)</f>
        <v>5212885.0399999991</v>
      </c>
      <c r="AE29" s="1405"/>
      <c r="AF29" s="1404">
        <f>SUM(AF10:AF28)</f>
        <v>5239556.9499999993</v>
      </c>
      <c r="AG29" s="1405"/>
      <c r="AH29" s="1404">
        <f>SUM(AH10:AH28)</f>
        <v>62528617.480000004</v>
      </c>
      <c r="AI29" s="1574">
        <f>IF(AH$61=0,0,AH29/AH$61)</f>
        <v>0.99757840823087751</v>
      </c>
      <c r="AJ29" s="14"/>
      <c r="AK29" s="1"/>
    </row>
    <row r="30" spans="2:37" s="7" customFormat="1" ht="15" outlineLevel="1">
      <c r="B30" s="34" t="s">
        <v>187</v>
      </c>
      <c r="D30" s="1399"/>
      <c r="E30" s="1399"/>
      <c r="F30" s="1399"/>
      <c r="G30" s="1399"/>
      <c r="H30" s="1399"/>
      <c r="I30" s="1399"/>
      <c r="J30" s="1406"/>
      <c r="K30" s="1405"/>
      <c r="L30" s="1406"/>
      <c r="M30" s="1405"/>
      <c r="N30" s="1406"/>
      <c r="O30" s="1405"/>
      <c r="P30" s="1406"/>
      <c r="Q30" s="1405"/>
      <c r="R30" s="1406"/>
      <c r="S30" s="1405"/>
      <c r="T30" s="1406"/>
      <c r="U30" s="1405"/>
      <c r="V30" s="1406"/>
      <c r="W30" s="1405"/>
      <c r="X30" s="1406"/>
      <c r="Y30" s="1405"/>
      <c r="Z30" s="1406"/>
      <c r="AA30" s="1405"/>
      <c r="AB30" s="1406"/>
      <c r="AC30" s="1405"/>
      <c r="AD30" s="1406"/>
      <c r="AE30" s="1405"/>
      <c r="AF30" s="1406"/>
      <c r="AG30" s="1405"/>
      <c r="AH30" s="1406"/>
      <c r="AI30" s="1573"/>
      <c r="AJ30" s="14"/>
      <c r="AK30" s="1"/>
    </row>
    <row r="31" spans="2:37" outlineLevel="1">
      <c r="B31" s="71" t="s">
        <v>381</v>
      </c>
      <c r="D31" s="1396"/>
      <c r="E31" s="1396"/>
      <c r="F31" s="1397"/>
      <c r="G31" s="1398"/>
      <c r="H31" s="1399"/>
      <c r="I31" s="1400"/>
      <c r="J31" s="1401"/>
      <c r="K31" s="1400"/>
      <c r="L31" s="1401"/>
      <c r="M31" s="1400"/>
      <c r="N31" s="1401"/>
      <c r="O31" s="1400"/>
      <c r="P31" s="1401"/>
      <c r="Q31" s="1400"/>
      <c r="R31" s="1401"/>
      <c r="S31" s="1400"/>
      <c r="T31" s="1401"/>
      <c r="U31" s="1400"/>
      <c r="V31" s="1401"/>
      <c r="W31" s="1400"/>
      <c r="X31" s="1401"/>
      <c r="Y31" s="1400"/>
      <c r="Z31" s="1401"/>
      <c r="AA31" s="1400"/>
      <c r="AB31" s="1401"/>
      <c r="AC31" s="1400"/>
      <c r="AD31" s="1401"/>
      <c r="AE31" s="1400"/>
      <c r="AF31" s="1401"/>
      <c r="AG31" s="1400"/>
      <c r="AH31" s="1401">
        <f>AF31+AD31+AB31+Z31+X31+V31+T31+R31+P31+N31+L31+J31</f>
        <v>0</v>
      </c>
      <c r="AI31" s="1574">
        <f>IF(AH$61=0,0,AH31/AH$61)</f>
        <v>0</v>
      </c>
      <c r="AJ31" s="11"/>
    </row>
    <row r="32" spans="2:37" s="7" customFormat="1" ht="5.0999999999999996" customHeight="1" outlineLevel="1">
      <c r="B32" s="34" t="s">
        <v>187</v>
      </c>
      <c r="D32" s="1397"/>
      <c r="E32" s="1397"/>
      <c r="F32" s="1397"/>
      <c r="G32" s="1397"/>
      <c r="H32" s="1399"/>
      <c r="I32" s="1399"/>
      <c r="J32" s="1407"/>
      <c r="K32" s="1405"/>
      <c r="L32" s="1407"/>
      <c r="M32" s="1405"/>
      <c r="N32" s="1407"/>
      <c r="O32" s="1405"/>
      <c r="P32" s="1407"/>
      <c r="Q32" s="1405"/>
      <c r="R32" s="1407"/>
      <c r="S32" s="1405"/>
      <c r="T32" s="1407"/>
      <c r="U32" s="1405"/>
      <c r="V32" s="1407"/>
      <c r="W32" s="1405"/>
      <c r="X32" s="1407"/>
      <c r="Y32" s="1405"/>
      <c r="Z32" s="1407"/>
      <c r="AA32" s="1405"/>
      <c r="AB32" s="1407"/>
      <c r="AC32" s="1405"/>
      <c r="AD32" s="1407"/>
      <c r="AE32" s="1405"/>
      <c r="AF32" s="1407"/>
      <c r="AG32" s="1405"/>
      <c r="AH32" s="1407"/>
      <c r="AI32" s="1573"/>
      <c r="AJ32" s="14"/>
      <c r="AK32" s="1"/>
    </row>
    <row r="33" spans="2:37" s="7" customFormat="1" ht="15">
      <c r="B33" s="1" t="s">
        <v>187</v>
      </c>
      <c r="D33" s="1399"/>
      <c r="E33" s="1399"/>
      <c r="F33" s="1397" t="s">
        <v>202</v>
      </c>
      <c r="G33" s="1399"/>
      <c r="H33" s="1399"/>
      <c r="I33" s="1399"/>
      <c r="J33" s="1404">
        <f>SUM(J31:J32)</f>
        <v>0</v>
      </c>
      <c r="K33" s="1405"/>
      <c r="L33" s="1404">
        <f>SUM(L31:L32)</f>
        <v>0</v>
      </c>
      <c r="M33" s="1405"/>
      <c r="N33" s="1404">
        <f>SUM(N31:N32)</f>
        <v>0</v>
      </c>
      <c r="O33" s="1405"/>
      <c r="P33" s="1404">
        <f>SUM(P31:P32)</f>
        <v>0</v>
      </c>
      <c r="Q33" s="1405"/>
      <c r="R33" s="1404">
        <f>SUM(R31:R32)</f>
        <v>0</v>
      </c>
      <c r="S33" s="1405"/>
      <c r="T33" s="1404">
        <f>SUM(T31:T32)</f>
        <v>0</v>
      </c>
      <c r="U33" s="1405"/>
      <c r="V33" s="1404">
        <f>SUM(V31:V32)</f>
        <v>0</v>
      </c>
      <c r="W33" s="1405"/>
      <c r="X33" s="1404">
        <f>SUM(X31:X32)</f>
        <v>0</v>
      </c>
      <c r="Y33" s="1405"/>
      <c r="Z33" s="1404">
        <f>SUM(Z31:Z32)</f>
        <v>0</v>
      </c>
      <c r="AA33" s="1405"/>
      <c r="AB33" s="1404">
        <f>SUM(AB31:AB32)</f>
        <v>0</v>
      </c>
      <c r="AC33" s="1405"/>
      <c r="AD33" s="1404">
        <f>SUM(AD31:AD32)</f>
        <v>0</v>
      </c>
      <c r="AE33" s="1405"/>
      <c r="AF33" s="1404">
        <f>SUM(AF31:AF32)</f>
        <v>0</v>
      </c>
      <c r="AG33" s="1405"/>
      <c r="AH33" s="1404">
        <f>SUM(AH31:AH32)</f>
        <v>0</v>
      </c>
      <c r="AI33" s="1574">
        <f>IF(AH$61=0,0,AH33/AH$61)</f>
        <v>0</v>
      </c>
      <c r="AJ33" s="14"/>
      <c r="AK33" s="1"/>
    </row>
    <row r="34" spans="2:37" s="7" customFormat="1" ht="15" outlineLevel="1">
      <c r="B34" s="1"/>
      <c r="D34" s="1399"/>
      <c r="E34" s="1399"/>
      <c r="F34" s="1399"/>
      <c r="G34" s="1399"/>
      <c r="H34" s="1399"/>
      <c r="I34" s="1399"/>
      <c r="J34" s="1406"/>
      <c r="K34" s="1405"/>
      <c r="L34" s="1406"/>
      <c r="M34" s="1405"/>
      <c r="N34" s="1406"/>
      <c r="O34" s="1405"/>
      <c r="P34" s="1406"/>
      <c r="Q34" s="1405"/>
      <c r="R34" s="1406"/>
      <c r="S34" s="1405"/>
      <c r="T34" s="1406"/>
      <c r="U34" s="1405"/>
      <c r="V34" s="1406"/>
      <c r="W34" s="1405"/>
      <c r="X34" s="1406"/>
      <c r="Y34" s="1405"/>
      <c r="Z34" s="1406"/>
      <c r="AA34" s="1405"/>
      <c r="AB34" s="1406"/>
      <c r="AC34" s="1405"/>
      <c r="AD34" s="1406"/>
      <c r="AE34" s="1405"/>
      <c r="AF34" s="1406"/>
      <c r="AG34" s="1405"/>
      <c r="AH34" s="1406"/>
      <c r="AI34" s="1573"/>
      <c r="AJ34" s="14"/>
      <c r="AK34" s="1"/>
    </row>
    <row r="35" spans="2:37" s="7" customFormat="1" ht="15" outlineLevel="1">
      <c r="B35" s="1" t="s">
        <v>187</v>
      </c>
      <c r="D35" s="1399"/>
      <c r="E35" s="1399"/>
      <c r="F35" s="1399"/>
      <c r="G35" s="1399"/>
      <c r="H35" s="1399"/>
      <c r="I35" s="1399"/>
      <c r="J35" s="1406"/>
      <c r="K35" s="1405"/>
      <c r="L35" s="1406"/>
      <c r="M35" s="1405"/>
      <c r="N35" s="1406"/>
      <c r="O35" s="1405"/>
      <c r="P35" s="1406"/>
      <c r="Q35" s="1405"/>
      <c r="R35" s="1406"/>
      <c r="S35" s="1405"/>
      <c r="T35" s="1406"/>
      <c r="U35" s="1405"/>
      <c r="V35" s="1406"/>
      <c r="W35" s="1405"/>
      <c r="X35" s="1406"/>
      <c r="Y35" s="1405"/>
      <c r="Z35" s="1406"/>
      <c r="AA35" s="1405"/>
      <c r="AB35" s="1406"/>
      <c r="AC35" s="1405"/>
      <c r="AD35" s="1406"/>
      <c r="AE35" s="1405"/>
      <c r="AF35" s="1406"/>
      <c r="AG35" s="1405"/>
      <c r="AH35" s="1406"/>
      <c r="AI35" s="1573"/>
      <c r="AJ35" s="14"/>
      <c r="AK35" s="1"/>
    </row>
    <row r="36" spans="2:37" outlineLevel="1">
      <c r="B36" s="71" t="s">
        <v>382</v>
      </c>
      <c r="D36" s="1396">
        <v>35510</v>
      </c>
      <c r="E36" s="1396" t="s">
        <v>203</v>
      </c>
      <c r="F36" s="1397"/>
      <c r="G36" s="1398"/>
      <c r="H36" s="1399"/>
      <c r="I36" s="1400"/>
      <c r="J36" s="1401">
        <v>1785.04</v>
      </c>
      <c r="K36" s="1400"/>
      <c r="L36" s="1401">
        <v>1780.32</v>
      </c>
      <c r="M36" s="1400"/>
      <c r="N36" s="1401">
        <v>878.18</v>
      </c>
      <c r="O36" s="1400"/>
      <c r="P36" s="1401">
        <v>848.15</v>
      </c>
      <c r="Q36" s="1400"/>
      <c r="R36" s="1401">
        <v>462.72</v>
      </c>
      <c r="S36" s="1400"/>
      <c r="T36" s="1401">
        <v>236.24</v>
      </c>
      <c r="U36" s="1400"/>
      <c r="V36" s="1401">
        <v>340.68</v>
      </c>
      <c r="W36" s="1400"/>
      <c r="X36" s="1401">
        <v>449.16</v>
      </c>
      <c r="Y36" s="1400"/>
      <c r="Z36" s="1401">
        <v>763.35</v>
      </c>
      <c r="AA36" s="1400"/>
      <c r="AB36" s="1401">
        <v>644.16</v>
      </c>
      <c r="AC36" s="1400"/>
      <c r="AD36" s="1401">
        <v>400.62</v>
      </c>
      <c r="AE36" s="1400"/>
      <c r="AF36" s="1401">
        <v>186.54</v>
      </c>
      <c r="AG36" s="1400"/>
      <c r="AH36" s="1401">
        <f t="shared" ref="AH36:AH42" si="2">AF36+AD36+AB36+Z36+X36+V36+T36+R36+P36+N36+L36+J36</f>
        <v>8775.16</v>
      </c>
      <c r="AI36" s="1574">
        <f t="shared" ref="AI36:AI42" si="3">IF(AH$61=0,0,AH36/AH$61)</f>
        <v>1.3999845986633618E-4</v>
      </c>
      <c r="AJ36" s="11"/>
    </row>
    <row r="37" spans="2:37" outlineLevel="1">
      <c r="B37" s="71" t="s">
        <v>380</v>
      </c>
      <c r="D37" s="1396">
        <v>35512</v>
      </c>
      <c r="E37" s="1396" t="s">
        <v>651</v>
      </c>
      <c r="F37" s="1397"/>
      <c r="G37" s="1398"/>
      <c r="H37" s="1399"/>
      <c r="I37" s="1400"/>
      <c r="J37" s="1401">
        <v>0</v>
      </c>
      <c r="K37" s="1400"/>
      <c r="L37" s="1401">
        <v>0</v>
      </c>
      <c r="M37" s="1400"/>
      <c r="N37" s="1401">
        <v>0</v>
      </c>
      <c r="O37" s="1400"/>
      <c r="P37" s="1401">
        <v>0</v>
      </c>
      <c r="Q37" s="1400"/>
      <c r="R37" s="1401">
        <v>0</v>
      </c>
      <c r="S37" s="1400"/>
      <c r="T37" s="1401">
        <v>0</v>
      </c>
      <c r="U37" s="1400"/>
      <c r="V37" s="1401">
        <v>0</v>
      </c>
      <c r="W37" s="1400"/>
      <c r="X37" s="1401">
        <v>0</v>
      </c>
      <c r="Y37" s="1400"/>
      <c r="Z37" s="1401">
        <v>0</v>
      </c>
      <c r="AA37" s="1400"/>
      <c r="AB37" s="1401">
        <v>0</v>
      </c>
      <c r="AC37" s="1400"/>
      <c r="AD37" s="1401">
        <v>0</v>
      </c>
      <c r="AE37" s="1400"/>
      <c r="AF37" s="1401">
        <v>0</v>
      </c>
      <c r="AG37" s="1400"/>
      <c r="AH37" s="1401">
        <f t="shared" si="2"/>
        <v>0</v>
      </c>
      <c r="AI37" s="1574">
        <f t="shared" si="3"/>
        <v>0</v>
      </c>
      <c r="AJ37" s="11"/>
    </row>
    <row r="38" spans="2:37" outlineLevel="1">
      <c r="B38" s="71" t="s">
        <v>380</v>
      </c>
      <c r="D38" s="1396">
        <v>35514</v>
      </c>
      <c r="E38" s="1396" t="s">
        <v>652</v>
      </c>
      <c r="F38" s="1397"/>
      <c r="G38" s="1398"/>
      <c r="H38" s="1399"/>
      <c r="I38" s="1400"/>
      <c r="J38" s="1401">
        <v>6484.3</v>
      </c>
      <c r="K38" s="1400"/>
      <c r="L38" s="1401">
        <v>11710.3</v>
      </c>
      <c r="M38" s="1400"/>
      <c r="N38" s="1401">
        <v>-11710.3</v>
      </c>
      <c r="O38" s="1400"/>
      <c r="P38" s="1401">
        <v>0</v>
      </c>
      <c r="Q38" s="1400"/>
      <c r="R38" s="1401">
        <v>0</v>
      </c>
      <c r="S38" s="1400"/>
      <c r="T38" s="1401">
        <v>0</v>
      </c>
      <c r="U38" s="1400"/>
      <c r="V38" s="1401">
        <v>0</v>
      </c>
      <c r="W38" s="1400"/>
      <c r="X38" s="1401">
        <v>0</v>
      </c>
      <c r="Y38" s="1400"/>
      <c r="Z38" s="1401">
        <v>0</v>
      </c>
      <c r="AA38" s="1400"/>
      <c r="AB38" s="1401">
        <v>0</v>
      </c>
      <c r="AC38" s="1400"/>
      <c r="AD38" s="1401">
        <v>0</v>
      </c>
      <c r="AE38" s="1400"/>
      <c r="AF38" s="1401">
        <v>0</v>
      </c>
      <c r="AG38" s="1400"/>
      <c r="AH38" s="1401">
        <f t="shared" si="2"/>
        <v>6484.3</v>
      </c>
      <c r="AI38" s="1574">
        <f t="shared" si="3"/>
        <v>1.0345019501767304E-4</v>
      </c>
      <c r="AJ38" s="11"/>
    </row>
    <row r="39" spans="2:37" outlineLevel="1">
      <c r="B39" s="71" t="s">
        <v>380</v>
      </c>
      <c r="D39" s="1396">
        <v>35517</v>
      </c>
      <c r="E39" s="1396" t="s">
        <v>205</v>
      </c>
      <c r="F39" s="1397"/>
      <c r="G39" s="1398"/>
      <c r="H39" s="1399"/>
      <c r="I39" s="1400"/>
      <c r="J39" s="1401">
        <v>18104.689999999999</v>
      </c>
      <c r="K39" s="1400"/>
      <c r="L39" s="1401">
        <v>13271.71</v>
      </c>
      <c r="M39" s="1400"/>
      <c r="N39" s="1401">
        <v>24567.9</v>
      </c>
      <c r="O39" s="1400"/>
      <c r="P39" s="1401">
        <v>31146.06</v>
      </c>
      <c r="Q39" s="1400"/>
      <c r="R39" s="1401">
        <v>22620.720000000001</v>
      </c>
      <c r="S39" s="1400"/>
      <c r="T39" s="1401">
        <v>22157.599999999999</v>
      </c>
      <c r="U39" s="1400"/>
      <c r="V39" s="1401">
        <v>17392.009999999998</v>
      </c>
      <c r="W39" s="1400"/>
      <c r="X39" s="1401">
        <v>23124.1</v>
      </c>
      <c r="Y39" s="1400"/>
      <c r="Z39" s="1401">
        <v>20864.34</v>
      </c>
      <c r="AA39" s="1400"/>
      <c r="AB39" s="1401">
        <v>27186.13</v>
      </c>
      <c r="AC39" s="1400"/>
      <c r="AD39" s="1401">
        <v>22984.5</v>
      </c>
      <c r="AE39" s="1400"/>
      <c r="AF39" s="1401">
        <v>16450.47</v>
      </c>
      <c r="AG39" s="1400"/>
      <c r="AH39" s="1401">
        <f t="shared" si="2"/>
        <v>259870.22999999998</v>
      </c>
      <c r="AI39" s="1574">
        <f t="shared" si="3"/>
        <v>4.1459565369874225E-3</v>
      </c>
      <c r="AJ39" s="11"/>
    </row>
    <row r="40" spans="2:37" outlineLevel="1">
      <c r="B40" s="71" t="s">
        <v>380</v>
      </c>
      <c r="D40" s="1396">
        <v>35518</v>
      </c>
      <c r="E40" s="1396" t="s">
        <v>206</v>
      </c>
      <c r="F40" s="1397"/>
      <c r="G40" s="1398"/>
      <c r="H40" s="1399"/>
      <c r="I40" s="1400"/>
      <c r="J40" s="1401">
        <v>0</v>
      </c>
      <c r="K40" s="1400"/>
      <c r="L40" s="1401">
        <v>0</v>
      </c>
      <c r="M40" s="1400"/>
      <c r="N40" s="1401">
        <v>0</v>
      </c>
      <c r="O40" s="1400"/>
      <c r="P40" s="1401">
        <v>0</v>
      </c>
      <c r="Q40" s="1400"/>
      <c r="R40" s="1401">
        <v>0</v>
      </c>
      <c r="S40" s="1400"/>
      <c r="T40" s="1401">
        <v>0</v>
      </c>
      <c r="U40" s="1400"/>
      <c r="V40" s="1401">
        <v>0</v>
      </c>
      <c r="W40" s="1400"/>
      <c r="X40" s="1401">
        <v>0</v>
      </c>
      <c r="Y40" s="1400"/>
      <c r="Z40" s="1401">
        <v>0</v>
      </c>
      <c r="AA40" s="1400"/>
      <c r="AB40" s="1401">
        <v>0</v>
      </c>
      <c r="AC40" s="1400"/>
      <c r="AD40" s="1401">
        <v>0</v>
      </c>
      <c r="AE40" s="1400"/>
      <c r="AF40" s="1401">
        <v>0</v>
      </c>
      <c r="AG40" s="1400"/>
      <c r="AH40" s="1401">
        <f t="shared" si="2"/>
        <v>0</v>
      </c>
      <c r="AI40" s="1574">
        <f t="shared" si="3"/>
        <v>0</v>
      </c>
      <c r="AJ40" s="11"/>
    </row>
    <row r="41" spans="2:37" outlineLevel="1">
      <c r="B41" s="71" t="s">
        <v>380</v>
      </c>
      <c r="D41" s="1396">
        <v>35527</v>
      </c>
      <c r="E41" s="1396" t="s">
        <v>207</v>
      </c>
      <c r="F41" s="1397"/>
      <c r="G41" s="1398"/>
      <c r="H41" s="1399"/>
      <c r="I41" s="1400"/>
      <c r="J41" s="1401">
        <v>-22389.56</v>
      </c>
      <c r="K41" s="1400"/>
      <c r="L41" s="1401">
        <v>-18150.96</v>
      </c>
      <c r="M41" s="1400"/>
      <c r="N41" s="1401">
        <v>-13488.04</v>
      </c>
      <c r="O41" s="1400"/>
      <c r="P41" s="1401">
        <v>-26231.07</v>
      </c>
      <c r="Q41" s="1400"/>
      <c r="R41" s="1401">
        <v>-19488.849999999999</v>
      </c>
      <c r="S41" s="1400"/>
      <c r="T41" s="1401">
        <v>-15784.4</v>
      </c>
      <c r="U41" s="1400"/>
      <c r="V41" s="1401">
        <v>-13858.15</v>
      </c>
      <c r="W41" s="1400"/>
      <c r="X41" s="1401">
        <v>-18878.150000000001</v>
      </c>
      <c r="Y41" s="1400"/>
      <c r="Z41" s="1401">
        <v>-16504.2</v>
      </c>
      <c r="AA41" s="1400"/>
      <c r="AB41" s="1401">
        <v>-21621.34</v>
      </c>
      <c r="AC41" s="1400"/>
      <c r="AD41" s="1401">
        <v>-18205.310000000001</v>
      </c>
      <c r="AE41" s="1400"/>
      <c r="AF41" s="1401">
        <v>-13079.36</v>
      </c>
      <c r="AG41" s="1400"/>
      <c r="AH41" s="1401">
        <f t="shared" si="2"/>
        <v>-217679.39</v>
      </c>
      <c r="AI41" s="1574">
        <f t="shared" si="3"/>
        <v>-3.4728460044766755E-3</v>
      </c>
      <c r="AJ41" s="11"/>
    </row>
    <row r="42" spans="2:37" outlineLevel="1">
      <c r="B42" s="71" t="s">
        <v>380</v>
      </c>
      <c r="D42" s="1396">
        <v>35564</v>
      </c>
      <c r="E42" s="1396" t="s">
        <v>653</v>
      </c>
      <c r="F42" s="1397"/>
      <c r="G42" s="1398"/>
      <c r="H42" s="1399"/>
      <c r="I42" s="1400"/>
      <c r="J42" s="1401">
        <v>0</v>
      </c>
      <c r="K42" s="1400"/>
      <c r="L42" s="1401">
        <v>0</v>
      </c>
      <c r="M42" s="1400"/>
      <c r="N42" s="1401">
        <v>0</v>
      </c>
      <c r="O42" s="1400"/>
      <c r="P42" s="1401">
        <v>68</v>
      </c>
      <c r="Q42" s="1400"/>
      <c r="R42" s="1401">
        <v>0</v>
      </c>
      <c r="S42" s="1400"/>
      <c r="T42" s="1401">
        <v>0</v>
      </c>
      <c r="U42" s="1400"/>
      <c r="V42" s="1401">
        <v>37.700000000000003</v>
      </c>
      <c r="W42" s="1400"/>
      <c r="X42" s="1401">
        <v>139.30000000000001</v>
      </c>
      <c r="Y42" s="1400"/>
      <c r="Z42" s="1401">
        <v>0</v>
      </c>
      <c r="AA42" s="1400"/>
      <c r="AB42" s="1401">
        <v>0</v>
      </c>
      <c r="AC42" s="1400"/>
      <c r="AD42" s="1401">
        <v>0</v>
      </c>
      <c r="AE42" s="1400"/>
      <c r="AF42" s="1401">
        <v>0</v>
      </c>
      <c r="AG42" s="1400"/>
      <c r="AH42" s="1401">
        <f t="shared" si="2"/>
        <v>245</v>
      </c>
      <c r="AI42" s="1574">
        <f t="shared" si="3"/>
        <v>3.9087176378837949E-6</v>
      </c>
      <c r="AJ42" s="11"/>
    </row>
    <row r="43" spans="2:37" s="7" customFormat="1" ht="5.0999999999999996" customHeight="1" outlineLevel="1">
      <c r="B43" s="34" t="s">
        <v>187</v>
      </c>
      <c r="D43" s="1397"/>
      <c r="E43" s="1397"/>
      <c r="F43" s="1397"/>
      <c r="G43" s="1397"/>
      <c r="H43" s="1399"/>
      <c r="I43" s="1399"/>
      <c r="J43" s="1407"/>
      <c r="K43" s="1405"/>
      <c r="L43" s="1407"/>
      <c r="M43" s="1405"/>
      <c r="N43" s="1407"/>
      <c r="O43" s="1405"/>
      <c r="P43" s="1407"/>
      <c r="Q43" s="1405"/>
      <c r="R43" s="1407"/>
      <c r="S43" s="1405"/>
      <c r="T43" s="1407"/>
      <c r="U43" s="1405"/>
      <c r="V43" s="1407"/>
      <c r="W43" s="1405"/>
      <c r="X43" s="1407"/>
      <c r="Y43" s="1405"/>
      <c r="Z43" s="1407"/>
      <c r="AA43" s="1405"/>
      <c r="AB43" s="1407"/>
      <c r="AC43" s="1405"/>
      <c r="AD43" s="1407"/>
      <c r="AE43" s="1405"/>
      <c r="AF43" s="1407"/>
      <c r="AG43" s="1405"/>
      <c r="AH43" s="1407"/>
      <c r="AI43" s="1573"/>
      <c r="AJ43" s="14"/>
      <c r="AK43" s="1"/>
    </row>
    <row r="44" spans="2:37" s="7" customFormat="1" ht="15">
      <c r="B44" s="1" t="s">
        <v>187</v>
      </c>
      <c r="D44" s="1399"/>
      <c r="E44" s="1399"/>
      <c r="F44" s="1397" t="s">
        <v>208</v>
      </c>
      <c r="G44" s="1399"/>
      <c r="H44" s="1399"/>
      <c r="I44" s="1399"/>
      <c r="J44" s="1404">
        <f>SUM(J35:J43)</f>
        <v>3984.4699999999975</v>
      </c>
      <c r="K44" s="1405"/>
      <c r="L44" s="1404">
        <f>SUM(L35:L43)</f>
        <v>8611.369999999999</v>
      </c>
      <c r="M44" s="1405"/>
      <c r="N44" s="1404">
        <f>SUM(N35:N43)</f>
        <v>247.7400000000016</v>
      </c>
      <c r="O44" s="1405"/>
      <c r="P44" s="1404">
        <f>SUM(P35:P43)</f>
        <v>5831.1400000000031</v>
      </c>
      <c r="Q44" s="1405"/>
      <c r="R44" s="1404">
        <f>SUM(R35:R43)</f>
        <v>3594.5900000000038</v>
      </c>
      <c r="S44" s="1405"/>
      <c r="T44" s="1404">
        <f>SUM(T35:T43)</f>
        <v>6609.4400000000005</v>
      </c>
      <c r="U44" s="1405"/>
      <c r="V44" s="1404">
        <f>SUM(V35:V43)</f>
        <v>3912.2399999999989</v>
      </c>
      <c r="W44" s="1405"/>
      <c r="X44" s="1404">
        <f>SUM(X35:X43)</f>
        <v>4834.4099999999971</v>
      </c>
      <c r="Y44" s="1405"/>
      <c r="Z44" s="1404">
        <f>SUM(Z35:Z43)</f>
        <v>5123.489999999998</v>
      </c>
      <c r="AA44" s="1405"/>
      <c r="AB44" s="1404">
        <f>SUM(AB35:AB43)</f>
        <v>6208.9500000000007</v>
      </c>
      <c r="AC44" s="1405"/>
      <c r="AD44" s="1404">
        <f>SUM(AD35:AD43)</f>
        <v>5179.8099999999977</v>
      </c>
      <c r="AE44" s="1405"/>
      <c r="AF44" s="1404">
        <f>SUM(AF35:AF43)</f>
        <v>3557.6500000000015</v>
      </c>
      <c r="AG44" s="1405"/>
      <c r="AH44" s="1404">
        <f>SUM(AH35:AH43)</f>
        <v>57695.299999999988</v>
      </c>
      <c r="AI44" s="1574">
        <f>IF(AH$61=0,0,AH44/AH$61)</f>
        <v>9.2046790503264031E-4</v>
      </c>
      <c r="AJ44" s="14"/>
      <c r="AK44" s="1"/>
    </row>
    <row r="45" spans="2:37" s="7" customFormat="1" ht="15" outlineLevel="1">
      <c r="B45" s="1"/>
      <c r="D45" s="1397"/>
      <c r="E45" s="1397"/>
      <c r="F45" s="1397"/>
      <c r="G45" s="1397"/>
      <c r="H45" s="1399"/>
      <c r="I45" s="1399"/>
      <c r="J45" s="1406"/>
      <c r="K45" s="1405"/>
      <c r="L45" s="1406"/>
      <c r="M45" s="1405"/>
      <c r="N45" s="1406"/>
      <c r="O45" s="1405"/>
      <c r="P45" s="1406"/>
      <c r="Q45" s="1405"/>
      <c r="R45" s="1406"/>
      <c r="S45" s="1405"/>
      <c r="T45" s="1406"/>
      <c r="U45" s="1405"/>
      <c r="V45" s="1406"/>
      <c r="W45" s="1405"/>
      <c r="X45" s="1406"/>
      <c r="Y45" s="1405"/>
      <c r="Z45" s="1406"/>
      <c r="AA45" s="1405"/>
      <c r="AB45" s="1406"/>
      <c r="AC45" s="1405"/>
      <c r="AD45" s="1406"/>
      <c r="AE45" s="1405"/>
      <c r="AF45" s="1406"/>
      <c r="AG45" s="1405"/>
      <c r="AH45" s="1406"/>
      <c r="AI45" s="1573"/>
      <c r="AJ45" s="14"/>
      <c r="AK45" s="1"/>
    </row>
    <row r="46" spans="2:37" s="7" customFormat="1" ht="15" outlineLevel="1">
      <c r="B46" s="1" t="s">
        <v>187</v>
      </c>
      <c r="D46" s="1399"/>
      <c r="E46" s="1399"/>
      <c r="F46" s="1399"/>
      <c r="G46" s="1399"/>
      <c r="H46" s="1399"/>
      <c r="I46" s="1399"/>
      <c r="J46" s="1406"/>
      <c r="K46" s="1405"/>
      <c r="L46" s="1406"/>
      <c r="M46" s="1405"/>
      <c r="N46" s="1406"/>
      <c r="O46" s="1405"/>
      <c r="P46" s="1406"/>
      <c r="Q46" s="1405"/>
      <c r="R46" s="1406"/>
      <c r="S46" s="1405"/>
      <c r="T46" s="1406"/>
      <c r="U46" s="1405"/>
      <c r="V46" s="1406"/>
      <c r="W46" s="1405"/>
      <c r="X46" s="1406"/>
      <c r="Y46" s="1405"/>
      <c r="Z46" s="1406"/>
      <c r="AA46" s="1405"/>
      <c r="AB46" s="1406"/>
      <c r="AC46" s="1405"/>
      <c r="AD46" s="1406"/>
      <c r="AE46" s="1405"/>
      <c r="AF46" s="1406"/>
      <c r="AG46" s="1405"/>
      <c r="AH46" s="1406"/>
      <c r="AI46" s="1573"/>
      <c r="AJ46" s="14"/>
      <c r="AK46" s="1"/>
    </row>
    <row r="47" spans="2:37" outlineLevel="1">
      <c r="B47" s="71" t="s">
        <v>383</v>
      </c>
      <c r="D47" s="1396"/>
      <c r="E47" s="1396"/>
      <c r="F47" s="1397"/>
      <c r="G47" s="1398"/>
      <c r="H47" s="1399"/>
      <c r="I47" s="1400"/>
      <c r="J47" s="1401"/>
      <c r="K47" s="1400"/>
      <c r="L47" s="1401"/>
      <c r="M47" s="1400"/>
      <c r="N47" s="1401"/>
      <c r="O47" s="1400"/>
      <c r="P47" s="1401"/>
      <c r="Q47" s="1400"/>
      <c r="R47" s="1401"/>
      <c r="S47" s="1400"/>
      <c r="T47" s="1401"/>
      <c r="U47" s="1400"/>
      <c r="V47" s="1401"/>
      <c r="W47" s="1400"/>
      <c r="X47" s="1401"/>
      <c r="Y47" s="1400"/>
      <c r="Z47" s="1401"/>
      <c r="AA47" s="1400"/>
      <c r="AB47" s="1401"/>
      <c r="AC47" s="1400"/>
      <c r="AD47" s="1401"/>
      <c r="AE47" s="1400"/>
      <c r="AF47" s="1401"/>
      <c r="AG47" s="1400"/>
      <c r="AH47" s="1401">
        <f>AF47+AD47+AB47+Z47+X47+V47+T47+R47+P47+N47+L47+J47</f>
        <v>0</v>
      </c>
      <c r="AI47" s="1574">
        <f>IF(AH$61=0,0,AH47/AH$61)</f>
        <v>0</v>
      </c>
      <c r="AJ47" s="11"/>
    </row>
    <row r="48" spans="2:37" s="7" customFormat="1" ht="3.75" customHeight="1" outlineLevel="1">
      <c r="B48" s="34" t="s">
        <v>187</v>
      </c>
      <c r="D48" s="1397"/>
      <c r="E48" s="1397"/>
      <c r="F48" s="1397"/>
      <c r="G48" s="1397"/>
      <c r="H48" s="1399"/>
      <c r="I48" s="1399"/>
      <c r="J48" s="1407"/>
      <c r="K48" s="1405"/>
      <c r="L48" s="1407"/>
      <c r="M48" s="1405"/>
      <c r="N48" s="1407"/>
      <c r="O48" s="1405"/>
      <c r="P48" s="1407"/>
      <c r="Q48" s="1405"/>
      <c r="R48" s="1407"/>
      <c r="S48" s="1405"/>
      <c r="T48" s="1407"/>
      <c r="U48" s="1405"/>
      <c r="V48" s="1407"/>
      <c r="W48" s="1405"/>
      <c r="X48" s="1407"/>
      <c r="Y48" s="1405"/>
      <c r="Z48" s="1407"/>
      <c r="AA48" s="1405"/>
      <c r="AB48" s="1407"/>
      <c r="AC48" s="1405"/>
      <c r="AD48" s="1407"/>
      <c r="AE48" s="1405"/>
      <c r="AF48" s="1407"/>
      <c r="AG48" s="1405"/>
      <c r="AH48" s="1407"/>
      <c r="AI48" s="1573"/>
      <c r="AJ48" s="14"/>
      <c r="AK48" s="1"/>
    </row>
    <row r="49" spans="2:37" s="7" customFormat="1" ht="15">
      <c r="B49" s="1" t="s">
        <v>187</v>
      </c>
      <c r="D49" s="1399"/>
      <c r="E49" s="1399"/>
      <c r="F49" s="1397" t="s">
        <v>209</v>
      </c>
      <c r="G49" s="1399"/>
      <c r="H49" s="1399"/>
      <c r="I49" s="1399"/>
      <c r="J49" s="1404">
        <f>SUM(J46:J48)</f>
        <v>0</v>
      </c>
      <c r="K49" s="1405"/>
      <c r="L49" s="1404">
        <f>SUM(L46:L48)</f>
        <v>0</v>
      </c>
      <c r="M49" s="1405"/>
      <c r="N49" s="1404">
        <f>SUM(N46:N48)</f>
        <v>0</v>
      </c>
      <c r="O49" s="1405"/>
      <c r="P49" s="1404">
        <f>SUM(P46:P48)</f>
        <v>0</v>
      </c>
      <c r="Q49" s="1405"/>
      <c r="R49" s="1404">
        <f>SUM(R46:R48)</f>
        <v>0</v>
      </c>
      <c r="S49" s="1405"/>
      <c r="T49" s="1404">
        <f>SUM(T46:T48)</f>
        <v>0</v>
      </c>
      <c r="U49" s="1405"/>
      <c r="V49" s="1404">
        <f>SUM(V46:V48)</f>
        <v>0</v>
      </c>
      <c r="W49" s="1405"/>
      <c r="X49" s="1404">
        <f>SUM(X46:X48)</f>
        <v>0</v>
      </c>
      <c r="Y49" s="1405"/>
      <c r="Z49" s="1404">
        <f>SUM(Z46:Z48)</f>
        <v>0</v>
      </c>
      <c r="AA49" s="1405"/>
      <c r="AB49" s="1404">
        <f>SUM(AB46:AB48)</f>
        <v>0</v>
      </c>
      <c r="AC49" s="1405"/>
      <c r="AD49" s="1404">
        <f>SUM(AD46:AD48)</f>
        <v>0</v>
      </c>
      <c r="AE49" s="1405"/>
      <c r="AF49" s="1404">
        <f>SUM(AF46:AF48)</f>
        <v>0</v>
      </c>
      <c r="AG49" s="1405"/>
      <c r="AH49" s="1404">
        <f>SUM(AH46:AH48)</f>
        <v>0</v>
      </c>
      <c r="AI49" s="1574">
        <f>IF(AH$61=0,0,AH49/AH$61)</f>
        <v>0</v>
      </c>
      <c r="AJ49" s="14"/>
      <c r="AK49" s="1"/>
    </row>
    <row r="50" spans="2:37" s="7" customFormat="1" ht="15" outlineLevel="1">
      <c r="B50" s="34" t="s">
        <v>187</v>
      </c>
      <c r="D50" s="1399"/>
      <c r="E50" s="1399"/>
      <c r="F50" s="1399"/>
      <c r="G50" s="1399"/>
      <c r="H50" s="1399"/>
      <c r="I50" s="1399"/>
      <c r="J50" s="1406"/>
      <c r="K50" s="1405"/>
      <c r="L50" s="1406"/>
      <c r="M50" s="1405"/>
      <c r="N50" s="1406"/>
      <c r="O50" s="1405"/>
      <c r="P50" s="1406"/>
      <c r="Q50" s="1405"/>
      <c r="R50" s="1406"/>
      <c r="S50" s="1405"/>
      <c r="T50" s="1406"/>
      <c r="U50" s="1405"/>
      <c r="V50" s="1406"/>
      <c r="W50" s="1405"/>
      <c r="X50" s="1406"/>
      <c r="Y50" s="1405"/>
      <c r="Z50" s="1406"/>
      <c r="AA50" s="1405"/>
      <c r="AB50" s="1406"/>
      <c r="AC50" s="1405"/>
      <c r="AD50" s="1406"/>
      <c r="AE50" s="1405"/>
      <c r="AF50" s="1406"/>
      <c r="AG50" s="1405"/>
      <c r="AH50" s="1406"/>
      <c r="AI50" s="1573"/>
      <c r="AJ50" s="14"/>
      <c r="AK50" s="1"/>
    </row>
    <row r="51" spans="2:37" outlineLevel="1">
      <c r="B51" s="71" t="s">
        <v>384</v>
      </c>
      <c r="D51" s="1396"/>
      <c r="E51" s="1396"/>
      <c r="F51" s="1397"/>
      <c r="G51" s="1398"/>
      <c r="H51" s="1399"/>
      <c r="I51" s="1400"/>
      <c r="J51" s="1401"/>
      <c r="K51" s="1400"/>
      <c r="L51" s="1401"/>
      <c r="M51" s="1400"/>
      <c r="N51" s="1401"/>
      <c r="O51" s="1400"/>
      <c r="P51" s="1401"/>
      <c r="Q51" s="1400"/>
      <c r="R51" s="1401"/>
      <c r="S51" s="1400"/>
      <c r="T51" s="1401"/>
      <c r="U51" s="1400"/>
      <c r="V51" s="1401"/>
      <c r="W51" s="1400"/>
      <c r="X51" s="1401"/>
      <c r="Y51" s="1400"/>
      <c r="Z51" s="1401"/>
      <c r="AA51" s="1400"/>
      <c r="AB51" s="1401"/>
      <c r="AC51" s="1400"/>
      <c r="AD51" s="1401"/>
      <c r="AE51" s="1400"/>
      <c r="AF51" s="1401"/>
      <c r="AG51" s="1400"/>
      <c r="AH51" s="1401">
        <f>AF51+AD51+AB51+Z51+X51+V51+T51+R51+P51+N51+L51+J51</f>
        <v>0</v>
      </c>
      <c r="AI51" s="1574">
        <f>IF(AH$61=0,0,AH51/AH$61)</f>
        <v>0</v>
      </c>
      <c r="AJ51" s="11"/>
    </row>
    <row r="52" spans="2:37" s="7" customFormat="1" ht="3.75" customHeight="1" outlineLevel="1">
      <c r="B52" s="34" t="s">
        <v>187</v>
      </c>
      <c r="D52" s="1397"/>
      <c r="E52" s="1397"/>
      <c r="F52" s="1397"/>
      <c r="G52" s="1397"/>
      <c r="H52" s="1399"/>
      <c r="I52" s="1399"/>
      <c r="J52" s="1407"/>
      <c r="K52" s="1405"/>
      <c r="L52" s="1407"/>
      <c r="M52" s="1405"/>
      <c r="N52" s="1407"/>
      <c r="O52" s="1405"/>
      <c r="P52" s="1407"/>
      <c r="Q52" s="1405"/>
      <c r="R52" s="1407"/>
      <c r="S52" s="1405"/>
      <c r="T52" s="1407"/>
      <c r="U52" s="1405"/>
      <c r="V52" s="1407"/>
      <c r="W52" s="1405"/>
      <c r="X52" s="1407"/>
      <c r="Y52" s="1405"/>
      <c r="Z52" s="1407"/>
      <c r="AA52" s="1405"/>
      <c r="AB52" s="1407"/>
      <c r="AC52" s="1405"/>
      <c r="AD52" s="1407"/>
      <c r="AE52" s="1405"/>
      <c r="AF52" s="1407"/>
      <c r="AG52" s="1405"/>
      <c r="AH52" s="1407"/>
      <c r="AI52" s="1573"/>
      <c r="AJ52" s="14"/>
      <c r="AK52" s="1"/>
    </row>
    <row r="53" spans="2:37" s="7" customFormat="1" ht="15">
      <c r="B53" s="34"/>
      <c r="D53" s="1399"/>
      <c r="E53" s="1399"/>
      <c r="F53" s="1397" t="s">
        <v>210</v>
      </c>
      <c r="G53" s="1399"/>
      <c r="H53" s="1399"/>
      <c r="I53" s="1399"/>
      <c r="J53" s="1404">
        <f>SUM(J51:J52)</f>
        <v>0</v>
      </c>
      <c r="K53" s="1405"/>
      <c r="L53" s="1404">
        <f>SUM(L51:L52)</f>
        <v>0</v>
      </c>
      <c r="M53" s="1405"/>
      <c r="N53" s="1404">
        <f>SUM(N51:N52)</f>
        <v>0</v>
      </c>
      <c r="O53" s="1405"/>
      <c r="P53" s="1404">
        <f>SUM(P51:P52)</f>
        <v>0</v>
      </c>
      <c r="Q53" s="1405"/>
      <c r="R53" s="1404">
        <f>SUM(R51:R52)</f>
        <v>0</v>
      </c>
      <c r="S53" s="1405"/>
      <c r="T53" s="1404">
        <f>SUM(T51:T52)</f>
        <v>0</v>
      </c>
      <c r="U53" s="1405"/>
      <c r="V53" s="1404">
        <f>SUM(V51:V52)</f>
        <v>0</v>
      </c>
      <c r="W53" s="1405"/>
      <c r="X53" s="1404">
        <f>SUM(X51:X52)</f>
        <v>0</v>
      </c>
      <c r="Y53" s="1405"/>
      <c r="Z53" s="1404">
        <f>SUM(Z51:Z52)</f>
        <v>0</v>
      </c>
      <c r="AA53" s="1405"/>
      <c r="AB53" s="1404">
        <f>SUM(AB51:AB52)</f>
        <v>0</v>
      </c>
      <c r="AC53" s="1405"/>
      <c r="AD53" s="1404">
        <f>SUM(AD51:AD52)</f>
        <v>0</v>
      </c>
      <c r="AE53" s="1405"/>
      <c r="AF53" s="1404">
        <f>SUM(AF51:AF52)</f>
        <v>0</v>
      </c>
      <c r="AG53" s="1405"/>
      <c r="AH53" s="1404">
        <f>SUM(AH51:AH52)</f>
        <v>0</v>
      </c>
      <c r="AI53" s="1574">
        <f>IF(AH$61=0,0,AH53/AH$61)</f>
        <v>0</v>
      </c>
      <c r="AJ53" s="14"/>
      <c r="AK53" s="1"/>
    </row>
    <row r="54" spans="2:37" s="7" customFormat="1" ht="15" outlineLevel="1">
      <c r="B54" s="34"/>
      <c r="D54" s="1399"/>
      <c r="E54" s="1399"/>
      <c r="F54" s="1399"/>
      <c r="G54" s="1399"/>
      <c r="H54" s="1399"/>
      <c r="I54" s="1399"/>
      <c r="J54" s="1406"/>
      <c r="K54" s="1405"/>
      <c r="L54" s="1406"/>
      <c r="M54" s="1405"/>
      <c r="N54" s="1406"/>
      <c r="O54" s="1405"/>
      <c r="P54" s="1406"/>
      <c r="Q54" s="1405"/>
      <c r="R54" s="1406"/>
      <c r="S54" s="1405"/>
      <c r="T54" s="1406"/>
      <c r="U54" s="1405"/>
      <c r="V54" s="1406"/>
      <c r="W54" s="1405"/>
      <c r="X54" s="1406"/>
      <c r="Y54" s="1405"/>
      <c r="Z54" s="1406"/>
      <c r="AA54" s="1405"/>
      <c r="AB54" s="1406"/>
      <c r="AC54" s="1405"/>
      <c r="AD54" s="1406"/>
      <c r="AE54" s="1405"/>
      <c r="AF54" s="1406"/>
      <c r="AG54" s="1405"/>
      <c r="AH54" s="1406"/>
      <c r="AI54" s="1573"/>
      <c r="AJ54" s="14"/>
      <c r="AK54" s="1"/>
    </row>
    <row r="55" spans="2:37" s="7" customFormat="1" ht="15" outlineLevel="1">
      <c r="B55" s="34" t="s">
        <v>187</v>
      </c>
      <c r="D55" s="1399"/>
      <c r="E55" s="1399"/>
      <c r="F55" s="1399"/>
      <c r="G55" s="1399"/>
      <c r="H55" s="1399"/>
      <c r="I55" s="1399"/>
      <c r="J55" s="1406"/>
      <c r="K55" s="1405"/>
      <c r="L55" s="1406"/>
      <c r="M55" s="1405"/>
      <c r="N55" s="1406"/>
      <c r="O55" s="1405"/>
      <c r="P55" s="1406"/>
      <c r="Q55" s="1405"/>
      <c r="R55" s="1406"/>
      <c r="S55" s="1405"/>
      <c r="T55" s="1406"/>
      <c r="U55" s="1405"/>
      <c r="V55" s="1406"/>
      <c r="W55" s="1405"/>
      <c r="X55" s="1406"/>
      <c r="Y55" s="1405"/>
      <c r="Z55" s="1406"/>
      <c r="AA55" s="1405"/>
      <c r="AB55" s="1406"/>
      <c r="AC55" s="1405"/>
      <c r="AD55" s="1406"/>
      <c r="AE55" s="1405"/>
      <c r="AF55" s="1406"/>
      <c r="AG55" s="1405"/>
      <c r="AH55" s="1406"/>
      <c r="AI55" s="1573"/>
      <c r="AJ55" s="14"/>
      <c r="AK55" s="1"/>
    </row>
    <row r="56" spans="2:37" outlineLevel="1">
      <c r="B56" s="71" t="s">
        <v>385</v>
      </c>
      <c r="D56" s="1396">
        <v>38000</v>
      </c>
      <c r="E56" s="1396" t="s">
        <v>211</v>
      </c>
      <c r="F56" s="1397"/>
      <c r="G56" s="1398"/>
      <c r="H56" s="1399"/>
      <c r="I56" s="1400"/>
      <c r="J56" s="1401">
        <v>3127.64</v>
      </c>
      <c r="K56" s="1400"/>
      <c r="L56" s="1401">
        <v>6218.44</v>
      </c>
      <c r="M56" s="1400"/>
      <c r="N56" s="1401">
        <v>4994.75</v>
      </c>
      <c r="O56" s="1400"/>
      <c r="P56" s="1401">
        <v>5506.57</v>
      </c>
      <c r="Q56" s="1400"/>
      <c r="R56" s="1401">
        <v>6261.76</v>
      </c>
      <c r="S56" s="1400"/>
      <c r="T56" s="1401">
        <v>5018.9399999999996</v>
      </c>
      <c r="U56" s="1400"/>
      <c r="V56" s="1401">
        <v>5705.99</v>
      </c>
      <c r="W56" s="1400"/>
      <c r="X56" s="1401">
        <v>6203.38</v>
      </c>
      <c r="Y56" s="1400"/>
      <c r="Z56" s="1401">
        <v>5485.29</v>
      </c>
      <c r="AA56" s="1400"/>
      <c r="AB56" s="1401">
        <v>5049.8100000000004</v>
      </c>
      <c r="AC56" s="1400"/>
      <c r="AD56" s="1401">
        <v>5485.89</v>
      </c>
      <c r="AE56" s="1400"/>
      <c r="AF56" s="1401">
        <v>691.42</v>
      </c>
      <c r="AG56" s="1400"/>
      <c r="AH56" s="1401">
        <f t="shared" ref="AH56:AH57" si="4">AF56+AD56+AB56+Z56+X56+V56+T56+R56+P56+N56+L56+J56</f>
        <v>59749.880000000005</v>
      </c>
      <c r="AI56" s="1574">
        <f t="shared" ref="AI56:AI57" si="5">IF(AH$61=0,0,AH56/AH$61)</f>
        <v>9.5324657068342948E-4</v>
      </c>
      <c r="AJ56" s="11"/>
    </row>
    <row r="57" spans="2:37" outlineLevel="1">
      <c r="B57" s="71" t="s">
        <v>380</v>
      </c>
      <c r="D57" s="1396">
        <v>38001</v>
      </c>
      <c r="E57" s="1396" t="s">
        <v>535</v>
      </c>
      <c r="F57" s="1397"/>
      <c r="G57" s="1398"/>
      <c r="H57" s="1399"/>
      <c r="I57" s="1400"/>
      <c r="J57" s="1401">
        <v>2640.45</v>
      </c>
      <c r="K57" s="1400"/>
      <c r="L57" s="1401">
        <v>2308.16</v>
      </c>
      <c r="M57" s="1400"/>
      <c r="N57" s="1401">
        <v>2556.79</v>
      </c>
      <c r="O57" s="1400"/>
      <c r="P57" s="1401">
        <v>2170.14</v>
      </c>
      <c r="Q57" s="1400"/>
      <c r="R57" s="1401">
        <v>3058.69</v>
      </c>
      <c r="S57" s="1400"/>
      <c r="T57" s="1401">
        <v>2721.54</v>
      </c>
      <c r="U57" s="1400"/>
      <c r="V57" s="1401">
        <v>2871.25</v>
      </c>
      <c r="W57" s="1400"/>
      <c r="X57" s="1401">
        <v>2716.16</v>
      </c>
      <c r="Y57" s="1400"/>
      <c r="Z57" s="1401">
        <v>3137.36</v>
      </c>
      <c r="AA57" s="1400"/>
      <c r="AB57" s="1401">
        <v>2870.91</v>
      </c>
      <c r="AC57" s="1400"/>
      <c r="AD57" s="1401">
        <v>3953.85</v>
      </c>
      <c r="AE57" s="1400"/>
      <c r="AF57" s="1401">
        <v>3335.87</v>
      </c>
      <c r="AG57" s="1400"/>
      <c r="AH57" s="1401">
        <f t="shared" si="4"/>
        <v>34341.17</v>
      </c>
      <c r="AI57" s="1574">
        <f t="shared" si="5"/>
        <v>5.478772934063912E-4</v>
      </c>
      <c r="AJ57" s="11"/>
    </row>
    <row r="58" spans="2:37" s="7" customFormat="1" ht="4.5" customHeight="1" outlineLevel="1">
      <c r="B58" s="34" t="s">
        <v>187</v>
      </c>
      <c r="D58" s="1408"/>
      <c r="E58" s="1399"/>
      <c r="F58" s="1399"/>
      <c r="G58" s="1399"/>
      <c r="H58" s="1399"/>
      <c r="I58" s="1399"/>
      <c r="J58" s="1407"/>
      <c r="K58" s="1405"/>
      <c r="L58" s="1407"/>
      <c r="M58" s="1405"/>
      <c r="N58" s="1407"/>
      <c r="O58" s="1405"/>
      <c r="P58" s="1407"/>
      <c r="Q58" s="1405"/>
      <c r="R58" s="1407"/>
      <c r="S58" s="1405"/>
      <c r="T58" s="1407"/>
      <c r="U58" s="1405"/>
      <c r="V58" s="1407"/>
      <c r="W58" s="1405"/>
      <c r="X58" s="1407"/>
      <c r="Y58" s="1405"/>
      <c r="Z58" s="1407"/>
      <c r="AA58" s="1405"/>
      <c r="AB58" s="1407"/>
      <c r="AC58" s="1405"/>
      <c r="AD58" s="1407"/>
      <c r="AE58" s="1405"/>
      <c r="AF58" s="1407"/>
      <c r="AG58" s="1405"/>
      <c r="AH58" s="1407"/>
      <c r="AI58" s="1573"/>
      <c r="AJ58" s="14"/>
      <c r="AK58" s="1"/>
    </row>
    <row r="59" spans="2:37" s="7" customFormat="1" ht="15">
      <c r="B59" s="34" t="s">
        <v>187</v>
      </c>
      <c r="D59" s="1399"/>
      <c r="E59" s="1399"/>
      <c r="F59" s="1399" t="s">
        <v>211</v>
      </c>
      <c r="G59" s="1399"/>
      <c r="H59" s="1399"/>
      <c r="I59" s="1399"/>
      <c r="J59" s="1404">
        <f>SUM(J55:J58)</f>
        <v>5768.09</v>
      </c>
      <c r="K59" s="1405"/>
      <c r="L59" s="1404">
        <f>SUM(L55:L58)</f>
        <v>8526.5999999999985</v>
      </c>
      <c r="M59" s="1405"/>
      <c r="N59" s="1404">
        <f>SUM(N55:N58)</f>
        <v>7551.54</v>
      </c>
      <c r="O59" s="1405"/>
      <c r="P59" s="1404">
        <f>SUM(P55:P58)</f>
        <v>7676.7099999999991</v>
      </c>
      <c r="Q59" s="1405"/>
      <c r="R59" s="1404">
        <f>SUM(R55:R58)</f>
        <v>9320.4500000000007</v>
      </c>
      <c r="S59" s="1405"/>
      <c r="T59" s="1404">
        <f>SUM(T55:T58)</f>
        <v>7740.48</v>
      </c>
      <c r="U59" s="1405"/>
      <c r="V59" s="1404">
        <f>SUM(V55:V58)</f>
        <v>8577.24</v>
      </c>
      <c r="W59" s="1405"/>
      <c r="X59" s="1404">
        <f>SUM(X55:X58)</f>
        <v>8919.5400000000009</v>
      </c>
      <c r="Y59" s="1405"/>
      <c r="Z59" s="1404">
        <f>SUM(Z55:Z58)</f>
        <v>8622.65</v>
      </c>
      <c r="AA59" s="1405"/>
      <c r="AB59" s="1404">
        <f>SUM(AB55:AB58)</f>
        <v>7920.72</v>
      </c>
      <c r="AC59" s="1405"/>
      <c r="AD59" s="1404">
        <f>SUM(AD55:AD58)</f>
        <v>9439.74</v>
      </c>
      <c r="AE59" s="1405"/>
      <c r="AF59" s="1404">
        <f>SUM(AF55:AF58)</f>
        <v>4027.29</v>
      </c>
      <c r="AG59" s="1405"/>
      <c r="AH59" s="1404">
        <f>SUM(AH55:AH58)</f>
        <v>94091.05</v>
      </c>
      <c r="AI59" s="1574">
        <f>IF(AH$61=0,0,AH59/AH$61)</f>
        <v>1.5011238640898206E-3</v>
      </c>
      <c r="AJ59" s="14"/>
      <c r="AK59" s="1"/>
    </row>
    <row r="60" spans="2:37" s="7" customFormat="1" ht="7.5" customHeight="1">
      <c r="B60" s="34" t="s">
        <v>187</v>
      </c>
      <c r="D60" s="1399"/>
      <c r="E60" s="1399"/>
      <c r="F60" s="1399"/>
      <c r="G60" s="1399"/>
      <c r="H60" s="1399"/>
      <c r="I60" s="1399"/>
      <c r="J60" s="1406"/>
      <c r="K60" s="1405"/>
      <c r="L60" s="1406"/>
      <c r="M60" s="1405"/>
      <c r="N60" s="1406"/>
      <c r="O60" s="1405"/>
      <c r="P60" s="1406"/>
      <c r="Q60" s="1405"/>
      <c r="R60" s="1406"/>
      <c r="S60" s="1405"/>
      <c r="T60" s="1406"/>
      <c r="U60" s="1405"/>
      <c r="V60" s="1406"/>
      <c r="W60" s="1405"/>
      <c r="X60" s="1406"/>
      <c r="Y60" s="1405"/>
      <c r="Z60" s="1406"/>
      <c r="AA60" s="1405"/>
      <c r="AB60" s="1406"/>
      <c r="AC60" s="1405"/>
      <c r="AD60" s="1406"/>
      <c r="AE60" s="1405"/>
      <c r="AF60" s="1406"/>
      <c r="AG60" s="1405"/>
      <c r="AH60" s="1406"/>
      <c r="AI60" s="1573"/>
      <c r="AJ60" s="14"/>
      <c r="AK60" s="1"/>
    </row>
    <row r="61" spans="2:37" s="7" customFormat="1" ht="15">
      <c r="B61" s="34" t="s">
        <v>187</v>
      </c>
      <c r="D61" s="1399"/>
      <c r="E61" s="1409" t="s">
        <v>166</v>
      </c>
      <c r="F61" s="1399"/>
      <c r="G61" s="1399"/>
      <c r="H61" s="1399"/>
      <c r="I61" s="1399"/>
      <c r="J61" s="1410">
        <f>+J33+J44+J49+J59+J29+J53</f>
        <v>4959964.1399999997</v>
      </c>
      <c r="K61" s="1405"/>
      <c r="L61" s="1410">
        <f>+L33+L44+L49+L59+L29+L53</f>
        <v>5097348.9600000009</v>
      </c>
      <c r="M61" s="1405"/>
      <c r="N61" s="1410">
        <f>+N33+N44+N49+N59+N29+N53</f>
        <v>4864007.4700000007</v>
      </c>
      <c r="O61" s="1405"/>
      <c r="P61" s="1410">
        <f>+P33+P44+P49+P59+P29+P53</f>
        <v>5230269.97</v>
      </c>
      <c r="Q61" s="1405"/>
      <c r="R61" s="1410">
        <f>+R33+R44+R49+R59+R29+R53</f>
        <v>5307844.8500000006</v>
      </c>
      <c r="S61" s="1405"/>
      <c r="T61" s="1410">
        <f>+T33+T44+T49+T59+T29+T53</f>
        <v>5332251.45</v>
      </c>
      <c r="U61" s="1405"/>
      <c r="V61" s="1410">
        <f>+V33+V44+V49+V59+V29+V53</f>
        <v>5282303.580000001</v>
      </c>
      <c r="W61" s="1405"/>
      <c r="X61" s="1410">
        <f>+X33+X44+X49+X59+X29+X53</f>
        <v>5282467.2500000009</v>
      </c>
      <c r="Y61" s="1405"/>
      <c r="Z61" s="1410">
        <f>+Z33+Z44+Z49+Z59+Z29+Z53</f>
        <v>5344433.0799999991</v>
      </c>
      <c r="AA61" s="1405"/>
      <c r="AB61" s="1410">
        <f>+AB33+AB44+AB49+AB59+AB29+AB53</f>
        <v>5504866.6000000006</v>
      </c>
      <c r="AC61" s="1405"/>
      <c r="AD61" s="1410">
        <f>+AD33+AD44+AD49+AD59+AD29+AD53</f>
        <v>5227504.5899999989</v>
      </c>
      <c r="AE61" s="1405"/>
      <c r="AF61" s="1410">
        <f>+AF33+AF44+AF49+AF59+AF29+AF53</f>
        <v>5247141.8899999997</v>
      </c>
      <c r="AG61" s="1405"/>
      <c r="AH61" s="1410">
        <f>+AH33+AH44+AH49+AH59+AH29+AH53</f>
        <v>62680403.830000006</v>
      </c>
      <c r="AI61" s="1574">
        <f>IF(AH$61=0,0,AH61/AH$61)</f>
        <v>1</v>
      </c>
      <c r="AJ61" s="14"/>
      <c r="AK61" s="1"/>
    </row>
    <row r="62" spans="2:37" s="7" customFormat="1" ht="7.5" customHeight="1">
      <c r="B62" s="34" t="s">
        <v>187</v>
      </c>
      <c r="D62" s="1399"/>
      <c r="E62" s="1399"/>
      <c r="F62" s="1399"/>
      <c r="G62" s="1399"/>
      <c r="H62" s="1399"/>
      <c r="I62" s="1399"/>
      <c r="J62" s="1406"/>
      <c r="K62" s="1405"/>
      <c r="L62" s="1406"/>
      <c r="M62" s="1405"/>
      <c r="N62" s="1406"/>
      <c r="O62" s="1405"/>
      <c r="P62" s="1406"/>
      <c r="Q62" s="1405"/>
      <c r="R62" s="1406"/>
      <c r="S62" s="1405"/>
      <c r="T62" s="1406"/>
      <c r="U62" s="1405"/>
      <c r="V62" s="1406"/>
      <c r="W62" s="1405"/>
      <c r="X62" s="1406"/>
      <c r="Y62" s="1405"/>
      <c r="Z62" s="1406"/>
      <c r="AA62" s="1405"/>
      <c r="AB62" s="1406"/>
      <c r="AC62" s="1405"/>
      <c r="AD62" s="1406"/>
      <c r="AE62" s="1405"/>
      <c r="AF62" s="1406"/>
      <c r="AG62" s="1405"/>
      <c r="AH62" s="1406"/>
      <c r="AI62" s="1573"/>
      <c r="AJ62" s="14"/>
      <c r="AK62" s="1"/>
    </row>
    <row r="63" spans="2:37" s="7" customFormat="1" ht="15" outlineLevel="1">
      <c r="B63" s="34"/>
      <c r="D63" s="1399"/>
      <c r="E63" s="1399"/>
      <c r="F63" s="1399"/>
      <c r="G63" s="1399"/>
      <c r="H63" s="1399"/>
      <c r="I63" s="1399"/>
      <c r="J63" s="1406"/>
      <c r="K63" s="1405"/>
      <c r="L63" s="1406"/>
      <c r="M63" s="1405"/>
      <c r="N63" s="1406"/>
      <c r="O63" s="1405"/>
      <c r="P63" s="1406"/>
      <c r="Q63" s="1405"/>
      <c r="R63" s="1406"/>
      <c r="S63" s="1405"/>
      <c r="T63" s="1406"/>
      <c r="U63" s="1405"/>
      <c r="V63" s="1406"/>
      <c r="W63" s="1405"/>
      <c r="X63" s="1406"/>
      <c r="Y63" s="1405"/>
      <c r="Z63" s="1406"/>
      <c r="AA63" s="1405"/>
      <c r="AB63" s="1406"/>
      <c r="AC63" s="1405"/>
      <c r="AD63" s="1406"/>
      <c r="AE63" s="1405"/>
      <c r="AF63" s="1406"/>
      <c r="AG63" s="1405"/>
      <c r="AH63" s="1406"/>
      <c r="AI63" s="1573"/>
      <c r="AJ63" s="14"/>
      <c r="AK63" s="1"/>
    </row>
    <row r="64" spans="2:37" outlineLevel="1">
      <c r="B64" s="71" t="s">
        <v>386</v>
      </c>
      <c r="D64" s="1396">
        <v>40109</v>
      </c>
      <c r="E64" s="1396" t="s">
        <v>67</v>
      </c>
      <c r="F64" s="1397"/>
      <c r="G64" s="1398"/>
      <c r="H64" s="1399"/>
      <c r="I64" s="1400"/>
      <c r="J64" s="1401">
        <v>1955925.32</v>
      </c>
      <c r="K64" s="1400"/>
      <c r="L64" s="1401">
        <v>2175151.14</v>
      </c>
      <c r="M64" s="1400"/>
      <c r="N64" s="1401">
        <v>1740532.56</v>
      </c>
      <c r="O64" s="1400"/>
      <c r="P64" s="1401">
        <v>2079971.27</v>
      </c>
      <c r="Q64" s="1400"/>
      <c r="R64" s="1401">
        <v>2261468.7000000002</v>
      </c>
      <c r="S64" s="1400"/>
      <c r="T64" s="1401">
        <v>2373469.54</v>
      </c>
      <c r="U64" s="1400"/>
      <c r="V64" s="1401">
        <v>2094146.5</v>
      </c>
      <c r="W64" s="1400"/>
      <c r="X64" s="1401">
        <v>2327464.88</v>
      </c>
      <c r="Y64" s="1400"/>
      <c r="Z64" s="1401">
        <v>2258512.56</v>
      </c>
      <c r="AA64" s="1400"/>
      <c r="AB64" s="1401">
        <v>2290593.0099999998</v>
      </c>
      <c r="AC64" s="1400"/>
      <c r="AD64" s="1401">
        <v>2203418.65</v>
      </c>
      <c r="AE64" s="1400"/>
      <c r="AF64" s="1401">
        <v>2094193.2</v>
      </c>
      <c r="AG64" s="1400"/>
      <c r="AH64" s="1401">
        <f t="shared" ref="AH64:AH65" si="6">AF64+AD64+AB64+Z64+X64+V64+T64+R64+P64+N64+L64+J64</f>
        <v>25854847.329999998</v>
      </c>
      <c r="AI64" s="1574">
        <f t="shared" ref="AI64:AI65" si="7">IF(AH$61=0,0,AH64/AH$61)</f>
        <v>0.41248692972883161</v>
      </c>
      <c r="AJ64" s="11"/>
    </row>
    <row r="65" spans="2:37" outlineLevel="1">
      <c r="B65" s="71" t="s">
        <v>380</v>
      </c>
      <c r="D65" s="1396">
        <v>40122</v>
      </c>
      <c r="E65" s="1396" t="s">
        <v>212</v>
      </c>
      <c r="F65" s="1397"/>
      <c r="G65" s="1398"/>
      <c r="H65" s="1399"/>
      <c r="I65" s="1400"/>
      <c r="J65" s="1401">
        <v>1033.06</v>
      </c>
      <c r="K65" s="1400"/>
      <c r="L65" s="1401">
        <v>1882.2</v>
      </c>
      <c r="M65" s="1400"/>
      <c r="N65" s="1401">
        <v>1079.51</v>
      </c>
      <c r="O65" s="1400"/>
      <c r="P65" s="1401">
        <v>215.1</v>
      </c>
      <c r="Q65" s="1400"/>
      <c r="R65" s="1401">
        <v>1267.99</v>
      </c>
      <c r="S65" s="1400"/>
      <c r="T65" s="1401">
        <v>967.58</v>
      </c>
      <c r="U65" s="1400"/>
      <c r="V65" s="1401">
        <v>9556.18</v>
      </c>
      <c r="W65" s="1400"/>
      <c r="X65" s="1401">
        <v>6759</v>
      </c>
      <c r="Y65" s="1400"/>
      <c r="Z65" s="1401">
        <v>1048.2</v>
      </c>
      <c r="AA65" s="1400"/>
      <c r="AB65" s="1401">
        <v>1954.86</v>
      </c>
      <c r="AC65" s="1400"/>
      <c r="AD65" s="1401">
        <v>3804.63</v>
      </c>
      <c r="AE65" s="1400"/>
      <c r="AF65" s="1401">
        <v>4346.55</v>
      </c>
      <c r="AG65" s="1400"/>
      <c r="AH65" s="1401">
        <f t="shared" si="6"/>
        <v>33914.86</v>
      </c>
      <c r="AI65" s="1574">
        <f t="shared" si="7"/>
        <v>5.4107596517697797E-4</v>
      </c>
      <c r="AJ65" s="11"/>
    </row>
    <row r="66" spans="2:37" s="7" customFormat="1" ht="5.0999999999999996" customHeight="1" outlineLevel="1">
      <c r="B66" s="34" t="s">
        <v>187</v>
      </c>
      <c r="D66" s="1397"/>
      <c r="E66" s="1397"/>
      <c r="F66" s="1397"/>
      <c r="G66" s="1397"/>
      <c r="H66" s="1399"/>
      <c r="I66" s="1399"/>
      <c r="J66" s="1407"/>
      <c r="K66" s="1405"/>
      <c r="L66" s="1407"/>
      <c r="M66" s="1405"/>
      <c r="N66" s="1407"/>
      <c r="O66" s="1405"/>
      <c r="P66" s="1407"/>
      <c r="Q66" s="1405"/>
      <c r="R66" s="1407"/>
      <c r="S66" s="1405"/>
      <c r="T66" s="1407"/>
      <c r="U66" s="1405"/>
      <c r="V66" s="1407"/>
      <c r="W66" s="1405"/>
      <c r="X66" s="1407"/>
      <c r="Y66" s="1405"/>
      <c r="Z66" s="1407"/>
      <c r="AA66" s="1405"/>
      <c r="AB66" s="1407"/>
      <c r="AC66" s="1405"/>
      <c r="AD66" s="1407"/>
      <c r="AE66" s="1405"/>
      <c r="AF66" s="1407"/>
      <c r="AG66" s="1405"/>
      <c r="AH66" s="1407"/>
      <c r="AI66" s="1573"/>
      <c r="AJ66" s="14"/>
      <c r="AK66" s="1"/>
    </row>
    <row r="67" spans="2:37" s="7" customFormat="1" ht="15">
      <c r="B67" s="34" t="s">
        <v>187</v>
      </c>
      <c r="D67" s="1399"/>
      <c r="E67" s="1399"/>
      <c r="F67" s="1397" t="s">
        <v>213</v>
      </c>
      <c r="G67" s="1399"/>
      <c r="H67" s="1399"/>
      <c r="I67" s="1399"/>
      <c r="J67" s="1404">
        <f>SUM(J63:J66)</f>
        <v>1956958.3800000001</v>
      </c>
      <c r="K67" s="1405"/>
      <c r="L67" s="1404">
        <f>SUM(L63:L66)</f>
        <v>2177033.3400000003</v>
      </c>
      <c r="M67" s="1405"/>
      <c r="N67" s="1404">
        <f>SUM(N63:N66)</f>
        <v>1741612.07</v>
      </c>
      <c r="O67" s="1405"/>
      <c r="P67" s="1404">
        <f>SUM(P63:P66)</f>
        <v>2080186.37</v>
      </c>
      <c r="Q67" s="1405"/>
      <c r="R67" s="1404">
        <f>SUM(R63:R66)</f>
        <v>2262736.6900000004</v>
      </c>
      <c r="S67" s="1405"/>
      <c r="T67" s="1404">
        <f>SUM(T63:T66)</f>
        <v>2374437.12</v>
      </c>
      <c r="U67" s="1405"/>
      <c r="V67" s="1404">
        <f>SUM(V63:V66)</f>
        <v>2103702.6800000002</v>
      </c>
      <c r="W67" s="1405"/>
      <c r="X67" s="1404">
        <f>SUM(X63:X66)</f>
        <v>2334223.88</v>
      </c>
      <c r="Y67" s="1405"/>
      <c r="Z67" s="1404">
        <f>SUM(Z63:Z66)</f>
        <v>2259560.7600000002</v>
      </c>
      <c r="AA67" s="1405"/>
      <c r="AB67" s="1404">
        <f>SUM(AB63:AB66)</f>
        <v>2292547.8699999996</v>
      </c>
      <c r="AC67" s="1405"/>
      <c r="AD67" s="1404">
        <f>SUM(AD63:AD66)</f>
        <v>2207223.2799999998</v>
      </c>
      <c r="AE67" s="1405"/>
      <c r="AF67" s="1404">
        <f>SUM(AF63:AF66)</f>
        <v>2098539.75</v>
      </c>
      <c r="AG67" s="1405"/>
      <c r="AH67" s="1404">
        <f>SUM(AH63:AH66)</f>
        <v>25888762.189999998</v>
      </c>
      <c r="AI67" s="1574">
        <f>IF(AH$61=0,0,AH67/AH$61)</f>
        <v>0.41302800569400855</v>
      </c>
      <c r="AJ67" s="14"/>
      <c r="AK67" s="1"/>
    </row>
    <row r="68" spans="2:37" s="7" customFormat="1" ht="15" outlineLevel="1">
      <c r="B68" s="34"/>
      <c r="D68" s="1399"/>
      <c r="E68" s="1399"/>
      <c r="F68" s="1399"/>
      <c r="G68" s="1399"/>
      <c r="H68" s="1399"/>
      <c r="I68" s="1399"/>
      <c r="J68" s="1406"/>
      <c r="K68" s="1405"/>
      <c r="L68" s="1406"/>
      <c r="M68" s="1405"/>
      <c r="N68" s="1406"/>
      <c r="O68" s="1405"/>
      <c r="P68" s="1406"/>
      <c r="Q68" s="1405"/>
      <c r="R68" s="1406"/>
      <c r="S68" s="1405"/>
      <c r="T68" s="1406"/>
      <c r="U68" s="1405"/>
      <c r="V68" s="1406"/>
      <c r="W68" s="1405"/>
      <c r="X68" s="1406"/>
      <c r="Y68" s="1405"/>
      <c r="Z68" s="1406"/>
      <c r="AA68" s="1405"/>
      <c r="AB68" s="1406"/>
      <c r="AC68" s="1405"/>
      <c r="AD68" s="1406"/>
      <c r="AE68" s="1405"/>
      <c r="AF68" s="1406"/>
      <c r="AG68" s="1405"/>
      <c r="AH68" s="1406"/>
      <c r="AI68" s="1573"/>
      <c r="AJ68" s="14"/>
      <c r="AK68" s="1"/>
    </row>
    <row r="69" spans="2:37" outlineLevel="1">
      <c r="B69" s="71" t="s">
        <v>387</v>
      </c>
      <c r="D69" s="1396"/>
      <c r="E69" s="1396"/>
      <c r="F69" s="1397"/>
      <c r="G69" s="1398"/>
      <c r="H69" s="1399"/>
      <c r="I69" s="1400"/>
      <c r="J69" s="1401"/>
      <c r="K69" s="1400"/>
      <c r="L69" s="1401"/>
      <c r="M69" s="1400"/>
      <c r="N69" s="1401"/>
      <c r="O69" s="1400"/>
      <c r="P69" s="1401"/>
      <c r="Q69" s="1400"/>
      <c r="R69" s="1401"/>
      <c r="S69" s="1400"/>
      <c r="T69" s="1401"/>
      <c r="U69" s="1400"/>
      <c r="V69" s="1401"/>
      <c r="W69" s="1400"/>
      <c r="X69" s="1401"/>
      <c r="Y69" s="1400"/>
      <c r="Z69" s="1401"/>
      <c r="AA69" s="1400"/>
      <c r="AB69" s="1401"/>
      <c r="AC69" s="1400"/>
      <c r="AD69" s="1401"/>
      <c r="AE69" s="1400"/>
      <c r="AF69" s="1401"/>
      <c r="AG69" s="1400"/>
      <c r="AH69" s="1401">
        <f>AF69+AD69+AB69+Z69+X69+V69+T69+R69+P69+N69+L69+J69</f>
        <v>0</v>
      </c>
      <c r="AI69" s="1574">
        <f>IF(AH$61=0,0,AH69/AH$61)</f>
        <v>0</v>
      </c>
      <c r="AJ69" s="11"/>
    </row>
    <row r="70" spans="2:37" s="7" customFormat="1" ht="4.5" customHeight="1" outlineLevel="1">
      <c r="B70" s="7" t="s">
        <v>187</v>
      </c>
      <c r="D70" s="1408"/>
      <c r="E70" s="1399"/>
      <c r="F70" s="1399"/>
      <c r="G70" s="1399"/>
      <c r="H70" s="1399"/>
      <c r="I70" s="1399"/>
      <c r="J70" s="1407"/>
      <c r="K70" s="1405"/>
      <c r="L70" s="1407"/>
      <c r="M70" s="1405"/>
      <c r="N70" s="1407"/>
      <c r="O70" s="1405"/>
      <c r="P70" s="1407"/>
      <c r="Q70" s="1405"/>
      <c r="R70" s="1407"/>
      <c r="S70" s="1405"/>
      <c r="T70" s="1407"/>
      <c r="U70" s="1405"/>
      <c r="V70" s="1407"/>
      <c r="W70" s="1405"/>
      <c r="X70" s="1407"/>
      <c r="Y70" s="1405"/>
      <c r="Z70" s="1407"/>
      <c r="AA70" s="1405"/>
      <c r="AB70" s="1407"/>
      <c r="AC70" s="1405"/>
      <c r="AD70" s="1407"/>
      <c r="AE70" s="1405"/>
      <c r="AF70" s="1407"/>
      <c r="AG70" s="1405"/>
      <c r="AH70" s="1407"/>
      <c r="AI70" s="1573"/>
      <c r="AJ70" s="14"/>
      <c r="AK70" s="1"/>
    </row>
    <row r="71" spans="2:37" s="7" customFormat="1" ht="15">
      <c r="B71" s="34" t="s">
        <v>187</v>
      </c>
      <c r="D71" s="1399"/>
      <c r="E71" s="1399"/>
      <c r="F71" s="1399" t="s">
        <v>214</v>
      </c>
      <c r="G71" s="1399"/>
      <c r="H71" s="1399"/>
      <c r="I71" s="1399"/>
      <c r="J71" s="1404">
        <f>SUM(J69:J70)</f>
        <v>0</v>
      </c>
      <c r="K71" s="1405"/>
      <c r="L71" s="1404">
        <f>SUM(L69:L70)</f>
        <v>0</v>
      </c>
      <c r="M71" s="1405"/>
      <c r="N71" s="1404">
        <f>SUM(N69:N70)</f>
        <v>0</v>
      </c>
      <c r="O71" s="1405"/>
      <c r="P71" s="1404">
        <f>SUM(P69:P70)</f>
        <v>0</v>
      </c>
      <c r="Q71" s="1405"/>
      <c r="R71" s="1404">
        <f>SUM(R69:R70)</f>
        <v>0</v>
      </c>
      <c r="S71" s="1405"/>
      <c r="T71" s="1404">
        <f>SUM(T69:T70)</f>
        <v>0</v>
      </c>
      <c r="U71" s="1405"/>
      <c r="V71" s="1404">
        <f>SUM(V69:V70)</f>
        <v>0</v>
      </c>
      <c r="W71" s="1405"/>
      <c r="X71" s="1404">
        <f>SUM(X69:X70)</f>
        <v>0</v>
      </c>
      <c r="Y71" s="1405"/>
      <c r="Z71" s="1404">
        <f>SUM(Z69:Z70)</f>
        <v>0</v>
      </c>
      <c r="AA71" s="1405"/>
      <c r="AB71" s="1404">
        <f>SUM(AB69:AB70)</f>
        <v>0</v>
      </c>
      <c r="AC71" s="1405"/>
      <c r="AD71" s="1404">
        <f>SUM(AD69:AD70)</f>
        <v>0</v>
      </c>
      <c r="AE71" s="1405"/>
      <c r="AF71" s="1404">
        <f>SUM(AF69:AF70)</f>
        <v>0</v>
      </c>
      <c r="AG71" s="1405"/>
      <c r="AH71" s="1404">
        <f>SUM(AH69:AH70)</f>
        <v>0</v>
      </c>
      <c r="AI71" s="1574">
        <f>IF(AH$61=0,0,AH71/AH$61)</f>
        <v>0</v>
      </c>
      <c r="AJ71" s="14"/>
      <c r="AK71" s="1"/>
    </row>
    <row r="72" spans="2:37" s="7" customFormat="1" ht="15" outlineLevel="1">
      <c r="B72" s="34"/>
      <c r="D72" s="1399"/>
      <c r="E72" s="1399"/>
      <c r="F72" s="1399"/>
      <c r="G72" s="1399"/>
      <c r="H72" s="1399"/>
      <c r="I72" s="1399"/>
      <c r="J72" s="1406"/>
      <c r="K72" s="1405"/>
      <c r="L72" s="1406"/>
      <c r="M72" s="1405"/>
      <c r="N72" s="1406"/>
      <c r="O72" s="1405"/>
      <c r="P72" s="1406"/>
      <c r="Q72" s="1405"/>
      <c r="R72" s="1406"/>
      <c r="S72" s="1405"/>
      <c r="T72" s="1406"/>
      <c r="U72" s="1405"/>
      <c r="V72" s="1406"/>
      <c r="W72" s="1405"/>
      <c r="X72" s="1406"/>
      <c r="Y72" s="1405"/>
      <c r="Z72" s="1406"/>
      <c r="AA72" s="1405"/>
      <c r="AB72" s="1406"/>
      <c r="AC72" s="1405"/>
      <c r="AD72" s="1406"/>
      <c r="AE72" s="1405"/>
      <c r="AF72" s="1406"/>
      <c r="AG72" s="1405"/>
      <c r="AH72" s="1406"/>
      <c r="AI72" s="1573"/>
      <c r="AJ72" s="14"/>
      <c r="AK72" s="1"/>
    </row>
    <row r="73" spans="2:37" s="7" customFormat="1" ht="15" outlineLevel="1">
      <c r="B73" s="34" t="s">
        <v>187</v>
      </c>
      <c r="D73" s="1399"/>
      <c r="E73" s="1399"/>
      <c r="F73" s="1399"/>
      <c r="G73" s="1399"/>
      <c r="H73" s="1399"/>
      <c r="I73" s="1399"/>
      <c r="J73" s="1406"/>
      <c r="K73" s="1405"/>
      <c r="L73" s="1406"/>
      <c r="M73" s="1405"/>
      <c r="N73" s="1406"/>
      <c r="O73" s="1405"/>
      <c r="P73" s="1406"/>
      <c r="Q73" s="1405"/>
      <c r="R73" s="1406"/>
      <c r="S73" s="1405"/>
      <c r="T73" s="1406"/>
      <c r="U73" s="1405"/>
      <c r="V73" s="1406"/>
      <c r="W73" s="1405"/>
      <c r="X73" s="1406"/>
      <c r="Y73" s="1405"/>
      <c r="Z73" s="1406"/>
      <c r="AA73" s="1405"/>
      <c r="AB73" s="1406"/>
      <c r="AC73" s="1405"/>
      <c r="AD73" s="1406"/>
      <c r="AE73" s="1405"/>
      <c r="AF73" s="1406"/>
      <c r="AG73" s="1405"/>
      <c r="AH73" s="1406"/>
      <c r="AI73" s="1573"/>
      <c r="AJ73" s="14"/>
      <c r="AK73" s="1"/>
    </row>
    <row r="74" spans="2:37" outlineLevel="1">
      <c r="B74" s="71" t="s">
        <v>388</v>
      </c>
      <c r="D74" s="1396">
        <v>41121</v>
      </c>
      <c r="E74" s="1396" t="s">
        <v>56</v>
      </c>
      <c r="F74" s="1397"/>
      <c r="G74" s="1398"/>
      <c r="H74" s="1399"/>
      <c r="I74" s="1400"/>
      <c r="J74" s="1401">
        <v>0</v>
      </c>
      <c r="K74" s="1400"/>
      <c r="L74" s="1401">
        <v>0</v>
      </c>
      <c r="M74" s="1400"/>
      <c r="N74" s="1401">
        <v>0</v>
      </c>
      <c r="O74" s="1400"/>
      <c r="P74" s="1401">
        <v>0</v>
      </c>
      <c r="Q74" s="1400"/>
      <c r="R74" s="1401">
        <v>0</v>
      </c>
      <c r="S74" s="1400"/>
      <c r="T74" s="1401">
        <v>0</v>
      </c>
      <c r="U74" s="1400"/>
      <c r="V74" s="1401">
        <v>0</v>
      </c>
      <c r="W74" s="1400"/>
      <c r="X74" s="1401">
        <v>226.69</v>
      </c>
      <c r="Y74" s="1400"/>
      <c r="Z74" s="1401">
        <v>0</v>
      </c>
      <c r="AA74" s="1400"/>
      <c r="AB74" s="1401">
        <v>0</v>
      </c>
      <c r="AC74" s="1400"/>
      <c r="AD74" s="1401">
        <v>0</v>
      </c>
      <c r="AE74" s="1400"/>
      <c r="AF74" s="1401">
        <v>0</v>
      </c>
      <c r="AG74" s="1400"/>
      <c r="AH74" s="1401">
        <f t="shared" ref="AH74:AH78" si="8">AF74+AD74+AB74+Z74+X74+V74+T74+R74+P74+N74+L74+J74</f>
        <v>226.69</v>
      </c>
      <c r="AI74" s="1574">
        <f t="shared" ref="AI74:AI78" si="9">IF(AH$61=0,0,AH74/AH$61)</f>
        <v>3.6166008217627652E-6</v>
      </c>
      <c r="AJ74" s="11"/>
    </row>
    <row r="75" spans="2:37" outlineLevel="1">
      <c r="B75" s="71" t="s">
        <v>380</v>
      </c>
      <c r="D75" s="1396">
        <v>41129</v>
      </c>
      <c r="E75" s="1396" t="s">
        <v>215</v>
      </c>
      <c r="F75" s="1397"/>
      <c r="G75" s="1398"/>
      <c r="H75" s="1399"/>
      <c r="I75" s="1400"/>
      <c r="J75" s="1401">
        <v>14034.38</v>
      </c>
      <c r="K75" s="1400"/>
      <c r="L75" s="1401">
        <v>12796.88</v>
      </c>
      <c r="M75" s="1400"/>
      <c r="N75" s="1401">
        <v>10968.76</v>
      </c>
      <c r="O75" s="1400"/>
      <c r="P75" s="1401">
        <v>15918.76</v>
      </c>
      <c r="Q75" s="1400"/>
      <c r="R75" s="1401">
        <v>22513.51</v>
      </c>
      <c r="S75" s="1400"/>
      <c r="T75" s="1401">
        <v>32878.129999999997</v>
      </c>
      <c r="U75" s="1400"/>
      <c r="V75" s="1401">
        <v>20700.02</v>
      </c>
      <c r="W75" s="1400"/>
      <c r="X75" s="1401">
        <v>23343.759999999998</v>
      </c>
      <c r="Y75" s="1400"/>
      <c r="Z75" s="1401">
        <v>27759.39</v>
      </c>
      <c r="AA75" s="1400"/>
      <c r="AB75" s="1401">
        <v>45590.64</v>
      </c>
      <c r="AC75" s="1400"/>
      <c r="AD75" s="1401">
        <v>2221.88</v>
      </c>
      <c r="AE75" s="1400"/>
      <c r="AF75" s="1401">
        <v>28546.880000000001</v>
      </c>
      <c r="AG75" s="1400"/>
      <c r="AH75" s="1401">
        <f t="shared" si="8"/>
        <v>257272.99000000002</v>
      </c>
      <c r="AI75" s="1574">
        <f t="shared" si="9"/>
        <v>4.1045203010779642E-3</v>
      </c>
      <c r="AJ75" s="11"/>
    </row>
    <row r="76" spans="2:37" outlineLevel="1">
      <c r="B76" s="71" t="s">
        <v>380</v>
      </c>
      <c r="D76" s="1396">
        <v>41201</v>
      </c>
      <c r="E76" s="1396" t="s">
        <v>216</v>
      </c>
      <c r="F76" s="1397"/>
      <c r="G76" s="1398"/>
      <c r="H76" s="1399"/>
      <c r="I76" s="1400"/>
      <c r="J76" s="1401">
        <v>58886.18</v>
      </c>
      <c r="K76" s="1400"/>
      <c r="L76" s="1401">
        <v>62916.94</v>
      </c>
      <c r="M76" s="1400"/>
      <c r="N76" s="1401">
        <v>56265.16</v>
      </c>
      <c r="O76" s="1400"/>
      <c r="P76" s="1401">
        <v>62361.7</v>
      </c>
      <c r="Q76" s="1400"/>
      <c r="R76" s="1401">
        <v>63586.47</v>
      </c>
      <c r="S76" s="1400"/>
      <c r="T76" s="1401">
        <v>63478.19</v>
      </c>
      <c r="U76" s="1400"/>
      <c r="V76" s="1401">
        <v>62283.98</v>
      </c>
      <c r="W76" s="1400"/>
      <c r="X76" s="1401">
        <v>62049.95</v>
      </c>
      <c r="Y76" s="1400"/>
      <c r="Z76" s="1401">
        <v>62964.26</v>
      </c>
      <c r="AA76" s="1400"/>
      <c r="AB76" s="1401">
        <v>62687.31</v>
      </c>
      <c r="AC76" s="1400"/>
      <c r="AD76" s="1401">
        <v>63666.82</v>
      </c>
      <c r="AE76" s="1400"/>
      <c r="AF76" s="1401">
        <v>61843.85</v>
      </c>
      <c r="AG76" s="1400"/>
      <c r="AH76" s="1401">
        <f t="shared" si="8"/>
        <v>742990.80999999994</v>
      </c>
      <c r="AI76" s="1574">
        <f t="shared" si="9"/>
        <v>1.1853637893194153E-2</v>
      </c>
      <c r="AJ76" s="11"/>
    </row>
    <row r="77" spans="2:37" outlineLevel="1">
      <c r="B77" s="71" t="s">
        <v>380</v>
      </c>
      <c r="D77" s="1396">
        <v>43001</v>
      </c>
      <c r="E77" s="1396" t="s">
        <v>217</v>
      </c>
      <c r="F77" s="1397"/>
      <c r="G77" s="1398"/>
      <c r="H77" s="1399"/>
      <c r="I77" s="1400"/>
      <c r="J77" s="1401">
        <v>82549.83</v>
      </c>
      <c r="K77" s="1400"/>
      <c r="L77" s="1401">
        <v>78495.83</v>
      </c>
      <c r="M77" s="1400"/>
      <c r="N77" s="1401">
        <v>76696.31</v>
      </c>
      <c r="O77" s="1400"/>
      <c r="P77" s="1401">
        <v>87787.24</v>
      </c>
      <c r="Q77" s="1400"/>
      <c r="R77" s="1401">
        <v>86676.63</v>
      </c>
      <c r="S77" s="1400"/>
      <c r="T77" s="1401">
        <v>83553.070000000007</v>
      </c>
      <c r="U77" s="1400"/>
      <c r="V77" s="1401">
        <v>88315.24</v>
      </c>
      <c r="W77" s="1400"/>
      <c r="X77" s="1401">
        <v>82084.850000000006</v>
      </c>
      <c r="Y77" s="1400"/>
      <c r="Z77" s="1401">
        <v>83598.94</v>
      </c>
      <c r="AA77" s="1400"/>
      <c r="AB77" s="1401">
        <v>83169.22</v>
      </c>
      <c r="AC77" s="1400"/>
      <c r="AD77" s="1401">
        <v>83153.350000000006</v>
      </c>
      <c r="AE77" s="1400"/>
      <c r="AF77" s="1401">
        <v>81767.11</v>
      </c>
      <c r="AG77" s="1400"/>
      <c r="AH77" s="1401">
        <f t="shared" si="8"/>
        <v>997847.61999999988</v>
      </c>
      <c r="AI77" s="1574">
        <f t="shared" si="9"/>
        <v>1.59196105804668E-2</v>
      </c>
      <c r="AJ77" s="11"/>
    </row>
    <row r="78" spans="2:37" outlineLevel="1">
      <c r="B78" s="71" t="s">
        <v>380</v>
      </c>
      <c r="D78" s="1396">
        <v>43002</v>
      </c>
      <c r="E78" s="1396" t="s">
        <v>218</v>
      </c>
      <c r="F78" s="1397"/>
      <c r="G78" s="1398"/>
      <c r="H78" s="1399"/>
      <c r="I78" s="1400"/>
      <c r="J78" s="1401">
        <v>20993.89</v>
      </c>
      <c r="K78" s="1400"/>
      <c r="L78" s="1401">
        <v>17417.72</v>
      </c>
      <c r="M78" s="1400"/>
      <c r="N78" s="1401">
        <v>16809.169999999998</v>
      </c>
      <c r="O78" s="1400"/>
      <c r="P78" s="1401">
        <v>17299.87</v>
      </c>
      <c r="Q78" s="1400"/>
      <c r="R78" s="1401">
        <v>17486.96</v>
      </c>
      <c r="S78" s="1400"/>
      <c r="T78" s="1401">
        <v>18078.28</v>
      </c>
      <c r="U78" s="1400"/>
      <c r="V78" s="1401">
        <v>17995.54</v>
      </c>
      <c r="W78" s="1400"/>
      <c r="X78" s="1401">
        <v>15885.14</v>
      </c>
      <c r="Y78" s="1400"/>
      <c r="Z78" s="1401">
        <v>14662</v>
      </c>
      <c r="AA78" s="1400"/>
      <c r="AB78" s="1401">
        <v>18290.439999999999</v>
      </c>
      <c r="AC78" s="1400"/>
      <c r="AD78" s="1401">
        <v>16768.48</v>
      </c>
      <c r="AE78" s="1400"/>
      <c r="AF78" s="1401">
        <v>16926.439999999999</v>
      </c>
      <c r="AG78" s="1400"/>
      <c r="AH78" s="1401">
        <f t="shared" si="8"/>
        <v>208613.93</v>
      </c>
      <c r="AI78" s="1574">
        <f t="shared" si="9"/>
        <v>3.3282161130581849E-3</v>
      </c>
      <c r="AJ78" s="11"/>
    </row>
    <row r="79" spans="2:37" s="7" customFormat="1" ht="5.0999999999999996" customHeight="1" outlineLevel="1">
      <c r="B79" s="1" t="s">
        <v>187</v>
      </c>
      <c r="D79" s="1397"/>
      <c r="E79" s="1397"/>
      <c r="F79" s="1397"/>
      <c r="G79" s="1397"/>
      <c r="H79" s="1399"/>
      <c r="I79" s="1399"/>
      <c r="J79" s="1407"/>
      <c r="K79" s="1405"/>
      <c r="L79" s="1407"/>
      <c r="M79" s="1405"/>
      <c r="N79" s="1407"/>
      <c r="O79" s="1405"/>
      <c r="P79" s="1407"/>
      <c r="Q79" s="1405"/>
      <c r="R79" s="1407"/>
      <c r="S79" s="1405"/>
      <c r="T79" s="1407"/>
      <c r="U79" s="1405"/>
      <c r="V79" s="1407"/>
      <c r="W79" s="1405"/>
      <c r="X79" s="1407"/>
      <c r="Y79" s="1405"/>
      <c r="Z79" s="1407"/>
      <c r="AA79" s="1405"/>
      <c r="AB79" s="1407"/>
      <c r="AC79" s="1405"/>
      <c r="AD79" s="1407"/>
      <c r="AE79" s="1405"/>
      <c r="AF79" s="1407"/>
      <c r="AG79" s="1405"/>
      <c r="AH79" s="1407"/>
      <c r="AI79" s="1573"/>
      <c r="AJ79" s="14"/>
      <c r="AK79" s="1"/>
    </row>
    <row r="80" spans="2:37" s="7" customFormat="1" ht="15">
      <c r="B80" s="34" t="s">
        <v>187</v>
      </c>
      <c r="D80" s="1399"/>
      <c r="E80" s="1399"/>
      <c r="F80" s="1397" t="s">
        <v>219</v>
      </c>
      <c r="G80" s="1411"/>
      <c r="H80" s="1411"/>
      <c r="I80" s="1411"/>
      <c r="J80" s="1404">
        <f>SUM(J73:J79)</f>
        <v>176464.28000000003</v>
      </c>
      <c r="K80" s="1405"/>
      <c r="L80" s="1404">
        <f>SUM(L73:L79)</f>
        <v>171627.37000000002</v>
      </c>
      <c r="M80" s="1405"/>
      <c r="N80" s="1404">
        <f>SUM(N73:N79)</f>
        <v>160739.39999999997</v>
      </c>
      <c r="O80" s="1405"/>
      <c r="P80" s="1404">
        <f>SUM(P73:P79)</f>
        <v>183367.57</v>
      </c>
      <c r="Q80" s="1405"/>
      <c r="R80" s="1404">
        <f>SUM(R73:R79)</f>
        <v>190263.56999999998</v>
      </c>
      <c r="S80" s="1405"/>
      <c r="T80" s="1404">
        <f>SUM(T73:T79)</f>
        <v>197987.67</v>
      </c>
      <c r="U80" s="1405"/>
      <c r="V80" s="1404">
        <f>SUM(V73:V79)</f>
        <v>189294.78</v>
      </c>
      <c r="W80" s="1405"/>
      <c r="X80" s="1404">
        <f>SUM(X73:X79)</f>
        <v>183590.39</v>
      </c>
      <c r="Y80" s="1405"/>
      <c r="Z80" s="1404">
        <f>SUM(Z73:Z79)</f>
        <v>188984.59</v>
      </c>
      <c r="AA80" s="1405"/>
      <c r="AB80" s="1404">
        <f>SUM(AB73:AB79)</f>
        <v>209737.61</v>
      </c>
      <c r="AC80" s="1405"/>
      <c r="AD80" s="1404">
        <f>SUM(AD73:AD79)</f>
        <v>165810.53</v>
      </c>
      <c r="AE80" s="1405"/>
      <c r="AF80" s="1404">
        <f>SUM(AF73:AF79)</f>
        <v>189084.28</v>
      </c>
      <c r="AG80" s="1405"/>
      <c r="AH80" s="1404">
        <f>SUM(AH73:AH79)</f>
        <v>2206952.04</v>
      </c>
      <c r="AI80" s="1574">
        <f>IF(AH$61=0,0,AH80/AH$61)</f>
        <v>3.5209601488618868E-2</v>
      </c>
      <c r="AJ80" s="14"/>
      <c r="AK80" s="1"/>
    </row>
    <row r="81" spans="2:37" s="7" customFormat="1" ht="15" outlineLevel="1">
      <c r="B81" s="34"/>
      <c r="D81" s="1399"/>
      <c r="E81" s="1399"/>
      <c r="F81" s="1399"/>
      <c r="G81" s="1399"/>
      <c r="H81" s="1399"/>
      <c r="I81" s="1399"/>
      <c r="J81" s="1406"/>
      <c r="K81" s="1405"/>
      <c r="L81" s="1406"/>
      <c r="M81" s="1405"/>
      <c r="N81" s="1406"/>
      <c r="O81" s="1405"/>
      <c r="P81" s="1406"/>
      <c r="Q81" s="1405"/>
      <c r="R81" s="1406"/>
      <c r="S81" s="1405"/>
      <c r="T81" s="1406"/>
      <c r="U81" s="1405"/>
      <c r="V81" s="1406"/>
      <c r="W81" s="1405"/>
      <c r="X81" s="1406"/>
      <c r="Y81" s="1405"/>
      <c r="Z81" s="1406"/>
      <c r="AA81" s="1405"/>
      <c r="AB81" s="1406"/>
      <c r="AC81" s="1405"/>
      <c r="AD81" s="1406"/>
      <c r="AE81" s="1405"/>
      <c r="AF81" s="1406"/>
      <c r="AG81" s="1405"/>
      <c r="AH81" s="1406"/>
      <c r="AI81" s="1573"/>
      <c r="AJ81" s="14"/>
      <c r="AK81" s="1"/>
    </row>
    <row r="82" spans="2:37" s="7" customFormat="1" ht="15" outlineLevel="1">
      <c r="B82" s="34" t="s">
        <v>187</v>
      </c>
      <c r="D82" s="1399"/>
      <c r="E82" s="1399"/>
      <c r="F82" s="1399"/>
      <c r="G82" s="1399"/>
      <c r="H82" s="1399"/>
      <c r="I82" s="1399"/>
      <c r="J82" s="1406"/>
      <c r="K82" s="1405"/>
      <c r="L82" s="1406"/>
      <c r="M82" s="1405"/>
      <c r="N82" s="1406"/>
      <c r="O82" s="1405"/>
      <c r="P82" s="1406"/>
      <c r="Q82" s="1405"/>
      <c r="R82" s="1406"/>
      <c r="S82" s="1405"/>
      <c r="T82" s="1406"/>
      <c r="U82" s="1405"/>
      <c r="V82" s="1406"/>
      <c r="W82" s="1405"/>
      <c r="X82" s="1406"/>
      <c r="Y82" s="1405"/>
      <c r="Z82" s="1406"/>
      <c r="AA82" s="1405"/>
      <c r="AB82" s="1406"/>
      <c r="AC82" s="1405"/>
      <c r="AD82" s="1406"/>
      <c r="AE82" s="1405"/>
      <c r="AF82" s="1406"/>
      <c r="AG82" s="1405"/>
      <c r="AH82" s="1406"/>
      <c r="AI82" s="1573"/>
      <c r="AJ82" s="14"/>
      <c r="AK82" s="1"/>
    </row>
    <row r="83" spans="2:37" outlineLevel="1">
      <c r="B83" s="71" t="s">
        <v>389</v>
      </c>
      <c r="D83" s="1396">
        <v>44161</v>
      </c>
      <c r="E83" s="1396" t="s">
        <v>58</v>
      </c>
      <c r="F83" s="1397"/>
      <c r="G83" s="1398"/>
      <c r="H83" s="1399"/>
      <c r="I83" s="1400"/>
      <c r="J83" s="1401">
        <v>51.59</v>
      </c>
      <c r="K83" s="1400"/>
      <c r="L83" s="1401">
        <v>19.170000000000002</v>
      </c>
      <c r="M83" s="1400"/>
      <c r="N83" s="1401">
        <v>0</v>
      </c>
      <c r="O83" s="1400"/>
      <c r="P83" s="1401">
        <v>0</v>
      </c>
      <c r="Q83" s="1400"/>
      <c r="R83" s="1401">
        <v>0</v>
      </c>
      <c r="S83" s="1400"/>
      <c r="T83" s="1401">
        <v>0</v>
      </c>
      <c r="U83" s="1400"/>
      <c r="V83" s="1401">
        <v>0</v>
      </c>
      <c r="W83" s="1400"/>
      <c r="X83" s="1401">
        <v>0</v>
      </c>
      <c r="Y83" s="1400"/>
      <c r="Z83" s="1401">
        <v>0</v>
      </c>
      <c r="AA83" s="1400"/>
      <c r="AB83" s="1401">
        <v>0</v>
      </c>
      <c r="AC83" s="1400"/>
      <c r="AD83" s="1401">
        <v>0</v>
      </c>
      <c r="AE83" s="1400"/>
      <c r="AF83" s="1401">
        <v>0</v>
      </c>
      <c r="AG83" s="1400"/>
      <c r="AH83" s="1401">
        <f t="shared" ref="AH83:AH85" si="10">AF83+AD83+AB83+Z83+X83+V83+T83+R83+P83+N83+L83+J83</f>
        <v>70.760000000000005</v>
      </c>
      <c r="AI83" s="1574">
        <f t="shared" ref="AI83:AI85" si="11">IF(AH$61=0,0,AH83/AH$61)</f>
        <v>1.1289014696190096E-6</v>
      </c>
      <c r="AJ83" s="11"/>
    </row>
    <row r="84" spans="2:37" outlineLevel="1">
      <c r="B84" s="71" t="s">
        <v>380</v>
      </c>
      <c r="D84" s="1396">
        <v>44168</v>
      </c>
      <c r="E84" s="1396" t="s">
        <v>220</v>
      </c>
      <c r="F84" s="1397"/>
      <c r="G84" s="1398"/>
      <c r="H84" s="1399"/>
      <c r="I84" s="1400"/>
      <c r="J84" s="1401">
        <v>51044.73</v>
      </c>
      <c r="K84" s="1400"/>
      <c r="L84" s="1401">
        <v>62009.19</v>
      </c>
      <c r="M84" s="1400"/>
      <c r="N84" s="1401">
        <v>61325.89</v>
      </c>
      <c r="O84" s="1400"/>
      <c r="P84" s="1401">
        <v>63143.59</v>
      </c>
      <c r="Q84" s="1400"/>
      <c r="R84" s="1401">
        <v>76559.44</v>
      </c>
      <c r="S84" s="1400"/>
      <c r="T84" s="1401">
        <v>87608.21</v>
      </c>
      <c r="U84" s="1400"/>
      <c r="V84" s="1401">
        <v>73861.83</v>
      </c>
      <c r="W84" s="1400"/>
      <c r="X84" s="1401">
        <v>80316.05</v>
      </c>
      <c r="Y84" s="1400"/>
      <c r="Z84" s="1401">
        <v>73014.41</v>
      </c>
      <c r="AA84" s="1400"/>
      <c r="AB84" s="1401">
        <v>83528.12</v>
      </c>
      <c r="AC84" s="1400"/>
      <c r="AD84" s="1401">
        <v>96117.79</v>
      </c>
      <c r="AE84" s="1400"/>
      <c r="AF84" s="1401">
        <v>83398.720000000001</v>
      </c>
      <c r="AG84" s="1400"/>
      <c r="AH84" s="1401">
        <f t="shared" si="10"/>
        <v>891927.97</v>
      </c>
      <c r="AI84" s="1574">
        <f t="shared" si="11"/>
        <v>1.4229773828819951E-2</v>
      </c>
      <c r="AJ84" s="11"/>
    </row>
    <row r="85" spans="2:37" outlineLevel="1">
      <c r="B85" s="71" t="s">
        <v>380</v>
      </c>
      <c r="D85" s="1396">
        <v>44169</v>
      </c>
      <c r="E85" s="1396" t="s">
        <v>390</v>
      </c>
      <c r="F85" s="1397"/>
      <c r="G85" s="1398"/>
      <c r="H85" s="1399"/>
      <c r="I85" s="1400"/>
      <c r="J85" s="1401">
        <v>824</v>
      </c>
      <c r="K85" s="1400"/>
      <c r="L85" s="1401">
        <v>839.2</v>
      </c>
      <c r="M85" s="1400"/>
      <c r="N85" s="1401">
        <v>0</v>
      </c>
      <c r="O85" s="1400"/>
      <c r="P85" s="1401">
        <v>449.6</v>
      </c>
      <c r="Q85" s="1400"/>
      <c r="R85" s="1401">
        <v>224.8</v>
      </c>
      <c r="S85" s="1400"/>
      <c r="T85" s="1401">
        <v>224.8</v>
      </c>
      <c r="U85" s="1400"/>
      <c r="V85" s="1401">
        <v>1068</v>
      </c>
      <c r="W85" s="1400"/>
      <c r="X85" s="1401">
        <v>224.8</v>
      </c>
      <c r="Y85" s="1400"/>
      <c r="Z85" s="1401">
        <v>224.8</v>
      </c>
      <c r="AA85" s="1400"/>
      <c r="AB85" s="1401">
        <v>224.8</v>
      </c>
      <c r="AC85" s="1400"/>
      <c r="AD85" s="1401">
        <v>329.8</v>
      </c>
      <c r="AE85" s="1400"/>
      <c r="AF85" s="1401">
        <v>197.8</v>
      </c>
      <c r="AG85" s="1400"/>
      <c r="AH85" s="1401">
        <f t="shared" si="10"/>
        <v>4832.4000000000005</v>
      </c>
      <c r="AI85" s="1574">
        <f t="shared" si="11"/>
        <v>7.7095865768610835E-5</v>
      </c>
      <c r="AJ85" s="11"/>
    </row>
    <row r="86" spans="2:37" s="7" customFormat="1" ht="5.0999999999999996" customHeight="1" outlineLevel="1">
      <c r="B86" s="1" t="s">
        <v>187</v>
      </c>
      <c r="D86" s="1397"/>
      <c r="E86" s="1397"/>
      <c r="F86" s="1397"/>
      <c r="G86" s="1397"/>
      <c r="H86" s="1399"/>
      <c r="I86" s="1399"/>
      <c r="J86" s="1407"/>
      <c r="K86" s="1405"/>
      <c r="L86" s="1407"/>
      <c r="M86" s="1405"/>
      <c r="N86" s="1407"/>
      <c r="O86" s="1405"/>
      <c r="P86" s="1407"/>
      <c r="Q86" s="1405"/>
      <c r="R86" s="1407"/>
      <c r="S86" s="1405"/>
      <c r="T86" s="1407"/>
      <c r="U86" s="1405"/>
      <c r="V86" s="1407"/>
      <c r="W86" s="1405"/>
      <c r="X86" s="1407"/>
      <c r="Y86" s="1405"/>
      <c r="Z86" s="1407"/>
      <c r="AA86" s="1405"/>
      <c r="AB86" s="1407"/>
      <c r="AC86" s="1405"/>
      <c r="AD86" s="1407"/>
      <c r="AE86" s="1405"/>
      <c r="AF86" s="1407"/>
      <c r="AG86" s="1405"/>
      <c r="AH86" s="1407"/>
      <c r="AI86" s="1573"/>
      <c r="AJ86" s="14"/>
      <c r="AK86" s="1"/>
    </row>
    <row r="87" spans="2:37" s="7" customFormat="1" ht="15">
      <c r="B87" s="1" t="s">
        <v>187</v>
      </c>
      <c r="D87" s="1399"/>
      <c r="E87" s="1399"/>
      <c r="F87" s="1397" t="s">
        <v>221</v>
      </c>
      <c r="G87" s="1411"/>
      <c r="H87" s="1411"/>
      <c r="I87" s="1411"/>
      <c r="J87" s="1404">
        <f>SUM(J82:J86)</f>
        <v>51920.32</v>
      </c>
      <c r="K87" s="1405"/>
      <c r="L87" s="1404">
        <f>SUM(L82:L86)</f>
        <v>62867.56</v>
      </c>
      <c r="M87" s="1405"/>
      <c r="N87" s="1404">
        <f>SUM(N82:N86)</f>
        <v>61325.89</v>
      </c>
      <c r="O87" s="1405"/>
      <c r="P87" s="1404">
        <f>SUM(P82:P86)</f>
        <v>63593.189999999995</v>
      </c>
      <c r="Q87" s="1405"/>
      <c r="R87" s="1404">
        <f>SUM(R82:R86)</f>
        <v>76784.240000000005</v>
      </c>
      <c r="S87" s="1405"/>
      <c r="T87" s="1404">
        <f>SUM(T82:T86)</f>
        <v>87833.010000000009</v>
      </c>
      <c r="U87" s="1405"/>
      <c r="V87" s="1404">
        <f>SUM(V82:V86)</f>
        <v>74929.83</v>
      </c>
      <c r="W87" s="1405"/>
      <c r="X87" s="1404">
        <f>SUM(X82:X86)</f>
        <v>80540.850000000006</v>
      </c>
      <c r="Y87" s="1405"/>
      <c r="Z87" s="1404">
        <f>SUM(Z82:Z86)</f>
        <v>73239.210000000006</v>
      </c>
      <c r="AA87" s="1405"/>
      <c r="AB87" s="1404">
        <f>SUM(AB82:AB86)</f>
        <v>83752.92</v>
      </c>
      <c r="AC87" s="1405"/>
      <c r="AD87" s="1404">
        <f>SUM(AD82:AD86)</f>
        <v>96447.59</v>
      </c>
      <c r="AE87" s="1405"/>
      <c r="AF87" s="1404">
        <f>SUM(AF82:AF86)</f>
        <v>83596.52</v>
      </c>
      <c r="AG87" s="1405"/>
      <c r="AH87" s="1404">
        <f>SUM(AH82:AH86)</f>
        <v>896831.13</v>
      </c>
      <c r="AI87" s="1574">
        <f>IF(AH$61=0,0,AH87/AH$61)</f>
        <v>1.4307998596058183E-2</v>
      </c>
      <c r="AJ87" s="14"/>
      <c r="AK87" s="1"/>
    </row>
    <row r="88" spans="2:37" s="7" customFormat="1" ht="15" outlineLevel="1">
      <c r="B88" s="34" t="s">
        <v>187</v>
      </c>
      <c r="D88" s="1399"/>
      <c r="E88" s="1399"/>
      <c r="F88" s="1399"/>
      <c r="G88" s="1399"/>
      <c r="H88" s="1399"/>
      <c r="I88" s="1399"/>
      <c r="J88" s="1406"/>
      <c r="K88" s="1405"/>
      <c r="L88" s="1406"/>
      <c r="M88" s="1405"/>
      <c r="N88" s="1406"/>
      <c r="O88" s="1405"/>
      <c r="P88" s="1406"/>
      <c r="Q88" s="1405"/>
      <c r="R88" s="1406"/>
      <c r="S88" s="1405"/>
      <c r="T88" s="1406"/>
      <c r="U88" s="1405"/>
      <c r="V88" s="1406"/>
      <c r="W88" s="1405"/>
      <c r="X88" s="1406"/>
      <c r="Y88" s="1405"/>
      <c r="Z88" s="1406"/>
      <c r="AA88" s="1405"/>
      <c r="AB88" s="1406"/>
      <c r="AC88" s="1405"/>
      <c r="AD88" s="1406"/>
      <c r="AE88" s="1405"/>
      <c r="AF88" s="1406"/>
      <c r="AG88" s="1405"/>
      <c r="AH88" s="1406"/>
      <c r="AI88" s="1573"/>
      <c r="AJ88" s="14"/>
      <c r="AK88" s="1"/>
    </row>
    <row r="89" spans="2:37" outlineLevel="1">
      <c r="B89" s="71" t="s">
        <v>391</v>
      </c>
      <c r="D89" s="1396"/>
      <c r="E89" s="1396"/>
      <c r="F89" s="1397"/>
      <c r="G89" s="1398"/>
      <c r="H89" s="1399"/>
      <c r="I89" s="1400"/>
      <c r="J89" s="1401"/>
      <c r="K89" s="1400"/>
      <c r="L89" s="1401"/>
      <c r="M89" s="1400"/>
      <c r="N89" s="1401"/>
      <c r="O89" s="1400"/>
      <c r="P89" s="1401"/>
      <c r="Q89" s="1400"/>
      <c r="R89" s="1401"/>
      <c r="S89" s="1400"/>
      <c r="T89" s="1401"/>
      <c r="U89" s="1400"/>
      <c r="V89" s="1401"/>
      <c r="W89" s="1400"/>
      <c r="X89" s="1401"/>
      <c r="Y89" s="1400"/>
      <c r="Z89" s="1401"/>
      <c r="AA89" s="1400"/>
      <c r="AB89" s="1401"/>
      <c r="AC89" s="1400"/>
      <c r="AD89" s="1401"/>
      <c r="AE89" s="1400"/>
      <c r="AF89" s="1401"/>
      <c r="AG89" s="1400"/>
      <c r="AH89" s="1401">
        <f>AF89+AD89+AB89+Z89+X89+V89+T89+R89+P89+N89+L89+J89</f>
        <v>0</v>
      </c>
      <c r="AI89" s="1574">
        <f>IF(AH$61=0,0,AH89/AH$61)</f>
        <v>0</v>
      </c>
      <c r="AJ89" s="11"/>
    </row>
    <row r="90" spans="2:37" s="7" customFormat="1" ht="4.5" customHeight="1" outlineLevel="1">
      <c r="B90" s="7" t="s">
        <v>187</v>
      </c>
      <c r="D90" s="1408"/>
      <c r="E90" s="1399"/>
      <c r="F90" s="1399"/>
      <c r="G90" s="1399"/>
      <c r="H90" s="1399"/>
      <c r="I90" s="1399"/>
      <c r="J90" s="1407"/>
      <c r="K90" s="1405"/>
      <c r="L90" s="1407"/>
      <c r="M90" s="1405"/>
      <c r="N90" s="1407"/>
      <c r="O90" s="1405"/>
      <c r="P90" s="1407"/>
      <c r="Q90" s="1405"/>
      <c r="R90" s="1407"/>
      <c r="S90" s="1405"/>
      <c r="T90" s="1407"/>
      <c r="U90" s="1405"/>
      <c r="V90" s="1407"/>
      <c r="W90" s="1405"/>
      <c r="X90" s="1407"/>
      <c r="Y90" s="1405"/>
      <c r="Z90" s="1407"/>
      <c r="AA90" s="1405"/>
      <c r="AB90" s="1407"/>
      <c r="AC90" s="1405"/>
      <c r="AD90" s="1407"/>
      <c r="AE90" s="1405"/>
      <c r="AF90" s="1407"/>
      <c r="AG90" s="1405"/>
      <c r="AH90" s="1407"/>
      <c r="AI90" s="1573"/>
      <c r="AJ90" s="14"/>
      <c r="AK90" s="1"/>
    </row>
    <row r="91" spans="2:37" s="7" customFormat="1" ht="15">
      <c r="B91" s="34" t="s">
        <v>187</v>
      </c>
      <c r="D91" s="1399"/>
      <c r="E91" s="1399"/>
      <c r="F91" s="1399" t="s">
        <v>222</v>
      </c>
      <c r="G91" s="1399"/>
      <c r="H91" s="1399"/>
      <c r="I91" s="1399"/>
      <c r="J91" s="1404">
        <f>SUM(J89:J90)</f>
        <v>0</v>
      </c>
      <c r="K91" s="1405"/>
      <c r="L91" s="1404">
        <f>SUM(L89:L90)</f>
        <v>0</v>
      </c>
      <c r="M91" s="1405"/>
      <c r="N91" s="1404">
        <f>SUM(N89:N90)</f>
        <v>0</v>
      </c>
      <c r="O91" s="1405"/>
      <c r="P91" s="1404">
        <f>SUM(P89:P90)</f>
        <v>0</v>
      </c>
      <c r="Q91" s="1405"/>
      <c r="R91" s="1404">
        <f>SUM(R89:R90)</f>
        <v>0</v>
      </c>
      <c r="S91" s="1405"/>
      <c r="T91" s="1404">
        <f>SUM(T89:T90)</f>
        <v>0</v>
      </c>
      <c r="U91" s="1405"/>
      <c r="V91" s="1404">
        <f>SUM(V89:V90)</f>
        <v>0</v>
      </c>
      <c r="W91" s="1405"/>
      <c r="X91" s="1404">
        <f>SUM(X89:X90)</f>
        <v>0</v>
      </c>
      <c r="Y91" s="1405"/>
      <c r="Z91" s="1404">
        <f>SUM(Z89:Z90)</f>
        <v>0</v>
      </c>
      <c r="AA91" s="1405"/>
      <c r="AB91" s="1404">
        <f>SUM(AB89:AB90)</f>
        <v>0</v>
      </c>
      <c r="AC91" s="1405"/>
      <c r="AD91" s="1404">
        <f>SUM(AD89:AD90)</f>
        <v>0</v>
      </c>
      <c r="AE91" s="1405"/>
      <c r="AF91" s="1404">
        <f>SUM(AF89:AF90)</f>
        <v>0</v>
      </c>
      <c r="AG91" s="1405"/>
      <c r="AH91" s="1404">
        <f>SUM(AH89:AH90)</f>
        <v>0</v>
      </c>
      <c r="AI91" s="1574">
        <f>IF(AH$61=0,0,AH91/AH$61)</f>
        <v>0</v>
      </c>
      <c r="AJ91" s="14"/>
      <c r="AK91" s="1"/>
    </row>
    <row r="92" spans="2:37" s="7" customFormat="1" ht="7.5" customHeight="1">
      <c r="B92" s="1" t="s">
        <v>187</v>
      </c>
      <c r="D92" s="1399"/>
      <c r="E92" s="1399"/>
      <c r="F92" s="1399"/>
      <c r="G92" s="1399"/>
      <c r="H92" s="1399"/>
      <c r="I92" s="1399"/>
      <c r="J92" s="1406"/>
      <c r="K92" s="1405"/>
      <c r="L92" s="1406"/>
      <c r="M92" s="1405"/>
      <c r="N92" s="1406"/>
      <c r="O92" s="1405"/>
      <c r="P92" s="1406"/>
      <c r="Q92" s="1405"/>
      <c r="R92" s="1406"/>
      <c r="S92" s="1405"/>
      <c r="T92" s="1406"/>
      <c r="U92" s="1405"/>
      <c r="V92" s="1406"/>
      <c r="W92" s="1405"/>
      <c r="X92" s="1406"/>
      <c r="Y92" s="1405"/>
      <c r="Z92" s="1406"/>
      <c r="AA92" s="1405"/>
      <c r="AB92" s="1406"/>
      <c r="AC92" s="1405"/>
      <c r="AD92" s="1406"/>
      <c r="AE92" s="1405"/>
      <c r="AF92" s="1406"/>
      <c r="AG92" s="1405"/>
      <c r="AH92" s="1406"/>
      <c r="AI92" s="1573"/>
      <c r="AJ92" s="14"/>
      <c r="AK92" s="1"/>
    </row>
    <row r="93" spans="2:37" s="7" customFormat="1" ht="15">
      <c r="B93" s="1" t="s">
        <v>187</v>
      </c>
      <c r="D93" s="1399"/>
      <c r="E93" s="1409" t="s">
        <v>223</v>
      </c>
      <c r="F93" s="1399"/>
      <c r="G93" s="1399"/>
      <c r="H93" s="1399"/>
      <c r="I93" s="1399"/>
      <c r="J93" s="1410">
        <f>+J67+J80+J87+J71+J91</f>
        <v>2185342.98</v>
      </c>
      <c r="K93" s="1405"/>
      <c r="L93" s="1410">
        <f>+L67+L80+L87+L71+L91</f>
        <v>2411528.2700000005</v>
      </c>
      <c r="M93" s="1405"/>
      <c r="N93" s="1410">
        <f>+N67+N80+N87+N71+N91</f>
        <v>1963677.3599999999</v>
      </c>
      <c r="O93" s="1405"/>
      <c r="P93" s="1410">
        <f>+P67+P80+P87+P71+P91</f>
        <v>2327147.13</v>
      </c>
      <c r="Q93" s="1405"/>
      <c r="R93" s="1410">
        <f>+R67+R80+R87+R71+R91</f>
        <v>2529784.5000000005</v>
      </c>
      <c r="S93" s="1405"/>
      <c r="T93" s="1410">
        <f>+T67+T80+T87+T71+T91</f>
        <v>2660257.7999999998</v>
      </c>
      <c r="U93" s="1405"/>
      <c r="V93" s="1410">
        <f>+V67+V80+V87+V71+V91</f>
        <v>2367927.29</v>
      </c>
      <c r="W93" s="1405"/>
      <c r="X93" s="1410">
        <f>+X67+X80+X87+X71+X91</f>
        <v>2598355.12</v>
      </c>
      <c r="Y93" s="1405"/>
      <c r="Z93" s="1410">
        <f>+Z67+Z80+Z87+Z71+Z91</f>
        <v>2521784.56</v>
      </c>
      <c r="AA93" s="1405"/>
      <c r="AB93" s="1410">
        <f>+AB67+AB80+AB87+AB71+AB91</f>
        <v>2586038.3999999994</v>
      </c>
      <c r="AC93" s="1405"/>
      <c r="AD93" s="1410">
        <f>+AD67+AD80+AD87+AD71+AD91</f>
        <v>2469481.3999999994</v>
      </c>
      <c r="AE93" s="1405"/>
      <c r="AF93" s="1410">
        <f>+AF67+AF80+AF87+AF71+AF91</f>
        <v>2371220.5499999998</v>
      </c>
      <c r="AG93" s="1405"/>
      <c r="AH93" s="1410">
        <f>+AH67+AH80+AH87+AH71+AH91</f>
        <v>28992545.359999996</v>
      </c>
      <c r="AI93" s="1574">
        <f>IF(AH$61=0,0,AH93/AH$61)</f>
        <v>0.46254560577868559</v>
      </c>
      <c r="AJ93" s="14"/>
      <c r="AK93" s="1"/>
    </row>
    <row r="94" spans="2:37" s="7" customFormat="1" ht="7.5" customHeight="1">
      <c r="B94" s="1" t="s">
        <v>187</v>
      </c>
      <c r="D94" s="1399"/>
      <c r="E94" s="1399"/>
      <c r="F94" s="1399"/>
      <c r="G94" s="1399"/>
      <c r="H94" s="1399"/>
      <c r="I94" s="1399"/>
      <c r="J94" s="1406"/>
      <c r="K94" s="1405"/>
      <c r="L94" s="1406"/>
      <c r="M94" s="1405"/>
      <c r="N94" s="1406"/>
      <c r="O94" s="1405"/>
      <c r="P94" s="1406"/>
      <c r="Q94" s="1405"/>
      <c r="R94" s="1406"/>
      <c r="S94" s="1405"/>
      <c r="T94" s="1406"/>
      <c r="U94" s="1405"/>
      <c r="V94" s="1406"/>
      <c r="W94" s="1405"/>
      <c r="X94" s="1406"/>
      <c r="Y94" s="1405"/>
      <c r="Z94" s="1406"/>
      <c r="AA94" s="1405"/>
      <c r="AB94" s="1406"/>
      <c r="AC94" s="1405"/>
      <c r="AD94" s="1406"/>
      <c r="AE94" s="1405"/>
      <c r="AF94" s="1406"/>
      <c r="AG94" s="1405"/>
      <c r="AH94" s="1406"/>
      <c r="AI94" s="1573"/>
      <c r="AJ94" s="14"/>
      <c r="AK94" s="1"/>
    </row>
    <row r="95" spans="2:37" s="7" customFormat="1" ht="15">
      <c r="B95" s="1" t="s">
        <v>187</v>
      </c>
      <c r="D95" s="1399"/>
      <c r="E95" s="1412" t="s">
        <v>224</v>
      </c>
      <c r="F95" s="1399"/>
      <c r="G95" s="1399"/>
      <c r="H95" s="1399"/>
      <c r="I95" s="1399"/>
      <c r="J95" s="1410">
        <f>J61-J93</f>
        <v>2774621.1599999997</v>
      </c>
      <c r="K95" s="1405"/>
      <c r="L95" s="1410">
        <f>L61-L93</f>
        <v>2685820.6900000004</v>
      </c>
      <c r="M95" s="1405"/>
      <c r="N95" s="1410">
        <f>N61-N93</f>
        <v>2900330.1100000008</v>
      </c>
      <c r="O95" s="1405"/>
      <c r="P95" s="1410">
        <f>P61-P93</f>
        <v>2903122.84</v>
      </c>
      <c r="Q95" s="1405"/>
      <c r="R95" s="1410">
        <f>R61-R93</f>
        <v>2778060.35</v>
      </c>
      <c r="S95" s="1405"/>
      <c r="T95" s="1410">
        <f>T61-T93</f>
        <v>2671993.6500000004</v>
      </c>
      <c r="U95" s="1405"/>
      <c r="V95" s="1410">
        <f>V61-V93</f>
        <v>2914376.290000001</v>
      </c>
      <c r="W95" s="1405"/>
      <c r="X95" s="1410">
        <f>X61-X93</f>
        <v>2684112.1300000008</v>
      </c>
      <c r="Y95" s="1405"/>
      <c r="Z95" s="1410">
        <f>Z61-Z93</f>
        <v>2822648.5199999991</v>
      </c>
      <c r="AA95" s="1405"/>
      <c r="AB95" s="1410">
        <f>AB61-AB93</f>
        <v>2918828.2000000011</v>
      </c>
      <c r="AC95" s="1405"/>
      <c r="AD95" s="1410">
        <f>AD61-AD93</f>
        <v>2758023.1899999995</v>
      </c>
      <c r="AE95" s="1405"/>
      <c r="AF95" s="1410">
        <f>AF61-AF93</f>
        <v>2875921.34</v>
      </c>
      <c r="AG95" s="1405"/>
      <c r="AH95" s="1410">
        <f>AH61-AH93</f>
        <v>33687858.470000014</v>
      </c>
      <c r="AI95" s="1574">
        <f>IF(AH$61=0,0,AH95/AH$61)</f>
        <v>0.53745439422131447</v>
      </c>
      <c r="AJ95" s="14"/>
      <c r="AK95" s="1"/>
    </row>
    <row r="96" spans="2:37" s="7" customFormat="1" ht="7.5" customHeight="1">
      <c r="B96" s="1" t="s">
        <v>187</v>
      </c>
      <c r="D96" s="1399"/>
      <c r="E96" s="1399"/>
      <c r="F96" s="1399"/>
      <c r="G96" s="1399"/>
      <c r="H96" s="1399"/>
      <c r="I96" s="1399"/>
      <c r="J96" s="1406"/>
      <c r="K96" s="1405"/>
      <c r="L96" s="1406"/>
      <c r="M96" s="1405"/>
      <c r="N96" s="1406"/>
      <c r="O96" s="1405"/>
      <c r="P96" s="1406"/>
      <c r="Q96" s="1405"/>
      <c r="R96" s="1406"/>
      <c r="S96" s="1405"/>
      <c r="T96" s="1406"/>
      <c r="U96" s="1405"/>
      <c r="V96" s="1406"/>
      <c r="W96" s="1405"/>
      <c r="X96" s="1406"/>
      <c r="Y96" s="1405"/>
      <c r="Z96" s="1406"/>
      <c r="AA96" s="1405"/>
      <c r="AB96" s="1406"/>
      <c r="AC96" s="1405"/>
      <c r="AD96" s="1406"/>
      <c r="AE96" s="1405"/>
      <c r="AF96" s="1406"/>
      <c r="AG96" s="1405"/>
      <c r="AH96" s="1406"/>
      <c r="AI96" s="1573"/>
      <c r="AJ96" s="14"/>
      <c r="AK96" s="1"/>
    </row>
    <row r="97" spans="2:37" s="7" customFormat="1" ht="15" outlineLevel="1">
      <c r="B97" s="1"/>
      <c r="D97" s="1399"/>
      <c r="E97" s="1399"/>
      <c r="F97" s="1399"/>
      <c r="G97" s="1399"/>
      <c r="H97" s="1399"/>
      <c r="I97" s="1399"/>
      <c r="J97" s="1406"/>
      <c r="K97" s="1405"/>
      <c r="L97" s="1406"/>
      <c r="M97" s="1405"/>
      <c r="N97" s="1406"/>
      <c r="O97" s="1405"/>
      <c r="P97" s="1406"/>
      <c r="Q97" s="1405"/>
      <c r="R97" s="1406"/>
      <c r="S97" s="1405"/>
      <c r="T97" s="1406"/>
      <c r="U97" s="1405"/>
      <c r="V97" s="1406"/>
      <c r="W97" s="1405"/>
      <c r="X97" s="1406"/>
      <c r="Y97" s="1405"/>
      <c r="Z97" s="1406"/>
      <c r="AA97" s="1405"/>
      <c r="AB97" s="1406"/>
      <c r="AC97" s="1405"/>
      <c r="AD97" s="1406"/>
      <c r="AE97" s="1405"/>
      <c r="AF97" s="1406"/>
      <c r="AG97" s="1405"/>
      <c r="AH97" s="1406"/>
      <c r="AI97" s="1573"/>
      <c r="AJ97" s="14"/>
      <c r="AK97" s="1"/>
    </row>
    <row r="98" spans="2:37" outlineLevel="1">
      <c r="B98" s="71" t="s">
        <v>392</v>
      </c>
      <c r="D98" s="1396">
        <v>50020</v>
      </c>
      <c r="E98" s="1396" t="s">
        <v>25</v>
      </c>
      <c r="F98" s="1397"/>
      <c r="G98" s="1398"/>
      <c r="H98" s="1399"/>
      <c r="I98" s="1400"/>
      <c r="J98" s="1401">
        <v>352004.27</v>
      </c>
      <c r="K98" s="1400"/>
      <c r="L98" s="1401">
        <v>405863.5</v>
      </c>
      <c r="M98" s="1400"/>
      <c r="N98" s="1401">
        <v>317987.78999999998</v>
      </c>
      <c r="O98" s="1400"/>
      <c r="P98" s="1401">
        <v>363343.55</v>
      </c>
      <c r="Q98" s="1400"/>
      <c r="R98" s="1401">
        <v>380794.6</v>
      </c>
      <c r="S98" s="1400"/>
      <c r="T98" s="1401">
        <v>390055.28</v>
      </c>
      <c r="U98" s="1400"/>
      <c r="V98" s="1401">
        <v>356798.89</v>
      </c>
      <c r="W98" s="1400"/>
      <c r="X98" s="1401">
        <v>413480.08</v>
      </c>
      <c r="Y98" s="1400"/>
      <c r="Z98" s="1401">
        <v>387040.05</v>
      </c>
      <c r="AA98" s="1400"/>
      <c r="AB98" s="1401">
        <v>391630.97</v>
      </c>
      <c r="AC98" s="1400"/>
      <c r="AD98" s="1401">
        <v>421346.61</v>
      </c>
      <c r="AE98" s="1400"/>
      <c r="AF98" s="1401">
        <v>368500.34</v>
      </c>
      <c r="AG98" s="1400"/>
      <c r="AH98" s="1401">
        <f t="shared" ref="AH98:AH111" si="12">AF98+AD98+AB98+Z98+X98+V98+T98+R98+P98+N98+L98+J98</f>
        <v>4548845.93</v>
      </c>
      <c r="AI98" s="1574">
        <f t="shared" ref="AI98:AI111" si="13">IF(AH$61=0,0,AH98/AH$61)</f>
        <v>7.2572058443293522E-2</v>
      </c>
      <c r="AJ98" s="11"/>
    </row>
    <row r="99" spans="2:37" outlineLevel="1">
      <c r="B99" s="71" t="s">
        <v>380</v>
      </c>
      <c r="D99" s="1396">
        <v>50025</v>
      </c>
      <c r="E99" s="1396" t="s">
        <v>26</v>
      </c>
      <c r="F99" s="1397"/>
      <c r="G99" s="1398"/>
      <c r="H99" s="1399"/>
      <c r="I99" s="1400"/>
      <c r="J99" s="1401">
        <v>79129.09</v>
      </c>
      <c r="K99" s="1400"/>
      <c r="L99" s="1401">
        <v>92911.4</v>
      </c>
      <c r="M99" s="1400"/>
      <c r="N99" s="1401">
        <v>58164.77</v>
      </c>
      <c r="O99" s="1400"/>
      <c r="P99" s="1401">
        <v>99067.09</v>
      </c>
      <c r="Q99" s="1400"/>
      <c r="R99" s="1401">
        <v>89756.01</v>
      </c>
      <c r="S99" s="1400"/>
      <c r="T99" s="1401">
        <v>131408.41</v>
      </c>
      <c r="U99" s="1400"/>
      <c r="V99" s="1401">
        <v>96260.19</v>
      </c>
      <c r="W99" s="1400"/>
      <c r="X99" s="1401">
        <v>124273.14</v>
      </c>
      <c r="Y99" s="1400"/>
      <c r="Z99" s="1401">
        <v>114335.91</v>
      </c>
      <c r="AA99" s="1400"/>
      <c r="AB99" s="1401">
        <v>124022.41</v>
      </c>
      <c r="AC99" s="1400"/>
      <c r="AD99" s="1401">
        <v>87415.05</v>
      </c>
      <c r="AE99" s="1400"/>
      <c r="AF99" s="1401">
        <v>133399.88</v>
      </c>
      <c r="AG99" s="1400"/>
      <c r="AH99" s="1401">
        <f t="shared" si="12"/>
        <v>1230143.3500000001</v>
      </c>
      <c r="AI99" s="1574">
        <f t="shared" si="13"/>
        <v>1.9625644935797791E-2</v>
      </c>
      <c r="AJ99" s="11"/>
    </row>
    <row r="100" spans="2:37" outlineLevel="1">
      <c r="B100" s="71" t="s">
        <v>380</v>
      </c>
      <c r="D100" s="1396">
        <v>50035</v>
      </c>
      <c r="E100" s="1396" t="s">
        <v>27</v>
      </c>
      <c r="F100" s="1397"/>
      <c r="G100" s="1398"/>
      <c r="H100" s="1399"/>
      <c r="I100" s="1400"/>
      <c r="J100" s="1401">
        <v>-19867.54</v>
      </c>
      <c r="K100" s="1400"/>
      <c r="L100" s="1401">
        <v>15111.91</v>
      </c>
      <c r="M100" s="1400"/>
      <c r="N100" s="1401">
        <v>6125.6</v>
      </c>
      <c r="O100" s="1400"/>
      <c r="P100" s="1401">
        <v>6125.6</v>
      </c>
      <c r="Q100" s="1400"/>
      <c r="R100" s="1401">
        <v>31832.959999999999</v>
      </c>
      <c r="S100" s="1400"/>
      <c r="T100" s="1401">
        <v>12874.63</v>
      </c>
      <c r="U100" s="1400"/>
      <c r="V100" s="1401">
        <v>13436.88</v>
      </c>
      <c r="W100" s="1400"/>
      <c r="X100" s="1401">
        <v>16189.57</v>
      </c>
      <c r="Y100" s="1400"/>
      <c r="Z100" s="1401">
        <v>13244.41</v>
      </c>
      <c r="AA100" s="1400"/>
      <c r="AB100" s="1401">
        <v>13244.41</v>
      </c>
      <c r="AC100" s="1400"/>
      <c r="AD100" s="1401">
        <v>-9899.89</v>
      </c>
      <c r="AE100" s="1400"/>
      <c r="AF100" s="1401">
        <v>6654.17</v>
      </c>
      <c r="AG100" s="1400"/>
      <c r="AH100" s="1401">
        <f t="shared" si="12"/>
        <v>105072.70999999999</v>
      </c>
      <c r="AI100" s="1574">
        <f t="shared" si="13"/>
        <v>1.6763247136214244E-3</v>
      </c>
      <c r="AJ100" s="11"/>
    </row>
    <row r="101" spans="2:37" outlineLevel="1">
      <c r="B101" s="71" t="s">
        <v>380</v>
      </c>
      <c r="D101" s="1396">
        <v>50036</v>
      </c>
      <c r="E101" s="1396" t="s">
        <v>257</v>
      </c>
      <c r="F101" s="1397"/>
      <c r="G101" s="1398"/>
      <c r="H101" s="1399"/>
      <c r="I101" s="1400"/>
      <c r="J101" s="1401">
        <v>0</v>
      </c>
      <c r="K101" s="1400"/>
      <c r="L101" s="1401">
        <v>0</v>
      </c>
      <c r="M101" s="1400"/>
      <c r="N101" s="1401">
        <v>0</v>
      </c>
      <c r="O101" s="1400"/>
      <c r="P101" s="1401">
        <v>0</v>
      </c>
      <c r="Q101" s="1400"/>
      <c r="R101" s="1401">
        <v>0</v>
      </c>
      <c r="S101" s="1400"/>
      <c r="T101" s="1401">
        <v>497.52</v>
      </c>
      <c r="U101" s="1400"/>
      <c r="V101" s="1401">
        <v>0</v>
      </c>
      <c r="W101" s="1400"/>
      <c r="X101" s="1401">
        <v>26500</v>
      </c>
      <c r="Y101" s="1400"/>
      <c r="Z101" s="1401">
        <v>0</v>
      </c>
      <c r="AA101" s="1400"/>
      <c r="AB101" s="1401">
        <v>0</v>
      </c>
      <c r="AC101" s="1400"/>
      <c r="AD101" s="1401">
        <v>0</v>
      </c>
      <c r="AE101" s="1400"/>
      <c r="AF101" s="1401">
        <v>0</v>
      </c>
      <c r="AG101" s="1400"/>
      <c r="AH101" s="1401">
        <f t="shared" si="12"/>
        <v>26997.52</v>
      </c>
      <c r="AI101" s="1574">
        <f t="shared" si="13"/>
        <v>4.3071707184947147E-4</v>
      </c>
      <c r="AJ101" s="11"/>
    </row>
    <row r="102" spans="2:37" outlineLevel="1">
      <c r="B102" s="71" t="s">
        <v>380</v>
      </c>
      <c r="D102" s="1396">
        <v>50045</v>
      </c>
      <c r="E102" s="1396" t="s">
        <v>29</v>
      </c>
      <c r="F102" s="1397"/>
      <c r="G102" s="1398"/>
      <c r="H102" s="1399"/>
      <c r="I102" s="1400"/>
      <c r="J102" s="1401">
        <v>681.03</v>
      </c>
      <c r="K102" s="1400"/>
      <c r="L102" s="1401">
        <v>0</v>
      </c>
      <c r="M102" s="1400"/>
      <c r="N102" s="1401">
        <v>0</v>
      </c>
      <c r="O102" s="1400"/>
      <c r="P102" s="1401">
        <v>0</v>
      </c>
      <c r="Q102" s="1400"/>
      <c r="R102" s="1401">
        <v>148.05000000000001</v>
      </c>
      <c r="S102" s="1400"/>
      <c r="T102" s="1401">
        <v>954.66</v>
      </c>
      <c r="U102" s="1400"/>
      <c r="V102" s="1401">
        <v>4467.12</v>
      </c>
      <c r="W102" s="1400"/>
      <c r="X102" s="1401">
        <v>2384.5500000000002</v>
      </c>
      <c r="Y102" s="1400"/>
      <c r="Z102" s="1401">
        <v>528</v>
      </c>
      <c r="AA102" s="1400"/>
      <c r="AB102" s="1401">
        <v>-174.08</v>
      </c>
      <c r="AC102" s="1400"/>
      <c r="AD102" s="1401">
        <v>143.78</v>
      </c>
      <c r="AE102" s="1400"/>
      <c r="AF102" s="1401">
        <v>0</v>
      </c>
      <c r="AG102" s="1400"/>
      <c r="AH102" s="1401">
        <f t="shared" si="12"/>
        <v>9133.11</v>
      </c>
      <c r="AI102" s="1574">
        <f t="shared" si="13"/>
        <v>1.4570917610503211E-4</v>
      </c>
      <c r="AJ102" s="11"/>
    </row>
    <row r="103" spans="2:37" outlineLevel="1">
      <c r="B103" s="71" t="s">
        <v>380</v>
      </c>
      <c r="D103" s="1396">
        <v>50050</v>
      </c>
      <c r="E103" s="1396" t="s">
        <v>158</v>
      </c>
      <c r="F103" s="1397"/>
      <c r="G103" s="1398"/>
      <c r="H103" s="1399"/>
      <c r="I103" s="1400"/>
      <c r="J103" s="1401">
        <v>35900.379999999997</v>
      </c>
      <c r="K103" s="1400"/>
      <c r="L103" s="1401">
        <v>46087.27</v>
      </c>
      <c r="M103" s="1400"/>
      <c r="N103" s="1401">
        <v>34509.699999999997</v>
      </c>
      <c r="O103" s="1400"/>
      <c r="P103" s="1401">
        <v>40925.18</v>
      </c>
      <c r="Q103" s="1400"/>
      <c r="R103" s="1401">
        <v>45347.519999999997</v>
      </c>
      <c r="S103" s="1400"/>
      <c r="T103" s="1401">
        <v>45571.55</v>
      </c>
      <c r="U103" s="1400"/>
      <c r="V103" s="1401">
        <v>41415.83</v>
      </c>
      <c r="W103" s="1400"/>
      <c r="X103" s="1401">
        <v>51544.45</v>
      </c>
      <c r="Y103" s="1400"/>
      <c r="Z103" s="1401">
        <v>42574.93</v>
      </c>
      <c r="AA103" s="1400"/>
      <c r="AB103" s="1401">
        <v>43302.77</v>
      </c>
      <c r="AC103" s="1400"/>
      <c r="AD103" s="1401">
        <v>40529.730000000003</v>
      </c>
      <c r="AE103" s="1400"/>
      <c r="AF103" s="1401">
        <v>41353.96</v>
      </c>
      <c r="AG103" s="1400"/>
      <c r="AH103" s="1401">
        <f t="shared" si="12"/>
        <v>509063.27</v>
      </c>
      <c r="AI103" s="1574">
        <f t="shared" si="13"/>
        <v>8.12156972346041E-3</v>
      </c>
      <c r="AJ103" s="11"/>
    </row>
    <row r="104" spans="2:37" outlineLevel="1">
      <c r="B104" s="71" t="s">
        <v>380</v>
      </c>
      <c r="D104" s="1396">
        <v>50060</v>
      </c>
      <c r="E104" s="1396" t="s">
        <v>70</v>
      </c>
      <c r="F104" s="1397"/>
      <c r="G104" s="1398"/>
      <c r="H104" s="1399"/>
      <c r="I104" s="1400"/>
      <c r="J104" s="1401">
        <v>35015.660000000003</v>
      </c>
      <c r="K104" s="1400"/>
      <c r="L104" s="1401">
        <v>34839.660000000003</v>
      </c>
      <c r="M104" s="1400"/>
      <c r="N104" s="1401">
        <v>39584.75</v>
      </c>
      <c r="O104" s="1400"/>
      <c r="P104" s="1401">
        <v>38526.559999999998</v>
      </c>
      <c r="Q104" s="1400"/>
      <c r="R104" s="1401">
        <v>39336.61</v>
      </c>
      <c r="S104" s="1400"/>
      <c r="T104" s="1401">
        <v>35129.22</v>
      </c>
      <c r="U104" s="1400"/>
      <c r="V104" s="1401">
        <v>37778.03</v>
      </c>
      <c r="W104" s="1400"/>
      <c r="X104" s="1401">
        <v>40633</v>
      </c>
      <c r="Y104" s="1400"/>
      <c r="Z104" s="1401">
        <v>41573.360000000001</v>
      </c>
      <c r="AA104" s="1400"/>
      <c r="AB104" s="1401">
        <v>41161.760000000002</v>
      </c>
      <c r="AC104" s="1400"/>
      <c r="AD104" s="1401">
        <v>38079.21</v>
      </c>
      <c r="AE104" s="1400"/>
      <c r="AF104" s="1401">
        <v>42667.43</v>
      </c>
      <c r="AG104" s="1400"/>
      <c r="AH104" s="1401">
        <f t="shared" si="12"/>
        <v>464325.25</v>
      </c>
      <c r="AI104" s="1574">
        <f t="shared" si="13"/>
        <v>7.4078216097542959E-3</v>
      </c>
      <c r="AJ104" s="11"/>
    </row>
    <row r="105" spans="2:37" outlineLevel="1">
      <c r="B105" s="71" t="s">
        <v>380</v>
      </c>
      <c r="D105" s="1396">
        <v>50065</v>
      </c>
      <c r="E105" s="1396" t="s">
        <v>22</v>
      </c>
      <c r="F105" s="1397"/>
      <c r="G105" s="1398"/>
      <c r="H105" s="1399"/>
      <c r="I105" s="1400"/>
      <c r="J105" s="1401">
        <v>28791.81</v>
      </c>
      <c r="K105" s="1400"/>
      <c r="L105" s="1401">
        <v>4332.03</v>
      </c>
      <c r="M105" s="1400"/>
      <c r="N105" s="1401">
        <v>17671.669999999998</v>
      </c>
      <c r="O105" s="1400"/>
      <c r="P105" s="1401">
        <v>22762.58</v>
      </c>
      <c r="Q105" s="1400"/>
      <c r="R105" s="1401">
        <v>43554.18</v>
      </c>
      <c r="S105" s="1400"/>
      <c r="T105" s="1401">
        <v>20341.11</v>
      </c>
      <c r="U105" s="1400"/>
      <c r="V105" s="1401">
        <v>33560.42</v>
      </c>
      <c r="W105" s="1400"/>
      <c r="X105" s="1401">
        <v>22724.81</v>
      </c>
      <c r="Y105" s="1400"/>
      <c r="Z105" s="1401">
        <v>26036.15</v>
      </c>
      <c r="AA105" s="1400"/>
      <c r="AB105" s="1401">
        <v>21487.85</v>
      </c>
      <c r="AC105" s="1400"/>
      <c r="AD105" s="1401">
        <v>24268.74</v>
      </c>
      <c r="AE105" s="1400"/>
      <c r="AF105" s="1401">
        <v>19400.8</v>
      </c>
      <c r="AG105" s="1400"/>
      <c r="AH105" s="1401">
        <f t="shared" si="12"/>
        <v>284932.15000000002</v>
      </c>
      <c r="AI105" s="1574">
        <f t="shared" si="13"/>
        <v>4.545793144102658E-3</v>
      </c>
      <c r="AJ105" s="11"/>
    </row>
    <row r="106" spans="2:37" outlineLevel="1">
      <c r="B106" s="71" t="s">
        <v>380</v>
      </c>
      <c r="D106" s="1396">
        <v>50070</v>
      </c>
      <c r="E106" s="1396" t="s">
        <v>23</v>
      </c>
      <c r="F106" s="1397"/>
      <c r="G106" s="1398"/>
      <c r="H106" s="1399"/>
      <c r="I106" s="1400"/>
      <c r="J106" s="1401">
        <v>10581.09</v>
      </c>
      <c r="K106" s="1400"/>
      <c r="L106" s="1401">
        <v>9778.42</v>
      </c>
      <c r="M106" s="1400"/>
      <c r="N106" s="1401">
        <v>26571.45</v>
      </c>
      <c r="O106" s="1400"/>
      <c r="P106" s="1401">
        <v>16786.38</v>
      </c>
      <c r="Q106" s="1400"/>
      <c r="R106" s="1401">
        <v>16736.72</v>
      </c>
      <c r="S106" s="1400"/>
      <c r="T106" s="1401">
        <v>13128.58</v>
      </c>
      <c r="U106" s="1400"/>
      <c r="V106" s="1401">
        <v>14402.92</v>
      </c>
      <c r="W106" s="1400"/>
      <c r="X106" s="1401">
        <v>17020.16</v>
      </c>
      <c r="Y106" s="1400"/>
      <c r="Z106" s="1401">
        <v>6646.22</v>
      </c>
      <c r="AA106" s="1400"/>
      <c r="AB106" s="1401">
        <v>10123.040000000001</v>
      </c>
      <c r="AC106" s="1400"/>
      <c r="AD106" s="1401">
        <v>11216.64</v>
      </c>
      <c r="AE106" s="1400"/>
      <c r="AF106" s="1401">
        <v>12524.7</v>
      </c>
      <c r="AG106" s="1400"/>
      <c r="AH106" s="1401">
        <f t="shared" si="12"/>
        <v>165516.32000000004</v>
      </c>
      <c r="AI106" s="1574">
        <f t="shared" si="13"/>
        <v>2.6406390177208918E-3</v>
      </c>
      <c r="AJ106" s="11"/>
    </row>
    <row r="107" spans="2:37" outlineLevel="1">
      <c r="B107" s="71" t="s">
        <v>380</v>
      </c>
      <c r="D107" s="1396">
        <v>50086</v>
      </c>
      <c r="E107" s="1396" t="s">
        <v>61</v>
      </c>
      <c r="F107" s="1397"/>
      <c r="G107" s="1398"/>
      <c r="H107" s="1399"/>
      <c r="I107" s="1400"/>
      <c r="J107" s="1401">
        <v>11266.79</v>
      </c>
      <c r="K107" s="1400"/>
      <c r="L107" s="1401">
        <v>20535.86</v>
      </c>
      <c r="M107" s="1400"/>
      <c r="N107" s="1401">
        <v>10551.33</v>
      </c>
      <c r="O107" s="1400"/>
      <c r="P107" s="1401">
        <v>11232.19</v>
      </c>
      <c r="Q107" s="1400"/>
      <c r="R107" s="1401">
        <v>11451.66</v>
      </c>
      <c r="S107" s="1400"/>
      <c r="T107" s="1401">
        <v>8854.5499999999993</v>
      </c>
      <c r="U107" s="1400"/>
      <c r="V107" s="1401">
        <v>13136.03</v>
      </c>
      <c r="W107" s="1400"/>
      <c r="X107" s="1401">
        <v>7365.6</v>
      </c>
      <c r="Y107" s="1400"/>
      <c r="Z107" s="1401">
        <v>17804.78</v>
      </c>
      <c r="AA107" s="1400"/>
      <c r="AB107" s="1401">
        <v>5061.49</v>
      </c>
      <c r="AC107" s="1400"/>
      <c r="AD107" s="1401">
        <v>17855.48</v>
      </c>
      <c r="AE107" s="1400"/>
      <c r="AF107" s="1401">
        <v>23653.08</v>
      </c>
      <c r="AG107" s="1400"/>
      <c r="AH107" s="1401">
        <f t="shared" si="12"/>
        <v>158768.84</v>
      </c>
      <c r="AI107" s="1574">
        <f t="shared" si="13"/>
        <v>2.532990062262654E-3</v>
      </c>
      <c r="AJ107" s="11"/>
    </row>
    <row r="108" spans="2:37" outlineLevel="1">
      <c r="B108" s="71" t="s">
        <v>380</v>
      </c>
      <c r="D108" s="1396">
        <v>50090</v>
      </c>
      <c r="E108" s="1396" t="s">
        <v>41</v>
      </c>
      <c r="F108" s="1397"/>
      <c r="G108" s="1398"/>
      <c r="H108" s="1399"/>
      <c r="I108" s="1400"/>
      <c r="J108" s="1401">
        <v>6556.24</v>
      </c>
      <c r="K108" s="1400"/>
      <c r="L108" s="1401">
        <v>5343.68</v>
      </c>
      <c r="M108" s="1400"/>
      <c r="N108" s="1401">
        <v>3786.38</v>
      </c>
      <c r="O108" s="1400"/>
      <c r="P108" s="1401">
        <v>5201.8999999999996</v>
      </c>
      <c r="Q108" s="1400"/>
      <c r="R108" s="1401">
        <v>2654.27</v>
      </c>
      <c r="S108" s="1400"/>
      <c r="T108" s="1401">
        <v>4431.42</v>
      </c>
      <c r="U108" s="1400"/>
      <c r="V108" s="1401">
        <v>5808.85</v>
      </c>
      <c r="W108" s="1400"/>
      <c r="X108" s="1401">
        <v>3779.2</v>
      </c>
      <c r="Y108" s="1400"/>
      <c r="Z108" s="1401">
        <v>3760.73</v>
      </c>
      <c r="AA108" s="1400"/>
      <c r="AB108" s="1401">
        <v>4488.5600000000004</v>
      </c>
      <c r="AC108" s="1400"/>
      <c r="AD108" s="1401">
        <v>4167.2</v>
      </c>
      <c r="AE108" s="1400"/>
      <c r="AF108" s="1401">
        <v>7547.65</v>
      </c>
      <c r="AG108" s="1400"/>
      <c r="AH108" s="1401">
        <f t="shared" si="12"/>
        <v>57526.079999999994</v>
      </c>
      <c r="AI108" s="1574">
        <f t="shared" si="13"/>
        <v>9.1776817769107834E-4</v>
      </c>
      <c r="AJ108" s="11"/>
    </row>
    <row r="109" spans="2:37" outlineLevel="1">
      <c r="B109" s="71" t="s">
        <v>380</v>
      </c>
      <c r="D109" s="1396">
        <v>50115</v>
      </c>
      <c r="E109" s="1396" t="s">
        <v>116</v>
      </c>
      <c r="F109" s="1397"/>
      <c r="G109" s="1398"/>
      <c r="H109" s="1399"/>
      <c r="I109" s="1400"/>
      <c r="J109" s="1401">
        <v>1094.1400000000001</v>
      </c>
      <c r="K109" s="1400"/>
      <c r="L109" s="1401">
        <v>46129.5</v>
      </c>
      <c r="M109" s="1400"/>
      <c r="N109" s="1401">
        <v>3656.4</v>
      </c>
      <c r="O109" s="1400"/>
      <c r="P109" s="1401">
        <v>4128.21</v>
      </c>
      <c r="Q109" s="1400"/>
      <c r="R109" s="1401">
        <v>4403.22</v>
      </c>
      <c r="S109" s="1400"/>
      <c r="T109" s="1401">
        <v>5680.28</v>
      </c>
      <c r="U109" s="1400"/>
      <c r="V109" s="1401">
        <v>5405.6</v>
      </c>
      <c r="W109" s="1400"/>
      <c r="X109" s="1401">
        <v>8160.43</v>
      </c>
      <c r="Y109" s="1400"/>
      <c r="Z109" s="1401">
        <v>6194.39</v>
      </c>
      <c r="AA109" s="1400"/>
      <c r="AB109" s="1401">
        <v>6971.95</v>
      </c>
      <c r="AC109" s="1400"/>
      <c r="AD109" s="1401">
        <v>6005.26</v>
      </c>
      <c r="AE109" s="1400"/>
      <c r="AF109" s="1401">
        <v>5481.79</v>
      </c>
      <c r="AG109" s="1400"/>
      <c r="AH109" s="1401">
        <f t="shared" si="12"/>
        <v>103311.17</v>
      </c>
      <c r="AI109" s="1574">
        <f t="shared" si="13"/>
        <v>1.6482211933445353E-3</v>
      </c>
      <c r="AJ109" s="11"/>
    </row>
    <row r="110" spans="2:37" outlineLevel="1">
      <c r="B110" s="71" t="s">
        <v>380</v>
      </c>
      <c r="D110" s="1396">
        <v>50116</v>
      </c>
      <c r="E110" s="1396" t="s">
        <v>112</v>
      </c>
      <c r="F110" s="1397"/>
      <c r="G110" s="1398"/>
      <c r="H110" s="1399"/>
      <c r="I110" s="1400"/>
      <c r="J110" s="1401">
        <v>59772.85</v>
      </c>
      <c r="K110" s="1400"/>
      <c r="L110" s="1401">
        <v>59678</v>
      </c>
      <c r="M110" s="1400"/>
      <c r="N110" s="1401">
        <v>59772.85</v>
      </c>
      <c r="O110" s="1400"/>
      <c r="P110" s="1401">
        <v>59678</v>
      </c>
      <c r="Q110" s="1400"/>
      <c r="R110" s="1401">
        <v>59678</v>
      </c>
      <c r="S110" s="1400"/>
      <c r="T110" s="1401">
        <v>59678</v>
      </c>
      <c r="U110" s="1400"/>
      <c r="V110" s="1401">
        <v>59678</v>
      </c>
      <c r="W110" s="1400"/>
      <c r="X110" s="1401">
        <v>58579.3</v>
      </c>
      <c r="Y110" s="1400"/>
      <c r="Z110" s="1401">
        <v>59572</v>
      </c>
      <c r="AA110" s="1400"/>
      <c r="AB110" s="1401">
        <v>59761.7</v>
      </c>
      <c r="AC110" s="1400"/>
      <c r="AD110" s="1401">
        <v>59572</v>
      </c>
      <c r="AE110" s="1400"/>
      <c r="AF110" s="1401">
        <v>59666.85</v>
      </c>
      <c r="AG110" s="1400"/>
      <c r="AH110" s="1401">
        <f t="shared" si="12"/>
        <v>715087.54999999993</v>
      </c>
      <c r="AI110" s="1574">
        <f t="shared" si="13"/>
        <v>1.1408470691086163E-2</v>
      </c>
      <c r="AJ110" s="11"/>
    </row>
    <row r="111" spans="2:37" outlineLevel="1">
      <c r="B111" s="71" t="s">
        <v>380</v>
      </c>
      <c r="D111" s="1396">
        <v>50117</v>
      </c>
      <c r="E111" s="1396" t="s">
        <v>115</v>
      </c>
      <c r="F111" s="1397"/>
      <c r="G111" s="1398"/>
      <c r="H111" s="1399"/>
      <c r="I111" s="1400"/>
      <c r="J111" s="1401">
        <v>39155.61</v>
      </c>
      <c r="K111" s="1400"/>
      <c r="L111" s="1401">
        <v>43262.69</v>
      </c>
      <c r="M111" s="1400"/>
      <c r="N111" s="1401">
        <v>37243.949999999997</v>
      </c>
      <c r="O111" s="1400"/>
      <c r="P111" s="1401">
        <v>39512.269999999997</v>
      </c>
      <c r="Q111" s="1400"/>
      <c r="R111" s="1401">
        <v>41420.1</v>
      </c>
      <c r="S111" s="1400"/>
      <c r="T111" s="1401">
        <v>43613.02</v>
      </c>
      <c r="U111" s="1400"/>
      <c r="V111" s="1401">
        <v>37999.01</v>
      </c>
      <c r="W111" s="1400"/>
      <c r="X111" s="1401">
        <v>42462.74</v>
      </c>
      <c r="Y111" s="1400"/>
      <c r="Z111" s="1401">
        <v>40626.660000000003</v>
      </c>
      <c r="AA111" s="1400"/>
      <c r="AB111" s="1401">
        <v>39663.919999999998</v>
      </c>
      <c r="AC111" s="1400"/>
      <c r="AD111" s="1401">
        <v>43786.48</v>
      </c>
      <c r="AE111" s="1400"/>
      <c r="AF111" s="1401">
        <v>38513.01</v>
      </c>
      <c r="AG111" s="1400"/>
      <c r="AH111" s="1401">
        <f t="shared" si="12"/>
        <v>487259.46</v>
      </c>
      <c r="AI111" s="1574">
        <f t="shared" si="13"/>
        <v>7.7737128388887088E-3</v>
      </c>
      <c r="AJ111" s="11"/>
    </row>
    <row r="112" spans="2:37" s="7" customFormat="1" ht="5.0999999999999996" customHeight="1" outlineLevel="1">
      <c r="B112" s="34" t="s">
        <v>187</v>
      </c>
      <c r="D112" s="1397"/>
      <c r="E112" s="1397"/>
      <c r="F112" s="1397"/>
      <c r="G112" s="1397"/>
      <c r="H112" s="1399"/>
      <c r="I112" s="1399"/>
      <c r="J112" s="1407"/>
      <c r="K112" s="1405"/>
      <c r="L112" s="1407"/>
      <c r="M112" s="1405"/>
      <c r="N112" s="1407"/>
      <c r="O112" s="1405"/>
      <c r="P112" s="1407"/>
      <c r="Q112" s="1405"/>
      <c r="R112" s="1407"/>
      <c r="S112" s="1405"/>
      <c r="T112" s="1407"/>
      <c r="U112" s="1405"/>
      <c r="V112" s="1407"/>
      <c r="W112" s="1405"/>
      <c r="X112" s="1407"/>
      <c r="Y112" s="1405"/>
      <c r="Z112" s="1407"/>
      <c r="AA112" s="1405"/>
      <c r="AB112" s="1407"/>
      <c r="AC112" s="1405"/>
      <c r="AD112" s="1407"/>
      <c r="AE112" s="1405"/>
      <c r="AF112" s="1407"/>
      <c r="AG112" s="1405"/>
      <c r="AH112" s="1407"/>
      <c r="AI112" s="1573"/>
      <c r="AJ112" s="14"/>
      <c r="AK112" s="1"/>
    </row>
    <row r="113" spans="2:37" s="7" customFormat="1" ht="15">
      <c r="B113" s="34" t="s">
        <v>187</v>
      </c>
      <c r="D113" s="1399"/>
      <c r="E113" s="1399"/>
      <c r="F113" s="1397" t="s">
        <v>225</v>
      </c>
      <c r="G113" s="1399"/>
      <c r="H113" s="1399"/>
      <c r="I113" s="1399"/>
      <c r="J113" s="1404">
        <f>SUM(J97:J112)</f>
        <v>640081.42000000004</v>
      </c>
      <c r="K113" s="1405"/>
      <c r="L113" s="1404">
        <f>SUM(L97:L112)</f>
        <v>783873.92000000016</v>
      </c>
      <c r="M113" s="1405"/>
      <c r="N113" s="1404">
        <f>SUM(N97:N112)</f>
        <v>615626.64</v>
      </c>
      <c r="O113" s="1405"/>
      <c r="P113" s="1404">
        <f>SUM(P97:P112)</f>
        <v>707289.50999999989</v>
      </c>
      <c r="Q113" s="1405"/>
      <c r="R113" s="1404">
        <f>SUM(R97:R112)</f>
        <v>767113.9</v>
      </c>
      <c r="S113" s="1405"/>
      <c r="T113" s="1404">
        <f>SUM(T97:T112)</f>
        <v>772218.23000000021</v>
      </c>
      <c r="U113" s="1405"/>
      <c r="V113" s="1404">
        <f>SUM(V97:V112)</f>
        <v>720147.77000000014</v>
      </c>
      <c r="W113" s="1405"/>
      <c r="X113" s="1404">
        <f>SUM(X97:X112)</f>
        <v>835097.03</v>
      </c>
      <c r="Y113" s="1405"/>
      <c r="Z113" s="1404">
        <f>SUM(Z97:Z112)</f>
        <v>759937.59</v>
      </c>
      <c r="AA113" s="1405"/>
      <c r="AB113" s="1404">
        <f>SUM(AB97:AB112)</f>
        <v>760746.75000000012</v>
      </c>
      <c r="AC113" s="1405"/>
      <c r="AD113" s="1404">
        <f>SUM(AD97:AD112)</f>
        <v>744486.28999999992</v>
      </c>
      <c r="AE113" s="1405"/>
      <c r="AF113" s="1404">
        <f>SUM(AF97:AF112)</f>
        <v>759363.66</v>
      </c>
      <c r="AG113" s="1405"/>
      <c r="AH113" s="1404">
        <f>SUM(AH97:AH112)</f>
        <v>8865982.709999999</v>
      </c>
      <c r="AI113" s="1574">
        <f>IF(AH$61=0,0,AH113/AH$61)</f>
        <v>0.14144744079897864</v>
      </c>
      <c r="AJ113" s="14"/>
      <c r="AK113" s="1"/>
    </row>
    <row r="114" spans="2:37" s="7" customFormat="1" ht="15" outlineLevel="1">
      <c r="D114" s="1399"/>
      <c r="E114" s="1399"/>
      <c r="F114" s="1399"/>
      <c r="G114" s="1399"/>
      <c r="H114" s="1399"/>
      <c r="I114" s="1399"/>
      <c r="J114" s="1406"/>
      <c r="K114" s="1405"/>
      <c r="L114" s="1406"/>
      <c r="M114" s="1405"/>
      <c r="N114" s="1406"/>
      <c r="O114" s="1405"/>
      <c r="P114" s="1406"/>
      <c r="Q114" s="1405"/>
      <c r="R114" s="1406"/>
      <c r="S114" s="1405"/>
      <c r="T114" s="1406"/>
      <c r="U114" s="1405"/>
      <c r="V114" s="1406"/>
      <c r="W114" s="1405"/>
      <c r="X114" s="1406"/>
      <c r="Y114" s="1405"/>
      <c r="Z114" s="1406"/>
      <c r="AA114" s="1405"/>
      <c r="AB114" s="1406"/>
      <c r="AC114" s="1405"/>
      <c r="AD114" s="1406"/>
      <c r="AE114" s="1405"/>
      <c r="AF114" s="1406"/>
      <c r="AG114" s="1405"/>
      <c r="AH114" s="1406"/>
      <c r="AI114" s="1573"/>
      <c r="AJ114" s="14"/>
      <c r="AK114" s="1"/>
    </row>
    <row r="115" spans="2:37" outlineLevel="1">
      <c r="B115" s="71" t="s">
        <v>393</v>
      </c>
      <c r="D115" s="1396">
        <v>51295</v>
      </c>
      <c r="E115" s="1396" t="s">
        <v>155</v>
      </c>
      <c r="F115" s="1397"/>
      <c r="G115" s="1398"/>
      <c r="H115" s="1399"/>
      <c r="I115" s="1400"/>
      <c r="J115" s="1401">
        <v>9558.3799999999992</v>
      </c>
      <c r="K115" s="1400"/>
      <c r="L115" s="1401">
        <v>12388.01</v>
      </c>
      <c r="M115" s="1400"/>
      <c r="N115" s="1401">
        <v>9943.18</v>
      </c>
      <c r="O115" s="1400"/>
      <c r="P115" s="1401">
        <v>11679.33</v>
      </c>
      <c r="Q115" s="1400"/>
      <c r="R115" s="1401">
        <v>10462.719999999999</v>
      </c>
      <c r="S115" s="1400"/>
      <c r="T115" s="1401">
        <v>10462.73</v>
      </c>
      <c r="U115" s="1400"/>
      <c r="V115" s="1401">
        <v>10462.73</v>
      </c>
      <c r="W115" s="1400"/>
      <c r="X115" s="1401">
        <v>10432.57</v>
      </c>
      <c r="Y115" s="1400"/>
      <c r="Z115" s="1401">
        <v>10391.07</v>
      </c>
      <c r="AA115" s="1400"/>
      <c r="AB115" s="1401">
        <v>13680.29</v>
      </c>
      <c r="AC115" s="1400"/>
      <c r="AD115" s="1401">
        <v>10368.41</v>
      </c>
      <c r="AE115" s="1400"/>
      <c r="AF115" s="1401">
        <v>21089</v>
      </c>
      <c r="AG115" s="1400"/>
      <c r="AH115" s="1401">
        <f>AF115+AD115+AB115+Z115+X115+V115+T115+R115+P115+N115+L115+J115</f>
        <v>140918.42000000001</v>
      </c>
      <c r="AI115" s="1574">
        <f>IF(AH$61=0,0,AH115/AH$61)</f>
        <v>2.2482053622723125E-3</v>
      </c>
      <c r="AJ115" s="11"/>
    </row>
    <row r="116" spans="2:37" s="7" customFormat="1" ht="5.0999999999999996" customHeight="1" outlineLevel="1">
      <c r="B116" s="1" t="s">
        <v>187</v>
      </c>
      <c r="D116" s="1397"/>
      <c r="E116" s="1397"/>
      <c r="F116" s="1397"/>
      <c r="G116" s="1397"/>
      <c r="H116" s="1399"/>
      <c r="I116" s="1399"/>
      <c r="J116" s="1407"/>
      <c r="K116" s="1405"/>
      <c r="L116" s="1407"/>
      <c r="M116" s="1405"/>
      <c r="N116" s="1407"/>
      <c r="O116" s="1405"/>
      <c r="P116" s="1407"/>
      <c r="Q116" s="1405"/>
      <c r="R116" s="1407"/>
      <c r="S116" s="1405"/>
      <c r="T116" s="1407"/>
      <c r="U116" s="1405"/>
      <c r="V116" s="1407"/>
      <c r="W116" s="1405"/>
      <c r="X116" s="1407"/>
      <c r="Y116" s="1405"/>
      <c r="Z116" s="1407"/>
      <c r="AA116" s="1405"/>
      <c r="AB116" s="1407"/>
      <c r="AC116" s="1405"/>
      <c r="AD116" s="1407"/>
      <c r="AE116" s="1405"/>
      <c r="AF116" s="1407"/>
      <c r="AG116" s="1405"/>
      <c r="AH116" s="1407"/>
      <c r="AI116" s="1573"/>
      <c r="AJ116" s="14"/>
      <c r="AK116" s="1"/>
    </row>
    <row r="117" spans="2:37" s="7" customFormat="1" ht="15">
      <c r="B117" s="1"/>
      <c r="D117" s="1399"/>
      <c r="E117" s="1399"/>
      <c r="F117" s="1397" t="s">
        <v>226</v>
      </c>
      <c r="G117" s="1399"/>
      <c r="H117" s="1399"/>
      <c r="I117" s="1399"/>
      <c r="J117" s="1404">
        <f>SUM(J115:J116)</f>
        <v>9558.3799999999992</v>
      </c>
      <c r="K117" s="1405"/>
      <c r="L117" s="1404">
        <f>SUM(L115:L116)</f>
        <v>12388.01</v>
      </c>
      <c r="M117" s="1405"/>
      <c r="N117" s="1404">
        <f>SUM(N115:N116)</f>
        <v>9943.18</v>
      </c>
      <c r="O117" s="1405"/>
      <c r="P117" s="1404">
        <f>SUM(P115:P116)</f>
        <v>11679.33</v>
      </c>
      <c r="Q117" s="1405"/>
      <c r="R117" s="1404">
        <f>SUM(R115:R116)</f>
        <v>10462.719999999999</v>
      </c>
      <c r="S117" s="1405"/>
      <c r="T117" s="1404">
        <f>SUM(T115:T116)</f>
        <v>10462.73</v>
      </c>
      <c r="U117" s="1405"/>
      <c r="V117" s="1404">
        <f>SUM(V115:V116)</f>
        <v>10462.73</v>
      </c>
      <c r="W117" s="1405"/>
      <c r="X117" s="1404">
        <f>SUM(X115:X116)</f>
        <v>10432.57</v>
      </c>
      <c r="Y117" s="1405"/>
      <c r="Z117" s="1404">
        <f>SUM(Z115:Z116)</f>
        <v>10391.07</v>
      </c>
      <c r="AA117" s="1405"/>
      <c r="AB117" s="1404">
        <f>SUM(AB115:AB116)</f>
        <v>13680.29</v>
      </c>
      <c r="AC117" s="1405"/>
      <c r="AD117" s="1404">
        <f>SUM(AD115:AD116)</f>
        <v>10368.41</v>
      </c>
      <c r="AE117" s="1405"/>
      <c r="AF117" s="1404">
        <f>SUM(AF115:AF116)</f>
        <v>21089</v>
      </c>
      <c r="AG117" s="1405"/>
      <c r="AH117" s="1404">
        <f>SUM(AH115:AH116)</f>
        <v>140918.42000000001</v>
      </c>
      <c r="AI117" s="1574">
        <f>IF(AH$61=0,0,AH117/AH$61)</f>
        <v>2.2482053622723125E-3</v>
      </c>
      <c r="AJ117" s="14"/>
      <c r="AK117" s="1"/>
    </row>
    <row r="118" spans="2:37" s="7" customFormat="1" ht="15" outlineLevel="1">
      <c r="B118" s="1"/>
      <c r="D118" s="1399"/>
      <c r="E118" s="1399"/>
      <c r="F118" s="1399"/>
      <c r="G118" s="1399"/>
      <c r="H118" s="1399"/>
      <c r="I118" s="1399"/>
      <c r="J118" s="1406"/>
      <c r="K118" s="1405"/>
      <c r="L118" s="1406"/>
      <c r="M118" s="1405"/>
      <c r="N118" s="1406"/>
      <c r="O118" s="1405"/>
      <c r="P118" s="1406"/>
      <c r="Q118" s="1405"/>
      <c r="R118" s="1406"/>
      <c r="S118" s="1405"/>
      <c r="T118" s="1406"/>
      <c r="U118" s="1405"/>
      <c r="V118" s="1406"/>
      <c r="W118" s="1405"/>
      <c r="X118" s="1406"/>
      <c r="Y118" s="1405"/>
      <c r="Z118" s="1406"/>
      <c r="AA118" s="1405"/>
      <c r="AB118" s="1406"/>
      <c r="AC118" s="1405"/>
      <c r="AD118" s="1406"/>
      <c r="AE118" s="1405"/>
      <c r="AF118" s="1406"/>
      <c r="AG118" s="1405"/>
      <c r="AH118" s="1406"/>
      <c r="AI118" s="1573"/>
      <c r="AJ118" s="14"/>
      <c r="AK118" s="1"/>
    </row>
    <row r="119" spans="2:37" s="7" customFormat="1" ht="15" outlineLevel="1">
      <c r="B119" s="1"/>
      <c r="D119" s="1399"/>
      <c r="E119" s="1399"/>
      <c r="F119" s="1399"/>
      <c r="G119" s="1399"/>
      <c r="H119" s="1399"/>
      <c r="I119" s="1399"/>
      <c r="J119" s="1406"/>
      <c r="K119" s="1405"/>
      <c r="L119" s="1406"/>
      <c r="M119" s="1405"/>
      <c r="N119" s="1406"/>
      <c r="O119" s="1405"/>
      <c r="P119" s="1406"/>
      <c r="Q119" s="1405"/>
      <c r="R119" s="1406"/>
      <c r="S119" s="1405"/>
      <c r="T119" s="1406"/>
      <c r="U119" s="1405"/>
      <c r="V119" s="1406"/>
      <c r="W119" s="1405"/>
      <c r="X119" s="1406"/>
      <c r="Y119" s="1405"/>
      <c r="Z119" s="1406"/>
      <c r="AA119" s="1405"/>
      <c r="AB119" s="1406"/>
      <c r="AC119" s="1405"/>
      <c r="AD119" s="1406"/>
      <c r="AE119" s="1405"/>
      <c r="AF119" s="1406"/>
      <c r="AG119" s="1405"/>
      <c r="AH119" s="1406"/>
      <c r="AI119" s="1573"/>
      <c r="AJ119" s="14"/>
      <c r="AK119" s="1"/>
    </row>
    <row r="120" spans="2:37" outlineLevel="1">
      <c r="B120" s="71" t="s">
        <v>394</v>
      </c>
      <c r="D120" s="1396">
        <v>52010</v>
      </c>
      <c r="E120" s="1396" t="s">
        <v>17</v>
      </c>
      <c r="F120" s="1397"/>
      <c r="G120" s="1398"/>
      <c r="H120" s="1399"/>
      <c r="I120" s="1400"/>
      <c r="J120" s="1401">
        <v>7684.01</v>
      </c>
      <c r="K120" s="1400"/>
      <c r="L120" s="1401">
        <v>8436.5</v>
      </c>
      <c r="M120" s="1400"/>
      <c r="N120" s="1401">
        <v>7501.88</v>
      </c>
      <c r="O120" s="1400"/>
      <c r="P120" s="1401">
        <v>7813.42</v>
      </c>
      <c r="Q120" s="1400"/>
      <c r="R120" s="1401">
        <v>8124.96</v>
      </c>
      <c r="S120" s="1400"/>
      <c r="T120" s="1401">
        <v>8436.5</v>
      </c>
      <c r="U120" s="1400"/>
      <c r="V120" s="1401">
        <v>7501.88</v>
      </c>
      <c r="W120" s="1400"/>
      <c r="X120" s="1401">
        <v>8615.6299999999992</v>
      </c>
      <c r="Y120" s="1400"/>
      <c r="Z120" s="1401">
        <v>8296.2900000000009</v>
      </c>
      <c r="AA120" s="1400"/>
      <c r="AB120" s="1401">
        <v>7976.97</v>
      </c>
      <c r="AC120" s="1400"/>
      <c r="AD120" s="1401">
        <v>8615.6200000000008</v>
      </c>
      <c r="AE120" s="1400"/>
      <c r="AF120" s="1401">
        <v>7976.97</v>
      </c>
      <c r="AG120" s="1400"/>
      <c r="AH120" s="1401">
        <f t="shared" ref="AH120:AH142" si="14">AF120+AD120+AB120+Z120+X120+V120+T120+R120+P120+N120+L120+J120</f>
        <v>96980.63</v>
      </c>
      <c r="AI120" s="1574">
        <f t="shared" ref="AI120:AI142" si="15">IF(AH$61=0,0,AH120/AH$61)</f>
        <v>1.5472240776084993E-3</v>
      </c>
      <c r="AJ120" s="11"/>
    </row>
    <row r="121" spans="2:37" outlineLevel="1">
      <c r="B121" s="71" t="s">
        <v>380</v>
      </c>
      <c r="D121" s="1396">
        <v>52020</v>
      </c>
      <c r="E121" s="1396" t="s">
        <v>25</v>
      </c>
      <c r="F121" s="1397"/>
      <c r="G121" s="1398"/>
      <c r="H121" s="1399"/>
      <c r="I121" s="1400"/>
      <c r="J121" s="1401">
        <v>75673.48</v>
      </c>
      <c r="K121" s="1400"/>
      <c r="L121" s="1401">
        <v>92188.23</v>
      </c>
      <c r="M121" s="1400"/>
      <c r="N121" s="1401">
        <v>62307.68</v>
      </c>
      <c r="O121" s="1400"/>
      <c r="P121" s="1401">
        <v>75329.070000000007</v>
      </c>
      <c r="Q121" s="1400"/>
      <c r="R121" s="1401">
        <v>86439.09</v>
      </c>
      <c r="S121" s="1400"/>
      <c r="T121" s="1401">
        <v>82270.47</v>
      </c>
      <c r="U121" s="1400"/>
      <c r="V121" s="1401">
        <v>75599.61</v>
      </c>
      <c r="W121" s="1400"/>
      <c r="X121" s="1401">
        <v>86254.36</v>
      </c>
      <c r="Y121" s="1400"/>
      <c r="Z121" s="1401">
        <v>77235.86</v>
      </c>
      <c r="AA121" s="1400"/>
      <c r="AB121" s="1401">
        <v>81829.679999999993</v>
      </c>
      <c r="AC121" s="1400"/>
      <c r="AD121" s="1401">
        <v>89514.42</v>
      </c>
      <c r="AE121" s="1400"/>
      <c r="AF121" s="1401">
        <v>75678.850000000006</v>
      </c>
      <c r="AG121" s="1400"/>
      <c r="AH121" s="1401">
        <f t="shared" si="14"/>
        <v>960320.79999999993</v>
      </c>
      <c r="AI121" s="1574">
        <f t="shared" si="15"/>
        <v>1.5320909587700719E-2</v>
      </c>
      <c r="AJ121" s="11"/>
    </row>
    <row r="122" spans="2:37" outlineLevel="1">
      <c r="B122" s="71" t="s">
        <v>380</v>
      </c>
      <c r="D122" s="1396">
        <v>52025</v>
      </c>
      <c r="E122" s="1396" t="s">
        <v>26</v>
      </c>
      <c r="F122" s="1397"/>
      <c r="G122" s="1398"/>
      <c r="H122" s="1399"/>
      <c r="I122" s="1400"/>
      <c r="J122" s="1401">
        <v>10309.36</v>
      </c>
      <c r="K122" s="1400"/>
      <c r="L122" s="1401">
        <v>15178.45</v>
      </c>
      <c r="M122" s="1400"/>
      <c r="N122" s="1401">
        <v>11077.74</v>
      </c>
      <c r="O122" s="1400"/>
      <c r="P122" s="1401">
        <v>20858.39</v>
      </c>
      <c r="Q122" s="1400"/>
      <c r="R122" s="1401">
        <v>16802.23</v>
      </c>
      <c r="S122" s="1400"/>
      <c r="T122" s="1401">
        <v>17819.689999999999</v>
      </c>
      <c r="U122" s="1400"/>
      <c r="V122" s="1401">
        <v>12596.22</v>
      </c>
      <c r="W122" s="1400"/>
      <c r="X122" s="1401">
        <v>17466.34</v>
      </c>
      <c r="Y122" s="1400"/>
      <c r="Z122" s="1401">
        <v>20659.13</v>
      </c>
      <c r="AA122" s="1400"/>
      <c r="AB122" s="1401">
        <v>17440.68</v>
      </c>
      <c r="AC122" s="1400"/>
      <c r="AD122" s="1401">
        <v>15522.84</v>
      </c>
      <c r="AE122" s="1400"/>
      <c r="AF122" s="1401">
        <v>18403.61</v>
      </c>
      <c r="AG122" s="1400"/>
      <c r="AH122" s="1401">
        <f t="shared" si="14"/>
        <v>194134.68</v>
      </c>
      <c r="AI122" s="1574">
        <f t="shared" si="15"/>
        <v>3.0972148891466383E-3</v>
      </c>
      <c r="AJ122" s="11"/>
    </row>
    <row r="123" spans="2:37" outlineLevel="1">
      <c r="B123" s="71" t="s">
        <v>380</v>
      </c>
      <c r="D123" s="1396">
        <v>52035</v>
      </c>
      <c r="E123" s="1396" t="s">
        <v>27</v>
      </c>
      <c r="F123" s="1397"/>
      <c r="G123" s="1398"/>
      <c r="H123" s="1399"/>
      <c r="I123" s="1400"/>
      <c r="J123" s="1401">
        <v>-9656.1299999999992</v>
      </c>
      <c r="K123" s="1400"/>
      <c r="L123" s="1401">
        <v>147.44999999999999</v>
      </c>
      <c r="M123" s="1400"/>
      <c r="N123" s="1401">
        <v>2147.46</v>
      </c>
      <c r="O123" s="1400"/>
      <c r="P123" s="1401">
        <v>2147.46</v>
      </c>
      <c r="Q123" s="1400"/>
      <c r="R123" s="1401">
        <v>8265.9599999999991</v>
      </c>
      <c r="S123" s="1400"/>
      <c r="T123" s="1401">
        <v>3920.83</v>
      </c>
      <c r="U123" s="1400"/>
      <c r="V123" s="1401">
        <v>1670.83</v>
      </c>
      <c r="W123" s="1400"/>
      <c r="X123" s="1401">
        <v>3500.49</v>
      </c>
      <c r="Y123" s="1400"/>
      <c r="Z123" s="1401">
        <v>3400.07</v>
      </c>
      <c r="AA123" s="1400"/>
      <c r="AB123" s="1401">
        <v>3400.07</v>
      </c>
      <c r="AC123" s="1400"/>
      <c r="AD123" s="1401">
        <v>-3783.54</v>
      </c>
      <c r="AE123" s="1400"/>
      <c r="AF123" s="1401">
        <v>1816.67</v>
      </c>
      <c r="AG123" s="1400"/>
      <c r="AH123" s="1401">
        <f t="shared" si="14"/>
        <v>16977.619999999995</v>
      </c>
      <c r="AI123" s="1574">
        <f t="shared" si="15"/>
        <v>2.7086009282974963E-4</v>
      </c>
      <c r="AJ123" s="11"/>
    </row>
    <row r="124" spans="2:37" outlineLevel="1">
      <c r="B124" s="71" t="s">
        <v>380</v>
      </c>
      <c r="D124" s="1396">
        <v>52036</v>
      </c>
      <c r="E124" s="1396" t="s">
        <v>257</v>
      </c>
      <c r="F124" s="1397"/>
      <c r="G124" s="1398"/>
      <c r="H124" s="1399"/>
      <c r="I124" s="1400"/>
      <c r="J124" s="1401">
        <v>0</v>
      </c>
      <c r="K124" s="1400"/>
      <c r="L124" s="1401">
        <v>2500</v>
      </c>
      <c r="M124" s="1400"/>
      <c r="N124" s="1401">
        <v>0</v>
      </c>
      <c r="O124" s="1400"/>
      <c r="P124" s="1401">
        <v>0</v>
      </c>
      <c r="Q124" s="1400"/>
      <c r="R124" s="1401">
        <v>0</v>
      </c>
      <c r="S124" s="1400"/>
      <c r="T124" s="1401">
        <v>0</v>
      </c>
      <c r="U124" s="1400"/>
      <c r="V124" s="1401">
        <v>0</v>
      </c>
      <c r="W124" s="1400"/>
      <c r="X124" s="1401">
        <v>0</v>
      </c>
      <c r="Y124" s="1400"/>
      <c r="Z124" s="1401">
        <v>0</v>
      </c>
      <c r="AA124" s="1400"/>
      <c r="AB124" s="1401">
        <v>0</v>
      </c>
      <c r="AC124" s="1400"/>
      <c r="AD124" s="1401">
        <v>2500</v>
      </c>
      <c r="AE124" s="1400"/>
      <c r="AF124" s="1401">
        <v>0</v>
      </c>
      <c r="AG124" s="1400"/>
      <c r="AH124" s="1401">
        <f t="shared" si="14"/>
        <v>5000</v>
      </c>
      <c r="AI124" s="1574">
        <f t="shared" si="15"/>
        <v>7.9769747711914182E-5</v>
      </c>
      <c r="AJ124" s="11"/>
    </row>
    <row r="125" spans="2:37" outlineLevel="1">
      <c r="B125" s="71" t="s">
        <v>380</v>
      </c>
      <c r="D125" s="1396">
        <v>52050</v>
      </c>
      <c r="E125" s="1396" t="s">
        <v>158</v>
      </c>
      <c r="F125" s="1397"/>
      <c r="G125" s="1398"/>
      <c r="H125" s="1399"/>
      <c r="I125" s="1400"/>
      <c r="J125" s="1401">
        <v>7210.42</v>
      </c>
      <c r="K125" s="1400"/>
      <c r="L125" s="1401">
        <v>10575.23</v>
      </c>
      <c r="M125" s="1400"/>
      <c r="N125" s="1401">
        <v>6396.65</v>
      </c>
      <c r="O125" s="1400"/>
      <c r="P125" s="1401">
        <v>8863.9500000000007</v>
      </c>
      <c r="Q125" s="1400"/>
      <c r="R125" s="1401">
        <v>10086.75</v>
      </c>
      <c r="S125" s="1400"/>
      <c r="T125" s="1401">
        <v>9211.2999999999993</v>
      </c>
      <c r="U125" s="1400"/>
      <c r="V125" s="1401">
        <v>8363.2800000000007</v>
      </c>
      <c r="W125" s="1400"/>
      <c r="X125" s="1401">
        <v>9560.8700000000008</v>
      </c>
      <c r="Y125" s="1400"/>
      <c r="Z125" s="1401">
        <v>8813.33</v>
      </c>
      <c r="AA125" s="1400"/>
      <c r="AB125" s="1401">
        <v>8706.6299999999992</v>
      </c>
      <c r="AC125" s="1400"/>
      <c r="AD125" s="1401">
        <v>9024.25</v>
      </c>
      <c r="AE125" s="1400"/>
      <c r="AF125" s="1401">
        <v>8089.5</v>
      </c>
      <c r="AG125" s="1400"/>
      <c r="AH125" s="1401">
        <f t="shared" si="14"/>
        <v>104902.15999999999</v>
      </c>
      <c r="AI125" s="1574">
        <f t="shared" si="15"/>
        <v>1.6736037675269709E-3</v>
      </c>
      <c r="AJ125" s="11"/>
    </row>
    <row r="126" spans="2:37" outlineLevel="1">
      <c r="B126" s="71" t="s">
        <v>380</v>
      </c>
      <c r="D126" s="1396">
        <v>52060</v>
      </c>
      <c r="E126" s="1396" t="s">
        <v>70</v>
      </c>
      <c r="F126" s="1397"/>
      <c r="G126" s="1398"/>
      <c r="H126" s="1399"/>
      <c r="I126" s="1400"/>
      <c r="J126" s="1401">
        <v>20674.21</v>
      </c>
      <c r="K126" s="1400"/>
      <c r="L126" s="1401">
        <v>21692.639999999999</v>
      </c>
      <c r="M126" s="1400"/>
      <c r="N126" s="1401">
        <v>21484.11</v>
      </c>
      <c r="O126" s="1400"/>
      <c r="P126" s="1401">
        <v>21663.8</v>
      </c>
      <c r="Q126" s="1400"/>
      <c r="R126" s="1401">
        <v>22679.91</v>
      </c>
      <c r="S126" s="1400"/>
      <c r="T126" s="1401">
        <v>21241.18</v>
      </c>
      <c r="U126" s="1400"/>
      <c r="V126" s="1401">
        <v>22389.72</v>
      </c>
      <c r="W126" s="1400"/>
      <c r="X126" s="1401">
        <v>22485.07</v>
      </c>
      <c r="Y126" s="1400"/>
      <c r="Z126" s="1401">
        <v>22726.1</v>
      </c>
      <c r="AA126" s="1400"/>
      <c r="AB126" s="1401">
        <v>22508.3</v>
      </c>
      <c r="AC126" s="1400"/>
      <c r="AD126" s="1401">
        <v>20916.98</v>
      </c>
      <c r="AE126" s="1400"/>
      <c r="AF126" s="1401">
        <v>22526.5</v>
      </c>
      <c r="AG126" s="1400"/>
      <c r="AH126" s="1401">
        <f t="shared" si="14"/>
        <v>262988.52</v>
      </c>
      <c r="AI126" s="1574">
        <f t="shared" si="15"/>
        <v>4.1957055783059397E-3</v>
      </c>
      <c r="AJ126" s="11"/>
    </row>
    <row r="127" spans="2:37" outlineLevel="1">
      <c r="B127" s="71" t="s">
        <v>380</v>
      </c>
      <c r="D127" s="1396">
        <v>52065</v>
      </c>
      <c r="E127" s="1396" t="s">
        <v>22</v>
      </c>
      <c r="F127" s="1397"/>
      <c r="G127" s="1398"/>
      <c r="H127" s="1399"/>
      <c r="I127" s="1400"/>
      <c r="J127" s="1401">
        <v>2997.68</v>
      </c>
      <c r="K127" s="1400"/>
      <c r="L127" s="1401">
        <v>4925.68</v>
      </c>
      <c r="M127" s="1400"/>
      <c r="N127" s="1401">
        <v>-7925.13</v>
      </c>
      <c r="O127" s="1400"/>
      <c r="P127" s="1401">
        <v>4801.6899999999996</v>
      </c>
      <c r="Q127" s="1400"/>
      <c r="R127" s="1401">
        <v>2079.6799999999998</v>
      </c>
      <c r="S127" s="1400"/>
      <c r="T127" s="1401">
        <v>6292.26</v>
      </c>
      <c r="U127" s="1400"/>
      <c r="V127" s="1401">
        <v>4459.3500000000004</v>
      </c>
      <c r="W127" s="1400"/>
      <c r="X127" s="1401">
        <v>4134.09</v>
      </c>
      <c r="Y127" s="1400"/>
      <c r="Z127" s="1401">
        <v>5201.3999999999996</v>
      </c>
      <c r="AA127" s="1400"/>
      <c r="AB127" s="1401">
        <v>3401.82</v>
      </c>
      <c r="AC127" s="1400"/>
      <c r="AD127" s="1401">
        <v>4073.57</v>
      </c>
      <c r="AE127" s="1400"/>
      <c r="AF127" s="1401">
        <v>3406.47</v>
      </c>
      <c r="AG127" s="1400"/>
      <c r="AH127" s="1401">
        <f t="shared" si="14"/>
        <v>37848.560000000005</v>
      </c>
      <c r="AI127" s="1574">
        <f t="shared" si="15"/>
        <v>6.0383401649184937E-4</v>
      </c>
      <c r="AJ127" s="11"/>
    </row>
    <row r="128" spans="2:37" outlineLevel="1">
      <c r="B128" s="71" t="s">
        <v>380</v>
      </c>
      <c r="D128" s="1396">
        <v>52070</v>
      </c>
      <c r="E128" s="1396" t="s">
        <v>23</v>
      </c>
      <c r="F128" s="1397"/>
      <c r="G128" s="1398"/>
      <c r="H128" s="1399"/>
      <c r="I128" s="1400"/>
      <c r="J128" s="1401">
        <v>3679.62</v>
      </c>
      <c r="K128" s="1400"/>
      <c r="L128" s="1401">
        <v>4721.34</v>
      </c>
      <c r="M128" s="1400"/>
      <c r="N128" s="1401">
        <v>6743.36</v>
      </c>
      <c r="O128" s="1400"/>
      <c r="P128" s="1401">
        <v>2361.91</v>
      </c>
      <c r="Q128" s="1400"/>
      <c r="R128" s="1401">
        <v>3614.14</v>
      </c>
      <c r="S128" s="1400"/>
      <c r="T128" s="1401">
        <v>3129.9</v>
      </c>
      <c r="U128" s="1400"/>
      <c r="V128" s="1401">
        <v>4793.33</v>
      </c>
      <c r="W128" s="1400"/>
      <c r="X128" s="1401">
        <v>2982.3</v>
      </c>
      <c r="Y128" s="1400"/>
      <c r="Z128" s="1401">
        <v>1352.78</v>
      </c>
      <c r="AA128" s="1400"/>
      <c r="AB128" s="1401">
        <v>1978.13</v>
      </c>
      <c r="AC128" s="1400"/>
      <c r="AD128" s="1401">
        <v>2131.0500000000002</v>
      </c>
      <c r="AE128" s="1400"/>
      <c r="AF128" s="1401">
        <v>2341.08</v>
      </c>
      <c r="AG128" s="1400"/>
      <c r="AH128" s="1401">
        <f t="shared" si="14"/>
        <v>39828.94</v>
      </c>
      <c r="AI128" s="1574">
        <f t="shared" si="15"/>
        <v>6.3542889908659353E-4</v>
      </c>
      <c r="AJ128" s="11"/>
    </row>
    <row r="129" spans="2:37" outlineLevel="1">
      <c r="B129" s="71" t="s">
        <v>380</v>
      </c>
      <c r="D129" s="1396">
        <v>52086</v>
      </c>
      <c r="E129" s="1396" t="s">
        <v>61</v>
      </c>
      <c r="F129" s="1397"/>
      <c r="G129" s="1398"/>
      <c r="H129" s="1399"/>
      <c r="I129" s="1400"/>
      <c r="J129" s="1401">
        <v>3624.66</v>
      </c>
      <c r="K129" s="1400"/>
      <c r="L129" s="1401">
        <v>2537.23</v>
      </c>
      <c r="M129" s="1400"/>
      <c r="N129" s="1401">
        <v>1232.49</v>
      </c>
      <c r="O129" s="1400"/>
      <c r="P129" s="1401">
        <v>2842.57</v>
      </c>
      <c r="Q129" s="1400"/>
      <c r="R129" s="1401">
        <v>2493.96</v>
      </c>
      <c r="S129" s="1400"/>
      <c r="T129" s="1401">
        <v>2145.65</v>
      </c>
      <c r="U129" s="1400"/>
      <c r="V129" s="1401">
        <v>570.53</v>
      </c>
      <c r="W129" s="1400"/>
      <c r="X129" s="1401">
        <v>2678.24</v>
      </c>
      <c r="Y129" s="1400"/>
      <c r="Z129" s="1401">
        <v>6613.94</v>
      </c>
      <c r="AA129" s="1400"/>
      <c r="AB129" s="1401">
        <v>1798.16</v>
      </c>
      <c r="AC129" s="1400"/>
      <c r="AD129" s="1401">
        <v>3410.31</v>
      </c>
      <c r="AE129" s="1400"/>
      <c r="AF129" s="1401">
        <v>2171.21</v>
      </c>
      <c r="AG129" s="1400"/>
      <c r="AH129" s="1401">
        <f t="shared" si="14"/>
        <v>32118.95</v>
      </c>
      <c r="AI129" s="1574">
        <f t="shared" si="15"/>
        <v>5.1242410765431725E-4</v>
      </c>
      <c r="AJ129" s="11"/>
    </row>
    <row r="130" spans="2:37" outlineLevel="1">
      <c r="B130" s="71" t="s">
        <v>380</v>
      </c>
      <c r="D130" s="1396">
        <v>52090</v>
      </c>
      <c r="E130" s="1396" t="s">
        <v>41</v>
      </c>
      <c r="F130" s="1397"/>
      <c r="G130" s="1398"/>
      <c r="H130" s="1399"/>
      <c r="I130" s="1400"/>
      <c r="J130" s="1401">
        <v>734.73</v>
      </c>
      <c r="K130" s="1400"/>
      <c r="L130" s="1401">
        <v>1393.4</v>
      </c>
      <c r="M130" s="1400"/>
      <c r="N130" s="1401">
        <v>982.72</v>
      </c>
      <c r="O130" s="1400"/>
      <c r="P130" s="1401">
        <v>1406.3</v>
      </c>
      <c r="Q130" s="1400"/>
      <c r="R130" s="1401">
        <v>819.13</v>
      </c>
      <c r="S130" s="1400"/>
      <c r="T130" s="1401">
        <v>1461.65</v>
      </c>
      <c r="U130" s="1400"/>
      <c r="V130" s="1401">
        <v>1538.68</v>
      </c>
      <c r="W130" s="1400"/>
      <c r="X130" s="1401">
        <v>1148.4100000000001</v>
      </c>
      <c r="Y130" s="1400"/>
      <c r="Z130" s="1401">
        <v>1285.08</v>
      </c>
      <c r="AA130" s="1400"/>
      <c r="AB130" s="1401">
        <v>717.6</v>
      </c>
      <c r="AC130" s="1400"/>
      <c r="AD130" s="1401">
        <v>994.35</v>
      </c>
      <c r="AE130" s="1400"/>
      <c r="AF130" s="1401">
        <v>1480.76</v>
      </c>
      <c r="AG130" s="1400"/>
      <c r="AH130" s="1401">
        <f t="shared" si="14"/>
        <v>13962.809999999998</v>
      </c>
      <c r="AI130" s="1574">
        <f t="shared" si="15"/>
        <v>2.2276196620987847E-4</v>
      </c>
      <c r="AJ130" s="11"/>
    </row>
    <row r="131" spans="2:37" outlineLevel="1">
      <c r="B131" s="71" t="s">
        <v>380</v>
      </c>
      <c r="D131" s="1396">
        <v>52115</v>
      </c>
      <c r="E131" s="1396" t="s">
        <v>116</v>
      </c>
      <c r="F131" s="1397"/>
      <c r="G131" s="1398"/>
      <c r="H131" s="1399"/>
      <c r="I131" s="1400"/>
      <c r="J131" s="1401">
        <v>2588.8000000000002</v>
      </c>
      <c r="K131" s="1400"/>
      <c r="L131" s="1401">
        <v>5484.4</v>
      </c>
      <c r="M131" s="1400"/>
      <c r="N131" s="1401">
        <v>3326.46</v>
      </c>
      <c r="O131" s="1400"/>
      <c r="P131" s="1401">
        <v>3890.73</v>
      </c>
      <c r="Q131" s="1400"/>
      <c r="R131" s="1401">
        <v>4005.54</v>
      </c>
      <c r="S131" s="1400"/>
      <c r="T131" s="1401">
        <v>3967.4</v>
      </c>
      <c r="U131" s="1400"/>
      <c r="V131" s="1401">
        <v>3724.28</v>
      </c>
      <c r="W131" s="1400"/>
      <c r="X131" s="1401">
        <v>4786.18</v>
      </c>
      <c r="Y131" s="1400"/>
      <c r="Z131" s="1401">
        <v>4287.58</v>
      </c>
      <c r="AA131" s="1400"/>
      <c r="AB131" s="1401">
        <v>3984.27</v>
      </c>
      <c r="AC131" s="1400"/>
      <c r="AD131" s="1401">
        <v>4460.5</v>
      </c>
      <c r="AE131" s="1400"/>
      <c r="AF131" s="1401">
        <v>3525.27</v>
      </c>
      <c r="AG131" s="1400"/>
      <c r="AH131" s="1401">
        <f t="shared" si="14"/>
        <v>48031.410000000011</v>
      </c>
      <c r="AI131" s="1574">
        <f t="shared" si="15"/>
        <v>7.6629069158950255E-4</v>
      </c>
      <c r="AJ131" s="11"/>
    </row>
    <row r="132" spans="2:37" outlineLevel="1">
      <c r="B132" s="71" t="s">
        <v>380</v>
      </c>
      <c r="D132" s="1396">
        <v>52120</v>
      </c>
      <c r="E132" s="1396" t="s">
        <v>227</v>
      </c>
      <c r="F132" s="1397"/>
      <c r="G132" s="1398"/>
      <c r="H132" s="1399"/>
      <c r="I132" s="1400"/>
      <c r="J132" s="1401">
        <v>47525.84</v>
      </c>
      <c r="K132" s="1400"/>
      <c r="L132" s="1401">
        <v>56382.33</v>
      </c>
      <c r="M132" s="1400"/>
      <c r="N132" s="1401">
        <v>55952.65</v>
      </c>
      <c r="O132" s="1400"/>
      <c r="P132" s="1401">
        <v>68349.87</v>
      </c>
      <c r="Q132" s="1400"/>
      <c r="R132" s="1401">
        <v>72094.75</v>
      </c>
      <c r="S132" s="1400"/>
      <c r="T132" s="1401">
        <v>81193.91</v>
      </c>
      <c r="U132" s="1400"/>
      <c r="V132" s="1401">
        <v>71991.75</v>
      </c>
      <c r="W132" s="1400"/>
      <c r="X132" s="1401">
        <v>70335.81</v>
      </c>
      <c r="Y132" s="1400"/>
      <c r="Z132" s="1401">
        <v>77894.25</v>
      </c>
      <c r="AA132" s="1400"/>
      <c r="AB132" s="1401">
        <v>43938.89</v>
      </c>
      <c r="AC132" s="1400"/>
      <c r="AD132" s="1401">
        <v>74067.27</v>
      </c>
      <c r="AE132" s="1400"/>
      <c r="AF132" s="1401">
        <v>63695.12</v>
      </c>
      <c r="AG132" s="1400"/>
      <c r="AH132" s="1401">
        <f t="shared" si="14"/>
        <v>783422.44</v>
      </c>
      <c r="AI132" s="1574">
        <f t="shared" si="15"/>
        <v>1.2498682078130445E-2</v>
      </c>
      <c r="AJ132" s="11"/>
    </row>
    <row r="133" spans="2:37" outlineLevel="1">
      <c r="B133" s="71" t="s">
        <v>380</v>
      </c>
      <c r="D133" s="1396">
        <v>52125</v>
      </c>
      <c r="E133" s="1396" t="s">
        <v>63</v>
      </c>
      <c r="F133" s="1397"/>
      <c r="G133" s="1398"/>
      <c r="H133" s="1399"/>
      <c r="I133" s="1400"/>
      <c r="J133" s="1401">
        <v>9360.2800000000007</v>
      </c>
      <c r="K133" s="1400"/>
      <c r="L133" s="1401">
        <v>7273.06</v>
      </c>
      <c r="M133" s="1400"/>
      <c r="N133" s="1401">
        <v>6542.51</v>
      </c>
      <c r="O133" s="1400"/>
      <c r="P133" s="1401">
        <v>10567.25</v>
      </c>
      <c r="Q133" s="1400"/>
      <c r="R133" s="1401">
        <v>9280.42</v>
      </c>
      <c r="S133" s="1400"/>
      <c r="T133" s="1401">
        <v>7511.04</v>
      </c>
      <c r="U133" s="1400"/>
      <c r="V133" s="1401">
        <v>6437.72</v>
      </c>
      <c r="W133" s="1400"/>
      <c r="X133" s="1401">
        <v>11963.05</v>
      </c>
      <c r="Y133" s="1400"/>
      <c r="Z133" s="1401">
        <v>7455.41</v>
      </c>
      <c r="AA133" s="1400"/>
      <c r="AB133" s="1401">
        <v>6652.83</v>
      </c>
      <c r="AC133" s="1400"/>
      <c r="AD133" s="1401">
        <v>7848</v>
      </c>
      <c r="AE133" s="1400"/>
      <c r="AF133" s="1401">
        <v>7820.66</v>
      </c>
      <c r="AG133" s="1400"/>
      <c r="AH133" s="1401">
        <f t="shared" si="14"/>
        <v>98712.23</v>
      </c>
      <c r="AI133" s="1574">
        <f t="shared" si="15"/>
        <v>1.5748499366360893E-3</v>
      </c>
      <c r="AJ133" s="11"/>
    </row>
    <row r="134" spans="2:37" outlineLevel="1">
      <c r="B134" s="71" t="s">
        <v>380</v>
      </c>
      <c r="D134" s="1396">
        <v>52140</v>
      </c>
      <c r="E134" s="1396" t="s">
        <v>228</v>
      </c>
      <c r="F134" s="1397"/>
      <c r="G134" s="1398"/>
      <c r="H134" s="1399"/>
      <c r="I134" s="1400"/>
      <c r="J134" s="1401">
        <v>10316.08</v>
      </c>
      <c r="K134" s="1400"/>
      <c r="L134" s="1401">
        <v>20488.150000000001</v>
      </c>
      <c r="M134" s="1400"/>
      <c r="N134" s="1401">
        <v>7545.73</v>
      </c>
      <c r="O134" s="1400"/>
      <c r="P134" s="1401">
        <v>12619.5</v>
      </c>
      <c r="Q134" s="1400"/>
      <c r="R134" s="1401">
        <v>18511.57</v>
      </c>
      <c r="S134" s="1400"/>
      <c r="T134" s="1401">
        <v>36369.18</v>
      </c>
      <c r="U134" s="1400"/>
      <c r="V134" s="1401">
        <v>33515.72</v>
      </c>
      <c r="W134" s="1400"/>
      <c r="X134" s="1401">
        <v>30597.39</v>
      </c>
      <c r="Y134" s="1400"/>
      <c r="Z134" s="1401">
        <v>35425.69</v>
      </c>
      <c r="AA134" s="1400"/>
      <c r="AB134" s="1401">
        <v>18553.8</v>
      </c>
      <c r="AC134" s="1400"/>
      <c r="AD134" s="1401">
        <v>21825.84</v>
      </c>
      <c r="AE134" s="1400"/>
      <c r="AF134" s="1401">
        <v>26684.93</v>
      </c>
      <c r="AG134" s="1400"/>
      <c r="AH134" s="1401">
        <f t="shared" si="14"/>
        <v>272453.58</v>
      </c>
      <c r="AI134" s="1574">
        <f t="shared" si="15"/>
        <v>4.3467106679615656E-3</v>
      </c>
      <c r="AJ134" s="11"/>
    </row>
    <row r="135" spans="2:37" outlineLevel="1">
      <c r="B135" s="71" t="s">
        <v>380</v>
      </c>
      <c r="D135" s="1396">
        <v>52142</v>
      </c>
      <c r="E135" s="1396" t="s">
        <v>52</v>
      </c>
      <c r="F135" s="1397"/>
      <c r="G135" s="1398"/>
      <c r="H135" s="1399"/>
      <c r="I135" s="1400"/>
      <c r="J135" s="1401">
        <v>115506.45</v>
      </c>
      <c r="K135" s="1400"/>
      <c r="L135" s="1401">
        <v>139680.79999999999</v>
      </c>
      <c r="M135" s="1400"/>
      <c r="N135" s="1401">
        <v>83301.48</v>
      </c>
      <c r="O135" s="1400"/>
      <c r="P135" s="1401">
        <v>128894.99</v>
      </c>
      <c r="Q135" s="1400"/>
      <c r="R135" s="1401">
        <v>132176.75</v>
      </c>
      <c r="S135" s="1400"/>
      <c r="T135" s="1401">
        <v>120265.62</v>
      </c>
      <c r="U135" s="1400"/>
      <c r="V135" s="1401">
        <v>121910.68</v>
      </c>
      <c r="W135" s="1400"/>
      <c r="X135" s="1401">
        <v>134176.32000000001</v>
      </c>
      <c r="Y135" s="1400"/>
      <c r="Z135" s="1401">
        <v>134247.73000000001</v>
      </c>
      <c r="AA135" s="1400"/>
      <c r="AB135" s="1401">
        <v>122997.05</v>
      </c>
      <c r="AC135" s="1400"/>
      <c r="AD135" s="1401">
        <v>141572.01999999999</v>
      </c>
      <c r="AE135" s="1400"/>
      <c r="AF135" s="1401">
        <v>122961.95</v>
      </c>
      <c r="AG135" s="1400"/>
      <c r="AH135" s="1401">
        <f t="shared" si="14"/>
        <v>1497691.84</v>
      </c>
      <c r="AI135" s="1574">
        <f t="shared" si="15"/>
        <v>2.3894100045398509E-2</v>
      </c>
      <c r="AJ135" s="11"/>
    </row>
    <row r="136" spans="2:37" outlineLevel="1">
      <c r="B136" s="71" t="s">
        <v>380</v>
      </c>
      <c r="D136" s="1396">
        <v>52144</v>
      </c>
      <c r="E136" s="1396" t="s">
        <v>53</v>
      </c>
      <c r="F136" s="1397"/>
      <c r="G136" s="1398"/>
      <c r="H136" s="1399"/>
      <c r="I136" s="1400"/>
      <c r="J136" s="1401">
        <v>2092.59</v>
      </c>
      <c r="K136" s="1400"/>
      <c r="L136" s="1401">
        <v>2830.58</v>
      </c>
      <c r="M136" s="1400"/>
      <c r="N136" s="1401">
        <v>1554.75</v>
      </c>
      <c r="O136" s="1400"/>
      <c r="P136" s="1401">
        <v>1926.73</v>
      </c>
      <c r="Q136" s="1400"/>
      <c r="R136" s="1401">
        <v>2426.2600000000002</v>
      </c>
      <c r="S136" s="1400"/>
      <c r="T136" s="1401">
        <v>1628.42</v>
      </c>
      <c r="U136" s="1400"/>
      <c r="V136" s="1401">
        <v>2146.3200000000002</v>
      </c>
      <c r="W136" s="1400"/>
      <c r="X136" s="1401">
        <v>2046.54</v>
      </c>
      <c r="Y136" s="1400"/>
      <c r="Z136" s="1401">
        <v>2605.73</v>
      </c>
      <c r="AA136" s="1400"/>
      <c r="AB136" s="1401">
        <v>2605.58</v>
      </c>
      <c r="AC136" s="1400"/>
      <c r="AD136" s="1401">
        <v>2270.13</v>
      </c>
      <c r="AE136" s="1400"/>
      <c r="AF136" s="1401">
        <v>2136.37</v>
      </c>
      <c r="AG136" s="1400"/>
      <c r="AH136" s="1401">
        <f t="shared" si="14"/>
        <v>26269.999999999996</v>
      </c>
      <c r="AI136" s="1574">
        <f t="shared" si="15"/>
        <v>4.1911025447839706E-4</v>
      </c>
      <c r="AJ136" s="11"/>
    </row>
    <row r="137" spans="2:37" outlineLevel="1">
      <c r="B137" s="71" t="s">
        <v>380</v>
      </c>
      <c r="D137" s="1396">
        <v>52146</v>
      </c>
      <c r="E137" s="1396" t="s">
        <v>54</v>
      </c>
      <c r="F137" s="1397"/>
      <c r="G137" s="1398"/>
      <c r="H137" s="1399"/>
      <c r="I137" s="1400"/>
      <c r="J137" s="1401">
        <v>7287.06</v>
      </c>
      <c r="K137" s="1400"/>
      <c r="L137" s="1401">
        <v>7919.25</v>
      </c>
      <c r="M137" s="1400"/>
      <c r="N137" s="1401">
        <v>5187.8999999999996</v>
      </c>
      <c r="O137" s="1400"/>
      <c r="P137" s="1401">
        <v>8147.25</v>
      </c>
      <c r="Q137" s="1400"/>
      <c r="R137" s="1401">
        <v>6904.4</v>
      </c>
      <c r="S137" s="1400"/>
      <c r="T137" s="1401">
        <v>6716.44</v>
      </c>
      <c r="U137" s="1400"/>
      <c r="V137" s="1401">
        <v>12021.29</v>
      </c>
      <c r="W137" s="1400"/>
      <c r="X137" s="1401">
        <v>10446.030000000001</v>
      </c>
      <c r="Y137" s="1400"/>
      <c r="Z137" s="1401">
        <v>9976.56</v>
      </c>
      <c r="AA137" s="1400"/>
      <c r="AB137" s="1401">
        <v>8009.7</v>
      </c>
      <c r="AC137" s="1400"/>
      <c r="AD137" s="1401">
        <v>9203.41</v>
      </c>
      <c r="AE137" s="1400"/>
      <c r="AF137" s="1401">
        <v>9644.41</v>
      </c>
      <c r="AG137" s="1400"/>
      <c r="AH137" s="1401">
        <f t="shared" si="14"/>
        <v>101463.69999999998</v>
      </c>
      <c r="AI137" s="1574">
        <f t="shared" si="15"/>
        <v>1.6187467501834691E-3</v>
      </c>
      <c r="AJ137" s="11"/>
    </row>
    <row r="138" spans="2:37" outlineLevel="1">
      <c r="B138" s="71" t="s">
        <v>380</v>
      </c>
      <c r="D138" s="1396">
        <v>52147</v>
      </c>
      <c r="E138" s="1396" t="s">
        <v>229</v>
      </c>
      <c r="F138" s="1397"/>
      <c r="G138" s="1398"/>
      <c r="H138" s="1399"/>
      <c r="I138" s="1400"/>
      <c r="J138" s="1401">
        <v>36074.019999999997</v>
      </c>
      <c r="K138" s="1400"/>
      <c r="L138" s="1401">
        <v>19945.810000000001</v>
      </c>
      <c r="M138" s="1400"/>
      <c r="N138" s="1401">
        <v>18575.310000000001</v>
      </c>
      <c r="O138" s="1400"/>
      <c r="P138" s="1401">
        <v>21903.38</v>
      </c>
      <c r="Q138" s="1400"/>
      <c r="R138" s="1401">
        <v>23784.01</v>
      </c>
      <c r="S138" s="1400"/>
      <c r="T138" s="1401">
        <v>26984.65</v>
      </c>
      <c r="U138" s="1400"/>
      <c r="V138" s="1401">
        <v>16219.66</v>
      </c>
      <c r="W138" s="1400"/>
      <c r="X138" s="1401">
        <v>23675.05</v>
      </c>
      <c r="Y138" s="1400"/>
      <c r="Z138" s="1401">
        <v>24468.44</v>
      </c>
      <c r="AA138" s="1400"/>
      <c r="AB138" s="1401">
        <v>29582.59</v>
      </c>
      <c r="AC138" s="1400"/>
      <c r="AD138" s="1401">
        <v>33523.81</v>
      </c>
      <c r="AE138" s="1400"/>
      <c r="AF138" s="1401">
        <v>27124.66</v>
      </c>
      <c r="AG138" s="1400"/>
      <c r="AH138" s="1401">
        <f t="shared" si="14"/>
        <v>301861.39</v>
      </c>
      <c r="AI138" s="1574">
        <f t="shared" si="15"/>
        <v>4.8158813848535476E-3</v>
      </c>
      <c r="AJ138" s="11"/>
    </row>
    <row r="139" spans="2:37" outlineLevel="1">
      <c r="B139" s="71" t="s">
        <v>380</v>
      </c>
      <c r="D139" s="1396">
        <v>52165</v>
      </c>
      <c r="E139" s="1396" t="s">
        <v>230</v>
      </c>
      <c r="F139" s="1397"/>
      <c r="G139" s="1398"/>
      <c r="H139" s="1399"/>
      <c r="I139" s="1400"/>
      <c r="J139" s="1401">
        <v>447.27</v>
      </c>
      <c r="K139" s="1400"/>
      <c r="L139" s="1401">
        <v>447.27</v>
      </c>
      <c r="M139" s="1400"/>
      <c r="N139" s="1401">
        <v>447.27</v>
      </c>
      <c r="O139" s="1400"/>
      <c r="P139" s="1401">
        <v>447.27</v>
      </c>
      <c r="Q139" s="1400"/>
      <c r="R139" s="1401">
        <v>447.27</v>
      </c>
      <c r="S139" s="1400"/>
      <c r="T139" s="1401">
        <v>447.27</v>
      </c>
      <c r="U139" s="1400"/>
      <c r="V139" s="1401">
        <v>447.27</v>
      </c>
      <c r="W139" s="1400"/>
      <c r="X139" s="1401">
        <v>0</v>
      </c>
      <c r="Y139" s="1400"/>
      <c r="Z139" s="1401">
        <v>447.27</v>
      </c>
      <c r="AA139" s="1400"/>
      <c r="AB139" s="1401">
        <v>447.27</v>
      </c>
      <c r="AC139" s="1400"/>
      <c r="AD139" s="1401">
        <v>447.27</v>
      </c>
      <c r="AE139" s="1400"/>
      <c r="AF139" s="1401">
        <v>447.27</v>
      </c>
      <c r="AG139" s="1400"/>
      <c r="AH139" s="1401">
        <f t="shared" si="14"/>
        <v>4919.9699999999993</v>
      </c>
      <c r="AI139" s="1574">
        <f t="shared" si="15"/>
        <v>7.8492953130037278E-5</v>
      </c>
      <c r="AJ139" s="11"/>
    </row>
    <row r="140" spans="2:37" outlineLevel="1">
      <c r="B140" s="71" t="s">
        <v>380</v>
      </c>
      <c r="D140" s="1396">
        <v>52182</v>
      </c>
      <c r="E140" s="1396" t="s">
        <v>231</v>
      </c>
      <c r="F140" s="1397"/>
      <c r="G140" s="1398"/>
      <c r="H140" s="1399"/>
      <c r="I140" s="1400"/>
      <c r="J140" s="1401">
        <v>93.48</v>
      </c>
      <c r="K140" s="1400"/>
      <c r="L140" s="1401">
        <v>-163.43</v>
      </c>
      <c r="M140" s="1400"/>
      <c r="N140" s="1401">
        <v>1237.99</v>
      </c>
      <c r="O140" s="1400"/>
      <c r="P140" s="1401">
        <v>2605.96</v>
      </c>
      <c r="Q140" s="1400"/>
      <c r="R140" s="1401">
        <v>1923.25</v>
      </c>
      <c r="S140" s="1400"/>
      <c r="T140" s="1401">
        <v>846.27</v>
      </c>
      <c r="U140" s="1400"/>
      <c r="V140" s="1401">
        <v>432.73</v>
      </c>
      <c r="W140" s="1400"/>
      <c r="X140" s="1401">
        <v>1602.03</v>
      </c>
      <c r="Y140" s="1400"/>
      <c r="Z140" s="1401">
        <v>362.67</v>
      </c>
      <c r="AA140" s="1400"/>
      <c r="AB140" s="1401">
        <v>1008.88</v>
      </c>
      <c r="AC140" s="1400"/>
      <c r="AD140" s="1401">
        <v>550</v>
      </c>
      <c r="AE140" s="1400"/>
      <c r="AF140" s="1401">
        <v>850</v>
      </c>
      <c r="AG140" s="1400"/>
      <c r="AH140" s="1401">
        <f t="shared" si="14"/>
        <v>11349.83</v>
      </c>
      <c r="AI140" s="1574">
        <f t="shared" si="15"/>
        <v>1.8107461513462299E-4</v>
      </c>
      <c r="AJ140" s="11"/>
    </row>
    <row r="141" spans="2:37" outlineLevel="1">
      <c r="B141" s="71" t="s">
        <v>380</v>
      </c>
      <c r="D141" s="1396">
        <v>52200</v>
      </c>
      <c r="E141" s="1396" t="s">
        <v>232</v>
      </c>
      <c r="F141" s="1397"/>
      <c r="G141" s="1398"/>
      <c r="H141" s="1399"/>
      <c r="I141" s="1400"/>
      <c r="J141" s="1401">
        <v>860.2</v>
      </c>
      <c r="K141" s="1400"/>
      <c r="L141" s="1401">
        <v>881.07</v>
      </c>
      <c r="M141" s="1400"/>
      <c r="N141" s="1401">
        <v>940.86</v>
      </c>
      <c r="O141" s="1400"/>
      <c r="P141" s="1401">
        <v>861.02</v>
      </c>
      <c r="Q141" s="1400"/>
      <c r="R141" s="1401">
        <v>666.07</v>
      </c>
      <c r="S141" s="1400"/>
      <c r="T141" s="1401">
        <v>1007.61</v>
      </c>
      <c r="U141" s="1400"/>
      <c r="V141" s="1401">
        <v>686.67</v>
      </c>
      <c r="W141" s="1400"/>
      <c r="X141" s="1401">
        <v>666.68</v>
      </c>
      <c r="Y141" s="1400"/>
      <c r="Z141" s="1401">
        <v>726.17</v>
      </c>
      <c r="AA141" s="1400"/>
      <c r="AB141" s="1401">
        <v>666.68</v>
      </c>
      <c r="AC141" s="1400"/>
      <c r="AD141" s="1401">
        <v>1258.98</v>
      </c>
      <c r="AE141" s="1400"/>
      <c r="AF141" s="1401">
        <v>916.69</v>
      </c>
      <c r="AG141" s="1400"/>
      <c r="AH141" s="1401">
        <f t="shared" si="14"/>
        <v>10138.700000000001</v>
      </c>
      <c r="AI141" s="1574">
        <f t="shared" si="15"/>
        <v>1.6175230822535689E-4</v>
      </c>
      <c r="AJ141" s="11"/>
    </row>
    <row r="142" spans="2:37" outlineLevel="1">
      <c r="B142" s="71" t="s">
        <v>380</v>
      </c>
      <c r="D142" s="1396">
        <v>52901</v>
      </c>
      <c r="E142" s="1396" t="s">
        <v>534</v>
      </c>
      <c r="F142" s="1397"/>
      <c r="G142" s="1398"/>
      <c r="H142" s="1399"/>
      <c r="I142" s="1400"/>
      <c r="J142" s="1401">
        <v>0</v>
      </c>
      <c r="K142" s="1400"/>
      <c r="L142" s="1401">
        <v>0</v>
      </c>
      <c r="M142" s="1400"/>
      <c r="N142" s="1401">
        <v>0</v>
      </c>
      <c r="O142" s="1400"/>
      <c r="P142" s="1401">
        <v>0</v>
      </c>
      <c r="Q142" s="1400"/>
      <c r="R142" s="1401">
        <v>0</v>
      </c>
      <c r="S142" s="1400"/>
      <c r="T142" s="1401">
        <v>0</v>
      </c>
      <c r="U142" s="1400"/>
      <c r="V142" s="1401">
        <v>0</v>
      </c>
      <c r="W142" s="1400"/>
      <c r="X142" s="1401">
        <v>0</v>
      </c>
      <c r="Y142" s="1400"/>
      <c r="Z142" s="1401">
        <v>0</v>
      </c>
      <c r="AA142" s="1400"/>
      <c r="AB142" s="1401">
        <v>0</v>
      </c>
      <c r="AC142" s="1400"/>
      <c r="AD142" s="1401">
        <v>0</v>
      </c>
      <c r="AE142" s="1400"/>
      <c r="AF142" s="1401">
        <v>0</v>
      </c>
      <c r="AG142" s="1400"/>
      <c r="AH142" s="1401">
        <f t="shared" si="14"/>
        <v>0</v>
      </c>
      <c r="AI142" s="1574">
        <f t="shared" si="15"/>
        <v>0</v>
      </c>
      <c r="AJ142" s="11"/>
    </row>
    <row r="143" spans="2:37" s="7" customFormat="1" ht="5.0999999999999996" hidden="1" customHeight="1" outlineLevel="1">
      <c r="B143" s="1" t="s">
        <v>187</v>
      </c>
      <c r="D143" s="1397"/>
      <c r="E143" s="1397"/>
      <c r="F143" s="1397"/>
      <c r="G143" s="1397"/>
      <c r="H143" s="1399"/>
      <c r="I143" s="1399"/>
      <c r="J143" s="1407"/>
      <c r="K143" s="1405"/>
      <c r="L143" s="1407"/>
      <c r="M143" s="1405"/>
      <c r="N143" s="1407"/>
      <c r="O143" s="1405"/>
      <c r="P143" s="1407"/>
      <c r="Q143" s="1405"/>
      <c r="R143" s="1407"/>
      <c r="S143" s="1405"/>
      <c r="T143" s="1407"/>
      <c r="U143" s="1405"/>
      <c r="V143" s="1407"/>
      <c r="W143" s="1405"/>
      <c r="X143" s="1407"/>
      <c r="Y143" s="1405"/>
      <c r="Z143" s="1407"/>
      <c r="AA143" s="1405"/>
      <c r="AB143" s="1407"/>
      <c r="AC143" s="1405"/>
      <c r="AD143" s="1407"/>
      <c r="AE143" s="1405"/>
      <c r="AF143" s="1407"/>
      <c r="AG143" s="1405"/>
      <c r="AH143" s="1407"/>
      <c r="AI143" s="1573"/>
      <c r="AJ143" s="14"/>
      <c r="AK143" s="1"/>
    </row>
    <row r="144" spans="2:37" s="7" customFormat="1" ht="15" hidden="1">
      <c r="B144" s="1" t="s">
        <v>187</v>
      </c>
      <c r="D144" s="1399"/>
      <c r="E144" s="1399"/>
      <c r="F144" s="1397" t="s">
        <v>233</v>
      </c>
      <c r="G144" s="1399"/>
      <c r="H144" s="1399"/>
      <c r="I144" s="1399"/>
      <c r="J144" s="1404">
        <f>SUM(J119:J143)</f>
        <v>355084.11</v>
      </c>
      <c r="K144" s="1405"/>
      <c r="L144" s="1404">
        <f>SUM(L119:L143)</f>
        <v>425465.44000000006</v>
      </c>
      <c r="M144" s="1405"/>
      <c r="N144" s="1404">
        <f>SUM(N119:N143)</f>
        <v>296561.87000000005</v>
      </c>
      <c r="O144" s="1405"/>
      <c r="P144" s="1404">
        <f>SUM(P119:P143)</f>
        <v>408302.51000000007</v>
      </c>
      <c r="Q144" s="1405"/>
      <c r="R144" s="1404">
        <f>SUM(R119:R143)</f>
        <v>433626.10000000009</v>
      </c>
      <c r="S144" s="1405"/>
      <c r="T144" s="1404">
        <f>SUM(T119:T143)</f>
        <v>442867.24000000005</v>
      </c>
      <c r="U144" s="1405"/>
      <c r="V144" s="1404">
        <f>SUM(V119:V143)</f>
        <v>409017.5199999999</v>
      </c>
      <c r="W144" s="1405"/>
      <c r="X144" s="1404">
        <f>SUM(X119:X143)</f>
        <v>449120.88</v>
      </c>
      <c r="Y144" s="1405"/>
      <c r="Z144" s="1404">
        <f>SUM(Z119:Z143)</f>
        <v>453481.48</v>
      </c>
      <c r="AA144" s="1405"/>
      <c r="AB144" s="1404">
        <f>SUM(AB119:AB143)</f>
        <v>388205.58000000007</v>
      </c>
      <c r="AC144" s="1405"/>
      <c r="AD144" s="1404">
        <f>SUM(AD119:AD143)</f>
        <v>449947.07999999996</v>
      </c>
      <c r="AE144" s="1405"/>
      <c r="AF144" s="1404">
        <f>SUM(AF119:AF143)</f>
        <v>409698.94999999995</v>
      </c>
      <c r="AG144" s="1405"/>
      <c r="AH144" s="1404">
        <f>SUM(AH119:AH143)</f>
        <v>4921378.76</v>
      </c>
      <c r="AI144" s="1574">
        <f>IF(AH$61=0,0,AH144/AH$61)</f>
        <v>7.8515428415994612E-2</v>
      </c>
      <c r="AJ144" s="14"/>
      <c r="AK144" s="1"/>
    </row>
    <row r="145" spans="2:37" s="7" customFormat="1" ht="15" outlineLevel="1">
      <c r="B145" s="1" t="s">
        <v>187</v>
      </c>
      <c r="D145" s="1399"/>
      <c r="E145" s="1399"/>
      <c r="F145" s="1399"/>
      <c r="G145" s="1399"/>
      <c r="H145" s="1399"/>
      <c r="I145" s="1399"/>
      <c r="J145" s="1406">
        <v>43272</v>
      </c>
      <c r="K145" s="1405"/>
      <c r="L145" s="1406">
        <v>49786</v>
      </c>
      <c r="M145" s="1405"/>
      <c r="N145" s="1406">
        <v>45473</v>
      </c>
      <c r="O145" s="1405"/>
      <c r="P145" s="1406">
        <v>43499</v>
      </c>
      <c r="Q145" s="1405"/>
      <c r="R145" s="1406">
        <v>51325</v>
      </c>
      <c r="S145" s="1405"/>
      <c r="T145" s="1406">
        <v>32728</v>
      </c>
      <c r="U145" s="1405"/>
      <c r="V145" s="1406">
        <v>44119</v>
      </c>
      <c r="W145" s="1405"/>
      <c r="X145" s="1406">
        <v>47282</v>
      </c>
      <c r="Y145" s="1405"/>
      <c r="Z145" s="1406">
        <v>48165</v>
      </c>
      <c r="AA145" s="1405"/>
      <c r="AB145" s="1406">
        <v>43174</v>
      </c>
      <c r="AC145" s="1405"/>
      <c r="AD145" s="1406">
        <v>50623</v>
      </c>
      <c r="AE145" s="1405"/>
      <c r="AF145" s="1406">
        <v>46746</v>
      </c>
      <c r="AG145" s="1405"/>
      <c r="AH145" s="1406">
        <f>+SUM(J145:AF145)</f>
        <v>546192</v>
      </c>
      <c r="AI145" s="1573"/>
      <c r="AJ145" s="14"/>
      <c r="AK145" s="1"/>
    </row>
    <row r="146" spans="2:37" s="7" customFormat="1" ht="15" outlineLevel="1">
      <c r="D146" s="1399"/>
      <c r="E146" s="1399"/>
      <c r="F146" s="1399"/>
      <c r="G146" s="1399"/>
      <c r="H146" s="1399"/>
      <c r="I146" s="1399"/>
      <c r="J146" s="1413"/>
      <c r="K146" s="1405"/>
      <c r="L146" s="1413"/>
      <c r="M146" s="1405"/>
      <c r="N146" s="1413"/>
      <c r="O146" s="1405"/>
      <c r="P146" s="1413"/>
      <c r="Q146" s="1405"/>
      <c r="R146" s="1413"/>
      <c r="S146" s="1405"/>
      <c r="T146" s="1413"/>
      <c r="U146" s="1405"/>
      <c r="V146" s="1413"/>
      <c r="W146" s="1405"/>
      <c r="X146" s="1413"/>
      <c r="Y146" s="1405"/>
      <c r="Z146" s="1413"/>
      <c r="AA146" s="1405"/>
      <c r="AB146" s="1413"/>
      <c r="AC146" s="1405"/>
      <c r="AD146" s="1413"/>
      <c r="AE146" s="1405"/>
      <c r="AF146" s="1413"/>
      <c r="AG146" s="1405"/>
      <c r="AH146" s="1413"/>
      <c r="AI146" s="1573"/>
      <c r="AJ146" s="14"/>
      <c r="AK146" s="1"/>
    </row>
    <row r="147" spans="2:37" outlineLevel="1">
      <c r="B147" s="71" t="s">
        <v>395</v>
      </c>
      <c r="D147" s="1396">
        <v>55020</v>
      </c>
      <c r="E147" s="1396" t="s">
        <v>25</v>
      </c>
      <c r="F147" s="1397"/>
      <c r="G147" s="1398"/>
      <c r="H147" s="1399"/>
      <c r="I147" s="1400"/>
      <c r="J147" s="1401">
        <v>37478.730000000003</v>
      </c>
      <c r="K147" s="1400"/>
      <c r="L147" s="1401">
        <v>44846.96</v>
      </c>
      <c r="M147" s="1400"/>
      <c r="N147" s="1401">
        <v>34044.269999999997</v>
      </c>
      <c r="O147" s="1400"/>
      <c r="P147" s="1401">
        <v>36266.21</v>
      </c>
      <c r="Q147" s="1400"/>
      <c r="R147" s="1401">
        <v>43010.12</v>
      </c>
      <c r="S147" s="1400"/>
      <c r="T147" s="1401">
        <v>42787.85</v>
      </c>
      <c r="U147" s="1400"/>
      <c r="V147" s="1401">
        <v>36542.97</v>
      </c>
      <c r="W147" s="1400"/>
      <c r="X147" s="1401">
        <v>37232.129999999997</v>
      </c>
      <c r="Y147" s="1400"/>
      <c r="Z147" s="1401">
        <v>35338.22</v>
      </c>
      <c r="AA147" s="1400"/>
      <c r="AB147" s="1401">
        <v>36052.19</v>
      </c>
      <c r="AC147" s="1400"/>
      <c r="AD147" s="1401">
        <v>41998.45</v>
      </c>
      <c r="AE147" s="1400"/>
      <c r="AF147" s="1401">
        <v>38876.54</v>
      </c>
      <c r="AG147" s="1400"/>
      <c r="AH147" s="1401">
        <f t="shared" ref="AH147:AH163" si="16">AF147+AD147+AB147+Z147+X147+V147+T147+R147+P147+N147+L147+J147</f>
        <v>464474.64</v>
      </c>
      <c r="AI147" s="1574">
        <f t="shared" ref="AI147:AI163" si="17">IF(AH$61=0,0,AH147/AH$61)</f>
        <v>7.4102049702764331E-3</v>
      </c>
      <c r="AJ147" s="11"/>
    </row>
    <row r="148" spans="2:37" outlineLevel="1">
      <c r="B148" s="71" t="s">
        <v>380</v>
      </c>
      <c r="D148" s="1396">
        <v>55025</v>
      </c>
      <c r="E148" s="1396" t="s">
        <v>26</v>
      </c>
      <c r="F148" s="1397"/>
      <c r="G148" s="1398"/>
      <c r="H148" s="1399"/>
      <c r="I148" s="1400"/>
      <c r="J148" s="1401">
        <v>1911.5</v>
      </c>
      <c r="K148" s="1400"/>
      <c r="L148" s="1401">
        <v>3492.05</v>
      </c>
      <c r="M148" s="1400"/>
      <c r="N148" s="1401">
        <v>2730.28</v>
      </c>
      <c r="O148" s="1400"/>
      <c r="P148" s="1401">
        <v>5471.45</v>
      </c>
      <c r="Q148" s="1400"/>
      <c r="R148" s="1401">
        <v>10882.79</v>
      </c>
      <c r="S148" s="1400"/>
      <c r="T148" s="1401">
        <v>13350.44</v>
      </c>
      <c r="U148" s="1400"/>
      <c r="V148" s="1401">
        <v>7893.67</v>
      </c>
      <c r="W148" s="1400"/>
      <c r="X148" s="1401">
        <v>6393.83</v>
      </c>
      <c r="Y148" s="1400"/>
      <c r="Z148" s="1401">
        <v>6287.26</v>
      </c>
      <c r="AA148" s="1400"/>
      <c r="AB148" s="1401">
        <v>4913.66</v>
      </c>
      <c r="AC148" s="1400"/>
      <c r="AD148" s="1401">
        <v>4100.97</v>
      </c>
      <c r="AE148" s="1400"/>
      <c r="AF148" s="1401">
        <v>6657.93</v>
      </c>
      <c r="AG148" s="1400"/>
      <c r="AH148" s="1401">
        <f t="shared" si="16"/>
        <v>74085.83</v>
      </c>
      <c r="AI148" s="1574">
        <f t="shared" si="17"/>
        <v>1.1819615936255526E-3</v>
      </c>
      <c r="AJ148" s="11"/>
    </row>
    <row r="149" spans="2:37" outlineLevel="1">
      <c r="B149" s="71" t="s">
        <v>380</v>
      </c>
      <c r="D149" s="1396">
        <v>55035</v>
      </c>
      <c r="E149" s="1396" t="s">
        <v>27</v>
      </c>
      <c r="F149" s="1397"/>
      <c r="G149" s="1398"/>
      <c r="H149" s="1399"/>
      <c r="I149" s="1400"/>
      <c r="J149" s="1401">
        <v>-6594.13</v>
      </c>
      <c r="K149" s="1400"/>
      <c r="L149" s="1401">
        <v>1500</v>
      </c>
      <c r="M149" s="1400"/>
      <c r="N149" s="1401">
        <v>1500</v>
      </c>
      <c r="O149" s="1400"/>
      <c r="P149" s="1401">
        <v>1500</v>
      </c>
      <c r="Q149" s="1400"/>
      <c r="R149" s="1401">
        <v>4333.33</v>
      </c>
      <c r="S149" s="1400"/>
      <c r="T149" s="1401">
        <v>2083.34</v>
      </c>
      <c r="U149" s="1400"/>
      <c r="V149" s="1401">
        <v>1583.33</v>
      </c>
      <c r="W149" s="1400"/>
      <c r="X149" s="1401">
        <v>1208.3399999999999</v>
      </c>
      <c r="Y149" s="1400"/>
      <c r="Z149" s="1401">
        <v>1958.33</v>
      </c>
      <c r="AA149" s="1400"/>
      <c r="AB149" s="1401">
        <v>1958.33</v>
      </c>
      <c r="AC149" s="1400"/>
      <c r="AD149" s="1401">
        <v>-1916.66</v>
      </c>
      <c r="AE149" s="1400"/>
      <c r="AF149" s="1401">
        <v>991.66</v>
      </c>
      <c r="AG149" s="1400"/>
      <c r="AH149" s="1401">
        <f t="shared" si="16"/>
        <v>10105.869999999999</v>
      </c>
      <c r="AI149" s="1574">
        <f t="shared" si="17"/>
        <v>1.6122854006188041E-4</v>
      </c>
      <c r="AJ149" s="11"/>
    </row>
    <row r="150" spans="2:37" outlineLevel="1">
      <c r="B150" s="71" t="s">
        <v>380</v>
      </c>
      <c r="D150" s="1396">
        <v>55036</v>
      </c>
      <c r="E150" s="1396" t="s">
        <v>257</v>
      </c>
      <c r="F150" s="1397"/>
      <c r="G150" s="1398"/>
      <c r="H150" s="1399"/>
      <c r="I150" s="1400"/>
      <c r="J150" s="1401">
        <v>0</v>
      </c>
      <c r="K150" s="1400"/>
      <c r="L150" s="1401">
        <v>0</v>
      </c>
      <c r="M150" s="1400"/>
      <c r="N150" s="1401">
        <v>0</v>
      </c>
      <c r="O150" s="1400"/>
      <c r="P150" s="1401">
        <v>0</v>
      </c>
      <c r="Q150" s="1400"/>
      <c r="R150" s="1401">
        <v>0</v>
      </c>
      <c r="S150" s="1400"/>
      <c r="T150" s="1401">
        <v>0</v>
      </c>
      <c r="U150" s="1400"/>
      <c r="V150" s="1401">
        <v>0</v>
      </c>
      <c r="W150" s="1400"/>
      <c r="X150" s="1401">
        <v>0</v>
      </c>
      <c r="Y150" s="1400"/>
      <c r="Z150" s="1401">
        <v>466.13</v>
      </c>
      <c r="AA150" s="1400"/>
      <c r="AB150" s="1401">
        <v>0</v>
      </c>
      <c r="AC150" s="1400"/>
      <c r="AD150" s="1401">
        <v>0</v>
      </c>
      <c r="AE150" s="1400"/>
      <c r="AF150" s="1401">
        <v>0</v>
      </c>
      <c r="AG150" s="1400"/>
      <c r="AH150" s="1401">
        <f t="shared" si="16"/>
        <v>466.13</v>
      </c>
      <c r="AI150" s="1574">
        <f t="shared" si="17"/>
        <v>7.4366145001909117E-6</v>
      </c>
      <c r="AJ150" s="11"/>
    </row>
    <row r="151" spans="2:37" outlineLevel="1">
      <c r="B151" s="71" t="s">
        <v>380</v>
      </c>
      <c r="D151" s="1396">
        <v>55045</v>
      </c>
      <c r="E151" s="1396" t="s">
        <v>29</v>
      </c>
      <c r="F151" s="1397"/>
      <c r="G151" s="1398"/>
      <c r="H151" s="1399"/>
      <c r="I151" s="1400"/>
      <c r="J151" s="1401">
        <v>0</v>
      </c>
      <c r="K151" s="1400"/>
      <c r="L151" s="1401">
        <v>100</v>
      </c>
      <c r="M151" s="1400"/>
      <c r="N151" s="1401">
        <v>0</v>
      </c>
      <c r="O151" s="1400"/>
      <c r="P151" s="1401">
        <v>-100</v>
      </c>
      <c r="Q151" s="1400"/>
      <c r="R151" s="1401">
        <v>0</v>
      </c>
      <c r="S151" s="1400"/>
      <c r="T151" s="1401">
        <v>0</v>
      </c>
      <c r="U151" s="1400"/>
      <c r="V151" s="1401">
        <v>0</v>
      </c>
      <c r="W151" s="1400"/>
      <c r="X151" s="1401">
        <v>1694.21</v>
      </c>
      <c r="Y151" s="1400"/>
      <c r="Z151" s="1401">
        <v>0</v>
      </c>
      <c r="AA151" s="1400"/>
      <c r="AB151" s="1401">
        <v>0</v>
      </c>
      <c r="AC151" s="1400"/>
      <c r="AD151" s="1401">
        <v>0</v>
      </c>
      <c r="AE151" s="1400"/>
      <c r="AF151" s="1401">
        <v>0</v>
      </c>
      <c r="AG151" s="1400"/>
      <c r="AH151" s="1401">
        <f t="shared" si="16"/>
        <v>1694.21</v>
      </c>
      <c r="AI151" s="1574">
        <f t="shared" si="17"/>
        <v>2.7029340854200427E-5</v>
      </c>
      <c r="AJ151" s="11"/>
    </row>
    <row r="152" spans="2:37" outlineLevel="1">
      <c r="B152" s="71" t="s">
        <v>380</v>
      </c>
      <c r="D152" s="1396">
        <v>55050</v>
      </c>
      <c r="E152" s="1396" t="s">
        <v>158</v>
      </c>
      <c r="F152" s="1397"/>
      <c r="G152" s="1398"/>
      <c r="H152" s="1399"/>
      <c r="I152" s="1400"/>
      <c r="J152" s="1401">
        <v>3124.23</v>
      </c>
      <c r="K152" s="1400"/>
      <c r="L152" s="1401">
        <v>4692.33</v>
      </c>
      <c r="M152" s="1400"/>
      <c r="N152" s="1401">
        <v>3532.49</v>
      </c>
      <c r="O152" s="1400"/>
      <c r="P152" s="1401">
        <v>3767.71</v>
      </c>
      <c r="Q152" s="1400"/>
      <c r="R152" s="1401">
        <v>4830.5200000000004</v>
      </c>
      <c r="S152" s="1400"/>
      <c r="T152" s="1401">
        <v>4910.07</v>
      </c>
      <c r="U152" s="1400"/>
      <c r="V152" s="1401">
        <v>3865.38</v>
      </c>
      <c r="W152" s="1400"/>
      <c r="X152" s="1401">
        <v>3738.77</v>
      </c>
      <c r="Y152" s="1400"/>
      <c r="Z152" s="1401">
        <v>3860.38</v>
      </c>
      <c r="AA152" s="1400"/>
      <c r="AB152" s="1401">
        <v>3596.41</v>
      </c>
      <c r="AC152" s="1400"/>
      <c r="AD152" s="1401">
        <v>3711.91</v>
      </c>
      <c r="AE152" s="1400"/>
      <c r="AF152" s="1401">
        <v>3819.71</v>
      </c>
      <c r="AG152" s="1400"/>
      <c r="AH152" s="1401">
        <f t="shared" si="16"/>
        <v>47449.91</v>
      </c>
      <c r="AI152" s="1574">
        <f t="shared" si="17"/>
        <v>7.5701346993060686E-4</v>
      </c>
      <c r="AJ152" s="11"/>
    </row>
    <row r="153" spans="2:37" outlineLevel="1">
      <c r="B153" s="71" t="s">
        <v>380</v>
      </c>
      <c r="D153" s="1396">
        <v>55060</v>
      </c>
      <c r="E153" s="1396" t="s">
        <v>70</v>
      </c>
      <c r="F153" s="1397"/>
      <c r="G153" s="1398"/>
      <c r="H153" s="1399"/>
      <c r="I153" s="1400"/>
      <c r="J153" s="1401">
        <v>13664.52</v>
      </c>
      <c r="K153" s="1400"/>
      <c r="L153" s="1401">
        <v>14287.89</v>
      </c>
      <c r="M153" s="1400"/>
      <c r="N153" s="1401">
        <v>14180.02</v>
      </c>
      <c r="O153" s="1400"/>
      <c r="P153" s="1401">
        <v>11854.57</v>
      </c>
      <c r="Q153" s="1400"/>
      <c r="R153" s="1401">
        <v>13010.62</v>
      </c>
      <c r="S153" s="1400"/>
      <c r="T153" s="1401">
        <v>13330.16</v>
      </c>
      <c r="U153" s="1400"/>
      <c r="V153" s="1401">
        <v>14121.97</v>
      </c>
      <c r="W153" s="1400"/>
      <c r="X153" s="1401">
        <v>12980.9</v>
      </c>
      <c r="Y153" s="1400"/>
      <c r="Z153" s="1401">
        <v>11961.3</v>
      </c>
      <c r="AA153" s="1400"/>
      <c r="AB153" s="1401">
        <v>13173.83</v>
      </c>
      <c r="AC153" s="1400"/>
      <c r="AD153" s="1401">
        <v>12467.86</v>
      </c>
      <c r="AE153" s="1400"/>
      <c r="AF153" s="1401">
        <v>14362.26</v>
      </c>
      <c r="AG153" s="1400"/>
      <c r="AH153" s="1401">
        <f t="shared" si="16"/>
        <v>159395.9</v>
      </c>
      <c r="AI153" s="1574">
        <f t="shared" si="17"/>
        <v>2.5429941458627002E-3</v>
      </c>
      <c r="AJ153" s="11"/>
    </row>
    <row r="154" spans="2:37" outlineLevel="1">
      <c r="B154" s="71" t="s">
        <v>380</v>
      </c>
      <c r="D154" s="1396">
        <v>55065</v>
      </c>
      <c r="E154" s="1396" t="s">
        <v>22</v>
      </c>
      <c r="F154" s="1397"/>
      <c r="G154" s="1398"/>
      <c r="H154" s="1399"/>
      <c r="I154" s="1400"/>
      <c r="J154" s="1401">
        <v>3407.28</v>
      </c>
      <c r="K154" s="1400"/>
      <c r="L154" s="1401">
        <v>2466.3200000000002</v>
      </c>
      <c r="M154" s="1400"/>
      <c r="N154" s="1401">
        <v>1862.99</v>
      </c>
      <c r="O154" s="1400"/>
      <c r="P154" s="1401">
        <v>2878.99</v>
      </c>
      <c r="Q154" s="1400"/>
      <c r="R154" s="1401">
        <v>1812.24</v>
      </c>
      <c r="S154" s="1400"/>
      <c r="T154" s="1401">
        <v>1812.24</v>
      </c>
      <c r="U154" s="1400"/>
      <c r="V154" s="1401">
        <v>929.43</v>
      </c>
      <c r="W154" s="1400"/>
      <c r="X154" s="1401">
        <v>1529.01</v>
      </c>
      <c r="Y154" s="1400"/>
      <c r="Z154" s="1401">
        <v>3589.05</v>
      </c>
      <c r="AA154" s="1400"/>
      <c r="AB154" s="1401">
        <v>1726.88</v>
      </c>
      <c r="AC154" s="1400"/>
      <c r="AD154" s="1401">
        <v>1551.29</v>
      </c>
      <c r="AE154" s="1400"/>
      <c r="AF154" s="1401">
        <v>1993.7</v>
      </c>
      <c r="AG154" s="1400"/>
      <c r="AH154" s="1401">
        <f t="shared" si="16"/>
        <v>25559.420000000002</v>
      </c>
      <c r="AI154" s="1574">
        <f t="shared" si="17"/>
        <v>4.0777369701257076E-4</v>
      </c>
      <c r="AJ154" s="11"/>
    </row>
    <row r="155" spans="2:37" outlineLevel="1">
      <c r="B155" s="71" t="s">
        <v>380</v>
      </c>
      <c r="D155" s="1396">
        <v>55070</v>
      </c>
      <c r="E155" s="1396" t="s">
        <v>23</v>
      </c>
      <c r="F155" s="1397"/>
      <c r="G155" s="1398"/>
      <c r="H155" s="1399"/>
      <c r="I155" s="1400"/>
      <c r="J155" s="1401">
        <v>1398.6</v>
      </c>
      <c r="K155" s="1400"/>
      <c r="L155" s="1401">
        <v>2753.15</v>
      </c>
      <c r="M155" s="1400"/>
      <c r="N155" s="1401">
        <v>4056.57</v>
      </c>
      <c r="O155" s="1400"/>
      <c r="P155" s="1401">
        <v>1590.38</v>
      </c>
      <c r="Q155" s="1400"/>
      <c r="R155" s="1401">
        <v>1267.22</v>
      </c>
      <c r="S155" s="1400"/>
      <c r="T155" s="1401">
        <v>2141.7600000000002</v>
      </c>
      <c r="U155" s="1400"/>
      <c r="V155" s="1401">
        <v>918.1</v>
      </c>
      <c r="W155" s="1400"/>
      <c r="X155" s="1401">
        <v>1132.99</v>
      </c>
      <c r="Y155" s="1400"/>
      <c r="Z155" s="1401">
        <v>1565.03</v>
      </c>
      <c r="AA155" s="1400"/>
      <c r="AB155" s="1401">
        <v>1355.74</v>
      </c>
      <c r="AC155" s="1400"/>
      <c r="AD155" s="1401">
        <v>1236.8800000000001</v>
      </c>
      <c r="AE155" s="1400"/>
      <c r="AF155" s="1401">
        <v>866.57</v>
      </c>
      <c r="AG155" s="1400"/>
      <c r="AH155" s="1401">
        <f t="shared" si="16"/>
        <v>20282.989999999998</v>
      </c>
      <c r="AI155" s="1574">
        <f t="shared" si="17"/>
        <v>3.2359379902865564E-4</v>
      </c>
      <c r="AJ155" s="11"/>
    </row>
    <row r="156" spans="2:37" outlineLevel="1">
      <c r="B156" s="71" t="s">
        <v>380</v>
      </c>
      <c r="D156" s="1396">
        <v>55086</v>
      </c>
      <c r="E156" s="1396" t="s">
        <v>61</v>
      </c>
      <c r="F156" s="1397"/>
      <c r="G156" s="1398"/>
      <c r="H156" s="1399"/>
      <c r="I156" s="1400"/>
      <c r="J156" s="1401">
        <v>0</v>
      </c>
      <c r="K156" s="1400"/>
      <c r="L156" s="1401">
        <v>142.72999999999999</v>
      </c>
      <c r="M156" s="1400"/>
      <c r="N156" s="1401">
        <v>0</v>
      </c>
      <c r="O156" s="1400"/>
      <c r="P156" s="1401">
        <v>0</v>
      </c>
      <c r="Q156" s="1400"/>
      <c r="R156" s="1401">
        <v>0</v>
      </c>
      <c r="S156" s="1400"/>
      <c r="T156" s="1401">
        <v>0</v>
      </c>
      <c r="U156" s="1400"/>
      <c r="V156" s="1401">
        <v>0</v>
      </c>
      <c r="W156" s="1400"/>
      <c r="X156" s="1401">
        <v>0</v>
      </c>
      <c r="Y156" s="1400"/>
      <c r="Z156" s="1401">
        <v>0</v>
      </c>
      <c r="AA156" s="1400"/>
      <c r="AB156" s="1401">
        <v>0</v>
      </c>
      <c r="AC156" s="1400"/>
      <c r="AD156" s="1401">
        <v>4324</v>
      </c>
      <c r="AE156" s="1400"/>
      <c r="AF156" s="1401">
        <v>0</v>
      </c>
      <c r="AG156" s="1400"/>
      <c r="AH156" s="1401">
        <f t="shared" si="16"/>
        <v>4466.7299999999996</v>
      </c>
      <c r="AI156" s="1574">
        <f t="shared" si="17"/>
        <v>7.1261985039447682E-5</v>
      </c>
      <c r="AJ156" s="11"/>
    </row>
    <row r="157" spans="2:37" outlineLevel="1">
      <c r="B157" s="71" t="s">
        <v>380</v>
      </c>
      <c r="D157" s="1396">
        <v>55090</v>
      </c>
      <c r="E157" s="1396" t="s">
        <v>41</v>
      </c>
      <c r="F157" s="1397"/>
      <c r="G157" s="1398"/>
      <c r="H157" s="1399"/>
      <c r="I157" s="1400"/>
      <c r="J157" s="1401">
        <v>386.92</v>
      </c>
      <c r="K157" s="1400"/>
      <c r="L157" s="1401">
        <v>580.57000000000005</v>
      </c>
      <c r="M157" s="1400"/>
      <c r="N157" s="1401">
        <v>483.22</v>
      </c>
      <c r="O157" s="1400"/>
      <c r="P157" s="1401">
        <v>830.51</v>
      </c>
      <c r="Q157" s="1400"/>
      <c r="R157" s="1401">
        <v>584.04</v>
      </c>
      <c r="S157" s="1400"/>
      <c r="T157" s="1401">
        <v>770.57</v>
      </c>
      <c r="U157" s="1400"/>
      <c r="V157" s="1401">
        <v>386.92</v>
      </c>
      <c r="W157" s="1400"/>
      <c r="X157" s="1401">
        <v>574.4</v>
      </c>
      <c r="Y157" s="1400"/>
      <c r="Z157" s="1401">
        <v>894.09</v>
      </c>
      <c r="AA157" s="1400"/>
      <c r="AB157" s="1401">
        <v>619.9</v>
      </c>
      <c r="AC157" s="1400"/>
      <c r="AD157" s="1401">
        <v>625.85</v>
      </c>
      <c r="AE157" s="1400"/>
      <c r="AF157" s="1401">
        <v>491.32</v>
      </c>
      <c r="AG157" s="1400"/>
      <c r="AH157" s="1401">
        <f t="shared" si="16"/>
        <v>7228.31</v>
      </c>
      <c r="AI157" s="1574">
        <f t="shared" si="17"/>
        <v>1.1532009301670129E-4</v>
      </c>
      <c r="AJ157" s="11"/>
    </row>
    <row r="158" spans="2:37" outlineLevel="1">
      <c r="B158" s="71" t="s">
        <v>380</v>
      </c>
      <c r="D158" s="1396">
        <v>55115</v>
      </c>
      <c r="E158" s="1396" t="s">
        <v>116</v>
      </c>
      <c r="F158" s="1397"/>
      <c r="G158" s="1398"/>
      <c r="H158" s="1399"/>
      <c r="I158" s="1400"/>
      <c r="J158" s="1401">
        <v>680.39</v>
      </c>
      <c r="K158" s="1400"/>
      <c r="L158" s="1401">
        <v>2243.2800000000002</v>
      </c>
      <c r="M158" s="1400"/>
      <c r="N158" s="1401">
        <v>1211.24</v>
      </c>
      <c r="O158" s="1400"/>
      <c r="P158" s="1401">
        <v>1500.35</v>
      </c>
      <c r="Q158" s="1400"/>
      <c r="R158" s="1401">
        <v>1630.17</v>
      </c>
      <c r="S158" s="1400"/>
      <c r="T158" s="1401">
        <v>1745.41</v>
      </c>
      <c r="U158" s="1400"/>
      <c r="V158" s="1401">
        <v>1334.46</v>
      </c>
      <c r="W158" s="1400"/>
      <c r="X158" s="1401">
        <v>1464.95</v>
      </c>
      <c r="Y158" s="1400"/>
      <c r="Z158" s="1401">
        <v>1154.8399999999999</v>
      </c>
      <c r="AA158" s="1400"/>
      <c r="AB158" s="1401">
        <v>1107.95</v>
      </c>
      <c r="AC158" s="1400"/>
      <c r="AD158" s="1401">
        <v>1186.48</v>
      </c>
      <c r="AE158" s="1400"/>
      <c r="AF158" s="1401">
        <v>1112.1199999999999</v>
      </c>
      <c r="AG158" s="1400"/>
      <c r="AH158" s="1401">
        <f t="shared" si="16"/>
        <v>16371.640000000001</v>
      </c>
      <c r="AI158" s="1574">
        <f t="shared" si="17"/>
        <v>2.6119231848605658E-4</v>
      </c>
      <c r="AJ158" s="11"/>
    </row>
    <row r="159" spans="2:37" outlineLevel="1">
      <c r="B159" s="71" t="s">
        <v>380</v>
      </c>
      <c r="D159" s="1396">
        <v>55117</v>
      </c>
      <c r="E159" s="1396" t="s">
        <v>115</v>
      </c>
      <c r="F159" s="1397"/>
      <c r="G159" s="1398"/>
      <c r="H159" s="1399"/>
      <c r="I159" s="1400"/>
      <c r="J159" s="1401">
        <v>0</v>
      </c>
      <c r="K159" s="1400"/>
      <c r="L159" s="1401">
        <v>0</v>
      </c>
      <c r="M159" s="1400"/>
      <c r="N159" s="1401">
        <v>0</v>
      </c>
      <c r="O159" s="1400"/>
      <c r="P159" s="1401">
        <v>505.68</v>
      </c>
      <c r="Q159" s="1400"/>
      <c r="R159" s="1401">
        <v>-505.68</v>
      </c>
      <c r="S159" s="1400"/>
      <c r="T159" s="1401">
        <v>0</v>
      </c>
      <c r="U159" s="1400"/>
      <c r="V159" s="1401">
        <v>0</v>
      </c>
      <c r="W159" s="1400"/>
      <c r="X159" s="1401">
        <v>0</v>
      </c>
      <c r="Y159" s="1400"/>
      <c r="Z159" s="1401">
        <v>0</v>
      </c>
      <c r="AA159" s="1400"/>
      <c r="AB159" s="1401">
        <v>0</v>
      </c>
      <c r="AC159" s="1400"/>
      <c r="AD159" s="1401">
        <v>0</v>
      </c>
      <c r="AE159" s="1400"/>
      <c r="AF159" s="1401">
        <v>0</v>
      </c>
      <c r="AG159" s="1400"/>
      <c r="AH159" s="1401">
        <f t="shared" si="16"/>
        <v>0</v>
      </c>
      <c r="AI159" s="1574">
        <f t="shared" si="17"/>
        <v>0</v>
      </c>
      <c r="AJ159" s="11"/>
    </row>
    <row r="160" spans="2:37" outlineLevel="1">
      <c r="B160" s="71" t="s">
        <v>380</v>
      </c>
      <c r="D160" s="1396">
        <v>55120</v>
      </c>
      <c r="E160" s="1396" t="s">
        <v>227</v>
      </c>
      <c r="F160" s="1397"/>
      <c r="G160" s="1398"/>
      <c r="H160" s="1399"/>
      <c r="I160" s="1400"/>
      <c r="J160" s="1401">
        <v>9529.31</v>
      </c>
      <c r="K160" s="1400"/>
      <c r="L160" s="1401">
        <v>3633.41</v>
      </c>
      <c r="M160" s="1400"/>
      <c r="N160" s="1401">
        <v>8257.35</v>
      </c>
      <c r="O160" s="1400"/>
      <c r="P160" s="1401">
        <v>8837.26</v>
      </c>
      <c r="Q160" s="1400"/>
      <c r="R160" s="1401">
        <v>14875.45</v>
      </c>
      <c r="S160" s="1400"/>
      <c r="T160" s="1401">
        <v>10664.74</v>
      </c>
      <c r="U160" s="1400"/>
      <c r="V160" s="1401">
        <v>12854.82</v>
      </c>
      <c r="W160" s="1400"/>
      <c r="X160" s="1401">
        <v>11378.32</v>
      </c>
      <c r="Y160" s="1400"/>
      <c r="Z160" s="1401">
        <v>12315.88</v>
      </c>
      <c r="AA160" s="1400"/>
      <c r="AB160" s="1401">
        <v>13342.85</v>
      </c>
      <c r="AC160" s="1400"/>
      <c r="AD160" s="1401">
        <v>10292.74</v>
      </c>
      <c r="AE160" s="1400"/>
      <c r="AF160" s="1401">
        <v>11172.62</v>
      </c>
      <c r="AG160" s="1400"/>
      <c r="AH160" s="1401">
        <f t="shared" si="16"/>
        <v>127154.75</v>
      </c>
      <c r="AI160" s="1574">
        <f t="shared" si="17"/>
        <v>2.028620465574304E-3</v>
      </c>
      <c r="AJ160" s="11"/>
    </row>
    <row r="161" spans="2:39" outlineLevel="1">
      <c r="B161" s="71" t="s">
        <v>380</v>
      </c>
      <c r="D161" s="1396">
        <v>55125</v>
      </c>
      <c r="E161" s="1396" t="s">
        <v>63</v>
      </c>
      <c r="F161" s="1397"/>
      <c r="G161" s="1398"/>
      <c r="H161" s="1399"/>
      <c r="I161" s="1400"/>
      <c r="J161" s="1401">
        <v>3292</v>
      </c>
      <c r="K161" s="1400"/>
      <c r="L161" s="1401">
        <v>3888.92</v>
      </c>
      <c r="M161" s="1400"/>
      <c r="N161" s="1401">
        <v>3453.03</v>
      </c>
      <c r="O161" s="1400"/>
      <c r="P161" s="1401">
        <v>2071.0500000000002</v>
      </c>
      <c r="Q161" s="1400"/>
      <c r="R161" s="1401">
        <v>4486.8599999999997</v>
      </c>
      <c r="S161" s="1400"/>
      <c r="T161" s="1401">
        <v>4813.97</v>
      </c>
      <c r="U161" s="1400"/>
      <c r="V161" s="1401">
        <v>4127.1899999999996</v>
      </c>
      <c r="W161" s="1400"/>
      <c r="X161" s="1401">
        <v>3899.12</v>
      </c>
      <c r="Y161" s="1400"/>
      <c r="Z161" s="1401">
        <v>4709.8500000000004</v>
      </c>
      <c r="AA161" s="1400"/>
      <c r="AB161" s="1401">
        <v>4508.1499999999996</v>
      </c>
      <c r="AC161" s="1400"/>
      <c r="AD161" s="1401">
        <v>4181.66</v>
      </c>
      <c r="AE161" s="1400"/>
      <c r="AF161" s="1401">
        <v>4708.88</v>
      </c>
      <c r="AG161" s="1400"/>
      <c r="AH161" s="1401">
        <f t="shared" si="16"/>
        <v>48140.68</v>
      </c>
      <c r="AI161" s="1574">
        <f t="shared" si="17"/>
        <v>7.6803397965599857E-4</v>
      </c>
      <c r="AJ161" s="11"/>
    </row>
    <row r="162" spans="2:39" outlineLevel="1">
      <c r="B162" s="71" t="s">
        <v>380</v>
      </c>
      <c r="D162" s="1396">
        <v>55142</v>
      </c>
      <c r="E162" s="1396" t="s">
        <v>52</v>
      </c>
      <c r="F162" s="1397"/>
      <c r="G162" s="1398"/>
      <c r="H162" s="1399"/>
      <c r="I162" s="1400"/>
      <c r="J162" s="1401">
        <v>321.10000000000002</v>
      </c>
      <c r="K162" s="1400"/>
      <c r="L162" s="1401">
        <v>653.08000000000004</v>
      </c>
      <c r="M162" s="1400"/>
      <c r="N162" s="1401">
        <v>126.05</v>
      </c>
      <c r="O162" s="1400"/>
      <c r="P162" s="1401">
        <v>618.41</v>
      </c>
      <c r="Q162" s="1400"/>
      <c r="R162" s="1401">
        <v>493.92</v>
      </c>
      <c r="S162" s="1400"/>
      <c r="T162" s="1401">
        <v>746.1</v>
      </c>
      <c r="U162" s="1400"/>
      <c r="V162" s="1401">
        <v>275.61</v>
      </c>
      <c r="W162" s="1400"/>
      <c r="X162" s="1401">
        <v>387.2</v>
      </c>
      <c r="Y162" s="1400"/>
      <c r="Z162" s="1401">
        <v>346.31</v>
      </c>
      <c r="AA162" s="1400"/>
      <c r="AB162" s="1401">
        <v>131.33000000000001</v>
      </c>
      <c r="AC162" s="1400"/>
      <c r="AD162" s="1401">
        <v>363.72</v>
      </c>
      <c r="AE162" s="1400"/>
      <c r="AF162" s="1401">
        <v>236.65</v>
      </c>
      <c r="AG162" s="1400"/>
      <c r="AH162" s="1401">
        <f t="shared" si="16"/>
        <v>4699.4800000000005</v>
      </c>
      <c r="AI162" s="1574">
        <f t="shared" si="17"/>
        <v>7.4975266795437298E-5</v>
      </c>
      <c r="AJ162" s="11"/>
    </row>
    <row r="163" spans="2:39" outlineLevel="1">
      <c r="B163" s="71" t="s">
        <v>380</v>
      </c>
      <c r="D163" s="1396">
        <v>55147</v>
      </c>
      <c r="E163" s="1396" t="s">
        <v>229</v>
      </c>
      <c r="F163" s="1397"/>
      <c r="G163" s="1398"/>
      <c r="H163" s="1399"/>
      <c r="I163" s="1400"/>
      <c r="J163" s="1401">
        <v>808.22</v>
      </c>
      <c r="K163" s="1400"/>
      <c r="L163" s="1401">
        <v>0</v>
      </c>
      <c r="M163" s="1400"/>
      <c r="N163" s="1401">
        <v>0</v>
      </c>
      <c r="O163" s="1400"/>
      <c r="P163" s="1401">
        <v>1738.31</v>
      </c>
      <c r="Q163" s="1400"/>
      <c r="R163" s="1401">
        <v>3740.88</v>
      </c>
      <c r="S163" s="1400"/>
      <c r="T163" s="1401">
        <v>-947.5</v>
      </c>
      <c r="U163" s="1400"/>
      <c r="V163" s="1401">
        <v>0</v>
      </c>
      <c r="W163" s="1400"/>
      <c r="X163" s="1401">
        <v>0</v>
      </c>
      <c r="Y163" s="1400"/>
      <c r="Z163" s="1401">
        <v>0</v>
      </c>
      <c r="AA163" s="1400"/>
      <c r="AB163" s="1401">
        <v>0</v>
      </c>
      <c r="AC163" s="1400"/>
      <c r="AD163" s="1401">
        <v>0</v>
      </c>
      <c r="AE163" s="1400"/>
      <c r="AF163" s="1401">
        <v>877.16</v>
      </c>
      <c r="AG163" s="1400"/>
      <c r="AH163" s="1401">
        <f t="shared" si="16"/>
        <v>6217.0700000000006</v>
      </c>
      <c r="AI163" s="1574">
        <f t="shared" si="17"/>
        <v>9.9186821081462067E-5</v>
      </c>
      <c r="AJ163" s="11"/>
    </row>
    <row r="164" spans="2:39" s="7" customFormat="1" ht="5.0999999999999996" customHeight="1" outlineLevel="1">
      <c r="B164" s="1" t="s">
        <v>187</v>
      </c>
      <c r="D164" s="1397"/>
      <c r="E164" s="1397"/>
      <c r="F164" s="1397"/>
      <c r="G164" s="1397"/>
      <c r="H164" s="1399"/>
      <c r="I164" s="1399"/>
      <c r="J164" s="1407"/>
      <c r="K164" s="1405"/>
      <c r="L164" s="1407"/>
      <c r="M164" s="1405"/>
      <c r="N164" s="1407"/>
      <c r="O164" s="1405"/>
      <c r="P164" s="1407"/>
      <c r="Q164" s="1405"/>
      <c r="R164" s="1407"/>
      <c r="S164" s="1405"/>
      <c r="T164" s="1407"/>
      <c r="U164" s="1405"/>
      <c r="V164" s="1407"/>
      <c r="W164" s="1405"/>
      <c r="X164" s="1407"/>
      <c r="Y164" s="1405"/>
      <c r="Z164" s="1407"/>
      <c r="AA164" s="1405"/>
      <c r="AB164" s="1407"/>
      <c r="AC164" s="1405"/>
      <c r="AD164" s="1407"/>
      <c r="AE164" s="1405"/>
      <c r="AF164" s="1407"/>
      <c r="AG164" s="1405"/>
      <c r="AH164" s="1407"/>
      <c r="AI164" s="1573"/>
      <c r="AJ164" s="14"/>
      <c r="AK164" s="1"/>
      <c r="AL164" s="1"/>
      <c r="AM164" s="1"/>
    </row>
    <row r="165" spans="2:39" s="7" customFormat="1" ht="15">
      <c r="B165" s="1"/>
      <c r="D165" s="1399"/>
      <c r="E165" s="1399"/>
      <c r="F165" s="1397" t="s">
        <v>234</v>
      </c>
      <c r="G165" s="1399"/>
      <c r="H165" s="1399"/>
      <c r="I165" s="1399"/>
      <c r="J165" s="1404">
        <f>SUM(J146:J164)</f>
        <v>69408.670000000013</v>
      </c>
      <c r="K165" s="1405"/>
      <c r="L165" s="1404">
        <f>SUM(L146:L164)</f>
        <v>85280.690000000017</v>
      </c>
      <c r="M165" s="1405"/>
      <c r="N165" s="1404">
        <f>SUM(N146:N164)</f>
        <v>75437.509999999995</v>
      </c>
      <c r="O165" s="1405"/>
      <c r="P165" s="1404">
        <f>SUM(P146:P164)</f>
        <v>79330.87999999999</v>
      </c>
      <c r="Q165" s="1405"/>
      <c r="R165" s="1404">
        <f>SUM(R146:R164)</f>
        <v>104452.48000000001</v>
      </c>
      <c r="S165" s="1405"/>
      <c r="T165" s="1404">
        <f>SUM(T146:T164)</f>
        <v>98209.150000000023</v>
      </c>
      <c r="U165" s="1405"/>
      <c r="V165" s="1404">
        <f>SUM(V146:V164)</f>
        <v>84833.85000000002</v>
      </c>
      <c r="W165" s="1405"/>
      <c r="X165" s="1404">
        <f>SUM(X146:X164)</f>
        <v>83614.169999999969</v>
      </c>
      <c r="Y165" s="1405"/>
      <c r="Z165" s="1404">
        <f>SUM(Z146:Z164)</f>
        <v>84446.67</v>
      </c>
      <c r="AA165" s="1405"/>
      <c r="AB165" s="1404">
        <f>SUM(AB146:AB164)</f>
        <v>82487.22</v>
      </c>
      <c r="AC165" s="1405"/>
      <c r="AD165" s="1404">
        <f>SUM(AD146:AD164)</f>
        <v>84125.150000000009</v>
      </c>
      <c r="AE165" s="1405"/>
      <c r="AF165" s="1404">
        <f>SUM(AF146:AF164)</f>
        <v>86167.12000000001</v>
      </c>
      <c r="AG165" s="1405"/>
      <c r="AH165" s="1404">
        <f>SUM(AH146:AH164)</f>
        <v>1017793.56</v>
      </c>
      <c r="AI165" s="1574">
        <f>IF(AH$61=0,0,AH165/AH$61)</f>
        <v>1.62378271008022E-2</v>
      </c>
      <c r="AJ165" s="14"/>
      <c r="AK165" s="1"/>
    </row>
    <row r="166" spans="2:39" s="7" customFormat="1" ht="15" outlineLevel="1">
      <c r="B166" s="1"/>
      <c r="D166" s="1399"/>
      <c r="E166" s="1399"/>
      <c r="F166" s="1399"/>
      <c r="G166" s="1399"/>
      <c r="H166" s="1399"/>
      <c r="I166" s="1399"/>
      <c r="J166" s="1406"/>
      <c r="K166" s="1405"/>
      <c r="L166" s="1406"/>
      <c r="M166" s="1405"/>
      <c r="N166" s="1406"/>
      <c r="O166" s="1405"/>
      <c r="P166" s="1406"/>
      <c r="Q166" s="1405"/>
      <c r="R166" s="1406"/>
      <c r="S166" s="1405"/>
      <c r="T166" s="1406"/>
      <c r="U166" s="1405"/>
      <c r="V166" s="1406"/>
      <c r="W166" s="1405"/>
      <c r="X166" s="1406"/>
      <c r="Y166" s="1405"/>
      <c r="Z166" s="1406"/>
      <c r="AA166" s="1405"/>
      <c r="AB166" s="1406"/>
      <c r="AC166" s="1405"/>
      <c r="AD166" s="1406"/>
      <c r="AE166" s="1405"/>
      <c r="AF166" s="1406"/>
      <c r="AG166" s="1405"/>
      <c r="AH166" s="1406"/>
      <c r="AI166" s="1573"/>
      <c r="AJ166" s="14"/>
      <c r="AK166" s="1"/>
    </row>
    <row r="167" spans="2:39" s="7" customFormat="1" ht="15" outlineLevel="1">
      <c r="B167" s="1" t="s">
        <v>187</v>
      </c>
      <c r="D167" s="1399"/>
      <c r="E167" s="1399"/>
      <c r="F167" s="1399"/>
      <c r="G167" s="1399"/>
      <c r="H167" s="1399"/>
      <c r="I167" s="1399"/>
      <c r="J167" s="1406"/>
      <c r="K167" s="1405"/>
      <c r="L167" s="1406"/>
      <c r="M167" s="1405"/>
      <c r="N167" s="1406"/>
      <c r="O167" s="1405"/>
      <c r="P167" s="1406"/>
      <c r="Q167" s="1405"/>
      <c r="R167" s="1406"/>
      <c r="S167" s="1405"/>
      <c r="T167" s="1406"/>
      <c r="U167" s="1405"/>
      <c r="V167" s="1406"/>
      <c r="W167" s="1405"/>
      <c r="X167" s="1406"/>
      <c r="Y167" s="1405"/>
      <c r="Z167" s="1406"/>
      <c r="AA167" s="1405"/>
      <c r="AB167" s="1406"/>
      <c r="AC167" s="1405"/>
      <c r="AD167" s="1406"/>
      <c r="AE167" s="1405"/>
      <c r="AF167" s="1406"/>
      <c r="AG167" s="1405"/>
      <c r="AH167" s="1406"/>
      <c r="AI167" s="1573"/>
      <c r="AJ167" s="14"/>
      <c r="AK167" s="1"/>
    </row>
    <row r="168" spans="2:39" outlineLevel="1">
      <c r="B168" s="71" t="s">
        <v>396</v>
      </c>
      <c r="D168" s="1396">
        <v>56010</v>
      </c>
      <c r="E168" s="1396" t="s">
        <v>17</v>
      </c>
      <c r="F168" s="1397"/>
      <c r="G168" s="1398"/>
      <c r="H168" s="1399"/>
      <c r="I168" s="1400"/>
      <c r="J168" s="1401">
        <v>31928.21</v>
      </c>
      <c r="K168" s="1400"/>
      <c r="L168" s="1401">
        <v>35975</v>
      </c>
      <c r="M168" s="1400"/>
      <c r="N168" s="1401">
        <v>23419.599999999999</v>
      </c>
      <c r="O168" s="1400"/>
      <c r="P168" s="1401">
        <v>22957.52</v>
      </c>
      <c r="Q168" s="1400"/>
      <c r="R168" s="1401">
        <v>22112.15</v>
      </c>
      <c r="S168" s="1400"/>
      <c r="T168" s="1401">
        <v>26943.919999999998</v>
      </c>
      <c r="U168" s="1400"/>
      <c r="V168" s="1401">
        <v>30395.91</v>
      </c>
      <c r="W168" s="1400"/>
      <c r="X168" s="1401">
        <v>34974.29</v>
      </c>
      <c r="Y168" s="1400"/>
      <c r="Z168" s="1401">
        <v>33624.11</v>
      </c>
      <c r="AA168" s="1400"/>
      <c r="AB168" s="1401">
        <v>32273.919999999998</v>
      </c>
      <c r="AC168" s="1400"/>
      <c r="AD168" s="1401">
        <v>34974.31</v>
      </c>
      <c r="AE168" s="1400"/>
      <c r="AF168" s="1401">
        <v>32542.19</v>
      </c>
      <c r="AG168" s="1400"/>
      <c r="AH168" s="1401">
        <f t="shared" ref="AH168:AH178" si="18">AF168+AD168+AB168+Z168+X168+V168+T168+R168+P168+N168+L168+J168</f>
        <v>362121.13</v>
      </c>
      <c r="AI168" s="1574">
        <f t="shared" ref="AI168:AI178" si="19">IF(AH$61=0,0,AH168/AH$61)</f>
        <v>5.7772622362506562E-3</v>
      </c>
      <c r="AJ168" s="11"/>
    </row>
    <row r="169" spans="2:39" outlineLevel="1">
      <c r="B169" s="71" t="s">
        <v>380</v>
      </c>
      <c r="D169" s="1396">
        <v>56035</v>
      </c>
      <c r="E169" s="1396" t="s">
        <v>27</v>
      </c>
      <c r="F169" s="1397"/>
      <c r="G169" s="1398"/>
      <c r="H169" s="1399"/>
      <c r="I169" s="1400"/>
      <c r="J169" s="1401">
        <v>0</v>
      </c>
      <c r="K169" s="1400"/>
      <c r="L169" s="1401">
        <v>2000</v>
      </c>
      <c r="M169" s="1400"/>
      <c r="N169" s="1401">
        <v>0</v>
      </c>
      <c r="O169" s="1400"/>
      <c r="P169" s="1401">
        <v>0</v>
      </c>
      <c r="Q169" s="1400"/>
      <c r="R169" s="1401">
        <v>0</v>
      </c>
      <c r="S169" s="1400"/>
      <c r="T169" s="1401">
        <v>0</v>
      </c>
      <c r="U169" s="1400"/>
      <c r="V169" s="1401">
        <v>0</v>
      </c>
      <c r="W169" s="1400"/>
      <c r="X169" s="1401">
        <v>400</v>
      </c>
      <c r="Y169" s="1400"/>
      <c r="Z169" s="1401">
        <v>0</v>
      </c>
      <c r="AA169" s="1400"/>
      <c r="AB169" s="1401">
        <v>0</v>
      </c>
      <c r="AC169" s="1400"/>
      <c r="AD169" s="1401">
        <v>0</v>
      </c>
      <c r="AE169" s="1400"/>
      <c r="AF169" s="1401">
        <v>0</v>
      </c>
      <c r="AG169" s="1400"/>
      <c r="AH169" s="1401">
        <f t="shared" si="18"/>
        <v>2400</v>
      </c>
      <c r="AI169" s="1574">
        <f t="shared" si="19"/>
        <v>3.828947890171881E-5</v>
      </c>
      <c r="AJ169" s="11"/>
    </row>
    <row r="170" spans="2:39" outlineLevel="1">
      <c r="B170" s="71" t="s">
        <v>380</v>
      </c>
      <c r="D170" s="1396">
        <v>56050</v>
      </c>
      <c r="E170" s="1396" t="s">
        <v>158</v>
      </c>
      <c r="F170" s="1397"/>
      <c r="G170" s="1398"/>
      <c r="H170" s="1399"/>
      <c r="I170" s="1400"/>
      <c r="J170" s="1401">
        <v>1738.21</v>
      </c>
      <c r="K170" s="1400"/>
      <c r="L170" s="1401">
        <v>2882.86</v>
      </c>
      <c r="M170" s="1400"/>
      <c r="N170" s="1401">
        <v>-261.44</v>
      </c>
      <c r="O170" s="1400"/>
      <c r="P170" s="1401">
        <v>1488.81</v>
      </c>
      <c r="Q170" s="1400"/>
      <c r="R170" s="1401">
        <v>1396.55</v>
      </c>
      <c r="S170" s="1400"/>
      <c r="T170" s="1401">
        <v>1785.35</v>
      </c>
      <c r="U170" s="1400"/>
      <c r="V170" s="1401">
        <v>3041.06</v>
      </c>
      <c r="W170" s="1400"/>
      <c r="X170" s="1401">
        <v>2458.2199999999998</v>
      </c>
      <c r="Y170" s="1400"/>
      <c r="Z170" s="1401">
        <v>2203.44</v>
      </c>
      <c r="AA170" s="1400"/>
      <c r="AB170" s="1401">
        <v>2109.5</v>
      </c>
      <c r="AC170" s="1400"/>
      <c r="AD170" s="1401">
        <v>2310.4</v>
      </c>
      <c r="AE170" s="1400"/>
      <c r="AF170" s="1401">
        <v>2130.0500000000002</v>
      </c>
      <c r="AG170" s="1400"/>
      <c r="AH170" s="1401">
        <f t="shared" si="18"/>
        <v>23283.010000000002</v>
      </c>
      <c r="AI170" s="1574">
        <f t="shared" si="19"/>
        <v>3.7145596673479505E-4</v>
      </c>
      <c r="AJ170" s="11"/>
    </row>
    <row r="171" spans="2:39" outlineLevel="1">
      <c r="B171" s="71" t="s">
        <v>380</v>
      </c>
      <c r="D171" s="1396">
        <v>56060</v>
      </c>
      <c r="E171" s="1396" t="s">
        <v>70</v>
      </c>
      <c r="F171" s="1397"/>
      <c r="G171" s="1398"/>
      <c r="H171" s="1399"/>
      <c r="I171" s="1400"/>
      <c r="J171" s="1401">
        <v>4978.26</v>
      </c>
      <c r="K171" s="1400"/>
      <c r="L171" s="1401">
        <v>5255.21</v>
      </c>
      <c r="M171" s="1400"/>
      <c r="N171" s="1401">
        <v>4109.76</v>
      </c>
      <c r="O171" s="1400"/>
      <c r="P171" s="1401">
        <v>2579.06</v>
      </c>
      <c r="Q171" s="1400"/>
      <c r="R171" s="1401">
        <v>3375.48</v>
      </c>
      <c r="S171" s="1400"/>
      <c r="T171" s="1401">
        <v>2801.36</v>
      </c>
      <c r="U171" s="1400"/>
      <c r="V171" s="1401">
        <v>4154.66</v>
      </c>
      <c r="W171" s="1400"/>
      <c r="X171" s="1401">
        <v>5362.23</v>
      </c>
      <c r="Y171" s="1400"/>
      <c r="Z171" s="1401">
        <v>5425.76</v>
      </c>
      <c r="AA171" s="1400"/>
      <c r="AB171" s="1401">
        <v>5363.36</v>
      </c>
      <c r="AC171" s="1400"/>
      <c r="AD171" s="1401">
        <v>4982.6400000000003</v>
      </c>
      <c r="AE171" s="1400"/>
      <c r="AF171" s="1401">
        <v>5362.9</v>
      </c>
      <c r="AG171" s="1400"/>
      <c r="AH171" s="1401">
        <f t="shared" si="18"/>
        <v>53750.680000000008</v>
      </c>
      <c r="AI171" s="1574">
        <f t="shared" si="19"/>
        <v>8.5753563658876638E-4</v>
      </c>
      <c r="AJ171" s="11"/>
    </row>
    <row r="172" spans="2:39" outlineLevel="1">
      <c r="B172" s="71" t="s">
        <v>380</v>
      </c>
      <c r="D172" s="1396">
        <v>56065</v>
      </c>
      <c r="E172" s="1396" t="s">
        <v>22</v>
      </c>
      <c r="F172" s="1397"/>
      <c r="G172" s="1398"/>
      <c r="H172" s="1399"/>
      <c r="I172" s="1400"/>
      <c r="J172" s="1401">
        <v>-2204.06</v>
      </c>
      <c r="K172" s="1400"/>
      <c r="L172" s="1401">
        <v>0</v>
      </c>
      <c r="M172" s="1400"/>
      <c r="N172" s="1401">
        <v>-24674.73</v>
      </c>
      <c r="O172" s="1400"/>
      <c r="P172" s="1401">
        <v>0</v>
      </c>
      <c r="Q172" s="1400"/>
      <c r="R172" s="1401">
        <v>0</v>
      </c>
      <c r="S172" s="1400"/>
      <c r="T172" s="1401">
        <v>0</v>
      </c>
      <c r="U172" s="1400"/>
      <c r="V172" s="1401">
        <v>0</v>
      </c>
      <c r="W172" s="1400"/>
      <c r="X172" s="1401">
        <v>0</v>
      </c>
      <c r="Y172" s="1400"/>
      <c r="Z172" s="1401">
        <v>0</v>
      </c>
      <c r="AA172" s="1400"/>
      <c r="AB172" s="1401">
        <v>0</v>
      </c>
      <c r="AC172" s="1400"/>
      <c r="AD172" s="1401">
        <v>0</v>
      </c>
      <c r="AE172" s="1400"/>
      <c r="AF172" s="1401">
        <v>0</v>
      </c>
      <c r="AG172" s="1400"/>
      <c r="AH172" s="1401">
        <f t="shared" si="18"/>
        <v>-26878.79</v>
      </c>
      <c r="AI172" s="1574">
        <f t="shared" si="19"/>
        <v>-4.2882285942030438E-4</v>
      </c>
      <c r="AJ172" s="11"/>
    </row>
    <row r="173" spans="2:39" outlineLevel="1">
      <c r="B173" s="71" t="s">
        <v>380</v>
      </c>
      <c r="D173" s="1396">
        <v>56070</v>
      </c>
      <c r="E173" s="1396" t="s">
        <v>23</v>
      </c>
      <c r="F173" s="1397"/>
      <c r="G173" s="1398"/>
      <c r="H173" s="1399"/>
      <c r="I173" s="1400"/>
      <c r="J173" s="1401">
        <v>-3046.15</v>
      </c>
      <c r="K173" s="1400"/>
      <c r="L173" s="1401">
        <v>-3046.15</v>
      </c>
      <c r="M173" s="1400"/>
      <c r="N173" s="1401">
        <v>3046.15</v>
      </c>
      <c r="O173" s="1400"/>
      <c r="P173" s="1401">
        <v>0</v>
      </c>
      <c r="Q173" s="1400"/>
      <c r="R173" s="1401">
        <v>0</v>
      </c>
      <c r="S173" s="1400"/>
      <c r="T173" s="1401">
        <v>0</v>
      </c>
      <c r="U173" s="1400"/>
      <c r="V173" s="1401">
        <v>0</v>
      </c>
      <c r="W173" s="1400"/>
      <c r="X173" s="1401">
        <v>0</v>
      </c>
      <c r="Y173" s="1400"/>
      <c r="Z173" s="1401">
        <v>0</v>
      </c>
      <c r="AA173" s="1400"/>
      <c r="AB173" s="1401">
        <v>0</v>
      </c>
      <c r="AC173" s="1400"/>
      <c r="AD173" s="1401">
        <v>0</v>
      </c>
      <c r="AE173" s="1400"/>
      <c r="AF173" s="1401">
        <v>0</v>
      </c>
      <c r="AG173" s="1400"/>
      <c r="AH173" s="1401">
        <f t="shared" si="18"/>
        <v>-3046.15</v>
      </c>
      <c r="AI173" s="1574">
        <f t="shared" si="19"/>
        <v>-4.8598123398529477E-5</v>
      </c>
      <c r="AJ173" s="11"/>
    </row>
    <row r="174" spans="2:39" outlineLevel="1">
      <c r="B174" s="71" t="s">
        <v>380</v>
      </c>
      <c r="D174" s="1396">
        <v>56090</v>
      </c>
      <c r="E174" s="1396" t="s">
        <v>41</v>
      </c>
      <c r="F174" s="1397"/>
      <c r="G174" s="1398"/>
      <c r="H174" s="1399"/>
      <c r="I174" s="1400"/>
      <c r="J174" s="1401">
        <v>257.11</v>
      </c>
      <c r="K174" s="1400"/>
      <c r="L174" s="1401">
        <v>0</v>
      </c>
      <c r="M174" s="1400"/>
      <c r="N174" s="1401">
        <v>0</v>
      </c>
      <c r="O174" s="1400"/>
      <c r="P174" s="1401">
        <v>150</v>
      </c>
      <c r="Q174" s="1400"/>
      <c r="R174" s="1401">
        <v>0</v>
      </c>
      <c r="S174" s="1400"/>
      <c r="T174" s="1401">
        <v>0</v>
      </c>
      <c r="U174" s="1400"/>
      <c r="V174" s="1401">
        <v>731.2</v>
      </c>
      <c r="W174" s="1400"/>
      <c r="X174" s="1401">
        <v>158.49</v>
      </c>
      <c r="Y174" s="1400"/>
      <c r="Z174" s="1401">
        <v>0</v>
      </c>
      <c r="AA174" s="1400"/>
      <c r="AB174" s="1401">
        <v>288.83999999999997</v>
      </c>
      <c r="AC174" s="1400"/>
      <c r="AD174" s="1401">
        <v>0</v>
      </c>
      <c r="AE174" s="1400"/>
      <c r="AF174" s="1401">
        <v>0</v>
      </c>
      <c r="AG174" s="1400"/>
      <c r="AH174" s="1401">
        <f t="shared" si="18"/>
        <v>1585.6399999999999</v>
      </c>
      <c r="AI174" s="1574">
        <f t="shared" si="19"/>
        <v>2.5297220552383921E-5</v>
      </c>
      <c r="AJ174" s="11"/>
    </row>
    <row r="175" spans="2:39" outlineLevel="1">
      <c r="B175" s="71" t="s">
        <v>380</v>
      </c>
      <c r="D175" s="1396">
        <v>56115</v>
      </c>
      <c r="E175" s="1396" t="s">
        <v>116</v>
      </c>
      <c r="F175" s="1397"/>
      <c r="G175" s="1398"/>
      <c r="H175" s="1399"/>
      <c r="I175" s="1400"/>
      <c r="J175" s="1401">
        <v>622.12</v>
      </c>
      <c r="K175" s="1400"/>
      <c r="L175" s="1401">
        <v>1135.6600000000001</v>
      </c>
      <c r="M175" s="1400"/>
      <c r="N175" s="1401">
        <v>557.44000000000005</v>
      </c>
      <c r="O175" s="1400"/>
      <c r="P175" s="1401">
        <v>960.86</v>
      </c>
      <c r="Q175" s="1400"/>
      <c r="R175" s="1401">
        <v>315.39999999999998</v>
      </c>
      <c r="S175" s="1400"/>
      <c r="T175" s="1401">
        <v>399.44</v>
      </c>
      <c r="U175" s="1400"/>
      <c r="V175" s="1401">
        <v>499</v>
      </c>
      <c r="W175" s="1400"/>
      <c r="X175" s="1401">
        <v>487.6</v>
      </c>
      <c r="Y175" s="1400"/>
      <c r="Z175" s="1401">
        <v>713.4</v>
      </c>
      <c r="AA175" s="1400"/>
      <c r="AB175" s="1401">
        <v>526.36</v>
      </c>
      <c r="AC175" s="1400"/>
      <c r="AD175" s="1401">
        <v>526.36</v>
      </c>
      <c r="AE175" s="1400"/>
      <c r="AF175" s="1401">
        <v>526.36</v>
      </c>
      <c r="AG175" s="1400"/>
      <c r="AH175" s="1401">
        <f t="shared" si="18"/>
        <v>7269.9999999999991</v>
      </c>
      <c r="AI175" s="1574">
        <f t="shared" si="19"/>
        <v>1.159852131731232E-4</v>
      </c>
      <c r="AJ175" s="11"/>
    </row>
    <row r="176" spans="2:39" outlineLevel="1">
      <c r="B176" s="71" t="s">
        <v>380</v>
      </c>
      <c r="D176" s="1396">
        <v>56165</v>
      </c>
      <c r="E176" s="1396" t="s">
        <v>230</v>
      </c>
      <c r="F176" s="1397"/>
      <c r="G176" s="1398"/>
      <c r="H176" s="1399"/>
      <c r="I176" s="1400"/>
      <c r="J176" s="1401">
        <v>0</v>
      </c>
      <c r="K176" s="1400"/>
      <c r="L176" s="1401">
        <v>0</v>
      </c>
      <c r="M176" s="1400"/>
      <c r="N176" s="1401">
        <v>0</v>
      </c>
      <c r="O176" s="1400"/>
      <c r="P176" s="1401">
        <v>0</v>
      </c>
      <c r="Q176" s="1400"/>
      <c r="R176" s="1401">
        <v>0</v>
      </c>
      <c r="S176" s="1400"/>
      <c r="T176" s="1401">
        <v>0</v>
      </c>
      <c r="U176" s="1400"/>
      <c r="V176" s="1401">
        <v>0</v>
      </c>
      <c r="W176" s="1400"/>
      <c r="X176" s="1401">
        <v>0</v>
      </c>
      <c r="Y176" s="1400"/>
      <c r="Z176" s="1401">
        <v>0</v>
      </c>
      <c r="AA176" s="1400"/>
      <c r="AB176" s="1401">
        <v>0</v>
      </c>
      <c r="AC176" s="1400"/>
      <c r="AD176" s="1401">
        <v>240</v>
      </c>
      <c r="AE176" s="1400"/>
      <c r="AF176" s="1401">
        <v>0</v>
      </c>
      <c r="AG176" s="1400"/>
      <c r="AH176" s="1401">
        <f t="shared" si="18"/>
        <v>240</v>
      </c>
      <c r="AI176" s="1574">
        <f t="shared" si="19"/>
        <v>3.8289478901718805E-6</v>
      </c>
      <c r="AJ176" s="11"/>
    </row>
    <row r="177" spans="2:37" outlineLevel="1">
      <c r="B177" s="71" t="s">
        <v>380</v>
      </c>
      <c r="D177" s="1396">
        <v>56200</v>
      </c>
      <c r="E177" s="1396" t="s">
        <v>60</v>
      </c>
      <c r="F177" s="1397"/>
      <c r="G177" s="1398"/>
      <c r="H177" s="1399"/>
      <c r="I177" s="1400"/>
      <c r="J177" s="1401">
        <v>22</v>
      </c>
      <c r="K177" s="1400"/>
      <c r="L177" s="1401">
        <v>0</v>
      </c>
      <c r="M177" s="1400"/>
      <c r="N177" s="1401">
        <v>0</v>
      </c>
      <c r="O177" s="1400"/>
      <c r="P177" s="1401">
        <v>0</v>
      </c>
      <c r="Q177" s="1400"/>
      <c r="R177" s="1401">
        <v>0</v>
      </c>
      <c r="S177" s="1400"/>
      <c r="T177" s="1401">
        <v>80</v>
      </c>
      <c r="U177" s="1400"/>
      <c r="V177" s="1401">
        <v>0</v>
      </c>
      <c r="W177" s="1400"/>
      <c r="X177" s="1401">
        <v>0</v>
      </c>
      <c r="Y177" s="1400"/>
      <c r="Z177" s="1401">
        <v>0</v>
      </c>
      <c r="AA177" s="1400"/>
      <c r="AB177" s="1401">
        <v>0</v>
      </c>
      <c r="AC177" s="1400"/>
      <c r="AD177" s="1401">
        <v>24.17</v>
      </c>
      <c r="AE177" s="1400"/>
      <c r="AF177" s="1401">
        <v>0</v>
      </c>
      <c r="AG177" s="1400"/>
      <c r="AH177" s="1401">
        <f t="shared" si="18"/>
        <v>126.17</v>
      </c>
      <c r="AI177" s="1574">
        <f t="shared" si="19"/>
        <v>2.0129098137624425E-6</v>
      </c>
      <c r="AJ177" s="11"/>
    </row>
    <row r="178" spans="2:37" outlineLevel="1">
      <c r="B178" s="71" t="s">
        <v>380</v>
      </c>
      <c r="D178" s="1396">
        <v>56201</v>
      </c>
      <c r="E178" s="1396" t="s">
        <v>650</v>
      </c>
      <c r="F178" s="1397"/>
      <c r="G178" s="1398"/>
      <c r="H178" s="1399"/>
      <c r="I178" s="1400"/>
      <c r="J178" s="1401">
        <v>0</v>
      </c>
      <c r="K178" s="1400"/>
      <c r="L178" s="1401">
        <v>0</v>
      </c>
      <c r="M178" s="1400"/>
      <c r="N178" s="1401">
        <v>0</v>
      </c>
      <c r="O178" s="1400"/>
      <c r="P178" s="1401">
        <v>0</v>
      </c>
      <c r="Q178" s="1400"/>
      <c r="R178" s="1401">
        <v>0</v>
      </c>
      <c r="S178" s="1400"/>
      <c r="T178" s="1401">
        <v>127.59</v>
      </c>
      <c r="U178" s="1400"/>
      <c r="V178" s="1401">
        <v>0</v>
      </c>
      <c r="W178" s="1400"/>
      <c r="X178" s="1401">
        <v>0</v>
      </c>
      <c r="Y178" s="1400"/>
      <c r="Z178" s="1401">
        <v>0</v>
      </c>
      <c r="AA178" s="1400"/>
      <c r="AB178" s="1401">
        <v>0</v>
      </c>
      <c r="AC178" s="1400"/>
      <c r="AD178" s="1401">
        <v>230.67</v>
      </c>
      <c r="AE178" s="1400"/>
      <c r="AF178" s="1401">
        <v>0</v>
      </c>
      <c r="AG178" s="1400"/>
      <c r="AH178" s="1401">
        <f t="shared" si="18"/>
        <v>358.26</v>
      </c>
      <c r="AI178" s="1574">
        <f t="shared" si="19"/>
        <v>5.715661963054075E-6</v>
      </c>
      <c r="AJ178" s="11"/>
    </row>
    <row r="179" spans="2:37" s="7" customFormat="1" ht="5.0999999999999996" customHeight="1" outlineLevel="1">
      <c r="B179" s="1" t="s">
        <v>187</v>
      </c>
      <c r="D179" s="1397"/>
      <c r="E179" s="1397"/>
      <c r="F179" s="1397"/>
      <c r="G179" s="1397"/>
      <c r="H179" s="1399"/>
      <c r="I179" s="1399"/>
      <c r="J179" s="1407"/>
      <c r="K179" s="1405"/>
      <c r="L179" s="1407"/>
      <c r="M179" s="1405"/>
      <c r="N179" s="1407"/>
      <c r="O179" s="1405"/>
      <c r="P179" s="1407"/>
      <c r="Q179" s="1405"/>
      <c r="R179" s="1407"/>
      <c r="S179" s="1405"/>
      <c r="T179" s="1407"/>
      <c r="U179" s="1405"/>
      <c r="V179" s="1407"/>
      <c r="W179" s="1405"/>
      <c r="X179" s="1407"/>
      <c r="Y179" s="1405"/>
      <c r="Z179" s="1407"/>
      <c r="AA179" s="1405"/>
      <c r="AB179" s="1407"/>
      <c r="AC179" s="1405"/>
      <c r="AD179" s="1407"/>
      <c r="AE179" s="1405"/>
      <c r="AF179" s="1407"/>
      <c r="AG179" s="1405"/>
      <c r="AH179" s="1407"/>
      <c r="AI179" s="1573"/>
      <c r="AJ179" s="14"/>
      <c r="AK179" s="1"/>
    </row>
    <row r="180" spans="2:37" s="7" customFormat="1" ht="15">
      <c r="B180" s="1" t="s">
        <v>187</v>
      </c>
      <c r="D180" s="1399"/>
      <c r="E180" s="1399"/>
      <c r="F180" s="1397" t="s">
        <v>236</v>
      </c>
      <c r="G180" s="1399"/>
      <c r="H180" s="1399"/>
      <c r="I180" s="1399"/>
      <c r="J180" s="1404">
        <f>SUM(J167:J179)</f>
        <v>34295.700000000004</v>
      </c>
      <c r="K180" s="1405"/>
      <c r="L180" s="1404">
        <f>SUM(L167:L179)</f>
        <v>44202.58</v>
      </c>
      <c r="M180" s="1405"/>
      <c r="N180" s="1404">
        <f>SUM(N167:N179)</f>
        <v>6196.7799999999988</v>
      </c>
      <c r="O180" s="1405"/>
      <c r="P180" s="1404">
        <f>SUM(P167:P179)</f>
        <v>28136.250000000004</v>
      </c>
      <c r="Q180" s="1405"/>
      <c r="R180" s="1404">
        <f>SUM(R167:R179)</f>
        <v>27199.58</v>
      </c>
      <c r="S180" s="1405"/>
      <c r="T180" s="1404">
        <f>SUM(T167:T179)</f>
        <v>32137.659999999996</v>
      </c>
      <c r="U180" s="1405"/>
      <c r="V180" s="1404">
        <f>SUM(V167:V179)</f>
        <v>38821.83</v>
      </c>
      <c r="W180" s="1405"/>
      <c r="X180" s="1404">
        <f>SUM(X167:X179)</f>
        <v>43840.83</v>
      </c>
      <c r="Y180" s="1405"/>
      <c r="Z180" s="1404">
        <f>SUM(Z167:Z179)</f>
        <v>41966.710000000006</v>
      </c>
      <c r="AA180" s="1405"/>
      <c r="AB180" s="1404">
        <f>SUM(AB167:AB179)</f>
        <v>40561.979999999996</v>
      </c>
      <c r="AC180" s="1405"/>
      <c r="AD180" s="1404">
        <f>SUM(AD167:AD179)</f>
        <v>43288.549999999996</v>
      </c>
      <c r="AE180" s="1405"/>
      <c r="AF180" s="1404">
        <f>SUM(AF167:AF179)</f>
        <v>40561.5</v>
      </c>
      <c r="AG180" s="1405"/>
      <c r="AH180" s="1404">
        <f>SUM(AH167:AH179)</f>
        <v>421209.95</v>
      </c>
      <c r="AI180" s="1574">
        <f>IF(AH$61=0,0,AH180/AH$61)</f>
        <v>6.719962289049598E-3</v>
      </c>
      <c r="AJ180" s="14"/>
      <c r="AK180" s="1"/>
    </row>
    <row r="181" spans="2:37" s="7" customFormat="1" ht="15" outlineLevel="1">
      <c r="B181" s="1"/>
      <c r="D181" s="1399"/>
      <c r="E181" s="1399"/>
      <c r="F181" s="1399"/>
      <c r="G181" s="1399"/>
      <c r="H181" s="1399"/>
      <c r="I181" s="1399"/>
      <c r="J181" s="1406"/>
      <c r="K181" s="1405"/>
      <c r="L181" s="1406"/>
      <c r="M181" s="1405"/>
      <c r="N181" s="1406"/>
      <c r="O181" s="1405"/>
      <c r="P181" s="1406"/>
      <c r="Q181" s="1405"/>
      <c r="R181" s="1406"/>
      <c r="S181" s="1405"/>
      <c r="T181" s="1406"/>
      <c r="U181" s="1405"/>
      <c r="V181" s="1406"/>
      <c r="W181" s="1405"/>
      <c r="X181" s="1406"/>
      <c r="Y181" s="1405"/>
      <c r="Z181" s="1406"/>
      <c r="AA181" s="1405"/>
      <c r="AB181" s="1406"/>
      <c r="AC181" s="1405"/>
      <c r="AD181" s="1406"/>
      <c r="AE181" s="1405"/>
      <c r="AF181" s="1406"/>
      <c r="AG181" s="1405"/>
      <c r="AH181" s="1406"/>
      <c r="AI181" s="1573"/>
      <c r="AJ181" s="14"/>
      <c r="AK181" s="1"/>
    </row>
    <row r="182" spans="2:37" s="7" customFormat="1" ht="15" outlineLevel="1">
      <c r="B182" s="1" t="s">
        <v>187</v>
      </c>
      <c r="D182" s="1399"/>
      <c r="E182" s="1399"/>
      <c r="F182" s="1399"/>
      <c r="G182" s="1399"/>
      <c r="H182" s="1399"/>
      <c r="I182" s="1399"/>
      <c r="J182" s="1406"/>
      <c r="K182" s="1405"/>
      <c r="L182" s="1406"/>
      <c r="M182" s="1405"/>
      <c r="N182" s="1406"/>
      <c r="O182" s="1405"/>
      <c r="P182" s="1406"/>
      <c r="Q182" s="1405"/>
      <c r="R182" s="1406"/>
      <c r="S182" s="1405"/>
      <c r="T182" s="1406"/>
      <c r="U182" s="1405"/>
      <c r="V182" s="1406"/>
      <c r="W182" s="1405"/>
      <c r="X182" s="1406"/>
      <c r="Y182" s="1405"/>
      <c r="Z182" s="1406"/>
      <c r="AA182" s="1405"/>
      <c r="AB182" s="1406"/>
      <c r="AC182" s="1405"/>
      <c r="AD182" s="1406"/>
      <c r="AE182" s="1405"/>
      <c r="AF182" s="1406"/>
      <c r="AG182" s="1405"/>
      <c r="AH182" s="1406"/>
      <c r="AI182" s="1573"/>
      <c r="AJ182" s="14"/>
      <c r="AK182" s="1"/>
    </row>
    <row r="183" spans="2:37" outlineLevel="1">
      <c r="B183" s="71" t="s">
        <v>397</v>
      </c>
      <c r="D183" s="1396">
        <v>57125</v>
      </c>
      <c r="E183" s="1396" t="s">
        <v>63</v>
      </c>
      <c r="F183" s="1397"/>
      <c r="G183" s="1398"/>
      <c r="H183" s="1399"/>
      <c r="I183" s="1400"/>
      <c r="J183" s="1401">
        <v>2631.13</v>
      </c>
      <c r="K183" s="1400"/>
      <c r="L183" s="1401">
        <v>6702.36</v>
      </c>
      <c r="M183" s="1400"/>
      <c r="N183" s="1401">
        <v>12389.63</v>
      </c>
      <c r="O183" s="1400"/>
      <c r="P183" s="1401">
        <v>537.27</v>
      </c>
      <c r="Q183" s="1400"/>
      <c r="R183" s="1401">
        <v>6544.77</v>
      </c>
      <c r="S183" s="1400"/>
      <c r="T183" s="1401">
        <v>240.9</v>
      </c>
      <c r="U183" s="1400"/>
      <c r="V183" s="1401">
        <v>0</v>
      </c>
      <c r="W183" s="1400"/>
      <c r="X183" s="1401">
        <v>4160.6099999999997</v>
      </c>
      <c r="Y183" s="1400"/>
      <c r="Z183" s="1401">
        <v>0</v>
      </c>
      <c r="AA183" s="1400"/>
      <c r="AB183" s="1401">
        <v>1326.18</v>
      </c>
      <c r="AC183" s="1400"/>
      <c r="AD183" s="1401">
        <v>6732.93</v>
      </c>
      <c r="AE183" s="1400"/>
      <c r="AF183" s="1401">
        <v>3038.34</v>
      </c>
      <c r="AG183" s="1400"/>
      <c r="AH183" s="1401">
        <f t="shared" ref="AH183:AH194" si="20">AF183+AD183+AB183+Z183+X183+V183+T183+R183+P183+N183+L183+J183</f>
        <v>44304.12</v>
      </c>
      <c r="AI183" s="1574">
        <f t="shared" ref="AI183:AI194" si="21">IF(AH$61=0,0,AH183/AH$61)</f>
        <v>7.0682569499967436E-4</v>
      </c>
      <c r="AJ183" s="11"/>
    </row>
    <row r="184" spans="2:37" outlineLevel="1">
      <c r="B184" s="71" t="s">
        <v>380</v>
      </c>
      <c r="D184" s="1396">
        <v>57147</v>
      </c>
      <c r="E184" s="1396" t="s">
        <v>237</v>
      </c>
      <c r="F184" s="1397"/>
      <c r="G184" s="1398"/>
      <c r="H184" s="1399"/>
      <c r="I184" s="1400"/>
      <c r="J184" s="1401">
        <v>19845.34</v>
      </c>
      <c r="K184" s="1400"/>
      <c r="L184" s="1401">
        <v>15435.34</v>
      </c>
      <c r="M184" s="1400"/>
      <c r="N184" s="1401">
        <v>22628.35</v>
      </c>
      <c r="O184" s="1400"/>
      <c r="P184" s="1401">
        <v>20929.810000000001</v>
      </c>
      <c r="Q184" s="1400"/>
      <c r="R184" s="1401">
        <v>10463.14</v>
      </c>
      <c r="S184" s="1400"/>
      <c r="T184" s="1401">
        <v>18889.79</v>
      </c>
      <c r="U184" s="1400"/>
      <c r="V184" s="1401">
        <v>17899.169999999998</v>
      </c>
      <c r="W184" s="1400"/>
      <c r="X184" s="1401">
        <v>14155.25</v>
      </c>
      <c r="Y184" s="1400"/>
      <c r="Z184" s="1401">
        <v>38147.300000000003</v>
      </c>
      <c r="AA184" s="1400"/>
      <c r="AB184" s="1401">
        <v>14635.23</v>
      </c>
      <c r="AC184" s="1400"/>
      <c r="AD184" s="1401">
        <v>24053.02</v>
      </c>
      <c r="AE184" s="1400"/>
      <c r="AF184" s="1401">
        <v>18331.04</v>
      </c>
      <c r="AG184" s="1400"/>
      <c r="AH184" s="1401">
        <f t="shared" si="20"/>
        <v>235412.78</v>
      </c>
      <c r="AI184" s="1574">
        <f t="shared" si="21"/>
        <v>3.7557636137520714E-3</v>
      </c>
      <c r="AJ184" s="11"/>
    </row>
    <row r="185" spans="2:37" outlineLevel="1">
      <c r="B185" s="71" t="s">
        <v>380</v>
      </c>
      <c r="D185" s="1396">
        <v>57148</v>
      </c>
      <c r="E185" s="1396" t="s">
        <v>649</v>
      </c>
      <c r="F185" s="1397"/>
      <c r="G185" s="1398"/>
      <c r="H185" s="1399"/>
      <c r="I185" s="1400"/>
      <c r="J185" s="1401">
        <v>0</v>
      </c>
      <c r="K185" s="1400"/>
      <c r="L185" s="1401">
        <v>0</v>
      </c>
      <c r="M185" s="1400"/>
      <c r="N185" s="1401">
        <v>8005.07</v>
      </c>
      <c r="O185" s="1400"/>
      <c r="P185" s="1401">
        <v>8005.07</v>
      </c>
      <c r="Q185" s="1400"/>
      <c r="R185" s="1401">
        <v>8005.07</v>
      </c>
      <c r="S185" s="1400"/>
      <c r="T185" s="1401">
        <v>8005.07</v>
      </c>
      <c r="U185" s="1400"/>
      <c r="V185" s="1401">
        <v>8005.07</v>
      </c>
      <c r="W185" s="1400"/>
      <c r="X185" s="1401">
        <v>8005.07</v>
      </c>
      <c r="Y185" s="1400"/>
      <c r="Z185" s="1401">
        <v>8005.07</v>
      </c>
      <c r="AA185" s="1400"/>
      <c r="AB185" s="1401">
        <v>8005.07</v>
      </c>
      <c r="AC185" s="1400"/>
      <c r="AD185" s="1401">
        <v>8005.07</v>
      </c>
      <c r="AE185" s="1400"/>
      <c r="AF185" s="1401">
        <v>8005.07</v>
      </c>
      <c r="AG185" s="1400"/>
      <c r="AH185" s="1401">
        <f t="shared" si="20"/>
        <v>80050.700000000012</v>
      </c>
      <c r="AI185" s="1574">
        <f t="shared" si="21"/>
        <v>1.2771248286324258E-3</v>
      </c>
      <c r="AJ185" s="11"/>
    </row>
    <row r="186" spans="2:37" outlineLevel="1">
      <c r="B186" s="71" t="s">
        <v>380</v>
      </c>
      <c r="D186" s="1396">
        <v>57150</v>
      </c>
      <c r="E186" s="1396" t="s">
        <v>46</v>
      </c>
      <c r="F186" s="1397"/>
      <c r="G186" s="1398"/>
      <c r="H186" s="1399"/>
      <c r="I186" s="1400"/>
      <c r="J186" s="1401">
        <v>1808.84</v>
      </c>
      <c r="K186" s="1400"/>
      <c r="L186" s="1401">
        <v>5960.11</v>
      </c>
      <c r="M186" s="1400"/>
      <c r="N186" s="1401">
        <v>5909.65</v>
      </c>
      <c r="O186" s="1400"/>
      <c r="P186" s="1401">
        <v>6026.76</v>
      </c>
      <c r="Q186" s="1400"/>
      <c r="R186" s="1401">
        <v>5830.47</v>
      </c>
      <c r="S186" s="1400"/>
      <c r="T186" s="1401">
        <v>5318.89</v>
      </c>
      <c r="U186" s="1400"/>
      <c r="V186" s="1401">
        <v>5152.78</v>
      </c>
      <c r="W186" s="1400"/>
      <c r="X186" s="1401">
        <v>8883.9</v>
      </c>
      <c r="Y186" s="1400"/>
      <c r="Z186" s="1401">
        <v>7735.45</v>
      </c>
      <c r="AA186" s="1400"/>
      <c r="AB186" s="1401">
        <v>7441.99</v>
      </c>
      <c r="AC186" s="1400"/>
      <c r="AD186" s="1401">
        <v>10352.36</v>
      </c>
      <c r="AE186" s="1400"/>
      <c r="AF186" s="1401">
        <v>10703.73</v>
      </c>
      <c r="AG186" s="1400"/>
      <c r="AH186" s="1401">
        <f t="shared" si="20"/>
        <v>81124.929999999993</v>
      </c>
      <c r="AI186" s="1574">
        <f t="shared" si="21"/>
        <v>1.2942630398493395E-3</v>
      </c>
      <c r="AJ186" s="11"/>
    </row>
    <row r="187" spans="2:37" outlineLevel="1">
      <c r="B187" s="71" t="s">
        <v>380</v>
      </c>
      <c r="D187" s="1396">
        <v>57170</v>
      </c>
      <c r="E187" s="1396" t="s">
        <v>647</v>
      </c>
      <c r="F187" s="1397"/>
      <c r="G187" s="1398"/>
      <c r="H187" s="1399"/>
      <c r="I187" s="1400"/>
      <c r="J187" s="1401">
        <v>9209.5</v>
      </c>
      <c r="K187" s="1400"/>
      <c r="L187" s="1401">
        <v>8988.5</v>
      </c>
      <c r="M187" s="1400"/>
      <c r="N187" s="1401">
        <v>285</v>
      </c>
      <c r="O187" s="1400"/>
      <c r="P187" s="1401">
        <v>285</v>
      </c>
      <c r="Q187" s="1400"/>
      <c r="R187" s="1401">
        <v>285</v>
      </c>
      <c r="S187" s="1400"/>
      <c r="T187" s="1401">
        <v>285</v>
      </c>
      <c r="U187" s="1400"/>
      <c r="V187" s="1401">
        <v>285</v>
      </c>
      <c r="W187" s="1400"/>
      <c r="X187" s="1401">
        <v>285</v>
      </c>
      <c r="Y187" s="1400"/>
      <c r="Z187" s="1401">
        <v>285</v>
      </c>
      <c r="AA187" s="1400"/>
      <c r="AB187" s="1401">
        <v>285</v>
      </c>
      <c r="AC187" s="1400"/>
      <c r="AD187" s="1401">
        <v>285</v>
      </c>
      <c r="AE187" s="1400"/>
      <c r="AF187" s="1401">
        <v>285</v>
      </c>
      <c r="AG187" s="1400"/>
      <c r="AH187" s="1401">
        <f t="shared" si="20"/>
        <v>21048</v>
      </c>
      <c r="AI187" s="1574">
        <f t="shared" si="21"/>
        <v>3.3579872996807394E-4</v>
      </c>
      <c r="AJ187" s="11"/>
    </row>
    <row r="188" spans="2:37" outlineLevel="1">
      <c r="B188" s="71" t="s">
        <v>380</v>
      </c>
      <c r="D188" s="1396">
        <v>57254</v>
      </c>
      <c r="E188" s="1396" t="s">
        <v>533</v>
      </c>
      <c r="F188" s="1397"/>
      <c r="G188" s="1398"/>
      <c r="H188" s="1399"/>
      <c r="I188" s="1400"/>
      <c r="J188" s="1401">
        <v>18370.59</v>
      </c>
      <c r="K188" s="1400"/>
      <c r="L188" s="1401">
        <v>18044.07</v>
      </c>
      <c r="M188" s="1400"/>
      <c r="N188" s="1401">
        <v>18044.060000000001</v>
      </c>
      <c r="O188" s="1400"/>
      <c r="P188" s="1401">
        <v>18044.060000000001</v>
      </c>
      <c r="Q188" s="1400"/>
      <c r="R188" s="1401">
        <v>18044.060000000001</v>
      </c>
      <c r="S188" s="1400"/>
      <c r="T188" s="1401">
        <v>18044.060000000001</v>
      </c>
      <c r="U188" s="1400"/>
      <c r="V188" s="1401">
        <v>18044.060000000001</v>
      </c>
      <c r="W188" s="1400"/>
      <c r="X188" s="1401">
        <v>18208.009999999998</v>
      </c>
      <c r="Y188" s="1400"/>
      <c r="Z188" s="1401">
        <v>18185.150000000001</v>
      </c>
      <c r="AA188" s="1400"/>
      <c r="AB188" s="1401">
        <v>18185.150000000001</v>
      </c>
      <c r="AC188" s="1400"/>
      <c r="AD188" s="1401">
        <v>20842.060000000001</v>
      </c>
      <c r="AE188" s="1400"/>
      <c r="AF188" s="1401">
        <v>20981.95</v>
      </c>
      <c r="AG188" s="1400"/>
      <c r="AH188" s="1401">
        <f t="shared" si="20"/>
        <v>223037.28</v>
      </c>
      <c r="AI188" s="1574">
        <f t="shared" si="21"/>
        <v>3.5583255111903125E-3</v>
      </c>
      <c r="AJ188" s="11"/>
    </row>
    <row r="189" spans="2:37" outlineLevel="1">
      <c r="B189" s="71" t="s">
        <v>380</v>
      </c>
      <c r="D189" s="1396">
        <v>57255</v>
      </c>
      <c r="E189" s="1396" t="s">
        <v>65</v>
      </c>
      <c r="F189" s="1397"/>
      <c r="G189" s="1398"/>
      <c r="H189" s="1399"/>
      <c r="I189" s="1400"/>
      <c r="J189" s="1401">
        <v>220</v>
      </c>
      <c r="K189" s="1400"/>
      <c r="L189" s="1401">
        <v>220</v>
      </c>
      <c r="M189" s="1400"/>
      <c r="N189" s="1401">
        <v>220</v>
      </c>
      <c r="O189" s="1400"/>
      <c r="P189" s="1401">
        <v>384.49</v>
      </c>
      <c r="Q189" s="1400"/>
      <c r="R189" s="1401">
        <v>220</v>
      </c>
      <c r="S189" s="1400"/>
      <c r="T189" s="1401">
        <v>220</v>
      </c>
      <c r="U189" s="1400"/>
      <c r="V189" s="1401">
        <v>670</v>
      </c>
      <c r="W189" s="1400"/>
      <c r="X189" s="1401">
        <v>220</v>
      </c>
      <c r="Y189" s="1400"/>
      <c r="Z189" s="1401">
        <v>1282.82</v>
      </c>
      <c r="AA189" s="1400"/>
      <c r="AB189" s="1401">
        <v>1170.9100000000001</v>
      </c>
      <c r="AC189" s="1400"/>
      <c r="AD189" s="1401">
        <v>220</v>
      </c>
      <c r="AE189" s="1400"/>
      <c r="AF189" s="1401">
        <v>220</v>
      </c>
      <c r="AG189" s="1400"/>
      <c r="AH189" s="1401">
        <f t="shared" si="20"/>
        <v>5268.2199999999993</v>
      </c>
      <c r="AI189" s="1574">
        <f t="shared" si="21"/>
        <v>8.40489160581721E-5</v>
      </c>
      <c r="AJ189" s="11"/>
    </row>
    <row r="190" spans="2:37" outlineLevel="1">
      <c r="B190" s="71" t="s">
        <v>380</v>
      </c>
      <c r="D190" s="1396">
        <v>57275</v>
      </c>
      <c r="E190" s="1396" t="s">
        <v>238</v>
      </c>
      <c r="F190" s="1397"/>
      <c r="G190" s="1398"/>
      <c r="H190" s="1399"/>
      <c r="I190" s="1400"/>
      <c r="J190" s="1401">
        <v>20042.71</v>
      </c>
      <c r="K190" s="1400"/>
      <c r="L190" s="1401">
        <v>16381.43</v>
      </c>
      <c r="M190" s="1400"/>
      <c r="N190" s="1401">
        <v>16381.43</v>
      </c>
      <c r="O190" s="1400"/>
      <c r="P190" s="1401">
        <v>16381.43</v>
      </c>
      <c r="Q190" s="1400"/>
      <c r="R190" s="1401">
        <v>12933.14</v>
      </c>
      <c r="S190" s="1400"/>
      <c r="T190" s="1401">
        <v>15519.35</v>
      </c>
      <c r="U190" s="1400"/>
      <c r="V190" s="1401">
        <v>15519.35</v>
      </c>
      <c r="W190" s="1400"/>
      <c r="X190" s="1401">
        <v>15519.36</v>
      </c>
      <c r="Y190" s="1400"/>
      <c r="Z190" s="1401">
        <v>15519.36</v>
      </c>
      <c r="AA190" s="1400"/>
      <c r="AB190" s="1401">
        <v>15519.36</v>
      </c>
      <c r="AC190" s="1400"/>
      <c r="AD190" s="1401">
        <v>15519.36</v>
      </c>
      <c r="AE190" s="1400"/>
      <c r="AF190" s="1401">
        <v>15519.36</v>
      </c>
      <c r="AG190" s="1400"/>
      <c r="AH190" s="1401">
        <f t="shared" si="20"/>
        <v>190755.63999999998</v>
      </c>
      <c r="AI190" s="1574">
        <f t="shared" si="21"/>
        <v>3.0433058554849451E-3</v>
      </c>
      <c r="AJ190" s="11"/>
    </row>
    <row r="191" spans="2:37" outlineLevel="1">
      <c r="B191" s="71" t="s">
        <v>380</v>
      </c>
      <c r="D191" s="1396">
        <v>57280</v>
      </c>
      <c r="E191" s="1396" t="s">
        <v>151</v>
      </c>
      <c r="F191" s="1397"/>
      <c r="G191" s="1398"/>
      <c r="H191" s="1399"/>
      <c r="I191" s="1400"/>
      <c r="J191" s="1401">
        <v>1471.5</v>
      </c>
      <c r="K191" s="1400"/>
      <c r="L191" s="1401">
        <v>931.15</v>
      </c>
      <c r="M191" s="1400"/>
      <c r="N191" s="1401">
        <v>594</v>
      </c>
      <c r="O191" s="1400"/>
      <c r="P191" s="1401">
        <v>892.4</v>
      </c>
      <c r="Q191" s="1400"/>
      <c r="R191" s="1401">
        <v>721.1</v>
      </c>
      <c r="S191" s="1400"/>
      <c r="T191" s="1401">
        <v>2509.9</v>
      </c>
      <c r="U191" s="1400"/>
      <c r="V191" s="1401">
        <v>2368.5</v>
      </c>
      <c r="W191" s="1400"/>
      <c r="X191" s="1401">
        <v>2240.1999999999998</v>
      </c>
      <c r="Y191" s="1400"/>
      <c r="Z191" s="1401">
        <v>2832.5</v>
      </c>
      <c r="AA191" s="1400"/>
      <c r="AB191" s="1401">
        <v>2018.7</v>
      </c>
      <c r="AC191" s="1400"/>
      <c r="AD191" s="1401">
        <v>1999</v>
      </c>
      <c r="AE191" s="1400"/>
      <c r="AF191" s="1401">
        <v>1090.5</v>
      </c>
      <c r="AG191" s="1400"/>
      <c r="AH191" s="1401">
        <f t="shared" si="20"/>
        <v>19669.45</v>
      </c>
      <c r="AI191" s="1574">
        <f t="shared" si="21"/>
        <v>3.1380541282642209E-4</v>
      </c>
      <c r="AJ191" s="11"/>
    </row>
    <row r="192" spans="2:37" outlineLevel="1">
      <c r="B192" s="71" t="s">
        <v>380</v>
      </c>
      <c r="D192" s="1396">
        <v>57345</v>
      </c>
      <c r="E192" s="1396" t="s">
        <v>97</v>
      </c>
      <c r="F192" s="1397"/>
      <c r="G192" s="1398"/>
      <c r="H192" s="1399"/>
      <c r="I192" s="1400"/>
      <c r="J192" s="1401">
        <v>0</v>
      </c>
      <c r="K192" s="1400"/>
      <c r="L192" s="1401">
        <v>0</v>
      </c>
      <c r="M192" s="1400"/>
      <c r="N192" s="1401">
        <v>0</v>
      </c>
      <c r="O192" s="1400"/>
      <c r="P192" s="1401">
        <v>75</v>
      </c>
      <c r="Q192" s="1400"/>
      <c r="R192" s="1401">
        <v>75</v>
      </c>
      <c r="S192" s="1400"/>
      <c r="T192" s="1401">
        <v>0</v>
      </c>
      <c r="U192" s="1400"/>
      <c r="V192" s="1401">
        <v>0</v>
      </c>
      <c r="W192" s="1400"/>
      <c r="X192" s="1401">
        <v>0</v>
      </c>
      <c r="Y192" s="1400"/>
      <c r="Z192" s="1401">
        <v>75</v>
      </c>
      <c r="AA192" s="1400"/>
      <c r="AB192" s="1401">
        <v>36.43</v>
      </c>
      <c r="AC192" s="1400"/>
      <c r="AD192" s="1401">
        <v>36.43</v>
      </c>
      <c r="AE192" s="1400"/>
      <c r="AF192" s="1401">
        <v>0</v>
      </c>
      <c r="AG192" s="1400"/>
      <c r="AH192" s="1401">
        <f t="shared" si="20"/>
        <v>297.86</v>
      </c>
      <c r="AI192" s="1574">
        <f t="shared" si="21"/>
        <v>4.7520434106941521E-6</v>
      </c>
      <c r="AJ192" s="11"/>
    </row>
    <row r="193" spans="2:37" outlineLevel="1">
      <c r="B193" s="71" t="s">
        <v>380</v>
      </c>
      <c r="D193" s="1396">
        <v>57357</v>
      </c>
      <c r="E193" s="1396" t="s">
        <v>140</v>
      </c>
      <c r="F193" s="1397"/>
      <c r="G193" s="1398"/>
      <c r="H193" s="1399"/>
      <c r="I193" s="1400"/>
      <c r="J193" s="1401">
        <v>4403.24</v>
      </c>
      <c r="K193" s="1400"/>
      <c r="L193" s="1401">
        <v>-2927.63</v>
      </c>
      <c r="M193" s="1400"/>
      <c r="N193" s="1401">
        <v>1345.77</v>
      </c>
      <c r="O193" s="1400"/>
      <c r="P193" s="1401">
        <v>606.23</v>
      </c>
      <c r="Q193" s="1400"/>
      <c r="R193" s="1401">
        <v>2138.41</v>
      </c>
      <c r="S193" s="1400"/>
      <c r="T193" s="1401">
        <v>1360.96</v>
      </c>
      <c r="U193" s="1400"/>
      <c r="V193" s="1401">
        <v>554.37</v>
      </c>
      <c r="W193" s="1400"/>
      <c r="X193" s="1401">
        <v>498.75</v>
      </c>
      <c r="Y193" s="1400"/>
      <c r="Z193" s="1401">
        <v>498.75</v>
      </c>
      <c r="AA193" s="1400"/>
      <c r="AB193" s="1401">
        <v>1360.96</v>
      </c>
      <c r="AC193" s="1400"/>
      <c r="AD193" s="1401">
        <v>498.75</v>
      </c>
      <c r="AE193" s="1400"/>
      <c r="AF193" s="1401">
        <v>612.53</v>
      </c>
      <c r="AG193" s="1400"/>
      <c r="AH193" s="1401">
        <f t="shared" si="20"/>
        <v>10951.09</v>
      </c>
      <c r="AI193" s="1574">
        <f t="shared" si="21"/>
        <v>1.7471313729409326E-4</v>
      </c>
      <c r="AJ193" s="11"/>
    </row>
    <row r="194" spans="2:37" outlineLevel="1">
      <c r="B194" s="71" t="s">
        <v>380</v>
      </c>
      <c r="D194" s="1396">
        <v>57370</v>
      </c>
      <c r="E194" s="1396" t="s">
        <v>239</v>
      </c>
      <c r="F194" s="1397"/>
      <c r="G194" s="1398"/>
      <c r="H194" s="1399"/>
      <c r="I194" s="1400"/>
      <c r="J194" s="1401">
        <v>108.59</v>
      </c>
      <c r="K194" s="1400"/>
      <c r="L194" s="1401">
        <v>108.51</v>
      </c>
      <c r="M194" s="1400"/>
      <c r="N194" s="1401">
        <v>308.51</v>
      </c>
      <c r="O194" s="1400"/>
      <c r="P194" s="1401">
        <v>108.51</v>
      </c>
      <c r="Q194" s="1400"/>
      <c r="R194" s="1401">
        <v>108.51</v>
      </c>
      <c r="S194" s="1400"/>
      <c r="T194" s="1401">
        <v>108.51</v>
      </c>
      <c r="U194" s="1400"/>
      <c r="V194" s="1401">
        <v>108.51</v>
      </c>
      <c r="W194" s="1400"/>
      <c r="X194" s="1401">
        <v>97.67</v>
      </c>
      <c r="Y194" s="1400"/>
      <c r="Z194" s="1401">
        <v>97.67</v>
      </c>
      <c r="AA194" s="1400"/>
      <c r="AB194" s="1401">
        <v>97.67</v>
      </c>
      <c r="AC194" s="1400"/>
      <c r="AD194" s="1401">
        <v>97.67</v>
      </c>
      <c r="AE194" s="1400"/>
      <c r="AF194" s="1401">
        <v>197.67</v>
      </c>
      <c r="AG194" s="1400"/>
      <c r="AH194" s="1401">
        <f t="shared" si="20"/>
        <v>1548</v>
      </c>
      <c r="AI194" s="1574">
        <f t="shared" si="21"/>
        <v>2.4696713891608631E-5</v>
      </c>
      <c r="AJ194" s="11"/>
    </row>
    <row r="195" spans="2:37" s="7" customFormat="1" ht="5.0999999999999996" customHeight="1" outlineLevel="1">
      <c r="B195" s="34" t="s">
        <v>187</v>
      </c>
      <c r="D195" s="1397"/>
      <c r="E195" s="1397"/>
      <c r="F195" s="1397"/>
      <c r="G195" s="1397"/>
      <c r="H195" s="1399"/>
      <c r="I195" s="1399"/>
      <c r="J195" s="1407"/>
      <c r="K195" s="1405"/>
      <c r="L195" s="1407"/>
      <c r="M195" s="1405"/>
      <c r="N195" s="1407"/>
      <c r="O195" s="1405"/>
      <c r="P195" s="1407"/>
      <c r="Q195" s="1405"/>
      <c r="R195" s="1407"/>
      <c r="S195" s="1405"/>
      <c r="T195" s="1407"/>
      <c r="U195" s="1405"/>
      <c r="V195" s="1407"/>
      <c r="W195" s="1405"/>
      <c r="X195" s="1407"/>
      <c r="Y195" s="1405"/>
      <c r="Z195" s="1407"/>
      <c r="AA195" s="1405"/>
      <c r="AB195" s="1407"/>
      <c r="AC195" s="1405"/>
      <c r="AD195" s="1407"/>
      <c r="AE195" s="1405"/>
      <c r="AF195" s="1407"/>
      <c r="AG195" s="1405"/>
      <c r="AH195" s="1407"/>
      <c r="AI195" s="1573"/>
      <c r="AJ195" s="14"/>
      <c r="AK195" s="1"/>
    </row>
    <row r="196" spans="2:37" s="7" customFormat="1" ht="15">
      <c r="B196" s="34" t="s">
        <v>187</v>
      </c>
      <c r="D196" s="1399"/>
      <c r="E196" s="1399"/>
      <c r="F196" s="1397" t="s">
        <v>240</v>
      </c>
      <c r="G196" s="1399"/>
      <c r="H196" s="1399"/>
      <c r="I196" s="1399"/>
      <c r="J196" s="1404">
        <f>SUM(J182:J195)</f>
        <v>78111.439999999988</v>
      </c>
      <c r="K196" s="1405"/>
      <c r="L196" s="1404">
        <f>SUM(L182:L195)</f>
        <v>69843.839999999982</v>
      </c>
      <c r="M196" s="1405"/>
      <c r="N196" s="1404">
        <f>SUM(N182:N195)</f>
        <v>86111.47</v>
      </c>
      <c r="O196" s="1405"/>
      <c r="P196" s="1404">
        <f>SUM(P182:P195)</f>
        <v>72276.029999999984</v>
      </c>
      <c r="Q196" s="1405"/>
      <c r="R196" s="1404">
        <f>SUM(R182:R195)</f>
        <v>65368.670000000006</v>
      </c>
      <c r="S196" s="1405"/>
      <c r="T196" s="1404">
        <f>SUM(T182:T195)</f>
        <v>70502.430000000008</v>
      </c>
      <c r="U196" s="1405"/>
      <c r="V196" s="1404">
        <f>SUM(V182:V195)</f>
        <v>68606.81</v>
      </c>
      <c r="W196" s="1405"/>
      <c r="X196" s="1404">
        <f>SUM(X182:X195)</f>
        <v>72273.819999999992</v>
      </c>
      <c r="Y196" s="1405"/>
      <c r="Z196" s="1404">
        <f>SUM(Z182:Z195)</f>
        <v>92664.07</v>
      </c>
      <c r="AA196" s="1405"/>
      <c r="AB196" s="1404">
        <f>SUM(AB182:AB195)</f>
        <v>70082.650000000009</v>
      </c>
      <c r="AC196" s="1405"/>
      <c r="AD196" s="1404">
        <f>SUM(AD182:AD195)</f>
        <v>88641.65</v>
      </c>
      <c r="AE196" s="1405"/>
      <c r="AF196" s="1404">
        <f>SUM(AF182:AF195)</f>
        <v>78985.19</v>
      </c>
      <c r="AG196" s="1405"/>
      <c r="AH196" s="1404">
        <f>SUM(AH182:AH195)</f>
        <v>913468.07</v>
      </c>
      <c r="AI196" s="1574">
        <f>IF(AH$61=0,0,AH196/AH$61)</f>
        <v>1.4573423497357832E-2</v>
      </c>
      <c r="AJ196" s="14"/>
      <c r="AK196" s="1"/>
    </row>
    <row r="197" spans="2:37" s="7" customFormat="1" ht="15" outlineLevel="1">
      <c r="B197" s="34"/>
      <c r="D197" s="1399"/>
      <c r="E197" s="1399"/>
      <c r="F197" s="1399"/>
      <c r="G197" s="1399"/>
      <c r="H197" s="1399"/>
      <c r="I197" s="1399"/>
      <c r="J197" s="1406"/>
      <c r="K197" s="1405"/>
      <c r="L197" s="1406"/>
      <c r="M197" s="1405"/>
      <c r="N197" s="1406"/>
      <c r="O197" s="1405"/>
      <c r="P197" s="1406"/>
      <c r="Q197" s="1405"/>
      <c r="R197" s="1406"/>
      <c r="S197" s="1405"/>
      <c r="T197" s="1406"/>
      <c r="U197" s="1405"/>
      <c r="V197" s="1406"/>
      <c r="W197" s="1405"/>
      <c r="X197" s="1406"/>
      <c r="Y197" s="1405"/>
      <c r="Z197" s="1406"/>
      <c r="AA197" s="1405"/>
      <c r="AB197" s="1406"/>
      <c r="AC197" s="1405"/>
      <c r="AD197" s="1406"/>
      <c r="AE197" s="1405"/>
      <c r="AF197" s="1406"/>
      <c r="AG197" s="1405"/>
      <c r="AH197" s="1406"/>
      <c r="AI197" s="1573"/>
      <c r="AJ197" s="14"/>
      <c r="AK197" s="1"/>
    </row>
    <row r="198" spans="2:37" s="7" customFormat="1" ht="15" outlineLevel="1">
      <c r="B198" s="34"/>
      <c r="D198" s="1414"/>
      <c r="E198" s="1414"/>
      <c r="F198" s="1414"/>
      <c r="G198" s="1414"/>
      <c r="H198" s="1414"/>
      <c r="I198" s="1414"/>
      <c r="J198" s="1415"/>
      <c r="K198" s="1416"/>
      <c r="L198" s="1415"/>
      <c r="M198" s="1416"/>
      <c r="N198" s="1415"/>
      <c r="O198" s="1416"/>
      <c r="P198" s="1415"/>
      <c r="Q198" s="1416"/>
      <c r="R198" s="1415"/>
      <c r="S198" s="1416"/>
      <c r="T198" s="1415"/>
      <c r="U198" s="1416"/>
      <c r="V198" s="1415"/>
      <c r="W198" s="1416"/>
      <c r="X198" s="1415"/>
      <c r="Y198" s="1416"/>
      <c r="Z198" s="1415"/>
      <c r="AA198" s="1416"/>
      <c r="AB198" s="1415"/>
      <c r="AC198" s="1416"/>
      <c r="AD198" s="1415"/>
      <c r="AE198" s="1416"/>
      <c r="AF198" s="1415"/>
      <c r="AG198" s="1416"/>
      <c r="AH198" s="1415"/>
      <c r="AI198" s="1414"/>
      <c r="AJ198" s="45"/>
      <c r="AK198" s="1"/>
    </row>
    <row r="199" spans="2:37" s="7" customFormat="1" ht="4.5" customHeight="1" outlineLevel="1">
      <c r="B199" s="34"/>
      <c r="D199" s="1408"/>
      <c r="E199" s="1399"/>
      <c r="F199" s="1399"/>
      <c r="G199" s="1399"/>
      <c r="H199" s="1399"/>
      <c r="I199" s="1399"/>
      <c r="J199" s="1407"/>
      <c r="K199" s="1405"/>
      <c r="L199" s="1407"/>
      <c r="M199" s="1405"/>
      <c r="N199" s="1407"/>
      <c r="O199" s="1405"/>
      <c r="P199" s="1407"/>
      <c r="Q199" s="1405"/>
      <c r="R199" s="1407"/>
      <c r="S199" s="1405"/>
      <c r="T199" s="1407"/>
      <c r="U199" s="1405"/>
      <c r="V199" s="1407"/>
      <c r="W199" s="1405"/>
      <c r="X199" s="1407"/>
      <c r="Y199" s="1405"/>
      <c r="Z199" s="1407"/>
      <c r="AA199" s="1405"/>
      <c r="AB199" s="1407"/>
      <c r="AC199" s="1405"/>
      <c r="AD199" s="1407"/>
      <c r="AE199" s="1405"/>
      <c r="AF199" s="1407"/>
      <c r="AG199" s="1405"/>
      <c r="AH199" s="1407"/>
      <c r="AI199" s="1573"/>
      <c r="AJ199" s="14"/>
      <c r="AK199" s="1"/>
    </row>
    <row r="200" spans="2:37" s="7" customFormat="1" ht="15">
      <c r="B200" s="34"/>
      <c r="D200" s="1399"/>
      <c r="E200" s="1399"/>
      <c r="F200" s="1399" t="s">
        <v>241</v>
      </c>
      <c r="G200" s="1399"/>
      <c r="H200" s="1399"/>
      <c r="I200" s="1399"/>
      <c r="J200" s="1404">
        <f>SUM(J198:J199)</f>
        <v>0</v>
      </c>
      <c r="K200" s="1405"/>
      <c r="L200" s="1404">
        <f>SUM(L198:L199)</f>
        <v>0</v>
      </c>
      <c r="M200" s="1405"/>
      <c r="N200" s="1404">
        <f>SUM(N198:N199)</f>
        <v>0</v>
      </c>
      <c r="O200" s="1405"/>
      <c r="P200" s="1404">
        <f>SUM(P198:P199)</f>
        <v>0</v>
      </c>
      <c r="Q200" s="1405"/>
      <c r="R200" s="1404">
        <f>SUM(R198:R199)</f>
        <v>0</v>
      </c>
      <c r="S200" s="1405"/>
      <c r="T200" s="1404">
        <f>SUM(T198:T199)</f>
        <v>0</v>
      </c>
      <c r="U200" s="1405"/>
      <c r="V200" s="1404">
        <f>SUM(V198:V199)</f>
        <v>0</v>
      </c>
      <c r="W200" s="1405"/>
      <c r="X200" s="1404">
        <f>SUM(X198:X199)</f>
        <v>0</v>
      </c>
      <c r="Y200" s="1405"/>
      <c r="Z200" s="1404">
        <f>SUM(Z198:Z199)</f>
        <v>0</v>
      </c>
      <c r="AA200" s="1405"/>
      <c r="AB200" s="1404">
        <f>SUM(AB198:AB199)</f>
        <v>0</v>
      </c>
      <c r="AC200" s="1405"/>
      <c r="AD200" s="1404">
        <f>SUM(AD198:AD199)</f>
        <v>0</v>
      </c>
      <c r="AE200" s="1405"/>
      <c r="AF200" s="1404">
        <f>SUM(AF198:AF199)</f>
        <v>0</v>
      </c>
      <c r="AG200" s="1405"/>
      <c r="AH200" s="1404">
        <f>SUM(AH198:AH199)</f>
        <v>0</v>
      </c>
      <c r="AI200" s="1574">
        <f>IF(AH$61=0,0,AH200/AH$61)</f>
        <v>0</v>
      </c>
      <c r="AJ200" s="14"/>
      <c r="AK200" s="1"/>
    </row>
    <row r="201" spans="2:37" s="7" customFormat="1" ht="15" outlineLevel="1">
      <c r="B201" s="34"/>
      <c r="D201" s="1399"/>
      <c r="E201" s="1399"/>
      <c r="F201" s="1399"/>
      <c r="G201" s="1399"/>
      <c r="H201" s="1399"/>
      <c r="I201" s="1399"/>
      <c r="J201" s="1406"/>
      <c r="K201" s="1405"/>
      <c r="L201" s="1406"/>
      <c r="M201" s="1405"/>
      <c r="N201" s="1406"/>
      <c r="O201" s="1405"/>
      <c r="P201" s="1406"/>
      <c r="Q201" s="1405"/>
      <c r="R201" s="1406"/>
      <c r="S201" s="1405"/>
      <c r="T201" s="1406"/>
      <c r="U201" s="1405"/>
      <c r="V201" s="1406"/>
      <c r="W201" s="1405"/>
      <c r="X201" s="1406"/>
      <c r="Y201" s="1405"/>
      <c r="Z201" s="1406"/>
      <c r="AA201" s="1405"/>
      <c r="AB201" s="1406"/>
      <c r="AC201" s="1405"/>
      <c r="AD201" s="1406"/>
      <c r="AE201" s="1405"/>
      <c r="AF201" s="1406"/>
      <c r="AG201" s="1405"/>
      <c r="AH201" s="1406"/>
      <c r="AI201" s="1573"/>
      <c r="AJ201" s="14"/>
      <c r="AK201" s="1"/>
    </row>
    <row r="202" spans="2:37" s="7" customFormat="1" ht="15" outlineLevel="1">
      <c r="B202" s="34"/>
      <c r="D202" s="1399"/>
      <c r="E202" s="1399"/>
      <c r="F202" s="1399"/>
      <c r="G202" s="1399"/>
      <c r="H202" s="1399"/>
      <c r="I202" s="1399"/>
      <c r="J202" s="1406"/>
      <c r="K202" s="1405"/>
      <c r="L202" s="1406"/>
      <c r="M202" s="1405"/>
      <c r="N202" s="1406"/>
      <c r="O202" s="1405"/>
      <c r="P202" s="1406"/>
      <c r="Q202" s="1405"/>
      <c r="R202" s="1406"/>
      <c r="S202" s="1405"/>
      <c r="T202" s="1406"/>
      <c r="U202" s="1405"/>
      <c r="V202" s="1406"/>
      <c r="W202" s="1405"/>
      <c r="X202" s="1406"/>
      <c r="Y202" s="1405"/>
      <c r="Z202" s="1406"/>
      <c r="AA202" s="1405"/>
      <c r="AB202" s="1406"/>
      <c r="AC202" s="1405"/>
      <c r="AD202" s="1406"/>
      <c r="AE202" s="1405"/>
      <c r="AF202" s="1406"/>
      <c r="AG202" s="1405"/>
      <c r="AH202" s="1406"/>
      <c r="AI202" s="1573"/>
      <c r="AJ202" s="14"/>
      <c r="AK202" s="1"/>
    </row>
    <row r="203" spans="2:37" outlineLevel="1">
      <c r="B203" s="71" t="s">
        <v>398</v>
      </c>
      <c r="D203" s="1396">
        <v>59340</v>
      </c>
      <c r="E203" s="1396" t="s">
        <v>80</v>
      </c>
      <c r="F203" s="1397"/>
      <c r="G203" s="1398"/>
      <c r="H203" s="1399"/>
      <c r="I203" s="1400"/>
      <c r="J203" s="1401">
        <v>11757.69</v>
      </c>
      <c r="K203" s="1400"/>
      <c r="L203" s="1401">
        <v>12469.11</v>
      </c>
      <c r="M203" s="1400"/>
      <c r="N203" s="1401">
        <v>12469.11</v>
      </c>
      <c r="O203" s="1400"/>
      <c r="P203" s="1401">
        <v>12469.11</v>
      </c>
      <c r="Q203" s="1400"/>
      <c r="R203" s="1401">
        <v>13429.95</v>
      </c>
      <c r="S203" s="1400"/>
      <c r="T203" s="1401">
        <v>13429.95</v>
      </c>
      <c r="U203" s="1400"/>
      <c r="V203" s="1401">
        <v>13429.95</v>
      </c>
      <c r="W203" s="1400"/>
      <c r="X203" s="1401">
        <v>13429.95</v>
      </c>
      <c r="Y203" s="1400"/>
      <c r="Z203" s="1401">
        <v>13429.95</v>
      </c>
      <c r="AA203" s="1400"/>
      <c r="AB203" s="1401">
        <v>13429.95</v>
      </c>
      <c r="AC203" s="1400"/>
      <c r="AD203" s="1401">
        <v>13429.95</v>
      </c>
      <c r="AE203" s="1400"/>
      <c r="AF203" s="1401">
        <v>13429.95</v>
      </c>
      <c r="AG203" s="1400"/>
      <c r="AH203" s="1401">
        <f t="shared" ref="AH203:AH209" si="22">AF203+AD203+AB203+Z203+X203+V203+T203+R203+P203+N203+L203+J203</f>
        <v>156604.62</v>
      </c>
      <c r="AI203" s="1574">
        <f t="shared" ref="AI203:AI209" si="23">IF(AH$61=0,0,AH203/AH$61)</f>
        <v>2.498462205584038E-3</v>
      </c>
      <c r="AJ203" s="11"/>
    </row>
    <row r="204" spans="2:37" outlineLevel="1">
      <c r="B204" s="71" t="s">
        <v>380</v>
      </c>
      <c r="D204" s="1396">
        <v>59341</v>
      </c>
      <c r="E204" s="1396" t="s">
        <v>242</v>
      </c>
      <c r="F204" s="1397"/>
      <c r="G204" s="1398"/>
      <c r="H204" s="1399"/>
      <c r="I204" s="1400"/>
      <c r="J204" s="1401">
        <v>0</v>
      </c>
      <c r="K204" s="1400"/>
      <c r="L204" s="1401">
        <v>0</v>
      </c>
      <c r="M204" s="1400"/>
      <c r="N204" s="1401">
        <v>2250</v>
      </c>
      <c r="O204" s="1400"/>
      <c r="P204" s="1401">
        <v>4000.5</v>
      </c>
      <c r="Q204" s="1400"/>
      <c r="R204" s="1401">
        <v>8750</v>
      </c>
      <c r="S204" s="1400"/>
      <c r="T204" s="1401">
        <v>37915.21</v>
      </c>
      <c r="U204" s="1400"/>
      <c r="V204" s="1401">
        <v>3465.59</v>
      </c>
      <c r="W204" s="1400"/>
      <c r="X204" s="1401">
        <v>8788.11</v>
      </c>
      <c r="Y204" s="1400"/>
      <c r="Z204" s="1401">
        <v>16250</v>
      </c>
      <c r="AA204" s="1400"/>
      <c r="AB204" s="1401">
        <v>-10476.1</v>
      </c>
      <c r="AC204" s="1400"/>
      <c r="AD204" s="1401">
        <v>0</v>
      </c>
      <c r="AE204" s="1400"/>
      <c r="AF204" s="1401">
        <v>98505</v>
      </c>
      <c r="AG204" s="1400"/>
      <c r="AH204" s="1401">
        <f t="shared" si="22"/>
        <v>169448.31</v>
      </c>
      <c r="AI204" s="1574">
        <f t="shared" si="23"/>
        <v>2.7033697877820451E-3</v>
      </c>
      <c r="AJ204" s="11"/>
    </row>
    <row r="205" spans="2:37" outlineLevel="1">
      <c r="B205" s="71" t="s">
        <v>380</v>
      </c>
      <c r="D205" s="1396">
        <v>59342</v>
      </c>
      <c r="E205" s="1396" t="s">
        <v>243</v>
      </c>
      <c r="F205" s="1397"/>
      <c r="G205" s="1398"/>
      <c r="H205" s="1399"/>
      <c r="I205" s="1400"/>
      <c r="J205" s="1401">
        <v>0</v>
      </c>
      <c r="K205" s="1400"/>
      <c r="L205" s="1401">
        <v>8250</v>
      </c>
      <c r="M205" s="1400"/>
      <c r="N205" s="1401">
        <v>-1060.5</v>
      </c>
      <c r="O205" s="1400"/>
      <c r="P205" s="1401">
        <v>2422.4899999999998</v>
      </c>
      <c r="Q205" s="1400"/>
      <c r="R205" s="1401">
        <v>1995.65</v>
      </c>
      <c r="S205" s="1400"/>
      <c r="T205" s="1401">
        <v>19500</v>
      </c>
      <c r="U205" s="1400"/>
      <c r="V205" s="1401">
        <v>6660.91</v>
      </c>
      <c r="W205" s="1400"/>
      <c r="X205" s="1401">
        <v>0</v>
      </c>
      <c r="Y205" s="1400"/>
      <c r="Z205" s="1401">
        <v>-1300</v>
      </c>
      <c r="AA205" s="1400"/>
      <c r="AB205" s="1401">
        <v>0</v>
      </c>
      <c r="AC205" s="1400"/>
      <c r="AD205" s="1401">
        <v>12500</v>
      </c>
      <c r="AE205" s="1400"/>
      <c r="AF205" s="1401">
        <v>-1417.91</v>
      </c>
      <c r="AG205" s="1400"/>
      <c r="AH205" s="1401">
        <f t="shared" si="22"/>
        <v>47550.64</v>
      </c>
      <c r="AI205" s="1574">
        <f t="shared" si="23"/>
        <v>7.58620511268011E-4</v>
      </c>
      <c r="AJ205" s="11"/>
    </row>
    <row r="206" spans="2:37" outlineLevel="1">
      <c r="B206" s="71" t="s">
        <v>380</v>
      </c>
      <c r="D206" s="1396">
        <v>59343</v>
      </c>
      <c r="E206" s="1396" t="s">
        <v>244</v>
      </c>
      <c r="F206" s="1397"/>
      <c r="G206" s="1398"/>
      <c r="H206" s="1399"/>
      <c r="I206" s="1400"/>
      <c r="J206" s="1401">
        <v>0</v>
      </c>
      <c r="K206" s="1400"/>
      <c r="L206" s="1401">
        <v>0</v>
      </c>
      <c r="M206" s="1400"/>
      <c r="N206" s="1401">
        <v>0</v>
      </c>
      <c r="O206" s="1400"/>
      <c r="P206" s="1401">
        <v>5199.76</v>
      </c>
      <c r="Q206" s="1400"/>
      <c r="R206" s="1401">
        <v>2408.31</v>
      </c>
      <c r="S206" s="1400"/>
      <c r="T206" s="1401">
        <v>2867</v>
      </c>
      <c r="U206" s="1400"/>
      <c r="V206" s="1401">
        <v>2854</v>
      </c>
      <c r="W206" s="1400"/>
      <c r="X206" s="1401">
        <v>7963.04</v>
      </c>
      <c r="Y206" s="1400"/>
      <c r="Z206" s="1401">
        <v>-1915.95</v>
      </c>
      <c r="AA206" s="1400"/>
      <c r="AB206" s="1401">
        <v>22277.52</v>
      </c>
      <c r="AC206" s="1400"/>
      <c r="AD206" s="1401">
        <v>15786.01</v>
      </c>
      <c r="AE206" s="1400"/>
      <c r="AF206" s="1401">
        <v>-1685.97</v>
      </c>
      <c r="AG206" s="1400"/>
      <c r="AH206" s="1401">
        <f t="shared" si="22"/>
        <v>55753.72</v>
      </c>
      <c r="AI206" s="1574">
        <f t="shared" si="23"/>
        <v>8.8949203568014078E-4</v>
      </c>
      <c r="AJ206" s="11"/>
    </row>
    <row r="207" spans="2:37" outlineLevel="1">
      <c r="B207" s="71" t="s">
        <v>380</v>
      </c>
      <c r="D207" s="1396">
        <v>59344</v>
      </c>
      <c r="E207" s="1396" t="s">
        <v>245</v>
      </c>
      <c r="F207" s="1397"/>
      <c r="G207" s="1398"/>
      <c r="H207" s="1399"/>
      <c r="I207" s="1400"/>
      <c r="J207" s="1401">
        <v>7400</v>
      </c>
      <c r="K207" s="1400"/>
      <c r="L207" s="1401">
        <v>-16105.83</v>
      </c>
      <c r="M207" s="1400"/>
      <c r="N207" s="1401">
        <v>-23520.52</v>
      </c>
      <c r="O207" s="1400"/>
      <c r="P207" s="1401">
        <v>-741.01</v>
      </c>
      <c r="Q207" s="1400"/>
      <c r="R207" s="1401">
        <v>3249.04</v>
      </c>
      <c r="S207" s="1400"/>
      <c r="T207" s="1401">
        <v>-1844.56</v>
      </c>
      <c r="U207" s="1400"/>
      <c r="V207" s="1401">
        <v>-1134.9100000000001</v>
      </c>
      <c r="W207" s="1400"/>
      <c r="X207" s="1401">
        <v>-4270.46</v>
      </c>
      <c r="Y207" s="1400"/>
      <c r="Z207" s="1401">
        <v>249.73</v>
      </c>
      <c r="AA207" s="1400"/>
      <c r="AB207" s="1401">
        <v>9900</v>
      </c>
      <c r="AC207" s="1400"/>
      <c r="AD207" s="1401">
        <v>170.6</v>
      </c>
      <c r="AE207" s="1400"/>
      <c r="AF207" s="1401">
        <v>314.14</v>
      </c>
      <c r="AG207" s="1400"/>
      <c r="AH207" s="1401">
        <f t="shared" si="22"/>
        <v>-26333.78</v>
      </c>
      <c r="AI207" s="1574">
        <f t="shared" si="23"/>
        <v>-4.2012779738021027E-4</v>
      </c>
      <c r="AJ207" s="11"/>
    </row>
    <row r="208" spans="2:37" outlineLevel="1">
      <c r="B208" s="71" t="s">
        <v>380</v>
      </c>
      <c r="D208" s="1396">
        <v>59400</v>
      </c>
      <c r="E208" s="1396" t="s">
        <v>246</v>
      </c>
      <c r="F208" s="1397"/>
      <c r="G208" s="1398"/>
      <c r="H208" s="1399"/>
      <c r="I208" s="1400"/>
      <c r="J208" s="1401">
        <v>1648.5</v>
      </c>
      <c r="K208" s="1400"/>
      <c r="L208" s="1401">
        <v>2252.31</v>
      </c>
      <c r="M208" s="1400"/>
      <c r="N208" s="1401">
        <v>3746.94</v>
      </c>
      <c r="O208" s="1400"/>
      <c r="P208" s="1401">
        <v>666.66</v>
      </c>
      <c r="Q208" s="1400"/>
      <c r="R208" s="1401">
        <v>1076.32</v>
      </c>
      <c r="S208" s="1400"/>
      <c r="T208" s="1401">
        <v>500</v>
      </c>
      <c r="U208" s="1400"/>
      <c r="V208" s="1401">
        <v>0</v>
      </c>
      <c r="W208" s="1400"/>
      <c r="X208" s="1401">
        <v>0</v>
      </c>
      <c r="Y208" s="1400"/>
      <c r="Z208" s="1401">
        <v>0</v>
      </c>
      <c r="AA208" s="1400"/>
      <c r="AB208" s="1401">
        <v>0</v>
      </c>
      <c r="AC208" s="1400"/>
      <c r="AD208" s="1401">
        <v>4393.55</v>
      </c>
      <c r="AE208" s="1400"/>
      <c r="AF208" s="1401">
        <v>0</v>
      </c>
      <c r="AG208" s="1400"/>
      <c r="AH208" s="1401">
        <f t="shared" si="22"/>
        <v>14284.279999999999</v>
      </c>
      <c r="AI208" s="1574">
        <f t="shared" si="23"/>
        <v>2.2789068236926828E-4</v>
      </c>
      <c r="AJ208" s="11"/>
    </row>
    <row r="209" spans="2:39" outlineLevel="1">
      <c r="B209" s="71" t="s">
        <v>380</v>
      </c>
      <c r="D209" s="1396">
        <v>59500</v>
      </c>
      <c r="E209" s="1396" t="s">
        <v>247</v>
      </c>
      <c r="F209" s="1397"/>
      <c r="G209" s="1398"/>
      <c r="H209" s="1399"/>
      <c r="I209" s="1400"/>
      <c r="J209" s="1401">
        <v>3866.71</v>
      </c>
      <c r="K209" s="1400"/>
      <c r="L209" s="1401">
        <v>3819.98</v>
      </c>
      <c r="M209" s="1400"/>
      <c r="N209" s="1401">
        <v>1165.24</v>
      </c>
      <c r="O209" s="1400"/>
      <c r="P209" s="1401">
        <v>2725.75</v>
      </c>
      <c r="Q209" s="1400"/>
      <c r="R209" s="1401">
        <v>3451.99</v>
      </c>
      <c r="S209" s="1400"/>
      <c r="T209" s="1401">
        <v>3703.46</v>
      </c>
      <c r="U209" s="1400"/>
      <c r="V209" s="1401">
        <v>3661.51</v>
      </c>
      <c r="W209" s="1400"/>
      <c r="X209" s="1401">
        <v>1597.96</v>
      </c>
      <c r="Y209" s="1400"/>
      <c r="Z209" s="1401">
        <v>2613.7600000000002</v>
      </c>
      <c r="AA209" s="1400"/>
      <c r="AB209" s="1401">
        <v>3382.16</v>
      </c>
      <c r="AC209" s="1400"/>
      <c r="AD209" s="1401">
        <v>4342.0200000000004</v>
      </c>
      <c r="AE209" s="1400"/>
      <c r="AF209" s="1401">
        <v>3459.01</v>
      </c>
      <c r="AG209" s="1400"/>
      <c r="AH209" s="1401">
        <f t="shared" si="22"/>
        <v>37789.549999999996</v>
      </c>
      <c r="AI209" s="1574">
        <f t="shared" si="23"/>
        <v>6.0289257392935321E-4</v>
      </c>
      <c r="AJ209" s="11"/>
    </row>
    <row r="210" spans="2:39" s="7" customFormat="1" ht="5.0999999999999996" customHeight="1" outlineLevel="1">
      <c r="B210" s="34" t="s">
        <v>187</v>
      </c>
      <c r="D210" s="1397"/>
      <c r="E210" s="1397"/>
      <c r="F210" s="1397"/>
      <c r="G210" s="1397"/>
      <c r="H210" s="1399"/>
      <c r="I210" s="1399"/>
      <c r="J210" s="1407"/>
      <c r="K210" s="1405"/>
      <c r="L210" s="1407"/>
      <c r="M210" s="1405"/>
      <c r="N210" s="1407"/>
      <c r="O210" s="1405"/>
      <c r="P210" s="1407"/>
      <c r="Q210" s="1405"/>
      <c r="R210" s="1407"/>
      <c r="S210" s="1405"/>
      <c r="T210" s="1407"/>
      <c r="U210" s="1405"/>
      <c r="V210" s="1407"/>
      <c r="W210" s="1405"/>
      <c r="X210" s="1407"/>
      <c r="Y210" s="1405"/>
      <c r="Z210" s="1407"/>
      <c r="AA210" s="1405"/>
      <c r="AB210" s="1407"/>
      <c r="AC210" s="1405"/>
      <c r="AD210" s="1407"/>
      <c r="AE210" s="1405"/>
      <c r="AF210" s="1407"/>
      <c r="AG210" s="1405"/>
      <c r="AH210" s="1407"/>
      <c r="AI210" s="1573"/>
      <c r="AJ210" s="14"/>
      <c r="AK210" s="1"/>
      <c r="AL210" s="1"/>
      <c r="AM210" s="1"/>
    </row>
    <row r="211" spans="2:39" s="7" customFormat="1" ht="15">
      <c r="D211" s="1399"/>
      <c r="E211" s="1399"/>
      <c r="F211" s="1397" t="s">
        <v>248</v>
      </c>
      <c r="G211" s="1399"/>
      <c r="H211" s="1399"/>
      <c r="I211" s="1399"/>
      <c r="J211" s="1404">
        <f>SUM(J202:J210)</f>
        <v>24672.9</v>
      </c>
      <c r="K211" s="1405"/>
      <c r="L211" s="1404">
        <f>SUM(L202:L210)</f>
        <v>10685.57</v>
      </c>
      <c r="M211" s="1405"/>
      <c r="N211" s="1404">
        <f>SUM(N202:N210)</f>
        <v>-4949.7299999999996</v>
      </c>
      <c r="O211" s="1405"/>
      <c r="P211" s="1404">
        <f>SUM(P202:P210)</f>
        <v>26743.260000000002</v>
      </c>
      <c r="Q211" s="1405"/>
      <c r="R211" s="1404">
        <f>SUM(R202:R210)</f>
        <v>34361.26</v>
      </c>
      <c r="S211" s="1405"/>
      <c r="T211" s="1404">
        <f>SUM(T202:T210)</f>
        <v>76071.060000000012</v>
      </c>
      <c r="U211" s="1405"/>
      <c r="V211" s="1404">
        <f>SUM(V202:V210)</f>
        <v>28937.050000000003</v>
      </c>
      <c r="W211" s="1405"/>
      <c r="X211" s="1404">
        <f>SUM(X202:X210)</f>
        <v>27508.600000000002</v>
      </c>
      <c r="Y211" s="1405"/>
      <c r="Z211" s="1404">
        <f>SUM(Z202:Z210)</f>
        <v>29327.489999999998</v>
      </c>
      <c r="AA211" s="1405"/>
      <c r="AB211" s="1404">
        <f>SUM(AB202:AB210)</f>
        <v>38513.53</v>
      </c>
      <c r="AC211" s="1405"/>
      <c r="AD211" s="1404">
        <f>SUM(AD202:AD210)</f>
        <v>50622.130000000005</v>
      </c>
      <c r="AE211" s="1405"/>
      <c r="AF211" s="1404">
        <f>SUM(AF202:AF210)</f>
        <v>112604.21999999999</v>
      </c>
      <c r="AG211" s="1405"/>
      <c r="AH211" s="1404">
        <f>SUM(AH202:AH210)</f>
        <v>455097.34</v>
      </c>
      <c r="AI211" s="1574">
        <f>IF(AH$61=0,0,AH211/AH$61)</f>
        <v>7.2605999992326467E-3</v>
      </c>
      <c r="AJ211" s="14"/>
      <c r="AK211" s="1"/>
    </row>
    <row r="212" spans="2:39" s="7" customFormat="1" ht="15" outlineLevel="1">
      <c r="B212" s="34" t="s">
        <v>187</v>
      </c>
      <c r="D212" s="1399"/>
      <c r="E212" s="1399"/>
      <c r="F212" s="1399"/>
      <c r="G212" s="1399"/>
      <c r="H212" s="1399"/>
      <c r="I212" s="1399"/>
      <c r="J212" s="1406"/>
      <c r="K212" s="1405"/>
      <c r="L212" s="1406"/>
      <c r="M212" s="1405"/>
      <c r="N212" s="1406"/>
      <c r="O212" s="1405"/>
      <c r="P212" s="1406"/>
      <c r="Q212" s="1405"/>
      <c r="R212" s="1406"/>
      <c r="S212" s="1405"/>
      <c r="T212" s="1406"/>
      <c r="U212" s="1405"/>
      <c r="V212" s="1406"/>
      <c r="W212" s="1405"/>
      <c r="X212" s="1406"/>
      <c r="Y212" s="1405"/>
      <c r="Z212" s="1406"/>
      <c r="AA212" s="1405"/>
      <c r="AB212" s="1406"/>
      <c r="AC212" s="1405"/>
      <c r="AD212" s="1406"/>
      <c r="AE212" s="1405"/>
      <c r="AF212" s="1406"/>
      <c r="AG212" s="1405"/>
      <c r="AH212" s="1406"/>
      <c r="AI212" s="1573"/>
      <c r="AJ212" s="14"/>
      <c r="AK212" s="1"/>
    </row>
    <row r="213" spans="2:39" outlineLevel="1">
      <c r="B213" s="71" t="s">
        <v>249</v>
      </c>
      <c r="D213" s="1396">
        <v>91010</v>
      </c>
      <c r="E213" s="1396" t="s">
        <v>250</v>
      </c>
      <c r="F213" s="1397"/>
      <c r="G213" s="1398"/>
      <c r="H213" s="1399"/>
      <c r="I213" s="1400"/>
      <c r="J213" s="1401">
        <v>-654.35</v>
      </c>
      <c r="K213" s="1400"/>
      <c r="L213" s="1401">
        <v>-11000</v>
      </c>
      <c r="M213" s="1400"/>
      <c r="N213" s="1401">
        <v>-18792.55</v>
      </c>
      <c r="O213" s="1400"/>
      <c r="P213" s="1401">
        <v>880.11</v>
      </c>
      <c r="Q213" s="1400"/>
      <c r="R213" s="1401">
        <v>-1500</v>
      </c>
      <c r="S213" s="1400"/>
      <c r="T213" s="1401">
        <v>-1175</v>
      </c>
      <c r="U213" s="1400"/>
      <c r="V213" s="1401">
        <v>0</v>
      </c>
      <c r="W213" s="1400"/>
      <c r="X213" s="1401">
        <v>-638.4</v>
      </c>
      <c r="Y213" s="1400"/>
      <c r="Z213" s="1401">
        <v>-446.5</v>
      </c>
      <c r="AA213" s="1400"/>
      <c r="AB213" s="1401">
        <v>5113.3900000000003</v>
      </c>
      <c r="AC213" s="1400"/>
      <c r="AD213" s="1401">
        <v>-291.2</v>
      </c>
      <c r="AE213" s="1400"/>
      <c r="AF213" s="1401">
        <v>-356</v>
      </c>
      <c r="AG213" s="1400"/>
      <c r="AH213" s="1401">
        <f>AF213+AD213+AB213+Z213+X213+V213+T213+R213+P213+N213+L213+J213</f>
        <v>-28860.499999999996</v>
      </c>
      <c r="AI213" s="1574">
        <f>IF(AH$61=0,0,AH213/AH$61)</f>
        <v>-4.6043896076793979E-4</v>
      </c>
      <c r="AJ213" s="11"/>
    </row>
    <row r="214" spans="2:39" s="7" customFormat="1" ht="5.0999999999999996" customHeight="1" outlineLevel="1">
      <c r="B214" s="1" t="s">
        <v>187</v>
      </c>
      <c r="D214" s="1397"/>
      <c r="E214" s="1397"/>
      <c r="F214" s="1397"/>
      <c r="G214" s="1397"/>
      <c r="H214" s="1399"/>
      <c r="I214" s="1399"/>
      <c r="J214" s="1407"/>
      <c r="K214" s="1405"/>
      <c r="L214" s="1407"/>
      <c r="M214" s="1405"/>
      <c r="N214" s="1407"/>
      <c r="O214" s="1405"/>
      <c r="P214" s="1407"/>
      <c r="Q214" s="1405"/>
      <c r="R214" s="1407"/>
      <c r="S214" s="1405"/>
      <c r="T214" s="1407"/>
      <c r="U214" s="1405"/>
      <c r="V214" s="1407"/>
      <c r="W214" s="1405"/>
      <c r="X214" s="1407"/>
      <c r="Y214" s="1405"/>
      <c r="Z214" s="1407"/>
      <c r="AA214" s="1405"/>
      <c r="AB214" s="1407"/>
      <c r="AC214" s="1405"/>
      <c r="AD214" s="1407"/>
      <c r="AE214" s="1405"/>
      <c r="AF214" s="1407"/>
      <c r="AG214" s="1405"/>
      <c r="AH214" s="1407"/>
      <c r="AI214" s="1573"/>
      <c r="AJ214" s="14"/>
      <c r="AK214" s="1"/>
    </row>
    <row r="215" spans="2:39" s="7" customFormat="1" ht="15">
      <c r="B215" s="1" t="s">
        <v>187</v>
      </c>
      <c r="D215" s="1399"/>
      <c r="E215" s="1399"/>
      <c r="F215" s="1396" t="s">
        <v>251</v>
      </c>
      <c r="G215" s="1399"/>
      <c r="H215" s="1399"/>
      <c r="I215" s="1399"/>
      <c r="J215" s="1404">
        <f>SUM(J213:J214)</f>
        <v>-654.35</v>
      </c>
      <c r="K215" s="1405"/>
      <c r="L215" s="1404">
        <f>SUM(L213:L214)</f>
        <v>-11000</v>
      </c>
      <c r="M215" s="1405"/>
      <c r="N215" s="1404">
        <f>SUM(N213:N214)</f>
        <v>-18792.55</v>
      </c>
      <c r="O215" s="1405"/>
      <c r="P215" s="1404">
        <f>SUM(P213:P214)</f>
        <v>880.11</v>
      </c>
      <c r="Q215" s="1405"/>
      <c r="R215" s="1404">
        <f>SUM(R213:R214)</f>
        <v>-1500</v>
      </c>
      <c r="S215" s="1405"/>
      <c r="T215" s="1404">
        <f>SUM(T213:T214)</f>
        <v>-1175</v>
      </c>
      <c r="U215" s="1405"/>
      <c r="V215" s="1404">
        <f>SUM(V213:V214)</f>
        <v>0</v>
      </c>
      <c r="W215" s="1405"/>
      <c r="X215" s="1404">
        <f>SUM(X213:X214)</f>
        <v>-638.4</v>
      </c>
      <c r="Y215" s="1405"/>
      <c r="Z215" s="1404">
        <f>SUM(Z213:Z214)</f>
        <v>-446.5</v>
      </c>
      <c r="AA215" s="1405"/>
      <c r="AB215" s="1404">
        <f>SUM(AB213:AB214)</f>
        <v>5113.3900000000003</v>
      </c>
      <c r="AC215" s="1405"/>
      <c r="AD215" s="1404">
        <f>SUM(AD213:AD214)</f>
        <v>-291.2</v>
      </c>
      <c r="AE215" s="1405"/>
      <c r="AF215" s="1404">
        <f>SUM(AF213:AF214)</f>
        <v>-356</v>
      </c>
      <c r="AG215" s="1405"/>
      <c r="AH215" s="1404">
        <f>SUM(AH213:AH214)</f>
        <v>-28860.499999999996</v>
      </c>
      <c r="AI215" s="1574">
        <f>IF(AH$61=0,0,AH215/AH$61)</f>
        <v>-4.6043896076793979E-4</v>
      </c>
      <c r="AJ215" s="14"/>
      <c r="AK215" s="1"/>
    </row>
    <row r="216" spans="2:39" s="7" customFormat="1" ht="7.5" customHeight="1">
      <c r="B216" s="1"/>
      <c r="D216" s="1399"/>
      <c r="E216" s="1399"/>
      <c r="F216" s="1399"/>
      <c r="G216" s="1399"/>
      <c r="H216" s="1399"/>
      <c r="I216" s="1399"/>
      <c r="J216" s="1406"/>
      <c r="K216" s="1405"/>
      <c r="L216" s="1406"/>
      <c r="M216" s="1405"/>
      <c r="N216" s="1406"/>
      <c r="O216" s="1405"/>
      <c r="P216" s="1406"/>
      <c r="Q216" s="1405"/>
      <c r="R216" s="1406"/>
      <c r="S216" s="1405"/>
      <c r="T216" s="1406"/>
      <c r="U216" s="1405"/>
      <c r="V216" s="1406"/>
      <c r="W216" s="1405"/>
      <c r="X216" s="1406"/>
      <c r="Y216" s="1405"/>
      <c r="Z216" s="1406"/>
      <c r="AA216" s="1405"/>
      <c r="AB216" s="1406"/>
      <c r="AC216" s="1405"/>
      <c r="AD216" s="1406"/>
      <c r="AE216" s="1405"/>
      <c r="AF216" s="1406"/>
      <c r="AG216" s="1405"/>
      <c r="AH216" s="1406"/>
      <c r="AI216" s="1573"/>
      <c r="AJ216" s="14"/>
      <c r="AK216" s="1"/>
    </row>
    <row r="217" spans="2:39" s="7" customFormat="1" ht="15">
      <c r="B217" s="1"/>
      <c r="D217" s="1399"/>
      <c r="E217" s="1412" t="s">
        <v>252</v>
      </c>
      <c r="F217" s="1399"/>
      <c r="G217" s="1399"/>
      <c r="H217" s="1399"/>
      <c r="I217" s="1399"/>
      <c r="J217" s="1410">
        <f>+J113+J117+J144+J165+J180+J196+J211+J200+J215</f>
        <v>1210558.2699999998</v>
      </c>
      <c r="K217" s="1405"/>
      <c r="L217" s="1410">
        <f>+L113+L117+L144+L165+L180+L196+L211+L200+L215</f>
        <v>1420740.0500000003</v>
      </c>
      <c r="M217" s="1405"/>
      <c r="N217" s="1410">
        <f>+N113+N117+N144+N165+N180+N196+N211+N200+N215</f>
        <v>1066135.1700000002</v>
      </c>
      <c r="O217" s="1405"/>
      <c r="P217" s="1410">
        <f>+P113+P117+P144+P165+P180+P196+P211+P200+P215</f>
        <v>1334637.8799999999</v>
      </c>
      <c r="Q217" s="1405"/>
      <c r="R217" s="1410">
        <f>+R113+R117+R144+R165+R180+R196+R211+R200+R215</f>
        <v>1441084.7100000002</v>
      </c>
      <c r="S217" s="1405"/>
      <c r="T217" s="1410">
        <f>+T113+T117+T144+T165+T180+T196+T211+T200+T215</f>
        <v>1501293.5</v>
      </c>
      <c r="U217" s="1405"/>
      <c r="V217" s="1410">
        <f>+V113+V117+V144+V165+V180+V196+V211+V200+V215</f>
        <v>1360827.5600000003</v>
      </c>
      <c r="W217" s="1405"/>
      <c r="X217" s="1410">
        <f>+X113+X117+X144+X165+X180+X196+X211+X200+X215</f>
        <v>1521249.5000000002</v>
      </c>
      <c r="Y217" s="1405"/>
      <c r="Z217" s="1410">
        <f>+Z113+Z117+Z144+Z165+Z180+Z196+Z211+Z200+Z215</f>
        <v>1471768.5799999998</v>
      </c>
      <c r="AA217" s="1405"/>
      <c r="AB217" s="1410">
        <f>+AB113+AB117+AB144+AB165+AB180+AB196+AB211+AB200+AB215</f>
        <v>1399391.39</v>
      </c>
      <c r="AC217" s="1405"/>
      <c r="AD217" s="1410">
        <f>+AD113+AD117+AD144+AD165+AD180+AD196+AD211+AD200+AD215</f>
        <v>1471188.0599999998</v>
      </c>
      <c r="AE217" s="1405"/>
      <c r="AF217" s="1410">
        <f>+AF113+AF117+AF144+AF165+AF180+AF196+AF211+AF200+AF215</f>
        <v>1508113.64</v>
      </c>
      <c r="AG217" s="1405"/>
      <c r="AH217" s="1410">
        <f>+AH113+AH117+AH144+AH165+AH180+AH196+AH211+AH200+AH215</f>
        <v>16706988.309999999</v>
      </c>
      <c r="AI217" s="1574">
        <f>IF(AH$61=0,0,AH217/AH$61)</f>
        <v>0.26654244850291986</v>
      </c>
      <c r="AJ217" s="14"/>
      <c r="AK217" s="1"/>
    </row>
    <row r="218" spans="2:39" s="7" customFormat="1" ht="7.5" customHeight="1">
      <c r="B218" s="1"/>
      <c r="D218" s="1399"/>
      <c r="E218" s="1399"/>
      <c r="F218" s="1399"/>
      <c r="G218" s="1399"/>
      <c r="H218" s="1399"/>
      <c r="I218" s="1399"/>
      <c r="J218" s="1406"/>
      <c r="K218" s="1405"/>
      <c r="L218" s="1406"/>
      <c r="M218" s="1405"/>
      <c r="N218" s="1406"/>
      <c r="O218" s="1405"/>
      <c r="P218" s="1406"/>
      <c r="Q218" s="1405"/>
      <c r="R218" s="1406"/>
      <c r="S218" s="1405"/>
      <c r="T218" s="1406"/>
      <c r="U218" s="1405"/>
      <c r="V218" s="1406"/>
      <c r="W218" s="1405"/>
      <c r="X218" s="1406"/>
      <c r="Y218" s="1405"/>
      <c r="Z218" s="1406"/>
      <c r="AA218" s="1405"/>
      <c r="AB218" s="1406"/>
      <c r="AC218" s="1405"/>
      <c r="AD218" s="1406"/>
      <c r="AE218" s="1405"/>
      <c r="AF218" s="1406"/>
      <c r="AG218" s="1405"/>
      <c r="AH218" s="1406"/>
      <c r="AI218" s="1573"/>
      <c r="AJ218" s="14"/>
      <c r="AK218" s="1"/>
    </row>
    <row r="219" spans="2:39" s="7" customFormat="1" ht="15">
      <c r="B219" s="34" t="s">
        <v>187</v>
      </c>
      <c r="D219" s="1399"/>
      <c r="E219" s="1412" t="s">
        <v>253</v>
      </c>
      <c r="F219" s="1399"/>
      <c r="G219" s="1399"/>
      <c r="H219" s="1399"/>
      <c r="I219" s="1399"/>
      <c r="J219" s="1410">
        <f>J95-J217</f>
        <v>1564062.89</v>
      </c>
      <c r="K219" s="1405"/>
      <c r="L219" s="1410">
        <f>L95-L217</f>
        <v>1265080.6400000001</v>
      </c>
      <c r="M219" s="1405"/>
      <c r="N219" s="1410">
        <f>N95-N217</f>
        <v>1834194.9400000006</v>
      </c>
      <c r="O219" s="1405"/>
      <c r="P219" s="1410">
        <f>P95-P217</f>
        <v>1568484.96</v>
      </c>
      <c r="Q219" s="1405"/>
      <c r="R219" s="1410">
        <f>R95-R217</f>
        <v>1336975.6399999999</v>
      </c>
      <c r="S219" s="1405"/>
      <c r="T219" s="1410">
        <f>T95-T217</f>
        <v>1170700.1500000004</v>
      </c>
      <c r="U219" s="1405"/>
      <c r="V219" s="1410">
        <f>V95-V217</f>
        <v>1553548.7300000007</v>
      </c>
      <c r="W219" s="1405"/>
      <c r="X219" s="1410">
        <f>X95-X217</f>
        <v>1162862.6300000006</v>
      </c>
      <c r="Y219" s="1405"/>
      <c r="Z219" s="1410">
        <f>Z95-Z217</f>
        <v>1350879.9399999992</v>
      </c>
      <c r="AA219" s="1405"/>
      <c r="AB219" s="1410">
        <f>AB95-AB217</f>
        <v>1519436.8100000012</v>
      </c>
      <c r="AC219" s="1405"/>
      <c r="AD219" s="1410">
        <f>AD95-AD217</f>
        <v>1286835.1299999997</v>
      </c>
      <c r="AE219" s="1405"/>
      <c r="AF219" s="1410">
        <f>AF95-AF217</f>
        <v>1367807.7</v>
      </c>
      <c r="AG219" s="1405"/>
      <c r="AH219" s="1410">
        <f>AH95-AH217</f>
        <v>16980870.160000015</v>
      </c>
      <c r="AI219" s="1574">
        <f>IF(AH$61=0,0,AH219/AH$61)</f>
        <v>0.27091194571839461</v>
      </c>
      <c r="AJ219" s="14"/>
      <c r="AK219" s="1"/>
    </row>
    <row r="220" spans="2:39" s="7" customFormat="1" ht="7.5" customHeight="1">
      <c r="B220" s="34" t="s">
        <v>187</v>
      </c>
      <c r="D220" s="1399"/>
      <c r="E220" s="1399"/>
      <c r="F220" s="1399"/>
      <c r="G220" s="1399"/>
      <c r="H220" s="1399"/>
      <c r="I220" s="1399"/>
      <c r="J220" s="1406"/>
      <c r="K220" s="1405"/>
      <c r="L220" s="1406"/>
      <c r="M220" s="1405"/>
      <c r="N220" s="1406"/>
      <c r="O220" s="1405"/>
      <c r="P220" s="1406"/>
      <c r="Q220" s="1405"/>
      <c r="R220" s="1406"/>
      <c r="S220" s="1405"/>
      <c r="T220" s="1406"/>
      <c r="U220" s="1405"/>
      <c r="V220" s="1406"/>
      <c r="W220" s="1405"/>
      <c r="X220" s="1406"/>
      <c r="Y220" s="1405"/>
      <c r="Z220" s="1406"/>
      <c r="AA220" s="1405"/>
      <c r="AB220" s="1406"/>
      <c r="AC220" s="1405"/>
      <c r="AD220" s="1406"/>
      <c r="AE220" s="1405"/>
      <c r="AF220" s="1406"/>
      <c r="AG220" s="1405"/>
      <c r="AH220" s="1406"/>
      <c r="AI220" s="1573"/>
      <c r="AJ220" s="14"/>
      <c r="AK220" s="1"/>
    </row>
    <row r="221" spans="2:39" s="7" customFormat="1" ht="15" outlineLevel="1">
      <c r="B221" s="34" t="s">
        <v>187</v>
      </c>
      <c r="D221" s="1399"/>
      <c r="E221" s="1399"/>
      <c r="F221" s="1399"/>
      <c r="G221" s="1399"/>
      <c r="H221" s="1399"/>
      <c r="I221" s="1399"/>
      <c r="J221" s="1406"/>
      <c r="K221" s="1405"/>
      <c r="L221" s="1406"/>
      <c r="M221" s="1405"/>
      <c r="N221" s="1406"/>
      <c r="O221" s="1405"/>
      <c r="P221" s="1406"/>
      <c r="Q221" s="1405"/>
      <c r="R221" s="1406"/>
      <c r="S221" s="1405"/>
      <c r="T221" s="1406"/>
      <c r="U221" s="1405"/>
      <c r="V221" s="1406"/>
      <c r="W221" s="1405"/>
      <c r="X221" s="1406"/>
      <c r="Y221" s="1405"/>
      <c r="Z221" s="1406"/>
      <c r="AA221" s="1405"/>
      <c r="AB221" s="1406"/>
      <c r="AC221" s="1405"/>
      <c r="AD221" s="1406"/>
      <c r="AE221" s="1405"/>
      <c r="AF221" s="1406"/>
      <c r="AG221" s="1405"/>
      <c r="AH221" s="1406"/>
      <c r="AI221" s="1573"/>
      <c r="AJ221" s="14"/>
      <c r="AK221" s="1"/>
    </row>
    <row r="222" spans="2:39" outlineLevel="1">
      <c r="B222" s="71" t="s">
        <v>399</v>
      </c>
      <c r="D222" s="1396">
        <v>60010</v>
      </c>
      <c r="E222" s="1396" t="s">
        <v>17</v>
      </c>
      <c r="F222" s="1397"/>
      <c r="G222" s="1398"/>
      <c r="H222" s="1399"/>
      <c r="I222" s="1400"/>
      <c r="J222" s="1401">
        <v>6808.34</v>
      </c>
      <c r="K222" s="1400"/>
      <c r="L222" s="1401">
        <v>7533.79</v>
      </c>
      <c r="M222" s="1400"/>
      <c r="N222" s="1401">
        <v>6682.73</v>
      </c>
      <c r="O222" s="1400"/>
      <c r="P222" s="1401">
        <v>6978.57</v>
      </c>
      <c r="Q222" s="1400"/>
      <c r="R222" s="1401">
        <v>7310.89</v>
      </c>
      <c r="S222" s="1400"/>
      <c r="T222" s="1401">
        <v>7643.2</v>
      </c>
      <c r="U222" s="1400"/>
      <c r="V222" s="1401">
        <v>6646.26</v>
      </c>
      <c r="W222" s="1400"/>
      <c r="X222" s="1401">
        <v>7961.54</v>
      </c>
      <c r="Y222" s="1400"/>
      <c r="Z222" s="1401">
        <v>7615.39</v>
      </c>
      <c r="AA222" s="1400"/>
      <c r="AB222" s="1401">
        <v>7269.23</v>
      </c>
      <c r="AC222" s="1400"/>
      <c r="AD222" s="1401">
        <v>7961.54</v>
      </c>
      <c r="AE222" s="1400"/>
      <c r="AF222" s="1401">
        <v>7269.24</v>
      </c>
      <c r="AG222" s="1400"/>
      <c r="AH222" s="1401">
        <f t="shared" ref="AH222:AH230" si="24">AF222+AD222+AB222+Z222+X222+V222+T222+R222+P222+N222+L222+J222</f>
        <v>87680.719999999972</v>
      </c>
      <c r="AI222" s="1574">
        <f t="shared" ref="AI222:AI230" si="25">IF(AH$61=0,0,AH222/AH$61)</f>
        <v>1.3988537827197972E-3</v>
      </c>
      <c r="AJ222" s="11"/>
    </row>
    <row r="223" spans="2:39" outlineLevel="1">
      <c r="B223" s="71" t="s">
        <v>380</v>
      </c>
      <c r="D223" s="1396">
        <v>60050</v>
      </c>
      <c r="E223" s="1396" t="s">
        <v>158</v>
      </c>
      <c r="F223" s="1397"/>
      <c r="G223" s="1398"/>
      <c r="H223" s="1399"/>
      <c r="I223" s="1400"/>
      <c r="J223" s="1401">
        <v>577.24</v>
      </c>
      <c r="K223" s="1400"/>
      <c r="L223" s="1401">
        <v>747.06</v>
      </c>
      <c r="M223" s="1400"/>
      <c r="N223" s="1401">
        <v>613.01</v>
      </c>
      <c r="O223" s="1400"/>
      <c r="P223" s="1401">
        <v>624.78</v>
      </c>
      <c r="Q223" s="1400"/>
      <c r="R223" s="1401">
        <v>654.53</v>
      </c>
      <c r="S223" s="1400"/>
      <c r="T223" s="1401">
        <v>684.27</v>
      </c>
      <c r="U223" s="1400"/>
      <c r="V223" s="1401">
        <v>594.55999999999995</v>
      </c>
      <c r="W223" s="1400"/>
      <c r="X223" s="1401">
        <v>650.52</v>
      </c>
      <c r="Y223" s="1400"/>
      <c r="Z223" s="1401">
        <v>603.39</v>
      </c>
      <c r="AA223" s="1400"/>
      <c r="AB223" s="1401">
        <v>575.96</v>
      </c>
      <c r="AC223" s="1400"/>
      <c r="AD223" s="1401">
        <v>543.66999999999996</v>
      </c>
      <c r="AE223" s="1400"/>
      <c r="AF223" s="1401">
        <v>79.53</v>
      </c>
      <c r="AG223" s="1400"/>
      <c r="AH223" s="1401">
        <f t="shared" si="24"/>
        <v>6948.5199999999986</v>
      </c>
      <c r="AI223" s="1574">
        <f t="shared" si="25"/>
        <v>1.1085633747423796E-4</v>
      </c>
      <c r="AJ223" s="11"/>
    </row>
    <row r="224" spans="2:39" outlineLevel="1">
      <c r="B224" s="71" t="s">
        <v>380</v>
      </c>
      <c r="D224" s="1396">
        <v>60060</v>
      </c>
      <c r="E224" s="1396" t="s">
        <v>70</v>
      </c>
      <c r="F224" s="1397"/>
      <c r="G224" s="1398"/>
      <c r="H224" s="1399"/>
      <c r="I224" s="1400"/>
      <c r="J224" s="1401">
        <v>1011.8</v>
      </c>
      <c r="K224" s="1400"/>
      <c r="L224" s="1401">
        <v>1061.8</v>
      </c>
      <c r="M224" s="1400"/>
      <c r="N224" s="1401">
        <v>1031.48</v>
      </c>
      <c r="O224" s="1400"/>
      <c r="P224" s="1401">
        <v>1055.57</v>
      </c>
      <c r="Q224" s="1400"/>
      <c r="R224" s="1401">
        <v>1044.82</v>
      </c>
      <c r="S224" s="1400"/>
      <c r="T224" s="1401">
        <v>956.48</v>
      </c>
      <c r="U224" s="1400"/>
      <c r="V224" s="1401">
        <v>1043.68</v>
      </c>
      <c r="W224" s="1400"/>
      <c r="X224" s="1401">
        <v>1062</v>
      </c>
      <c r="Y224" s="1400"/>
      <c r="Z224" s="1401">
        <v>1005.76</v>
      </c>
      <c r="AA224" s="1400"/>
      <c r="AB224" s="1401">
        <v>1007.12</v>
      </c>
      <c r="AC224" s="1400"/>
      <c r="AD224" s="1401">
        <v>898.2</v>
      </c>
      <c r="AE224" s="1400"/>
      <c r="AF224" s="1401">
        <v>1007.12</v>
      </c>
      <c r="AG224" s="1400"/>
      <c r="AH224" s="1401">
        <f t="shared" si="24"/>
        <v>12185.829999999998</v>
      </c>
      <c r="AI224" s="1574">
        <f t="shared" si="25"/>
        <v>1.9441211695205501E-4</v>
      </c>
      <c r="AJ224" s="11"/>
    </row>
    <row r="225" spans="2:37" outlineLevel="1">
      <c r="B225" s="71" t="s">
        <v>380</v>
      </c>
      <c r="D225" s="1396">
        <v>60065</v>
      </c>
      <c r="E225" s="1396" t="s">
        <v>22</v>
      </c>
      <c r="F225" s="1397"/>
      <c r="G225" s="1398"/>
      <c r="H225" s="1399"/>
      <c r="I225" s="1400"/>
      <c r="J225" s="1401">
        <v>0</v>
      </c>
      <c r="K225" s="1400"/>
      <c r="L225" s="1401">
        <v>0</v>
      </c>
      <c r="M225" s="1400"/>
      <c r="N225" s="1401">
        <v>0</v>
      </c>
      <c r="O225" s="1400"/>
      <c r="P225" s="1401">
        <v>0</v>
      </c>
      <c r="Q225" s="1400"/>
      <c r="R225" s="1401">
        <v>0</v>
      </c>
      <c r="S225" s="1400"/>
      <c r="T225" s="1401">
        <v>0</v>
      </c>
      <c r="U225" s="1400"/>
      <c r="V225" s="1401">
        <v>0</v>
      </c>
      <c r="W225" s="1400"/>
      <c r="X225" s="1401">
        <v>0</v>
      </c>
      <c r="Y225" s="1400"/>
      <c r="Z225" s="1401">
        <v>0</v>
      </c>
      <c r="AA225" s="1400"/>
      <c r="AB225" s="1401">
        <v>0</v>
      </c>
      <c r="AC225" s="1400"/>
      <c r="AD225" s="1401">
        <v>0</v>
      </c>
      <c r="AE225" s="1400"/>
      <c r="AF225" s="1401">
        <v>0</v>
      </c>
      <c r="AG225" s="1400"/>
      <c r="AH225" s="1401">
        <f t="shared" si="24"/>
        <v>0</v>
      </c>
      <c r="AI225" s="1574">
        <f t="shared" si="25"/>
        <v>0</v>
      </c>
      <c r="AJ225" s="11"/>
    </row>
    <row r="226" spans="2:37" outlineLevel="1">
      <c r="B226" s="71" t="s">
        <v>380</v>
      </c>
      <c r="D226" s="1396">
        <v>60070</v>
      </c>
      <c r="E226" s="1396" t="s">
        <v>23</v>
      </c>
      <c r="F226" s="1397"/>
      <c r="G226" s="1398"/>
      <c r="H226" s="1399"/>
      <c r="I226" s="1400"/>
      <c r="J226" s="1401">
        <v>0</v>
      </c>
      <c r="K226" s="1400"/>
      <c r="L226" s="1401">
        <v>121.57</v>
      </c>
      <c r="M226" s="1400"/>
      <c r="N226" s="1401">
        <v>0</v>
      </c>
      <c r="O226" s="1400"/>
      <c r="P226" s="1401">
        <v>0</v>
      </c>
      <c r="Q226" s="1400"/>
      <c r="R226" s="1401">
        <v>0</v>
      </c>
      <c r="S226" s="1400"/>
      <c r="T226" s="1401">
        <v>0</v>
      </c>
      <c r="U226" s="1400"/>
      <c r="V226" s="1401">
        <v>0</v>
      </c>
      <c r="W226" s="1400"/>
      <c r="X226" s="1401">
        <v>0</v>
      </c>
      <c r="Y226" s="1400"/>
      <c r="Z226" s="1401">
        <v>0</v>
      </c>
      <c r="AA226" s="1400"/>
      <c r="AB226" s="1401">
        <v>0</v>
      </c>
      <c r="AC226" s="1400"/>
      <c r="AD226" s="1401">
        <v>0</v>
      </c>
      <c r="AE226" s="1400"/>
      <c r="AF226" s="1401">
        <v>0</v>
      </c>
      <c r="AG226" s="1400"/>
      <c r="AH226" s="1401">
        <f t="shared" si="24"/>
        <v>121.57</v>
      </c>
      <c r="AI226" s="1574">
        <f t="shared" si="25"/>
        <v>1.9395216458674815E-6</v>
      </c>
      <c r="AJ226" s="11"/>
    </row>
    <row r="227" spans="2:37" outlineLevel="1">
      <c r="B227" s="71" t="s">
        <v>380</v>
      </c>
      <c r="D227" s="1396">
        <v>60116</v>
      </c>
      <c r="E227" s="1396" t="s">
        <v>116</v>
      </c>
      <c r="F227" s="1397"/>
      <c r="G227" s="1398"/>
      <c r="H227" s="1399"/>
      <c r="I227" s="1400"/>
      <c r="J227" s="1401">
        <v>194.54</v>
      </c>
      <c r="K227" s="1400"/>
      <c r="L227" s="1401">
        <v>326.25</v>
      </c>
      <c r="M227" s="1400"/>
      <c r="N227" s="1401">
        <v>595.74</v>
      </c>
      <c r="O227" s="1400"/>
      <c r="P227" s="1401">
        <v>498.48</v>
      </c>
      <c r="Q227" s="1400"/>
      <c r="R227" s="1401">
        <v>332.32</v>
      </c>
      <c r="S227" s="1400"/>
      <c r="T227" s="1401">
        <v>332.32</v>
      </c>
      <c r="U227" s="1400"/>
      <c r="V227" s="1401">
        <v>332.32</v>
      </c>
      <c r="W227" s="1400"/>
      <c r="X227" s="1401">
        <v>855.36</v>
      </c>
      <c r="Y227" s="1400"/>
      <c r="Z227" s="1401">
        <v>519.24</v>
      </c>
      <c r="AA227" s="1400"/>
      <c r="AB227" s="1401">
        <v>346.16</v>
      </c>
      <c r="AC227" s="1400"/>
      <c r="AD227" s="1401">
        <v>346.16</v>
      </c>
      <c r="AE227" s="1400"/>
      <c r="AF227" s="1401">
        <v>346.16</v>
      </c>
      <c r="AG227" s="1400"/>
      <c r="AH227" s="1401">
        <f t="shared" si="24"/>
        <v>5025.05</v>
      </c>
      <c r="AI227" s="1574">
        <f t="shared" si="25"/>
        <v>8.0169394147950874E-5</v>
      </c>
      <c r="AJ227" s="11"/>
    </row>
    <row r="228" spans="2:37" outlineLevel="1">
      <c r="B228" s="71" t="s">
        <v>380</v>
      </c>
      <c r="D228" s="1396">
        <v>60196</v>
      </c>
      <c r="E228" s="1396" t="s">
        <v>128</v>
      </c>
      <c r="F228" s="1397"/>
      <c r="G228" s="1398"/>
      <c r="H228" s="1399"/>
      <c r="I228" s="1400"/>
      <c r="J228" s="1401">
        <v>0</v>
      </c>
      <c r="K228" s="1400"/>
      <c r="L228" s="1401">
        <v>0</v>
      </c>
      <c r="M228" s="1400"/>
      <c r="N228" s="1401">
        <v>1120.76</v>
      </c>
      <c r="O228" s="1400"/>
      <c r="P228" s="1401">
        <v>560.38</v>
      </c>
      <c r="Q228" s="1400"/>
      <c r="R228" s="1401">
        <v>592.38</v>
      </c>
      <c r="S228" s="1400"/>
      <c r="T228" s="1401">
        <v>576.38</v>
      </c>
      <c r="U228" s="1400"/>
      <c r="V228" s="1401">
        <v>576.38</v>
      </c>
      <c r="W228" s="1400"/>
      <c r="X228" s="1401">
        <v>576.38</v>
      </c>
      <c r="Y228" s="1400"/>
      <c r="Z228" s="1401">
        <v>596.38</v>
      </c>
      <c r="AA228" s="1400"/>
      <c r="AB228" s="1401">
        <v>581.38</v>
      </c>
      <c r="AC228" s="1400"/>
      <c r="AD228" s="1401">
        <v>576.38</v>
      </c>
      <c r="AE228" s="1400"/>
      <c r="AF228" s="1401">
        <v>576.38</v>
      </c>
      <c r="AG228" s="1400"/>
      <c r="AH228" s="1401">
        <f t="shared" si="24"/>
        <v>6333.18</v>
      </c>
      <c r="AI228" s="1574">
        <f t="shared" si="25"/>
        <v>1.0103923416282814E-4</v>
      </c>
      <c r="AJ228" s="11"/>
    </row>
    <row r="229" spans="2:37" outlineLevel="1">
      <c r="B229" s="71" t="s">
        <v>380</v>
      </c>
      <c r="D229" s="1396">
        <v>60201</v>
      </c>
      <c r="E229" s="1396" t="s">
        <v>72</v>
      </c>
      <c r="F229" s="1397"/>
      <c r="G229" s="1398"/>
      <c r="H229" s="1399"/>
      <c r="I229" s="1400"/>
      <c r="J229" s="1401">
        <v>0</v>
      </c>
      <c r="K229" s="1400"/>
      <c r="L229" s="1401">
        <v>0</v>
      </c>
      <c r="M229" s="1400"/>
      <c r="N229" s="1401">
        <v>0</v>
      </c>
      <c r="O229" s="1400"/>
      <c r="P229" s="1401">
        <v>0</v>
      </c>
      <c r="Q229" s="1400"/>
      <c r="R229" s="1401">
        <v>0</v>
      </c>
      <c r="S229" s="1400"/>
      <c r="T229" s="1401">
        <v>0</v>
      </c>
      <c r="U229" s="1400"/>
      <c r="V229" s="1401">
        <v>288.77</v>
      </c>
      <c r="W229" s="1400"/>
      <c r="X229" s="1401">
        <v>-248.67</v>
      </c>
      <c r="Y229" s="1400"/>
      <c r="Z229" s="1401">
        <v>0</v>
      </c>
      <c r="AA229" s="1400"/>
      <c r="AB229" s="1401">
        <v>0</v>
      </c>
      <c r="AC229" s="1400"/>
      <c r="AD229" s="1401">
        <v>0</v>
      </c>
      <c r="AE229" s="1400"/>
      <c r="AF229" s="1401">
        <v>0</v>
      </c>
      <c r="AG229" s="1400"/>
      <c r="AH229" s="1401">
        <f t="shared" si="24"/>
        <v>40.099999999999994</v>
      </c>
      <c r="AI229" s="1574">
        <f t="shared" si="25"/>
        <v>6.3975337664955162E-7</v>
      </c>
      <c r="AJ229" s="11"/>
    </row>
    <row r="230" spans="2:37" outlineLevel="1">
      <c r="B230" s="71" t="s">
        <v>380</v>
      </c>
      <c r="D230" s="1396">
        <v>60225</v>
      </c>
      <c r="E230" s="1396" t="s">
        <v>255</v>
      </c>
      <c r="F230" s="1397"/>
      <c r="G230" s="1398"/>
      <c r="H230" s="1399"/>
      <c r="I230" s="1400"/>
      <c r="J230" s="1401">
        <v>1375.67</v>
      </c>
      <c r="K230" s="1400"/>
      <c r="L230" s="1401">
        <v>656.25</v>
      </c>
      <c r="M230" s="1400"/>
      <c r="N230" s="1401">
        <v>0</v>
      </c>
      <c r="O230" s="1400"/>
      <c r="P230" s="1401">
        <v>0</v>
      </c>
      <c r="Q230" s="1400"/>
      <c r="R230" s="1401">
        <v>656.25</v>
      </c>
      <c r="S230" s="1400"/>
      <c r="T230" s="1401">
        <v>0</v>
      </c>
      <c r="U230" s="1400"/>
      <c r="V230" s="1401">
        <v>0</v>
      </c>
      <c r="W230" s="1400"/>
      <c r="X230" s="1401">
        <v>656.25</v>
      </c>
      <c r="Y230" s="1400"/>
      <c r="Z230" s="1401">
        <v>0</v>
      </c>
      <c r="AA230" s="1400"/>
      <c r="AB230" s="1401">
        <v>0</v>
      </c>
      <c r="AC230" s="1400"/>
      <c r="AD230" s="1401">
        <v>0</v>
      </c>
      <c r="AE230" s="1400"/>
      <c r="AF230" s="1401">
        <v>0</v>
      </c>
      <c r="AG230" s="1400"/>
      <c r="AH230" s="1401">
        <f t="shared" si="24"/>
        <v>3344.42</v>
      </c>
      <c r="AI230" s="1574">
        <f t="shared" si="25"/>
        <v>5.3356707928536005E-5</v>
      </c>
      <c r="AJ230" s="11"/>
    </row>
    <row r="231" spans="2:37" s="7" customFormat="1" ht="5.0999999999999996" customHeight="1" outlineLevel="1">
      <c r="B231" s="1" t="s">
        <v>187</v>
      </c>
      <c r="D231" s="1397"/>
      <c r="E231" s="1397"/>
      <c r="F231" s="1397"/>
      <c r="G231" s="1397"/>
      <c r="H231" s="1399"/>
      <c r="I231" s="1399"/>
      <c r="J231" s="1407"/>
      <c r="K231" s="1405"/>
      <c r="L231" s="1407"/>
      <c r="M231" s="1405"/>
      <c r="N231" s="1407"/>
      <c r="O231" s="1405"/>
      <c r="P231" s="1407"/>
      <c r="Q231" s="1405"/>
      <c r="R231" s="1407"/>
      <c r="S231" s="1405"/>
      <c r="T231" s="1407"/>
      <c r="U231" s="1405"/>
      <c r="V231" s="1407"/>
      <c r="W231" s="1405"/>
      <c r="X231" s="1407"/>
      <c r="Y231" s="1405"/>
      <c r="Z231" s="1407"/>
      <c r="AA231" s="1405"/>
      <c r="AB231" s="1407"/>
      <c r="AC231" s="1405"/>
      <c r="AD231" s="1407"/>
      <c r="AE231" s="1405"/>
      <c r="AF231" s="1407"/>
      <c r="AG231" s="1405"/>
      <c r="AH231" s="1407"/>
      <c r="AI231" s="1573"/>
      <c r="AJ231" s="14"/>
      <c r="AK231" s="1"/>
    </row>
    <row r="232" spans="2:37" s="7" customFormat="1" ht="15">
      <c r="B232" s="1" t="s">
        <v>187</v>
      </c>
      <c r="D232" s="1399"/>
      <c r="E232" s="1399"/>
      <c r="F232" s="1397" t="s">
        <v>256</v>
      </c>
      <c r="G232" s="1399"/>
      <c r="H232" s="1399"/>
      <c r="I232" s="1399"/>
      <c r="J232" s="1404">
        <f>SUM(J221:J231)</f>
        <v>9967.59</v>
      </c>
      <c r="K232" s="1405"/>
      <c r="L232" s="1404">
        <f>SUM(L221:L231)</f>
        <v>10446.719999999999</v>
      </c>
      <c r="M232" s="1405"/>
      <c r="N232" s="1404">
        <f>SUM(N221:N231)</f>
        <v>10043.719999999999</v>
      </c>
      <c r="O232" s="1405"/>
      <c r="P232" s="1404">
        <f>SUM(P221:P231)</f>
        <v>9717.7799999999988</v>
      </c>
      <c r="Q232" s="1405"/>
      <c r="R232" s="1404">
        <f>SUM(R221:R231)</f>
        <v>10591.189999999999</v>
      </c>
      <c r="S232" s="1405"/>
      <c r="T232" s="1404">
        <f>SUM(T221:T231)</f>
        <v>10192.649999999998</v>
      </c>
      <c r="U232" s="1405"/>
      <c r="V232" s="1404">
        <f>SUM(V221:V231)</f>
        <v>9481.9699999999993</v>
      </c>
      <c r="W232" s="1405"/>
      <c r="X232" s="1404">
        <f>SUM(X221:X231)</f>
        <v>11513.38</v>
      </c>
      <c r="Y232" s="1405"/>
      <c r="Z232" s="1404">
        <f>SUM(Z221:Z231)</f>
        <v>10340.16</v>
      </c>
      <c r="AA232" s="1405"/>
      <c r="AB232" s="1404">
        <f>SUM(AB221:AB231)</f>
        <v>9779.8499999999985</v>
      </c>
      <c r="AC232" s="1405"/>
      <c r="AD232" s="1404">
        <f>SUM(AD221:AD231)</f>
        <v>10325.949999999999</v>
      </c>
      <c r="AE232" s="1405"/>
      <c r="AF232" s="1404">
        <f>SUM(AF221:AF231)</f>
        <v>9278.4299999999985</v>
      </c>
      <c r="AG232" s="1405"/>
      <c r="AH232" s="1404">
        <f>SUM(AH221:AH231)</f>
        <v>121679.39</v>
      </c>
      <c r="AI232" s="1574">
        <f>IF(AH$61=0,0,AH232/AH$61)</f>
        <v>1.9412668484079228E-3</v>
      </c>
      <c r="AJ232" s="14"/>
      <c r="AK232" s="1"/>
    </row>
    <row r="233" spans="2:37" s="7" customFormat="1" ht="15" outlineLevel="1">
      <c r="B233" s="1"/>
      <c r="D233" s="1399"/>
      <c r="E233" s="1399"/>
      <c r="F233" s="1399"/>
      <c r="G233" s="1399"/>
      <c r="H233" s="1399"/>
      <c r="I233" s="1399"/>
      <c r="J233" s="1406"/>
      <c r="K233" s="1405"/>
      <c r="L233" s="1406"/>
      <c r="M233" s="1405"/>
      <c r="N233" s="1406"/>
      <c r="O233" s="1405"/>
      <c r="P233" s="1406"/>
      <c r="Q233" s="1405"/>
      <c r="R233" s="1406"/>
      <c r="S233" s="1405"/>
      <c r="T233" s="1406"/>
      <c r="U233" s="1405"/>
      <c r="V233" s="1406"/>
      <c r="W233" s="1405"/>
      <c r="X233" s="1406"/>
      <c r="Y233" s="1405"/>
      <c r="Z233" s="1406"/>
      <c r="AA233" s="1405"/>
      <c r="AB233" s="1406"/>
      <c r="AC233" s="1405"/>
      <c r="AD233" s="1406"/>
      <c r="AE233" s="1405"/>
      <c r="AF233" s="1406"/>
      <c r="AG233" s="1405"/>
      <c r="AH233" s="1406"/>
      <c r="AI233" s="1573"/>
      <c r="AJ233" s="14"/>
      <c r="AK233" s="1"/>
    </row>
    <row r="234" spans="2:37" s="7" customFormat="1" ht="15" outlineLevel="1">
      <c r="B234" s="1" t="s">
        <v>187</v>
      </c>
      <c r="D234" s="1399"/>
      <c r="E234" s="1399"/>
      <c r="F234" s="1399"/>
      <c r="G234" s="1399"/>
      <c r="H234" s="1399"/>
      <c r="I234" s="1399"/>
      <c r="J234" s="1406"/>
      <c r="K234" s="1405"/>
      <c r="L234" s="1406"/>
      <c r="M234" s="1405"/>
      <c r="N234" s="1406"/>
      <c r="O234" s="1405"/>
      <c r="P234" s="1406"/>
      <c r="Q234" s="1405"/>
      <c r="R234" s="1406"/>
      <c r="S234" s="1405"/>
      <c r="T234" s="1406"/>
      <c r="U234" s="1405"/>
      <c r="V234" s="1406"/>
      <c r="W234" s="1405"/>
      <c r="X234" s="1406"/>
      <c r="Y234" s="1405"/>
      <c r="Z234" s="1406"/>
      <c r="AA234" s="1405"/>
      <c r="AB234" s="1406"/>
      <c r="AC234" s="1405"/>
      <c r="AD234" s="1406"/>
      <c r="AE234" s="1405"/>
      <c r="AF234" s="1406"/>
      <c r="AG234" s="1405"/>
      <c r="AH234" s="1406"/>
      <c r="AI234" s="1573"/>
      <c r="AJ234" s="14"/>
      <c r="AK234" s="1"/>
    </row>
    <row r="235" spans="2:37" outlineLevel="1">
      <c r="B235" s="71" t="s">
        <v>400</v>
      </c>
      <c r="D235" s="1396">
        <v>70010</v>
      </c>
      <c r="E235" s="1396" t="s">
        <v>17</v>
      </c>
      <c r="F235" s="1397"/>
      <c r="G235" s="1398"/>
      <c r="H235" s="1399"/>
      <c r="I235" s="1400"/>
      <c r="J235" s="1401">
        <v>72527.13</v>
      </c>
      <c r="K235" s="1400"/>
      <c r="L235" s="1401">
        <v>80596.2</v>
      </c>
      <c r="M235" s="1400"/>
      <c r="N235" s="1401">
        <v>72646.13</v>
      </c>
      <c r="O235" s="1400"/>
      <c r="P235" s="1401">
        <v>75355.929999999993</v>
      </c>
      <c r="Q235" s="1400"/>
      <c r="R235" s="1401">
        <v>73910.83</v>
      </c>
      <c r="S235" s="1400"/>
      <c r="T235" s="1401">
        <v>80116.240000000005</v>
      </c>
      <c r="U235" s="1400"/>
      <c r="V235" s="1401">
        <v>68191.399999999994</v>
      </c>
      <c r="W235" s="1400"/>
      <c r="X235" s="1401">
        <v>79936.28</v>
      </c>
      <c r="Y235" s="1400"/>
      <c r="Z235" s="1401">
        <v>74550.37</v>
      </c>
      <c r="AA235" s="1400"/>
      <c r="AB235" s="1401">
        <v>71412.03</v>
      </c>
      <c r="AC235" s="1400"/>
      <c r="AD235" s="1401">
        <v>78434.64</v>
      </c>
      <c r="AE235" s="1400"/>
      <c r="AF235" s="1401">
        <v>72606.2</v>
      </c>
      <c r="AG235" s="1400"/>
      <c r="AH235" s="1401">
        <f t="shared" ref="AH235:AH285" si="26">AF235+AD235+AB235+Z235+X235+V235+T235+R235+P235+N235+L235+J235</f>
        <v>900283.37999999989</v>
      </c>
      <c r="AI235" s="1574">
        <f t="shared" ref="AI235:AI285" si="27">IF(AH$61=0,0,AH235/AH$61)</f>
        <v>1.4363075618365872E-2</v>
      </c>
      <c r="AJ235" s="11"/>
    </row>
    <row r="236" spans="2:37" outlineLevel="1">
      <c r="B236" s="71" t="s">
        <v>380</v>
      </c>
      <c r="D236" s="1396">
        <v>70020</v>
      </c>
      <c r="E236" s="1396" t="s">
        <v>25</v>
      </c>
      <c r="F236" s="1397"/>
      <c r="G236" s="1398"/>
      <c r="H236" s="1399"/>
      <c r="I236" s="1400"/>
      <c r="J236" s="1401">
        <v>72530.27</v>
      </c>
      <c r="K236" s="1400"/>
      <c r="L236" s="1401">
        <v>87657.46</v>
      </c>
      <c r="M236" s="1400"/>
      <c r="N236" s="1401">
        <v>63813.95</v>
      </c>
      <c r="O236" s="1400"/>
      <c r="P236" s="1401">
        <v>73677.42</v>
      </c>
      <c r="Q236" s="1400"/>
      <c r="R236" s="1401">
        <v>79102.13</v>
      </c>
      <c r="S236" s="1400"/>
      <c r="T236" s="1401">
        <v>83965.19</v>
      </c>
      <c r="U236" s="1400"/>
      <c r="V236" s="1401">
        <v>71177.89</v>
      </c>
      <c r="W236" s="1400"/>
      <c r="X236" s="1401">
        <v>79896.47</v>
      </c>
      <c r="Y236" s="1400"/>
      <c r="Z236" s="1401">
        <v>77087.44</v>
      </c>
      <c r="AA236" s="1400"/>
      <c r="AB236" s="1401">
        <v>71869.61</v>
      </c>
      <c r="AC236" s="1400"/>
      <c r="AD236" s="1401">
        <v>82185.77</v>
      </c>
      <c r="AE236" s="1400"/>
      <c r="AF236" s="1401">
        <v>70827.490000000005</v>
      </c>
      <c r="AG236" s="1400"/>
      <c r="AH236" s="1401">
        <f t="shared" si="26"/>
        <v>913791.09000000008</v>
      </c>
      <c r="AI236" s="1574">
        <f t="shared" si="27"/>
        <v>1.4578576942139015E-2</v>
      </c>
      <c r="AJ236" s="11"/>
    </row>
    <row r="237" spans="2:37" outlineLevel="1">
      <c r="B237" s="71" t="s">
        <v>380</v>
      </c>
      <c r="D237" s="1396">
        <v>70025</v>
      </c>
      <c r="E237" s="1396" t="s">
        <v>26</v>
      </c>
      <c r="F237" s="1397"/>
      <c r="G237" s="1398"/>
      <c r="H237" s="1399"/>
      <c r="I237" s="1400"/>
      <c r="J237" s="1401">
        <v>6540.18</v>
      </c>
      <c r="K237" s="1400"/>
      <c r="L237" s="1401">
        <v>5869.28</v>
      </c>
      <c r="M237" s="1400"/>
      <c r="N237" s="1401">
        <v>9082.2000000000007</v>
      </c>
      <c r="O237" s="1400"/>
      <c r="P237" s="1401">
        <v>10991.05</v>
      </c>
      <c r="Q237" s="1400"/>
      <c r="R237" s="1401">
        <v>11587.91</v>
      </c>
      <c r="S237" s="1400"/>
      <c r="T237" s="1401">
        <v>10521.2</v>
      </c>
      <c r="U237" s="1400"/>
      <c r="V237" s="1401">
        <v>9827.44</v>
      </c>
      <c r="W237" s="1400"/>
      <c r="X237" s="1401">
        <v>8016.67</v>
      </c>
      <c r="Y237" s="1400"/>
      <c r="Z237" s="1401">
        <v>11298.55</v>
      </c>
      <c r="AA237" s="1400"/>
      <c r="AB237" s="1401">
        <v>7406.71</v>
      </c>
      <c r="AC237" s="1400"/>
      <c r="AD237" s="1401">
        <v>7307.55</v>
      </c>
      <c r="AE237" s="1400"/>
      <c r="AF237" s="1401">
        <v>7764.78</v>
      </c>
      <c r="AG237" s="1400"/>
      <c r="AH237" s="1401">
        <f t="shared" si="26"/>
        <v>106213.51999999999</v>
      </c>
      <c r="AI237" s="1574">
        <f t="shared" si="27"/>
        <v>1.6945251387988701E-3</v>
      </c>
      <c r="AJ237" s="11"/>
    </row>
    <row r="238" spans="2:37" outlineLevel="1">
      <c r="B238" s="71" t="s">
        <v>380</v>
      </c>
      <c r="D238" s="1396">
        <v>70035</v>
      </c>
      <c r="E238" s="1396" t="s">
        <v>27</v>
      </c>
      <c r="F238" s="1397"/>
      <c r="G238" s="1398"/>
      <c r="H238" s="1399"/>
      <c r="I238" s="1400"/>
      <c r="J238" s="1401">
        <v>1006.29</v>
      </c>
      <c r="K238" s="1400"/>
      <c r="L238" s="1401">
        <v>-1637.15</v>
      </c>
      <c r="M238" s="1400"/>
      <c r="N238" s="1401">
        <v>662.85</v>
      </c>
      <c r="O238" s="1400"/>
      <c r="P238" s="1401">
        <v>824.3</v>
      </c>
      <c r="Q238" s="1400"/>
      <c r="R238" s="1401">
        <v>725</v>
      </c>
      <c r="S238" s="1400"/>
      <c r="T238" s="1401">
        <v>500</v>
      </c>
      <c r="U238" s="1400"/>
      <c r="V238" s="1401">
        <v>600</v>
      </c>
      <c r="W238" s="1400"/>
      <c r="X238" s="1401">
        <v>962.5</v>
      </c>
      <c r="Y238" s="1400"/>
      <c r="Z238" s="1401">
        <v>662.5</v>
      </c>
      <c r="AA238" s="1400"/>
      <c r="AB238" s="1401">
        <v>662.5</v>
      </c>
      <c r="AC238" s="1400"/>
      <c r="AD238" s="1401">
        <v>-987.5</v>
      </c>
      <c r="AE238" s="1400"/>
      <c r="AF238" s="1401">
        <v>1029.17</v>
      </c>
      <c r="AG238" s="1400"/>
      <c r="AH238" s="1401">
        <f t="shared" si="26"/>
        <v>5010.4600000000009</v>
      </c>
      <c r="AI238" s="1574">
        <f t="shared" si="27"/>
        <v>7.9936626024127517E-5</v>
      </c>
      <c r="AJ238" s="11"/>
    </row>
    <row r="239" spans="2:37" outlineLevel="1">
      <c r="B239" s="71" t="s">
        <v>380</v>
      </c>
      <c r="D239" s="1396">
        <v>70036</v>
      </c>
      <c r="E239" s="1396" t="s">
        <v>257</v>
      </c>
      <c r="F239" s="1397"/>
      <c r="G239" s="1398"/>
      <c r="H239" s="1399"/>
      <c r="I239" s="1400"/>
      <c r="J239" s="1401">
        <v>2538.9699999999998</v>
      </c>
      <c r="K239" s="1400"/>
      <c r="L239" s="1401">
        <v>2111.66</v>
      </c>
      <c r="M239" s="1400"/>
      <c r="N239" s="1401">
        <v>3010.99</v>
      </c>
      <c r="O239" s="1400"/>
      <c r="P239" s="1401">
        <v>3877.97</v>
      </c>
      <c r="Q239" s="1400"/>
      <c r="R239" s="1401">
        <v>4092.66</v>
      </c>
      <c r="S239" s="1400"/>
      <c r="T239" s="1401">
        <v>3727.63</v>
      </c>
      <c r="U239" s="1400"/>
      <c r="V239" s="1401">
        <v>2464.3000000000002</v>
      </c>
      <c r="W239" s="1400"/>
      <c r="X239" s="1401">
        <v>3609.01</v>
      </c>
      <c r="Y239" s="1400"/>
      <c r="Z239" s="1401">
        <v>7811.61</v>
      </c>
      <c r="AA239" s="1400"/>
      <c r="AB239" s="1401">
        <v>4514.82</v>
      </c>
      <c r="AC239" s="1400"/>
      <c r="AD239" s="1401">
        <v>4250.57</v>
      </c>
      <c r="AE239" s="1400"/>
      <c r="AF239" s="1401">
        <v>3299.29</v>
      </c>
      <c r="AG239" s="1400"/>
      <c r="AH239" s="1401">
        <f t="shared" si="26"/>
        <v>45309.479999999996</v>
      </c>
      <c r="AI239" s="1574">
        <f t="shared" si="27"/>
        <v>7.2286515771160425E-4</v>
      </c>
      <c r="AJ239" s="11"/>
    </row>
    <row r="240" spans="2:37" outlineLevel="1">
      <c r="B240" s="71" t="s">
        <v>380</v>
      </c>
      <c r="D240" s="1396">
        <v>70045</v>
      </c>
      <c r="E240" s="1396" t="s">
        <v>29</v>
      </c>
      <c r="F240" s="1397"/>
      <c r="G240" s="1398"/>
      <c r="H240" s="1399"/>
      <c r="I240" s="1400"/>
      <c r="J240" s="1401">
        <v>6410.32</v>
      </c>
      <c r="K240" s="1400"/>
      <c r="L240" s="1401">
        <v>3846.84</v>
      </c>
      <c r="M240" s="1400"/>
      <c r="N240" s="1401">
        <v>118.45</v>
      </c>
      <c r="O240" s="1400"/>
      <c r="P240" s="1401">
        <v>222.08</v>
      </c>
      <c r="Q240" s="1400"/>
      <c r="R240" s="1401">
        <v>848.82</v>
      </c>
      <c r="S240" s="1400"/>
      <c r="T240" s="1401">
        <v>1441.04</v>
      </c>
      <c r="U240" s="1400"/>
      <c r="V240" s="1401">
        <v>3800</v>
      </c>
      <c r="W240" s="1400"/>
      <c r="X240" s="1401">
        <v>5726.54</v>
      </c>
      <c r="Y240" s="1400"/>
      <c r="Z240" s="1401">
        <v>5981.01</v>
      </c>
      <c r="AA240" s="1400"/>
      <c r="AB240" s="1401">
        <v>4743.54</v>
      </c>
      <c r="AC240" s="1400"/>
      <c r="AD240" s="1401">
        <v>6297.27</v>
      </c>
      <c r="AE240" s="1400"/>
      <c r="AF240" s="1401">
        <v>7002.53</v>
      </c>
      <c r="AG240" s="1400"/>
      <c r="AH240" s="1401">
        <f t="shared" si="26"/>
        <v>46438.439999999995</v>
      </c>
      <c r="AI240" s="1574">
        <f t="shared" si="27"/>
        <v>7.4087652858697271E-4</v>
      </c>
      <c r="AJ240" s="11"/>
    </row>
    <row r="241" spans="2:36" outlineLevel="1">
      <c r="B241" s="71" t="s">
        <v>380</v>
      </c>
      <c r="D241" s="1396">
        <v>70050</v>
      </c>
      <c r="E241" s="1396" t="s">
        <v>158</v>
      </c>
      <c r="F241" s="1397"/>
      <c r="G241" s="1398"/>
      <c r="H241" s="1399"/>
      <c r="I241" s="1400"/>
      <c r="J241" s="1401">
        <v>6864.35</v>
      </c>
      <c r="K241" s="1400"/>
      <c r="L241" s="1401">
        <v>13904.26</v>
      </c>
      <c r="M241" s="1400"/>
      <c r="N241" s="1401">
        <v>8644.15</v>
      </c>
      <c r="O241" s="1400"/>
      <c r="P241" s="1401">
        <v>10273.09</v>
      </c>
      <c r="Q241" s="1400"/>
      <c r="R241" s="1401">
        <v>10390.91</v>
      </c>
      <c r="S241" s="1400"/>
      <c r="T241" s="1401">
        <v>10462.76</v>
      </c>
      <c r="U241" s="1400"/>
      <c r="V241" s="1401">
        <v>8913.25</v>
      </c>
      <c r="W241" s="1400"/>
      <c r="X241" s="1401">
        <v>10009.33</v>
      </c>
      <c r="Y241" s="1400"/>
      <c r="Z241" s="1401">
        <v>9481.7199999999993</v>
      </c>
      <c r="AA241" s="1400"/>
      <c r="AB241" s="1401">
        <v>8284.4</v>
      </c>
      <c r="AC241" s="1400"/>
      <c r="AD241" s="1401">
        <v>9035.94</v>
      </c>
      <c r="AE241" s="1400"/>
      <c r="AF241" s="1401">
        <v>7869.36</v>
      </c>
      <c r="AG241" s="1400"/>
      <c r="AH241" s="1401">
        <f t="shared" si="26"/>
        <v>114133.51999999999</v>
      </c>
      <c r="AI241" s="1574">
        <f t="shared" si="27"/>
        <v>1.8208804191745423E-3</v>
      </c>
      <c r="AJ241" s="11"/>
    </row>
    <row r="242" spans="2:36" outlineLevel="1">
      <c r="B242" s="71" t="s">
        <v>380</v>
      </c>
      <c r="D242" s="1396">
        <v>70060</v>
      </c>
      <c r="E242" s="1396" t="s">
        <v>70</v>
      </c>
      <c r="F242" s="1397"/>
      <c r="G242" s="1398"/>
      <c r="H242" s="1399"/>
      <c r="I242" s="1400"/>
      <c r="J242" s="1401">
        <v>31392.87</v>
      </c>
      <c r="K242" s="1400"/>
      <c r="L242" s="1401">
        <v>32099.37</v>
      </c>
      <c r="M242" s="1400"/>
      <c r="N242" s="1401">
        <v>33115</v>
      </c>
      <c r="O242" s="1400"/>
      <c r="P242" s="1401">
        <v>34464.1</v>
      </c>
      <c r="Q242" s="1400"/>
      <c r="R242" s="1401">
        <v>32719.09</v>
      </c>
      <c r="S242" s="1400"/>
      <c r="T242" s="1401">
        <v>32250.959999999999</v>
      </c>
      <c r="U242" s="1400"/>
      <c r="V242" s="1401">
        <v>32673.4</v>
      </c>
      <c r="W242" s="1400"/>
      <c r="X242" s="1401">
        <v>32716.67</v>
      </c>
      <c r="Y242" s="1400"/>
      <c r="Z242" s="1401">
        <v>35026.980000000003</v>
      </c>
      <c r="AA242" s="1400"/>
      <c r="AB242" s="1401">
        <v>32680.98</v>
      </c>
      <c r="AC242" s="1400"/>
      <c r="AD242" s="1401">
        <v>31576.02</v>
      </c>
      <c r="AE242" s="1400"/>
      <c r="AF242" s="1401">
        <v>32572.87</v>
      </c>
      <c r="AG242" s="1400"/>
      <c r="AH242" s="1401">
        <f t="shared" si="26"/>
        <v>393288.31</v>
      </c>
      <c r="AI242" s="1574">
        <f t="shared" si="27"/>
        <v>6.2745018533490191E-3</v>
      </c>
      <c r="AJ242" s="11"/>
    </row>
    <row r="243" spans="2:36" outlineLevel="1">
      <c r="B243" s="71" t="s">
        <v>380</v>
      </c>
      <c r="D243" s="1396">
        <v>70065</v>
      </c>
      <c r="E243" s="1396" t="s">
        <v>22</v>
      </c>
      <c r="F243" s="1397"/>
      <c r="G243" s="1398"/>
      <c r="H243" s="1399"/>
      <c r="I243" s="1400"/>
      <c r="J243" s="1401">
        <v>-24764.98</v>
      </c>
      <c r="K243" s="1400"/>
      <c r="L243" s="1401">
        <v>4235.8599999999997</v>
      </c>
      <c r="M243" s="1400"/>
      <c r="N243" s="1401">
        <v>-8792.06</v>
      </c>
      <c r="O243" s="1400"/>
      <c r="P243" s="1401">
        <v>5978.88</v>
      </c>
      <c r="Q243" s="1400"/>
      <c r="R243" s="1401">
        <v>3934.18</v>
      </c>
      <c r="S243" s="1400"/>
      <c r="T243" s="1401">
        <v>3902.12</v>
      </c>
      <c r="U243" s="1400"/>
      <c r="V243" s="1401">
        <v>3625.65</v>
      </c>
      <c r="W243" s="1400"/>
      <c r="X243" s="1401">
        <v>3390.5</v>
      </c>
      <c r="Y243" s="1400"/>
      <c r="Z243" s="1401">
        <v>5711.45</v>
      </c>
      <c r="AA243" s="1400"/>
      <c r="AB243" s="1401">
        <v>3497.09</v>
      </c>
      <c r="AC243" s="1400"/>
      <c r="AD243" s="1401">
        <v>3006.77</v>
      </c>
      <c r="AE243" s="1400"/>
      <c r="AF243" s="1401">
        <v>2588.35</v>
      </c>
      <c r="AG243" s="1400"/>
      <c r="AH243" s="1401">
        <f t="shared" si="26"/>
        <v>6313.8100000000013</v>
      </c>
      <c r="AI243" s="1574">
        <f t="shared" si="27"/>
        <v>1.007302061601922E-4</v>
      </c>
      <c r="AJ243" s="11"/>
    </row>
    <row r="244" spans="2:36" outlineLevel="1">
      <c r="B244" s="71" t="s">
        <v>380</v>
      </c>
      <c r="D244" s="1396">
        <v>70070</v>
      </c>
      <c r="E244" s="1396" t="s">
        <v>23</v>
      </c>
      <c r="F244" s="1397"/>
      <c r="G244" s="1398"/>
      <c r="H244" s="1399"/>
      <c r="I244" s="1400"/>
      <c r="J244" s="1401">
        <v>3131.48</v>
      </c>
      <c r="K244" s="1400"/>
      <c r="L244" s="1401">
        <v>3601.26</v>
      </c>
      <c r="M244" s="1400"/>
      <c r="N244" s="1401">
        <v>5115.17</v>
      </c>
      <c r="O244" s="1400"/>
      <c r="P244" s="1401">
        <v>4015.57</v>
      </c>
      <c r="Q244" s="1400"/>
      <c r="R244" s="1401">
        <v>3550.34</v>
      </c>
      <c r="S244" s="1400"/>
      <c r="T244" s="1401">
        <v>2416.12</v>
      </c>
      <c r="U244" s="1400"/>
      <c r="V244" s="1401">
        <v>2401.77</v>
      </c>
      <c r="W244" s="1400"/>
      <c r="X244" s="1401">
        <v>3145.27</v>
      </c>
      <c r="Y244" s="1400"/>
      <c r="Z244" s="1401">
        <v>2417.13</v>
      </c>
      <c r="AA244" s="1400"/>
      <c r="AB244" s="1401">
        <v>2974.54</v>
      </c>
      <c r="AC244" s="1400"/>
      <c r="AD244" s="1401">
        <v>2472.91</v>
      </c>
      <c r="AE244" s="1400"/>
      <c r="AF244" s="1401">
        <v>2939.99</v>
      </c>
      <c r="AG244" s="1400"/>
      <c r="AH244" s="1401">
        <f t="shared" si="26"/>
        <v>38181.550000000003</v>
      </c>
      <c r="AI244" s="1574">
        <f t="shared" si="27"/>
        <v>6.0914652214996744E-4</v>
      </c>
      <c r="AJ244" s="11"/>
    </row>
    <row r="245" spans="2:36" outlineLevel="1">
      <c r="B245" s="71" t="s">
        <v>380</v>
      </c>
      <c r="D245" s="1396">
        <v>70086</v>
      </c>
      <c r="E245" s="1396" t="s">
        <v>61</v>
      </c>
      <c r="F245" s="1397"/>
      <c r="G245" s="1398"/>
      <c r="H245" s="1399"/>
      <c r="I245" s="1400"/>
      <c r="J245" s="1401">
        <v>134.63</v>
      </c>
      <c r="K245" s="1400"/>
      <c r="L245" s="1401">
        <v>255.45</v>
      </c>
      <c r="M245" s="1400"/>
      <c r="N245" s="1401">
        <v>313.02</v>
      </c>
      <c r="O245" s="1400"/>
      <c r="P245" s="1401">
        <v>348.72</v>
      </c>
      <c r="Q245" s="1400"/>
      <c r="R245" s="1401">
        <v>946.81</v>
      </c>
      <c r="S245" s="1400"/>
      <c r="T245" s="1401">
        <v>684.6</v>
      </c>
      <c r="U245" s="1400"/>
      <c r="V245" s="1401">
        <v>0</v>
      </c>
      <c r="W245" s="1400"/>
      <c r="X245" s="1401">
        <v>0</v>
      </c>
      <c r="Y245" s="1400"/>
      <c r="Z245" s="1401">
        <v>0</v>
      </c>
      <c r="AA245" s="1400"/>
      <c r="AB245" s="1401">
        <v>379.39</v>
      </c>
      <c r="AC245" s="1400"/>
      <c r="AD245" s="1401">
        <v>921.43</v>
      </c>
      <c r="AE245" s="1400"/>
      <c r="AF245" s="1401">
        <v>252.1</v>
      </c>
      <c r="AG245" s="1400"/>
      <c r="AH245" s="1401">
        <f t="shared" si="26"/>
        <v>4236.1500000000005</v>
      </c>
      <c r="AI245" s="1574">
        <f t="shared" si="27"/>
        <v>6.7583323353965057E-5</v>
      </c>
      <c r="AJ245" s="11"/>
    </row>
    <row r="246" spans="2:36" outlineLevel="1">
      <c r="B246" s="71" t="s">
        <v>380</v>
      </c>
      <c r="D246" s="1396">
        <v>70090</v>
      </c>
      <c r="E246" s="1396" t="s">
        <v>121</v>
      </c>
      <c r="F246" s="1397"/>
      <c r="G246" s="1398"/>
      <c r="H246" s="1399"/>
      <c r="I246" s="1400"/>
      <c r="J246" s="1401">
        <v>197.89</v>
      </c>
      <c r="K246" s="1400"/>
      <c r="L246" s="1401">
        <v>0</v>
      </c>
      <c r="M246" s="1400"/>
      <c r="N246" s="1401">
        <v>1541.23</v>
      </c>
      <c r="O246" s="1400"/>
      <c r="P246" s="1401">
        <v>120.24</v>
      </c>
      <c r="Q246" s="1400"/>
      <c r="R246" s="1401">
        <v>1292.3499999999999</v>
      </c>
      <c r="S246" s="1400"/>
      <c r="T246" s="1401">
        <v>305.52</v>
      </c>
      <c r="U246" s="1400"/>
      <c r="V246" s="1401">
        <v>0</v>
      </c>
      <c r="W246" s="1400"/>
      <c r="X246" s="1401">
        <v>1094.5</v>
      </c>
      <c r="Y246" s="1400"/>
      <c r="Z246" s="1401">
        <v>0</v>
      </c>
      <c r="AA246" s="1400"/>
      <c r="AB246" s="1401">
        <v>0</v>
      </c>
      <c r="AC246" s="1400"/>
      <c r="AD246" s="1401">
        <v>0</v>
      </c>
      <c r="AE246" s="1400"/>
      <c r="AF246" s="1401">
        <v>507.21</v>
      </c>
      <c r="AG246" s="1400"/>
      <c r="AH246" s="1401">
        <f t="shared" si="26"/>
        <v>5058.9399999999996</v>
      </c>
      <c r="AI246" s="1574">
        <f t="shared" si="27"/>
        <v>8.0710073497942221E-5</v>
      </c>
      <c r="AJ246" s="11"/>
    </row>
    <row r="247" spans="2:36" outlineLevel="1">
      <c r="B247" s="71" t="s">
        <v>380</v>
      </c>
      <c r="D247" s="1396">
        <v>70095</v>
      </c>
      <c r="E247" s="1396" t="s">
        <v>235</v>
      </c>
      <c r="F247" s="1397"/>
      <c r="G247" s="1398"/>
      <c r="H247" s="1399"/>
      <c r="I247" s="1400"/>
      <c r="J247" s="1401">
        <v>9034.4</v>
      </c>
      <c r="K247" s="1400"/>
      <c r="L247" s="1401">
        <v>326.31</v>
      </c>
      <c r="M247" s="1400"/>
      <c r="N247" s="1401">
        <v>31970.13</v>
      </c>
      <c r="O247" s="1400"/>
      <c r="P247" s="1401">
        <v>2203.4699999999998</v>
      </c>
      <c r="Q247" s="1400"/>
      <c r="R247" s="1401">
        <v>2863.6</v>
      </c>
      <c r="S247" s="1400"/>
      <c r="T247" s="1401">
        <v>4671.18</v>
      </c>
      <c r="U247" s="1400"/>
      <c r="V247" s="1401">
        <v>9098.48</v>
      </c>
      <c r="W247" s="1400"/>
      <c r="X247" s="1401">
        <v>4218.67</v>
      </c>
      <c r="Y247" s="1400"/>
      <c r="Z247" s="1401">
        <v>9745.09</v>
      </c>
      <c r="AA247" s="1400"/>
      <c r="AB247" s="1401">
        <v>27836.9</v>
      </c>
      <c r="AC247" s="1400"/>
      <c r="AD247" s="1401">
        <v>3434.3</v>
      </c>
      <c r="AE247" s="1400"/>
      <c r="AF247" s="1401">
        <v>5494.25</v>
      </c>
      <c r="AG247" s="1400"/>
      <c r="AH247" s="1401">
        <f t="shared" si="26"/>
        <v>110896.77999999998</v>
      </c>
      <c r="AI247" s="1574">
        <f t="shared" si="27"/>
        <v>1.7692416325327299E-3</v>
      </c>
      <c r="AJ247" s="11"/>
    </row>
    <row r="248" spans="2:36" outlineLevel="1">
      <c r="B248" s="71" t="s">
        <v>380</v>
      </c>
      <c r="D248" s="1396">
        <v>70105</v>
      </c>
      <c r="E248" s="1396" t="s">
        <v>122</v>
      </c>
      <c r="F248" s="1397"/>
      <c r="G248" s="1398"/>
      <c r="H248" s="1399"/>
      <c r="I248" s="1400"/>
      <c r="J248" s="1401">
        <v>4423.84</v>
      </c>
      <c r="K248" s="1400"/>
      <c r="L248" s="1401">
        <v>2818.88</v>
      </c>
      <c r="M248" s="1400"/>
      <c r="N248" s="1401">
        <v>2764.2</v>
      </c>
      <c r="O248" s="1400"/>
      <c r="P248" s="1401">
        <v>2764.2</v>
      </c>
      <c r="Q248" s="1400"/>
      <c r="R248" s="1401">
        <v>2764.18</v>
      </c>
      <c r="S248" s="1400"/>
      <c r="T248" s="1401">
        <v>2764.2</v>
      </c>
      <c r="U248" s="1400"/>
      <c r="V248" s="1401">
        <v>3097.53</v>
      </c>
      <c r="W248" s="1400"/>
      <c r="X248" s="1401">
        <v>3097.54</v>
      </c>
      <c r="Y248" s="1400"/>
      <c r="Z248" s="1401">
        <v>3097.53</v>
      </c>
      <c r="AA248" s="1400"/>
      <c r="AB248" s="1401">
        <v>5383.31</v>
      </c>
      <c r="AC248" s="1400"/>
      <c r="AD248" s="1401">
        <v>4275.1499999999996</v>
      </c>
      <c r="AE248" s="1400"/>
      <c r="AF248" s="1401">
        <v>4275.16</v>
      </c>
      <c r="AG248" s="1400"/>
      <c r="AH248" s="1401">
        <f t="shared" si="26"/>
        <v>41525.72</v>
      </c>
      <c r="AI248" s="1574">
        <f t="shared" si="27"/>
        <v>6.6249924159111787E-4</v>
      </c>
      <c r="AJ248" s="11"/>
    </row>
    <row r="249" spans="2:36" outlineLevel="1">
      <c r="B249" s="71" t="s">
        <v>380</v>
      </c>
      <c r="D249" s="1396">
        <v>70110</v>
      </c>
      <c r="E249" s="1396" t="s">
        <v>123</v>
      </c>
      <c r="F249" s="1397"/>
      <c r="G249" s="1398"/>
      <c r="H249" s="1399"/>
      <c r="I249" s="1400"/>
      <c r="J249" s="1401">
        <v>1769.45</v>
      </c>
      <c r="K249" s="1400"/>
      <c r="L249" s="1401">
        <v>-930.56</v>
      </c>
      <c r="M249" s="1400"/>
      <c r="N249" s="1401">
        <v>2169.4499999999998</v>
      </c>
      <c r="O249" s="1400"/>
      <c r="P249" s="1401">
        <v>6869.44</v>
      </c>
      <c r="Q249" s="1400"/>
      <c r="R249" s="1401">
        <v>6569.44</v>
      </c>
      <c r="S249" s="1400"/>
      <c r="T249" s="1401">
        <v>12569.45</v>
      </c>
      <c r="U249" s="1400"/>
      <c r="V249" s="1401">
        <v>1431.64</v>
      </c>
      <c r="W249" s="1400"/>
      <c r="X249" s="1401">
        <v>6431.65</v>
      </c>
      <c r="Y249" s="1400"/>
      <c r="Z249" s="1401">
        <v>13098.31</v>
      </c>
      <c r="AA249" s="1400"/>
      <c r="AB249" s="1401">
        <v>0</v>
      </c>
      <c r="AC249" s="1400"/>
      <c r="AD249" s="1401">
        <v>3639.37</v>
      </c>
      <c r="AE249" s="1400"/>
      <c r="AF249" s="1401">
        <v>0</v>
      </c>
      <c r="AG249" s="1400"/>
      <c r="AH249" s="1401">
        <f t="shared" si="26"/>
        <v>53617.64</v>
      </c>
      <c r="AI249" s="1574">
        <f t="shared" si="27"/>
        <v>8.5541312314164767E-4</v>
      </c>
      <c r="AJ249" s="11"/>
    </row>
    <row r="250" spans="2:36" outlineLevel="1">
      <c r="B250" s="71" t="s">
        <v>380</v>
      </c>
      <c r="D250" s="1396">
        <v>70112</v>
      </c>
      <c r="E250" s="1396" t="s">
        <v>258</v>
      </c>
      <c r="F250" s="1397"/>
      <c r="G250" s="1398"/>
      <c r="H250" s="1399"/>
      <c r="I250" s="1400"/>
      <c r="J250" s="1401">
        <v>0</v>
      </c>
      <c r="K250" s="1400"/>
      <c r="L250" s="1401">
        <v>0</v>
      </c>
      <c r="M250" s="1400"/>
      <c r="N250" s="1401">
        <v>-75</v>
      </c>
      <c r="O250" s="1400"/>
      <c r="P250" s="1401">
        <v>0</v>
      </c>
      <c r="Q250" s="1400"/>
      <c r="R250" s="1401">
        <v>0</v>
      </c>
      <c r="S250" s="1400"/>
      <c r="T250" s="1401">
        <v>0</v>
      </c>
      <c r="U250" s="1400"/>
      <c r="V250" s="1401">
        <v>0</v>
      </c>
      <c r="W250" s="1400"/>
      <c r="X250" s="1401">
        <v>0</v>
      </c>
      <c r="Y250" s="1400"/>
      <c r="Z250" s="1401">
        <v>0</v>
      </c>
      <c r="AA250" s="1400"/>
      <c r="AB250" s="1401">
        <v>500</v>
      </c>
      <c r="AC250" s="1400"/>
      <c r="AD250" s="1401">
        <v>0</v>
      </c>
      <c r="AE250" s="1400"/>
      <c r="AF250" s="1401">
        <v>750</v>
      </c>
      <c r="AG250" s="1400"/>
      <c r="AH250" s="1401">
        <f t="shared" si="26"/>
        <v>1175</v>
      </c>
      <c r="AI250" s="1574">
        <f t="shared" si="27"/>
        <v>1.8745890712299833E-5</v>
      </c>
      <c r="AJ250" s="11"/>
    </row>
    <row r="251" spans="2:36" outlineLevel="1">
      <c r="B251" s="71" t="s">
        <v>380</v>
      </c>
      <c r="D251" s="1396">
        <v>70116</v>
      </c>
      <c r="E251" s="1396" t="s">
        <v>116</v>
      </c>
      <c r="F251" s="1397"/>
      <c r="G251" s="1398"/>
      <c r="H251" s="1399"/>
      <c r="I251" s="1400"/>
      <c r="J251" s="1401">
        <v>2600.11</v>
      </c>
      <c r="K251" s="1400"/>
      <c r="L251" s="1401">
        <v>5153.41</v>
      </c>
      <c r="M251" s="1400"/>
      <c r="N251" s="1401">
        <v>5114.82</v>
      </c>
      <c r="O251" s="1400"/>
      <c r="P251" s="1401">
        <v>5888.05</v>
      </c>
      <c r="Q251" s="1400"/>
      <c r="R251" s="1401">
        <v>5005.63</v>
      </c>
      <c r="S251" s="1400"/>
      <c r="T251" s="1401">
        <v>5214.2299999999996</v>
      </c>
      <c r="U251" s="1400"/>
      <c r="V251" s="1401">
        <v>4847.45</v>
      </c>
      <c r="W251" s="1400"/>
      <c r="X251" s="1401">
        <v>5658.68</v>
      </c>
      <c r="Y251" s="1400"/>
      <c r="Z251" s="1401">
        <v>6703.86</v>
      </c>
      <c r="AA251" s="1400"/>
      <c r="AB251" s="1401">
        <v>4902.99</v>
      </c>
      <c r="AC251" s="1400"/>
      <c r="AD251" s="1401">
        <v>5383.23</v>
      </c>
      <c r="AE251" s="1400"/>
      <c r="AF251" s="1401">
        <v>4747.8</v>
      </c>
      <c r="AG251" s="1400"/>
      <c r="AH251" s="1401">
        <f t="shared" si="26"/>
        <v>61220.259999999995</v>
      </c>
      <c r="AI251" s="1574">
        <f t="shared" si="27"/>
        <v>9.7670493901155829E-4</v>
      </c>
      <c r="AJ251" s="11"/>
    </row>
    <row r="252" spans="2:36" outlineLevel="1">
      <c r="B252" s="71" t="s">
        <v>380</v>
      </c>
      <c r="D252" s="1396">
        <v>70148</v>
      </c>
      <c r="E252" s="1396" t="s">
        <v>42</v>
      </c>
      <c r="F252" s="1397"/>
      <c r="G252" s="1398"/>
      <c r="H252" s="1399"/>
      <c r="I252" s="1400"/>
      <c r="J252" s="1401">
        <v>7464.7</v>
      </c>
      <c r="K252" s="1400"/>
      <c r="L252" s="1401">
        <v>13142.12</v>
      </c>
      <c r="M252" s="1400"/>
      <c r="N252" s="1401">
        <v>9586.64</v>
      </c>
      <c r="O252" s="1400"/>
      <c r="P252" s="1401">
        <v>15195.24</v>
      </c>
      <c r="Q252" s="1400"/>
      <c r="R252" s="1401">
        <v>23190.99</v>
      </c>
      <c r="S252" s="1400"/>
      <c r="T252" s="1401">
        <v>9846.0499999999993</v>
      </c>
      <c r="U252" s="1400"/>
      <c r="V252" s="1401">
        <v>42892.46</v>
      </c>
      <c r="W252" s="1400"/>
      <c r="X252" s="1401">
        <v>10525.43</v>
      </c>
      <c r="Y252" s="1400"/>
      <c r="Z252" s="1401">
        <v>9221.27</v>
      </c>
      <c r="AA252" s="1400"/>
      <c r="AB252" s="1401">
        <v>8934.44</v>
      </c>
      <c r="AC252" s="1400"/>
      <c r="AD252" s="1401">
        <v>9229.65</v>
      </c>
      <c r="AE252" s="1400"/>
      <c r="AF252" s="1401">
        <v>8766.84</v>
      </c>
      <c r="AG252" s="1400"/>
      <c r="AH252" s="1401">
        <f t="shared" si="26"/>
        <v>167995.83000000002</v>
      </c>
      <c r="AI252" s="1574">
        <f t="shared" si="27"/>
        <v>2.680196995150725E-3</v>
      </c>
      <c r="AJ252" s="11"/>
    </row>
    <row r="253" spans="2:36" outlineLevel="1">
      <c r="B253" s="71" t="s">
        <v>380</v>
      </c>
      <c r="D253" s="1396">
        <v>70150</v>
      </c>
      <c r="E253" s="1396" t="s">
        <v>46</v>
      </c>
      <c r="F253" s="1397"/>
      <c r="G253" s="1398"/>
      <c r="H253" s="1399"/>
      <c r="I253" s="1400"/>
      <c r="J253" s="1401">
        <v>378.63</v>
      </c>
      <c r="K253" s="1400"/>
      <c r="L253" s="1401">
        <v>371.41</v>
      </c>
      <c r="M253" s="1400"/>
      <c r="N253" s="1401">
        <v>400.86</v>
      </c>
      <c r="O253" s="1400"/>
      <c r="P253" s="1401">
        <v>392.23</v>
      </c>
      <c r="Q253" s="1400"/>
      <c r="R253" s="1401">
        <v>402.23</v>
      </c>
      <c r="S253" s="1400"/>
      <c r="T253" s="1401">
        <v>392.23</v>
      </c>
      <c r="U253" s="1400"/>
      <c r="V253" s="1401">
        <v>402.11</v>
      </c>
      <c r="W253" s="1400"/>
      <c r="X253" s="1401">
        <v>392.23</v>
      </c>
      <c r="Y253" s="1400"/>
      <c r="Z253" s="1401">
        <v>392.11</v>
      </c>
      <c r="AA253" s="1400"/>
      <c r="AB253" s="1401">
        <v>387.04</v>
      </c>
      <c r="AC253" s="1400"/>
      <c r="AD253" s="1401">
        <v>387.04</v>
      </c>
      <c r="AE253" s="1400"/>
      <c r="AF253" s="1401">
        <v>397.14</v>
      </c>
      <c r="AG253" s="1400"/>
      <c r="AH253" s="1401">
        <f t="shared" si="26"/>
        <v>4695.26</v>
      </c>
      <c r="AI253" s="1574">
        <f t="shared" si="27"/>
        <v>7.490794112836844E-5</v>
      </c>
      <c r="AJ253" s="11"/>
    </row>
    <row r="254" spans="2:36" outlineLevel="1">
      <c r="B254" s="71" t="s">
        <v>380</v>
      </c>
      <c r="D254" s="1396">
        <v>70165</v>
      </c>
      <c r="E254" s="1396" t="s">
        <v>230</v>
      </c>
      <c r="F254" s="1397"/>
      <c r="G254" s="1398"/>
      <c r="H254" s="1399"/>
      <c r="I254" s="1400"/>
      <c r="J254" s="1401">
        <v>3557.68</v>
      </c>
      <c r="K254" s="1400"/>
      <c r="L254" s="1401">
        <v>3577.62</v>
      </c>
      <c r="M254" s="1400"/>
      <c r="N254" s="1401">
        <v>3788.27</v>
      </c>
      <c r="O254" s="1400"/>
      <c r="P254" s="1401">
        <v>3403.06</v>
      </c>
      <c r="Q254" s="1400"/>
      <c r="R254" s="1401">
        <v>3925.43</v>
      </c>
      <c r="S254" s="1400"/>
      <c r="T254" s="1401">
        <v>4543.34</v>
      </c>
      <c r="U254" s="1400"/>
      <c r="V254" s="1401">
        <v>3606.46</v>
      </c>
      <c r="W254" s="1400"/>
      <c r="X254" s="1401">
        <v>3895.56</v>
      </c>
      <c r="Y254" s="1400"/>
      <c r="Z254" s="1401">
        <v>3589.7</v>
      </c>
      <c r="AA254" s="1400"/>
      <c r="AB254" s="1401">
        <v>4996.17</v>
      </c>
      <c r="AC254" s="1400"/>
      <c r="AD254" s="1401">
        <v>3887.17</v>
      </c>
      <c r="AE254" s="1400"/>
      <c r="AF254" s="1401">
        <v>3816.36</v>
      </c>
      <c r="AG254" s="1400"/>
      <c r="AH254" s="1401">
        <f t="shared" si="26"/>
        <v>46586.82</v>
      </c>
      <c r="AI254" s="1574">
        <f t="shared" si="27"/>
        <v>7.4324377562007163E-4</v>
      </c>
      <c r="AJ254" s="11"/>
    </row>
    <row r="255" spans="2:36" outlineLevel="1">
      <c r="B255" s="71" t="s">
        <v>380</v>
      </c>
      <c r="D255" s="1396">
        <v>70166</v>
      </c>
      <c r="E255" s="1396" t="s">
        <v>110</v>
      </c>
      <c r="F255" s="1397"/>
      <c r="G255" s="1398"/>
      <c r="H255" s="1399"/>
      <c r="I255" s="1400"/>
      <c r="J255" s="1401">
        <v>147</v>
      </c>
      <c r="K255" s="1400"/>
      <c r="L255" s="1401">
        <v>49</v>
      </c>
      <c r="M255" s="1400"/>
      <c r="N255" s="1401">
        <v>49</v>
      </c>
      <c r="O255" s="1400"/>
      <c r="P255" s="1401">
        <v>49</v>
      </c>
      <c r="Q255" s="1400"/>
      <c r="R255" s="1401">
        <v>49</v>
      </c>
      <c r="S255" s="1400"/>
      <c r="T255" s="1401">
        <v>49</v>
      </c>
      <c r="U255" s="1400"/>
      <c r="V255" s="1401">
        <v>49</v>
      </c>
      <c r="W255" s="1400"/>
      <c r="X255" s="1401">
        <v>49</v>
      </c>
      <c r="Y255" s="1400"/>
      <c r="Z255" s="1401">
        <v>49</v>
      </c>
      <c r="AA255" s="1400"/>
      <c r="AB255" s="1401">
        <v>49</v>
      </c>
      <c r="AC255" s="1400"/>
      <c r="AD255" s="1401">
        <v>49</v>
      </c>
      <c r="AE255" s="1400"/>
      <c r="AF255" s="1401">
        <v>49</v>
      </c>
      <c r="AG255" s="1400"/>
      <c r="AH255" s="1401">
        <f t="shared" si="26"/>
        <v>686</v>
      </c>
      <c r="AI255" s="1574">
        <f t="shared" si="27"/>
        <v>1.0944409386074627E-5</v>
      </c>
      <c r="AJ255" s="11"/>
    </row>
    <row r="256" spans="2:36" outlineLevel="1">
      <c r="B256" s="71" t="s">
        <v>380</v>
      </c>
      <c r="D256" s="1396">
        <v>70167</v>
      </c>
      <c r="E256" s="1396" t="s">
        <v>259</v>
      </c>
      <c r="F256" s="1397"/>
      <c r="G256" s="1398"/>
      <c r="H256" s="1399"/>
      <c r="I256" s="1400"/>
      <c r="J256" s="1401">
        <v>7302.08</v>
      </c>
      <c r="K256" s="1400"/>
      <c r="L256" s="1401">
        <v>2131.91</v>
      </c>
      <c r="M256" s="1400"/>
      <c r="N256" s="1401">
        <v>4770.42</v>
      </c>
      <c r="O256" s="1400"/>
      <c r="P256" s="1401">
        <v>5647.36</v>
      </c>
      <c r="Q256" s="1400"/>
      <c r="R256" s="1401">
        <v>1873.86</v>
      </c>
      <c r="S256" s="1400"/>
      <c r="T256" s="1401">
        <v>6454.81</v>
      </c>
      <c r="U256" s="1400"/>
      <c r="V256" s="1401">
        <v>2182.4699999999998</v>
      </c>
      <c r="W256" s="1400"/>
      <c r="X256" s="1401">
        <v>7866.58</v>
      </c>
      <c r="Y256" s="1400"/>
      <c r="Z256" s="1401">
        <v>4593.83</v>
      </c>
      <c r="AA256" s="1400"/>
      <c r="AB256" s="1401">
        <v>4932.2</v>
      </c>
      <c r="AC256" s="1400"/>
      <c r="AD256" s="1401">
        <v>2624.61</v>
      </c>
      <c r="AE256" s="1400"/>
      <c r="AF256" s="1401">
        <v>7134.2</v>
      </c>
      <c r="AG256" s="1400"/>
      <c r="AH256" s="1401">
        <f t="shared" si="26"/>
        <v>57514.33</v>
      </c>
      <c r="AI256" s="1574">
        <f t="shared" si="27"/>
        <v>9.1758071878395551E-4</v>
      </c>
      <c r="AJ256" s="11"/>
    </row>
    <row r="257" spans="2:36" outlineLevel="1">
      <c r="B257" s="71" t="s">
        <v>380</v>
      </c>
      <c r="D257" s="1396">
        <v>70170</v>
      </c>
      <c r="E257" s="1396" t="s">
        <v>647</v>
      </c>
      <c r="F257" s="1397"/>
      <c r="G257" s="1398"/>
      <c r="H257" s="1399"/>
      <c r="I257" s="1400"/>
      <c r="J257" s="1401">
        <v>285</v>
      </c>
      <c r="K257" s="1400"/>
      <c r="L257" s="1401">
        <v>0</v>
      </c>
      <c r="M257" s="1400"/>
      <c r="N257" s="1401">
        <v>0</v>
      </c>
      <c r="O257" s="1400"/>
      <c r="P257" s="1401">
        <v>0</v>
      </c>
      <c r="Q257" s="1400"/>
      <c r="R257" s="1401">
        <v>0</v>
      </c>
      <c r="S257" s="1400"/>
      <c r="T257" s="1401">
        <v>0</v>
      </c>
      <c r="U257" s="1400"/>
      <c r="V257" s="1401">
        <v>0</v>
      </c>
      <c r="W257" s="1400"/>
      <c r="X257" s="1401">
        <v>0</v>
      </c>
      <c r="Y257" s="1400"/>
      <c r="Z257" s="1401">
        <v>0</v>
      </c>
      <c r="AA257" s="1400"/>
      <c r="AB257" s="1401">
        <v>0</v>
      </c>
      <c r="AC257" s="1400"/>
      <c r="AD257" s="1401">
        <v>0</v>
      </c>
      <c r="AE257" s="1400"/>
      <c r="AF257" s="1401">
        <v>0</v>
      </c>
      <c r="AG257" s="1400"/>
      <c r="AH257" s="1401">
        <f t="shared" si="26"/>
        <v>285</v>
      </c>
      <c r="AI257" s="1574">
        <f t="shared" si="27"/>
        <v>4.5468756195791082E-6</v>
      </c>
      <c r="AJ257" s="11"/>
    </row>
    <row r="258" spans="2:36" outlineLevel="1">
      <c r="B258" s="71" t="s">
        <v>380</v>
      </c>
      <c r="D258" s="1396">
        <v>70185</v>
      </c>
      <c r="E258" s="1396" t="s">
        <v>71</v>
      </c>
      <c r="F258" s="1397"/>
      <c r="G258" s="1398"/>
      <c r="H258" s="1399"/>
      <c r="I258" s="1400"/>
      <c r="J258" s="1401">
        <v>1482.53</v>
      </c>
      <c r="K258" s="1400"/>
      <c r="L258" s="1401">
        <v>604.24</v>
      </c>
      <c r="M258" s="1400"/>
      <c r="N258" s="1401">
        <v>686.08</v>
      </c>
      <c r="O258" s="1400"/>
      <c r="P258" s="1401">
        <v>599.66</v>
      </c>
      <c r="Q258" s="1400"/>
      <c r="R258" s="1401">
        <v>813.79</v>
      </c>
      <c r="S258" s="1400"/>
      <c r="T258" s="1401">
        <v>678.06</v>
      </c>
      <c r="U258" s="1400"/>
      <c r="V258" s="1401">
        <v>603.54</v>
      </c>
      <c r="W258" s="1400"/>
      <c r="X258" s="1401">
        <v>55.3</v>
      </c>
      <c r="Y258" s="1400"/>
      <c r="Z258" s="1401">
        <v>62.92</v>
      </c>
      <c r="AA258" s="1400"/>
      <c r="AB258" s="1401">
        <v>2335.6799999999998</v>
      </c>
      <c r="AC258" s="1400"/>
      <c r="AD258" s="1401">
        <v>264.18</v>
      </c>
      <c r="AE258" s="1400"/>
      <c r="AF258" s="1401">
        <v>1001.35</v>
      </c>
      <c r="AG258" s="1400"/>
      <c r="AH258" s="1401">
        <f t="shared" si="26"/>
        <v>9187.33</v>
      </c>
      <c r="AI258" s="1574">
        <f t="shared" si="27"/>
        <v>1.4657419924922011E-4</v>
      </c>
      <c r="AJ258" s="11"/>
    </row>
    <row r="259" spans="2:36" outlineLevel="1">
      <c r="B259" s="71" t="s">
        <v>380</v>
      </c>
      <c r="D259" s="1396">
        <v>70190</v>
      </c>
      <c r="E259" s="1396" t="s">
        <v>311</v>
      </c>
      <c r="F259" s="1397"/>
      <c r="G259" s="1398"/>
      <c r="H259" s="1399"/>
      <c r="I259" s="1400"/>
      <c r="J259" s="1401">
        <v>0</v>
      </c>
      <c r="K259" s="1400"/>
      <c r="L259" s="1401">
        <v>0</v>
      </c>
      <c r="M259" s="1400"/>
      <c r="N259" s="1401">
        <v>0</v>
      </c>
      <c r="O259" s="1400"/>
      <c r="P259" s="1401">
        <v>0</v>
      </c>
      <c r="Q259" s="1400"/>
      <c r="R259" s="1401">
        <v>2650</v>
      </c>
      <c r="S259" s="1400"/>
      <c r="T259" s="1401">
        <v>0</v>
      </c>
      <c r="U259" s="1400"/>
      <c r="V259" s="1401">
        <v>0</v>
      </c>
      <c r="W259" s="1400"/>
      <c r="X259" s="1401">
        <v>0</v>
      </c>
      <c r="Y259" s="1400"/>
      <c r="Z259" s="1401">
        <v>0</v>
      </c>
      <c r="AA259" s="1400"/>
      <c r="AB259" s="1401">
        <v>0</v>
      </c>
      <c r="AC259" s="1400"/>
      <c r="AD259" s="1401">
        <v>715</v>
      </c>
      <c r="AE259" s="1400"/>
      <c r="AF259" s="1401">
        <v>0</v>
      </c>
      <c r="AG259" s="1400"/>
      <c r="AH259" s="1401">
        <f t="shared" si="26"/>
        <v>3365</v>
      </c>
      <c r="AI259" s="1574">
        <f t="shared" si="27"/>
        <v>5.3685040210118247E-5</v>
      </c>
      <c r="AJ259" s="11"/>
    </row>
    <row r="260" spans="2:36" outlineLevel="1">
      <c r="B260" s="71" t="s">
        <v>380</v>
      </c>
      <c r="D260" s="1396">
        <v>70195</v>
      </c>
      <c r="E260" s="1396" t="s">
        <v>76</v>
      </c>
      <c r="F260" s="1397"/>
      <c r="G260" s="1398"/>
      <c r="H260" s="1399"/>
      <c r="I260" s="1400"/>
      <c r="J260" s="1401">
        <v>2501.4899999999998</v>
      </c>
      <c r="K260" s="1400"/>
      <c r="L260" s="1401">
        <v>2137.54</v>
      </c>
      <c r="M260" s="1400"/>
      <c r="N260" s="1401">
        <v>3162.51</v>
      </c>
      <c r="O260" s="1400"/>
      <c r="P260" s="1401">
        <v>2000.11</v>
      </c>
      <c r="Q260" s="1400"/>
      <c r="R260" s="1401">
        <v>1869.3</v>
      </c>
      <c r="S260" s="1400"/>
      <c r="T260" s="1401">
        <v>1869.29</v>
      </c>
      <c r="U260" s="1400"/>
      <c r="V260" s="1401">
        <v>1906.87</v>
      </c>
      <c r="W260" s="1400"/>
      <c r="X260" s="1401">
        <v>1786.88</v>
      </c>
      <c r="Y260" s="1400"/>
      <c r="Z260" s="1401">
        <v>1788.86</v>
      </c>
      <c r="AA260" s="1400"/>
      <c r="AB260" s="1401">
        <v>3678.54</v>
      </c>
      <c r="AC260" s="1400"/>
      <c r="AD260" s="1401">
        <v>2859.54</v>
      </c>
      <c r="AE260" s="1400"/>
      <c r="AF260" s="1401">
        <v>2128.5300000000002</v>
      </c>
      <c r="AG260" s="1400"/>
      <c r="AH260" s="1401">
        <f t="shared" si="26"/>
        <v>27689.46</v>
      </c>
      <c r="AI260" s="1574">
        <f t="shared" si="27"/>
        <v>4.4175624769582784E-4</v>
      </c>
      <c r="AJ260" s="11"/>
    </row>
    <row r="261" spans="2:36" outlineLevel="1">
      <c r="B261" s="71" t="s">
        <v>380</v>
      </c>
      <c r="D261" s="1396">
        <v>70200</v>
      </c>
      <c r="E261" s="1396" t="s">
        <v>60</v>
      </c>
      <c r="F261" s="1397"/>
      <c r="G261" s="1398"/>
      <c r="H261" s="1399"/>
      <c r="I261" s="1400"/>
      <c r="J261" s="1401">
        <v>0</v>
      </c>
      <c r="K261" s="1400"/>
      <c r="L261" s="1401">
        <v>628.72</v>
      </c>
      <c r="M261" s="1400"/>
      <c r="N261" s="1401">
        <v>0</v>
      </c>
      <c r="O261" s="1400"/>
      <c r="P261" s="1401">
        <v>60</v>
      </c>
      <c r="Q261" s="1400"/>
      <c r="R261" s="1401">
        <v>0</v>
      </c>
      <c r="S261" s="1400"/>
      <c r="T261" s="1401">
        <v>0</v>
      </c>
      <c r="U261" s="1400"/>
      <c r="V261" s="1401">
        <v>127</v>
      </c>
      <c r="W261" s="1400"/>
      <c r="X261" s="1401">
        <v>14.8</v>
      </c>
      <c r="Y261" s="1400"/>
      <c r="Z261" s="1401">
        <v>0</v>
      </c>
      <c r="AA261" s="1400"/>
      <c r="AB261" s="1401">
        <v>0</v>
      </c>
      <c r="AC261" s="1400"/>
      <c r="AD261" s="1401">
        <v>15</v>
      </c>
      <c r="AE261" s="1400"/>
      <c r="AF261" s="1401">
        <v>0</v>
      </c>
      <c r="AG261" s="1400"/>
      <c r="AH261" s="1401">
        <f t="shared" si="26"/>
        <v>845.52</v>
      </c>
      <c r="AI261" s="1574">
        <f t="shared" si="27"/>
        <v>1.3489383417075535E-5</v>
      </c>
      <c r="AJ261" s="11"/>
    </row>
    <row r="262" spans="2:36" outlineLevel="1">
      <c r="B262" s="71" t="s">
        <v>380</v>
      </c>
      <c r="D262" s="1396">
        <v>70201</v>
      </c>
      <c r="E262" s="1396" t="s">
        <v>72</v>
      </c>
      <c r="F262" s="1397"/>
      <c r="G262" s="1398"/>
      <c r="H262" s="1399"/>
      <c r="I262" s="1400"/>
      <c r="J262" s="1401">
        <v>980.01</v>
      </c>
      <c r="K262" s="1400"/>
      <c r="L262" s="1401">
        <v>1499.68</v>
      </c>
      <c r="M262" s="1400"/>
      <c r="N262" s="1401">
        <v>671.38</v>
      </c>
      <c r="O262" s="1400"/>
      <c r="P262" s="1401">
        <v>360.68</v>
      </c>
      <c r="Q262" s="1400"/>
      <c r="R262" s="1401">
        <v>987.87</v>
      </c>
      <c r="S262" s="1400"/>
      <c r="T262" s="1401">
        <v>1335.23</v>
      </c>
      <c r="U262" s="1400"/>
      <c r="V262" s="1401">
        <v>504.99</v>
      </c>
      <c r="W262" s="1400"/>
      <c r="X262" s="1401">
        <v>975.73</v>
      </c>
      <c r="Y262" s="1400"/>
      <c r="Z262" s="1401">
        <v>2064.96</v>
      </c>
      <c r="AA262" s="1400"/>
      <c r="AB262" s="1401">
        <v>2190.9</v>
      </c>
      <c r="AC262" s="1400"/>
      <c r="AD262" s="1401">
        <v>2014.29</v>
      </c>
      <c r="AE262" s="1400"/>
      <c r="AF262" s="1401">
        <v>1201.75</v>
      </c>
      <c r="AG262" s="1400"/>
      <c r="AH262" s="1401">
        <f t="shared" si="26"/>
        <v>14787.470000000001</v>
      </c>
      <c r="AI262" s="1574">
        <f t="shared" si="27"/>
        <v>2.3591855023949993E-4</v>
      </c>
      <c r="AJ262" s="11"/>
    </row>
    <row r="263" spans="2:36" outlineLevel="1">
      <c r="B263" s="71" t="s">
        <v>380</v>
      </c>
      <c r="D263" s="1396">
        <v>70202</v>
      </c>
      <c r="E263" s="1396" t="s">
        <v>260</v>
      </c>
      <c r="F263" s="1397"/>
      <c r="G263" s="1398"/>
      <c r="H263" s="1399"/>
      <c r="I263" s="1400"/>
      <c r="J263" s="1401">
        <v>437.41</v>
      </c>
      <c r="K263" s="1400"/>
      <c r="L263" s="1401">
        <v>937.95</v>
      </c>
      <c r="M263" s="1400"/>
      <c r="N263" s="1401">
        <v>3138.72</v>
      </c>
      <c r="O263" s="1400"/>
      <c r="P263" s="1401">
        <v>1053.08</v>
      </c>
      <c r="Q263" s="1400"/>
      <c r="R263" s="1401">
        <v>136.59</v>
      </c>
      <c r="S263" s="1400"/>
      <c r="T263" s="1401">
        <v>0</v>
      </c>
      <c r="U263" s="1400"/>
      <c r="V263" s="1401">
        <v>2549.35</v>
      </c>
      <c r="W263" s="1400"/>
      <c r="X263" s="1401">
        <v>0</v>
      </c>
      <c r="Y263" s="1400"/>
      <c r="Z263" s="1401">
        <v>141.29</v>
      </c>
      <c r="AA263" s="1400"/>
      <c r="AB263" s="1401">
        <v>1904.09</v>
      </c>
      <c r="AC263" s="1400"/>
      <c r="AD263" s="1401">
        <v>1129.67</v>
      </c>
      <c r="AE263" s="1400"/>
      <c r="AF263" s="1401">
        <v>0</v>
      </c>
      <c r="AG263" s="1400"/>
      <c r="AH263" s="1401">
        <f t="shared" si="26"/>
        <v>11428.15</v>
      </c>
      <c r="AI263" s="1574">
        <f t="shared" si="27"/>
        <v>1.8232412846278242E-4</v>
      </c>
      <c r="AJ263" s="11"/>
    </row>
    <row r="264" spans="2:36" outlineLevel="1">
      <c r="B264" s="71" t="s">
        <v>380</v>
      </c>
      <c r="D264" s="1396">
        <v>70203</v>
      </c>
      <c r="E264" s="1396" t="s">
        <v>130</v>
      </c>
      <c r="F264" s="1397"/>
      <c r="G264" s="1398"/>
      <c r="H264" s="1399"/>
      <c r="I264" s="1400"/>
      <c r="J264" s="1401">
        <v>593.55999999999995</v>
      </c>
      <c r="K264" s="1400"/>
      <c r="L264" s="1401">
        <v>326.16000000000003</v>
      </c>
      <c r="M264" s="1400"/>
      <c r="N264" s="1401">
        <v>0</v>
      </c>
      <c r="O264" s="1400"/>
      <c r="P264" s="1401">
        <v>574.08000000000004</v>
      </c>
      <c r="Q264" s="1400"/>
      <c r="R264" s="1401">
        <v>0</v>
      </c>
      <c r="S264" s="1400"/>
      <c r="T264" s="1401">
        <v>1558.41</v>
      </c>
      <c r="U264" s="1400"/>
      <c r="V264" s="1401">
        <v>618.26</v>
      </c>
      <c r="W264" s="1400"/>
      <c r="X264" s="1401">
        <v>1656.55</v>
      </c>
      <c r="Y264" s="1400"/>
      <c r="Z264" s="1401">
        <v>115.78</v>
      </c>
      <c r="AA264" s="1400"/>
      <c r="AB264" s="1401">
        <v>0</v>
      </c>
      <c r="AC264" s="1400"/>
      <c r="AD264" s="1401">
        <v>0</v>
      </c>
      <c r="AE264" s="1400"/>
      <c r="AF264" s="1401">
        <v>234.61</v>
      </c>
      <c r="AG264" s="1400"/>
      <c r="AH264" s="1401">
        <f t="shared" si="26"/>
        <v>5677.41</v>
      </c>
      <c r="AI264" s="1574">
        <f t="shared" si="27"/>
        <v>9.0577112671419744E-5</v>
      </c>
      <c r="AJ264" s="11"/>
    </row>
    <row r="265" spans="2:36" outlineLevel="1">
      <c r="B265" s="71" t="s">
        <v>380</v>
      </c>
      <c r="D265" s="1396">
        <v>70205</v>
      </c>
      <c r="E265" s="1396" t="s">
        <v>254</v>
      </c>
      <c r="F265" s="1397"/>
      <c r="G265" s="1398"/>
      <c r="H265" s="1399"/>
      <c r="I265" s="1400"/>
      <c r="J265" s="1401">
        <v>126.06</v>
      </c>
      <c r="K265" s="1400"/>
      <c r="L265" s="1401">
        <v>267.20999999999998</v>
      </c>
      <c r="M265" s="1400"/>
      <c r="N265" s="1401">
        <v>153.35</v>
      </c>
      <c r="O265" s="1400"/>
      <c r="P265" s="1401">
        <v>1107.92</v>
      </c>
      <c r="Q265" s="1400"/>
      <c r="R265" s="1401">
        <v>10.5</v>
      </c>
      <c r="S265" s="1400"/>
      <c r="T265" s="1401">
        <v>1286.94</v>
      </c>
      <c r="U265" s="1400"/>
      <c r="V265" s="1401">
        <v>102.12</v>
      </c>
      <c r="W265" s="1400"/>
      <c r="X265" s="1401">
        <v>1554.72</v>
      </c>
      <c r="Y265" s="1400"/>
      <c r="Z265" s="1401">
        <v>-46.57</v>
      </c>
      <c r="AA265" s="1400"/>
      <c r="AB265" s="1401">
        <v>4.6399999999999997</v>
      </c>
      <c r="AC265" s="1400"/>
      <c r="AD265" s="1401">
        <v>1041.3699999999999</v>
      </c>
      <c r="AE265" s="1400"/>
      <c r="AF265" s="1401">
        <v>168.2</v>
      </c>
      <c r="AG265" s="1400"/>
      <c r="AH265" s="1401">
        <f t="shared" si="26"/>
        <v>5776.4600000000009</v>
      </c>
      <c r="AI265" s="1574">
        <f t="shared" si="27"/>
        <v>9.2157351373592771E-5</v>
      </c>
      <c r="AJ265" s="11"/>
    </row>
    <row r="266" spans="2:36" outlineLevel="1">
      <c r="B266" s="71" t="s">
        <v>380</v>
      </c>
      <c r="D266" s="1396">
        <v>70206</v>
      </c>
      <c r="E266" s="1396" t="s">
        <v>261</v>
      </c>
      <c r="F266" s="1397"/>
      <c r="G266" s="1398"/>
      <c r="H266" s="1399"/>
      <c r="I266" s="1400"/>
      <c r="J266" s="1401">
        <v>1468.29</v>
      </c>
      <c r="K266" s="1400"/>
      <c r="L266" s="1401">
        <v>265.29000000000002</v>
      </c>
      <c r="M266" s="1400"/>
      <c r="N266" s="1401">
        <v>913.68</v>
      </c>
      <c r="O266" s="1400"/>
      <c r="P266" s="1401">
        <v>308.56</v>
      </c>
      <c r="Q266" s="1400"/>
      <c r="R266" s="1401">
        <v>78.89</v>
      </c>
      <c r="S266" s="1400"/>
      <c r="T266" s="1401">
        <v>1204.5</v>
      </c>
      <c r="U266" s="1400"/>
      <c r="V266" s="1401">
        <v>180.73</v>
      </c>
      <c r="W266" s="1400"/>
      <c r="X266" s="1401">
        <v>179.58</v>
      </c>
      <c r="Y266" s="1400"/>
      <c r="Z266" s="1401">
        <v>195.46</v>
      </c>
      <c r="AA266" s="1400"/>
      <c r="AB266" s="1401">
        <v>203.9</v>
      </c>
      <c r="AC266" s="1400"/>
      <c r="AD266" s="1401">
        <v>1484.86</v>
      </c>
      <c r="AE266" s="1400"/>
      <c r="AF266" s="1401">
        <v>872.55</v>
      </c>
      <c r="AG266" s="1400"/>
      <c r="AH266" s="1401">
        <f t="shared" si="26"/>
        <v>7356.2900000000009</v>
      </c>
      <c r="AI266" s="1574">
        <f t="shared" si="27"/>
        <v>1.1736187947913545E-4</v>
      </c>
      <c r="AJ266" s="11"/>
    </row>
    <row r="267" spans="2:36" outlineLevel="1">
      <c r="B267" s="71" t="s">
        <v>380</v>
      </c>
      <c r="D267" s="1396">
        <v>70207</v>
      </c>
      <c r="E267" s="1396" t="s">
        <v>133</v>
      </c>
      <c r="F267" s="1397"/>
      <c r="G267" s="1398"/>
      <c r="H267" s="1399"/>
      <c r="I267" s="1400"/>
      <c r="J267" s="1401">
        <v>22.48</v>
      </c>
      <c r="K267" s="1400"/>
      <c r="L267" s="1401">
        <v>0</v>
      </c>
      <c r="M267" s="1400"/>
      <c r="N267" s="1401">
        <v>0</v>
      </c>
      <c r="O267" s="1400"/>
      <c r="P267" s="1401">
        <v>0</v>
      </c>
      <c r="Q267" s="1400"/>
      <c r="R267" s="1401">
        <v>0</v>
      </c>
      <c r="S267" s="1400"/>
      <c r="T267" s="1401">
        <v>0</v>
      </c>
      <c r="U267" s="1400"/>
      <c r="V267" s="1401">
        <v>0</v>
      </c>
      <c r="W267" s="1400"/>
      <c r="X267" s="1401">
        <v>0</v>
      </c>
      <c r="Y267" s="1400"/>
      <c r="Z267" s="1401">
        <v>0</v>
      </c>
      <c r="AA267" s="1400"/>
      <c r="AB267" s="1401">
        <v>0</v>
      </c>
      <c r="AC267" s="1400"/>
      <c r="AD267" s="1401">
        <v>0</v>
      </c>
      <c r="AE267" s="1400"/>
      <c r="AF267" s="1401">
        <v>0</v>
      </c>
      <c r="AG267" s="1400"/>
      <c r="AH267" s="1401">
        <f t="shared" si="26"/>
        <v>22.48</v>
      </c>
      <c r="AI267" s="1574">
        <f t="shared" si="27"/>
        <v>3.5864478571276619E-7</v>
      </c>
      <c r="AJ267" s="11"/>
    </row>
    <row r="268" spans="2:36" outlineLevel="1">
      <c r="B268" s="71" t="s">
        <v>380</v>
      </c>
      <c r="D268" s="1396">
        <v>70210</v>
      </c>
      <c r="E268" s="1396" t="s">
        <v>262</v>
      </c>
      <c r="F268" s="1397"/>
      <c r="G268" s="1398"/>
      <c r="H268" s="1399"/>
      <c r="I268" s="1400"/>
      <c r="J268" s="1401">
        <v>7947.1</v>
      </c>
      <c r="K268" s="1400"/>
      <c r="L268" s="1401">
        <v>10069.92</v>
      </c>
      <c r="M268" s="1400"/>
      <c r="N268" s="1401">
        <v>8998.86</v>
      </c>
      <c r="O268" s="1400"/>
      <c r="P268" s="1401">
        <v>6276.27</v>
      </c>
      <c r="Q268" s="1400"/>
      <c r="R268" s="1401">
        <v>8734.0400000000009</v>
      </c>
      <c r="S268" s="1400"/>
      <c r="T268" s="1401">
        <v>10696.19</v>
      </c>
      <c r="U268" s="1400"/>
      <c r="V268" s="1401">
        <v>7081.27</v>
      </c>
      <c r="W268" s="1400"/>
      <c r="X268" s="1401">
        <v>6607.38</v>
      </c>
      <c r="Y268" s="1400"/>
      <c r="Z268" s="1401">
        <v>12474.54</v>
      </c>
      <c r="AA268" s="1400"/>
      <c r="AB268" s="1401">
        <v>9104.25</v>
      </c>
      <c r="AC268" s="1400"/>
      <c r="AD268" s="1401">
        <v>10573.87</v>
      </c>
      <c r="AE268" s="1400"/>
      <c r="AF268" s="1401">
        <v>7538.99</v>
      </c>
      <c r="AG268" s="1400"/>
      <c r="AH268" s="1401">
        <f t="shared" si="26"/>
        <v>106102.68000000001</v>
      </c>
      <c r="AI268" s="1574">
        <f t="shared" si="27"/>
        <v>1.6927568030315927E-3</v>
      </c>
      <c r="AJ268" s="11"/>
    </row>
    <row r="269" spans="2:36" outlineLevel="1">
      <c r="B269" s="71" t="s">
        <v>380</v>
      </c>
      <c r="D269" s="1396">
        <v>70214</v>
      </c>
      <c r="E269" s="1396" t="s">
        <v>99</v>
      </c>
      <c r="F269" s="1397"/>
      <c r="G269" s="1398"/>
      <c r="H269" s="1399"/>
      <c r="I269" s="1400"/>
      <c r="J269" s="1401">
        <v>22112.2</v>
      </c>
      <c r="K269" s="1400"/>
      <c r="L269" s="1401">
        <v>25795.05</v>
      </c>
      <c r="M269" s="1400"/>
      <c r="N269" s="1401">
        <v>22139.08</v>
      </c>
      <c r="O269" s="1400"/>
      <c r="P269" s="1401">
        <v>26069.97</v>
      </c>
      <c r="Q269" s="1400"/>
      <c r="R269" s="1401">
        <v>25929.82</v>
      </c>
      <c r="S269" s="1400"/>
      <c r="T269" s="1401">
        <v>25188.68</v>
      </c>
      <c r="U269" s="1400"/>
      <c r="V269" s="1401">
        <v>25733.38</v>
      </c>
      <c r="W269" s="1400"/>
      <c r="X269" s="1401">
        <v>26562.959999999999</v>
      </c>
      <c r="Y269" s="1400"/>
      <c r="Z269" s="1401">
        <v>26148.71</v>
      </c>
      <c r="AA269" s="1400"/>
      <c r="AB269" s="1401">
        <v>24919.03</v>
      </c>
      <c r="AC269" s="1400"/>
      <c r="AD269" s="1401">
        <v>25996.84</v>
      </c>
      <c r="AE269" s="1400"/>
      <c r="AF269" s="1401">
        <v>25601.06</v>
      </c>
      <c r="AG269" s="1400"/>
      <c r="AH269" s="1401">
        <f t="shared" si="26"/>
        <v>302196.77999999997</v>
      </c>
      <c r="AI269" s="1574">
        <f t="shared" si="27"/>
        <v>4.8212321799905667E-3</v>
      </c>
      <c r="AJ269" s="11"/>
    </row>
    <row r="270" spans="2:36" outlineLevel="1">
      <c r="B270" s="71" t="s">
        <v>380</v>
      </c>
      <c r="D270" s="1396">
        <v>70215</v>
      </c>
      <c r="E270" s="1396" t="s">
        <v>100</v>
      </c>
      <c r="F270" s="1397"/>
      <c r="G270" s="1398"/>
      <c r="H270" s="1399"/>
      <c r="I270" s="1400"/>
      <c r="J270" s="1401">
        <v>0</v>
      </c>
      <c r="K270" s="1400"/>
      <c r="L270" s="1401">
        <v>0</v>
      </c>
      <c r="M270" s="1400"/>
      <c r="N270" s="1401">
        <v>0</v>
      </c>
      <c r="O270" s="1400"/>
      <c r="P270" s="1401">
        <v>0</v>
      </c>
      <c r="Q270" s="1400"/>
      <c r="R270" s="1401">
        <v>2.72</v>
      </c>
      <c r="S270" s="1400"/>
      <c r="T270" s="1401">
        <v>0.6</v>
      </c>
      <c r="U270" s="1400"/>
      <c r="V270" s="1401">
        <v>0</v>
      </c>
      <c r="W270" s="1400"/>
      <c r="X270" s="1401">
        <v>41</v>
      </c>
      <c r="Y270" s="1400"/>
      <c r="Z270" s="1401">
        <v>683.33</v>
      </c>
      <c r="AA270" s="1400"/>
      <c r="AB270" s="1401">
        <v>0</v>
      </c>
      <c r="AC270" s="1400"/>
      <c r="AD270" s="1401">
        <v>0</v>
      </c>
      <c r="AE270" s="1400"/>
      <c r="AF270" s="1401">
        <v>0</v>
      </c>
      <c r="AG270" s="1400"/>
      <c r="AH270" s="1401">
        <f t="shared" si="26"/>
        <v>727.65000000000009</v>
      </c>
      <c r="AI270" s="1574">
        <f t="shared" si="27"/>
        <v>1.1608891384514872E-5</v>
      </c>
      <c r="AJ270" s="11"/>
    </row>
    <row r="271" spans="2:36" outlineLevel="1">
      <c r="B271" s="71" t="s">
        <v>380</v>
      </c>
      <c r="D271" s="1396">
        <v>70217</v>
      </c>
      <c r="E271" s="1396" t="s">
        <v>101</v>
      </c>
      <c r="F271" s="1397"/>
      <c r="G271" s="1398"/>
      <c r="H271" s="1399"/>
      <c r="I271" s="1400"/>
      <c r="J271" s="1401">
        <v>993.27</v>
      </c>
      <c r="K271" s="1400"/>
      <c r="L271" s="1401">
        <v>940.7</v>
      </c>
      <c r="M271" s="1400"/>
      <c r="N271" s="1401">
        <v>932.28</v>
      </c>
      <c r="O271" s="1400"/>
      <c r="P271" s="1401">
        <v>4252.7700000000004</v>
      </c>
      <c r="Q271" s="1400"/>
      <c r="R271" s="1401">
        <v>998.46</v>
      </c>
      <c r="S271" s="1400"/>
      <c r="T271" s="1401">
        <v>1023.26</v>
      </c>
      <c r="U271" s="1400"/>
      <c r="V271" s="1401">
        <v>1071.78</v>
      </c>
      <c r="W271" s="1400"/>
      <c r="X271" s="1401">
        <v>1141.04</v>
      </c>
      <c r="Y271" s="1400"/>
      <c r="Z271" s="1401">
        <v>1213.81</v>
      </c>
      <c r="AA271" s="1400"/>
      <c r="AB271" s="1401">
        <v>1195.8699999999999</v>
      </c>
      <c r="AC271" s="1400"/>
      <c r="AD271" s="1401">
        <v>1061.93</v>
      </c>
      <c r="AE271" s="1400"/>
      <c r="AF271" s="1401">
        <v>1092.6600000000001</v>
      </c>
      <c r="AG271" s="1400"/>
      <c r="AH271" s="1401">
        <f t="shared" si="26"/>
        <v>15917.830000000004</v>
      </c>
      <c r="AI271" s="1574">
        <f t="shared" si="27"/>
        <v>2.5395225664422784E-4</v>
      </c>
      <c r="AJ271" s="11"/>
    </row>
    <row r="272" spans="2:36" outlineLevel="1">
      <c r="B272" s="71" t="s">
        <v>380</v>
      </c>
      <c r="D272" s="1396">
        <v>70225</v>
      </c>
      <c r="E272" s="1396" t="s">
        <v>255</v>
      </c>
      <c r="F272" s="1397"/>
      <c r="G272" s="1398"/>
      <c r="H272" s="1399"/>
      <c r="I272" s="1400"/>
      <c r="J272" s="1401">
        <v>0</v>
      </c>
      <c r="K272" s="1400"/>
      <c r="L272" s="1401">
        <v>0</v>
      </c>
      <c r="M272" s="1400"/>
      <c r="N272" s="1401">
        <v>0</v>
      </c>
      <c r="O272" s="1400"/>
      <c r="P272" s="1401">
        <v>0</v>
      </c>
      <c r="Q272" s="1400"/>
      <c r="R272" s="1401">
        <v>0</v>
      </c>
      <c r="S272" s="1400"/>
      <c r="T272" s="1401">
        <v>0</v>
      </c>
      <c r="U272" s="1400"/>
      <c r="V272" s="1401">
        <v>0</v>
      </c>
      <c r="W272" s="1400"/>
      <c r="X272" s="1401">
        <v>0</v>
      </c>
      <c r="Y272" s="1400"/>
      <c r="Z272" s="1401">
        <v>0</v>
      </c>
      <c r="AA272" s="1400"/>
      <c r="AB272" s="1401">
        <v>0</v>
      </c>
      <c r="AC272" s="1400"/>
      <c r="AD272" s="1401">
        <v>0</v>
      </c>
      <c r="AE272" s="1400"/>
      <c r="AF272" s="1401">
        <v>120.47</v>
      </c>
      <c r="AG272" s="1400"/>
      <c r="AH272" s="1401">
        <f t="shared" si="26"/>
        <v>120.47</v>
      </c>
      <c r="AI272" s="1574">
        <f t="shared" si="27"/>
        <v>1.9219723013708604E-6</v>
      </c>
      <c r="AJ272" s="11"/>
    </row>
    <row r="273" spans="2:37" outlineLevel="1">
      <c r="B273" s="71" t="s">
        <v>380</v>
      </c>
      <c r="D273" s="1396">
        <v>70232</v>
      </c>
      <c r="E273" s="1396" t="s">
        <v>136</v>
      </c>
      <c r="F273" s="1397"/>
      <c r="G273" s="1398"/>
      <c r="H273" s="1399"/>
      <c r="I273" s="1400"/>
      <c r="J273" s="1401">
        <v>0</v>
      </c>
      <c r="K273" s="1400"/>
      <c r="L273" s="1401">
        <v>0</v>
      </c>
      <c r="M273" s="1400"/>
      <c r="N273" s="1401">
        <v>0</v>
      </c>
      <c r="O273" s="1400"/>
      <c r="P273" s="1401">
        <v>162.4</v>
      </c>
      <c r="Q273" s="1400"/>
      <c r="R273" s="1401">
        <v>0</v>
      </c>
      <c r="S273" s="1400"/>
      <c r="T273" s="1401">
        <v>0</v>
      </c>
      <c r="U273" s="1400"/>
      <c r="V273" s="1401">
        <v>0</v>
      </c>
      <c r="W273" s="1400"/>
      <c r="X273" s="1401">
        <v>0</v>
      </c>
      <c r="Y273" s="1400"/>
      <c r="Z273" s="1401">
        <v>0</v>
      </c>
      <c r="AA273" s="1400"/>
      <c r="AB273" s="1401">
        <v>0</v>
      </c>
      <c r="AC273" s="1400"/>
      <c r="AD273" s="1401">
        <v>0</v>
      </c>
      <c r="AE273" s="1400"/>
      <c r="AF273" s="1401">
        <v>0</v>
      </c>
      <c r="AG273" s="1400"/>
      <c r="AH273" s="1401">
        <f t="shared" si="26"/>
        <v>162.4</v>
      </c>
      <c r="AI273" s="1574">
        <f t="shared" si="27"/>
        <v>2.5909214056829729E-6</v>
      </c>
      <c r="AJ273" s="11"/>
    </row>
    <row r="274" spans="2:37" outlineLevel="1">
      <c r="B274" s="71" t="s">
        <v>380</v>
      </c>
      <c r="D274" s="1396">
        <v>70235</v>
      </c>
      <c r="E274" s="1396" t="s">
        <v>107</v>
      </c>
      <c r="F274" s="1397"/>
      <c r="G274" s="1398"/>
      <c r="H274" s="1399"/>
      <c r="I274" s="1400"/>
      <c r="J274" s="1401">
        <v>4439.75</v>
      </c>
      <c r="K274" s="1400"/>
      <c r="L274" s="1401">
        <v>-3641.75</v>
      </c>
      <c r="M274" s="1400"/>
      <c r="N274" s="1401">
        <v>0</v>
      </c>
      <c r="O274" s="1400"/>
      <c r="P274" s="1401">
        <v>22079.5</v>
      </c>
      <c r="Q274" s="1400"/>
      <c r="R274" s="1401">
        <v>0</v>
      </c>
      <c r="S274" s="1400"/>
      <c r="T274" s="1401">
        <v>1837.5</v>
      </c>
      <c r="U274" s="1400"/>
      <c r="V274" s="1401">
        <v>6418.66</v>
      </c>
      <c r="W274" s="1400"/>
      <c r="X274" s="1401">
        <v>0</v>
      </c>
      <c r="Y274" s="1400"/>
      <c r="Z274" s="1401">
        <v>3989.5</v>
      </c>
      <c r="AA274" s="1400"/>
      <c r="AB274" s="1401">
        <v>1129</v>
      </c>
      <c r="AC274" s="1400"/>
      <c r="AD274" s="1401">
        <v>0</v>
      </c>
      <c r="AE274" s="1400"/>
      <c r="AF274" s="1401">
        <v>0</v>
      </c>
      <c r="AG274" s="1400"/>
      <c r="AH274" s="1401">
        <f t="shared" si="26"/>
        <v>36252.160000000003</v>
      </c>
      <c r="AI274" s="1574">
        <f t="shared" si="27"/>
        <v>5.7836513144238948E-4</v>
      </c>
      <c r="AJ274" s="11"/>
    </row>
    <row r="275" spans="2:37" outlineLevel="1">
      <c r="B275" s="71" t="s">
        <v>380</v>
      </c>
      <c r="D275" s="1396">
        <v>70255</v>
      </c>
      <c r="E275" s="1396" t="s">
        <v>65</v>
      </c>
      <c r="F275" s="1397"/>
      <c r="G275" s="1398"/>
      <c r="H275" s="1399"/>
      <c r="I275" s="1400"/>
      <c r="J275" s="1401">
        <v>1333.33</v>
      </c>
      <c r="K275" s="1400"/>
      <c r="L275" s="1401">
        <v>1892.68</v>
      </c>
      <c r="M275" s="1400"/>
      <c r="N275" s="1401">
        <v>1833.33</v>
      </c>
      <c r="O275" s="1400"/>
      <c r="P275" s="1401">
        <v>1875.09</v>
      </c>
      <c r="Q275" s="1400"/>
      <c r="R275" s="1401">
        <v>1833.33</v>
      </c>
      <c r="S275" s="1400"/>
      <c r="T275" s="1401">
        <v>1371.8</v>
      </c>
      <c r="U275" s="1400"/>
      <c r="V275" s="1401">
        <v>1333.33</v>
      </c>
      <c r="W275" s="1400"/>
      <c r="X275" s="1401">
        <v>1482.79</v>
      </c>
      <c r="Y275" s="1400"/>
      <c r="Z275" s="1401">
        <v>1751.45</v>
      </c>
      <c r="AA275" s="1400"/>
      <c r="AB275" s="1401">
        <v>1333.33</v>
      </c>
      <c r="AC275" s="1400"/>
      <c r="AD275" s="1401">
        <v>1333.33</v>
      </c>
      <c r="AE275" s="1400"/>
      <c r="AF275" s="1401">
        <v>1628.96</v>
      </c>
      <c r="AG275" s="1400"/>
      <c r="AH275" s="1401">
        <f t="shared" si="26"/>
        <v>19002.75</v>
      </c>
      <c r="AI275" s="1574">
        <f t="shared" si="27"/>
        <v>3.0316891466651547E-4</v>
      </c>
      <c r="AJ275" s="11"/>
    </row>
    <row r="276" spans="2:37" outlineLevel="1">
      <c r="B276" s="71" t="s">
        <v>380</v>
      </c>
      <c r="D276" s="1396">
        <v>70300</v>
      </c>
      <c r="E276" s="1396" t="s">
        <v>102</v>
      </c>
      <c r="F276" s="1397"/>
      <c r="G276" s="1398"/>
      <c r="H276" s="1399"/>
      <c r="I276" s="1400"/>
      <c r="J276" s="1401">
        <v>17347.11</v>
      </c>
      <c r="K276" s="1400"/>
      <c r="L276" s="1401">
        <v>17743.86</v>
      </c>
      <c r="M276" s="1400"/>
      <c r="N276" s="1401">
        <v>17743.86</v>
      </c>
      <c r="O276" s="1400"/>
      <c r="P276" s="1401">
        <v>17743.86</v>
      </c>
      <c r="Q276" s="1400"/>
      <c r="R276" s="1401">
        <v>17743.86</v>
      </c>
      <c r="S276" s="1400"/>
      <c r="T276" s="1401">
        <v>17743.86</v>
      </c>
      <c r="U276" s="1400"/>
      <c r="V276" s="1401">
        <v>17743.86</v>
      </c>
      <c r="W276" s="1400"/>
      <c r="X276" s="1401">
        <v>17743.86</v>
      </c>
      <c r="Y276" s="1400"/>
      <c r="Z276" s="1401">
        <v>17743.86</v>
      </c>
      <c r="AA276" s="1400"/>
      <c r="AB276" s="1401">
        <v>17743.86</v>
      </c>
      <c r="AC276" s="1400"/>
      <c r="AD276" s="1401">
        <v>17743.86</v>
      </c>
      <c r="AE276" s="1400"/>
      <c r="AF276" s="1401">
        <v>17743.86</v>
      </c>
      <c r="AG276" s="1400"/>
      <c r="AH276" s="1401">
        <f t="shared" si="26"/>
        <v>212529.56999999995</v>
      </c>
      <c r="AI276" s="1574">
        <f t="shared" si="27"/>
        <v>3.3906860360443203E-3</v>
      </c>
      <c r="AJ276" s="11"/>
    </row>
    <row r="277" spans="2:37" outlineLevel="1">
      <c r="B277" s="71" t="s">
        <v>380</v>
      </c>
      <c r="D277" s="1396">
        <v>70302</v>
      </c>
      <c r="E277" s="1396" t="s">
        <v>263</v>
      </c>
      <c r="F277" s="1397"/>
      <c r="G277" s="1398"/>
      <c r="H277" s="1399"/>
      <c r="I277" s="1400"/>
      <c r="J277" s="1401">
        <v>0</v>
      </c>
      <c r="K277" s="1400"/>
      <c r="L277" s="1401">
        <v>420.08</v>
      </c>
      <c r="M277" s="1400"/>
      <c r="N277" s="1401">
        <v>0</v>
      </c>
      <c r="O277" s="1400"/>
      <c r="P277" s="1401">
        <v>590.08000000000004</v>
      </c>
      <c r="Q277" s="1400"/>
      <c r="R277" s="1401">
        <v>-370.64</v>
      </c>
      <c r="S277" s="1400"/>
      <c r="T277" s="1401">
        <v>0</v>
      </c>
      <c r="U277" s="1400"/>
      <c r="V277" s="1401">
        <v>153.03</v>
      </c>
      <c r="W277" s="1400"/>
      <c r="X277" s="1401">
        <v>0</v>
      </c>
      <c r="Y277" s="1400"/>
      <c r="Z277" s="1401">
        <v>1575.38</v>
      </c>
      <c r="AA277" s="1400"/>
      <c r="AB277" s="1401">
        <v>104.61</v>
      </c>
      <c r="AC277" s="1400"/>
      <c r="AD277" s="1401">
        <v>11.67</v>
      </c>
      <c r="AE277" s="1400"/>
      <c r="AF277" s="1401">
        <v>0</v>
      </c>
      <c r="AG277" s="1400"/>
      <c r="AH277" s="1401">
        <f t="shared" si="26"/>
        <v>2484.21</v>
      </c>
      <c r="AI277" s="1574">
        <f t="shared" si="27"/>
        <v>3.9632960992682867E-5</v>
      </c>
      <c r="AJ277" s="11"/>
    </row>
    <row r="278" spans="2:37" outlineLevel="1">
      <c r="B278" s="71" t="s">
        <v>380</v>
      </c>
      <c r="D278" s="1396">
        <v>70310</v>
      </c>
      <c r="E278" s="1396" t="s">
        <v>117</v>
      </c>
      <c r="F278" s="1397"/>
      <c r="G278" s="1398"/>
      <c r="H278" s="1399"/>
      <c r="I278" s="1400"/>
      <c r="J278" s="1401">
        <v>13900.1</v>
      </c>
      <c r="K278" s="1400"/>
      <c r="L278" s="1401">
        <v>11774.34</v>
      </c>
      <c r="M278" s="1400"/>
      <c r="N278" s="1401">
        <v>18277.97</v>
      </c>
      <c r="O278" s="1400"/>
      <c r="P278" s="1401">
        <v>-9083.26</v>
      </c>
      <c r="Q278" s="1400"/>
      <c r="R278" s="1401">
        <v>-2478.69</v>
      </c>
      <c r="S278" s="1400"/>
      <c r="T278" s="1401">
        <v>5266.66</v>
      </c>
      <c r="U278" s="1400"/>
      <c r="V278" s="1401">
        <v>7191.71</v>
      </c>
      <c r="W278" s="1400"/>
      <c r="X278" s="1401">
        <v>10172.35</v>
      </c>
      <c r="Y278" s="1400"/>
      <c r="Z278" s="1401">
        <v>14379.97</v>
      </c>
      <c r="AA278" s="1400"/>
      <c r="AB278" s="1401">
        <v>10080.14</v>
      </c>
      <c r="AC278" s="1400"/>
      <c r="AD278" s="1401">
        <v>7008.97</v>
      </c>
      <c r="AE278" s="1400"/>
      <c r="AF278" s="1401">
        <v>20401.810000000001</v>
      </c>
      <c r="AG278" s="1400"/>
      <c r="AH278" s="1401">
        <f t="shared" si="26"/>
        <v>106892.07</v>
      </c>
      <c r="AI278" s="1574">
        <f t="shared" si="27"/>
        <v>1.7053506912608543E-3</v>
      </c>
      <c r="AJ278" s="11"/>
    </row>
    <row r="279" spans="2:37" outlineLevel="1">
      <c r="B279" s="71" t="s">
        <v>380</v>
      </c>
      <c r="D279" s="1396">
        <v>70320</v>
      </c>
      <c r="E279" s="1396" t="s">
        <v>105</v>
      </c>
      <c r="F279" s="1397"/>
      <c r="G279" s="1398"/>
      <c r="H279" s="1399"/>
      <c r="I279" s="1400"/>
      <c r="J279" s="1401">
        <v>4863.8500000000004</v>
      </c>
      <c r="K279" s="1400"/>
      <c r="L279" s="1401">
        <v>14242.83</v>
      </c>
      <c r="M279" s="1400"/>
      <c r="N279" s="1401">
        <v>12760.17</v>
      </c>
      <c r="O279" s="1400"/>
      <c r="P279" s="1401">
        <v>10955.45</v>
      </c>
      <c r="Q279" s="1400"/>
      <c r="R279" s="1401">
        <v>16760.990000000002</v>
      </c>
      <c r="S279" s="1400"/>
      <c r="T279" s="1401">
        <v>11672.92</v>
      </c>
      <c r="U279" s="1400"/>
      <c r="V279" s="1401">
        <v>9366.19</v>
      </c>
      <c r="W279" s="1400"/>
      <c r="X279" s="1401">
        <v>10726.58</v>
      </c>
      <c r="Y279" s="1400"/>
      <c r="Z279" s="1401">
        <v>11744.82</v>
      </c>
      <c r="AA279" s="1400"/>
      <c r="AB279" s="1401">
        <v>8139.37</v>
      </c>
      <c r="AC279" s="1400"/>
      <c r="AD279" s="1401">
        <v>7364.07</v>
      </c>
      <c r="AE279" s="1400"/>
      <c r="AF279" s="1401">
        <v>7263.23</v>
      </c>
      <c r="AG279" s="1400"/>
      <c r="AH279" s="1401">
        <f t="shared" si="26"/>
        <v>125860.47000000002</v>
      </c>
      <c r="AI279" s="1574">
        <f t="shared" si="27"/>
        <v>2.0079715877605892E-3</v>
      </c>
      <c r="AJ279" s="11"/>
    </row>
    <row r="280" spans="2:37" outlineLevel="1">
      <c r="B280" s="71" t="s">
        <v>380</v>
      </c>
      <c r="D280" s="1396">
        <v>70324</v>
      </c>
      <c r="E280" s="1396" t="s">
        <v>138</v>
      </c>
      <c r="F280" s="1397"/>
      <c r="G280" s="1398"/>
      <c r="H280" s="1399"/>
      <c r="I280" s="1400"/>
      <c r="J280" s="1401">
        <v>-101</v>
      </c>
      <c r="K280" s="1400"/>
      <c r="L280" s="1401">
        <v>0</v>
      </c>
      <c r="M280" s="1400"/>
      <c r="N280" s="1401">
        <v>0</v>
      </c>
      <c r="O280" s="1400"/>
      <c r="P280" s="1401">
        <v>0</v>
      </c>
      <c r="Q280" s="1400"/>
      <c r="R280" s="1401">
        <v>0</v>
      </c>
      <c r="S280" s="1400"/>
      <c r="T280" s="1401">
        <v>0</v>
      </c>
      <c r="U280" s="1400"/>
      <c r="V280" s="1401">
        <v>0</v>
      </c>
      <c r="W280" s="1400"/>
      <c r="X280" s="1401">
        <v>0</v>
      </c>
      <c r="Y280" s="1400"/>
      <c r="Z280" s="1401">
        <v>300</v>
      </c>
      <c r="AA280" s="1400"/>
      <c r="AB280" s="1401">
        <v>0</v>
      </c>
      <c r="AC280" s="1400"/>
      <c r="AD280" s="1401">
        <v>0</v>
      </c>
      <c r="AE280" s="1400"/>
      <c r="AF280" s="1401">
        <v>0</v>
      </c>
      <c r="AG280" s="1400"/>
      <c r="AH280" s="1401">
        <f t="shared" si="26"/>
        <v>199</v>
      </c>
      <c r="AI280" s="1574">
        <f t="shared" si="27"/>
        <v>3.1748359589341845E-6</v>
      </c>
      <c r="AJ280" s="11"/>
    </row>
    <row r="281" spans="2:37" outlineLevel="1">
      <c r="B281" s="71" t="s">
        <v>380</v>
      </c>
      <c r="D281" s="1396">
        <v>70330</v>
      </c>
      <c r="E281" s="1396" t="s">
        <v>538</v>
      </c>
      <c r="F281" s="1397"/>
      <c r="G281" s="1398"/>
      <c r="H281" s="1399"/>
      <c r="I281" s="1400"/>
      <c r="J281" s="1401">
        <v>0</v>
      </c>
      <c r="K281" s="1400"/>
      <c r="L281" s="1401">
        <v>0</v>
      </c>
      <c r="M281" s="1400"/>
      <c r="N281" s="1401">
        <v>0</v>
      </c>
      <c r="O281" s="1400"/>
      <c r="P281" s="1401">
        <v>879.32</v>
      </c>
      <c r="Q281" s="1400"/>
      <c r="R281" s="1401">
        <v>0</v>
      </c>
      <c r="S281" s="1400"/>
      <c r="T281" s="1401">
        <v>13861.79</v>
      </c>
      <c r="U281" s="1400"/>
      <c r="V281" s="1401">
        <v>0</v>
      </c>
      <c r="W281" s="1400"/>
      <c r="X281" s="1401">
        <v>0</v>
      </c>
      <c r="Y281" s="1400"/>
      <c r="Z281" s="1401">
        <v>0</v>
      </c>
      <c r="AA281" s="1400"/>
      <c r="AB281" s="1401">
        <v>0</v>
      </c>
      <c r="AC281" s="1400"/>
      <c r="AD281" s="1401">
        <v>0</v>
      </c>
      <c r="AE281" s="1400"/>
      <c r="AF281" s="1401">
        <v>0</v>
      </c>
      <c r="AG281" s="1400"/>
      <c r="AH281" s="1401">
        <f t="shared" si="26"/>
        <v>14741.11</v>
      </c>
      <c r="AI281" s="1574">
        <f t="shared" si="27"/>
        <v>2.3517892513871507E-4</v>
      </c>
      <c r="AJ281" s="11"/>
    </row>
    <row r="282" spans="2:37" outlineLevel="1">
      <c r="B282" s="71" t="s">
        <v>380</v>
      </c>
      <c r="D282" s="1396">
        <v>70335</v>
      </c>
      <c r="E282" s="1396" t="s">
        <v>45</v>
      </c>
      <c r="F282" s="1397"/>
      <c r="G282" s="1398"/>
      <c r="H282" s="1399"/>
      <c r="I282" s="1400"/>
      <c r="J282" s="1401">
        <v>-0.25</v>
      </c>
      <c r="K282" s="1400"/>
      <c r="L282" s="1401">
        <v>0</v>
      </c>
      <c r="M282" s="1400"/>
      <c r="N282" s="1401">
        <v>0.51</v>
      </c>
      <c r="O282" s="1400"/>
      <c r="P282" s="1401">
        <v>0</v>
      </c>
      <c r="Q282" s="1400"/>
      <c r="R282" s="1401">
        <v>425.81</v>
      </c>
      <c r="S282" s="1400"/>
      <c r="T282" s="1401">
        <v>0.02</v>
      </c>
      <c r="U282" s="1400"/>
      <c r="V282" s="1401">
        <v>-0.38</v>
      </c>
      <c r="W282" s="1400"/>
      <c r="X282" s="1401">
        <v>0.05</v>
      </c>
      <c r="Y282" s="1400"/>
      <c r="Z282" s="1401">
        <v>0.01</v>
      </c>
      <c r="AA282" s="1400"/>
      <c r="AB282" s="1401">
        <v>-0.1</v>
      </c>
      <c r="AC282" s="1400"/>
      <c r="AD282" s="1401">
        <v>0</v>
      </c>
      <c r="AE282" s="1400"/>
      <c r="AF282" s="1401">
        <v>-9.67</v>
      </c>
      <c r="AG282" s="1400"/>
      <c r="AH282" s="1401">
        <f t="shared" si="26"/>
        <v>416</v>
      </c>
      <c r="AI282" s="1574">
        <f t="shared" si="27"/>
        <v>6.63684300963126E-6</v>
      </c>
      <c r="AJ282" s="11"/>
    </row>
    <row r="283" spans="2:37" outlineLevel="1">
      <c r="B283" s="71" t="s">
        <v>380</v>
      </c>
      <c r="D283" s="1396">
        <v>70336</v>
      </c>
      <c r="E283" s="1396" t="s">
        <v>139</v>
      </c>
      <c r="F283" s="1397"/>
      <c r="G283" s="1398"/>
      <c r="H283" s="1399"/>
      <c r="I283" s="1400"/>
      <c r="J283" s="1401">
        <v>1210.48</v>
      </c>
      <c r="K283" s="1400"/>
      <c r="L283" s="1401">
        <v>1122.33</v>
      </c>
      <c r="M283" s="1400"/>
      <c r="N283" s="1401">
        <v>1176.44</v>
      </c>
      <c r="O283" s="1400"/>
      <c r="P283" s="1401">
        <v>1112.47</v>
      </c>
      <c r="Q283" s="1400"/>
      <c r="R283" s="1401">
        <v>1148.54</v>
      </c>
      <c r="S283" s="1400"/>
      <c r="T283" s="1401">
        <v>993.25</v>
      </c>
      <c r="U283" s="1400"/>
      <c r="V283" s="1401">
        <v>512.48</v>
      </c>
      <c r="W283" s="1400"/>
      <c r="X283" s="1401">
        <v>1160.33</v>
      </c>
      <c r="Y283" s="1400"/>
      <c r="Z283" s="1401">
        <v>925.86</v>
      </c>
      <c r="AA283" s="1400"/>
      <c r="AB283" s="1401">
        <v>457.86</v>
      </c>
      <c r="AC283" s="1400"/>
      <c r="AD283" s="1401">
        <v>1169.01</v>
      </c>
      <c r="AE283" s="1400"/>
      <c r="AF283" s="1401">
        <v>1033.74</v>
      </c>
      <c r="AG283" s="1400"/>
      <c r="AH283" s="1401">
        <f t="shared" si="26"/>
        <v>12022.79</v>
      </c>
      <c r="AI283" s="1574">
        <f t="shared" si="27"/>
        <v>1.9181098501866496E-4</v>
      </c>
      <c r="AJ283" s="11"/>
    </row>
    <row r="284" spans="2:37" outlineLevel="1">
      <c r="B284" s="71" t="s">
        <v>380</v>
      </c>
      <c r="D284" s="1396">
        <v>70345</v>
      </c>
      <c r="E284" s="1396" t="s">
        <v>97</v>
      </c>
      <c r="F284" s="1397"/>
      <c r="G284" s="1398"/>
      <c r="H284" s="1399"/>
      <c r="I284" s="1400"/>
      <c r="J284" s="1401">
        <v>635</v>
      </c>
      <c r="K284" s="1400"/>
      <c r="L284" s="1401">
        <v>625</v>
      </c>
      <c r="M284" s="1400"/>
      <c r="N284" s="1401">
        <v>426.01</v>
      </c>
      <c r="O284" s="1400"/>
      <c r="P284" s="1401">
        <v>675.95</v>
      </c>
      <c r="Q284" s="1400"/>
      <c r="R284" s="1401">
        <v>661.07</v>
      </c>
      <c r="S284" s="1400"/>
      <c r="T284" s="1401">
        <v>647.70000000000005</v>
      </c>
      <c r="U284" s="1400"/>
      <c r="V284" s="1401">
        <v>640.04999999999995</v>
      </c>
      <c r="W284" s="1400"/>
      <c r="X284" s="1401">
        <v>639.79999999999995</v>
      </c>
      <c r="Y284" s="1400"/>
      <c r="Z284" s="1401">
        <v>735.3</v>
      </c>
      <c r="AA284" s="1400"/>
      <c r="AB284" s="1401">
        <v>710.3</v>
      </c>
      <c r="AC284" s="1400"/>
      <c r="AD284" s="1401">
        <v>562.83000000000004</v>
      </c>
      <c r="AE284" s="1400"/>
      <c r="AF284" s="1401">
        <v>1223.1300000000001</v>
      </c>
      <c r="AG284" s="1400"/>
      <c r="AH284" s="1401">
        <f t="shared" si="26"/>
        <v>8182.14</v>
      </c>
      <c r="AI284" s="1574">
        <f t="shared" si="27"/>
        <v>1.3053744870871232E-4</v>
      </c>
      <c r="AJ284" s="11"/>
    </row>
    <row r="285" spans="2:37" outlineLevel="1">
      <c r="B285" s="71" t="s">
        <v>380</v>
      </c>
      <c r="D285" s="1396">
        <v>70902</v>
      </c>
      <c r="E285" s="1396" t="s">
        <v>648</v>
      </c>
      <c r="F285" s="1397"/>
      <c r="G285" s="1398"/>
      <c r="H285" s="1399"/>
      <c r="I285" s="1400"/>
      <c r="J285" s="1401">
        <v>0</v>
      </c>
      <c r="K285" s="1400"/>
      <c r="L285" s="1401">
        <v>0</v>
      </c>
      <c r="M285" s="1400"/>
      <c r="N285" s="1401">
        <v>0</v>
      </c>
      <c r="O285" s="1400"/>
      <c r="P285" s="1401">
        <v>0</v>
      </c>
      <c r="Q285" s="1400"/>
      <c r="R285" s="1401">
        <v>0</v>
      </c>
      <c r="S285" s="1400"/>
      <c r="T285" s="1401">
        <v>0</v>
      </c>
      <c r="U285" s="1400"/>
      <c r="V285" s="1401">
        <v>0</v>
      </c>
      <c r="W285" s="1400"/>
      <c r="X285" s="1401">
        <v>0</v>
      </c>
      <c r="Y285" s="1400"/>
      <c r="Z285" s="1401">
        <v>0</v>
      </c>
      <c r="AA285" s="1400"/>
      <c r="AB285" s="1401">
        <v>0</v>
      </c>
      <c r="AC285" s="1400"/>
      <c r="AD285" s="1401">
        <v>0</v>
      </c>
      <c r="AE285" s="1400"/>
      <c r="AF285" s="1401">
        <v>0</v>
      </c>
      <c r="AG285" s="1400"/>
      <c r="AH285" s="1401">
        <f t="shared" si="26"/>
        <v>0</v>
      </c>
      <c r="AI285" s="1574">
        <f t="shared" si="27"/>
        <v>0</v>
      </c>
      <c r="AJ285" s="11"/>
    </row>
    <row r="286" spans="2:37" s="7" customFormat="1" ht="5.0999999999999996" customHeight="1" outlineLevel="1">
      <c r="B286" s="1" t="s">
        <v>187</v>
      </c>
      <c r="D286" s="1397"/>
      <c r="E286" s="1397"/>
      <c r="F286" s="1397"/>
      <c r="G286" s="1397"/>
      <c r="H286" s="1399"/>
      <c r="I286" s="1399"/>
      <c r="J286" s="1407"/>
      <c r="K286" s="1405"/>
      <c r="L286" s="1407"/>
      <c r="M286" s="1405"/>
      <c r="N286" s="1407"/>
      <c r="O286" s="1405"/>
      <c r="P286" s="1407"/>
      <c r="Q286" s="1405"/>
      <c r="R286" s="1407"/>
      <c r="S286" s="1405"/>
      <c r="T286" s="1407"/>
      <c r="U286" s="1405"/>
      <c r="V286" s="1407"/>
      <c r="W286" s="1405"/>
      <c r="X286" s="1407"/>
      <c r="Y286" s="1405"/>
      <c r="Z286" s="1407"/>
      <c r="AA286" s="1405"/>
      <c r="AB286" s="1407"/>
      <c r="AC286" s="1405"/>
      <c r="AD286" s="1407"/>
      <c r="AE286" s="1405"/>
      <c r="AF286" s="1407"/>
      <c r="AG286" s="1405"/>
      <c r="AH286" s="1407"/>
      <c r="AI286" s="1573"/>
      <c r="AJ286" s="14"/>
      <c r="AK286" s="1"/>
    </row>
    <row r="287" spans="2:37" s="7" customFormat="1" ht="15">
      <c r="B287" s="1" t="s">
        <v>187</v>
      </c>
      <c r="D287" s="1399"/>
      <c r="E287" s="1399"/>
      <c r="F287" s="1397" t="s">
        <v>264</v>
      </c>
      <c r="G287" s="1399"/>
      <c r="H287" s="1399"/>
      <c r="I287" s="1399"/>
      <c r="J287" s="1404">
        <f>SUM(J234:J286)</f>
        <v>297765.06</v>
      </c>
      <c r="K287" s="1405"/>
      <c r="L287" s="1404">
        <f>SUM(L234:L286)</f>
        <v>346832.42000000004</v>
      </c>
      <c r="M287" s="1405"/>
      <c r="N287" s="1404">
        <f>SUM(N234:N286)</f>
        <v>342824.10000000009</v>
      </c>
      <c r="O287" s="1405"/>
      <c r="P287" s="1404">
        <f>SUM(P234:P286)</f>
        <v>352215.36000000004</v>
      </c>
      <c r="Q287" s="1405"/>
      <c r="R287" s="1404">
        <f>SUM(R234:R286)</f>
        <v>347681.63999999996</v>
      </c>
      <c r="S287" s="1405"/>
      <c r="T287" s="1404">
        <f>SUM(T234:T286)</f>
        <v>375034.52999999991</v>
      </c>
      <c r="U287" s="1405"/>
      <c r="V287" s="1404">
        <f>SUM(V234:V286)</f>
        <v>355120.91999999993</v>
      </c>
      <c r="W287" s="1405"/>
      <c r="X287" s="1404">
        <f>SUM(X234:X286)</f>
        <v>353140.77999999997</v>
      </c>
      <c r="Y287" s="1405"/>
      <c r="Z287" s="1404">
        <f>SUM(Z234:Z286)</f>
        <v>378508.7</v>
      </c>
      <c r="AA287" s="1405"/>
      <c r="AB287" s="1404">
        <f>SUM(AB234:AB286)</f>
        <v>351582.93000000005</v>
      </c>
      <c r="AC287" s="1405"/>
      <c r="AD287" s="1404">
        <f>SUM(AD234:AD286)</f>
        <v>339761.17999999993</v>
      </c>
      <c r="AE287" s="1405"/>
      <c r="AF287" s="1404">
        <f>SUM(AF234:AF286)</f>
        <v>333935.31999999995</v>
      </c>
      <c r="AG287" s="1405"/>
      <c r="AH287" s="1404">
        <f>SUM(AH234:AH286)</f>
        <v>4174402.9399999995</v>
      </c>
      <c r="AI287" s="1574">
        <f>IF(AH$61=0,0,AH287/AH$61)</f>
        <v>6.6598213874334566E-2</v>
      </c>
      <c r="AJ287" s="14"/>
      <c r="AK287" s="1"/>
    </row>
    <row r="288" spans="2:37" s="7" customFormat="1" ht="15" outlineLevel="1">
      <c r="B288" s="1" t="s">
        <v>187</v>
      </c>
      <c r="D288" s="1399"/>
      <c r="E288" s="1399"/>
      <c r="F288" s="1399"/>
      <c r="G288" s="1399"/>
      <c r="H288" s="1399"/>
      <c r="I288" s="1399"/>
      <c r="J288" s="1406"/>
      <c r="K288" s="1405"/>
      <c r="L288" s="1406"/>
      <c r="M288" s="1405"/>
      <c r="N288" s="1406"/>
      <c r="O288" s="1405"/>
      <c r="P288" s="1406"/>
      <c r="Q288" s="1405"/>
      <c r="R288" s="1406"/>
      <c r="S288" s="1405"/>
      <c r="T288" s="1406"/>
      <c r="U288" s="1405"/>
      <c r="V288" s="1406"/>
      <c r="W288" s="1405"/>
      <c r="X288" s="1406"/>
      <c r="Y288" s="1405"/>
      <c r="Z288" s="1406"/>
      <c r="AA288" s="1405"/>
      <c r="AB288" s="1406"/>
      <c r="AC288" s="1405"/>
      <c r="AD288" s="1406"/>
      <c r="AE288" s="1405"/>
      <c r="AF288" s="1406"/>
      <c r="AG288" s="1405"/>
      <c r="AH288" s="1406"/>
      <c r="AI288" s="1573"/>
      <c r="AJ288" s="14"/>
      <c r="AK288" s="1"/>
    </row>
    <row r="289" spans="1:37" outlineLevel="1">
      <c r="B289" s="71" t="s">
        <v>401</v>
      </c>
      <c r="D289" s="1396">
        <v>70149</v>
      </c>
      <c r="E289" s="1396" t="s">
        <v>265</v>
      </c>
      <c r="F289" s="1397"/>
      <c r="G289" s="1398"/>
      <c r="H289" s="1399"/>
      <c r="I289" s="1400"/>
      <c r="J289" s="1401">
        <v>119236</v>
      </c>
      <c r="K289" s="1400"/>
      <c r="L289" s="1401">
        <v>119301.1</v>
      </c>
      <c r="M289" s="1400"/>
      <c r="N289" s="1401">
        <v>116310.55</v>
      </c>
      <c r="O289" s="1400"/>
      <c r="P289" s="1401">
        <v>122460.96</v>
      </c>
      <c r="Q289" s="1400"/>
      <c r="R289" s="1401">
        <v>123704.59</v>
      </c>
      <c r="S289" s="1400"/>
      <c r="T289" s="1401">
        <v>127496.23</v>
      </c>
      <c r="U289" s="1400"/>
      <c r="V289" s="1401">
        <v>123849.29</v>
      </c>
      <c r="W289" s="1400"/>
      <c r="X289" s="1401">
        <v>126856.29</v>
      </c>
      <c r="Y289" s="1400"/>
      <c r="Z289" s="1401">
        <v>127311.98</v>
      </c>
      <c r="AA289" s="1400"/>
      <c r="AB289" s="1401">
        <v>123995.95</v>
      </c>
      <c r="AC289" s="1400"/>
      <c r="AD289" s="1401">
        <v>127907.02</v>
      </c>
      <c r="AE289" s="1400"/>
      <c r="AF289" s="1401">
        <v>125133.56</v>
      </c>
      <c r="AG289" s="1400"/>
      <c r="AH289" s="1401">
        <f>AF289+AD289+AB289+Z289+X289+V289+T289+R289+P289+N289+L289+J289</f>
        <v>1483563.5200000003</v>
      </c>
      <c r="AI289" s="1574">
        <f>IF(AH$61=0,0,AH289/AH$61)</f>
        <v>2.3668697540999876E-2</v>
      </c>
      <c r="AJ289" s="11"/>
    </row>
    <row r="290" spans="1:37" s="7" customFormat="1" ht="5.0999999999999996" customHeight="1" outlineLevel="1">
      <c r="B290" s="1" t="s">
        <v>187</v>
      </c>
      <c r="D290" s="1397"/>
      <c r="E290" s="1397"/>
      <c r="F290" s="1397"/>
      <c r="G290" s="1397"/>
      <c r="H290" s="1399"/>
      <c r="I290" s="1399"/>
      <c r="J290" s="1407"/>
      <c r="K290" s="1405"/>
      <c r="L290" s="1407"/>
      <c r="M290" s="1405"/>
      <c r="N290" s="1407"/>
      <c r="O290" s="1405"/>
      <c r="P290" s="1407"/>
      <c r="Q290" s="1405"/>
      <c r="R290" s="1407"/>
      <c r="S290" s="1405"/>
      <c r="T290" s="1407"/>
      <c r="U290" s="1405"/>
      <c r="V290" s="1407"/>
      <c r="W290" s="1405"/>
      <c r="X290" s="1407"/>
      <c r="Y290" s="1405"/>
      <c r="Z290" s="1407"/>
      <c r="AA290" s="1405"/>
      <c r="AB290" s="1407"/>
      <c r="AC290" s="1405"/>
      <c r="AD290" s="1407"/>
      <c r="AE290" s="1405"/>
      <c r="AF290" s="1407"/>
      <c r="AG290" s="1405"/>
      <c r="AH290" s="1407"/>
      <c r="AI290" s="1573"/>
      <c r="AJ290" s="14"/>
      <c r="AK290" s="1"/>
    </row>
    <row r="291" spans="1:37" s="7" customFormat="1" ht="15">
      <c r="B291" s="1" t="s">
        <v>187</v>
      </c>
      <c r="D291" s="1399"/>
      <c r="E291" s="1399"/>
      <c r="F291" s="1396" t="s">
        <v>266</v>
      </c>
      <c r="G291" s="1399"/>
      <c r="H291" s="1399"/>
      <c r="I291" s="1399"/>
      <c r="J291" s="1404">
        <f>SUM(J288:J290)</f>
        <v>119236</v>
      </c>
      <c r="K291" s="1405"/>
      <c r="L291" s="1404">
        <f>SUM(L288:L290)</f>
        <v>119301.1</v>
      </c>
      <c r="M291" s="1405"/>
      <c r="N291" s="1404">
        <f>SUM(N288:N290)</f>
        <v>116310.55</v>
      </c>
      <c r="O291" s="1405"/>
      <c r="P291" s="1404">
        <f>SUM(P288:P290)</f>
        <v>122460.96</v>
      </c>
      <c r="Q291" s="1405"/>
      <c r="R291" s="1404">
        <f>SUM(R288:R290)</f>
        <v>123704.59</v>
      </c>
      <c r="S291" s="1405"/>
      <c r="T291" s="1404">
        <f>SUM(T288:T290)</f>
        <v>127496.23</v>
      </c>
      <c r="U291" s="1405"/>
      <c r="V291" s="1404">
        <f>SUM(V288:V290)</f>
        <v>123849.29</v>
      </c>
      <c r="W291" s="1405"/>
      <c r="X291" s="1404">
        <f>SUM(X288:X290)</f>
        <v>126856.29</v>
      </c>
      <c r="Y291" s="1405"/>
      <c r="Z291" s="1404">
        <f>SUM(Z288:Z290)</f>
        <v>127311.98</v>
      </c>
      <c r="AA291" s="1405"/>
      <c r="AB291" s="1404">
        <f>SUM(AB288:AB290)</f>
        <v>123995.95</v>
      </c>
      <c r="AC291" s="1405"/>
      <c r="AD291" s="1404">
        <f>SUM(AD288:AD290)</f>
        <v>127907.02</v>
      </c>
      <c r="AE291" s="1405"/>
      <c r="AF291" s="1404">
        <f>SUM(AF288:AF290)</f>
        <v>125133.56</v>
      </c>
      <c r="AG291" s="1405"/>
      <c r="AH291" s="1404">
        <f>SUM(AH288:AH290)</f>
        <v>1483563.5200000003</v>
      </c>
      <c r="AI291" s="1574">
        <f>IF(AH$61=0,0,AH291/AH$61)</f>
        <v>2.3668697540999876E-2</v>
      </c>
      <c r="AJ291" s="14"/>
      <c r="AK291" s="1"/>
    </row>
    <row r="292" spans="1:37" s="7" customFormat="1" ht="7.5" customHeight="1">
      <c r="B292" s="1"/>
      <c r="D292" s="1399"/>
      <c r="E292" s="1399"/>
      <c r="F292" s="1399"/>
      <c r="G292" s="1399"/>
      <c r="H292" s="1399"/>
      <c r="I292" s="1399"/>
      <c r="J292" s="1406"/>
      <c r="K292" s="1405"/>
      <c r="L292" s="1406"/>
      <c r="M292" s="1405"/>
      <c r="N292" s="1406"/>
      <c r="O292" s="1405"/>
      <c r="P292" s="1406"/>
      <c r="Q292" s="1405"/>
      <c r="R292" s="1406"/>
      <c r="S292" s="1405"/>
      <c r="T292" s="1406"/>
      <c r="U292" s="1405"/>
      <c r="V292" s="1406"/>
      <c r="W292" s="1405"/>
      <c r="X292" s="1406"/>
      <c r="Y292" s="1405"/>
      <c r="Z292" s="1406"/>
      <c r="AA292" s="1405"/>
      <c r="AB292" s="1406"/>
      <c r="AC292" s="1405"/>
      <c r="AD292" s="1406"/>
      <c r="AE292" s="1405"/>
      <c r="AF292" s="1406"/>
      <c r="AG292" s="1405"/>
      <c r="AH292" s="1406"/>
      <c r="AI292" s="1573"/>
      <c r="AJ292" s="14"/>
      <c r="AK292" s="1"/>
    </row>
    <row r="293" spans="1:37" s="7" customFormat="1" ht="15">
      <c r="B293" s="1"/>
      <c r="D293" s="1399"/>
      <c r="E293" s="1409" t="s">
        <v>267</v>
      </c>
      <c r="F293" s="1399"/>
      <c r="G293" s="1399"/>
      <c r="H293" s="1399"/>
      <c r="I293" s="1399"/>
      <c r="J293" s="1410">
        <f>+J232+J287+J291</f>
        <v>426968.65</v>
      </c>
      <c r="K293" s="1405"/>
      <c r="L293" s="1410">
        <f>+L232+L287+L291</f>
        <v>476580.24</v>
      </c>
      <c r="M293" s="1405"/>
      <c r="N293" s="1410">
        <f>+N232+N287+N291</f>
        <v>469178.37000000005</v>
      </c>
      <c r="O293" s="1405"/>
      <c r="P293" s="1410">
        <f>+P232+P287+P291</f>
        <v>484394.10000000003</v>
      </c>
      <c r="Q293" s="1405"/>
      <c r="R293" s="1410">
        <f>+R232+R287+R291</f>
        <v>481977.41999999993</v>
      </c>
      <c r="S293" s="1405"/>
      <c r="T293" s="1410">
        <f>+T232+T287+T291</f>
        <v>512723.40999999992</v>
      </c>
      <c r="U293" s="1405"/>
      <c r="V293" s="1410">
        <f>+V232+V287+V291</f>
        <v>488452.17999999988</v>
      </c>
      <c r="W293" s="1405"/>
      <c r="X293" s="1410">
        <f>+X232+X287+X291</f>
        <v>491510.44999999995</v>
      </c>
      <c r="Y293" s="1405"/>
      <c r="Z293" s="1410">
        <f>+Z232+Z287+Z291</f>
        <v>516160.83999999997</v>
      </c>
      <c r="AA293" s="1405"/>
      <c r="AB293" s="1410">
        <f>+AB232+AB287+AB291</f>
        <v>485358.73000000004</v>
      </c>
      <c r="AC293" s="1405"/>
      <c r="AD293" s="1410">
        <f>+AD232+AD287+AD291</f>
        <v>477994.14999999997</v>
      </c>
      <c r="AE293" s="1405"/>
      <c r="AF293" s="1410">
        <f>+AF232+AF287+AF291</f>
        <v>468347.30999999994</v>
      </c>
      <c r="AG293" s="1405"/>
      <c r="AH293" s="1410">
        <f>+AH232+AH287+AH291</f>
        <v>5779645.8499999996</v>
      </c>
      <c r="AI293" s="1574">
        <f>IF(AH$61=0,0,AH293/AH$61)</f>
        <v>9.2208178263742349E-2</v>
      </c>
      <c r="AJ293" s="14"/>
      <c r="AK293" s="1"/>
    </row>
    <row r="294" spans="1:37" s="7" customFormat="1" ht="7.5" customHeight="1">
      <c r="B294" s="1"/>
      <c r="D294" s="1399"/>
      <c r="E294" s="1399"/>
      <c r="F294" s="1399"/>
      <c r="G294" s="1399"/>
      <c r="H294" s="1399"/>
      <c r="I294" s="1399"/>
      <c r="J294" s="1406"/>
      <c r="K294" s="1405"/>
      <c r="L294" s="1406"/>
      <c r="M294" s="1405"/>
      <c r="N294" s="1406"/>
      <c r="O294" s="1405"/>
      <c r="P294" s="1406"/>
      <c r="Q294" s="1405"/>
      <c r="R294" s="1406"/>
      <c r="S294" s="1405"/>
      <c r="T294" s="1406"/>
      <c r="U294" s="1405"/>
      <c r="V294" s="1406"/>
      <c r="W294" s="1405"/>
      <c r="X294" s="1406"/>
      <c r="Y294" s="1405"/>
      <c r="Z294" s="1406"/>
      <c r="AA294" s="1405"/>
      <c r="AB294" s="1406"/>
      <c r="AC294" s="1405"/>
      <c r="AD294" s="1406"/>
      <c r="AE294" s="1405"/>
      <c r="AF294" s="1406"/>
      <c r="AG294" s="1405"/>
      <c r="AH294" s="1406"/>
      <c r="AI294" s="1573"/>
      <c r="AJ294" s="14"/>
      <c r="AK294" s="1"/>
    </row>
    <row r="295" spans="1:37" s="7" customFormat="1" ht="7.5" customHeight="1">
      <c r="B295" s="1" t="s">
        <v>187</v>
      </c>
      <c r="D295" s="1417"/>
      <c r="E295" s="1417"/>
      <c r="F295" s="1417"/>
      <c r="G295" s="1417"/>
      <c r="H295" s="1417"/>
      <c r="I295" s="1417"/>
      <c r="J295" s="1415"/>
      <c r="K295" s="1405"/>
      <c r="L295" s="1415"/>
      <c r="M295" s="1405"/>
      <c r="N295" s="1415"/>
      <c r="O295" s="1405"/>
      <c r="P295" s="1415"/>
      <c r="Q295" s="1405"/>
      <c r="R295" s="1415"/>
      <c r="S295" s="1405"/>
      <c r="T295" s="1415"/>
      <c r="U295" s="1405"/>
      <c r="V295" s="1415"/>
      <c r="W295" s="1405"/>
      <c r="X295" s="1415"/>
      <c r="Y295" s="1405"/>
      <c r="Z295" s="1415"/>
      <c r="AA295" s="1405"/>
      <c r="AB295" s="1415"/>
      <c r="AC295" s="1405"/>
      <c r="AD295" s="1415"/>
      <c r="AE295" s="1405"/>
      <c r="AF295" s="1415"/>
      <c r="AG295" s="1405"/>
      <c r="AH295" s="1415"/>
      <c r="AI295" s="1573"/>
      <c r="AJ295" s="14"/>
      <c r="AK295" s="1"/>
    </row>
    <row r="296" spans="1:37" s="7" customFormat="1" ht="15">
      <c r="B296" s="1" t="s">
        <v>187</v>
      </c>
      <c r="D296" s="1399"/>
      <c r="E296" s="1412" t="s">
        <v>268</v>
      </c>
      <c r="F296" s="1399"/>
      <c r="G296" s="1399"/>
      <c r="H296" s="1399"/>
      <c r="I296" s="1399"/>
      <c r="J296" s="1410">
        <f>+J219-J293</f>
        <v>1137094.2399999998</v>
      </c>
      <c r="K296" s="1405"/>
      <c r="L296" s="1410">
        <f>+L219-L293</f>
        <v>788500.40000000014</v>
      </c>
      <c r="M296" s="1418"/>
      <c r="N296" s="1410">
        <f>+N219-N293</f>
        <v>1365016.5700000005</v>
      </c>
      <c r="O296" s="1418"/>
      <c r="P296" s="1410">
        <f>+P219-P293</f>
        <v>1084090.8599999999</v>
      </c>
      <c r="Q296" s="1405"/>
      <c r="R296" s="1410">
        <f>+R219-R293</f>
        <v>854998.22</v>
      </c>
      <c r="S296" s="1418"/>
      <c r="T296" s="1410">
        <f>+T219-T293</f>
        <v>657976.74000000046</v>
      </c>
      <c r="U296" s="1418"/>
      <c r="V296" s="1410">
        <f>+V219-V293</f>
        <v>1065096.5500000007</v>
      </c>
      <c r="W296" s="1405"/>
      <c r="X296" s="1410">
        <f>+X219-X293</f>
        <v>671352.18000000063</v>
      </c>
      <c r="Y296" s="1418"/>
      <c r="Z296" s="1410">
        <f>+Z219-Z293</f>
        <v>834719.09999999928</v>
      </c>
      <c r="AA296" s="1418"/>
      <c r="AB296" s="1410">
        <f>+AB219-AB293</f>
        <v>1034078.0800000012</v>
      </c>
      <c r="AC296" s="1405"/>
      <c r="AD296" s="1410">
        <f>+AD219-AD293</f>
        <v>808840.97999999975</v>
      </c>
      <c r="AE296" s="1418"/>
      <c r="AF296" s="1410">
        <f>+AF219-AF293</f>
        <v>899460.39</v>
      </c>
      <c r="AG296" s="1418"/>
      <c r="AH296" s="1410">
        <f>+AH219-AH293</f>
        <v>11201224.310000015</v>
      </c>
      <c r="AI296" s="1574">
        <f>IF(AH$61=0,0,AH296/AH$61)</f>
        <v>0.17870376745465225</v>
      </c>
      <c r="AJ296" s="54"/>
      <c r="AK296" s="1"/>
    </row>
    <row r="297" spans="1:37" s="7" customFormat="1" ht="6.75" customHeight="1">
      <c r="A297" s="75"/>
      <c r="B297" s="1" t="s">
        <v>187</v>
      </c>
      <c r="C297" s="1"/>
      <c r="D297" s="1419"/>
      <c r="E297" s="1419"/>
      <c r="F297" s="1419"/>
      <c r="G297" s="1419"/>
      <c r="H297" s="1419"/>
      <c r="I297" s="1419"/>
      <c r="J297" s="1420"/>
      <c r="K297" s="1419"/>
      <c r="L297" s="1420"/>
      <c r="M297" s="1419"/>
      <c r="N297" s="1420"/>
      <c r="O297" s="1419"/>
      <c r="P297" s="1420"/>
      <c r="Q297" s="1419"/>
      <c r="R297" s="1420"/>
      <c r="S297" s="1419"/>
      <c r="T297" s="1420"/>
      <c r="U297" s="1419"/>
      <c r="V297" s="1420"/>
      <c r="W297" s="1419"/>
      <c r="X297" s="1420"/>
      <c r="Y297" s="1419"/>
      <c r="Z297" s="1420"/>
      <c r="AA297" s="1419"/>
      <c r="AB297" s="1420"/>
      <c r="AC297" s="1419"/>
      <c r="AD297" s="1420"/>
      <c r="AE297" s="1419"/>
      <c r="AF297" s="1420"/>
      <c r="AG297" s="1419"/>
      <c r="AH297" s="1420"/>
      <c r="AI297" s="1423"/>
      <c r="AJ297" s="14"/>
      <c r="AK297" s="1"/>
    </row>
    <row r="298" spans="1:37" s="7" customFormat="1" ht="15">
      <c r="A298" s="75"/>
      <c r="B298" s="1" t="s">
        <v>187</v>
      </c>
      <c r="C298" s="1"/>
      <c r="D298" s="1399"/>
      <c r="E298" s="1409" t="s">
        <v>269</v>
      </c>
      <c r="F298" s="1399"/>
      <c r="G298" s="1399"/>
      <c r="H298" s="1399"/>
      <c r="I298" s="1399"/>
      <c r="J298" s="1421">
        <f>J296 +J211+SUMIF($D:$D,52141,J:J)+SUMIF($D:$D,52142,J:J)+SUMIF($D:$D,52143,J:J)+SUMIF($D:$D,55142,J:J)+SUMIF($D:$D,56142,J:J)+SUMIF($D:$D,70142,J:J)</f>
        <v>1277594.6899999997</v>
      </c>
      <c r="K298" s="1399"/>
      <c r="L298" s="1421">
        <f>L296 +L211+SUMIF($D:$D,52141,L:L)+SUMIF($D:$D,52142,L:L)+SUMIF($D:$D,52143,L:L)+SUMIF($D:$D,55142,L:L)+SUMIF($D:$D,56142,L:L)+SUMIF($D:$D,70142,L:L)</f>
        <v>939519.85</v>
      </c>
      <c r="M298" s="1399"/>
      <c r="N298" s="1421">
        <f>N296 +N211+SUMIF($D:$D,52141,N:N)+SUMIF($D:$D,52142,N:N)+SUMIF($D:$D,52143,N:N)+SUMIF($D:$D,55142,N:N)+SUMIF($D:$D,56142,N:N)+SUMIF($D:$D,70142,N:N)</f>
        <v>1443494.3700000006</v>
      </c>
      <c r="O298" s="1399"/>
      <c r="P298" s="1421">
        <f>P296 +P211+SUMIF($D:$D,52141,P:P)+SUMIF($D:$D,52142,P:P)+SUMIF($D:$D,52143,P:P)+SUMIF($D:$D,55142,P:P)+SUMIF($D:$D,56142,P:P)+SUMIF($D:$D,70142,P:P)</f>
        <v>1240347.5199999998</v>
      </c>
      <c r="Q298" s="1399"/>
      <c r="R298" s="1421">
        <f>R296 +R211+SUMIF($D:$D,52141,R:R)+SUMIF($D:$D,52142,R:R)+SUMIF($D:$D,52143,R:R)+SUMIF($D:$D,55142,R:R)+SUMIF($D:$D,56142,R:R)+SUMIF($D:$D,70142,R:R)</f>
        <v>1022030.15</v>
      </c>
      <c r="S298" s="1399"/>
      <c r="T298" s="1421">
        <f>T296 +T211+SUMIF($D:$D,52141,T:T)+SUMIF($D:$D,52142,T:T)+SUMIF($D:$D,52143,T:T)+SUMIF($D:$D,55142,T:T)+SUMIF($D:$D,56142,T:T)+SUMIF($D:$D,70142,T:T)</f>
        <v>855059.52000000048</v>
      </c>
      <c r="U298" s="1399"/>
      <c r="V298" s="1421">
        <f>V296 +V211+SUMIF($D:$D,52141,V:V)+SUMIF($D:$D,52142,V:V)+SUMIF($D:$D,52143,V:V)+SUMIF($D:$D,55142,V:V)+SUMIF($D:$D,56142,V:V)+SUMIF($D:$D,70142,V:V)</f>
        <v>1216219.8900000008</v>
      </c>
      <c r="W298" s="1399"/>
      <c r="X298" s="1421">
        <f>X296 +X211+SUMIF($D:$D,52141,X:X)+SUMIF($D:$D,52142,X:X)+SUMIF($D:$D,52143,X:X)+SUMIF($D:$D,55142,X:X)+SUMIF($D:$D,56142,X:X)+SUMIF($D:$D,70142,X:X)</f>
        <v>833424.30000000051</v>
      </c>
      <c r="Y298" s="1399"/>
      <c r="Z298" s="1421">
        <f>Z296 +Z211+SUMIF($D:$D,52141,Z:Z)+SUMIF($D:$D,52142,Z:Z)+SUMIF($D:$D,52143,Z:Z)+SUMIF($D:$D,55142,Z:Z)+SUMIF($D:$D,56142,Z:Z)+SUMIF($D:$D,70142,Z:Z)</f>
        <v>998640.62999999931</v>
      </c>
      <c r="AA298" s="1399"/>
      <c r="AB298" s="1421">
        <f>AB296 +AB211+SUMIF($D:$D,52141,AB:AB)+SUMIF($D:$D,52142,AB:AB)+SUMIF($D:$D,52143,AB:AB)+SUMIF($D:$D,55142,AB:AB)+SUMIF($D:$D,56142,AB:AB)+SUMIF($D:$D,70142,AB:AB)</f>
        <v>1195719.9900000014</v>
      </c>
      <c r="AC298" s="1399"/>
      <c r="AD298" s="1421">
        <f>AD296 +AD211+SUMIF($D:$D,52141,AD:AD)+SUMIF($D:$D,52142,AD:AD)+SUMIF($D:$D,52143,AD:AD)+SUMIF($D:$D,55142,AD:AD)+SUMIF($D:$D,56142,AD:AD)+SUMIF($D:$D,70142,AD:AD)</f>
        <v>1001398.8499999997</v>
      </c>
      <c r="AE298" s="1399"/>
      <c r="AF298" s="1421">
        <f>AF296 +AF211+SUMIF($D:$D,52141,AF:AF)+SUMIF($D:$D,52142,AF:AF)+SUMIF($D:$D,52143,AF:AF)+SUMIF($D:$D,55142,AF:AF)+SUMIF($D:$D,56142,AF:AF)+SUMIF($D:$D,70142,AF:AF)</f>
        <v>1135263.21</v>
      </c>
      <c r="AG298" s="1399"/>
      <c r="AH298" s="1421">
        <f>AH296 +AH211+SUMIF($D:$D,52141,AH:AH)+SUMIF($D:$D,52142,AH:AH)+SUMIF($D:$D,52143,AH:AH)+SUMIF($D:$D,55142,AH:AH)+SUMIF($D:$D,56142,AH:AH)+SUMIF($D:$D,70142,AH:AH)</f>
        <v>13158712.970000016</v>
      </c>
      <c r="AI298" s="1574">
        <f>IF(AH$61=0,0,AH298/AH$61)</f>
        <v>0.20993344276607884</v>
      </c>
      <c r="AJ298" s="54"/>
      <c r="AK298" s="1"/>
    </row>
    <row r="299" spans="1:37" s="7" customFormat="1" ht="6.75" customHeight="1">
      <c r="A299" s="12"/>
      <c r="B299" s="1" t="s">
        <v>187</v>
      </c>
      <c r="C299" s="1"/>
      <c r="D299" s="1399"/>
      <c r="E299" s="1399"/>
      <c r="F299" s="1399"/>
      <c r="G299" s="1399"/>
      <c r="H299" s="1399"/>
      <c r="I299" s="1399"/>
      <c r="J299" s="1406"/>
      <c r="K299" s="1406"/>
      <c r="L299" s="1406"/>
      <c r="M299" s="1406"/>
      <c r="N299" s="1406"/>
      <c r="O299" s="1406"/>
      <c r="P299" s="1406"/>
      <c r="Q299" s="1406"/>
      <c r="R299" s="1406"/>
      <c r="S299" s="1406"/>
      <c r="T299" s="1406"/>
      <c r="U299" s="1406"/>
      <c r="V299" s="1406"/>
      <c r="W299" s="1406"/>
      <c r="X299" s="1406"/>
      <c r="Y299" s="1406"/>
      <c r="Z299" s="1406"/>
      <c r="AA299" s="1406"/>
      <c r="AB299" s="1406"/>
      <c r="AC299" s="1406"/>
      <c r="AD299" s="1406"/>
      <c r="AE299" s="1406"/>
      <c r="AF299" s="1406"/>
      <c r="AG299" s="1406"/>
      <c r="AH299" s="1406"/>
      <c r="AI299" s="1423"/>
      <c r="AJ299" s="14"/>
      <c r="AK299" s="1"/>
    </row>
    <row r="300" spans="1:37" outlineLevel="1">
      <c r="B300" s="71" t="s">
        <v>402</v>
      </c>
      <c r="D300" s="1396">
        <v>51260</v>
      </c>
      <c r="E300" s="1396" t="s">
        <v>270</v>
      </c>
      <c r="F300" s="1397"/>
      <c r="G300" s="1398"/>
      <c r="H300" s="1399"/>
      <c r="I300" s="1400"/>
      <c r="J300" s="1401">
        <v>157657.35</v>
      </c>
      <c r="K300" s="1400"/>
      <c r="L300" s="1401">
        <v>153884.4</v>
      </c>
      <c r="M300" s="1400"/>
      <c r="N300" s="1401">
        <v>153863.79</v>
      </c>
      <c r="O300" s="1400"/>
      <c r="P300" s="1401">
        <v>153564.44</v>
      </c>
      <c r="Q300" s="1400"/>
      <c r="R300" s="1401">
        <v>154755.01999999999</v>
      </c>
      <c r="S300" s="1400"/>
      <c r="T300" s="1401">
        <v>154609.9</v>
      </c>
      <c r="U300" s="1400"/>
      <c r="V300" s="1401">
        <v>154610.10999999999</v>
      </c>
      <c r="W300" s="1400"/>
      <c r="X300" s="1401">
        <v>154539.35</v>
      </c>
      <c r="Y300" s="1400"/>
      <c r="Z300" s="1401">
        <v>160018.07999999999</v>
      </c>
      <c r="AA300" s="1400"/>
      <c r="AB300" s="1401">
        <v>157292.72</v>
      </c>
      <c r="AC300" s="1400"/>
      <c r="AD300" s="1401">
        <v>174625.18</v>
      </c>
      <c r="AE300" s="1400"/>
      <c r="AF300" s="1401">
        <v>167322.76</v>
      </c>
      <c r="AG300" s="1400"/>
      <c r="AH300" s="1401">
        <f t="shared" ref="AH300:AH303" si="28">AF300+AD300+AB300+Z300+X300+V300+T300+R300+P300+N300+L300+J300</f>
        <v>1896743.0999999999</v>
      </c>
      <c r="AI300" s="1574">
        <f t="shared" ref="AI300:AI303" si="29">IF(AH$61=0,0,AH300/AH$61)</f>
        <v>3.0260543712262802E-2</v>
      </c>
      <c r="AJ300" s="11"/>
    </row>
    <row r="301" spans="1:37" outlineLevel="1">
      <c r="B301" s="71" t="s">
        <v>380</v>
      </c>
      <c r="D301" s="1396">
        <v>54260</v>
      </c>
      <c r="E301" s="1396" t="s">
        <v>270</v>
      </c>
      <c r="F301" s="1397"/>
      <c r="G301" s="1398"/>
      <c r="H301" s="1399"/>
      <c r="I301" s="1400"/>
      <c r="J301" s="1401">
        <v>76137.17</v>
      </c>
      <c r="K301" s="1400"/>
      <c r="L301" s="1401">
        <v>74170.86</v>
      </c>
      <c r="M301" s="1400"/>
      <c r="N301" s="1401">
        <v>74171.11</v>
      </c>
      <c r="O301" s="1400"/>
      <c r="P301" s="1401">
        <v>76245.27</v>
      </c>
      <c r="Q301" s="1400"/>
      <c r="R301" s="1401">
        <v>76624.72</v>
      </c>
      <c r="S301" s="1400"/>
      <c r="T301" s="1401">
        <v>76283.64</v>
      </c>
      <c r="U301" s="1400"/>
      <c r="V301" s="1401">
        <v>76889.070000000007</v>
      </c>
      <c r="W301" s="1400"/>
      <c r="X301" s="1401">
        <v>78010.820000000007</v>
      </c>
      <c r="Y301" s="1400"/>
      <c r="Z301" s="1401">
        <v>78565.94</v>
      </c>
      <c r="AA301" s="1400"/>
      <c r="AB301" s="1401">
        <v>77628.03</v>
      </c>
      <c r="AC301" s="1400"/>
      <c r="AD301" s="1401">
        <v>79187.08</v>
      </c>
      <c r="AE301" s="1400"/>
      <c r="AF301" s="1401">
        <v>79946.070000000007</v>
      </c>
      <c r="AG301" s="1400"/>
      <c r="AH301" s="1401">
        <f t="shared" si="28"/>
        <v>923859.78</v>
      </c>
      <c r="AI301" s="1574">
        <f t="shared" si="29"/>
        <v>1.4739212314356908E-2</v>
      </c>
      <c r="AJ301" s="11"/>
    </row>
    <row r="302" spans="1:37" outlineLevel="1">
      <c r="B302" s="71" t="s">
        <v>380</v>
      </c>
      <c r="D302" s="1396">
        <v>57260</v>
      </c>
      <c r="E302" s="1396" t="s">
        <v>270</v>
      </c>
      <c r="F302" s="1397"/>
      <c r="G302" s="1398"/>
      <c r="H302" s="1399"/>
      <c r="I302" s="1400"/>
      <c r="J302" s="1401">
        <v>49703.95</v>
      </c>
      <c r="K302" s="1400"/>
      <c r="L302" s="1401">
        <v>49910.76</v>
      </c>
      <c r="M302" s="1400"/>
      <c r="N302" s="1401">
        <v>50061.45</v>
      </c>
      <c r="O302" s="1400"/>
      <c r="P302" s="1401">
        <v>49921.66</v>
      </c>
      <c r="Q302" s="1400"/>
      <c r="R302" s="1401">
        <v>49964.54</v>
      </c>
      <c r="S302" s="1400"/>
      <c r="T302" s="1401">
        <v>49964.63</v>
      </c>
      <c r="U302" s="1400"/>
      <c r="V302" s="1401">
        <v>49964.77</v>
      </c>
      <c r="W302" s="1400"/>
      <c r="X302" s="1401">
        <v>49964.46</v>
      </c>
      <c r="Y302" s="1400"/>
      <c r="Z302" s="1401">
        <v>49964.56</v>
      </c>
      <c r="AA302" s="1400"/>
      <c r="AB302" s="1401">
        <v>49964.66</v>
      </c>
      <c r="AC302" s="1400"/>
      <c r="AD302" s="1401">
        <v>49964.58</v>
      </c>
      <c r="AE302" s="1400"/>
      <c r="AF302" s="1401">
        <v>49964.58</v>
      </c>
      <c r="AG302" s="1400"/>
      <c r="AH302" s="1401">
        <f t="shared" si="28"/>
        <v>599314.59999999986</v>
      </c>
      <c r="AI302" s="1574">
        <f t="shared" si="29"/>
        <v>9.5614348884133504E-3</v>
      </c>
      <c r="AJ302" s="11"/>
    </row>
    <row r="303" spans="1:37" outlineLevel="1">
      <c r="B303" s="71" t="s">
        <v>380</v>
      </c>
      <c r="D303" s="1396">
        <v>70260</v>
      </c>
      <c r="E303" s="1396" t="s">
        <v>270</v>
      </c>
      <c r="F303" s="1397"/>
      <c r="G303" s="1398"/>
      <c r="H303" s="1399"/>
      <c r="I303" s="1400"/>
      <c r="J303" s="1401">
        <v>3084.78</v>
      </c>
      <c r="K303" s="1400"/>
      <c r="L303" s="1401">
        <v>3084.78</v>
      </c>
      <c r="M303" s="1400"/>
      <c r="N303" s="1401">
        <v>3131.24</v>
      </c>
      <c r="O303" s="1400"/>
      <c r="P303" s="1401">
        <v>3131.18</v>
      </c>
      <c r="Q303" s="1400"/>
      <c r="R303" s="1401">
        <v>3099.62</v>
      </c>
      <c r="S303" s="1400"/>
      <c r="T303" s="1401">
        <v>3099.66</v>
      </c>
      <c r="U303" s="1400"/>
      <c r="V303" s="1401">
        <v>3099.65</v>
      </c>
      <c r="W303" s="1400"/>
      <c r="X303" s="1401">
        <v>3099.59</v>
      </c>
      <c r="Y303" s="1400"/>
      <c r="Z303" s="1401">
        <v>3120.77</v>
      </c>
      <c r="AA303" s="1400"/>
      <c r="AB303" s="1401">
        <v>1929.31</v>
      </c>
      <c r="AC303" s="1400"/>
      <c r="AD303" s="1401">
        <v>1953.94</v>
      </c>
      <c r="AE303" s="1400"/>
      <c r="AF303" s="1401">
        <v>1921.12</v>
      </c>
      <c r="AG303" s="1400"/>
      <c r="AH303" s="1401">
        <f t="shared" si="28"/>
        <v>33755.64</v>
      </c>
      <c r="AI303" s="1574">
        <f t="shared" si="29"/>
        <v>5.3853577733083981E-4</v>
      </c>
      <c r="AJ303" s="11"/>
    </row>
    <row r="304" spans="1:37" s="7" customFormat="1" ht="5.0999999999999996" customHeight="1" outlineLevel="1">
      <c r="A304" s="12"/>
      <c r="B304" s="1" t="s">
        <v>187</v>
      </c>
      <c r="C304" s="1"/>
      <c r="D304" s="1397"/>
      <c r="E304" s="1397"/>
      <c r="F304" s="1397"/>
      <c r="G304" s="1397"/>
      <c r="H304" s="1399"/>
      <c r="I304" s="1399"/>
      <c r="J304" s="1407"/>
      <c r="K304" s="1406"/>
      <c r="L304" s="1407"/>
      <c r="M304" s="1406"/>
      <c r="N304" s="1407"/>
      <c r="O304" s="1406"/>
      <c r="P304" s="1407"/>
      <c r="Q304" s="1406"/>
      <c r="R304" s="1407"/>
      <c r="S304" s="1406"/>
      <c r="T304" s="1407"/>
      <c r="U304" s="1406"/>
      <c r="V304" s="1407"/>
      <c r="W304" s="1406"/>
      <c r="X304" s="1407"/>
      <c r="Y304" s="1406"/>
      <c r="Z304" s="1407"/>
      <c r="AA304" s="1406"/>
      <c r="AB304" s="1407"/>
      <c r="AC304" s="1406"/>
      <c r="AD304" s="1407"/>
      <c r="AE304" s="1406"/>
      <c r="AF304" s="1407"/>
      <c r="AG304" s="1406"/>
      <c r="AH304" s="1407"/>
      <c r="AI304" s="1423"/>
      <c r="AJ304" s="14"/>
      <c r="AK304" s="1"/>
    </row>
    <row r="305" spans="1:37" s="7" customFormat="1" ht="15">
      <c r="A305" s="12"/>
      <c r="B305" s="1" t="s">
        <v>187</v>
      </c>
      <c r="C305" s="1"/>
      <c r="D305" s="1399"/>
      <c r="E305" s="1399"/>
      <c r="F305" s="1397" t="s">
        <v>270</v>
      </c>
      <c r="G305" s="1399"/>
      <c r="H305" s="1399"/>
      <c r="I305" s="1399"/>
      <c r="J305" s="1404">
        <f>SUM(J300:J304)</f>
        <v>286583.25000000006</v>
      </c>
      <c r="K305" s="1406"/>
      <c r="L305" s="1404">
        <f>SUM(L300:L304)</f>
        <v>281050.80000000005</v>
      </c>
      <c r="M305" s="1406"/>
      <c r="N305" s="1404">
        <f>SUM(N300:N304)</f>
        <v>281227.59000000003</v>
      </c>
      <c r="O305" s="1422">
        <f>IF(N$55=0,0,N305/N$55)</f>
        <v>0</v>
      </c>
      <c r="P305" s="1404">
        <f>SUM(P300:P304)</f>
        <v>282862.55</v>
      </c>
      <c r="Q305" s="1406"/>
      <c r="R305" s="1404">
        <f>SUM(R300:R304)</f>
        <v>284443.89999999997</v>
      </c>
      <c r="S305" s="1406"/>
      <c r="T305" s="1404">
        <f>SUM(T300:T304)</f>
        <v>283957.82999999996</v>
      </c>
      <c r="U305" s="1422">
        <f>IF(T$55=0,0,T305/T$55)</f>
        <v>0</v>
      </c>
      <c r="V305" s="1404">
        <f>SUM(V300:V304)</f>
        <v>284563.60000000003</v>
      </c>
      <c r="W305" s="1406"/>
      <c r="X305" s="1404">
        <f>SUM(X300:X304)</f>
        <v>285614.22000000003</v>
      </c>
      <c r="Y305" s="1406"/>
      <c r="Z305" s="1404">
        <f>SUM(Z300:Z304)</f>
        <v>291669.34999999998</v>
      </c>
      <c r="AA305" s="1422">
        <f>IF(Z$55=0,0,Z305/Z$55)</f>
        <v>0</v>
      </c>
      <c r="AB305" s="1404">
        <f>SUM(AB300:AB304)</f>
        <v>286814.72000000003</v>
      </c>
      <c r="AC305" s="1406"/>
      <c r="AD305" s="1404">
        <f>SUM(AD300:AD304)</f>
        <v>305730.78000000003</v>
      </c>
      <c r="AE305" s="1406"/>
      <c r="AF305" s="1404">
        <f>SUM(AF300:AF304)</f>
        <v>299154.53000000003</v>
      </c>
      <c r="AG305" s="1422">
        <f>IF(AF$55=0,0,AF305/AF$55)</f>
        <v>0</v>
      </c>
      <c r="AH305" s="1404">
        <f>SUM(J305,L305,N305,P305,R305,T305,V305,X305,Z305,AB305,AD305,AF305)</f>
        <v>3453673.120000001</v>
      </c>
      <c r="AI305" s="1574">
        <f>IF(AH$61=0,0,AH305/AH$61)</f>
        <v>5.5099726692363918E-2</v>
      </c>
      <c r="AJ305" s="14"/>
      <c r="AK305" s="1"/>
    </row>
    <row r="306" spans="1:37" s="7" customFormat="1" ht="15" outlineLevel="1">
      <c r="A306" s="12"/>
      <c r="B306" s="1" t="s">
        <v>187</v>
      </c>
      <c r="C306" s="1"/>
      <c r="D306" s="1399"/>
      <c r="E306" s="1399"/>
      <c r="F306" s="1397"/>
      <c r="G306" s="1399"/>
      <c r="H306" s="1399"/>
      <c r="I306" s="1399"/>
      <c r="J306" s="1406"/>
      <c r="K306" s="1406"/>
      <c r="L306" s="1406"/>
      <c r="M306" s="1406"/>
      <c r="N306" s="1406"/>
      <c r="O306" s="1423"/>
      <c r="P306" s="1406"/>
      <c r="Q306" s="1406"/>
      <c r="R306" s="1406"/>
      <c r="S306" s="1406"/>
      <c r="T306" s="1406"/>
      <c r="U306" s="1423"/>
      <c r="V306" s="1406"/>
      <c r="W306" s="1406"/>
      <c r="X306" s="1406"/>
      <c r="Y306" s="1406"/>
      <c r="Z306" s="1406"/>
      <c r="AA306" s="1423"/>
      <c r="AB306" s="1406"/>
      <c r="AC306" s="1406"/>
      <c r="AD306" s="1406"/>
      <c r="AE306" s="1406"/>
      <c r="AF306" s="1406"/>
      <c r="AG306" s="1423"/>
      <c r="AH306" s="1406"/>
      <c r="AI306" s="1423"/>
      <c r="AJ306" s="14"/>
      <c r="AK306" s="1"/>
    </row>
    <row r="307" spans="1:37" outlineLevel="1">
      <c r="B307" s="71" t="s">
        <v>403</v>
      </c>
      <c r="D307" s="1396"/>
      <c r="E307" s="1396"/>
      <c r="F307" s="1397"/>
      <c r="G307" s="1398"/>
      <c r="H307" s="1399"/>
      <c r="I307" s="1400"/>
      <c r="J307" s="1401"/>
      <c r="K307" s="1400"/>
      <c r="L307" s="1401"/>
      <c r="M307" s="1400"/>
      <c r="N307" s="1401"/>
      <c r="O307" s="1400"/>
      <c r="P307" s="1401"/>
      <c r="Q307" s="1400"/>
      <c r="R307" s="1401"/>
      <c r="S307" s="1400"/>
      <c r="T307" s="1401"/>
      <c r="U307" s="1400"/>
      <c r="V307" s="1401"/>
      <c r="W307" s="1400"/>
      <c r="X307" s="1401"/>
      <c r="Y307" s="1400"/>
      <c r="Z307" s="1401"/>
      <c r="AA307" s="1400"/>
      <c r="AB307" s="1401"/>
      <c r="AC307" s="1400"/>
      <c r="AD307" s="1401"/>
      <c r="AE307" s="1400"/>
      <c r="AF307" s="1401"/>
      <c r="AG307" s="1400"/>
      <c r="AH307" s="1401">
        <f>AF307+AD307+AB307+Z307+X307+V307+T307+R307+P307+N307+L307+J307</f>
        <v>0</v>
      </c>
      <c r="AI307" s="1574">
        <f>IF(AH$61=0,0,AH307/AH$61)</f>
        <v>0</v>
      </c>
      <c r="AJ307" s="11"/>
    </row>
    <row r="308" spans="1:37" s="7" customFormat="1" ht="5.0999999999999996" customHeight="1" outlineLevel="1">
      <c r="A308" s="12"/>
      <c r="B308" s="1" t="s">
        <v>187</v>
      </c>
      <c r="C308" s="1"/>
      <c r="D308" s="1397"/>
      <c r="E308" s="1397"/>
      <c r="F308" s="1397"/>
      <c r="G308" s="1397"/>
      <c r="H308" s="1399"/>
      <c r="I308" s="1399"/>
      <c r="J308" s="1407"/>
      <c r="K308" s="1406"/>
      <c r="L308" s="1407"/>
      <c r="M308" s="1406"/>
      <c r="N308" s="1407"/>
      <c r="O308" s="1423"/>
      <c r="P308" s="1407"/>
      <c r="Q308" s="1406"/>
      <c r="R308" s="1407"/>
      <c r="S308" s="1406"/>
      <c r="T308" s="1407"/>
      <c r="U308" s="1423"/>
      <c r="V308" s="1407"/>
      <c r="W308" s="1406"/>
      <c r="X308" s="1407"/>
      <c r="Y308" s="1406"/>
      <c r="Z308" s="1407"/>
      <c r="AA308" s="1423"/>
      <c r="AB308" s="1407"/>
      <c r="AC308" s="1406"/>
      <c r="AD308" s="1407"/>
      <c r="AE308" s="1406"/>
      <c r="AF308" s="1407"/>
      <c r="AG308" s="1423"/>
      <c r="AH308" s="1407"/>
      <c r="AI308" s="1423"/>
      <c r="AJ308" s="14"/>
      <c r="AK308" s="1"/>
    </row>
    <row r="309" spans="1:37" s="7" customFormat="1" ht="15">
      <c r="A309" s="12"/>
      <c r="B309" s="1" t="s">
        <v>187</v>
      </c>
      <c r="C309" s="1"/>
      <c r="D309" s="1399"/>
      <c r="E309" s="1399"/>
      <c r="F309" s="1396" t="s">
        <v>271</v>
      </c>
      <c r="G309" s="1399"/>
      <c r="H309" s="1399"/>
      <c r="I309" s="1399"/>
      <c r="J309" s="1404">
        <f>SUM(J307:J308)</f>
        <v>0</v>
      </c>
      <c r="K309" s="1406"/>
      <c r="L309" s="1404">
        <f>SUM(L307:L308)</f>
        <v>0</v>
      </c>
      <c r="M309" s="1406"/>
      <c r="N309" s="1404">
        <f>SUM(N307:N308)</f>
        <v>0</v>
      </c>
      <c r="O309" s="1422">
        <f>IF(N$55=0,0,N309/N$55)</f>
        <v>0</v>
      </c>
      <c r="P309" s="1404">
        <f>SUM(P307:P308)</f>
        <v>0</v>
      </c>
      <c r="Q309" s="1406"/>
      <c r="R309" s="1404">
        <f>SUM(R307:R308)</f>
        <v>0</v>
      </c>
      <c r="S309" s="1406"/>
      <c r="T309" s="1404">
        <f>SUM(T307:T308)</f>
        <v>0</v>
      </c>
      <c r="U309" s="1422">
        <f>IF(T$55=0,0,T309/T$55)</f>
        <v>0</v>
      </c>
      <c r="V309" s="1404">
        <f>SUM(V307:V308)</f>
        <v>0</v>
      </c>
      <c r="W309" s="1406"/>
      <c r="X309" s="1404">
        <f>SUM(X307:X308)</f>
        <v>0</v>
      </c>
      <c r="Y309" s="1406"/>
      <c r="Z309" s="1404">
        <f>SUM(Z307:Z308)</f>
        <v>0</v>
      </c>
      <c r="AA309" s="1422">
        <f>IF(Z$55=0,0,Z309/Z$55)</f>
        <v>0</v>
      </c>
      <c r="AB309" s="1404">
        <f>SUM(AB307:AB308)</f>
        <v>0</v>
      </c>
      <c r="AC309" s="1406"/>
      <c r="AD309" s="1404">
        <f>SUM(AD307:AD308)</f>
        <v>0</v>
      </c>
      <c r="AE309" s="1406"/>
      <c r="AF309" s="1404">
        <f>SUM(AF307:AF308)</f>
        <v>0</v>
      </c>
      <c r="AG309" s="1422">
        <f>IF(AF$55=0,0,AF309/AF$55)</f>
        <v>0</v>
      </c>
      <c r="AH309" s="1404">
        <f>SUM(J309,L309,N309)</f>
        <v>0</v>
      </c>
      <c r="AI309" s="1574">
        <f>IF(AH$61=0,0,AH309/AH$61)</f>
        <v>0</v>
      </c>
      <c r="AJ309" s="14"/>
      <c r="AK309" s="1"/>
    </row>
    <row r="310" spans="1:37" s="7" customFormat="1" ht="15" outlineLevel="1">
      <c r="A310" s="12"/>
      <c r="B310" s="1" t="s">
        <v>187</v>
      </c>
      <c r="C310" s="1"/>
      <c r="D310" s="1399"/>
      <c r="E310" s="1399"/>
      <c r="F310" s="1399"/>
      <c r="G310" s="1399"/>
      <c r="H310" s="1399"/>
      <c r="I310" s="1399"/>
      <c r="J310" s="1406"/>
      <c r="K310" s="1406"/>
      <c r="L310" s="1406"/>
      <c r="M310" s="1406"/>
      <c r="N310" s="1406"/>
      <c r="O310" s="1423"/>
      <c r="P310" s="1406"/>
      <c r="Q310" s="1406"/>
      <c r="R310" s="1406"/>
      <c r="S310" s="1406"/>
      <c r="T310" s="1406"/>
      <c r="U310" s="1423"/>
      <c r="V310" s="1406"/>
      <c r="W310" s="1406"/>
      <c r="X310" s="1406"/>
      <c r="Y310" s="1406"/>
      <c r="Z310" s="1406"/>
      <c r="AA310" s="1423"/>
      <c r="AB310" s="1406"/>
      <c r="AC310" s="1406"/>
      <c r="AD310" s="1406"/>
      <c r="AE310" s="1406"/>
      <c r="AF310" s="1406"/>
      <c r="AG310" s="1423"/>
      <c r="AH310" s="1406"/>
      <c r="AI310" s="1423"/>
      <c r="AJ310" s="14"/>
      <c r="AK310" s="1"/>
    </row>
    <row r="311" spans="1:37" outlineLevel="1">
      <c r="B311" s="71" t="s">
        <v>404</v>
      </c>
      <c r="D311" s="1396">
        <v>70269</v>
      </c>
      <c r="E311" s="1396" t="s">
        <v>272</v>
      </c>
      <c r="F311" s="1397"/>
      <c r="G311" s="1398"/>
      <c r="H311" s="1399"/>
      <c r="I311" s="1400"/>
      <c r="J311" s="1401">
        <v>51216.54</v>
      </c>
      <c r="K311" s="1400"/>
      <c r="L311" s="1401">
        <v>51216.54</v>
      </c>
      <c r="M311" s="1400"/>
      <c r="N311" s="1401">
        <v>51216.57</v>
      </c>
      <c r="O311" s="1400"/>
      <c r="P311" s="1401">
        <v>51216.54</v>
      </c>
      <c r="Q311" s="1400"/>
      <c r="R311" s="1401">
        <v>51216.52</v>
      </c>
      <c r="S311" s="1400"/>
      <c r="T311" s="1401">
        <v>51216.56</v>
      </c>
      <c r="U311" s="1400"/>
      <c r="V311" s="1401">
        <v>51216.56</v>
      </c>
      <c r="W311" s="1400"/>
      <c r="X311" s="1401">
        <v>51216.52</v>
      </c>
      <c r="Y311" s="1400"/>
      <c r="Z311" s="1401">
        <v>51216.56</v>
      </c>
      <c r="AA311" s="1400"/>
      <c r="AB311" s="1401">
        <v>51216.53</v>
      </c>
      <c r="AC311" s="1400"/>
      <c r="AD311" s="1401">
        <v>51216.55</v>
      </c>
      <c r="AE311" s="1400"/>
      <c r="AF311" s="1401">
        <v>51216.53</v>
      </c>
      <c r="AG311" s="1400"/>
      <c r="AH311" s="1401">
        <f>AF311+AD311+AB311+Z311+X311+V311+T311+R311+P311+N311+L311+J311</f>
        <v>614598.52</v>
      </c>
      <c r="AI311" s="1574">
        <f>IF(AH$61=0,0,AH311/AH$61)</f>
        <v>9.8052737769031683E-3</v>
      </c>
      <c r="AJ311" s="11"/>
    </row>
    <row r="312" spans="1:37" s="7" customFormat="1" ht="5.0999999999999996" customHeight="1" outlineLevel="1">
      <c r="A312" s="12"/>
      <c r="B312" s="34" t="s">
        <v>187</v>
      </c>
      <c r="C312" s="34"/>
      <c r="D312" s="1397"/>
      <c r="E312" s="1397"/>
      <c r="F312" s="1397"/>
      <c r="G312" s="1397"/>
      <c r="H312" s="1399"/>
      <c r="I312" s="1399"/>
      <c r="J312" s="1407"/>
      <c r="K312" s="1406"/>
      <c r="L312" s="1407"/>
      <c r="M312" s="1406"/>
      <c r="N312" s="1407"/>
      <c r="O312" s="1423"/>
      <c r="P312" s="1407"/>
      <c r="Q312" s="1406"/>
      <c r="R312" s="1407"/>
      <c r="S312" s="1406"/>
      <c r="T312" s="1407"/>
      <c r="U312" s="1423"/>
      <c r="V312" s="1407"/>
      <c r="W312" s="1406"/>
      <c r="X312" s="1407"/>
      <c r="Y312" s="1406"/>
      <c r="Z312" s="1407"/>
      <c r="AA312" s="1423"/>
      <c r="AB312" s="1407"/>
      <c r="AC312" s="1406"/>
      <c r="AD312" s="1407"/>
      <c r="AE312" s="1406"/>
      <c r="AF312" s="1407"/>
      <c r="AG312" s="1423"/>
      <c r="AH312" s="1407"/>
      <c r="AI312" s="1423"/>
      <c r="AJ312" s="14"/>
      <c r="AK312" s="1"/>
    </row>
    <row r="313" spans="1:37" s="7" customFormat="1" ht="15">
      <c r="A313" s="12"/>
      <c r="B313" s="34" t="s">
        <v>187</v>
      </c>
      <c r="C313" s="34"/>
      <c r="D313" s="1399"/>
      <c r="E313" s="1399"/>
      <c r="F313" s="1397" t="s">
        <v>273</v>
      </c>
      <c r="G313" s="1399"/>
      <c r="H313" s="1399"/>
      <c r="I313" s="1399"/>
      <c r="J313" s="1404">
        <f>SUM(J311:J312)</f>
        <v>51216.54</v>
      </c>
      <c r="K313" s="1406"/>
      <c r="L313" s="1404">
        <f>SUM(L311:L312)</f>
        <v>51216.54</v>
      </c>
      <c r="M313" s="1406"/>
      <c r="N313" s="1404">
        <f>SUM(N311:N312)</f>
        <v>51216.57</v>
      </c>
      <c r="O313" s="1422">
        <f>IF(N$55=0,0,N313/N$55)</f>
        <v>0</v>
      </c>
      <c r="P313" s="1404">
        <f>SUM(P311:P312)</f>
        <v>51216.54</v>
      </c>
      <c r="Q313" s="1406"/>
      <c r="R313" s="1404">
        <f>SUM(R311:R312)</f>
        <v>51216.52</v>
      </c>
      <c r="S313" s="1406"/>
      <c r="T313" s="1404">
        <f>SUM(T311:T312)</f>
        <v>51216.56</v>
      </c>
      <c r="U313" s="1422">
        <f>IF(T$55=0,0,T313/T$55)</f>
        <v>0</v>
      </c>
      <c r="V313" s="1404">
        <f>SUM(V311:V312)</f>
        <v>51216.56</v>
      </c>
      <c r="W313" s="1406"/>
      <c r="X313" s="1404">
        <f>SUM(X311:X312)</f>
        <v>51216.52</v>
      </c>
      <c r="Y313" s="1406"/>
      <c r="Z313" s="1404">
        <f>SUM(Z311:Z312)</f>
        <v>51216.56</v>
      </c>
      <c r="AA313" s="1422">
        <f>IF(Z$55=0,0,Z313/Z$55)</f>
        <v>0</v>
      </c>
      <c r="AB313" s="1404">
        <f>SUM(AB311:AB312)</f>
        <v>51216.53</v>
      </c>
      <c r="AC313" s="1406"/>
      <c r="AD313" s="1404">
        <f>SUM(AD311:AD312)</f>
        <v>51216.55</v>
      </c>
      <c r="AE313" s="1406"/>
      <c r="AF313" s="1404">
        <f>SUM(AF311:AF312)</f>
        <v>51216.53</v>
      </c>
      <c r="AG313" s="1422">
        <f>IF(AF$55=0,0,AF313/AF$55)</f>
        <v>0</v>
      </c>
      <c r="AH313" s="1404">
        <f>SUM(J313,L313,N313,P313,R313,T313,V313,X313,Z313,AB313,AD313,AF313)</f>
        <v>614598.52000000014</v>
      </c>
      <c r="AI313" s="1574">
        <f>IF(AH$61=0,0,AH313/AH$61)</f>
        <v>9.8052737769031718E-3</v>
      </c>
      <c r="AJ313" s="14"/>
      <c r="AK313" s="1"/>
    </row>
    <row r="314" spans="1:37" s="7" customFormat="1" ht="6.75" customHeight="1">
      <c r="A314" s="12"/>
      <c r="B314" s="34" t="s">
        <v>187</v>
      </c>
      <c r="C314" s="34"/>
      <c r="D314" s="1399"/>
      <c r="E314" s="1399"/>
      <c r="F314" s="1399"/>
      <c r="G314" s="1399"/>
      <c r="H314" s="1399"/>
      <c r="I314" s="1399"/>
      <c r="J314" s="1406"/>
      <c r="K314" s="1406"/>
      <c r="L314" s="1406"/>
      <c r="M314" s="1406"/>
      <c r="N314" s="1406"/>
      <c r="O314" s="1423"/>
      <c r="P314" s="1406"/>
      <c r="Q314" s="1406"/>
      <c r="R314" s="1406"/>
      <c r="S314" s="1406"/>
      <c r="T314" s="1406"/>
      <c r="U314" s="1423"/>
      <c r="V314" s="1406"/>
      <c r="W314" s="1406"/>
      <c r="X314" s="1406"/>
      <c r="Y314" s="1406"/>
      <c r="Z314" s="1406"/>
      <c r="AA314" s="1423"/>
      <c r="AB314" s="1406"/>
      <c r="AC314" s="1406"/>
      <c r="AD314" s="1406"/>
      <c r="AE314" s="1406"/>
      <c r="AF314" s="1406"/>
      <c r="AG314" s="1423"/>
      <c r="AH314" s="1406"/>
      <c r="AI314" s="1423"/>
      <c r="AJ314" s="14"/>
      <c r="AK314" s="1"/>
    </row>
    <row r="315" spans="1:37" s="7" customFormat="1" ht="15">
      <c r="A315" s="12"/>
      <c r="B315" s="34" t="s">
        <v>187</v>
      </c>
      <c r="C315" s="34"/>
      <c r="D315" s="1399"/>
      <c r="E315" s="1409" t="s">
        <v>274</v>
      </c>
      <c r="F315" s="1399"/>
      <c r="G315" s="1399"/>
      <c r="H315" s="1399"/>
      <c r="I315" s="1399"/>
      <c r="J315" s="1410">
        <f>+J305+J309+J313</f>
        <v>337799.79000000004</v>
      </c>
      <c r="K315" s="1406"/>
      <c r="L315" s="1410">
        <f>+L305+L309+L313</f>
        <v>332267.34000000003</v>
      </c>
      <c r="M315" s="1406"/>
      <c r="N315" s="1410">
        <f>+N305+N309+N313</f>
        <v>332444.16000000003</v>
      </c>
      <c r="O315" s="1422">
        <f>IF(N$55=0,0,N315/N$55)</f>
        <v>0</v>
      </c>
      <c r="P315" s="1410">
        <f>+P305+P309+P313</f>
        <v>334079.08999999997</v>
      </c>
      <c r="Q315" s="1406"/>
      <c r="R315" s="1410">
        <f>+R305+R309+R313</f>
        <v>335660.42</v>
      </c>
      <c r="S315" s="1406"/>
      <c r="T315" s="1410">
        <f>+T305+T309+T313</f>
        <v>335174.38999999996</v>
      </c>
      <c r="U315" s="1422">
        <f>IF(T$55=0,0,T315/T$55)</f>
        <v>0</v>
      </c>
      <c r="V315" s="1410">
        <f>+V305+V309+V313</f>
        <v>335780.16000000003</v>
      </c>
      <c r="W315" s="1406"/>
      <c r="X315" s="1410">
        <f>+X305+X309+X313</f>
        <v>336830.74000000005</v>
      </c>
      <c r="Y315" s="1406"/>
      <c r="Z315" s="1410">
        <f>+Z305+Z309+Z313</f>
        <v>342885.91</v>
      </c>
      <c r="AA315" s="1422">
        <f>IF(Z$55=0,0,Z315/Z$55)</f>
        <v>0</v>
      </c>
      <c r="AB315" s="1410">
        <f>+AB305+AB309+AB313</f>
        <v>338031.25</v>
      </c>
      <c r="AC315" s="1406"/>
      <c r="AD315" s="1410">
        <f>+AD305+AD309+AD313</f>
        <v>356947.33</v>
      </c>
      <c r="AE315" s="1406"/>
      <c r="AF315" s="1410">
        <f>+AF305+AF309+AF313</f>
        <v>350371.06000000006</v>
      </c>
      <c r="AG315" s="1422">
        <f>IF(AF$55=0,0,AF315/AF$55)</f>
        <v>0</v>
      </c>
      <c r="AH315" s="1410">
        <f>+AH305+AH309+AH313</f>
        <v>4068271.6400000011</v>
      </c>
      <c r="AI315" s="1574">
        <f>IF(AH$61=0,0,AH315/AH$61)</f>
        <v>6.4905000469267088E-2</v>
      </c>
      <c r="AJ315" s="14"/>
      <c r="AK315" s="1"/>
    </row>
    <row r="316" spans="1:37" s="7" customFormat="1" ht="6.75" customHeight="1">
      <c r="A316" s="12"/>
      <c r="B316" s="34" t="s">
        <v>187</v>
      </c>
      <c r="C316" s="34"/>
      <c r="D316" s="1399"/>
      <c r="E316" s="1399"/>
      <c r="F316" s="1399"/>
      <c r="G316" s="1399"/>
      <c r="H316" s="1399"/>
      <c r="I316" s="1399"/>
      <c r="J316" s="1406"/>
      <c r="K316" s="1406"/>
      <c r="L316" s="1406"/>
      <c r="M316" s="1406"/>
      <c r="N316" s="1406"/>
      <c r="O316" s="1423"/>
      <c r="P316" s="1406"/>
      <c r="Q316" s="1406"/>
      <c r="R316" s="1406"/>
      <c r="S316" s="1406"/>
      <c r="T316" s="1406"/>
      <c r="U316" s="1423"/>
      <c r="V316" s="1406"/>
      <c r="W316" s="1406"/>
      <c r="X316" s="1406"/>
      <c r="Y316" s="1406"/>
      <c r="Z316" s="1406"/>
      <c r="AA316" s="1423"/>
      <c r="AB316" s="1406"/>
      <c r="AC316" s="1406"/>
      <c r="AD316" s="1406"/>
      <c r="AE316" s="1406"/>
      <c r="AF316" s="1406"/>
      <c r="AG316" s="1423"/>
      <c r="AH316" s="1406"/>
      <c r="AI316" s="1423"/>
      <c r="AJ316" s="14"/>
      <c r="AK316" s="1"/>
    </row>
    <row r="317" spans="1:37" s="7" customFormat="1" ht="15">
      <c r="A317" s="12"/>
      <c r="B317" s="34" t="s">
        <v>187</v>
      </c>
      <c r="C317" s="34"/>
      <c r="D317" s="1399"/>
      <c r="E317" s="1412" t="s">
        <v>275</v>
      </c>
      <c r="F317" s="1399"/>
      <c r="G317" s="1399"/>
      <c r="H317" s="1399"/>
      <c r="I317" s="1399"/>
      <c r="J317" s="1410">
        <f>+J296-J315</f>
        <v>799294.44999999972</v>
      </c>
      <c r="K317" s="1406"/>
      <c r="L317" s="1410">
        <f>+L296-L315</f>
        <v>456233.06000000011</v>
      </c>
      <c r="M317" s="1406"/>
      <c r="N317" s="1410">
        <f>+N296-N315</f>
        <v>1032572.4100000005</v>
      </c>
      <c r="O317" s="1422">
        <f>IF(N$55=0,0,N317/N$55)</f>
        <v>0</v>
      </c>
      <c r="P317" s="1410">
        <f>+P296-P315</f>
        <v>750011.7699999999</v>
      </c>
      <c r="Q317" s="1406"/>
      <c r="R317" s="1410">
        <f>+R296-R315</f>
        <v>519337.8</v>
      </c>
      <c r="S317" s="1406"/>
      <c r="T317" s="1410">
        <f>+T296-T315</f>
        <v>322802.3500000005</v>
      </c>
      <c r="U317" s="1422">
        <f>IF(T$55=0,0,T317/T$55)</f>
        <v>0</v>
      </c>
      <c r="V317" s="1410">
        <f>+V296-V315</f>
        <v>729316.39000000071</v>
      </c>
      <c r="W317" s="1406"/>
      <c r="X317" s="1410">
        <f>+X296-X315</f>
        <v>334521.44000000058</v>
      </c>
      <c r="Y317" s="1406"/>
      <c r="Z317" s="1410">
        <f>+Z296-Z315</f>
        <v>491833.1899999993</v>
      </c>
      <c r="AA317" s="1422">
        <f>IF(Z$55=0,0,Z317/Z$55)</f>
        <v>0</v>
      </c>
      <c r="AB317" s="1410">
        <f>+AB296-AB315</f>
        <v>696046.83000000124</v>
      </c>
      <c r="AC317" s="1406"/>
      <c r="AD317" s="1410">
        <f>+AD296-AD315</f>
        <v>451893.64999999973</v>
      </c>
      <c r="AE317" s="1406"/>
      <c r="AF317" s="1410">
        <f>+AF296-AF315</f>
        <v>549089.32999999996</v>
      </c>
      <c r="AG317" s="1422">
        <f>IF(AF$55=0,0,AF317/AF$55)</f>
        <v>0</v>
      </c>
      <c r="AH317" s="1410">
        <f>+AH296-AH315</f>
        <v>7132952.6700000148</v>
      </c>
      <c r="AI317" s="1574">
        <f>IF(AH$61=0,0,AH317/AH$61)</f>
        <v>0.11379876698538517</v>
      </c>
      <c r="AJ317" s="14"/>
      <c r="AK317" s="1"/>
    </row>
    <row r="318" spans="1:37" s="7" customFormat="1" ht="6.75" customHeight="1">
      <c r="A318" s="12"/>
      <c r="B318" s="34" t="s">
        <v>187</v>
      </c>
      <c r="C318" s="34"/>
      <c r="D318" s="1399"/>
      <c r="E318" s="1399"/>
      <c r="F318" s="1399"/>
      <c r="G318" s="1399"/>
      <c r="H318" s="1399"/>
      <c r="I318" s="1399"/>
      <c r="J318" s="1406"/>
      <c r="K318" s="1406"/>
      <c r="L318" s="1406"/>
      <c r="M318" s="1406"/>
      <c r="N318" s="1406"/>
      <c r="O318" s="1423"/>
      <c r="P318" s="1406"/>
      <c r="Q318" s="1406"/>
      <c r="R318" s="1406"/>
      <c r="S318" s="1406"/>
      <c r="T318" s="1406"/>
      <c r="U318" s="1423"/>
      <c r="V318" s="1406"/>
      <c r="W318" s="1406"/>
      <c r="X318" s="1406"/>
      <c r="Y318" s="1406"/>
      <c r="Z318" s="1406"/>
      <c r="AA318" s="1423"/>
      <c r="AB318" s="1406"/>
      <c r="AC318" s="1406"/>
      <c r="AD318" s="1406"/>
      <c r="AE318" s="1406"/>
      <c r="AF318" s="1406"/>
      <c r="AG318" s="1423"/>
      <c r="AH318" s="1406"/>
      <c r="AI318" s="1423"/>
      <c r="AJ318" s="14"/>
      <c r="AK318" s="1"/>
    </row>
    <row r="319" spans="1:37" outlineLevel="1">
      <c r="B319" s="71" t="s">
        <v>276</v>
      </c>
      <c r="D319" s="1396"/>
      <c r="E319" s="1396"/>
      <c r="F319" s="1397"/>
      <c r="G319" s="1398"/>
      <c r="H319" s="1399"/>
      <c r="I319" s="1400"/>
      <c r="J319" s="1401"/>
      <c r="K319" s="1400"/>
      <c r="L319" s="1401"/>
      <c r="M319" s="1400"/>
      <c r="N319" s="1401"/>
      <c r="O319" s="1400"/>
      <c r="P319" s="1401"/>
      <c r="Q319" s="1400"/>
      <c r="R319" s="1401"/>
      <c r="S319" s="1400"/>
      <c r="T319" s="1401"/>
      <c r="U319" s="1400"/>
      <c r="V319" s="1401"/>
      <c r="W319" s="1400"/>
      <c r="X319" s="1401"/>
      <c r="Y319" s="1400"/>
      <c r="Z319" s="1401"/>
      <c r="AA319" s="1400"/>
      <c r="AB319" s="1401"/>
      <c r="AC319" s="1400"/>
      <c r="AD319" s="1401"/>
      <c r="AE319" s="1400"/>
      <c r="AF319" s="1401"/>
      <c r="AG319" s="1400"/>
      <c r="AH319" s="1401">
        <f>AF319+AD319+AB319+Z319+X319+V319+T319+R319+P319+N319+L319+J319</f>
        <v>0</v>
      </c>
      <c r="AI319" s="1574">
        <f>IF(AH$61=0,0,AH319/AH$61)</f>
        <v>0</v>
      </c>
      <c r="AJ319" s="11"/>
    </row>
    <row r="320" spans="1:37" s="7" customFormat="1" ht="5.0999999999999996" customHeight="1" outlineLevel="1">
      <c r="A320" s="12"/>
      <c r="B320" s="34" t="s">
        <v>187</v>
      </c>
      <c r="C320" s="34"/>
      <c r="D320" s="1397"/>
      <c r="E320" s="1397"/>
      <c r="F320" s="1397"/>
      <c r="G320" s="1397"/>
      <c r="H320" s="1399"/>
      <c r="I320" s="1399"/>
      <c r="J320" s="1407"/>
      <c r="K320" s="1406"/>
      <c r="L320" s="1407"/>
      <c r="M320" s="1406"/>
      <c r="N320" s="1407"/>
      <c r="O320" s="1423"/>
      <c r="P320" s="1407"/>
      <c r="Q320" s="1406"/>
      <c r="R320" s="1407"/>
      <c r="S320" s="1406"/>
      <c r="T320" s="1407"/>
      <c r="U320" s="1423"/>
      <c r="V320" s="1407"/>
      <c r="W320" s="1406"/>
      <c r="X320" s="1407"/>
      <c r="Y320" s="1406"/>
      <c r="Z320" s="1407"/>
      <c r="AA320" s="1423"/>
      <c r="AB320" s="1407"/>
      <c r="AC320" s="1406"/>
      <c r="AD320" s="1407"/>
      <c r="AE320" s="1406"/>
      <c r="AF320" s="1407"/>
      <c r="AG320" s="1423"/>
      <c r="AH320" s="1407"/>
      <c r="AI320" s="1423"/>
      <c r="AJ320" s="14"/>
      <c r="AK320" s="1"/>
    </row>
    <row r="321" spans="1:37" s="7" customFormat="1" ht="15">
      <c r="A321" s="12"/>
      <c r="B321" s="34" t="s">
        <v>187</v>
      </c>
      <c r="C321" s="34"/>
      <c r="D321" s="1399"/>
      <c r="E321" s="1399"/>
      <c r="F321" s="1397" t="s">
        <v>277</v>
      </c>
      <c r="G321" s="1399"/>
      <c r="H321" s="1399"/>
      <c r="I321" s="1399"/>
      <c r="J321" s="1404">
        <f>SUM(J319:J320)</f>
        <v>0</v>
      </c>
      <c r="K321" s="1406"/>
      <c r="L321" s="1404">
        <f>SUM(L319:L320)</f>
        <v>0</v>
      </c>
      <c r="M321" s="1406"/>
      <c r="N321" s="1404">
        <f>SUM(N319:N320)</f>
        <v>0</v>
      </c>
      <c r="O321" s="1422">
        <f>IF(N$55=0,0,N321/N$55)</f>
        <v>0</v>
      </c>
      <c r="P321" s="1404">
        <f>SUM(P319:P320)</f>
        <v>0</v>
      </c>
      <c r="Q321" s="1406"/>
      <c r="R321" s="1404">
        <f>SUM(R319:R320)</f>
        <v>0</v>
      </c>
      <c r="S321" s="1406"/>
      <c r="T321" s="1404">
        <f>SUM(T319:T320)</f>
        <v>0</v>
      </c>
      <c r="U321" s="1422">
        <f>IF(T$55=0,0,T321/T$55)</f>
        <v>0</v>
      </c>
      <c r="V321" s="1404">
        <f>SUM(V319:V320)</f>
        <v>0</v>
      </c>
      <c r="W321" s="1406"/>
      <c r="X321" s="1404">
        <f>SUM(X319:X320)</f>
        <v>0</v>
      </c>
      <c r="Y321" s="1406"/>
      <c r="Z321" s="1404">
        <f>SUM(Z319:Z320)</f>
        <v>0</v>
      </c>
      <c r="AA321" s="1422">
        <f>IF(Z$55=0,0,Z321/Z$55)</f>
        <v>0</v>
      </c>
      <c r="AB321" s="1404">
        <f>SUM(AB319:AB320)</f>
        <v>0</v>
      </c>
      <c r="AC321" s="1406"/>
      <c r="AD321" s="1404">
        <f>SUM(AD319:AD320)</f>
        <v>0</v>
      </c>
      <c r="AE321" s="1406"/>
      <c r="AF321" s="1404">
        <f>SUM(AF319:AF320)</f>
        <v>0</v>
      </c>
      <c r="AG321" s="1422">
        <f>IF(AF$55=0,0,AF321/AF$55)</f>
        <v>0</v>
      </c>
      <c r="AH321" s="1404">
        <f>SUM(AH319:AH320)</f>
        <v>0</v>
      </c>
      <c r="AI321" s="1574">
        <f>IF(AH$61=0,0,AH321/AH$61)</f>
        <v>0</v>
      </c>
      <c r="AJ321" s="14"/>
      <c r="AK321" s="1"/>
    </row>
    <row r="322" spans="1:37" s="7" customFormat="1" ht="15" outlineLevel="1">
      <c r="A322" s="12"/>
      <c r="B322" s="34" t="s">
        <v>187</v>
      </c>
      <c r="C322" s="34"/>
      <c r="D322" s="1399"/>
      <c r="E322" s="1399"/>
      <c r="F322" s="1399"/>
      <c r="G322" s="1399"/>
      <c r="H322" s="1399"/>
      <c r="I322" s="1399"/>
      <c r="J322" s="1406"/>
      <c r="K322" s="1406"/>
      <c r="L322" s="1406"/>
      <c r="M322" s="1406"/>
      <c r="N322" s="1406"/>
      <c r="O322" s="1423"/>
      <c r="P322" s="1406"/>
      <c r="Q322" s="1406"/>
      <c r="R322" s="1406"/>
      <c r="S322" s="1406"/>
      <c r="T322" s="1406"/>
      <c r="U322" s="1423"/>
      <c r="V322" s="1406"/>
      <c r="W322" s="1406"/>
      <c r="X322" s="1406"/>
      <c r="Y322" s="1406"/>
      <c r="Z322" s="1406"/>
      <c r="AA322" s="1423"/>
      <c r="AB322" s="1406"/>
      <c r="AC322" s="1406"/>
      <c r="AD322" s="1406"/>
      <c r="AE322" s="1406"/>
      <c r="AF322" s="1406"/>
      <c r="AG322" s="1423"/>
      <c r="AH322" s="1406"/>
      <c r="AI322" s="1423"/>
      <c r="AJ322" s="14"/>
      <c r="AK322" s="1"/>
    </row>
    <row r="323" spans="1:37" outlineLevel="1">
      <c r="B323" s="71" t="s">
        <v>278</v>
      </c>
      <c r="D323" s="1396"/>
      <c r="E323" s="1396"/>
      <c r="F323" s="1397"/>
      <c r="G323" s="1398"/>
      <c r="H323" s="1399"/>
      <c r="I323" s="1400"/>
      <c r="J323" s="1401"/>
      <c r="K323" s="1400"/>
      <c r="L323" s="1401"/>
      <c r="M323" s="1400"/>
      <c r="N323" s="1401"/>
      <c r="O323" s="1400"/>
      <c r="P323" s="1401"/>
      <c r="Q323" s="1400"/>
      <c r="R323" s="1401"/>
      <c r="S323" s="1400"/>
      <c r="T323" s="1401"/>
      <c r="U323" s="1400"/>
      <c r="V323" s="1401"/>
      <c r="W323" s="1400"/>
      <c r="X323" s="1401"/>
      <c r="Y323" s="1400"/>
      <c r="Z323" s="1401"/>
      <c r="AA323" s="1400"/>
      <c r="AB323" s="1401"/>
      <c r="AC323" s="1400"/>
      <c r="AD323" s="1401"/>
      <c r="AE323" s="1400"/>
      <c r="AF323" s="1401"/>
      <c r="AG323" s="1400"/>
      <c r="AH323" s="1401">
        <f>AF323+AD323+AB323+Z323+X323+V323+T323+R323+P323+N323+L323+J323</f>
        <v>0</v>
      </c>
      <c r="AI323" s="1574">
        <f>IF(AH$61=0,0,AH323/AH$61)</f>
        <v>0</v>
      </c>
      <c r="AJ323" s="11"/>
    </row>
    <row r="324" spans="1:37" s="7" customFormat="1" ht="5.0999999999999996" customHeight="1" outlineLevel="1">
      <c r="A324" s="12"/>
      <c r="B324" s="34" t="s">
        <v>187</v>
      </c>
      <c r="C324" s="34"/>
      <c r="D324" s="1397"/>
      <c r="E324" s="1397"/>
      <c r="F324" s="1397"/>
      <c r="G324" s="1397"/>
      <c r="H324" s="1399"/>
      <c r="I324" s="1399"/>
      <c r="J324" s="1407"/>
      <c r="K324" s="1406"/>
      <c r="L324" s="1407"/>
      <c r="M324" s="1406"/>
      <c r="N324" s="1407"/>
      <c r="O324" s="1423"/>
      <c r="P324" s="1407"/>
      <c r="Q324" s="1406"/>
      <c r="R324" s="1407"/>
      <c r="S324" s="1406"/>
      <c r="T324" s="1407"/>
      <c r="U324" s="1423"/>
      <c r="V324" s="1407"/>
      <c r="W324" s="1406"/>
      <c r="X324" s="1407"/>
      <c r="Y324" s="1406"/>
      <c r="Z324" s="1407"/>
      <c r="AA324" s="1423"/>
      <c r="AB324" s="1407"/>
      <c r="AC324" s="1406"/>
      <c r="AD324" s="1407"/>
      <c r="AE324" s="1406"/>
      <c r="AF324" s="1407"/>
      <c r="AG324" s="1423"/>
      <c r="AH324" s="1407"/>
      <c r="AI324" s="1423"/>
      <c r="AJ324" s="14"/>
      <c r="AK324" s="1"/>
    </row>
    <row r="325" spans="1:37" s="7" customFormat="1" ht="15">
      <c r="A325" s="12"/>
      <c r="B325" s="34" t="s">
        <v>187</v>
      </c>
      <c r="C325" s="34"/>
      <c r="D325" s="1399"/>
      <c r="E325" s="1399"/>
      <c r="F325" s="1396" t="s">
        <v>279</v>
      </c>
      <c r="G325" s="1399"/>
      <c r="H325" s="1399"/>
      <c r="I325" s="1399"/>
      <c r="J325" s="1404">
        <f>SUM(J323:J324)</f>
        <v>0</v>
      </c>
      <c r="K325" s="1406"/>
      <c r="L325" s="1404">
        <f>SUM(L323:L324)</f>
        <v>0</v>
      </c>
      <c r="M325" s="1406"/>
      <c r="N325" s="1404">
        <f>SUM(N323:N324)</f>
        <v>0</v>
      </c>
      <c r="O325" s="1422">
        <f>IF(N$55=0,0,N325/N$55)</f>
        <v>0</v>
      </c>
      <c r="P325" s="1404">
        <f>SUM(P323:P324)</f>
        <v>0</v>
      </c>
      <c r="Q325" s="1406"/>
      <c r="R325" s="1404">
        <f>SUM(R323:R324)</f>
        <v>0</v>
      </c>
      <c r="S325" s="1406"/>
      <c r="T325" s="1404">
        <f>SUM(T323:T324)</f>
        <v>0</v>
      </c>
      <c r="U325" s="1422">
        <f>IF(T$55=0,0,T325/T$55)</f>
        <v>0</v>
      </c>
      <c r="V325" s="1404">
        <f>SUM(V323:V324)</f>
        <v>0</v>
      </c>
      <c r="W325" s="1406"/>
      <c r="X325" s="1404">
        <f>SUM(X323:X324)</f>
        <v>0</v>
      </c>
      <c r="Y325" s="1406"/>
      <c r="Z325" s="1404">
        <f>SUM(Z323:Z324)</f>
        <v>0</v>
      </c>
      <c r="AA325" s="1422">
        <f>IF(Z$55=0,0,Z325/Z$55)</f>
        <v>0</v>
      </c>
      <c r="AB325" s="1404">
        <f>SUM(AB323:AB324)</f>
        <v>0</v>
      </c>
      <c r="AC325" s="1406"/>
      <c r="AD325" s="1404">
        <f>SUM(AD323:AD324)</f>
        <v>0</v>
      </c>
      <c r="AE325" s="1406"/>
      <c r="AF325" s="1404">
        <f>SUM(AF323:AF324)</f>
        <v>0</v>
      </c>
      <c r="AG325" s="1422">
        <f>IF(AF$55=0,0,AF325/AF$55)</f>
        <v>0</v>
      </c>
      <c r="AH325" s="1404">
        <f>SUM(AH323:AH324)</f>
        <v>0</v>
      </c>
      <c r="AI325" s="1574">
        <f>IF(AH$61=0,0,AH325/AH$61)</f>
        <v>0</v>
      </c>
      <c r="AJ325" s="14"/>
      <c r="AK325" s="1"/>
    </row>
    <row r="326" spans="1:37" s="7" customFormat="1" ht="15" outlineLevel="1">
      <c r="A326" s="12"/>
      <c r="B326" s="34" t="s">
        <v>187</v>
      </c>
      <c r="C326" s="34"/>
      <c r="D326" s="1399"/>
      <c r="E326" s="1399"/>
      <c r="F326" s="1399"/>
      <c r="G326" s="1399"/>
      <c r="H326" s="1399"/>
      <c r="I326" s="1399"/>
      <c r="J326" s="1406"/>
      <c r="K326" s="1406"/>
      <c r="L326" s="1406"/>
      <c r="M326" s="1406"/>
      <c r="N326" s="1406"/>
      <c r="O326" s="1423"/>
      <c r="P326" s="1406"/>
      <c r="Q326" s="1406"/>
      <c r="R326" s="1406"/>
      <c r="S326" s="1406"/>
      <c r="T326" s="1406"/>
      <c r="U326" s="1423"/>
      <c r="V326" s="1406"/>
      <c r="W326" s="1406"/>
      <c r="X326" s="1406"/>
      <c r="Y326" s="1406"/>
      <c r="Z326" s="1406"/>
      <c r="AA326" s="1423"/>
      <c r="AB326" s="1406"/>
      <c r="AC326" s="1406"/>
      <c r="AD326" s="1406"/>
      <c r="AE326" s="1406"/>
      <c r="AF326" s="1406"/>
      <c r="AG326" s="1423"/>
      <c r="AH326" s="1406"/>
      <c r="AI326" s="1423"/>
      <c r="AJ326" s="14"/>
      <c r="AK326" s="1"/>
    </row>
    <row r="327" spans="1:37" outlineLevel="1">
      <c r="B327" s="71" t="s">
        <v>280</v>
      </c>
      <c r="D327" s="1396"/>
      <c r="E327" s="1396"/>
      <c r="F327" s="1397"/>
      <c r="G327" s="1398"/>
      <c r="H327" s="1399"/>
      <c r="I327" s="1400"/>
      <c r="J327" s="1401"/>
      <c r="K327" s="1400"/>
      <c r="L327" s="1401"/>
      <c r="M327" s="1400"/>
      <c r="N327" s="1401"/>
      <c r="O327" s="1400"/>
      <c r="P327" s="1401"/>
      <c r="Q327" s="1400"/>
      <c r="R327" s="1401"/>
      <c r="S327" s="1400"/>
      <c r="T327" s="1401"/>
      <c r="U327" s="1400"/>
      <c r="V327" s="1401"/>
      <c r="W327" s="1400"/>
      <c r="X327" s="1401"/>
      <c r="Y327" s="1400"/>
      <c r="Z327" s="1401"/>
      <c r="AA327" s="1400"/>
      <c r="AB327" s="1401"/>
      <c r="AC327" s="1400"/>
      <c r="AD327" s="1401"/>
      <c r="AE327" s="1400"/>
      <c r="AF327" s="1401"/>
      <c r="AG327" s="1400"/>
      <c r="AH327" s="1401">
        <f>AF327+AD327+AB327+Z327+X327+V327+T327+R327+P327+N327+L327+J327</f>
        <v>0</v>
      </c>
      <c r="AI327" s="1574">
        <f>IF(AH$61=0,0,AH327/AH$61)</f>
        <v>0</v>
      </c>
      <c r="AJ327" s="11"/>
    </row>
    <row r="328" spans="1:37" s="7" customFormat="1" ht="5.0999999999999996" customHeight="1" outlineLevel="1">
      <c r="A328" s="12"/>
      <c r="B328" s="34" t="s">
        <v>187</v>
      </c>
      <c r="C328" s="34"/>
      <c r="D328" s="1397"/>
      <c r="E328" s="1397"/>
      <c r="F328" s="1397"/>
      <c r="G328" s="1397"/>
      <c r="H328" s="1399"/>
      <c r="I328" s="1399"/>
      <c r="J328" s="1407"/>
      <c r="K328" s="1406"/>
      <c r="L328" s="1407"/>
      <c r="M328" s="1406"/>
      <c r="N328" s="1407"/>
      <c r="O328" s="1423"/>
      <c r="P328" s="1407"/>
      <c r="Q328" s="1406"/>
      <c r="R328" s="1407"/>
      <c r="S328" s="1406"/>
      <c r="T328" s="1407"/>
      <c r="U328" s="1423"/>
      <c r="V328" s="1407"/>
      <c r="W328" s="1406"/>
      <c r="X328" s="1407"/>
      <c r="Y328" s="1406"/>
      <c r="Z328" s="1407"/>
      <c r="AA328" s="1423"/>
      <c r="AB328" s="1407"/>
      <c r="AC328" s="1406"/>
      <c r="AD328" s="1407"/>
      <c r="AE328" s="1406"/>
      <c r="AF328" s="1407"/>
      <c r="AG328" s="1423"/>
      <c r="AH328" s="1407"/>
      <c r="AI328" s="1423"/>
      <c r="AJ328" s="14"/>
      <c r="AK328" s="1"/>
    </row>
    <row r="329" spans="1:37" s="7" customFormat="1" ht="15">
      <c r="A329" s="12"/>
      <c r="B329" s="34" t="s">
        <v>187</v>
      </c>
      <c r="C329" s="34"/>
      <c r="D329" s="1399"/>
      <c r="E329" s="1399"/>
      <c r="F329" s="1397" t="s">
        <v>281</v>
      </c>
      <c r="G329" s="1399"/>
      <c r="H329" s="1399"/>
      <c r="I329" s="1399"/>
      <c r="J329" s="1404">
        <f>SUM(J327:J328)</f>
        <v>0</v>
      </c>
      <c r="K329" s="1406"/>
      <c r="L329" s="1404">
        <f>SUM(L327:L328)</f>
        <v>0</v>
      </c>
      <c r="M329" s="1406"/>
      <c r="N329" s="1404">
        <f>SUM(N327:N328)</f>
        <v>0</v>
      </c>
      <c r="O329" s="1422">
        <f>IF(N$55=0,0,N329/N$55)</f>
        <v>0</v>
      </c>
      <c r="P329" s="1404">
        <f>SUM(P327:P328)</f>
        <v>0</v>
      </c>
      <c r="Q329" s="1406"/>
      <c r="R329" s="1404">
        <f>SUM(R327:R328)</f>
        <v>0</v>
      </c>
      <c r="S329" s="1406"/>
      <c r="T329" s="1404">
        <f>SUM(T327:T328)</f>
        <v>0</v>
      </c>
      <c r="U329" s="1422">
        <f>IF(T$55=0,0,T329/T$55)</f>
        <v>0</v>
      </c>
      <c r="V329" s="1404">
        <f>SUM(V327:V328)</f>
        <v>0</v>
      </c>
      <c r="W329" s="1406"/>
      <c r="X329" s="1404">
        <f>SUM(X327:X328)</f>
        <v>0</v>
      </c>
      <c r="Y329" s="1406"/>
      <c r="Z329" s="1404">
        <f>SUM(Z327:Z328)</f>
        <v>0</v>
      </c>
      <c r="AA329" s="1422">
        <f>IF(Z$55=0,0,Z329/Z$55)</f>
        <v>0</v>
      </c>
      <c r="AB329" s="1404">
        <f>SUM(AB327:AB328)</f>
        <v>0</v>
      </c>
      <c r="AC329" s="1406"/>
      <c r="AD329" s="1404">
        <f>SUM(AD327:AD328)</f>
        <v>0</v>
      </c>
      <c r="AE329" s="1406"/>
      <c r="AF329" s="1404">
        <f>SUM(AF327:AF328)</f>
        <v>0</v>
      </c>
      <c r="AG329" s="1422">
        <f>IF(AF$55=0,0,AF329/AF$55)</f>
        <v>0</v>
      </c>
      <c r="AH329" s="1404">
        <f>SUM(AH327:AH328)</f>
        <v>0</v>
      </c>
      <c r="AI329" s="1574">
        <f>IF(AH$61=0,0,AH329/AH$61)</f>
        <v>0</v>
      </c>
      <c r="AJ329" s="14"/>
      <c r="AK329" s="1"/>
    </row>
    <row r="330" spans="1:37" s="7" customFormat="1" ht="6.75" customHeight="1">
      <c r="A330" s="12"/>
      <c r="B330" s="1" t="s">
        <v>187</v>
      </c>
      <c r="C330" s="1"/>
      <c r="D330" s="1399"/>
      <c r="E330" s="1399"/>
      <c r="F330" s="1399"/>
      <c r="G330" s="1399"/>
      <c r="H330" s="1399"/>
      <c r="I330" s="1399"/>
      <c r="J330" s="1406"/>
      <c r="K330" s="1406"/>
      <c r="L330" s="1406"/>
      <c r="M330" s="1406"/>
      <c r="N330" s="1406"/>
      <c r="O330" s="1423"/>
      <c r="P330" s="1406"/>
      <c r="Q330" s="1406"/>
      <c r="R330" s="1406"/>
      <c r="S330" s="1406"/>
      <c r="T330" s="1406"/>
      <c r="U330" s="1423"/>
      <c r="V330" s="1406"/>
      <c r="W330" s="1406"/>
      <c r="X330" s="1406"/>
      <c r="Y330" s="1406"/>
      <c r="Z330" s="1406"/>
      <c r="AA330" s="1423"/>
      <c r="AB330" s="1406"/>
      <c r="AC330" s="1406"/>
      <c r="AD330" s="1406"/>
      <c r="AE330" s="1406"/>
      <c r="AF330" s="1406"/>
      <c r="AG330" s="1423"/>
      <c r="AH330" s="1406"/>
      <c r="AI330" s="1423"/>
      <c r="AJ330" s="14"/>
      <c r="AK330" s="1"/>
    </row>
    <row r="331" spans="1:37" s="7" customFormat="1" ht="15">
      <c r="A331" s="12"/>
      <c r="B331" s="1" t="s">
        <v>187</v>
      </c>
      <c r="C331" s="1"/>
      <c r="D331" s="1399"/>
      <c r="E331" s="1409" t="s">
        <v>282</v>
      </c>
      <c r="F331" s="1399"/>
      <c r="G331" s="1399"/>
      <c r="H331" s="1399"/>
      <c r="I331" s="1399"/>
      <c r="J331" s="1410">
        <f>+J317-J321-J325-J329</f>
        <v>799294.44999999972</v>
      </c>
      <c r="K331" s="1406"/>
      <c r="L331" s="1410">
        <f>+L317-L321-L325-L329</f>
        <v>456233.06000000011</v>
      </c>
      <c r="M331" s="1406"/>
      <c r="N331" s="1410">
        <f>+N317-N321-N325-N329</f>
        <v>1032572.4100000005</v>
      </c>
      <c r="O331" s="1422">
        <f>IF(N$55=0,0,N331/N$55)</f>
        <v>0</v>
      </c>
      <c r="P331" s="1410">
        <f>+P317-P321-P325-P329</f>
        <v>750011.7699999999</v>
      </c>
      <c r="Q331" s="1406"/>
      <c r="R331" s="1410">
        <f>+R317-R321-R325-R329</f>
        <v>519337.8</v>
      </c>
      <c r="S331" s="1406"/>
      <c r="T331" s="1410">
        <f>+T317-T321-T325-T329</f>
        <v>322802.3500000005</v>
      </c>
      <c r="U331" s="1422">
        <f>IF(T$55=0,0,T331/T$55)</f>
        <v>0</v>
      </c>
      <c r="V331" s="1410">
        <f>+V317-V321-V325-V329</f>
        <v>729316.39000000071</v>
      </c>
      <c r="W331" s="1406"/>
      <c r="X331" s="1410">
        <f>+X317-X321-X325-X329</f>
        <v>334521.44000000058</v>
      </c>
      <c r="Y331" s="1406"/>
      <c r="Z331" s="1410">
        <f>+Z317-Z321-Z325-Z329</f>
        <v>491833.1899999993</v>
      </c>
      <c r="AA331" s="1422">
        <f>IF(Z$55=0,0,Z331/Z$55)</f>
        <v>0</v>
      </c>
      <c r="AB331" s="1410">
        <f>+AB317-AB321-AB325-AB329</f>
        <v>696046.83000000124</v>
      </c>
      <c r="AC331" s="1406"/>
      <c r="AD331" s="1410">
        <f>+AD317-AD321-AD325-AD329</f>
        <v>451893.64999999973</v>
      </c>
      <c r="AE331" s="1406"/>
      <c r="AF331" s="1410">
        <f>+AF317-AF321-AF325-AF329</f>
        <v>549089.32999999996</v>
      </c>
      <c r="AG331" s="1422">
        <f>IF(AF$55=0,0,AF331/AF$55)</f>
        <v>0</v>
      </c>
      <c r="AH331" s="1410">
        <f>+AH317-AH321-AH325-AH329</f>
        <v>7132952.6700000148</v>
      </c>
      <c r="AI331" s="1574">
        <f>IF(AH$61=0,0,AH331/AH$61)</f>
        <v>0.11379876698538517</v>
      </c>
      <c r="AJ331" s="14"/>
      <c r="AK331" s="1"/>
    </row>
    <row r="332" spans="1:37" s="7" customFormat="1" ht="6.75" customHeight="1">
      <c r="A332" s="12"/>
      <c r="B332" s="1" t="s">
        <v>187</v>
      </c>
      <c r="C332" s="1"/>
      <c r="D332" s="1399"/>
      <c r="E332" s="1399"/>
      <c r="F332" s="1399"/>
      <c r="G332" s="1399"/>
      <c r="H332" s="1399"/>
      <c r="I332" s="1399"/>
      <c r="J332" s="1406"/>
      <c r="K332" s="1406"/>
      <c r="L332" s="1406"/>
      <c r="M332" s="1406"/>
      <c r="N332" s="1406"/>
      <c r="O332" s="1423"/>
      <c r="P332" s="1406"/>
      <c r="Q332" s="1406"/>
      <c r="R332" s="1406"/>
      <c r="S332" s="1406"/>
      <c r="T332" s="1406"/>
      <c r="U332" s="1423"/>
      <c r="V332" s="1406"/>
      <c r="W332" s="1406"/>
      <c r="X332" s="1406"/>
      <c r="Y332" s="1406"/>
      <c r="Z332" s="1406"/>
      <c r="AA332" s="1423"/>
      <c r="AB332" s="1406"/>
      <c r="AC332" s="1406"/>
      <c r="AD332" s="1406"/>
      <c r="AE332" s="1406"/>
      <c r="AF332" s="1406"/>
      <c r="AG332" s="1423"/>
      <c r="AH332" s="1406"/>
      <c r="AI332" s="1423"/>
      <c r="AJ332" s="14"/>
      <c r="AK332" s="1"/>
    </row>
    <row r="333" spans="1:37" outlineLevel="1">
      <c r="B333" s="71" t="s">
        <v>405</v>
      </c>
      <c r="D333" s="1396"/>
      <c r="E333" s="1396"/>
      <c r="F333" s="1397"/>
      <c r="G333" s="1398"/>
      <c r="H333" s="1399"/>
      <c r="I333" s="1400"/>
      <c r="J333" s="1401"/>
      <c r="K333" s="1400"/>
      <c r="L333" s="1401"/>
      <c r="M333" s="1400"/>
      <c r="N333" s="1401"/>
      <c r="O333" s="1400"/>
      <c r="P333" s="1401"/>
      <c r="Q333" s="1400"/>
      <c r="R333" s="1401"/>
      <c r="S333" s="1400"/>
      <c r="T333" s="1401"/>
      <c r="U333" s="1400"/>
      <c r="V333" s="1401"/>
      <c r="W333" s="1400"/>
      <c r="X333" s="1401"/>
      <c r="Y333" s="1400"/>
      <c r="Z333" s="1401"/>
      <c r="AA333" s="1400"/>
      <c r="AB333" s="1401"/>
      <c r="AC333" s="1400"/>
      <c r="AD333" s="1401"/>
      <c r="AE333" s="1400"/>
      <c r="AF333" s="1401"/>
      <c r="AG333" s="1400"/>
      <c r="AH333" s="1401">
        <f>AF333+AD333+AB333+Z333+X333+V333+T333+R333+P333+N333+L333+J333</f>
        <v>0</v>
      </c>
      <c r="AI333" s="1574">
        <f>IF(AH$61=0,0,AH333/AH$61)</f>
        <v>0</v>
      </c>
      <c r="AJ333" s="11"/>
    </row>
    <row r="334" spans="1:37" s="7" customFormat="1" ht="5.0999999999999996" customHeight="1" outlineLevel="1">
      <c r="A334" s="12"/>
      <c r="B334" s="34" t="s">
        <v>187</v>
      </c>
      <c r="C334" s="34"/>
      <c r="D334" s="1397"/>
      <c r="E334" s="1397"/>
      <c r="F334" s="1397"/>
      <c r="G334" s="1397"/>
      <c r="H334" s="1399"/>
      <c r="I334" s="1399"/>
      <c r="J334" s="1407"/>
      <c r="K334" s="1406"/>
      <c r="L334" s="1407"/>
      <c r="M334" s="1406"/>
      <c r="N334" s="1407"/>
      <c r="O334" s="1423"/>
      <c r="P334" s="1407"/>
      <c r="Q334" s="1406"/>
      <c r="R334" s="1407"/>
      <c r="S334" s="1406"/>
      <c r="T334" s="1407"/>
      <c r="U334" s="1423"/>
      <c r="V334" s="1407"/>
      <c r="W334" s="1406"/>
      <c r="X334" s="1407"/>
      <c r="Y334" s="1406"/>
      <c r="Z334" s="1407"/>
      <c r="AA334" s="1423"/>
      <c r="AB334" s="1407"/>
      <c r="AC334" s="1406"/>
      <c r="AD334" s="1407"/>
      <c r="AE334" s="1406"/>
      <c r="AF334" s="1407"/>
      <c r="AG334" s="1423"/>
      <c r="AH334" s="1407"/>
      <c r="AI334" s="1423"/>
      <c r="AJ334" s="14"/>
      <c r="AK334" s="1"/>
    </row>
    <row r="335" spans="1:37" s="7" customFormat="1" ht="15">
      <c r="A335" s="12"/>
      <c r="B335" s="34" t="s">
        <v>187</v>
      </c>
      <c r="C335" s="34"/>
      <c r="D335" s="1399"/>
      <c r="E335" s="1399"/>
      <c r="F335" s="1396" t="s">
        <v>283</v>
      </c>
      <c r="G335" s="1399"/>
      <c r="H335" s="1399"/>
      <c r="I335" s="1399"/>
      <c r="J335" s="1404">
        <f>SUM(J333:J334)</f>
        <v>0</v>
      </c>
      <c r="K335" s="1406"/>
      <c r="L335" s="1404">
        <f>SUM(L333:L334)</f>
        <v>0</v>
      </c>
      <c r="M335" s="1406"/>
      <c r="N335" s="1404">
        <f>SUM(N333:N334)</f>
        <v>0</v>
      </c>
      <c r="O335" s="1422">
        <f>IF(N$55=0,0,N335/N$55)</f>
        <v>0</v>
      </c>
      <c r="P335" s="1404">
        <f>SUM(P333:P334)</f>
        <v>0</v>
      </c>
      <c r="Q335" s="1406"/>
      <c r="R335" s="1404">
        <f>SUM(R333:R334)</f>
        <v>0</v>
      </c>
      <c r="S335" s="1406"/>
      <c r="T335" s="1404">
        <f>SUM(T333:T334)</f>
        <v>0</v>
      </c>
      <c r="U335" s="1422">
        <f>IF(T$55=0,0,T335/T$55)</f>
        <v>0</v>
      </c>
      <c r="V335" s="1404">
        <f>SUM(V333:V334)</f>
        <v>0</v>
      </c>
      <c r="W335" s="1406"/>
      <c r="X335" s="1404">
        <f>SUM(X333:X334)</f>
        <v>0</v>
      </c>
      <c r="Y335" s="1406"/>
      <c r="Z335" s="1404">
        <f>SUM(Z333:Z334)</f>
        <v>0</v>
      </c>
      <c r="AA335" s="1422">
        <f>IF(Z$55=0,0,Z335/Z$55)</f>
        <v>0</v>
      </c>
      <c r="AB335" s="1404">
        <f>SUM(AB333:AB334)</f>
        <v>0</v>
      </c>
      <c r="AC335" s="1406"/>
      <c r="AD335" s="1404">
        <f>SUM(AD333:AD334)</f>
        <v>0</v>
      </c>
      <c r="AE335" s="1406"/>
      <c r="AF335" s="1404">
        <f>SUM(AF333:AF334)</f>
        <v>0</v>
      </c>
      <c r="AG335" s="1422">
        <f>IF(AF$55=0,0,AF335/AF$55)</f>
        <v>0</v>
      </c>
      <c r="AH335" s="1404">
        <f>SUM(AH333:AH334)</f>
        <v>0</v>
      </c>
      <c r="AI335" s="1574">
        <f>IF(AH$61=0,0,AH335/AH$61)</f>
        <v>0</v>
      </c>
      <c r="AJ335" s="14"/>
      <c r="AK335" s="1"/>
    </row>
    <row r="336" spans="1:37" s="7" customFormat="1" ht="6.75" customHeight="1">
      <c r="A336" s="12"/>
      <c r="B336" s="1" t="s">
        <v>187</v>
      </c>
      <c r="C336" s="1"/>
      <c r="D336" s="1399"/>
      <c r="E336" s="1399"/>
      <c r="F336" s="1399"/>
      <c r="G336" s="1399"/>
      <c r="H336" s="1399"/>
      <c r="I336" s="1399"/>
      <c r="J336" s="1406"/>
      <c r="K336" s="1406"/>
      <c r="L336" s="1406"/>
      <c r="M336" s="1406"/>
      <c r="N336" s="1406"/>
      <c r="O336" s="1423"/>
      <c r="P336" s="1406"/>
      <c r="Q336" s="1406"/>
      <c r="R336" s="1406"/>
      <c r="S336" s="1406"/>
      <c r="T336" s="1406"/>
      <c r="U336" s="1423"/>
      <c r="V336" s="1406"/>
      <c r="W336" s="1406"/>
      <c r="X336" s="1406"/>
      <c r="Y336" s="1406"/>
      <c r="Z336" s="1406"/>
      <c r="AA336" s="1423"/>
      <c r="AB336" s="1406"/>
      <c r="AC336" s="1406"/>
      <c r="AD336" s="1406"/>
      <c r="AE336" s="1406"/>
      <c r="AF336" s="1406"/>
      <c r="AG336" s="1423"/>
      <c r="AH336" s="1406"/>
      <c r="AI336" s="1423"/>
      <c r="AJ336" s="14"/>
      <c r="AK336" s="1"/>
    </row>
    <row r="337" spans="1:37" s="7" customFormat="1" ht="15">
      <c r="A337" s="12"/>
      <c r="B337" s="34" t="s">
        <v>187</v>
      </c>
      <c r="C337" s="34"/>
      <c r="D337" s="1399"/>
      <c r="E337" s="1409" t="s">
        <v>284</v>
      </c>
      <c r="F337" s="1399"/>
      <c r="G337" s="1399"/>
      <c r="H337" s="1399"/>
      <c r="I337" s="1399"/>
      <c r="J337" s="1410">
        <f>+J331-J335</f>
        <v>799294.44999999972</v>
      </c>
      <c r="K337" s="1406"/>
      <c r="L337" s="1410">
        <f>+L331-L335</f>
        <v>456233.06000000011</v>
      </c>
      <c r="M337" s="1406"/>
      <c r="N337" s="1410">
        <f>+N331-N335</f>
        <v>1032572.4100000005</v>
      </c>
      <c r="O337" s="1422">
        <f>IF(N$55=0,0,N337/N$55)</f>
        <v>0</v>
      </c>
      <c r="P337" s="1410">
        <f>+P331-P335</f>
        <v>750011.7699999999</v>
      </c>
      <c r="Q337" s="1406"/>
      <c r="R337" s="1410">
        <f>+R331-R335</f>
        <v>519337.8</v>
      </c>
      <c r="S337" s="1406"/>
      <c r="T337" s="1410">
        <f>+T331-T335</f>
        <v>322802.3500000005</v>
      </c>
      <c r="U337" s="1422">
        <f>IF(T$55=0,0,T337/T$55)</f>
        <v>0</v>
      </c>
      <c r="V337" s="1410">
        <f>+V331-V335</f>
        <v>729316.39000000071</v>
      </c>
      <c r="W337" s="1406"/>
      <c r="X337" s="1410">
        <f>+X331-X335</f>
        <v>334521.44000000058</v>
      </c>
      <c r="Y337" s="1406"/>
      <c r="Z337" s="1410">
        <f>+Z331-Z335</f>
        <v>491833.1899999993</v>
      </c>
      <c r="AA337" s="1422">
        <f>IF(Z$55=0,0,Z337/Z$55)</f>
        <v>0</v>
      </c>
      <c r="AB337" s="1410">
        <f>+AB331-AB335</f>
        <v>696046.83000000124</v>
      </c>
      <c r="AC337" s="1406"/>
      <c r="AD337" s="1410">
        <f>+AD331-AD335</f>
        <v>451893.64999999973</v>
      </c>
      <c r="AE337" s="1406"/>
      <c r="AF337" s="1410">
        <f>+AF331-AF335</f>
        <v>549089.32999999996</v>
      </c>
      <c r="AG337" s="1422">
        <f>IF(AF$55=0,0,AF337/AF$55)</f>
        <v>0</v>
      </c>
      <c r="AH337" s="1410">
        <f>+AH331-AH335</f>
        <v>7132952.6700000148</v>
      </c>
      <c r="AI337" s="1574">
        <f>IF(AH$61=0,0,AH337/AH$61)</f>
        <v>0.11379876698538517</v>
      </c>
      <c r="AJ337" s="14"/>
      <c r="AK337" s="1"/>
    </row>
    <row r="338" spans="1:37" ht="6.75" customHeight="1">
      <c r="A338" s="12"/>
      <c r="B338" s="1" t="s">
        <v>187</v>
      </c>
      <c r="D338" s="1424"/>
      <c r="E338" s="1424"/>
      <c r="F338" s="1424"/>
      <c r="G338" s="1424"/>
      <c r="H338" s="1424"/>
      <c r="I338" s="1424"/>
      <c r="J338" s="1415"/>
      <c r="K338" s="1415"/>
      <c r="L338" s="1415"/>
      <c r="M338" s="1415"/>
      <c r="N338" s="1415"/>
      <c r="O338" s="1423"/>
      <c r="P338" s="1415"/>
      <c r="Q338" s="1415"/>
      <c r="R338" s="1415"/>
      <c r="S338" s="1415"/>
      <c r="T338" s="1415"/>
      <c r="U338" s="1423"/>
      <c r="V338" s="1415"/>
      <c r="W338" s="1415"/>
      <c r="X338" s="1415"/>
      <c r="Y338" s="1415"/>
      <c r="Z338" s="1415"/>
      <c r="AA338" s="1423"/>
      <c r="AB338" s="1415"/>
      <c r="AC338" s="1415"/>
      <c r="AD338" s="1415"/>
      <c r="AE338" s="1415"/>
      <c r="AF338" s="1415"/>
      <c r="AG338" s="1423"/>
      <c r="AH338" s="1415"/>
      <c r="AI338" s="1423"/>
      <c r="AJ338" s="14"/>
    </row>
    <row r="339" spans="1:37" outlineLevel="1">
      <c r="B339" s="71" t="s">
        <v>285</v>
      </c>
      <c r="D339" s="1396"/>
      <c r="E339" s="1396"/>
      <c r="F339" s="1397"/>
      <c r="G339" s="1398"/>
      <c r="H339" s="1399"/>
      <c r="I339" s="1400"/>
      <c r="J339" s="1401"/>
      <c r="K339" s="1400"/>
      <c r="L339" s="1401"/>
      <c r="M339" s="1400"/>
      <c r="N339" s="1401"/>
      <c r="O339" s="1400"/>
      <c r="P339" s="1401"/>
      <c r="Q339" s="1400"/>
      <c r="R339" s="1401"/>
      <c r="S339" s="1400"/>
      <c r="T339" s="1401"/>
      <c r="U339" s="1400"/>
      <c r="V339" s="1401"/>
      <c r="W339" s="1400"/>
      <c r="X339" s="1401"/>
      <c r="Y339" s="1400"/>
      <c r="Z339" s="1401"/>
      <c r="AA339" s="1400"/>
      <c r="AB339" s="1401"/>
      <c r="AC339" s="1400"/>
      <c r="AD339" s="1401"/>
      <c r="AE339" s="1400"/>
      <c r="AF339" s="1401"/>
      <c r="AG339" s="1400"/>
      <c r="AH339" s="1401">
        <f>AF339+AD339+AB339+Z339+X339+V339+T339+R339+P339+N339+L339+J339</f>
        <v>0</v>
      </c>
      <c r="AI339" s="1574">
        <f>IF(AH$61=0,0,AH339/AH$61)</f>
        <v>0</v>
      </c>
      <c r="AJ339" s="11"/>
    </row>
    <row r="340" spans="1:37" s="7" customFormat="1" ht="5.0999999999999996" customHeight="1" outlineLevel="1">
      <c r="A340" s="12"/>
      <c r="B340" s="34" t="s">
        <v>187</v>
      </c>
      <c r="C340" s="34"/>
      <c r="D340" s="1397"/>
      <c r="E340" s="1397"/>
      <c r="F340" s="1397"/>
      <c r="G340" s="1397"/>
      <c r="H340" s="1399"/>
      <c r="I340" s="1399"/>
      <c r="J340" s="1407"/>
      <c r="K340" s="1406"/>
      <c r="L340" s="1407"/>
      <c r="M340" s="1406"/>
      <c r="N340" s="1407"/>
      <c r="O340" s="1423"/>
      <c r="P340" s="1407"/>
      <c r="Q340" s="1406"/>
      <c r="R340" s="1407"/>
      <c r="S340" s="1406"/>
      <c r="T340" s="1407"/>
      <c r="U340" s="1423"/>
      <c r="V340" s="1407"/>
      <c r="W340" s="1406"/>
      <c r="X340" s="1407"/>
      <c r="Y340" s="1406"/>
      <c r="Z340" s="1407"/>
      <c r="AA340" s="1423"/>
      <c r="AB340" s="1407"/>
      <c r="AC340" s="1406"/>
      <c r="AD340" s="1407"/>
      <c r="AE340" s="1406"/>
      <c r="AF340" s="1407"/>
      <c r="AG340" s="1423"/>
      <c r="AH340" s="1407"/>
      <c r="AI340" s="1423"/>
      <c r="AJ340" s="14"/>
      <c r="AK340" s="1"/>
    </row>
    <row r="341" spans="1:37" s="7" customFormat="1" ht="15">
      <c r="A341" s="1"/>
      <c r="B341" s="34"/>
      <c r="C341" s="34"/>
      <c r="D341" s="1399"/>
      <c r="E341" s="1399"/>
      <c r="F341" s="1396" t="s">
        <v>286</v>
      </c>
      <c r="G341" s="1399"/>
      <c r="H341" s="1399"/>
      <c r="I341" s="1399"/>
      <c r="J341" s="1404">
        <f>SUM(J339:J340)</f>
        <v>0</v>
      </c>
      <c r="K341" s="1406"/>
      <c r="L341" s="1404">
        <f>SUM(L339:L340)</f>
        <v>0</v>
      </c>
      <c r="M341" s="1406"/>
      <c r="N341" s="1404">
        <f>SUM(N339:N340)</f>
        <v>0</v>
      </c>
      <c r="O341" s="1422">
        <f>IF(N$55=0,0,N341/N$55)</f>
        <v>0</v>
      </c>
      <c r="P341" s="1404">
        <f>SUM(P339:P340)</f>
        <v>0</v>
      </c>
      <c r="Q341" s="1406"/>
      <c r="R341" s="1404">
        <f>SUM(R339:R340)</f>
        <v>0</v>
      </c>
      <c r="S341" s="1406"/>
      <c r="T341" s="1404">
        <f>SUM(T339:T340)</f>
        <v>0</v>
      </c>
      <c r="U341" s="1422">
        <f>IF(T$55=0,0,T341/T$55)</f>
        <v>0</v>
      </c>
      <c r="V341" s="1404">
        <f>SUM(V339:V340)</f>
        <v>0</v>
      </c>
      <c r="W341" s="1406"/>
      <c r="X341" s="1404">
        <f>SUM(X339:X340)</f>
        <v>0</v>
      </c>
      <c r="Y341" s="1406"/>
      <c r="Z341" s="1404">
        <f>SUM(Z339:Z340)</f>
        <v>0</v>
      </c>
      <c r="AA341" s="1422">
        <f>IF(Z$55=0,0,Z341/Z$55)</f>
        <v>0</v>
      </c>
      <c r="AB341" s="1404">
        <f>SUM(AB339:AB340)</f>
        <v>0</v>
      </c>
      <c r="AC341" s="1406"/>
      <c r="AD341" s="1404">
        <f>SUM(AD339:AD340)</f>
        <v>0</v>
      </c>
      <c r="AE341" s="1406"/>
      <c r="AF341" s="1404">
        <f>SUM(AF339:AF340)</f>
        <v>0</v>
      </c>
      <c r="AG341" s="1422">
        <f>IF(AF$55=0,0,AF341/AF$55)</f>
        <v>0</v>
      </c>
      <c r="AH341" s="1404">
        <f>SUM(AH339:AH340)</f>
        <v>0</v>
      </c>
      <c r="AI341" s="1574">
        <f>IF(AH$61=0,0,AH341/AH$61)</f>
        <v>0</v>
      </c>
      <c r="AJ341" s="14"/>
      <c r="AK341" s="1"/>
    </row>
    <row r="342" spans="1:37" s="7" customFormat="1" ht="6.75" customHeight="1">
      <c r="A342" s="1"/>
      <c r="B342" s="34"/>
      <c r="C342" s="34"/>
      <c r="D342" s="1399"/>
      <c r="E342" s="1399"/>
      <c r="F342" s="1399"/>
      <c r="G342" s="1399"/>
      <c r="H342" s="1399"/>
      <c r="I342" s="1399"/>
      <c r="J342" s="1406"/>
      <c r="K342" s="1406"/>
      <c r="L342" s="1406"/>
      <c r="M342" s="1406"/>
      <c r="N342" s="1406"/>
      <c r="O342" s="1423"/>
      <c r="P342" s="1406"/>
      <c r="Q342" s="1406"/>
      <c r="R342" s="1406"/>
      <c r="S342" s="1406"/>
      <c r="T342" s="1406"/>
      <c r="U342" s="1423"/>
      <c r="V342" s="1406"/>
      <c r="W342" s="1406"/>
      <c r="X342" s="1406"/>
      <c r="Y342" s="1406"/>
      <c r="Z342" s="1406"/>
      <c r="AA342" s="1423"/>
      <c r="AB342" s="1406"/>
      <c r="AC342" s="1406"/>
      <c r="AD342" s="1406"/>
      <c r="AE342" s="1406"/>
      <c r="AF342" s="1406"/>
      <c r="AG342" s="1423"/>
      <c r="AH342" s="1406"/>
      <c r="AI342" s="1423"/>
      <c r="AJ342" s="14"/>
      <c r="AK342" s="1"/>
    </row>
    <row r="343" spans="1:37" s="7" customFormat="1" ht="15">
      <c r="A343" s="1"/>
      <c r="B343" s="1"/>
      <c r="C343" s="1"/>
      <c r="D343" s="1399"/>
      <c r="E343" s="1409" t="s">
        <v>287</v>
      </c>
      <c r="F343" s="1399"/>
      <c r="G343" s="1399"/>
      <c r="H343" s="1399"/>
      <c r="I343" s="1399"/>
      <c r="J343" s="1410">
        <f>+J337-J341</f>
        <v>799294.44999999972</v>
      </c>
      <c r="K343" s="1406"/>
      <c r="L343" s="1410">
        <f>+L337-L341</f>
        <v>456233.06000000011</v>
      </c>
      <c r="M343" s="1406"/>
      <c r="N343" s="1410">
        <f>+N337-N341</f>
        <v>1032572.4100000005</v>
      </c>
      <c r="O343" s="1422">
        <f>IF(N$55=0,0,N343/N$55)</f>
        <v>0</v>
      </c>
      <c r="P343" s="1410">
        <f>+P337-P341</f>
        <v>750011.7699999999</v>
      </c>
      <c r="Q343" s="1406"/>
      <c r="R343" s="1410">
        <f>+R337-R341</f>
        <v>519337.8</v>
      </c>
      <c r="S343" s="1406"/>
      <c r="T343" s="1410">
        <f>+T337-T341</f>
        <v>322802.3500000005</v>
      </c>
      <c r="U343" s="1422">
        <f>IF(T$55=0,0,T343/T$55)</f>
        <v>0</v>
      </c>
      <c r="V343" s="1410">
        <f>+V337-V341</f>
        <v>729316.39000000071</v>
      </c>
      <c r="W343" s="1406"/>
      <c r="X343" s="1410">
        <f>+X337-X341</f>
        <v>334521.44000000058</v>
      </c>
      <c r="Y343" s="1406"/>
      <c r="Z343" s="1410">
        <f>+Z337-Z341</f>
        <v>491833.1899999993</v>
      </c>
      <c r="AA343" s="1422">
        <f>IF(Z$55=0,0,Z343/Z$55)</f>
        <v>0</v>
      </c>
      <c r="AB343" s="1410">
        <f>+AB337-AB341</f>
        <v>696046.83000000124</v>
      </c>
      <c r="AC343" s="1406"/>
      <c r="AD343" s="1410">
        <f>+AD337-AD341</f>
        <v>451893.64999999973</v>
      </c>
      <c r="AE343" s="1406"/>
      <c r="AF343" s="1410">
        <f>+AF337-AF341</f>
        <v>549089.32999999996</v>
      </c>
      <c r="AG343" s="1422">
        <f>IF(AF$55=0,0,AF343/AF$55)</f>
        <v>0</v>
      </c>
      <c r="AH343" s="1410">
        <f>+AH337-AH341</f>
        <v>7132952.6700000148</v>
      </c>
      <c r="AI343" s="1574">
        <f>IF(AH$61=0,0,AH343/AH$61)</f>
        <v>0.11379876698538517</v>
      </c>
      <c r="AJ343" s="14"/>
      <c r="AK343" s="1"/>
    </row>
    <row r="344" spans="1:37" s="7" customFormat="1" ht="6.75" customHeight="1">
      <c r="A344" s="1"/>
      <c r="B344" s="34"/>
      <c r="C344" s="34"/>
      <c r="D344" s="1399"/>
      <c r="E344" s="1399"/>
      <c r="F344" s="1399"/>
      <c r="G344" s="1399"/>
      <c r="H344" s="1399"/>
      <c r="I344" s="1399"/>
      <c r="J344" s="1406"/>
      <c r="K344" s="1406"/>
      <c r="L344" s="1406"/>
      <c r="M344" s="1406"/>
      <c r="N344" s="1406"/>
      <c r="O344" s="1423"/>
      <c r="P344" s="1406"/>
      <c r="Q344" s="1406"/>
      <c r="R344" s="1406"/>
      <c r="S344" s="1406"/>
      <c r="T344" s="1406"/>
      <c r="U344" s="1423"/>
      <c r="V344" s="1406"/>
      <c r="W344" s="1406"/>
      <c r="X344" s="1406"/>
      <c r="Y344" s="1406"/>
      <c r="Z344" s="1406"/>
      <c r="AA344" s="1423"/>
      <c r="AB344" s="1406"/>
      <c r="AC344" s="1406"/>
      <c r="AD344" s="1406"/>
      <c r="AE344" s="1406"/>
      <c r="AF344" s="1406"/>
      <c r="AG344" s="1423"/>
      <c r="AH344" s="1406"/>
      <c r="AI344" s="1423"/>
      <c r="AJ344" s="14"/>
      <c r="AK344" s="1"/>
    </row>
    <row r="345" spans="1:37" outlineLevel="1">
      <c r="B345" s="71" t="s">
        <v>288</v>
      </c>
      <c r="D345" s="1396"/>
      <c r="E345" s="1396"/>
      <c r="F345" s="1397"/>
      <c r="G345" s="1398"/>
      <c r="H345" s="1399"/>
      <c r="I345" s="1400"/>
      <c r="J345" s="1401"/>
      <c r="K345" s="1400"/>
      <c r="L345" s="1401"/>
      <c r="M345" s="1400"/>
      <c r="N345" s="1401"/>
      <c r="O345" s="1400"/>
      <c r="P345" s="1401"/>
      <c r="Q345" s="1400"/>
      <c r="R345" s="1401"/>
      <c r="S345" s="1400"/>
      <c r="T345" s="1401"/>
      <c r="U345" s="1400"/>
      <c r="V345" s="1401"/>
      <c r="W345" s="1400"/>
      <c r="X345" s="1401"/>
      <c r="Y345" s="1400"/>
      <c r="Z345" s="1401"/>
      <c r="AA345" s="1400"/>
      <c r="AB345" s="1401"/>
      <c r="AC345" s="1400"/>
      <c r="AD345" s="1401"/>
      <c r="AE345" s="1400"/>
      <c r="AF345" s="1401"/>
      <c r="AG345" s="1400"/>
      <c r="AH345" s="1401">
        <f>AF345+AD345+AB345+Z345+X345+V345+T345+R345+P345+N345+L345+J345</f>
        <v>0</v>
      </c>
      <c r="AI345" s="1574">
        <f>IF(AH$61=0,0,AH345/AH$61)</f>
        <v>0</v>
      </c>
      <c r="AJ345" s="11"/>
    </row>
    <row r="346" spans="1:37" s="7" customFormat="1" ht="5.0999999999999996" customHeight="1" outlineLevel="1">
      <c r="A346" s="12"/>
      <c r="B346" s="34" t="s">
        <v>187</v>
      </c>
      <c r="C346" s="34"/>
      <c r="D346" s="1397"/>
      <c r="E346" s="1397"/>
      <c r="F346" s="1397"/>
      <c r="G346" s="1397"/>
      <c r="H346" s="1399"/>
      <c r="I346" s="1399"/>
      <c r="J346" s="1407"/>
      <c r="K346" s="1406"/>
      <c r="L346" s="1407"/>
      <c r="M346" s="1406"/>
      <c r="N346" s="1407"/>
      <c r="O346" s="1423"/>
      <c r="P346" s="1407"/>
      <c r="Q346" s="1406"/>
      <c r="R346" s="1407"/>
      <c r="S346" s="1406"/>
      <c r="T346" s="1407"/>
      <c r="U346" s="1423"/>
      <c r="V346" s="1407"/>
      <c r="W346" s="1406"/>
      <c r="X346" s="1407"/>
      <c r="Y346" s="1406"/>
      <c r="Z346" s="1407"/>
      <c r="AA346" s="1423"/>
      <c r="AB346" s="1407"/>
      <c r="AC346" s="1406"/>
      <c r="AD346" s="1407"/>
      <c r="AE346" s="1406"/>
      <c r="AF346" s="1407"/>
      <c r="AG346" s="1423"/>
      <c r="AH346" s="1407"/>
      <c r="AI346" s="1423"/>
      <c r="AJ346" s="14"/>
      <c r="AK346" s="1"/>
    </row>
    <row r="347" spans="1:37" s="7" customFormat="1" ht="15">
      <c r="A347" s="12"/>
      <c r="B347" s="34" t="s">
        <v>187</v>
      </c>
      <c r="C347" s="34"/>
      <c r="D347" s="1399"/>
      <c r="E347" s="1399"/>
      <c r="F347" s="1396" t="s">
        <v>289</v>
      </c>
      <c r="G347" s="1399"/>
      <c r="H347" s="1399"/>
      <c r="I347" s="1399"/>
      <c r="J347" s="1404">
        <f>SUM(J345:J346)</f>
        <v>0</v>
      </c>
      <c r="K347" s="1406"/>
      <c r="L347" s="1404">
        <f>SUM(L345:L346)</f>
        <v>0</v>
      </c>
      <c r="M347" s="1406"/>
      <c r="N347" s="1404">
        <f>SUM(N345:N346)</f>
        <v>0</v>
      </c>
      <c r="O347" s="1422">
        <f>IF(N$55=0,0,N347/N$55)</f>
        <v>0</v>
      </c>
      <c r="P347" s="1404">
        <f>SUM(P345:P346)</f>
        <v>0</v>
      </c>
      <c r="Q347" s="1406"/>
      <c r="R347" s="1404">
        <f>SUM(R345:R346)</f>
        <v>0</v>
      </c>
      <c r="S347" s="1406"/>
      <c r="T347" s="1404">
        <f>SUM(T345:T346)</f>
        <v>0</v>
      </c>
      <c r="U347" s="1422">
        <f>IF(T$55=0,0,T347/T$55)</f>
        <v>0</v>
      </c>
      <c r="V347" s="1404">
        <f>SUM(V345:V346)</f>
        <v>0</v>
      </c>
      <c r="W347" s="1406"/>
      <c r="X347" s="1404">
        <f>SUM(X345:X346)</f>
        <v>0</v>
      </c>
      <c r="Y347" s="1406"/>
      <c r="Z347" s="1404">
        <f>SUM(Z345:Z346)</f>
        <v>0</v>
      </c>
      <c r="AA347" s="1422">
        <f>IF(Z$55=0,0,Z347/Z$55)</f>
        <v>0</v>
      </c>
      <c r="AB347" s="1404">
        <f>SUM(AB345:AB346)</f>
        <v>0</v>
      </c>
      <c r="AC347" s="1406"/>
      <c r="AD347" s="1404">
        <f>SUM(AD345:AD346)</f>
        <v>0</v>
      </c>
      <c r="AE347" s="1406"/>
      <c r="AF347" s="1404">
        <f>SUM(AF345:AF346)</f>
        <v>0</v>
      </c>
      <c r="AG347" s="1422">
        <f>IF(AF$55=0,0,AF347/AF$55)</f>
        <v>0</v>
      </c>
      <c r="AH347" s="1404">
        <f>SUM(AH345:AH346)</f>
        <v>0</v>
      </c>
      <c r="AI347" s="1574">
        <f>IF(AH$61=0,0,AH347/AH$61)</f>
        <v>0</v>
      </c>
      <c r="AJ347" s="14"/>
      <c r="AK347" s="1"/>
    </row>
    <row r="348" spans="1:37" s="7" customFormat="1" ht="6.75" customHeight="1">
      <c r="A348" s="1"/>
      <c r="B348" s="34"/>
      <c r="C348" s="34"/>
      <c r="D348" s="1399"/>
      <c r="E348" s="1399"/>
      <c r="F348" s="1399"/>
      <c r="G348" s="1399"/>
      <c r="H348" s="1399"/>
      <c r="I348" s="1399"/>
      <c r="J348" s="1406"/>
      <c r="K348" s="1406"/>
      <c r="L348" s="1406"/>
      <c r="M348" s="1406"/>
      <c r="N348" s="1406"/>
      <c r="O348" s="1423"/>
      <c r="P348" s="1406"/>
      <c r="Q348" s="1406"/>
      <c r="R348" s="1406"/>
      <c r="S348" s="1406"/>
      <c r="T348" s="1406"/>
      <c r="U348" s="1423"/>
      <c r="V348" s="1406"/>
      <c r="W348" s="1406"/>
      <c r="X348" s="1406"/>
      <c r="Y348" s="1406"/>
      <c r="Z348" s="1406"/>
      <c r="AA348" s="1423"/>
      <c r="AB348" s="1406"/>
      <c r="AC348" s="1406"/>
      <c r="AD348" s="1406"/>
      <c r="AE348" s="1406"/>
      <c r="AF348" s="1406"/>
      <c r="AG348" s="1423"/>
      <c r="AH348" s="1406"/>
      <c r="AI348" s="1423"/>
      <c r="AJ348" s="14"/>
      <c r="AK348" s="1"/>
    </row>
    <row r="349" spans="1:37" s="7" customFormat="1" ht="15.75" thickBot="1">
      <c r="A349" s="1"/>
      <c r="B349" s="1"/>
      <c r="C349" s="1"/>
      <c r="D349" s="1399"/>
      <c r="E349" s="1409" t="s">
        <v>290</v>
      </c>
      <c r="F349" s="1399"/>
      <c r="G349" s="1399"/>
      <c r="H349" s="1399"/>
      <c r="I349" s="1399"/>
      <c r="J349" s="1425">
        <f>+J343-J347</f>
        <v>799294.44999999972</v>
      </c>
      <c r="K349" s="1406"/>
      <c r="L349" s="1425">
        <f>+L343-L347</f>
        <v>456233.06000000011</v>
      </c>
      <c r="M349" s="1406"/>
      <c r="N349" s="1425">
        <f>+N343-N347</f>
        <v>1032572.4100000005</v>
      </c>
      <c r="O349" s="1422">
        <f>IF(N$55=0,0,N349/N$55)</f>
        <v>0</v>
      </c>
      <c r="P349" s="1425">
        <f>+P343-P347</f>
        <v>750011.7699999999</v>
      </c>
      <c r="Q349" s="1406"/>
      <c r="R349" s="1425">
        <f>+R343-R347</f>
        <v>519337.8</v>
      </c>
      <c r="S349" s="1406"/>
      <c r="T349" s="1425">
        <f>+T343-T347</f>
        <v>322802.3500000005</v>
      </c>
      <c r="U349" s="1422">
        <f>IF(T$55=0,0,T349/T$55)</f>
        <v>0</v>
      </c>
      <c r="V349" s="1425">
        <f>+V343-V347</f>
        <v>729316.39000000071</v>
      </c>
      <c r="W349" s="1406"/>
      <c r="X349" s="1425">
        <f>+X343-X347</f>
        <v>334521.44000000058</v>
      </c>
      <c r="Y349" s="1406"/>
      <c r="Z349" s="1425">
        <f>+Z343-Z347</f>
        <v>491833.1899999993</v>
      </c>
      <c r="AA349" s="1422">
        <f>IF(Z$55=0,0,Z349/Z$55)</f>
        <v>0</v>
      </c>
      <c r="AB349" s="1425">
        <f>+AB343-AB347</f>
        <v>696046.83000000124</v>
      </c>
      <c r="AC349" s="1406"/>
      <c r="AD349" s="1425">
        <f>+AD343-AD347</f>
        <v>451893.64999999973</v>
      </c>
      <c r="AE349" s="1406"/>
      <c r="AF349" s="1425">
        <f>+AF343-AF347</f>
        <v>549089.32999999996</v>
      </c>
      <c r="AG349" s="1422">
        <f>IF(AF$55=0,0,AF349/AF$55)</f>
        <v>0</v>
      </c>
      <c r="AH349" s="1425">
        <f>+AH343-AH347</f>
        <v>7132952.6700000148</v>
      </c>
      <c r="AI349" s="1574">
        <f>IF(AH$61=0,0,AH349/AH$61)</f>
        <v>0.11379876698538517</v>
      </c>
      <c r="AJ349" s="14"/>
      <c r="AK349" s="1"/>
    </row>
    <row r="350" spans="1:37" s="63" customFormat="1" ht="15.75" thickTop="1">
      <c r="A350" s="12"/>
      <c r="B350" s="34"/>
      <c r="C350" s="34"/>
      <c r="D350" s="1399"/>
      <c r="E350" s="1399"/>
      <c r="F350" s="1396"/>
      <c r="G350" s="1399"/>
      <c r="H350" s="1424"/>
      <c r="I350" s="1424"/>
      <c r="J350" s="1426"/>
      <c r="K350" s="1424"/>
      <c r="L350" s="1426"/>
      <c r="M350" s="1403"/>
      <c r="N350" s="1426"/>
      <c r="O350" s="1403"/>
      <c r="P350" s="1426"/>
      <c r="Q350" s="1424"/>
      <c r="R350" s="1426"/>
      <c r="S350" s="1403"/>
      <c r="T350" s="1426"/>
      <c r="U350" s="1403"/>
      <c r="V350" s="1426"/>
      <c r="W350" s="1424"/>
      <c r="X350" s="1426"/>
      <c r="Y350" s="1403"/>
      <c r="Z350" s="1426"/>
      <c r="AA350" s="1403"/>
      <c r="AB350" s="1426"/>
      <c r="AC350" s="1424"/>
      <c r="AD350" s="1426"/>
      <c r="AE350" s="1403"/>
      <c r="AF350" s="1426"/>
      <c r="AG350" s="1403"/>
      <c r="AH350" s="1426"/>
      <c r="AI350" s="1426"/>
      <c r="AJ350" s="1"/>
      <c r="AK350" s="1"/>
    </row>
    <row r="351" spans="1:37" customFormat="1" ht="15" outlineLevel="1">
      <c r="B351" t="s">
        <v>406</v>
      </c>
      <c r="D351" s="1427"/>
      <c r="E351" s="1427"/>
      <c r="F351" s="1427"/>
      <c r="G351" s="1427"/>
      <c r="H351" s="1427"/>
      <c r="I351" s="1427"/>
      <c r="J351" s="1427"/>
      <c r="K351" s="1427"/>
      <c r="L351" s="1427"/>
      <c r="M351" s="1427"/>
      <c r="N351" s="1427"/>
      <c r="O351" s="1427"/>
      <c r="P351" s="1427"/>
      <c r="Q351" s="1427"/>
      <c r="R351" s="1427"/>
      <c r="S351" s="1427"/>
      <c r="T351" s="1427"/>
      <c r="U351" s="1427"/>
      <c r="V351" s="1427"/>
      <c r="W351" s="1427"/>
      <c r="X351" s="1427"/>
      <c r="Y351" s="1427"/>
      <c r="Z351" s="1427"/>
      <c r="AA351" s="1427"/>
      <c r="AB351" s="1427"/>
      <c r="AC351" s="1427"/>
      <c r="AD351" s="1427"/>
      <c r="AE351" s="1427"/>
      <c r="AF351" s="1427"/>
      <c r="AG351" s="1427"/>
      <c r="AH351" s="1427"/>
      <c r="AI351" s="1427"/>
      <c r="AK351" s="1"/>
    </row>
    <row r="352" spans="1:37" ht="6" customHeight="1" outlineLevel="1">
      <c r="A352" s="12"/>
      <c r="D352" s="1424"/>
      <c r="E352" s="1424"/>
      <c r="F352" s="1424"/>
      <c r="G352" s="1424"/>
      <c r="H352" s="1424"/>
      <c r="I352" s="1424"/>
      <c r="J352" s="1407"/>
      <c r="K352" s="1406"/>
      <c r="L352" s="1407"/>
      <c r="M352" s="1406"/>
      <c r="N352" s="1407"/>
      <c r="O352" s="1423"/>
      <c r="P352" s="1407"/>
      <c r="Q352" s="1406"/>
      <c r="R352" s="1407"/>
      <c r="S352" s="1406"/>
      <c r="T352" s="1407"/>
      <c r="U352" s="1423"/>
      <c r="V352" s="1407"/>
      <c r="W352" s="1406"/>
      <c r="X352" s="1407"/>
      <c r="Y352" s="1406"/>
      <c r="Z352" s="1407"/>
      <c r="AA352" s="1423"/>
      <c r="AB352" s="1407"/>
      <c r="AC352" s="1406"/>
      <c r="AD352" s="1407"/>
      <c r="AE352" s="1406"/>
      <c r="AF352" s="1407"/>
      <c r="AG352" s="1423"/>
      <c r="AH352" s="1407"/>
    </row>
    <row r="353" spans="1:37" s="4" customFormat="1">
      <c r="A353" s="76"/>
      <c r="D353" s="1415"/>
      <c r="E353" s="1415" t="s">
        <v>291</v>
      </c>
      <c r="F353" s="1415"/>
      <c r="G353" s="1415"/>
      <c r="H353" s="1415"/>
      <c r="I353" s="1415"/>
      <c r="J353" s="1404">
        <f>SUM(J351:J352)</f>
        <v>0</v>
      </c>
      <c r="K353" s="1406"/>
      <c r="L353" s="1404">
        <f>SUM(L351:L352)</f>
        <v>0</v>
      </c>
      <c r="M353" s="1406"/>
      <c r="N353" s="1404">
        <f>SUM(N351:N352)</f>
        <v>0</v>
      </c>
      <c r="O353" s="1422"/>
      <c r="P353" s="1404">
        <f>SUM(P351:P352)</f>
        <v>0</v>
      </c>
      <c r="Q353" s="1406"/>
      <c r="R353" s="1404">
        <f>SUM(R351:R352)</f>
        <v>0</v>
      </c>
      <c r="S353" s="1406"/>
      <c r="T353" s="1404">
        <f>SUM(T351:T352)</f>
        <v>0</v>
      </c>
      <c r="U353" s="1422"/>
      <c r="V353" s="1404">
        <f>SUM(V351:V352)</f>
        <v>0</v>
      </c>
      <c r="W353" s="1406"/>
      <c r="X353" s="1404">
        <f>SUM(X351:X352)</f>
        <v>0</v>
      </c>
      <c r="Y353" s="1406"/>
      <c r="Z353" s="1404">
        <f>SUM(Z351:Z352)</f>
        <v>0</v>
      </c>
      <c r="AA353" s="1422"/>
      <c r="AB353" s="1404">
        <f>SUM(AB351:AB352)</f>
        <v>0</v>
      </c>
      <c r="AC353" s="1406"/>
      <c r="AD353" s="1404">
        <f>SUM(AD351:AD352)</f>
        <v>0</v>
      </c>
      <c r="AE353" s="1406"/>
      <c r="AF353" s="1404">
        <f>SUM(AF351:AF352)</f>
        <v>0</v>
      </c>
      <c r="AG353" s="1422"/>
      <c r="AH353" s="1404">
        <f>SUM(AH351:AH352)</f>
        <v>0</v>
      </c>
      <c r="AI353" s="1415"/>
      <c r="AK353" s="1"/>
    </row>
    <row r="354" spans="1:37">
      <c r="A354" s="12"/>
      <c r="D354" s="1424"/>
      <c r="E354" s="1424"/>
      <c r="F354" s="1424"/>
      <c r="G354" s="1424"/>
      <c r="H354" s="1424"/>
      <c r="I354" s="1424"/>
      <c r="J354" s="1428"/>
      <c r="K354" s="1428"/>
      <c r="L354" s="1428"/>
      <c r="M354" s="1428"/>
      <c r="N354" s="1428"/>
      <c r="O354" s="1428"/>
      <c r="P354" s="1428"/>
      <c r="Q354" s="1428"/>
      <c r="R354" s="1428"/>
      <c r="S354" s="1428"/>
      <c r="T354" s="1428"/>
      <c r="U354" s="1428"/>
      <c r="V354" s="1428"/>
      <c r="W354" s="1428"/>
      <c r="X354" s="1428"/>
      <c r="Y354" s="1428"/>
      <c r="Z354" s="1428"/>
      <c r="AA354" s="1428"/>
      <c r="AB354" s="1428"/>
      <c r="AC354" s="1428"/>
      <c r="AD354" s="1428"/>
      <c r="AE354" s="1428"/>
      <c r="AF354" s="1428"/>
      <c r="AG354" s="1428"/>
      <c r="AH354" s="1428"/>
      <c r="AI354" s="1428"/>
      <c r="AJ354" s="34"/>
    </row>
    <row r="355" spans="1:37" ht="15">
      <c r="A355" s="12"/>
      <c r="B355" s="34"/>
      <c r="C355" s="34"/>
      <c r="D355" s="1397"/>
      <c r="E355" s="1397"/>
      <c r="F355" s="1397"/>
      <c r="G355" s="1397"/>
      <c r="H355" s="1424"/>
      <c r="I355" s="1424"/>
      <c r="J355" s="1426"/>
      <c r="K355" s="1424"/>
      <c r="L355" s="1426"/>
      <c r="M355" s="1403"/>
      <c r="N355" s="1426"/>
      <c r="O355" s="1403"/>
      <c r="P355" s="1426"/>
      <c r="Q355" s="1424"/>
      <c r="R355" s="1426"/>
      <c r="S355" s="1403"/>
      <c r="T355" s="1426"/>
      <c r="U355" s="1403"/>
      <c r="V355" s="1426"/>
      <c r="W355" s="1424"/>
      <c r="X355" s="1426"/>
      <c r="Y355" s="1403"/>
      <c r="Z355" s="1426"/>
      <c r="AA355" s="1403"/>
      <c r="AB355" s="1426"/>
      <c r="AC355" s="1424"/>
      <c r="AD355" s="1426"/>
      <c r="AE355" s="1403"/>
      <c r="AF355" s="1426"/>
      <c r="AG355" s="1403"/>
      <c r="AH355" s="1426"/>
    </row>
    <row r="356" spans="1:37" ht="15.75">
      <c r="A356" s="12"/>
      <c r="B356" s="34"/>
      <c r="C356" s="34"/>
      <c r="D356" s="1399"/>
      <c r="E356" s="1399"/>
      <c r="F356" s="1397"/>
      <c r="G356" s="1399"/>
      <c r="H356" s="1424"/>
      <c r="I356" s="1424"/>
      <c r="J356" s="1426"/>
      <c r="K356" s="1424"/>
      <c r="L356" s="1426"/>
      <c r="M356" s="1403"/>
      <c r="N356" s="1426"/>
      <c r="O356" s="1403"/>
      <c r="P356" s="1426"/>
      <c r="Q356" s="1424"/>
      <c r="R356" s="1426"/>
      <c r="S356" s="1403"/>
      <c r="T356" s="1426"/>
      <c r="U356" s="1403"/>
      <c r="V356" s="1426"/>
      <c r="W356" s="1424"/>
      <c r="X356" s="1426"/>
      <c r="Y356" s="1403"/>
      <c r="Z356" s="1426"/>
      <c r="AA356" s="1403"/>
      <c r="AB356" s="1426"/>
      <c r="AC356" s="1424"/>
      <c r="AD356" s="1426"/>
      <c r="AE356" s="1403"/>
      <c r="AF356" s="1429" t="s">
        <v>292</v>
      </c>
      <c r="AG356" s="1430"/>
      <c r="AH356" s="1431">
        <f>SUM(J349:AF349)-AH349</f>
        <v>-1.3038516044616699E-8</v>
      </c>
    </row>
    <row r="357" spans="1:37" s="63" customFormat="1" ht="15">
      <c r="A357" s="12"/>
      <c r="B357" s="34"/>
      <c r="C357" s="34"/>
      <c r="D357" s="1399"/>
      <c r="E357" s="1399"/>
      <c r="F357" s="1399"/>
      <c r="G357" s="1399"/>
      <c r="H357" s="1424"/>
      <c r="I357" s="1424"/>
      <c r="J357" s="1426"/>
      <c r="K357" s="1424"/>
      <c r="L357" s="1426"/>
      <c r="M357" s="1403"/>
      <c r="N357" s="1426"/>
      <c r="O357" s="1403"/>
      <c r="P357" s="1426"/>
      <c r="Q357" s="1424"/>
      <c r="R357" s="1426"/>
      <c r="S357" s="1403"/>
      <c r="T357" s="1426"/>
      <c r="U357" s="1403"/>
      <c r="V357" s="1426"/>
      <c r="W357" s="1424"/>
      <c r="X357" s="1426"/>
      <c r="Y357" s="1403"/>
      <c r="Z357" s="1426"/>
      <c r="AA357" s="1403"/>
      <c r="AB357" s="1426"/>
      <c r="AC357" s="1424"/>
      <c r="AD357" s="1426"/>
      <c r="AE357" s="1403"/>
      <c r="AF357" s="1426"/>
      <c r="AG357" s="1403"/>
      <c r="AH357" s="1426"/>
      <c r="AI357" s="1424"/>
      <c r="AJ357" s="1"/>
    </row>
    <row r="358" spans="1:37" s="63" customFormat="1" ht="15">
      <c r="A358" s="45"/>
      <c r="B358" s="45"/>
      <c r="C358" s="45"/>
      <c r="D358" s="1414"/>
      <c r="E358" s="1414"/>
      <c r="F358" s="1414"/>
      <c r="G358" s="1414"/>
      <c r="H358" s="1424"/>
      <c r="I358" s="1424"/>
      <c r="J358" s="1426"/>
      <c r="K358" s="1424"/>
      <c r="L358" s="1426"/>
      <c r="M358" s="1403"/>
      <c r="N358" s="1426"/>
      <c r="O358" s="1403"/>
      <c r="P358" s="1426"/>
      <c r="Q358" s="1424"/>
      <c r="R358" s="1426"/>
      <c r="S358" s="1403"/>
      <c r="T358" s="1426"/>
      <c r="U358" s="1403"/>
      <c r="V358" s="1426"/>
      <c r="W358" s="1426"/>
      <c r="X358" s="1426"/>
      <c r="Y358" s="1403"/>
      <c r="Z358" s="1426"/>
      <c r="AA358" s="1403"/>
      <c r="AB358" s="1426"/>
      <c r="AC358" s="1424"/>
      <c r="AD358" s="1426"/>
      <c r="AE358" s="1403"/>
      <c r="AF358" s="1426"/>
      <c r="AG358" s="1403"/>
      <c r="AH358" s="1426"/>
      <c r="AI358" s="1426"/>
      <c r="AJ358" s="1"/>
    </row>
    <row r="359" spans="1:37" s="63" customFormat="1" ht="15">
      <c r="A359" s="12"/>
      <c r="B359" s="34"/>
      <c r="C359" s="34"/>
      <c r="D359" s="1397"/>
      <c r="E359" s="1397"/>
      <c r="F359" s="1397"/>
      <c r="G359" s="1397"/>
      <c r="H359" s="1424"/>
      <c r="I359" s="1424"/>
      <c r="J359" s="1426"/>
      <c r="K359" s="1424"/>
      <c r="L359" s="1426"/>
      <c r="M359" s="1403"/>
      <c r="N359" s="1426"/>
      <c r="O359" s="1403"/>
      <c r="P359" s="1426"/>
      <c r="Q359" s="1424"/>
      <c r="R359" s="1426"/>
      <c r="S359" s="1403"/>
      <c r="T359" s="1426"/>
      <c r="U359" s="1403"/>
      <c r="V359" s="1432"/>
      <c r="W359" s="1432"/>
      <c r="X359" s="1432"/>
      <c r="Y359" s="1403"/>
      <c r="Z359" s="1432"/>
      <c r="AA359" s="1403"/>
      <c r="AB359" s="1432"/>
      <c r="AC359" s="1424"/>
      <c r="AD359" s="1432"/>
      <c r="AE359" s="1403"/>
      <c r="AF359" s="1432"/>
      <c r="AG359" s="1403"/>
      <c r="AH359" s="1432"/>
      <c r="AI359" s="1426"/>
      <c r="AJ359" s="1"/>
    </row>
    <row r="360" spans="1:37" s="63" customFormat="1" ht="15">
      <c r="A360" s="12"/>
      <c r="B360" s="34"/>
      <c r="C360" s="34"/>
      <c r="D360" s="1399"/>
      <c r="E360" s="1399"/>
      <c r="F360" s="1396"/>
      <c r="G360" s="1399"/>
      <c r="H360" s="1424"/>
      <c r="I360" s="1424"/>
      <c r="J360" s="1426"/>
      <c r="K360" s="1424"/>
      <c r="L360" s="1426"/>
      <c r="M360" s="1403"/>
      <c r="N360" s="1426"/>
      <c r="O360" s="1403"/>
      <c r="P360" s="1426"/>
      <c r="Q360" s="1424"/>
      <c r="R360" s="1426"/>
      <c r="S360" s="1403"/>
      <c r="T360" s="1426"/>
      <c r="U360" s="1403"/>
      <c r="V360" s="1426"/>
      <c r="W360" s="1424"/>
      <c r="X360" s="1426"/>
      <c r="Y360" s="1403"/>
      <c r="Z360" s="1426"/>
      <c r="AA360" s="1403"/>
      <c r="AB360" s="1426"/>
      <c r="AC360" s="1424"/>
      <c r="AD360" s="1426"/>
      <c r="AE360" s="1403"/>
      <c r="AF360" s="1426"/>
      <c r="AG360" s="1403"/>
      <c r="AH360" s="1426"/>
      <c r="AI360" s="1426"/>
      <c r="AJ360" s="1"/>
    </row>
    <row r="361" spans="1:37" s="63" customFormat="1" ht="15">
      <c r="A361" s="12"/>
      <c r="B361" s="34"/>
      <c r="C361" s="34"/>
      <c r="D361" s="1399"/>
      <c r="E361" s="1399"/>
      <c r="F361" s="1399"/>
      <c r="G361" s="1399"/>
      <c r="H361" s="1424"/>
      <c r="I361" s="1424"/>
      <c r="J361" s="1426"/>
      <c r="K361" s="1424"/>
      <c r="L361" s="1426"/>
      <c r="M361" s="1403"/>
      <c r="N361" s="1426"/>
      <c r="O361" s="1403"/>
      <c r="P361" s="1426"/>
      <c r="Q361" s="1424"/>
      <c r="R361" s="1426"/>
      <c r="S361" s="1403"/>
      <c r="T361" s="1426"/>
      <c r="U361" s="1403"/>
      <c r="V361" s="1426"/>
      <c r="W361" s="1424"/>
      <c r="X361" s="1426"/>
      <c r="Y361" s="1403"/>
      <c r="Z361" s="1426"/>
      <c r="AA361" s="1403"/>
      <c r="AB361" s="1426"/>
      <c r="AC361" s="1424"/>
      <c r="AD361" s="1426"/>
      <c r="AE361" s="1403"/>
      <c r="AF361" s="1426"/>
      <c r="AG361" s="1403"/>
      <c r="AH361" s="1426"/>
      <c r="AI361" s="1426"/>
      <c r="AJ361" s="1"/>
    </row>
    <row r="362" spans="1:37" s="63" customFormat="1" ht="15">
      <c r="A362" s="45"/>
      <c r="B362" s="45"/>
      <c r="C362" s="45"/>
      <c r="D362" s="1414"/>
      <c r="E362" s="1414"/>
      <c r="F362" s="1414"/>
      <c r="G362" s="1414"/>
      <c r="H362" s="1424"/>
      <c r="I362" s="1424"/>
      <c r="J362" s="1426"/>
      <c r="K362" s="1424"/>
      <c r="L362" s="1426"/>
      <c r="M362" s="1403"/>
      <c r="N362" s="1426"/>
      <c r="O362" s="1403"/>
      <c r="P362" s="1426"/>
      <c r="Q362" s="1424"/>
      <c r="R362" s="1426"/>
      <c r="S362" s="1403"/>
      <c r="T362" s="1426"/>
      <c r="U362" s="1403"/>
      <c r="V362" s="1426"/>
      <c r="W362" s="1424"/>
      <c r="X362" s="1426"/>
      <c r="Y362" s="1403"/>
      <c r="Z362" s="1426"/>
      <c r="AA362" s="1403"/>
      <c r="AB362" s="1426"/>
      <c r="AC362" s="1424"/>
      <c r="AD362" s="1426"/>
      <c r="AE362" s="1403"/>
      <c r="AF362" s="1426"/>
      <c r="AG362" s="1403"/>
      <c r="AH362" s="1426"/>
      <c r="AI362" s="1426"/>
      <c r="AJ362" s="1"/>
    </row>
    <row r="363" spans="1:37" s="63" customFormat="1" ht="15">
      <c r="A363" s="12"/>
      <c r="B363" s="34"/>
      <c r="C363" s="34"/>
      <c r="D363" s="1397"/>
      <c r="E363" s="1397"/>
      <c r="F363" s="1397"/>
      <c r="G363" s="1397"/>
      <c r="H363" s="1424"/>
      <c r="I363" s="1424"/>
      <c r="J363" s="1426"/>
      <c r="K363" s="1424"/>
      <c r="L363" s="1426"/>
      <c r="M363" s="1403"/>
      <c r="N363" s="1426"/>
      <c r="O363" s="1403"/>
      <c r="P363" s="1426"/>
      <c r="Q363" s="1424"/>
      <c r="R363" s="1426"/>
      <c r="S363" s="1403"/>
      <c r="T363" s="1426"/>
      <c r="U363" s="1403"/>
      <c r="V363" s="1426"/>
      <c r="W363" s="1424"/>
      <c r="X363" s="1426"/>
      <c r="Y363" s="1403"/>
      <c r="Z363" s="1426"/>
      <c r="AA363" s="1403"/>
      <c r="AB363" s="1426"/>
      <c r="AC363" s="1424"/>
      <c r="AD363" s="1426"/>
      <c r="AE363" s="1403"/>
      <c r="AF363" s="1426"/>
      <c r="AG363" s="1403"/>
      <c r="AH363" s="1426"/>
      <c r="AI363" s="1426"/>
      <c r="AJ363" s="1"/>
    </row>
    <row r="364" spans="1:37" s="63" customFormat="1" ht="15">
      <c r="A364" s="12"/>
      <c r="B364" s="34"/>
      <c r="C364" s="34"/>
      <c r="D364" s="1399"/>
      <c r="E364" s="1399"/>
      <c r="F364" s="1397"/>
      <c r="G364" s="1399"/>
      <c r="H364" s="1424"/>
      <c r="I364" s="1424"/>
      <c r="J364" s="1426"/>
      <c r="K364" s="1424"/>
      <c r="L364" s="1426"/>
      <c r="M364" s="1403"/>
      <c r="N364" s="1426"/>
      <c r="O364" s="1403"/>
      <c r="P364" s="1426"/>
      <c r="Q364" s="1424"/>
      <c r="R364" s="1426"/>
      <c r="S364" s="1403"/>
      <c r="T364" s="1426"/>
      <c r="U364" s="1403"/>
      <c r="V364" s="1426"/>
      <c r="W364" s="1424"/>
      <c r="X364" s="1426"/>
      <c r="Y364" s="1403"/>
      <c r="Z364" s="1426"/>
      <c r="AA364" s="1403"/>
      <c r="AB364" s="1426"/>
      <c r="AC364" s="1424"/>
      <c r="AD364" s="1426"/>
      <c r="AE364" s="1403"/>
      <c r="AF364" s="1426"/>
      <c r="AG364" s="1403"/>
      <c r="AH364" s="1426"/>
      <c r="AI364" s="1426"/>
      <c r="AJ364" s="1"/>
    </row>
    <row r="365" spans="1:37" s="63" customFormat="1" ht="15">
      <c r="A365" s="12"/>
      <c r="B365" s="1"/>
      <c r="C365" s="1"/>
      <c r="D365" s="1399"/>
      <c r="E365" s="1399"/>
      <c r="F365" s="1399"/>
      <c r="G365" s="1399"/>
      <c r="H365" s="1424"/>
      <c r="I365" s="1424"/>
      <c r="J365" s="1426"/>
      <c r="K365" s="1424"/>
      <c r="L365" s="1426"/>
      <c r="M365" s="1403"/>
      <c r="N365" s="1426"/>
      <c r="O365" s="1403"/>
      <c r="P365" s="1426"/>
      <c r="Q365" s="1424"/>
      <c r="R365" s="1426"/>
      <c r="S365" s="1403"/>
      <c r="T365" s="1426"/>
      <c r="U365" s="1403"/>
      <c r="V365" s="1426"/>
      <c r="W365" s="1424"/>
      <c r="X365" s="1426"/>
      <c r="Y365" s="1403"/>
      <c r="Z365" s="1426"/>
      <c r="AA365" s="1403"/>
      <c r="AB365" s="1426"/>
      <c r="AC365" s="1424"/>
      <c r="AD365" s="1426"/>
      <c r="AE365" s="1403"/>
      <c r="AF365" s="1426"/>
      <c r="AG365" s="1403"/>
      <c r="AH365" s="1426"/>
      <c r="AI365" s="1426"/>
      <c r="AJ365" s="1"/>
    </row>
    <row r="366" spans="1:37" s="63" customFormat="1" ht="15">
      <c r="A366" s="12"/>
      <c r="B366" s="1"/>
      <c r="C366" s="1"/>
      <c r="D366" s="1399"/>
      <c r="E366" s="1409"/>
      <c r="F366" s="1399"/>
      <c r="G366" s="1399"/>
      <c r="H366" s="1424"/>
      <c r="I366" s="1424"/>
      <c r="J366" s="1426"/>
      <c r="K366" s="1424"/>
      <c r="L366" s="1426"/>
      <c r="M366" s="1403"/>
      <c r="N366" s="1426"/>
      <c r="O366" s="1403"/>
      <c r="P366" s="1426"/>
      <c r="Q366" s="1424"/>
      <c r="R366" s="1426"/>
      <c r="S366" s="1403"/>
      <c r="T366" s="1426"/>
      <c r="U366" s="1403"/>
      <c r="V366" s="1426"/>
      <c r="W366" s="1424"/>
      <c r="X366" s="1426"/>
      <c r="Y366" s="1403"/>
      <c r="Z366" s="1426"/>
      <c r="AA366" s="1403"/>
      <c r="AB366" s="1426"/>
      <c r="AC366" s="1424"/>
      <c r="AD366" s="1426"/>
      <c r="AE366" s="1403"/>
      <c r="AF366" s="1426"/>
      <c r="AG366" s="1403"/>
      <c r="AH366" s="1426"/>
      <c r="AI366" s="1426"/>
      <c r="AJ366" s="1"/>
    </row>
    <row r="367" spans="1:37" s="63" customFormat="1" ht="15">
      <c r="A367" s="12"/>
      <c r="B367" s="1"/>
      <c r="C367" s="1"/>
      <c r="D367" s="1399"/>
      <c r="E367" s="1399"/>
      <c r="F367" s="1399"/>
      <c r="G367" s="1399"/>
      <c r="H367" s="1424"/>
      <c r="I367" s="1424"/>
      <c r="J367" s="1426"/>
      <c r="K367" s="1424"/>
      <c r="L367" s="1426"/>
      <c r="M367" s="1403"/>
      <c r="N367" s="1426"/>
      <c r="O367" s="1403"/>
      <c r="P367" s="1426"/>
      <c r="Q367" s="1424"/>
      <c r="R367" s="1426"/>
      <c r="S367" s="1403"/>
      <c r="T367" s="1426"/>
      <c r="U367" s="1403"/>
      <c r="V367" s="1426"/>
      <c r="W367" s="1424"/>
      <c r="X367" s="1426"/>
      <c r="Y367" s="1403"/>
      <c r="Z367" s="1426"/>
      <c r="AA367" s="1403"/>
      <c r="AB367" s="1426"/>
      <c r="AC367" s="1424"/>
      <c r="AD367" s="1426"/>
      <c r="AE367" s="1403"/>
      <c r="AF367" s="1426"/>
      <c r="AG367" s="1403"/>
      <c r="AH367" s="1426"/>
      <c r="AI367" s="1426"/>
      <c r="AJ367" s="1"/>
    </row>
    <row r="368" spans="1:37" s="63" customFormat="1" ht="15">
      <c r="A368" s="45"/>
      <c r="B368" s="45"/>
      <c r="C368" s="45"/>
      <c r="D368" s="1414"/>
      <c r="E368" s="1414"/>
      <c r="F368" s="1414"/>
      <c r="G368" s="1414"/>
      <c r="H368" s="1424"/>
      <c r="I368" s="1424"/>
      <c r="J368" s="1426"/>
      <c r="K368" s="1424"/>
      <c r="L368" s="1426"/>
      <c r="M368" s="1403"/>
      <c r="N368" s="1426"/>
      <c r="O368" s="1403"/>
      <c r="P368" s="1426"/>
      <c r="Q368" s="1424"/>
      <c r="R368" s="1426"/>
      <c r="S368" s="1403"/>
      <c r="T368" s="1426"/>
      <c r="U368" s="1403"/>
      <c r="V368" s="1426"/>
      <c r="W368" s="1424"/>
      <c r="X368" s="1426"/>
      <c r="Y368" s="1403"/>
      <c r="Z368" s="1426"/>
      <c r="AA368" s="1403"/>
      <c r="AB368" s="1426"/>
      <c r="AC368" s="1424"/>
      <c r="AD368" s="1426"/>
      <c r="AE368" s="1403"/>
      <c r="AF368" s="1426"/>
      <c r="AG368" s="1403"/>
      <c r="AH368" s="1426"/>
      <c r="AI368" s="1426"/>
      <c r="AJ368" s="1"/>
    </row>
    <row r="369" spans="1:36" s="63" customFormat="1" ht="15">
      <c r="A369" s="12"/>
      <c r="B369" s="34"/>
      <c r="C369" s="34"/>
      <c r="D369" s="1397"/>
      <c r="E369" s="1397"/>
      <c r="F369" s="1397"/>
      <c r="G369" s="1397"/>
      <c r="H369" s="1424"/>
      <c r="I369" s="1424"/>
      <c r="J369" s="1426"/>
      <c r="K369" s="1424"/>
      <c r="L369" s="1426"/>
      <c r="M369" s="1403"/>
      <c r="N369" s="1426"/>
      <c r="O369" s="1403"/>
      <c r="P369" s="1426"/>
      <c r="Q369" s="1424"/>
      <c r="R369" s="1426"/>
      <c r="S369" s="1403"/>
      <c r="T369" s="1426"/>
      <c r="U369" s="1403"/>
      <c r="V369" s="1426"/>
      <c r="W369" s="1424"/>
      <c r="X369" s="1426"/>
      <c r="Y369" s="1403"/>
      <c r="Z369" s="1426"/>
      <c r="AA369" s="1403"/>
      <c r="AB369" s="1426"/>
      <c r="AC369" s="1424"/>
      <c r="AD369" s="1426"/>
      <c r="AE369" s="1403"/>
      <c r="AF369" s="1426"/>
      <c r="AG369" s="1403"/>
      <c r="AH369" s="1426"/>
      <c r="AI369" s="1426"/>
      <c r="AJ369" s="1"/>
    </row>
    <row r="370" spans="1:36" s="63" customFormat="1" ht="15">
      <c r="A370" s="12"/>
      <c r="B370" s="34"/>
      <c r="C370" s="34"/>
      <c r="D370" s="1399"/>
      <c r="E370" s="1399"/>
      <c r="F370" s="1396"/>
      <c r="G370" s="1399"/>
      <c r="H370" s="1424"/>
      <c r="I370" s="1424"/>
      <c r="J370" s="1426"/>
      <c r="K370" s="1424"/>
      <c r="L370" s="1426"/>
      <c r="M370" s="1403"/>
      <c r="N370" s="1426"/>
      <c r="O370" s="1403"/>
      <c r="P370" s="1426"/>
      <c r="Q370" s="1424"/>
      <c r="R370" s="1426"/>
      <c r="S370" s="1403"/>
      <c r="T370" s="1426"/>
      <c r="U370" s="1403"/>
      <c r="V370" s="1426"/>
      <c r="W370" s="1424"/>
      <c r="X370" s="1426"/>
      <c r="Y370" s="1403"/>
      <c r="Z370" s="1426"/>
      <c r="AA370" s="1403"/>
      <c r="AB370" s="1426"/>
      <c r="AC370" s="1424"/>
      <c r="AD370" s="1426"/>
      <c r="AE370" s="1403"/>
      <c r="AF370" s="1426"/>
      <c r="AG370" s="1403"/>
      <c r="AH370" s="1426"/>
      <c r="AI370" s="1426"/>
      <c r="AJ370" s="1"/>
    </row>
    <row r="371" spans="1:36" s="63" customFormat="1" ht="15">
      <c r="A371" s="12"/>
      <c r="B371" s="1"/>
      <c r="C371" s="1"/>
      <c r="D371" s="1399"/>
      <c r="E371" s="1399"/>
      <c r="F371" s="1399"/>
      <c r="G371" s="1399"/>
      <c r="H371" s="1424"/>
      <c r="I371" s="1424"/>
      <c r="J371" s="1426"/>
      <c r="K371" s="1424"/>
      <c r="L371" s="1426"/>
      <c r="M371" s="1403"/>
      <c r="N371" s="1426"/>
      <c r="O371" s="1403"/>
      <c r="P371" s="1426"/>
      <c r="Q371" s="1424"/>
      <c r="R371" s="1426"/>
      <c r="S371" s="1403"/>
      <c r="T371" s="1426"/>
      <c r="U371" s="1403"/>
      <c r="V371" s="1426"/>
      <c r="W371" s="1424"/>
      <c r="X371" s="1426"/>
      <c r="Y371" s="1403"/>
      <c r="Z371" s="1426"/>
      <c r="AA371" s="1403"/>
      <c r="AB371" s="1426"/>
      <c r="AC371" s="1424"/>
      <c r="AD371" s="1426"/>
      <c r="AE371" s="1403"/>
      <c r="AF371" s="1426"/>
      <c r="AG371" s="1403"/>
      <c r="AH371" s="1426"/>
      <c r="AI371" s="1426"/>
      <c r="AJ371" s="1"/>
    </row>
    <row r="372" spans="1:36" s="63" customFormat="1" ht="15">
      <c r="A372" s="12"/>
      <c r="B372" s="34"/>
      <c r="C372" s="34"/>
      <c r="D372" s="1399"/>
      <c r="E372" s="1409"/>
      <c r="F372" s="1399"/>
      <c r="G372" s="1399"/>
      <c r="H372" s="1424"/>
      <c r="I372" s="1424"/>
      <c r="J372" s="1426"/>
      <c r="K372" s="1424"/>
      <c r="L372" s="1426"/>
      <c r="M372" s="1403"/>
      <c r="N372" s="1426"/>
      <c r="O372" s="1403"/>
      <c r="P372" s="1426"/>
      <c r="Q372" s="1424"/>
      <c r="R372" s="1426"/>
      <c r="S372" s="1403"/>
      <c r="T372" s="1426"/>
      <c r="U372" s="1403"/>
      <c r="V372" s="1426"/>
      <c r="W372" s="1424"/>
      <c r="X372" s="1426"/>
      <c r="Y372" s="1403"/>
      <c r="Z372" s="1426"/>
      <c r="AA372" s="1403"/>
      <c r="AB372" s="1426"/>
      <c r="AC372" s="1424"/>
      <c r="AD372" s="1426"/>
      <c r="AE372" s="1403"/>
      <c r="AF372" s="1426"/>
      <c r="AG372" s="1403"/>
      <c r="AH372" s="1426"/>
      <c r="AI372" s="1426"/>
      <c r="AJ372" s="1"/>
    </row>
    <row r="373" spans="1:36" s="63" customFormat="1" ht="15">
      <c r="A373" s="12"/>
      <c r="B373" s="1"/>
      <c r="C373" s="1"/>
      <c r="D373" s="1424"/>
      <c r="E373" s="1424"/>
      <c r="F373" s="1424"/>
      <c r="G373" s="1424"/>
      <c r="H373" s="1424"/>
      <c r="I373" s="1424"/>
      <c r="J373" s="1426"/>
      <c r="K373" s="1424"/>
      <c r="L373" s="1426"/>
      <c r="M373" s="1403"/>
      <c r="N373" s="1426"/>
      <c r="O373" s="1403"/>
      <c r="P373" s="1426"/>
      <c r="Q373" s="1424"/>
      <c r="R373" s="1426"/>
      <c r="S373" s="1403"/>
      <c r="T373" s="1426"/>
      <c r="U373" s="1403"/>
      <c r="V373" s="1426"/>
      <c r="W373" s="1424"/>
      <c r="X373" s="1426"/>
      <c r="Y373" s="1403"/>
      <c r="Z373" s="1426"/>
      <c r="AA373" s="1403"/>
      <c r="AB373" s="1426"/>
      <c r="AC373" s="1424"/>
      <c r="AD373" s="1426"/>
      <c r="AE373" s="1403"/>
      <c r="AF373" s="1426"/>
      <c r="AG373" s="1403"/>
      <c r="AH373" s="1426"/>
      <c r="AI373" s="1426"/>
      <c r="AJ373" s="1"/>
    </row>
    <row r="374" spans="1:36" s="63" customFormat="1" ht="15">
      <c r="A374" s="45"/>
      <c r="B374" s="45"/>
      <c r="C374" s="45"/>
      <c r="D374" s="1414"/>
      <c r="E374" s="1414"/>
      <c r="F374" s="1414"/>
      <c r="G374" s="1414"/>
      <c r="H374" s="1424"/>
      <c r="I374" s="1424"/>
      <c r="J374" s="1426"/>
      <c r="K374" s="1424"/>
      <c r="L374" s="1426"/>
      <c r="M374" s="1403"/>
      <c r="N374" s="1426"/>
      <c r="O374" s="1403"/>
      <c r="P374" s="1426"/>
      <c r="Q374" s="1424"/>
      <c r="R374" s="1426"/>
      <c r="S374" s="1403"/>
      <c r="T374" s="1426"/>
      <c r="U374" s="1403"/>
      <c r="V374" s="1426"/>
      <c r="W374" s="1424"/>
      <c r="X374" s="1426"/>
      <c r="Y374" s="1403"/>
      <c r="Z374" s="1426"/>
      <c r="AA374" s="1403"/>
      <c r="AB374" s="1426"/>
      <c r="AC374" s="1424"/>
      <c r="AD374" s="1426"/>
      <c r="AE374" s="1403"/>
      <c r="AF374" s="1426"/>
      <c r="AG374" s="1403"/>
      <c r="AH374" s="1426"/>
      <c r="AI374" s="1426"/>
      <c r="AJ374" s="1"/>
    </row>
    <row r="375" spans="1:36" s="63" customFormat="1" ht="15">
      <c r="A375" s="12"/>
      <c r="B375" s="34"/>
      <c r="C375" s="34"/>
      <c r="D375" s="1397"/>
      <c r="E375" s="1397"/>
      <c r="F375" s="1397"/>
      <c r="G375" s="1397"/>
      <c r="H375" s="1424"/>
      <c r="I375" s="1424"/>
      <c r="J375" s="1426"/>
      <c r="K375" s="1424"/>
      <c r="L375" s="1426"/>
      <c r="M375" s="1403"/>
      <c r="N375" s="1426"/>
      <c r="O375" s="1403"/>
      <c r="P375" s="1426"/>
      <c r="Q375" s="1424"/>
      <c r="R375" s="1426"/>
      <c r="S375" s="1403"/>
      <c r="T375" s="1426"/>
      <c r="U375" s="1403"/>
      <c r="V375" s="1426"/>
      <c r="W375" s="1424"/>
      <c r="X375" s="1426"/>
      <c r="Y375" s="1403"/>
      <c r="Z375" s="1426"/>
      <c r="AA375" s="1403"/>
      <c r="AB375" s="1426"/>
      <c r="AC375" s="1424"/>
      <c r="AD375" s="1426"/>
      <c r="AE375" s="1403"/>
      <c r="AF375" s="1426"/>
      <c r="AG375" s="1403"/>
      <c r="AH375" s="1426"/>
      <c r="AI375" s="1426"/>
      <c r="AJ375" s="1"/>
    </row>
    <row r="376" spans="1:36" s="63" customFormat="1" ht="15">
      <c r="A376" s="1"/>
      <c r="B376" s="34"/>
      <c r="C376" s="34"/>
      <c r="D376" s="1399"/>
      <c r="E376" s="1399"/>
      <c r="F376" s="1396"/>
      <c r="G376" s="1399"/>
      <c r="H376" s="1424"/>
      <c r="I376" s="1424"/>
      <c r="J376" s="1426"/>
      <c r="K376" s="1424"/>
      <c r="L376" s="1426"/>
      <c r="M376" s="1403"/>
      <c r="N376" s="1426"/>
      <c r="O376" s="1403"/>
      <c r="P376" s="1426"/>
      <c r="Q376" s="1424"/>
      <c r="R376" s="1426"/>
      <c r="S376" s="1403"/>
      <c r="T376" s="1426"/>
      <c r="U376" s="1403"/>
      <c r="V376" s="1426"/>
      <c r="W376" s="1424"/>
      <c r="X376" s="1426"/>
      <c r="Y376" s="1403"/>
      <c r="Z376" s="1426"/>
      <c r="AA376" s="1403"/>
      <c r="AB376" s="1426"/>
      <c r="AC376" s="1424"/>
      <c r="AD376" s="1426"/>
      <c r="AE376" s="1403"/>
      <c r="AF376" s="1426"/>
      <c r="AG376" s="1403"/>
      <c r="AH376" s="1426"/>
      <c r="AI376" s="1426"/>
      <c r="AJ376" s="1"/>
    </row>
    <row r="377" spans="1:36" s="63" customFormat="1" ht="15">
      <c r="A377" s="1"/>
      <c r="B377" s="34"/>
      <c r="C377" s="34"/>
      <c r="D377" s="1399"/>
      <c r="E377" s="1399"/>
      <c r="F377" s="1399"/>
      <c r="G377" s="1399"/>
      <c r="H377" s="1424"/>
      <c r="I377" s="1424"/>
      <c r="J377" s="1426"/>
      <c r="K377" s="1424"/>
      <c r="L377" s="1426"/>
      <c r="M377" s="1403"/>
      <c r="N377" s="1426"/>
      <c r="O377" s="1403"/>
      <c r="P377" s="1426"/>
      <c r="Q377" s="1424"/>
      <c r="R377" s="1426"/>
      <c r="S377" s="1403"/>
      <c r="T377" s="1426"/>
      <c r="U377" s="1403"/>
      <c r="V377" s="1426"/>
      <c r="W377" s="1424"/>
      <c r="X377" s="1426"/>
      <c r="Y377" s="1403"/>
      <c r="Z377" s="1426"/>
      <c r="AA377" s="1403"/>
      <c r="AB377" s="1426"/>
      <c r="AC377" s="1424"/>
      <c r="AD377" s="1426"/>
      <c r="AE377" s="1403"/>
      <c r="AF377" s="1426"/>
      <c r="AG377" s="1403"/>
      <c r="AH377" s="1426"/>
      <c r="AI377" s="1426"/>
      <c r="AJ377" s="1"/>
    </row>
    <row r="378" spans="1:36" s="63" customFormat="1" ht="15">
      <c r="A378" s="1"/>
      <c r="B378" s="1"/>
      <c r="C378" s="1"/>
      <c r="D378" s="1399"/>
      <c r="E378" s="1409"/>
      <c r="F378" s="1399"/>
      <c r="G378" s="1399"/>
      <c r="H378" s="1424"/>
      <c r="I378" s="1424"/>
      <c r="J378" s="1426"/>
      <c r="K378" s="1424"/>
      <c r="L378" s="1426"/>
      <c r="M378" s="1403"/>
      <c r="N378" s="1426"/>
      <c r="O378" s="1403"/>
      <c r="P378" s="1426"/>
      <c r="Q378" s="1424"/>
      <c r="R378" s="1426"/>
      <c r="S378" s="1403"/>
      <c r="T378" s="1426"/>
      <c r="U378" s="1403"/>
      <c r="V378" s="1426"/>
      <c r="W378" s="1424"/>
      <c r="X378" s="1426"/>
      <c r="Y378" s="1403"/>
      <c r="Z378" s="1426"/>
      <c r="AA378" s="1403"/>
      <c r="AB378" s="1426"/>
      <c r="AC378" s="1424"/>
      <c r="AD378" s="1426"/>
      <c r="AE378" s="1403"/>
      <c r="AF378" s="1426"/>
      <c r="AG378" s="1403"/>
      <c r="AH378" s="1426"/>
      <c r="AI378" s="1426"/>
      <c r="AJ378" s="1"/>
    </row>
    <row r="379" spans="1:36" s="63" customFormat="1" ht="15">
      <c r="A379" s="1"/>
      <c r="B379" s="34"/>
      <c r="C379" s="34"/>
      <c r="D379" s="1399"/>
      <c r="E379" s="1399"/>
      <c r="F379" s="1399"/>
      <c r="G379" s="1399"/>
      <c r="H379" s="1424"/>
      <c r="I379" s="1424"/>
      <c r="J379" s="1426"/>
      <c r="K379" s="1424"/>
      <c r="L379" s="1426"/>
      <c r="M379" s="1403"/>
      <c r="N379" s="1426"/>
      <c r="O379" s="1403"/>
      <c r="P379" s="1426"/>
      <c r="Q379" s="1424"/>
      <c r="R379" s="1426"/>
      <c r="S379" s="1403"/>
      <c r="T379" s="1426"/>
      <c r="U379" s="1403"/>
      <c r="V379" s="1426"/>
      <c r="W379" s="1424"/>
      <c r="X379" s="1426"/>
      <c r="Y379" s="1403"/>
      <c r="Z379" s="1426"/>
      <c r="AA379" s="1403"/>
      <c r="AB379" s="1426"/>
      <c r="AC379" s="1424"/>
      <c r="AD379" s="1426"/>
      <c r="AE379" s="1403"/>
      <c r="AF379" s="1426"/>
      <c r="AG379" s="1403"/>
      <c r="AH379" s="1426"/>
      <c r="AI379" s="1426"/>
      <c r="AJ379" s="1"/>
    </row>
    <row r="380" spans="1:36" s="63" customFormat="1" ht="15">
      <c r="A380" s="12"/>
      <c r="B380" s="77"/>
      <c r="C380" s="12"/>
      <c r="D380" s="1433"/>
      <c r="E380" s="1433"/>
      <c r="F380" s="1433"/>
      <c r="G380" s="1433"/>
      <c r="H380" s="1424"/>
      <c r="I380" s="1424"/>
      <c r="J380" s="1426"/>
      <c r="K380" s="1424"/>
      <c r="L380" s="1426"/>
      <c r="M380" s="1403"/>
      <c r="N380" s="1426"/>
      <c r="O380" s="1403"/>
      <c r="P380" s="1426"/>
      <c r="Q380" s="1424"/>
      <c r="R380" s="1426"/>
      <c r="S380" s="1403"/>
      <c r="T380" s="1426"/>
      <c r="U380" s="1403"/>
      <c r="V380" s="1426"/>
      <c r="W380" s="1424"/>
      <c r="X380" s="1426"/>
      <c r="Y380" s="1403"/>
      <c r="Z380" s="1426"/>
      <c r="AA380" s="1403"/>
      <c r="AB380" s="1426"/>
      <c r="AC380" s="1424"/>
      <c r="AD380" s="1426"/>
      <c r="AE380" s="1403"/>
      <c r="AF380" s="1426"/>
      <c r="AG380" s="1403"/>
      <c r="AH380" s="1426"/>
      <c r="AI380" s="1426"/>
      <c r="AJ380" s="1"/>
    </row>
    <row r="381" spans="1:36" s="63" customFormat="1" ht="15">
      <c r="A381" s="12"/>
      <c r="B381" s="34"/>
      <c r="C381" s="34"/>
      <c r="D381" s="1397"/>
      <c r="E381" s="1397"/>
      <c r="F381" s="1397"/>
      <c r="G381" s="1397"/>
      <c r="H381" s="1424"/>
      <c r="I381" s="1424"/>
      <c r="J381" s="1426"/>
      <c r="K381" s="1424"/>
      <c r="L381" s="1426"/>
      <c r="M381" s="1403"/>
      <c r="N381" s="1426"/>
      <c r="O381" s="1403"/>
      <c r="P381" s="1426"/>
      <c r="Q381" s="1424"/>
      <c r="R381" s="1426"/>
      <c r="S381" s="1403"/>
      <c r="T381" s="1426"/>
      <c r="U381" s="1403"/>
      <c r="V381" s="1426"/>
      <c r="W381" s="1424"/>
      <c r="X381" s="1426"/>
      <c r="Y381" s="1403"/>
      <c r="Z381" s="1426"/>
      <c r="AA381" s="1403"/>
      <c r="AB381" s="1426"/>
      <c r="AC381" s="1424"/>
      <c r="AD381" s="1426"/>
      <c r="AE381" s="1403"/>
      <c r="AF381" s="1426"/>
      <c r="AG381" s="1403"/>
      <c r="AH381" s="1426"/>
      <c r="AI381" s="1426"/>
      <c r="AJ381" s="1"/>
    </row>
    <row r="382" spans="1:36" s="63" customFormat="1" ht="15">
      <c r="A382" s="12"/>
      <c r="B382" s="34"/>
      <c r="C382" s="34"/>
      <c r="D382" s="1399"/>
      <c r="E382" s="1399"/>
      <c r="F382" s="1396"/>
      <c r="G382" s="1399"/>
      <c r="H382" s="1424"/>
      <c r="I382" s="1424"/>
      <c r="J382" s="1426"/>
      <c r="K382" s="1424"/>
      <c r="L382" s="1426"/>
      <c r="M382" s="1403"/>
      <c r="N382" s="1426"/>
      <c r="O382" s="1403"/>
      <c r="P382" s="1426"/>
      <c r="Q382" s="1424"/>
      <c r="R382" s="1426"/>
      <c r="S382" s="1403"/>
      <c r="T382" s="1426"/>
      <c r="U382" s="1403"/>
      <c r="V382" s="1426"/>
      <c r="W382" s="1424"/>
      <c r="X382" s="1426"/>
      <c r="Y382" s="1403"/>
      <c r="Z382" s="1426"/>
      <c r="AA382" s="1403"/>
      <c r="AB382" s="1426"/>
      <c r="AC382" s="1424"/>
      <c r="AD382" s="1426"/>
      <c r="AE382" s="1403"/>
      <c r="AF382" s="1426"/>
      <c r="AG382" s="1403"/>
      <c r="AH382" s="1426"/>
      <c r="AI382" s="1426"/>
      <c r="AJ382" s="1"/>
    </row>
    <row r="383" spans="1:36" s="63" customFormat="1" ht="15">
      <c r="A383" s="1"/>
      <c r="B383" s="34"/>
      <c r="C383" s="34"/>
      <c r="D383" s="1399"/>
      <c r="E383" s="1399"/>
      <c r="F383" s="1399"/>
      <c r="G383" s="1399"/>
      <c r="H383" s="1424"/>
      <c r="I383" s="1424"/>
      <c r="J383" s="1426"/>
      <c r="K383" s="1424"/>
      <c r="L383" s="1426"/>
      <c r="M383" s="1403"/>
      <c r="N383" s="1426"/>
      <c r="O383" s="1403"/>
      <c r="P383" s="1426"/>
      <c r="Q383" s="1424"/>
      <c r="R383" s="1426"/>
      <c r="S383" s="1403"/>
      <c r="T383" s="1426"/>
      <c r="U383" s="1403"/>
      <c r="V383" s="1426"/>
      <c r="W383" s="1424"/>
      <c r="X383" s="1426"/>
      <c r="Y383" s="1403"/>
      <c r="Z383" s="1426"/>
      <c r="AA383" s="1403"/>
      <c r="AB383" s="1426"/>
      <c r="AC383" s="1424"/>
      <c r="AD383" s="1426"/>
      <c r="AE383" s="1403"/>
      <c r="AF383" s="1426"/>
      <c r="AG383" s="1403"/>
      <c r="AH383" s="1426"/>
      <c r="AI383" s="1426"/>
      <c r="AJ383" s="1"/>
    </row>
    <row r="384" spans="1:36" s="63" customFormat="1" ht="15">
      <c r="A384" s="1"/>
      <c r="B384" s="1"/>
      <c r="C384" s="1"/>
      <c r="D384" s="1399"/>
      <c r="E384" s="1409"/>
      <c r="F384" s="1399"/>
      <c r="G384" s="1399"/>
      <c r="H384" s="1424"/>
      <c r="I384" s="1424"/>
      <c r="J384" s="1426"/>
      <c r="K384" s="1424"/>
      <c r="L384" s="1426"/>
      <c r="M384" s="1403"/>
      <c r="N384" s="1426"/>
      <c r="O384" s="1403"/>
      <c r="P384" s="1426"/>
      <c r="Q384" s="1424"/>
      <c r="R384" s="1426"/>
      <c r="S384" s="1403"/>
      <c r="T384" s="1426"/>
      <c r="U384" s="1403"/>
      <c r="V384" s="1426"/>
      <c r="W384" s="1424"/>
      <c r="X384" s="1426"/>
      <c r="Y384" s="1403"/>
      <c r="Z384" s="1426"/>
      <c r="AA384" s="1403"/>
      <c r="AB384" s="1426"/>
      <c r="AC384" s="1424"/>
      <c r="AD384" s="1426"/>
      <c r="AE384" s="1403"/>
      <c r="AF384" s="1426"/>
      <c r="AG384" s="1403"/>
      <c r="AH384" s="1426"/>
      <c r="AI384" s="1426"/>
      <c r="AJ384" s="1"/>
    </row>
    <row r="385" spans="1:36" s="63" customFormat="1" ht="15">
      <c r="A385" s="1"/>
      <c r="B385" s="1"/>
      <c r="C385" s="1"/>
      <c r="D385" s="1424"/>
      <c r="E385" s="1424"/>
      <c r="F385" s="1424"/>
      <c r="G385" s="1424"/>
      <c r="H385" s="1424"/>
      <c r="I385" s="1424"/>
      <c r="J385" s="1426"/>
      <c r="K385" s="1424"/>
      <c r="L385" s="1426"/>
      <c r="M385" s="1403"/>
      <c r="N385" s="1426"/>
      <c r="O385" s="1403"/>
      <c r="P385" s="1426"/>
      <c r="Q385" s="1424"/>
      <c r="R385" s="1426"/>
      <c r="S385" s="1403"/>
      <c r="T385" s="1426"/>
      <c r="U385" s="1403"/>
      <c r="V385" s="1426"/>
      <c r="W385" s="1424"/>
      <c r="X385" s="1426"/>
      <c r="Y385" s="1403"/>
      <c r="Z385" s="1426"/>
      <c r="AA385" s="1403"/>
      <c r="AB385" s="1426"/>
      <c r="AC385" s="1424"/>
      <c r="AD385" s="1426"/>
      <c r="AE385" s="1403"/>
      <c r="AF385" s="1426"/>
      <c r="AG385" s="1403"/>
      <c r="AH385" s="1426"/>
      <c r="AI385" s="1426"/>
      <c r="AJ385" s="1"/>
    </row>
    <row r="386" spans="1:36" s="63" customFormat="1" ht="15">
      <c r="B386" s="1"/>
      <c r="D386" s="1424"/>
      <c r="E386" s="1424"/>
      <c r="F386" s="1424"/>
      <c r="G386" s="1424"/>
      <c r="H386" s="1424"/>
      <c r="I386" s="1424"/>
      <c r="J386" s="1426"/>
      <c r="K386" s="1424"/>
      <c r="L386" s="1426"/>
      <c r="M386" s="1403"/>
      <c r="N386" s="1426"/>
      <c r="O386" s="1403"/>
      <c r="P386" s="1426"/>
      <c r="Q386" s="1424"/>
      <c r="R386" s="1426"/>
      <c r="S386" s="1403"/>
      <c r="T386" s="1426"/>
      <c r="U386" s="1403"/>
      <c r="V386" s="1426"/>
      <c r="W386" s="1424"/>
      <c r="X386" s="1426"/>
      <c r="Y386" s="1403"/>
      <c r="Z386" s="1426"/>
      <c r="AA386" s="1403"/>
      <c r="AB386" s="1426"/>
      <c r="AC386" s="1424"/>
      <c r="AD386" s="1426"/>
      <c r="AE386" s="1403"/>
      <c r="AF386" s="1426"/>
      <c r="AG386" s="1403"/>
      <c r="AH386" s="1426"/>
      <c r="AI386" s="1426"/>
      <c r="AJ386" s="1"/>
    </row>
    <row r="387" spans="1:36" s="63" customFormat="1" ht="15">
      <c r="B387" s="1"/>
      <c r="D387" s="1424"/>
      <c r="E387" s="1424"/>
      <c r="F387" s="1424"/>
      <c r="G387" s="1424"/>
      <c r="H387" s="1424"/>
      <c r="I387" s="1424"/>
      <c r="J387" s="1426"/>
      <c r="K387" s="1424"/>
      <c r="L387" s="1426"/>
      <c r="M387" s="1403"/>
      <c r="N387" s="1426"/>
      <c r="O387" s="1403"/>
      <c r="P387" s="1426"/>
      <c r="Q387" s="1424"/>
      <c r="R387" s="1426"/>
      <c r="S387" s="1403"/>
      <c r="T387" s="1426"/>
      <c r="U387" s="1403"/>
      <c r="V387" s="1426"/>
      <c r="W387" s="1424"/>
      <c r="X387" s="1426"/>
      <c r="Y387" s="1403"/>
      <c r="Z387" s="1426"/>
      <c r="AA387" s="1403"/>
      <c r="AB387" s="1426"/>
      <c r="AC387" s="1424"/>
      <c r="AD387" s="1426"/>
      <c r="AE387" s="1403"/>
      <c r="AF387" s="1426"/>
      <c r="AG387" s="1403"/>
      <c r="AH387" s="1426"/>
      <c r="AI387" s="1426"/>
      <c r="AJ387" s="1"/>
    </row>
    <row r="388" spans="1:36" s="63" customFormat="1" ht="15">
      <c r="B388" s="1"/>
      <c r="D388" s="1424"/>
      <c r="E388" s="1424"/>
      <c r="F388" s="1424"/>
      <c r="G388" s="1424"/>
      <c r="H388" s="1424"/>
      <c r="I388" s="1424"/>
      <c r="J388" s="1426"/>
      <c r="K388" s="1424"/>
      <c r="L388" s="1426"/>
      <c r="M388" s="1403"/>
      <c r="N388" s="1426"/>
      <c r="O388" s="1403"/>
      <c r="P388" s="1426"/>
      <c r="Q388" s="1424"/>
      <c r="R388" s="1426"/>
      <c r="S388" s="1403"/>
      <c r="T388" s="1426"/>
      <c r="U388" s="1403"/>
      <c r="V388" s="1426"/>
      <c r="W388" s="1424"/>
      <c r="X388" s="1426"/>
      <c r="Y388" s="1403"/>
      <c r="Z388" s="1426"/>
      <c r="AA388" s="1403"/>
      <c r="AB388" s="1426"/>
      <c r="AC388" s="1424"/>
      <c r="AD388" s="1426"/>
      <c r="AE388" s="1403"/>
      <c r="AF388" s="1426"/>
      <c r="AG388" s="1403"/>
      <c r="AH388" s="1426"/>
      <c r="AI388" s="1426"/>
      <c r="AJ388" s="1"/>
    </row>
    <row r="389" spans="1:36" s="63" customFormat="1" ht="15">
      <c r="B389" s="1"/>
      <c r="D389" s="1424"/>
      <c r="E389" s="1424"/>
      <c r="F389" s="1424"/>
      <c r="G389" s="1424"/>
      <c r="H389" s="1424"/>
      <c r="I389" s="1424"/>
      <c r="J389" s="1426"/>
      <c r="K389" s="1424"/>
      <c r="L389" s="1426"/>
      <c r="M389" s="1403"/>
      <c r="N389" s="1426"/>
      <c r="O389" s="1403"/>
      <c r="P389" s="1426"/>
      <c r="Q389" s="1424"/>
      <c r="R389" s="1426"/>
      <c r="S389" s="1403"/>
      <c r="T389" s="1426"/>
      <c r="U389" s="1403"/>
      <c r="V389" s="1426"/>
      <c r="W389" s="1424"/>
      <c r="X389" s="1426"/>
      <c r="Y389" s="1403"/>
      <c r="Z389" s="1426"/>
      <c r="AA389" s="1403"/>
      <c r="AB389" s="1426"/>
      <c r="AC389" s="1424"/>
      <c r="AD389" s="1426"/>
      <c r="AE389" s="1403"/>
      <c r="AF389" s="1426"/>
      <c r="AG389" s="1403"/>
      <c r="AH389" s="1426"/>
      <c r="AI389" s="1426"/>
      <c r="AJ389" s="1"/>
    </row>
    <row r="390" spans="1:36" s="63" customFormat="1" ht="15">
      <c r="B390" s="1"/>
      <c r="D390" s="1424"/>
      <c r="E390" s="1424"/>
      <c r="F390" s="1424"/>
      <c r="G390" s="1424"/>
      <c r="H390" s="1424"/>
      <c r="I390" s="1424"/>
      <c r="J390" s="1426"/>
      <c r="K390" s="1424"/>
      <c r="L390" s="1426"/>
      <c r="M390" s="1403"/>
      <c r="N390" s="1426"/>
      <c r="O390" s="1403"/>
      <c r="P390" s="1426"/>
      <c r="Q390" s="1424"/>
      <c r="R390" s="1426"/>
      <c r="S390" s="1403"/>
      <c r="T390" s="1426"/>
      <c r="U390" s="1403"/>
      <c r="V390" s="1426"/>
      <c r="W390" s="1424"/>
      <c r="X390" s="1426"/>
      <c r="Y390" s="1403"/>
      <c r="Z390" s="1426"/>
      <c r="AA390" s="1403"/>
      <c r="AB390" s="1426"/>
      <c r="AC390" s="1424"/>
      <c r="AD390" s="1426"/>
      <c r="AE390" s="1403"/>
      <c r="AF390" s="1426"/>
      <c r="AG390" s="1403"/>
      <c r="AH390" s="1426"/>
      <c r="AI390" s="1426"/>
      <c r="AJ390" s="1"/>
    </row>
    <row r="391" spans="1:36" s="63" customFormat="1" ht="15">
      <c r="B391" s="1"/>
      <c r="D391" s="1424"/>
      <c r="E391" s="1424"/>
      <c r="F391" s="1424"/>
      <c r="G391" s="1424"/>
      <c r="H391" s="1424"/>
      <c r="I391" s="1424"/>
      <c r="J391" s="1426"/>
      <c r="K391" s="1424"/>
      <c r="L391" s="1426"/>
      <c r="M391" s="1403"/>
      <c r="N391" s="1426"/>
      <c r="O391" s="1403"/>
      <c r="P391" s="1426"/>
      <c r="Q391" s="1424"/>
      <c r="R391" s="1426"/>
      <c r="S391" s="1403"/>
      <c r="T391" s="1426"/>
      <c r="U391" s="1403"/>
      <c r="V391" s="1426"/>
      <c r="W391" s="1424"/>
      <c r="X391" s="1426"/>
      <c r="Y391" s="1403"/>
      <c r="Z391" s="1426"/>
      <c r="AA391" s="1403"/>
      <c r="AB391" s="1426"/>
      <c r="AC391" s="1424"/>
      <c r="AD391" s="1426"/>
      <c r="AE391" s="1403"/>
      <c r="AF391" s="1426"/>
      <c r="AG391" s="1403"/>
      <c r="AH391" s="1426"/>
      <c r="AI391" s="1426"/>
      <c r="AJ391" s="1"/>
    </row>
    <row r="392" spans="1:36" s="63" customFormat="1" ht="15">
      <c r="B392" s="1"/>
      <c r="D392" s="1424"/>
      <c r="E392" s="1424"/>
      <c r="F392" s="1424"/>
      <c r="G392" s="1424"/>
      <c r="H392" s="1424"/>
      <c r="I392" s="1424"/>
      <c r="J392" s="1426"/>
      <c r="K392" s="1424"/>
      <c r="L392" s="1426"/>
      <c r="M392" s="1403"/>
      <c r="N392" s="1426"/>
      <c r="O392" s="1403"/>
      <c r="P392" s="1426"/>
      <c r="Q392" s="1424"/>
      <c r="R392" s="1426"/>
      <c r="S392" s="1403"/>
      <c r="T392" s="1426"/>
      <c r="U392" s="1403"/>
      <c r="V392" s="1426"/>
      <c r="W392" s="1424"/>
      <c r="X392" s="1426"/>
      <c r="Y392" s="1403"/>
      <c r="Z392" s="1426"/>
      <c r="AA392" s="1403"/>
      <c r="AB392" s="1426"/>
      <c r="AC392" s="1424"/>
      <c r="AD392" s="1426"/>
      <c r="AE392" s="1403"/>
      <c r="AF392" s="1426"/>
      <c r="AG392" s="1403"/>
      <c r="AH392" s="1426"/>
      <c r="AI392" s="1426"/>
      <c r="AJ392" s="1"/>
    </row>
    <row r="393" spans="1:36" s="63" customFormat="1" ht="15">
      <c r="D393" s="1424"/>
      <c r="E393" s="1424"/>
      <c r="F393" s="1424"/>
      <c r="G393" s="1424"/>
      <c r="H393" s="1424"/>
      <c r="I393" s="1424"/>
      <c r="J393" s="1426"/>
      <c r="K393" s="1424"/>
      <c r="L393" s="1426"/>
      <c r="M393" s="1403"/>
      <c r="N393" s="1426"/>
      <c r="O393" s="1403"/>
      <c r="P393" s="1426"/>
      <c r="Q393" s="1424"/>
      <c r="R393" s="1426"/>
      <c r="S393" s="1403"/>
      <c r="T393" s="1426"/>
      <c r="U393" s="1403"/>
      <c r="V393" s="1426"/>
      <c r="W393" s="1424"/>
      <c r="X393" s="1426"/>
      <c r="Y393" s="1403"/>
      <c r="Z393" s="1426"/>
      <c r="AA393" s="1403"/>
      <c r="AB393" s="1426"/>
      <c r="AC393" s="1424"/>
      <c r="AD393" s="1426"/>
      <c r="AE393" s="1403"/>
      <c r="AF393" s="1426"/>
      <c r="AG393" s="1403"/>
      <c r="AH393" s="1426"/>
      <c r="AI393" s="1426"/>
      <c r="AJ393" s="1"/>
    </row>
    <row r="394" spans="1:36" s="63" customFormat="1" ht="15">
      <c r="D394" s="1424"/>
      <c r="E394" s="1424"/>
      <c r="F394" s="1424"/>
      <c r="G394" s="1424"/>
      <c r="H394" s="1424"/>
      <c r="I394" s="1424"/>
      <c r="J394" s="1426"/>
      <c r="K394" s="1424"/>
      <c r="L394" s="1426"/>
      <c r="M394" s="1403"/>
      <c r="N394" s="1426"/>
      <c r="O394" s="1403"/>
      <c r="P394" s="1426"/>
      <c r="Q394" s="1424"/>
      <c r="R394" s="1426"/>
      <c r="S394" s="1403"/>
      <c r="T394" s="1426"/>
      <c r="U394" s="1403"/>
      <c r="V394" s="1426"/>
      <c r="W394" s="1424"/>
      <c r="X394" s="1426"/>
      <c r="Y394" s="1403"/>
      <c r="Z394" s="1426"/>
      <c r="AA394" s="1403"/>
      <c r="AB394" s="1426"/>
      <c r="AC394" s="1424"/>
      <c r="AD394" s="1426"/>
      <c r="AE394" s="1403"/>
      <c r="AF394" s="1426"/>
      <c r="AG394" s="1403"/>
      <c r="AH394" s="1426"/>
      <c r="AI394" s="1426"/>
      <c r="AJ394" s="1"/>
    </row>
    <row r="395" spans="1:36" s="63" customFormat="1" ht="15">
      <c r="D395" s="1424"/>
      <c r="E395" s="1424"/>
      <c r="F395" s="1424"/>
      <c r="G395" s="1424"/>
      <c r="H395" s="1424"/>
      <c r="I395" s="1424"/>
      <c r="J395" s="1426"/>
      <c r="K395" s="1424"/>
      <c r="L395" s="1426"/>
      <c r="M395" s="1403"/>
      <c r="N395" s="1426"/>
      <c r="O395" s="1403"/>
      <c r="P395" s="1426"/>
      <c r="Q395" s="1424"/>
      <c r="R395" s="1426"/>
      <c r="S395" s="1403"/>
      <c r="T395" s="1426"/>
      <c r="U395" s="1403"/>
      <c r="V395" s="1426"/>
      <c r="W395" s="1424"/>
      <c r="X395" s="1426"/>
      <c r="Y395" s="1403"/>
      <c r="Z395" s="1426"/>
      <c r="AA395" s="1403"/>
      <c r="AB395" s="1426"/>
      <c r="AC395" s="1424"/>
      <c r="AD395" s="1426"/>
      <c r="AE395" s="1403"/>
      <c r="AF395" s="1426"/>
      <c r="AG395" s="1403"/>
      <c r="AH395" s="1426"/>
      <c r="AI395" s="1426"/>
      <c r="AJ395" s="1"/>
    </row>
    <row r="396" spans="1:36" s="63" customFormat="1" ht="15">
      <c r="D396" s="1424"/>
      <c r="E396" s="1424"/>
      <c r="F396" s="1424"/>
      <c r="G396" s="1424"/>
      <c r="H396" s="1424"/>
      <c r="I396" s="1424"/>
      <c r="J396" s="1426"/>
      <c r="K396" s="1424"/>
      <c r="L396" s="1426"/>
      <c r="M396" s="1403"/>
      <c r="N396" s="1426"/>
      <c r="O396" s="1403"/>
      <c r="P396" s="1426"/>
      <c r="Q396" s="1424"/>
      <c r="R396" s="1426"/>
      <c r="S396" s="1403"/>
      <c r="T396" s="1426"/>
      <c r="U396" s="1403"/>
      <c r="V396" s="1426"/>
      <c r="W396" s="1424"/>
      <c r="X396" s="1426"/>
      <c r="Y396" s="1403"/>
      <c r="Z396" s="1426"/>
      <c r="AA396" s="1403"/>
      <c r="AB396" s="1426"/>
      <c r="AC396" s="1424"/>
      <c r="AD396" s="1426"/>
      <c r="AE396" s="1403"/>
      <c r="AF396" s="1426"/>
      <c r="AG396" s="1403"/>
      <c r="AH396" s="1426"/>
      <c r="AI396" s="1426"/>
      <c r="AJ396" s="1"/>
    </row>
    <row r="397" spans="1:36" s="63" customFormat="1" ht="15">
      <c r="D397" s="1424"/>
      <c r="E397" s="1424"/>
      <c r="F397" s="1424"/>
      <c r="G397" s="1424"/>
      <c r="H397" s="1424"/>
      <c r="I397" s="1424"/>
      <c r="J397" s="1426"/>
      <c r="K397" s="1424"/>
      <c r="L397" s="1426"/>
      <c r="M397" s="1403"/>
      <c r="N397" s="1426"/>
      <c r="O397" s="1403"/>
      <c r="P397" s="1426"/>
      <c r="Q397" s="1424"/>
      <c r="R397" s="1426"/>
      <c r="S397" s="1403"/>
      <c r="T397" s="1426"/>
      <c r="U397" s="1403"/>
      <c r="V397" s="1426"/>
      <c r="W397" s="1424"/>
      <c r="X397" s="1426"/>
      <c r="Y397" s="1403"/>
      <c r="Z397" s="1426"/>
      <c r="AA397" s="1403"/>
      <c r="AB397" s="1426"/>
      <c r="AC397" s="1424"/>
      <c r="AD397" s="1426"/>
      <c r="AE397" s="1403"/>
      <c r="AF397" s="1426"/>
      <c r="AG397" s="1403"/>
      <c r="AH397" s="1426"/>
      <c r="AI397" s="1426"/>
      <c r="AJ397" s="1"/>
    </row>
    <row r="398" spans="1:36" s="63" customFormat="1" ht="15">
      <c r="D398" s="1424"/>
      <c r="E398" s="1424"/>
      <c r="F398" s="1424"/>
      <c r="G398" s="1424"/>
      <c r="H398" s="1424"/>
      <c r="I398" s="1424"/>
      <c r="J398" s="1426"/>
      <c r="K398" s="1424"/>
      <c r="L398" s="1426"/>
      <c r="M398" s="1403"/>
      <c r="N398" s="1426"/>
      <c r="O398" s="1403"/>
      <c r="P398" s="1426"/>
      <c r="Q398" s="1424"/>
      <c r="R398" s="1426"/>
      <c r="S398" s="1403"/>
      <c r="T398" s="1426"/>
      <c r="U398" s="1403"/>
      <c r="V398" s="1426"/>
      <c r="W398" s="1424"/>
      <c r="X398" s="1426"/>
      <c r="Y398" s="1403"/>
      <c r="Z398" s="1426"/>
      <c r="AA398" s="1403"/>
      <c r="AB398" s="1426"/>
      <c r="AC398" s="1424"/>
      <c r="AD398" s="1426"/>
      <c r="AE398" s="1403"/>
      <c r="AF398" s="1426"/>
      <c r="AG398" s="1403"/>
      <c r="AH398" s="1426"/>
      <c r="AI398" s="1426"/>
      <c r="AJ398" s="1"/>
    </row>
    <row r="399" spans="1:36" s="63" customFormat="1" ht="15">
      <c r="D399" s="1424"/>
      <c r="E399" s="1424"/>
      <c r="F399" s="1424"/>
      <c r="G399" s="1424"/>
      <c r="H399" s="1424"/>
      <c r="I399" s="1424"/>
      <c r="J399" s="1426"/>
      <c r="K399" s="1424"/>
      <c r="L399" s="1426"/>
      <c r="M399" s="1403"/>
      <c r="N399" s="1426"/>
      <c r="O399" s="1403"/>
      <c r="P399" s="1426"/>
      <c r="Q399" s="1424"/>
      <c r="R399" s="1426"/>
      <c r="S399" s="1403"/>
      <c r="T399" s="1426"/>
      <c r="U399" s="1403"/>
      <c r="V399" s="1426"/>
      <c r="W399" s="1424"/>
      <c r="X399" s="1426"/>
      <c r="Y399" s="1403"/>
      <c r="Z399" s="1426"/>
      <c r="AA399" s="1403"/>
      <c r="AB399" s="1426"/>
      <c r="AC399" s="1424"/>
      <c r="AD399" s="1426"/>
      <c r="AE399" s="1403"/>
      <c r="AF399" s="1426"/>
      <c r="AG399" s="1403"/>
      <c r="AH399" s="1426"/>
      <c r="AI399" s="1426"/>
      <c r="AJ399" s="1"/>
    </row>
    <row r="400" spans="1:36" s="63" customFormat="1" ht="15">
      <c r="D400" s="1424"/>
      <c r="E400" s="1424"/>
      <c r="F400" s="1424"/>
      <c r="G400" s="1424"/>
      <c r="H400" s="1424"/>
      <c r="I400" s="1424"/>
      <c r="J400" s="1426"/>
      <c r="K400" s="1424"/>
      <c r="L400" s="1426"/>
      <c r="M400" s="1403"/>
      <c r="N400" s="1426"/>
      <c r="O400" s="1403"/>
      <c r="P400" s="1426"/>
      <c r="Q400" s="1424"/>
      <c r="R400" s="1426"/>
      <c r="S400" s="1403"/>
      <c r="T400" s="1426"/>
      <c r="U400" s="1403"/>
      <c r="V400" s="1426"/>
      <c r="W400" s="1424"/>
      <c r="X400" s="1426"/>
      <c r="Y400" s="1403"/>
      <c r="Z400" s="1426"/>
      <c r="AA400" s="1403"/>
      <c r="AB400" s="1426"/>
      <c r="AC400" s="1424"/>
      <c r="AD400" s="1426"/>
      <c r="AE400" s="1403"/>
      <c r="AF400" s="1426"/>
      <c r="AG400" s="1403"/>
      <c r="AH400" s="1426"/>
      <c r="AI400" s="1426"/>
      <c r="AJ400" s="1"/>
    </row>
    <row r="401" spans="4:36" s="63" customFormat="1" ht="15">
      <c r="D401" s="1424"/>
      <c r="E401" s="1424"/>
      <c r="F401" s="1424"/>
      <c r="G401" s="1424"/>
      <c r="H401" s="1424"/>
      <c r="I401" s="1424"/>
      <c r="J401" s="1426"/>
      <c r="K401" s="1424"/>
      <c r="L401" s="1426"/>
      <c r="M401" s="1403"/>
      <c r="N401" s="1426"/>
      <c r="O401" s="1403"/>
      <c r="P401" s="1426"/>
      <c r="Q401" s="1424"/>
      <c r="R401" s="1426"/>
      <c r="S401" s="1403"/>
      <c r="T401" s="1426"/>
      <c r="U401" s="1403"/>
      <c r="V401" s="1426"/>
      <c r="W401" s="1424"/>
      <c r="X401" s="1426"/>
      <c r="Y401" s="1403"/>
      <c r="Z401" s="1426"/>
      <c r="AA401" s="1403"/>
      <c r="AB401" s="1426"/>
      <c r="AC401" s="1424"/>
      <c r="AD401" s="1426"/>
      <c r="AE401" s="1403"/>
      <c r="AF401" s="1426"/>
      <c r="AG401" s="1403"/>
      <c r="AH401" s="1426"/>
      <c r="AI401" s="1426"/>
      <c r="AJ401" s="1"/>
    </row>
    <row r="402" spans="4:36" s="63" customFormat="1" ht="15">
      <c r="D402" s="1424"/>
      <c r="E402" s="1424"/>
      <c r="F402" s="1424"/>
      <c r="G402" s="1424"/>
      <c r="H402" s="1424"/>
      <c r="I402" s="1424"/>
      <c r="J402" s="1426"/>
      <c r="K402" s="1424"/>
      <c r="L402" s="1426"/>
      <c r="M402" s="1403"/>
      <c r="N402" s="1426"/>
      <c r="O402" s="1403"/>
      <c r="P402" s="1426"/>
      <c r="Q402" s="1424"/>
      <c r="R402" s="1426"/>
      <c r="S402" s="1403"/>
      <c r="T402" s="1426"/>
      <c r="U402" s="1403"/>
      <c r="V402" s="1426"/>
      <c r="W402" s="1424"/>
      <c r="X402" s="1426"/>
      <c r="Y402" s="1403"/>
      <c r="Z402" s="1426"/>
      <c r="AA402" s="1403"/>
      <c r="AB402" s="1426"/>
      <c r="AC402" s="1424"/>
      <c r="AD402" s="1426"/>
      <c r="AE402" s="1403"/>
      <c r="AF402" s="1426"/>
      <c r="AG402" s="1403"/>
      <c r="AH402" s="1426"/>
      <c r="AI402" s="1426"/>
      <c r="AJ402" s="1"/>
    </row>
    <row r="403" spans="4:36" s="63" customFormat="1" ht="15">
      <c r="D403" s="1424"/>
      <c r="E403" s="1424"/>
      <c r="F403" s="1424"/>
      <c r="G403" s="1424"/>
      <c r="H403" s="1424"/>
      <c r="I403" s="1424"/>
      <c r="J403" s="1426"/>
      <c r="K403" s="1424"/>
      <c r="L403" s="1426"/>
      <c r="M403" s="1403"/>
      <c r="N403" s="1426"/>
      <c r="O403" s="1403"/>
      <c r="P403" s="1426"/>
      <c r="Q403" s="1424"/>
      <c r="R403" s="1426"/>
      <c r="S403" s="1403"/>
      <c r="T403" s="1426"/>
      <c r="U403" s="1403"/>
      <c r="V403" s="1426"/>
      <c r="W403" s="1424"/>
      <c r="X403" s="1426"/>
      <c r="Y403" s="1403"/>
      <c r="Z403" s="1426"/>
      <c r="AA403" s="1403"/>
      <c r="AB403" s="1426"/>
      <c r="AC403" s="1424"/>
      <c r="AD403" s="1426"/>
      <c r="AE403" s="1403"/>
      <c r="AF403" s="1426"/>
      <c r="AG403" s="1403"/>
      <c r="AH403" s="1426"/>
      <c r="AI403" s="1426"/>
      <c r="AJ403" s="1"/>
    </row>
    <row r="404" spans="4:36" s="63" customFormat="1" ht="15">
      <c r="D404" s="1424"/>
      <c r="E404" s="1424"/>
      <c r="F404" s="1424"/>
      <c r="G404" s="1424"/>
      <c r="H404" s="1424"/>
      <c r="I404" s="1424"/>
      <c r="J404" s="1426"/>
      <c r="K404" s="1424"/>
      <c r="L404" s="1426"/>
      <c r="M404" s="1403"/>
      <c r="N404" s="1426"/>
      <c r="O404" s="1403"/>
      <c r="P404" s="1426"/>
      <c r="Q404" s="1424"/>
      <c r="R404" s="1426"/>
      <c r="S404" s="1403"/>
      <c r="T404" s="1426"/>
      <c r="U404" s="1403"/>
      <c r="V404" s="1426"/>
      <c r="W404" s="1424"/>
      <c r="X404" s="1426"/>
      <c r="Y404" s="1403"/>
      <c r="Z404" s="1426"/>
      <c r="AA404" s="1403"/>
      <c r="AB404" s="1426"/>
      <c r="AC404" s="1424"/>
      <c r="AD404" s="1426"/>
      <c r="AE404" s="1403"/>
      <c r="AF404" s="1426"/>
      <c r="AG404" s="1403"/>
      <c r="AH404" s="1426"/>
      <c r="AI404" s="1426"/>
      <c r="AJ404" s="1"/>
    </row>
    <row r="405" spans="4:36" s="63" customFormat="1" ht="15">
      <c r="D405" s="1424"/>
      <c r="E405" s="1424"/>
      <c r="F405" s="1424"/>
      <c r="G405" s="1424"/>
      <c r="H405" s="1424"/>
      <c r="I405" s="1424"/>
      <c r="J405" s="1426"/>
      <c r="K405" s="1424"/>
      <c r="L405" s="1426"/>
      <c r="M405" s="1403"/>
      <c r="N405" s="1426"/>
      <c r="O405" s="1403"/>
      <c r="P405" s="1426"/>
      <c r="Q405" s="1424"/>
      <c r="R405" s="1426"/>
      <c r="S405" s="1403"/>
      <c r="T405" s="1426"/>
      <c r="U405" s="1403"/>
      <c r="V405" s="1426"/>
      <c r="W405" s="1424"/>
      <c r="X405" s="1426"/>
      <c r="Y405" s="1403"/>
      <c r="Z405" s="1426"/>
      <c r="AA405" s="1403"/>
      <c r="AB405" s="1426"/>
      <c r="AC405" s="1424"/>
      <c r="AD405" s="1426"/>
      <c r="AE405" s="1403"/>
      <c r="AF405" s="1426"/>
      <c r="AG405" s="1403"/>
      <c r="AH405" s="1426"/>
      <c r="AI405" s="1426"/>
      <c r="AJ405" s="1"/>
    </row>
    <row r="406" spans="4:36" s="63" customFormat="1" ht="15">
      <c r="D406" s="1424"/>
      <c r="E406" s="1424"/>
      <c r="F406" s="1424"/>
      <c r="G406" s="1424"/>
      <c r="H406" s="1424"/>
      <c r="I406" s="1424"/>
      <c r="J406" s="1426"/>
      <c r="K406" s="1424"/>
      <c r="L406" s="1426"/>
      <c r="M406" s="1403"/>
      <c r="N406" s="1426"/>
      <c r="O406" s="1403"/>
      <c r="P406" s="1426"/>
      <c r="Q406" s="1424"/>
      <c r="R406" s="1426"/>
      <c r="S406" s="1403"/>
      <c r="T406" s="1426"/>
      <c r="U406" s="1403"/>
      <c r="V406" s="1426"/>
      <c r="W406" s="1424"/>
      <c r="X406" s="1426"/>
      <c r="Y406" s="1403"/>
      <c r="Z406" s="1426"/>
      <c r="AA406" s="1403"/>
      <c r="AB406" s="1426"/>
      <c r="AC406" s="1424"/>
      <c r="AD406" s="1426"/>
      <c r="AE406" s="1403"/>
      <c r="AF406" s="1426"/>
      <c r="AG406" s="1403"/>
      <c r="AH406" s="1426"/>
      <c r="AI406" s="1426"/>
      <c r="AJ406" s="1"/>
    </row>
    <row r="407" spans="4:36" s="63" customFormat="1" ht="15">
      <c r="D407" s="1424"/>
      <c r="E407" s="1424"/>
      <c r="F407" s="1424"/>
      <c r="G407" s="1424"/>
      <c r="H407" s="1424"/>
      <c r="I407" s="1424"/>
      <c r="J407" s="1426"/>
      <c r="K407" s="1424"/>
      <c r="L407" s="1426"/>
      <c r="M407" s="1403"/>
      <c r="N407" s="1426"/>
      <c r="O407" s="1403"/>
      <c r="P407" s="1426"/>
      <c r="Q407" s="1424"/>
      <c r="R407" s="1426"/>
      <c r="S407" s="1403"/>
      <c r="T407" s="1426"/>
      <c r="U407" s="1403"/>
      <c r="V407" s="1426"/>
      <c r="W407" s="1424"/>
      <c r="X407" s="1426"/>
      <c r="Y407" s="1403"/>
      <c r="Z407" s="1426"/>
      <c r="AA407" s="1403"/>
      <c r="AB407" s="1426"/>
      <c r="AC407" s="1424"/>
      <c r="AD407" s="1426"/>
      <c r="AE407" s="1403"/>
      <c r="AF407" s="1426"/>
      <c r="AG407" s="1403"/>
      <c r="AH407" s="1426"/>
      <c r="AI407" s="1426"/>
      <c r="AJ407" s="1"/>
    </row>
    <row r="408" spans="4:36" s="63" customFormat="1" ht="15">
      <c r="D408" s="1424"/>
      <c r="E408" s="1424"/>
      <c r="F408" s="1424"/>
      <c r="G408" s="1424"/>
      <c r="H408" s="1424"/>
      <c r="I408" s="1424"/>
      <c r="J408" s="1426"/>
      <c r="K408" s="1424"/>
      <c r="L408" s="1426"/>
      <c r="M408" s="1403"/>
      <c r="N408" s="1426"/>
      <c r="O408" s="1403"/>
      <c r="P408" s="1426"/>
      <c r="Q408" s="1424"/>
      <c r="R408" s="1426"/>
      <c r="S408" s="1403"/>
      <c r="T408" s="1426"/>
      <c r="U408" s="1403"/>
      <c r="V408" s="1426"/>
      <c r="W408" s="1424"/>
      <c r="X408" s="1426"/>
      <c r="Y408" s="1403"/>
      <c r="Z408" s="1426"/>
      <c r="AA408" s="1403"/>
      <c r="AB408" s="1426"/>
      <c r="AC408" s="1424"/>
      <c r="AD408" s="1426"/>
      <c r="AE408" s="1403"/>
      <c r="AF408" s="1426"/>
      <c r="AG408" s="1403"/>
      <c r="AH408" s="1426"/>
      <c r="AI408" s="1426"/>
      <c r="AJ408" s="1"/>
    </row>
    <row r="409" spans="4:36" s="63" customFormat="1" ht="15">
      <c r="D409" s="1424"/>
      <c r="E409" s="1424"/>
      <c r="F409" s="1424"/>
      <c r="G409" s="1424"/>
      <c r="H409" s="1424"/>
      <c r="I409" s="1424"/>
      <c r="J409" s="1426"/>
      <c r="K409" s="1424"/>
      <c r="L409" s="1426"/>
      <c r="M409" s="1403"/>
      <c r="N409" s="1426"/>
      <c r="O409" s="1403"/>
      <c r="P409" s="1426"/>
      <c r="Q409" s="1424"/>
      <c r="R409" s="1426"/>
      <c r="S409" s="1403"/>
      <c r="T409" s="1426"/>
      <c r="U409" s="1403"/>
      <c r="V409" s="1426"/>
      <c r="W409" s="1424"/>
      <c r="X409" s="1426"/>
      <c r="Y409" s="1403"/>
      <c r="Z409" s="1426"/>
      <c r="AA409" s="1403"/>
      <c r="AB409" s="1426"/>
      <c r="AC409" s="1424"/>
      <c r="AD409" s="1426"/>
      <c r="AE409" s="1403"/>
      <c r="AF409" s="1426"/>
      <c r="AG409" s="1403"/>
      <c r="AH409" s="1426"/>
      <c r="AI409" s="1426"/>
      <c r="AJ409" s="1"/>
    </row>
    <row r="410" spans="4:36" s="63" customFormat="1" ht="15">
      <c r="D410" s="1424"/>
      <c r="E410" s="1424"/>
      <c r="F410" s="1424"/>
      <c r="G410" s="1424"/>
      <c r="H410" s="1424"/>
      <c r="I410" s="1424"/>
      <c r="J410" s="1426"/>
      <c r="K410" s="1424"/>
      <c r="L410" s="1426"/>
      <c r="M410" s="1403"/>
      <c r="N410" s="1426"/>
      <c r="O410" s="1403"/>
      <c r="P410" s="1426"/>
      <c r="Q410" s="1424"/>
      <c r="R410" s="1426"/>
      <c r="S410" s="1403"/>
      <c r="T410" s="1426"/>
      <c r="U410" s="1403"/>
      <c r="V410" s="1426"/>
      <c r="W410" s="1424"/>
      <c r="X410" s="1426"/>
      <c r="Y410" s="1403"/>
      <c r="Z410" s="1426"/>
      <c r="AA410" s="1403"/>
      <c r="AB410" s="1426"/>
      <c r="AC410" s="1424"/>
      <c r="AD410" s="1426"/>
      <c r="AE410" s="1403"/>
      <c r="AF410" s="1426"/>
      <c r="AG410" s="1403"/>
      <c r="AH410" s="1426"/>
      <c r="AI410" s="1426"/>
      <c r="AJ410" s="1"/>
    </row>
    <row r="411" spans="4:36" s="63" customFormat="1" ht="15">
      <c r="D411" s="1424"/>
      <c r="E411" s="1424"/>
      <c r="F411" s="1424"/>
      <c r="G411" s="1424"/>
      <c r="H411" s="1424"/>
      <c r="I411" s="1424"/>
      <c r="J411" s="1426"/>
      <c r="K411" s="1424"/>
      <c r="L411" s="1426"/>
      <c r="M411" s="1403"/>
      <c r="N411" s="1426"/>
      <c r="O411" s="1403"/>
      <c r="P411" s="1426"/>
      <c r="Q411" s="1424"/>
      <c r="R411" s="1426"/>
      <c r="S411" s="1403"/>
      <c r="T411" s="1426"/>
      <c r="U411" s="1403"/>
      <c r="V411" s="1426"/>
      <c r="W411" s="1424"/>
      <c r="X411" s="1426"/>
      <c r="Y411" s="1403"/>
      <c r="Z411" s="1426"/>
      <c r="AA411" s="1403"/>
      <c r="AB411" s="1426"/>
      <c r="AC411" s="1424"/>
      <c r="AD411" s="1426"/>
      <c r="AE411" s="1403"/>
      <c r="AF411" s="1426"/>
      <c r="AG411" s="1403"/>
      <c r="AH411" s="1426"/>
      <c r="AI411" s="1426"/>
      <c r="AJ411" s="1"/>
    </row>
    <row r="412" spans="4:36" s="63" customFormat="1" ht="15">
      <c r="D412" s="1424"/>
      <c r="E412" s="1424"/>
      <c r="F412" s="1424"/>
      <c r="G412" s="1424"/>
      <c r="H412" s="1424"/>
      <c r="I412" s="1424"/>
      <c r="J412" s="1426"/>
      <c r="K412" s="1424"/>
      <c r="L412" s="1426"/>
      <c r="M412" s="1403"/>
      <c r="N412" s="1426"/>
      <c r="O412" s="1403"/>
      <c r="P412" s="1426"/>
      <c r="Q412" s="1424"/>
      <c r="R412" s="1426"/>
      <c r="S412" s="1403"/>
      <c r="T412" s="1426"/>
      <c r="U412" s="1403"/>
      <c r="V412" s="1426"/>
      <c r="W412" s="1424"/>
      <c r="X412" s="1426"/>
      <c r="Y412" s="1403"/>
      <c r="Z412" s="1426"/>
      <c r="AA412" s="1403"/>
      <c r="AB412" s="1426"/>
      <c r="AC412" s="1424"/>
      <c r="AD412" s="1426"/>
      <c r="AE412" s="1403"/>
      <c r="AF412" s="1426"/>
      <c r="AG412" s="1403"/>
      <c r="AH412" s="1426"/>
      <c r="AI412" s="1426"/>
      <c r="AJ412" s="1"/>
    </row>
    <row r="413" spans="4:36" s="63" customFormat="1" ht="15">
      <c r="D413" s="1424"/>
      <c r="E413" s="1424"/>
      <c r="F413" s="1424"/>
      <c r="G413" s="1424"/>
      <c r="H413" s="1424"/>
      <c r="I413" s="1424"/>
      <c r="J413" s="1426"/>
      <c r="K413" s="1424"/>
      <c r="L413" s="1426"/>
      <c r="M413" s="1403"/>
      <c r="N413" s="1426"/>
      <c r="O413" s="1403"/>
      <c r="P413" s="1426"/>
      <c r="Q413" s="1424"/>
      <c r="R413" s="1426"/>
      <c r="S413" s="1403"/>
      <c r="T413" s="1426"/>
      <c r="U413" s="1403"/>
      <c r="V413" s="1426"/>
      <c r="W413" s="1424"/>
      <c r="X413" s="1426"/>
      <c r="Y413" s="1403"/>
      <c r="Z413" s="1426"/>
      <c r="AA413" s="1403"/>
      <c r="AB413" s="1426"/>
      <c r="AC413" s="1424"/>
      <c r="AD413" s="1426"/>
      <c r="AE413" s="1403"/>
      <c r="AF413" s="1426"/>
      <c r="AG413" s="1403"/>
      <c r="AH413" s="1426"/>
      <c r="AI413" s="1426"/>
      <c r="AJ413" s="1"/>
    </row>
    <row r="414" spans="4:36" s="63" customFormat="1" ht="15">
      <c r="D414" s="1424"/>
      <c r="E414" s="1424"/>
      <c r="F414" s="1424"/>
      <c r="G414" s="1424"/>
      <c r="H414" s="1424"/>
      <c r="I414" s="1424"/>
      <c r="J414" s="1426"/>
      <c r="K414" s="1424"/>
      <c r="L414" s="1426"/>
      <c r="M414" s="1403"/>
      <c r="N414" s="1426"/>
      <c r="O414" s="1403"/>
      <c r="P414" s="1426"/>
      <c r="Q414" s="1424"/>
      <c r="R414" s="1426"/>
      <c r="S414" s="1403"/>
      <c r="T414" s="1426"/>
      <c r="U414" s="1403"/>
      <c r="V414" s="1426"/>
      <c r="W414" s="1424"/>
      <c r="X414" s="1426"/>
      <c r="Y414" s="1403"/>
      <c r="Z414" s="1426"/>
      <c r="AA414" s="1403"/>
      <c r="AB414" s="1426"/>
      <c r="AC414" s="1424"/>
      <c r="AD414" s="1426"/>
      <c r="AE414" s="1403"/>
      <c r="AF414" s="1426"/>
      <c r="AG414" s="1403"/>
      <c r="AH414" s="1426"/>
      <c r="AI414" s="1426"/>
      <c r="AJ414" s="1"/>
    </row>
    <row r="415" spans="4:36" s="63" customFormat="1" ht="15">
      <c r="D415" s="1424"/>
      <c r="E415" s="1424"/>
      <c r="F415" s="1424"/>
      <c r="G415" s="1424"/>
      <c r="H415" s="1424"/>
      <c r="I415" s="1424"/>
      <c r="J415" s="1426"/>
      <c r="K415" s="1424"/>
      <c r="L415" s="1426"/>
      <c r="M415" s="1403"/>
      <c r="N415" s="1426"/>
      <c r="O415" s="1403"/>
      <c r="P415" s="1426"/>
      <c r="Q415" s="1424"/>
      <c r="R415" s="1426"/>
      <c r="S415" s="1403"/>
      <c r="T415" s="1426"/>
      <c r="U415" s="1403"/>
      <c r="V415" s="1426"/>
      <c r="W415" s="1424"/>
      <c r="X415" s="1426"/>
      <c r="Y415" s="1403"/>
      <c r="Z415" s="1426"/>
      <c r="AA415" s="1403"/>
      <c r="AB415" s="1426"/>
      <c r="AC415" s="1424"/>
      <c r="AD415" s="1426"/>
      <c r="AE415" s="1403"/>
      <c r="AF415" s="1426"/>
      <c r="AG415" s="1403"/>
      <c r="AH415" s="1426"/>
      <c r="AI415" s="1426"/>
      <c r="AJ415" s="1"/>
    </row>
    <row r="416" spans="4:36" s="63" customFormat="1" ht="15">
      <c r="D416" s="1424"/>
      <c r="E416" s="1424"/>
      <c r="F416" s="1424"/>
      <c r="G416" s="1424"/>
      <c r="H416" s="1424"/>
      <c r="I416" s="1424"/>
      <c r="J416" s="1426"/>
      <c r="K416" s="1424"/>
      <c r="L416" s="1426"/>
      <c r="M416" s="1403"/>
      <c r="N416" s="1426"/>
      <c r="O416" s="1403"/>
      <c r="P416" s="1426"/>
      <c r="Q416" s="1424"/>
      <c r="R416" s="1426"/>
      <c r="S416" s="1403"/>
      <c r="T416" s="1426"/>
      <c r="U416" s="1403"/>
      <c r="V416" s="1426"/>
      <c r="W416" s="1424"/>
      <c r="X416" s="1426"/>
      <c r="Y416" s="1403"/>
      <c r="Z416" s="1426"/>
      <c r="AA416" s="1403"/>
      <c r="AB416" s="1426"/>
      <c r="AC416" s="1424"/>
      <c r="AD416" s="1426"/>
      <c r="AE416" s="1403"/>
      <c r="AF416" s="1426"/>
      <c r="AG416" s="1403"/>
      <c r="AH416" s="1426"/>
      <c r="AI416" s="1426"/>
      <c r="AJ416" s="1"/>
    </row>
    <row r="417" spans="4:36" s="63" customFormat="1" ht="15">
      <c r="D417" s="1424"/>
      <c r="E417" s="1424"/>
      <c r="F417" s="1424"/>
      <c r="G417" s="1424"/>
      <c r="H417" s="1424"/>
      <c r="I417" s="1424"/>
      <c r="J417" s="1426"/>
      <c r="K417" s="1424"/>
      <c r="L417" s="1426"/>
      <c r="M417" s="1403"/>
      <c r="N417" s="1426"/>
      <c r="O417" s="1403"/>
      <c r="P417" s="1426"/>
      <c r="Q417" s="1424"/>
      <c r="R417" s="1426"/>
      <c r="S417" s="1403"/>
      <c r="T417" s="1426"/>
      <c r="U417" s="1403"/>
      <c r="V417" s="1426"/>
      <c r="W417" s="1424"/>
      <c r="X417" s="1426"/>
      <c r="Y417" s="1403"/>
      <c r="Z417" s="1426"/>
      <c r="AA417" s="1403"/>
      <c r="AB417" s="1426"/>
      <c r="AC417" s="1424"/>
      <c r="AD417" s="1426"/>
      <c r="AE417" s="1403"/>
      <c r="AF417" s="1426"/>
      <c r="AG417" s="1403"/>
      <c r="AH417" s="1426"/>
      <c r="AI417" s="1426"/>
      <c r="AJ417" s="1"/>
    </row>
    <row r="418" spans="4:36" s="63" customFormat="1" ht="15">
      <c r="D418" s="1424"/>
      <c r="E418" s="1424"/>
      <c r="F418" s="1424"/>
      <c r="G418" s="1424"/>
      <c r="H418" s="1424"/>
      <c r="I418" s="1424"/>
      <c r="J418" s="1426"/>
      <c r="K418" s="1424"/>
      <c r="L418" s="1426"/>
      <c r="M418" s="1403"/>
      <c r="N418" s="1426"/>
      <c r="O418" s="1403"/>
      <c r="P418" s="1426"/>
      <c r="Q418" s="1424"/>
      <c r="R418" s="1426"/>
      <c r="S418" s="1403"/>
      <c r="T418" s="1426"/>
      <c r="U418" s="1403"/>
      <c r="V418" s="1426"/>
      <c r="W418" s="1424"/>
      <c r="X418" s="1426"/>
      <c r="Y418" s="1403"/>
      <c r="Z418" s="1426"/>
      <c r="AA418" s="1403"/>
      <c r="AB418" s="1426"/>
      <c r="AC418" s="1424"/>
      <c r="AD418" s="1426"/>
      <c r="AE418" s="1403"/>
      <c r="AF418" s="1426"/>
      <c r="AG418" s="1403"/>
      <c r="AH418" s="1426"/>
      <c r="AI418" s="1426"/>
      <c r="AJ418" s="1"/>
    </row>
    <row r="419" spans="4:36" s="63" customFormat="1" ht="15">
      <c r="D419" s="1424"/>
      <c r="E419" s="1424"/>
      <c r="F419" s="1424"/>
      <c r="G419" s="1424"/>
      <c r="H419" s="1424"/>
      <c r="I419" s="1424"/>
      <c r="J419" s="1426"/>
      <c r="K419" s="1424"/>
      <c r="L419" s="1426"/>
      <c r="M419" s="1403"/>
      <c r="N419" s="1426"/>
      <c r="O419" s="1403"/>
      <c r="P419" s="1426"/>
      <c r="Q419" s="1424"/>
      <c r="R419" s="1426"/>
      <c r="S419" s="1403"/>
      <c r="T419" s="1426"/>
      <c r="U419" s="1403"/>
      <c r="V419" s="1426"/>
      <c r="W419" s="1424"/>
      <c r="X419" s="1426"/>
      <c r="Y419" s="1403"/>
      <c r="Z419" s="1426"/>
      <c r="AA419" s="1403"/>
      <c r="AB419" s="1426"/>
      <c r="AC419" s="1424"/>
      <c r="AD419" s="1426"/>
      <c r="AE419" s="1403"/>
      <c r="AF419" s="1426"/>
      <c r="AG419" s="1403"/>
      <c r="AH419" s="1426"/>
      <c r="AI419" s="1426"/>
      <c r="AJ419" s="1"/>
    </row>
    <row r="420" spans="4:36" s="63" customFormat="1" ht="15">
      <c r="D420" s="1424"/>
      <c r="E420" s="1424"/>
      <c r="F420" s="1424"/>
      <c r="G420" s="1424"/>
      <c r="H420" s="1424"/>
      <c r="I420" s="1424"/>
      <c r="J420" s="1426"/>
      <c r="K420" s="1424"/>
      <c r="L420" s="1426"/>
      <c r="M420" s="1403"/>
      <c r="N420" s="1426"/>
      <c r="O420" s="1403"/>
      <c r="P420" s="1426"/>
      <c r="Q420" s="1424"/>
      <c r="R420" s="1426"/>
      <c r="S420" s="1403"/>
      <c r="T420" s="1426"/>
      <c r="U420" s="1403"/>
      <c r="V420" s="1426"/>
      <c r="W420" s="1424"/>
      <c r="X420" s="1426"/>
      <c r="Y420" s="1403"/>
      <c r="Z420" s="1426"/>
      <c r="AA420" s="1403"/>
      <c r="AB420" s="1426"/>
      <c r="AC420" s="1424"/>
      <c r="AD420" s="1426"/>
      <c r="AE420" s="1403"/>
      <c r="AF420" s="1426"/>
      <c r="AG420" s="1403"/>
      <c r="AH420" s="1426"/>
      <c r="AI420" s="1426"/>
      <c r="AJ420" s="1"/>
    </row>
    <row r="421" spans="4:36" s="63" customFormat="1" ht="15">
      <c r="D421" s="1424"/>
      <c r="E421" s="1424"/>
      <c r="F421" s="1424"/>
      <c r="G421" s="1424"/>
      <c r="H421" s="1424"/>
      <c r="I421" s="1424"/>
      <c r="J421" s="1426"/>
      <c r="K421" s="1424"/>
      <c r="L421" s="1426"/>
      <c r="M421" s="1403"/>
      <c r="N421" s="1426"/>
      <c r="O421" s="1403"/>
      <c r="P421" s="1426"/>
      <c r="Q421" s="1424"/>
      <c r="R421" s="1426"/>
      <c r="S421" s="1403"/>
      <c r="T421" s="1426"/>
      <c r="U421" s="1403"/>
      <c r="V421" s="1426"/>
      <c r="W421" s="1424"/>
      <c r="X421" s="1426"/>
      <c r="Y421" s="1403"/>
      <c r="Z421" s="1426"/>
      <c r="AA421" s="1403"/>
      <c r="AB421" s="1426"/>
      <c r="AC421" s="1424"/>
      <c r="AD421" s="1426"/>
      <c r="AE421" s="1403"/>
      <c r="AF421" s="1426"/>
      <c r="AG421" s="1403"/>
      <c r="AH421" s="1426"/>
      <c r="AI421" s="1426"/>
      <c r="AJ421" s="1"/>
    </row>
    <row r="422" spans="4:36" s="63" customFormat="1" ht="15">
      <c r="D422" s="1424"/>
      <c r="E422" s="1424"/>
      <c r="F422" s="1424"/>
      <c r="G422" s="1424"/>
      <c r="H422" s="1424"/>
      <c r="I422" s="1424"/>
      <c r="J422" s="1426"/>
      <c r="K422" s="1424"/>
      <c r="L422" s="1426"/>
      <c r="M422" s="1403"/>
      <c r="N422" s="1426"/>
      <c r="O422" s="1403"/>
      <c r="P422" s="1426"/>
      <c r="Q422" s="1424"/>
      <c r="R422" s="1426"/>
      <c r="S422" s="1403"/>
      <c r="T422" s="1426"/>
      <c r="U422" s="1403"/>
      <c r="V422" s="1426"/>
      <c r="W422" s="1424"/>
      <c r="X422" s="1426"/>
      <c r="Y422" s="1403"/>
      <c r="Z422" s="1426"/>
      <c r="AA422" s="1403"/>
      <c r="AB422" s="1426"/>
      <c r="AC422" s="1424"/>
      <c r="AD422" s="1426"/>
      <c r="AE422" s="1403"/>
      <c r="AF422" s="1426"/>
      <c r="AG422" s="1403"/>
      <c r="AH422" s="1426"/>
      <c r="AI422" s="1426"/>
      <c r="AJ422" s="1"/>
    </row>
    <row r="423" spans="4:36" s="63" customFormat="1" ht="15">
      <c r="D423" s="1424"/>
      <c r="E423" s="1424"/>
      <c r="F423" s="1424"/>
      <c r="G423" s="1424"/>
      <c r="H423" s="1424"/>
      <c r="I423" s="1424"/>
      <c r="J423" s="1426"/>
      <c r="K423" s="1424"/>
      <c r="L423" s="1426"/>
      <c r="M423" s="1403"/>
      <c r="N423" s="1426"/>
      <c r="O423" s="1403"/>
      <c r="P423" s="1426"/>
      <c r="Q423" s="1424"/>
      <c r="R423" s="1426"/>
      <c r="S423" s="1403"/>
      <c r="T423" s="1426"/>
      <c r="U423" s="1403"/>
      <c r="V423" s="1426"/>
      <c r="W423" s="1424"/>
      <c r="X423" s="1426"/>
      <c r="Y423" s="1403"/>
      <c r="Z423" s="1426"/>
      <c r="AA423" s="1403"/>
      <c r="AB423" s="1426"/>
      <c r="AC423" s="1424"/>
      <c r="AD423" s="1426"/>
      <c r="AE423" s="1403"/>
      <c r="AF423" s="1426"/>
      <c r="AG423" s="1403"/>
      <c r="AH423" s="1426"/>
      <c r="AI423" s="1426"/>
      <c r="AJ423" s="1"/>
    </row>
    <row r="424" spans="4:36" s="63" customFormat="1" ht="15">
      <c r="D424" s="1424"/>
      <c r="E424" s="1424"/>
      <c r="F424" s="1424"/>
      <c r="G424" s="1424"/>
      <c r="H424" s="1424"/>
      <c r="I424" s="1424"/>
      <c r="J424" s="1426"/>
      <c r="K424" s="1424"/>
      <c r="L424" s="1426"/>
      <c r="M424" s="1403"/>
      <c r="N424" s="1426"/>
      <c r="O424" s="1403"/>
      <c r="P424" s="1426"/>
      <c r="Q424" s="1424"/>
      <c r="R424" s="1426"/>
      <c r="S424" s="1403"/>
      <c r="T424" s="1426"/>
      <c r="U424" s="1403"/>
      <c r="V424" s="1426"/>
      <c r="W424" s="1424"/>
      <c r="X424" s="1426"/>
      <c r="Y424" s="1403"/>
      <c r="Z424" s="1426"/>
      <c r="AA424" s="1403"/>
      <c r="AB424" s="1426"/>
      <c r="AC424" s="1424"/>
      <c r="AD424" s="1426"/>
      <c r="AE424" s="1403"/>
      <c r="AF424" s="1426"/>
      <c r="AG424" s="1403"/>
      <c r="AH424" s="1426"/>
      <c r="AI424" s="1426"/>
      <c r="AJ424" s="1"/>
    </row>
    <row r="425" spans="4:36" s="63" customFormat="1" ht="15">
      <c r="D425" s="1424"/>
      <c r="E425" s="1424"/>
      <c r="F425" s="1424"/>
      <c r="G425" s="1424"/>
      <c r="H425" s="1424"/>
      <c r="I425" s="1424"/>
      <c r="J425" s="1426"/>
      <c r="K425" s="1424"/>
      <c r="L425" s="1426"/>
      <c r="M425" s="1403"/>
      <c r="N425" s="1426"/>
      <c r="O425" s="1403"/>
      <c r="P425" s="1426"/>
      <c r="Q425" s="1424"/>
      <c r="R425" s="1426"/>
      <c r="S425" s="1403"/>
      <c r="T425" s="1426"/>
      <c r="U425" s="1403"/>
      <c r="V425" s="1426"/>
      <c r="W425" s="1424"/>
      <c r="X425" s="1426"/>
      <c r="Y425" s="1403"/>
      <c r="Z425" s="1426"/>
      <c r="AA425" s="1403"/>
      <c r="AB425" s="1426"/>
      <c r="AC425" s="1424"/>
      <c r="AD425" s="1426"/>
      <c r="AE425" s="1403"/>
      <c r="AF425" s="1426"/>
      <c r="AG425" s="1403"/>
      <c r="AH425" s="1426"/>
      <c r="AI425" s="1426"/>
      <c r="AJ425" s="1"/>
    </row>
    <row r="426" spans="4:36" s="63" customFormat="1" ht="15">
      <c r="D426" s="1424"/>
      <c r="E426" s="1424"/>
      <c r="F426" s="1424"/>
      <c r="G426" s="1424"/>
      <c r="H426" s="1424"/>
      <c r="I426" s="1424"/>
      <c r="J426" s="1426"/>
      <c r="K426" s="1424"/>
      <c r="L426" s="1426"/>
      <c r="M426" s="1403"/>
      <c r="N426" s="1426"/>
      <c r="O426" s="1403"/>
      <c r="P426" s="1426"/>
      <c r="Q426" s="1424"/>
      <c r="R426" s="1426"/>
      <c r="S426" s="1403"/>
      <c r="T426" s="1426"/>
      <c r="U426" s="1403"/>
      <c r="V426" s="1426"/>
      <c r="W426" s="1424"/>
      <c r="X426" s="1426"/>
      <c r="Y426" s="1403"/>
      <c r="Z426" s="1426"/>
      <c r="AA426" s="1403"/>
      <c r="AB426" s="1426"/>
      <c r="AC426" s="1424"/>
      <c r="AD426" s="1426"/>
      <c r="AE426" s="1403"/>
      <c r="AF426" s="1426"/>
      <c r="AG426" s="1403"/>
      <c r="AH426" s="1426"/>
      <c r="AI426" s="1426"/>
      <c r="AJ426" s="1"/>
    </row>
    <row r="427" spans="4:36" s="63" customFormat="1" ht="15">
      <c r="D427" s="1424"/>
      <c r="E427" s="1424"/>
      <c r="F427" s="1424"/>
      <c r="G427" s="1424"/>
      <c r="H427" s="1424"/>
      <c r="I427" s="1424"/>
      <c r="J427" s="1426"/>
      <c r="K427" s="1424"/>
      <c r="L427" s="1426"/>
      <c r="M427" s="1403"/>
      <c r="N427" s="1426"/>
      <c r="O427" s="1403"/>
      <c r="P427" s="1426"/>
      <c r="Q427" s="1424"/>
      <c r="R427" s="1426"/>
      <c r="S427" s="1403"/>
      <c r="T427" s="1426"/>
      <c r="U427" s="1403"/>
      <c r="V427" s="1426"/>
      <c r="W427" s="1424"/>
      <c r="X427" s="1426"/>
      <c r="Y427" s="1403"/>
      <c r="Z427" s="1426"/>
      <c r="AA427" s="1403"/>
      <c r="AB427" s="1426"/>
      <c r="AC427" s="1424"/>
      <c r="AD427" s="1426"/>
      <c r="AE427" s="1403"/>
      <c r="AF427" s="1426"/>
      <c r="AG427" s="1403"/>
      <c r="AH427" s="1426"/>
      <c r="AI427" s="1426"/>
      <c r="AJ427" s="1"/>
    </row>
    <row r="428" spans="4:36" s="63" customFormat="1" ht="15">
      <c r="D428" s="1424"/>
      <c r="E428" s="1424"/>
      <c r="F428" s="1424"/>
      <c r="G428" s="1424"/>
      <c r="H428" s="1424"/>
      <c r="I428" s="1424"/>
      <c r="J428" s="1426"/>
      <c r="K428" s="1424"/>
      <c r="L428" s="1426"/>
      <c r="M428" s="1403"/>
      <c r="N428" s="1426"/>
      <c r="O428" s="1403"/>
      <c r="P428" s="1426"/>
      <c r="Q428" s="1424"/>
      <c r="R428" s="1426"/>
      <c r="S428" s="1403"/>
      <c r="T428" s="1426"/>
      <c r="U428" s="1403"/>
      <c r="V428" s="1426"/>
      <c r="W428" s="1424"/>
      <c r="X428" s="1426"/>
      <c r="Y428" s="1403"/>
      <c r="Z428" s="1426"/>
      <c r="AA428" s="1403"/>
      <c r="AB428" s="1426"/>
      <c r="AC428" s="1424"/>
      <c r="AD428" s="1426"/>
      <c r="AE428" s="1403"/>
      <c r="AF428" s="1426"/>
      <c r="AG428" s="1403"/>
      <c r="AH428" s="1426"/>
      <c r="AI428" s="1426"/>
      <c r="AJ428" s="1"/>
    </row>
    <row r="429" spans="4:36" s="63" customFormat="1" ht="15">
      <c r="D429" s="1424"/>
      <c r="E429" s="1424"/>
      <c r="F429" s="1424"/>
      <c r="G429" s="1424"/>
      <c r="H429" s="1424"/>
      <c r="I429" s="1424"/>
      <c r="J429" s="1426"/>
      <c r="K429" s="1424"/>
      <c r="L429" s="1426"/>
      <c r="M429" s="1403"/>
      <c r="N429" s="1426"/>
      <c r="O429" s="1403"/>
      <c r="P429" s="1426"/>
      <c r="Q429" s="1424"/>
      <c r="R429" s="1426"/>
      <c r="S429" s="1403"/>
      <c r="T429" s="1426"/>
      <c r="U429" s="1403"/>
      <c r="V429" s="1426"/>
      <c r="W429" s="1424"/>
      <c r="X429" s="1426"/>
      <c r="Y429" s="1403"/>
      <c r="Z429" s="1426"/>
      <c r="AA429" s="1403"/>
      <c r="AB429" s="1426"/>
      <c r="AC429" s="1424"/>
      <c r="AD429" s="1426"/>
      <c r="AE429" s="1403"/>
      <c r="AF429" s="1426"/>
      <c r="AG429" s="1403"/>
      <c r="AH429" s="1426"/>
      <c r="AI429" s="1426"/>
      <c r="AJ429" s="1"/>
    </row>
    <row r="430" spans="4:36" s="63" customFormat="1" ht="15">
      <c r="D430" s="1424"/>
      <c r="E430" s="1424"/>
      <c r="F430" s="1424"/>
      <c r="G430" s="1424"/>
      <c r="H430" s="1424"/>
      <c r="I430" s="1424"/>
      <c r="J430" s="1426"/>
      <c r="K430" s="1424"/>
      <c r="L430" s="1426"/>
      <c r="M430" s="1403"/>
      <c r="N430" s="1426"/>
      <c r="O430" s="1403"/>
      <c r="P430" s="1426"/>
      <c r="Q430" s="1424"/>
      <c r="R430" s="1426"/>
      <c r="S430" s="1403"/>
      <c r="T430" s="1426"/>
      <c r="U430" s="1403"/>
      <c r="V430" s="1426"/>
      <c r="W430" s="1424"/>
      <c r="X430" s="1426"/>
      <c r="Y430" s="1403"/>
      <c r="Z430" s="1426"/>
      <c r="AA430" s="1403"/>
      <c r="AB430" s="1426"/>
      <c r="AC430" s="1424"/>
      <c r="AD430" s="1426"/>
      <c r="AE430" s="1403"/>
      <c r="AF430" s="1426"/>
      <c r="AG430" s="1403"/>
      <c r="AH430" s="1426"/>
      <c r="AI430" s="1426"/>
      <c r="AJ430" s="1"/>
    </row>
    <row r="431" spans="4:36" s="63" customFormat="1" ht="15">
      <c r="D431" s="1424"/>
      <c r="E431" s="1424"/>
      <c r="F431" s="1424"/>
      <c r="G431" s="1424"/>
      <c r="H431" s="1424"/>
      <c r="I431" s="1424"/>
      <c r="J431" s="1426"/>
      <c r="K431" s="1424"/>
      <c r="L431" s="1426"/>
      <c r="M431" s="1403"/>
      <c r="N431" s="1426"/>
      <c r="O431" s="1403"/>
      <c r="P431" s="1426"/>
      <c r="Q431" s="1424"/>
      <c r="R431" s="1426"/>
      <c r="S431" s="1403"/>
      <c r="T431" s="1426"/>
      <c r="U431" s="1403"/>
      <c r="V431" s="1426"/>
      <c r="W431" s="1424"/>
      <c r="X431" s="1426"/>
      <c r="Y431" s="1403"/>
      <c r="Z431" s="1426"/>
      <c r="AA431" s="1403"/>
      <c r="AB431" s="1426"/>
      <c r="AC431" s="1424"/>
      <c r="AD431" s="1426"/>
      <c r="AE431" s="1403"/>
      <c r="AF431" s="1426"/>
      <c r="AG431" s="1403"/>
      <c r="AH431" s="1426"/>
      <c r="AI431" s="1426"/>
      <c r="AJ431" s="1"/>
    </row>
    <row r="432" spans="4:36" s="63" customFormat="1" ht="15">
      <c r="D432" s="1424"/>
      <c r="E432" s="1424"/>
      <c r="F432" s="1424"/>
      <c r="G432" s="1424"/>
      <c r="H432" s="1424"/>
      <c r="I432" s="1424"/>
      <c r="J432" s="1426"/>
      <c r="K432" s="1424"/>
      <c r="L432" s="1426"/>
      <c r="M432" s="1403"/>
      <c r="N432" s="1426"/>
      <c r="O432" s="1403"/>
      <c r="P432" s="1426"/>
      <c r="Q432" s="1424"/>
      <c r="R432" s="1426"/>
      <c r="S432" s="1403"/>
      <c r="T432" s="1426"/>
      <c r="U432" s="1403"/>
      <c r="V432" s="1426"/>
      <c r="W432" s="1424"/>
      <c r="X432" s="1426"/>
      <c r="Y432" s="1403"/>
      <c r="Z432" s="1426"/>
      <c r="AA432" s="1403"/>
      <c r="AB432" s="1426"/>
      <c r="AC432" s="1424"/>
      <c r="AD432" s="1426"/>
      <c r="AE432" s="1403"/>
      <c r="AF432" s="1426"/>
      <c r="AG432" s="1403"/>
      <c r="AH432" s="1426"/>
      <c r="AI432" s="1426"/>
      <c r="AJ432" s="1"/>
    </row>
    <row r="433" spans="4:36" s="63" customFormat="1" ht="15">
      <c r="D433" s="1424"/>
      <c r="E433" s="1424"/>
      <c r="F433" s="1424"/>
      <c r="G433" s="1424"/>
      <c r="H433" s="1424"/>
      <c r="I433" s="1424"/>
      <c r="J433" s="1426"/>
      <c r="K433" s="1424"/>
      <c r="L433" s="1426"/>
      <c r="M433" s="1403"/>
      <c r="N433" s="1426"/>
      <c r="O433" s="1403"/>
      <c r="P433" s="1426"/>
      <c r="Q433" s="1424"/>
      <c r="R433" s="1426"/>
      <c r="S433" s="1403"/>
      <c r="T433" s="1426"/>
      <c r="U433" s="1403"/>
      <c r="V433" s="1426"/>
      <c r="W433" s="1424"/>
      <c r="X433" s="1426"/>
      <c r="Y433" s="1403"/>
      <c r="Z433" s="1426"/>
      <c r="AA433" s="1403"/>
      <c r="AB433" s="1426"/>
      <c r="AC433" s="1424"/>
      <c r="AD433" s="1426"/>
      <c r="AE433" s="1403"/>
      <c r="AF433" s="1426"/>
      <c r="AG433" s="1403"/>
      <c r="AH433" s="1426"/>
      <c r="AI433" s="1426"/>
      <c r="AJ433" s="1"/>
    </row>
    <row r="434" spans="4:36" s="63" customFormat="1" ht="15">
      <c r="D434" s="1424"/>
      <c r="E434" s="1424"/>
      <c r="F434" s="1424"/>
      <c r="G434" s="1424"/>
      <c r="H434" s="1424"/>
      <c r="I434" s="1424"/>
      <c r="J434" s="1426"/>
      <c r="K434" s="1424"/>
      <c r="L434" s="1426"/>
      <c r="M434" s="1403"/>
      <c r="N434" s="1426"/>
      <c r="O434" s="1403"/>
      <c r="P434" s="1426"/>
      <c r="Q434" s="1424"/>
      <c r="R434" s="1426"/>
      <c r="S434" s="1403"/>
      <c r="T434" s="1426"/>
      <c r="U434" s="1403"/>
      <c r="V434" s="1426"/>
      <c r="W434" s="1424"/>
      <c r="X434" s="1426"/>
      <c r="Y434" s="1403"/>
      <c r="Z434" s="1426"/>
      <c r="AA434" s="1403"/>
      <c r="AB434" s="1426"/>
      <c r="AC434" s="1424"/>
      <c r="AD434" s="1426"/>
      <c r="AE434" s="1403"/>
      <c r="AF434" s="1426"/>
      <c r="AG434" s="1403"/>
      <c r="AH434" s="1426"/>
      <c r="AI434" s="1426"/>
      <c r="AJ434" s="1"/>
    </row>
    <row r="435" spans="4:36" s="63" customFormat="1" ht="15">
      <c r="D435" s="1424"/>
      <c r="E435" s="1424"/>
      <c r="F435" s="1424"/>
      <c r="G435" s="1424"/>
      <c r="H435" s="1424"/>
      <c r="I435" s="1424"/>
      <c r="J435" s="1426"/>
      <c r="K435" s="1424"/>
      <c r="L435" s="1426"/>
      <c r="M435" s="1403"/>
      <c r="N435" s="1426"/>
      <c r="O435" s="1403"/>
      <c r="P435" s="1426"/>
      <c r="Q435" s="1424"/>
      <c r="R435" s="1426"/>
      <c r="S435" s="1403"/>
      <c r="T435" s="1426"/>
      <c r="U435" s="1403"/>
      <c r="V435" s="1426"/>
      <c r="W435" s="1424"/>
      <c r="X435" s="1426"/>
      <c r="Y435" s="1403"/>
      <c r="Z435" s="1426"/>
      <c r="AA435" s="1403"/>
      <c r="AB435" s="1426"/>
      <c r="AC435" s="1424"/>
      <c r="AD435" s="1426"/>
      <c r="AE435" s="1403"/>
      <c r="AF435" s="1426"/>
      <c r="AG435" s="1403"/>
      <c r="AH435" s="1426"/>
      <c r="AI435" s="1426"/>
      <c r="AJ435" s="1"/>
    </row>
    <row r="436" spans="4:36" s="63" customFormat="1" ht="15">
      <c r="D436" s="1424"/>
      <c r="E436" s="1424"/>
      <c r="F436" s="1424"/>
      <c r="G436" s="1424"/>
      <c r="H436" s="1424"/>
      <c r="I436" s="1424"/>
      <c r="J436" s="1426"/>
      <c r="K436" s="1424"/>
      <c r="L436" s="1426"/>
      <c r="M436" s="1403"/>
      <c r="N436" s="1426"/>
      <c r="O436" s="1403"/>
      <c r="P436" s="1426"/>
      <c r="Q436" s="1424"/>
      <c r="R436" s="1426"/>
      <c r="S436" s="1403"/>
      <c r="T436" s="1426"/>
      <c r="U436" s="1403"/>
      <c r="V436" s="1426"/>
      <c r="W436" s="1424"/>
      <c r="X436" s="1426"/>
      <c r="Y436" s="1403"/>
      <c r="Z436" s="1426"/>
      <c r="AA436" s="1403"/>
      <c r="AB436" s="1426"/>
      <c r="AC436" s="1424"/>
      <c r="AD436" s="1426"/>
      <c r="AE436" s="1403"/>
      <c r="AF436" s="1426"/>
      <c r="AG436" s="1403"/>
      <c r="AH436" s="1426"/>
      <c r="AI436" s="1426"/>
      <c r="AJ436" s="1"/>
    </row>
    <row r="437" spans="4:36" s="63" customFormat="1" ht="15">
      <c r="D437" s="1424"/>
      <c r="E437" s="1424"/>
      <c r="F437" s="1424"/>
      <c r="G437" s="1424"/>
      <c r="H437" s="1424"/>
      <c r="I437" s="1424"/>
      <c r="J437" s="1426"/>
      <c r="K437" s="1424"/>
      <c r="L437" s="1426"/>
      <c r="M437" s="1403"/>
      <c r="N437" s="1426"/>
      <c r="O437" s="1403"/>
      <c r="P437" s="1426"/>
      <c r="Q437" s="1424"/>
      <c r="R437" s="1426"/>
      <c r="S437" s="1403"/>
      <c r="T437" s="1426"/>
      <c r="U437" s="1403"/>
      <c r="V437" s="1426"/>
      <c r="W437" s="1424"/>
      <c r="X437" s="1426"/>
      <c r="Y437" s="1403"/>
      <c r="Z437" s="1426"/>
      <c r="AA437" s="1403"/>
      <c r="AB437" s="1426"/>
      <c r="AC437" s="1424"/>
      <c r="AD437" s="1426"/>
      <c r="AE437" s="1403"/>
      <c r="AF437" s="1426"/>
      <c r="AG437" s="1403"/>
      <c r="AH437" s="1426"/>
      <c r="AI437" s="1426"/>
      <c r="AJ437" s="1"/>
    </row>
    <row r="438" spans="4:36" s="63" customFormat="1" ht="15">
      <c r="D438" s="1424"/>
      <c r="E438" s="1424"/>
      <c r="F438" s="1424"/>
      <c r="G438" s="1424"/>
      <c r="H438" s="1424"/>
      <c r="I438" s="1424"/>
      <c r="J438" s="1426"/>
      <c r="K438" s="1424"/>
      <c r="L438" s="1426"/>
      <c r="M438" s="1403"/>
      <c r="N438" s="1426"/>
      <c r="O438" s="1403"/>
      <c r="P438" s="1426"/>
      <c r="Q438" s="1424"/>
      <c r="R438" s="1426"/>
      <c r="S438" s="1403"/>
      <c r="T438" s="1426"/>
      <c r="U438" s="1403"/>
      <c r="V438" s="1426"/>
      <c r="W438" s="1424"/>
      <c r="X438" s="1426"/>
      <c r="Y438" s="1403"/>
      <c r="Z438" s="1426"/>
      <c r="AA438" s="1403"/>
      <c r="AB438" s="1426"/>
      <c r="AC438" s="1424"/>
      <c r="AD438" s="1426"/>
      <c r="AE438" s="1403"/>
      <c r="AF438" s="1426"/>
      <c r="AG438" s="1403"/>
      <c r="AH438" s="1426"/>
      <c r="AI438" s="1426"/>
      <c r="AJ438" s="1"/>
    </row>
    <row r="439" spans="4:36" s="63" customFormat="1" ht="15">
      <c r="D439" s="1424"/>
      <c r="E439" s="1424"/>
      <c r="F439" s="1424"/>
      <c r="G439" s="1424"/>
      <c r="H439" s="1424"/>
      <c r="I439" s="1424"/>
      <c r="J439" s="1426"/>
      <c r="K439" s="1424"/>
      <c r="L439" s="1426"/>
      <c r="M439" s="1403"/>
      <c r="N439" s="1426"/>
      <c r="O439" s="1403"/>
      <c r="P439" s="1426"/>
      <c r="Q439" s="1424"/>
      <c r="R439" s="1426"/>
      <c r="S439" s="1403"/>
      <c r="T439" s="1426"/>
      <c r="U439" s="1403"/>
      <c r="V439" s="1426"/>
      <c r="W439" s="1424"/>
      <c r="X439" s="1426"/>
      <c r="Y439" s="1403"/>
      <c r="Z439" s="1426"/>
      <c r="AA439" s="1403"/>
      <c r="AB439" s="1426"/>
      <c r="AC439" s="1424"/>
      <c r="AD439" s="1426"/>
      <c r="AE439" s="1403"/>
      <c r="AF439" s="1426"/>
      <c r="AG439" s="1403"/>
      <c r="AH439" s="1426"/>
      <c r="AI439" s="1426"/>
      <c r="AJ439" s="1"/>
    </row>
    <row r="440" spans="4:36" s="63" customFormat="1" ht="15">
      <c r="D440" s="1424"/>
      <c r="E440" s="1424"/>
      <c r="F440" s="1424"/>
      <c r="G440" s="1424"/>
      <c r="H440" s="1424"/>
      <c r="I440" s="1424"/>
      <c r="J440" s="1426"/>
      <c r="K440" s="1424"/>
      <c r="L440" s="1426"/>
      <c r="M440" s="1403"/>
      <c r="N440" s="1426"/>
      <c r="O440" s="1403"/>
      <c r="P440" s="1426"/>
      <c r="Q440" s="1424"/>
      <c r="R440" s="1426"/>
      <c r="S440" s="1403"/>
      <c r="T440" s="1426"/>
      <c r="U440" s="1403"/>
      <c r="V440" s="1426"/>
      <c r="W440" s="1424"/>
      <c r="X440" s="1426"/>
      <c r="Y440" s="1403"/>
      <c r="Z440" s="1426"/>
      <c r="AA440" s="1403"/>
      <c r="AB440" s="1426"/>
      <c r="AC440" s="1424"/>
      <c r="AD440" s="1426"/>
      <c r="AE440" s="1403"/>
      <c r="AF440" s="1426"/>
      <c r="AG440" s="1403"/>
      <c r="AH440" s="1426"/>
      <c r="AI440" s="1426"/>
      <c r="AJ440" s="1"/>
    </row>
    <row r="441" spans="4:36" s="63" customFormat="1" ht="15">
      <c r="D441" s="1424"/>
      <c r="E441" s="1424"/>
      <c r="F441" s="1424"/>
      <c r="G441" s="1424"/>
      <c r="H441" s="1424"/>
      <c r="I441" s="1424"/>
      <c r="J441" s="1426"/>
      <c r="K441" s="1424"/>
      <c r="L441" s="1426"/>
      <c r="M441" s="1403"/>
      <c r="N441" s="1426"/>
      <c r="O441" s="1403"/>
      <c r="P441" s="1426"/>
      <c r="Q441" s="1424"/>
      <c r="R441" s="1426"/>
      <c r="S441" s="1403"/>
      <c r="T441" s="1426"/>
      <c r="U441" s="1403"/>
      <c r="V441" s="1426"/>
      <c r="W441" s="1424"/>
      <c r="X441" s="1426"/>
      <c r="Y441" s="1403"/>
      <c r="Z441" s="1426"/>
      <c r="AA441" s="1403"/>
      <c r="AB441" s="1426"/>
      <c r="AC441" s="1424"/>
      <c r="AD441" s="1426"/>
      <c r="AE441" s="1403"/>
      <c r="AF441" s="1426"/>
      <c r="AG441" s="1403"/>
      <c r="AH441" s="1426"/>
      <c r="AI441" s="1426"/>
      <c r="AJ441" s="1"/>
    </row>
    <row r="442" spans="4:36" s="63" customFormat="1" ht="15">
      <c r="D442" s="1424"/>
      <c r="E442" s="1424"/>
      <c r="F442" s="1424"/>
      <c r="G442" s="1424"/>
      <c r="H442" s="1424"/>
      <c r="I442" s="1424"/>
      <c r="J442" s="1426"/>
      <c r="K442" s="1424"/>
      <c r="L442" s="1426"/>
      <c r="M442" s="1403"/>
      <c r="N442" s="1426"/>
      <c r="O442" s="1403"/>
      <c r="P442" s="1426"/>
      <c r="Q442" s="1424"/>
      <c r="R442" s="1426"/>
      <c r="S442" s="1403"/>
      <c r="T442" s="1426"/>
      <c r="U442" s="1403"/>
      <c r="V442" s="1426"/>
      <c r="W442" s="1424"/>
      <c r="X442" s="1426"/>
      <c r="Y442" s="1403"/>
      <c r="Z442" s="1426"/>
      <c r="AA442" s="1403"/>
      <c r="AB442" s="1426"/>
      <c r="AC442" s="1424"/>
      <c r="AD442" s="1426"/>
      <c r="AE442" s="1403"/>
      <c r="AF442" s="1426"/>
      <c r="AG442" s="1403"/>
      <c r="AH442" s="1426"/>
      <c r="AI442" s="1426"/>
      <c r="AJ442" s="1"/>
    </row>
    <row r="443" spans="4:36" s="63" customFormat="1" ht="15">
      <c r="D443" s="1424"/>
      <c r="E443" s="1424"/>
      <c r="F443" s="1424"/>
      <c r="G443" s="1424"/>
      <c r="H443" s="1424"/>
      <c r="I443" s="1424"/>
      <c r="J443" s="1426"/>
      <c r="K443" s="1424"/>
      <c r="L443" s="1426"/>
      <c r="M443" s="1403"/>
      <c r="N443" s="1426"/>
      <c r="O443" s="1403"/>
      <c r="P443" s="1426"/>
      <c r="Q443" s="1424"/>
      <c r="R443" s="1426"/>
      <c r="S443" s="1403"/>
      <c r="T443" s="1426"/>
      <c r="U443" s="1403"/>
      <c r="V443" s="1426"/>
      <c r="W443" s="1424"/>
      <c r="X443" s="1426"/>
      <c r="Y443" s="1403"/>
      <c r="Z443" s="1426"/>
      <c r="AA443" s="1403"/>
      <c r="AB443" s="1426"/>
      <c r="AC443" s="1424"/>
      <c r="AD443" s="1426"/>
      <c r="AE443" s="1403"/>
      <c r="AF443" s="1426"/>
      <c r="AG443" s="1403"/>
      <c r="AH443" s="1426"/>
      <c r="AI443" s="1426"/>
      <c r="AJ443" s="1"/>
    </row>
    <row r="444" spans="4:36" s="63" customFormat="1" ht="15">
      <c r="D444" s="1424"/>
      <c r="E444" s="1424"/>
      <c r="F444" s="1424"/>
      <c r="G444" s="1424"/>
      <c r="H444" s="1424"/>
      <c r="I444" s="1424"/>
      <c r="J444" s="1426"/>
      <c r="K444" s="1424"/>
      <c r="L444" s="1426"/>
      <c r="M444" s="1403"/>
      <c r="N444" s="1426"/>
      <c r="O444" s="1403"/>
      <c r="P444" s="1426"/>
      <c r="Q444" s="1424"/>
      <c r="R444" s="1426"/>
      <c r="S444" s="1403"/>
      <c r="T444" s="1426"/>
      <c r="U444" s="1403"/>
      <c r="V444" s="1426"/>
      <c r="W444" s="1424"/>
      <c r="X444" s="1426"/>
      <c r="Y444" s="1403"/>
      <c r="Z444" s="1426"/>
      <c r="AA444" s="1403"/>
      <c r="AB444" s="1426"/>
      <c r="AC444" s="1424"/>
      <c r="AD444" s="1426"/>
      <c r="AE444" s="1403"/>
      <c r="AF444" s="1426"/>
      <c r="AG444" s="1403"/>
      <c r="AH444" s="1426"/>
      <c r="AI444" s="1426"/>
      <c r="AJ444" s="1"/>
    </row>
    <row r="445" spans="4:36" s="63" customFormat="1" ht="15">
      <c r="D445" s="1424"/>
      <c r="E445" s="1424"/>
      <c r="F445" s="1424"/>
      <c r="G445" s="1424"/>
      <c r="H445" s="1424"/>
      <c r="I445" s="1424"/>
      <c r="J445" s="1426"/>
      <c r="K445" s="1424"/>
      <c r="L445" s="1426"/>
      <c r="M445" s="1403"/>
      <c r="N445" s="1426"/>
      <c r="O445" s="1403"/>
      <c r="P445" s="1426"/>
      <c r="Q445" s="1424"/>
      <c r="R445" s="1426"/>
      <c r="S445" s="1403"/>
      <c r="T445" s="1426"/>
      <c r="U445" s="1403"/>
      <c r="V445" s="1426"/>
      <c r="W445" s="1424"/>
      <c r="X445" s="1426"/>
      <c r="Y445" s="1403"/>
      <c r="Z445" s="1426"/>
      <c r="AA445" s="1403"/>
      <c r="AB445" s="1426"/>
      <c r="AC445" s="1424"/>
      <c r="AD445" s="1426"/>
      <c r="AE445" s="1403"/>
      <c r="AF445" s="1426"/>
      <c r="AG445" s="1403"/>
      <c r="AH445" s="1426"/>
      <c r="AI445" s="1426"/>
      <c r="AJ445" s="1"/>
    </row>
    <row r="446" spans="4:36" s="63" customFormat="1" ht="15">
      <c r="D446" s="1424"/>
      <c r="E446" s="1424"/>
      <c r="F446" s="1424"/>
      <c r="G446" s="1424"/>
      <c r="H446" s="1424"/>
      <c r="I446" s="1424"/>
      <c r="J446" s="1426"/>
      <c r="K446" s="1424"/>
      <c r="L446" s="1426"/>
      <c r="M446" s="1403"/>
      <c r="N446" s="1426"/>
      <c r="O446" s="1403"/>
      <c r="P446" s="1426"/>
      <c r="Q446" s="1424"/>
      <c r="R446" s="1426"/>
      <c r="S446" s="1403"/>
      <c r="T446" s="1426"/>
      <c r="U446" s="1403"/>
      <c r="V446" s="1426"/>
      <c r="W446" s="1424"/>
      <c r="X446" s="1426"/>
      <c r="Y446" s="1403"/>
      <c r="Z446" s="1426"/>
      <c r="AA446" s="1403"/>
      <c r="AB446" s="1426"/>
      <c r="AC446" s="1424"/>
      <c r="AD446" s="1426"/>
      <c r="AE446" s="1403"/>
      <c r="AF446" s="1426"/>
      <c r="AG446" s="1403"/>
      <c r="AH446" s="1426"/>
      <c r="AI446" s="1426"/>
      <c r="AJ446" s="1"/>
    </row>
    <row r="447" spans="4:36" s="63" customFormat="1" ht="15">
      <c r="D447" s="1424"/>
      <c r="E447" s="1424"/>
      <c r="F447" s="1424"/>
      <c r="G447" s="1424"/>
      <c r="H447" s="1424"/>
      <c r="I447" s="1424"/>
      <c r="J447" s="1426"/>
      <c r="K447" s="1424"/>
      <c r="L447" s="1426"/>
      <c r="M447" s="1403"/>
      <c r="N447" s="1426"/>
      <c r="O447" s="1403"/>
      <c r="P447" s="1426"/>
      <c r="Q447" s="1424"/>
      <c r="R447" s="1426"/>
      <c r="S447" s="1403"/>
      <c r="T447" s="1426"/>
      <c r="U447" s="1403"/>
      <c r="V447" s="1426"/>
      <c r="W447" s="1424"/>
      <c r="X447" s="1426"/>
      <c r="Y447" s="1403"/>
      <c r="Z447" s="1426"/>
      <c r="AA447" s="1403"/>
      <c r="AB447" s="1426"/>
      <c r="AC447" s="1424"/>
      <c r="AD447" s="1426"/>
      <c r="AE447" s="1403"/>
      <c r="AF447" s="1426"/>
      <c r="AG447" s="1403"/>
      <c r="AH447" s="1426"/>
      <c r="AI447" s="1426"/>
      <c r="AJ447" s="1"/>
    </row>
    <row r="448" spans="4:36" s="63" customFormat="1" ht="15">
      <c r="D448" s="1424"/>
      <c r="E448" s="1424"/>
      <c r="F448" s="1424"/>
      <c r="G448" s="1424"/>
      <c r="H448" s="1424"/>
      <c r="I448" s="1424"/>
      <c r="J448" s="1426"/>
      <c r="K448" s="1424"/>
      <c r="L448" s="1426"/>
      <c r="M448" s="1403"/>
      <c r="N448" s="1426"/>
      <c r="O448" s="1403"/>
      <c r="P448" s="1426"/>
      <c r="Q448" s="1424"/>
      <c r="R448" s="1426"/>
      <c r="S448" s="1403"/>
      <c r="T448" s="1426"/>
      <c r="U448" s="1403"/>
      <c r="V448" s="1426"/>
      <c r="W448" s="1424"/>
      <c r="X448" s="1426"/>
      <c r="Y448" s="1403"/>
      <c r="Z448" s="1426"/>
      <c r="AA448" s="1403"/>
      <c r="AB448" s="1426"/>
      <c r="AC448" s="1424"/>
      <c r="AD448" s="1426"/>
      <c r="AE448" s="1403"/>
      <c r="AF448" s="1426"/>
      <c r="AG448" s="1403"/>
      <c r="AH448" s="1426"/>
      <c r="AI448" s="1426"/>
      <c r="AJ448" s="1"/>
    </row>
    <row r="449" spans="4:36" s="63" customFormat="1" ht="15">
      <c r="D449" s="1424"/>
      <c r="E449" s="1424"/>
      <c r="F449" s="1424"/>
      <c r="G449" s="1424"/>
      <c r="H449" s="1424"/>
      <c r="I449" s="1424"/>
      <c r="J449" s="1426"/>
      <c r="K449" s="1424"/>
      <c r="L449" s="1426"/>
      <c r="M449" s="1403"/>
      <c r="N449" s="1426"/>
      <c r="O449" s="1403"/>
      <c r="P449" s="1426"/>
      <c r="Q449" s="1424"/>
      <c r="R449" s="1426"/>
      <c r="S449" s="1403"/>
      <c r="T449" s="1426"/>
      <c r="U449" s="1403"/>
      <c r="V449" s="1426"/>
      <c r="W449" s="1424"/>
      <c r="X449" s="1426"/>
      <c r="Y449" s="1403"/>
      <c r="Z449" s="1426"/>
      <c r="AA449" s="1403"/>
      <c r="AB449" s="1426"/>
      <c r="AC449" s="1424"/>
      <c r="AD449" s="1426"/>
      <c r="AE449" s="1403"/>
      <c r="AF449" s="1426"/>
      <c r="AG449" s="1403"/>
      <c r="AH449" s="1426"/>
      <c r="AI449" s="1426"/>
      <c r="AJ449" s="1"/>
    </row>
    <row r="450" spans="4:36" s="63" customFormat="1" ht="15">
      <c r="D450" s="1424"/>
      <c r="E450" s="1424"/>
      <c r="F450" s="1424"/>
      <c r="G450" s="1424"/>
      <c r="H450" s="1424"/>
      <c r="I450" s="1424"/>
      <c r="J450" s="1426"/>
      <c r="K450" s="1424"/>
      <c r="L450" s="1426"/>
      <c r="M450" s="1403"/>
      <c r="N450" s="1426"/>
      <c r="O450" s="1403"/>
      <c r="P450" s="1426"/>
      <c r="Q450" s="1424"/>
      <c r="R450" s="1426"/>
      <c r="S450" s="1403"/>
      <c r="T450" s="1426"/>
      <c r="U450" s="1403"/>
      <c r="V450" s="1426"/>
      <c r="W450" s="1424"/>
      <c r="X450" s="1426"/>
      <c r="Y450" s="1403"/>
      <c r="Z450" s="1426"/>
      <c r="AA450" s="1403"/>
      <c r="AB450" s="1426"/>
      <c r="AC450" s="1424"/>
      <c r="AD450" s="1426"/>
      <c r="AE450" s="1403"/>
      <c r="AF450" s="1426"/>
      <c r="AG450" s="1403"/>
      <c r="AH450" s="1426"/>
      <c r="AI450" s="1426"/>
      <c r="AJ450" s="1"/>
    </row>
    <row r="451" spans="4:36" s="63" customFormat="1" ht="15">
      <c r="D451" s="1424"/>
      <c r="E451" s="1424"/>
      <c r="F451" s="1424"/>
      <c r="G451" s="1424"/>
      <c r="H451" s="1424"/>
      <c r="I451" s="1424"/>
      <c r="J451" s="1426"/>
      <c r="K451" s="1424"/>
      <c r="L451" s="1426"/>
      <c r="M451" s="1403"/>
      <c r="N451" s="1426"/>
      <c r="O451" s="1403"/>
      <c r="P451" s="1426"/>
      <c r="Q451" s="1424"/>
      <c r="R451" s="1426"/>
      <c r="S451" s="1403"/>
      <c r="T451" s="1426"/>
      <c r="U451" s="1403"/>
      <c r="V451" s="1426"/>
      <c r="W451" s="1424"/>
      <c r="X451" s="1426"/>
      <c r="Y451" s="1403"/>
      <c r="Z451" s="1426"/>
      <c r="AA451" s="1403"/>
      <c r="AB451" s="1426"/>
      <c r="AC451" s="1424"/>
      <c r="AD451" s="1426"/>
      <c r="AE451" s="1403"/>
      <c r="AF451" s="1426"/>
      <c r="AG451" s="1403"/>
      <c r="AH451" s="1426"/>
      <c r="AI451" s="1426"/>
      <c r="AJ451" s="1"/>
    </row>
    <row r="452" spans="4:36" s="63" customFormat="1" ht="15">
      <c r="D452" s="1424"/>
      <c r="E452" s="1424"/>
      <c r="F452" s="1424"/>
      <c r="G452" s="1424"/>
      <c r="H452" s="1424"/>
      <c r="I452" s="1424"/>
      <c r="J452" s="1426"/>
      <c r="K452" s="1424"/>
      <c r="L452" s="1426"/>
      <c r="M452" s="1403"/>
      <c r="N452" s="1426"/>
      <c r="O452" s="1403"/>
      <c r="P452" s="1426"/>
      <c r="Q452" s="1424"/>
      <c r="R452" s="1426"/>
      <c r="S452" s="1403"/>
      <c r="T452" s="1426"/>
      <c r="U452" s="1403"/>
      <c r="V452" s="1426"/>
      <c r="W452" s="1424"/>
      <c r="X452" s="1426"/>
      <c r="Y452" s="1403"/>
      <c r="Z452" s="1426"/>
      <c r="AA452" s="1403"/>
      <c r="AB452" s="1426"/>
      <c r="AC452" s="1424"/>
      <c r="AD452" s="1426"/>
      <c r="AE452" s="1403"/>
      <c r="AF452" s="1426"/>
      <c r="AG452" s="1403"/>
      <c r="AH452" s="1426"/>
      <c r="AI452" s="1426"/>
      <c r="AJ452" s="1"/>
    </row>
    <row r="453" spans="4:36" s="63" customFormat="1" ht="15">
      <c r="D453" s="1424"/>
      <c r="E453" s="1424"/>
      <c r="F453" s="1424"/>
      <c r="G453" s="1424"/>
      <c r="H453" s="1424"/>
      <c r="I453" s="1424"/>
      <c r="J453" s="1426"/>
      <c r="K453" s="1424"/>
      <c r="L453" s="1426"/>
      <c r="M453" s="1403"/>
      <c r="N453" s="1426"/>
      <c r="O453" s="1403"/>
      <c r="P453" s="1426"/>
      <c r="Q453" s="1424"/>
      <c r="R453" s="1426"/>
      <c r="S453" s="1403"/>
      <c r="T453" s="1426"/>
      <c r="U453" s="1403"/>
      <c r="V453" s="1426"/>
      <c r="W453" s="1424"/>
      <c r="X453" s="1426"/>
      <c r="Y453" s="1403"/>
      <c r="Z453" s="1426"/>
      <c r="AA453" s="1403"/>
      <c r="AB453" s="1426"/>
      <c r="AC453" s="1424"/>
      <c r="AD453" s="1426"/>
      <c r="AE453" s="1403"/>
      <c r="AF453" s="1426"/>
      <c r="AG453" s="1403"/>
      <c r="AH453" s="1426"/>
      <c r="AI453" s="1426"/>
      <c r="AJ453" s="1"/>
    </row>
    <row r="454" spans="4:36" s="63" customFormat="1" ht="15">
      <c r="D454" s="1424"/>
      <c r="E454" s="1424"/>
      <c r="F454" s="1424"/>
      <c r="G454" s="1424"/>
      <c r="H454" s="1424"/>
      <c r="I454" s="1424"/>
      <c r="J454" s="1426"/>
      <c r="K454" s="1424"/>
      <c r="L454" s="1426"/>
      <c r="M454" s="1403"/>
      <c r="N454" s="1426"/>
      <c r="O454" s="1403"/>
      <c r="P454" s="1426"/>
      <c r="Q454" s="1424"/>
      <c r="R454" s="1426"/>
      <c r="S454" s="1403"/>
      <c r="T454" s="1426"/>
      <c r="U454" s="1403"/>
      <c r="V454" s="1426"/>
      <c r="W454" s="1424"/>
      <c r="X454" s="1426"/>
      <c r="Y454" s="1403"/>
      <c r="Z454" s="1426"/>
      <c r="AA454" s="1403"/>
      <c r="AB454" s="1426"/>
      <c r="AC454" s="1424"/>
      <c r="AD454" s="1426"/>
      <c r="AE454" s="1403"/>
      <c r="AF454" s="1426"/>
      <c r="AG454" s="1403"/>
      <c r="AH454" s="1426"/>
      <c r="AI454" s="1426"/>
      <c r="AJ454" s="1"/>
    </row>
    <row r="455" spans="4:36" s="63" customFormat="1" ht="15">
      <c r="D455" s="1424"/>
      <c r="E455" s="1424"/>
      <c r="F455" s="1424"/>
      <c r="G455" s="1424"/>
      <c r="H455" s="1424"/>
      <c r="I455" s="1424"/>
      <c r="J455" s="1426"/>
      <c r="K455" s="1424"/>
      <c r="L455" s="1426"/>
      <c r="M455" s="1403"/>
      <c r="N455" s="1426"/>
      <c r="O455" s="1403"/>
      <c r="P455" s="1426"/>
      <c r="Q455" s="1424"/>
      <c r="R455" s="1426"/>
      <c r="S455" s="1403"/>
      <c r="T455" s="1426"/>
      <c r="U455" s="1403"/>
      <c r="V455" s="1426"/>
      <c r="W455" s="1424"/>
      <c r="X455" s="1426"/>
      <c r="Y455" s="1403"/>
      <c r="Z455" s="1426"/>
      <c r="AA455" s="1403"/>
      <c r="AB455" s="1426"/>
      <c r="AC455" s="1424"/>
      <c r="AD455" s="1426"/>
      <c r="AE455" s="1403"/>
      <c r="AF455" s="1426"/>
      <c r="AG455" s="1403"/>
      <c r="AH455" s="1426"/>
      <c r="AI455" s="1426"/>
      <c r="AJ455" s="1"/>
    </row>
    <row r="456" spans="4:36" s="63" customFormat="1" ht="15">
      <c r="D456" s="1424"/>
      <c r="E456" s="1424"/>
      <c r="F456" s="1424"/>
      <c r="G456" s="1424"/>
      <c r="H456" s="1424"/>
      <c r="I456" s="1424"/>
      <c r="J456" s="1426"/>
      <c r="K456" s="1424"/>
      <c r="L456" s="1426"/>
      <c r="M456" s="1403"/>
      <c r="N456" s="1426"/>
      <c r="O456" s="1403"/>
      <c r="P456" s="1426"/>
      <c r="Q456" s="1424"/>
      <c r="R456" s="1426"/>
      <c r="S456" s="1403"/>
      <c r="T456" s="1426"/>
      <c r="U456" s="1403"/>
      <c r="V456" s="1426"/>
      <c r="W456" s="1424"/>
      <c r="X456" s="1426"/>
      <c r="Y456" s="1403"/>
      <c r="Z456" s="1426"/>
      <c r="AA456" s="1403"/>
      <c r="AB456" s="1426"/>
      <c r="AC456" s="1424"/>
      <c r="AD456" s="1426"/>
      <c r="AE456" s="1403"/>
      <c r="AF456" s="1426"/>
      <c r="AG456" s="1403"/>
      <c r="AH456" s="1426"/>
      <c r="AI456" s="1426"/>
      <c r="AJ456" s="1"/>
    </row>
    <row r="457" spans="4:36" s="63" customFormat="1" ht="15">
      <c r="D457" s="1424"/>
      <c r="E457" s="1424"/>
      <c r="F457" s="1424"/>
      <c r="G457" s="1424"/>
      <c r="H457" s="1424"/>
      <c r="I457" s="1424"/>
      <c r="J457" s="1426"/>
      <c r="K457" s="1424"/>
      <c r="L457" s="1426"/>
      <c r="M457" s="1403"/>
      <c r="N457" s="1426"/>
      <c r="O457" s="1403"/>
      <c r="P457" s="1426"/>
      <c r="Q457" s="1424"/>
      <c r="R457" s="1426"/>
      <c r="S457" s="1403"/>
      <c r="T457" s="1426"/>
      <c r="U457" s="1403"/>
      <c r="V457" s="1426"/>
      <c r="W457" s="1424"/>
      <c r="X457" s="1426"/>
      <c r="Y457" s="1403"/>
      <c r="Z457" s="1426"/>
      <c r="AA457" s="1403"/>
      <c r="AB457" s="1426"/>
      <c r="AC457" s="1424"/>
      <c r="AD457" s="1426"/>
      <c r="AE457" s="1403"/>
      <c r="AF457" s="1426"/>
      <c r="AG457" s="1403"/>
      <c r="AH457" s="1426"/>
      <c r="AI457" s="1426"/>
      <c r="AJ457" s="1"/>
    </row>
    <row r="458" spans="4:36" s="63" customFormat="1" ht="15">
      <c r="D458" s="1424"/>
      <c r="E458" s="1424"/>
      <c r="F458" s="1424"/>
      <c r="G458" s="1424"/>
      <c r="H458" s="1424"/>
      <c r="I458" s="1424"/>
      <c r="J458" s="1426"/>
      <c r="K458" s="1424"/>
      <c r="L458" s="1426"/>
      <c r="M458" s="1403"/>
      <c r="N458" s="1426"/>
      <c r="O458" s="1403"/>
      <c r="P458" s="1426"/>
      <c r="Q458" s="1424"/>
      <c r="R458" s="1426"/>
      <c r="S458" s="1403"/>
      <c r="T458" s="1426"/>
      <c r="U458" s="1403"/>
      <c r="V458" s="1426"/>
      <c r="W458" s="1424"/>
      <c r="X458" s="1426"/>
      <c r="Y458" s="1403"/>
      <c r="Z458" s="1426"/>
      <c r="AA458" s="1403"/>
      <c r="AB458" s="1426"/>
      <c r="AC458" s="1424"/>
      <c r="AD458" s="1426"/>
      <c r="AE458" s="1403"/>
      <c r="AF458" s="1426"/>
      <c r="AG458" s="1403"/>
      <c r="AH458" s="1426"/>
      <c r="AI458" s="1426"/>
      <c r="AJ458" s="1"/>
    </row>
    <row r="459" spans="4:36" s="63" customFormat="1" ht="15">
      <c r="D459" s="1424"/>
      <c r="E459" s="1424"/>
      <c r="F459" s="1424"/>
      <c r="G459" s="1424"/>
      <c r="H459" s="1424"/>
      <c r="I459" s="1424"/>
      <c r="J459" s="1426"/>
      <c r="K459" s="1424"/>
      <c r="L459" s="1426"/>
      <c r="M459" s="1403"/>
      <c r="N459" s="1426"/>
      <c r="O459" s="1403"/>
      <c r="P459" s="1426"/>
      <c r="Q459" s="1424"/>
      <c r="R459" s="1426"/>
      <c r="S459" s="1403"/>
      <c r="T459" s="1426"/>
      <c r="U459" s="1403"/>
      <c r="V459" s="1426"/>
      <c r="W459" s="1424"/>
      <c r="X459" s="1426"/>
      <c r="Y459" s="1403"/>
      <c r="Z459" s="1426"/>
      <c r="AA459" s="1403"/>
      <c r="AB459" s="1426"/>
      <c r="AC459" s="1424"/>
      <c r="AD459" s="1426"/>
      <c r="AE459" s="1403"/>
      <c r="AF459" s="1426"/>
      <c r="AG459" s="1403"/>
      <c r="AH459" s="1426"/>
      <c r="AI459" s="1426"/>
      <c r="AJ459" s="1"/>
    </row>
    <row r="460" spans="4:36" s="63" customFormat="1" ht="15">
      <c r="D460" s="1424"/>
      <c r="E460" s="1424"/>
      <c r="F460" s="1424"/>
      <c r="G460" s="1424"/>
      <c r="H460" s="1424"/>
      <c r="I460" s="1424"/>
      <c r="J460" s="1426"/>
      <c r="K460" s="1424"/>
      <c r="L460" s="1426"/>
      <c r="M460" s="1403"/>
      <c r="N460" s="1426"/>
      <c r="O460" s="1403"/>
      <c r="P460" s="1426"/>
      <c r="Q460" s="1424"/>
      <c r="R460" s="1426"/>
      <c r="S460" s="1403"/>
      <c r="T460" s="1426"/>
      <c r="U460" s="1403"/>
      <c r="V460" s="1426"/>
      <c r="W460" s="1424"/>
      <c r="X460" s="1426"/>
      <c r="Y460" s="1403"/>
      <c r="Z460" s="1426"/>
      <c r="AA460" s="1403"/>
      <c r="AB460" s="1426"/>
      <c r="AC460" s="1424"/>
      <c r="AD460" s="1426"/>
      <c r="AE460" s="1403"/>
      <c r="AF460" s="1426"/>
      <c r="AG460" s="1403"/>
      <c r="AH460" s="1426"/>
      <c r="AI460" s="1426"/>
      <c r="AJ460" s="1"/>
    </row>
    <row r="461" spans="4:36" s="63" customFormat="1" ht="15">
      <c r="D461" s="1424"/>
      <c r="E461" s="1424"/>
      <c r="F461" s="1424"/>
      <c r="G461" s="1424"/>
      <c r="H461" s="1424"/>
      <c r="I461" s="1424"/>
      <c r="J461" s="1426"/>
      <c r="K461" s="1424"/>
      <c r="L461" s="1426"/>
      <c r="M461" s="1403"/>
      <c r="N461" s="1426"/>
      <c r="O461" s="1403"/>
      <c r="P461" s="1426"/>
      <c r="Q461" s="1424"/>
      <c r="R461" s="1426"/>
      <c r="S461" s="1403"/>
      <c r="T461" s="1426"/>
      <c r="U461" s="1403"/>
      <c r="V461" s="1426"/>
      <c r="W461" s="1424"/>
      <c r="X461" s="1426"/>
      <c r="Y461" s="1403"/>
      <c r="Z461" s="1426"/>
      <c r="AA461" s="1403"/>
      <c r="AB461" s="1426"/>
      <c r="AC461" s="1424"/>
      <c r="AD461" s="1426"/>
      <c r="AE461" s="1403"/>
      <c r="AF461" s="1426"/>
      <c r="AG461" s="1403"/>
      <c r="AH461" s="1426"/>
      <c r="AI461" s="1426"/>
      <c r="AJ461" s="1"/>
    </row>
    <row r="462" spans="4:36" s="63" customFormat="1" ht="15">
      <c r="D462" s="1424"/>
      <c r="E462" s="1424"/>
      <c r="F462" s="1424"/>
      <c r="G462" s="1424"/>
      <c r="H462" s="1424"/>
      <c r="I462" s="1424"/>
      <c r="J462" s="1426"/>
      <c r="K462" s="1424"/>
      <c r="L462" s="1426"/>
      <c r="M462" s="1403"/>
      <c r="N462" s="1426"/>
      <c r="O462" s="1403"/>
      <c r="P462" s="1426"/>
      <c r="Q462" s="1424"/>
      <c r="R462" s="1426"/>
      <c r="S462" s="1403"/>
      <c r="T462" s="1426"/>
      <c r="U462" s="1403"/>
      <c r="V462" s="1426"/>
      <c r="W462" s="1424"/>
      <c r="X462" s="1426"/>
      <c r="Y462" s="1403"/>
      <c r="Z462" s="1426"/>
      <c r="AA462" s="1403"/>
      <c r="AB462" s="1426"/>
      <c r="AC462" s="1424"/>
      <c r="AD462" s="1426"/>
      <c r="AE462" s="1403"/>
      <c r="AF462" s="1426"/>
      <c r="AG462" s="1403"/>
      <c r="AH462" s="1426"/>
      <c r="AI462" s="1426"/>
      <c r="AJ462" s="1"/>
    </row>
    <row r="463" spans="4:36" s="63" customFormat="1" ht="15">
      <c r="D463" s="1424"/>
      <c r="E463" s="1424"/>
      <c r="F463" s="1424"/>
      <c r="G463" s="1424"/>
      <c r="H463" s="1424"/>
      <c r="I463" s="1424"/>
      <c r="J463" s="1426"/>
      <c r="K463" s="1424"/>
      <c r="L463" s="1426"/>
      <c r="M463" s="1403"/>
      <c r="N463" s="1426"/>
      <c r="O463" s="1403"/>
      <c r="P463" s="1426"/>
      <c r="Q463" s="1424"/>
      <c r="R463" s="1426"/>
      <c r="S463" s="1403"/>
      <c r="T463" s="1426"/>
      <c r="U463" s="1403"/>
      <c r="V463" s="1426"/>
      <c r="W463" s="1424"/>
      <c r="X463" s="1426"/>
      <c r="Y463" s="1403"/>
      <c r="Z463" s="1426"/>
      <c r="AA463" s="1403"/>
      <c r="AB463" s="1426"/>
      <c r="AC463" s="1424"/>
      <c r="AD463" s="1426"/>
      <c r="AE463" s="1403"/>
      <c r="AF463" s="1426"/>
      <c r="AG463" s="1403"/>
      <c r="AH463" s="1426"/>
      <c r="AI463" s="1426"/>
      <c r="AJ463" s="1"/>
    </row>
    <row r="464" spans="4:36" s="63" customFormat="1" ht="15">
      <c r="D464" s="1424"/>
      <c r="E464" s="1424"/>
      <c r="F464" s="1424"/>
      <c r="G464" s="1424"/>
      <c r="H464" s="1424"/>
      <c r="I464" s="1424"/>
      <c r="J464" s="1426"/>
      <c r="K464" s="1424"/>
      <c r="L464" s="1426"/>
      <c r="M464" s="1403"/>
      <c r="N464" s="1426"/>
      <c r="O464" s="1403"/>
      <c r="P464" s="1426"/>
      <c r="Q464" s="1424"/>
      <c r="R464" s="1426"/>
      <c r="S464" s="1403"/>
      <c r="T464" s="1426"/>
      <c r="U464" s="1403"/>
      <c r="V464" s="1426"/>
      <c r="W464" s="1424"/>
      <c r="X464" s="1426"/>
      <c r="Y464" s="1403"/>
      <c r="Z464" s="1426"/>
      <c r="AA464" s="1403"/>
      <c r="AB464" s="1426"/>
      <c r="AC464" s="1424"/>
      <c r="AD464" s="1426"/>
      <c r="AE464" s="1403"/>
      <c r="AF464" s="1426"/>
      <c r="AG464" s="1403"/>
      <c r="AH464" s="1426"/>
      <c r="AI464" s="1426"/>
      <c r="AJ464" s="1"/>
    </row>
    <row r="465" spans="4:36" s="63" customFormat="1" ht="15">
      <c r="D465" s="1424"/>
      <c r="E465" s="1424"/>
      <c r="F465" s="1424"/>
      <c r="G465" s="1424"/>
      <c r="H465" s="1424"/>
      <c r="I465" s="1424"/>
      <c r="J465" s="1426"/>
      <c r="K465" s="1424"/>
      <c r="L465" s="1426"/>
      <c r="M465" s="1403"/>
      <c r="N465" s="1426"/>
      <c r="O465" s="1403"/>
      <c r="P465" s="1426"/>
      <c r="Q465" s="1424"/>
      <c r="R465" s="1426"/>
      <c r="S465" s="1403"/>
      <c r="T465" s="1426"/>
      <c r="U465" s="1403"/>
      <c r="V465" s="1426"/>
      <c r="W465" s="1424"/>
      <c r="X465" s="1426"/>
      <c r="Y465" s="1403"/>
      <c r="Z465" s="1426"/>
      <c r="AA465" s="1403"/>
      <c r="AB465" s="1426"/>
      <c r="AC465" s="1424"/>
      <c r="AD465" s="1426"/>
      <c r="AE465" s="1403"/>
      <c r="AF465" s="1426"/>
      <c r="AG465" s="1403"/>
      <c r="AH465" s="1426"/>
      <c r="AI465" s="1426"/>
      <c r="AJ465" s="1"/>
    </row>
    <row r="466" spans="4:36" s="63" customFormat="1" ht="15">
      <c r="D466" s="1424"/>
      <c r="E466" s="1424"/>
      <c r="F466" s="1424"/>
      <c r="G466" s="1424"/>
      <c r="H466" s="1424"/>
      <c r="I466" s="1424"/>
      <c r="J466" s="1426"/>
      <c r="K466" s="1424"/>
      <c r="L466" s="1426"/>
      <c r="M466" s="1403"/>
      <c r="N466" s="1426"/>
      <c r="O466" s="1403"/>
      <c r="P466" s="1426"/>
      <c r="Q466" s="1424"/>
      <c r="R466" s="1426"/>
      <c r="S466" s="1403"/>
      <c r="T466" s="1426"/>
      <c r="U466" s="1403"/>
      <c r="V466" s="1426"/>
      <c r="W466" s="1424"/>
      <c r="X466" s="1426"/>
      <c r="Y466" s="1403"/>
      <c r="Z466" s="1426"/>
      <c r="AA466" s="1403"/>
      <c r="AB466" s="1426"/>
      <c r="AC466" s="1424"/>
      <c r="AD466" s="1426"/>
      <c r="AE466" s="1403"/>
      <c r="AF466" s="1426"/>
      <c r="AG466" s="1403"/>
      <c r="AH466" s="1426"/>
      <c r="AI466" s="1426"/>
      <c r="AJ466" s="1"/>
    </row>
    <row r="467" spans="4:36" s="63" customFormat="1" ht="15">
      <c r="D467" s="1424"/>
      <c r="E467" s="1424"/>
      <c r="F467" s="1424"/>
      <c r="G467" s="1424"/>
      <c r="H467" s="1424"/>
      <c r="I467" s="1424"/>
      <c r="J467" s="1426"/>
      <c r="K467" s="1424"/>
      <c r="L467" s="1426"/>
      <c r="M467" s="1403"/>
      <c r="N467" s="1426"/>
      <c r="O467" s="1403"/>
      <c r="P467" s="1426"/>
      <c r="Q467" s="1424"/>
      <c r="R467" s="1426"/>
      <c r="S467" s="1403"/>
      <c r="T467" s="1426"/>
      <c r="U467" s="1403"/>
      <c r="V467" s="1426"/>
      <c r="W467" s="1424"/>
      <c r="X467" s="1426"/>
      <c r="Y467" s="1403"/>
      <c r="Z467" s="1426"/>
      <c r="AA467" s="1403"/>
      <c r="AB467" s="1426"/>
      <c r="AC467" s="1424"/>
      <c r="AD467" s="1426"/>
      <c r="AE467" s="1403"/>
      <c r="AF467" s="1426"/>
      <c r="AG467" s="1403"/>
      <c r="AH467" s="1426"/>
      <c r="AI467" s="1426"/>
      <c r="AJ467" s="1"/>
    </row>
    <row r="468" spans="4:36" s="63" customFormat="1" ht="15">
      <c r="D468" s="1424"/>
      <c r="E468" s="1424"/>
      <c r="F468" s="1424"/>
      <c r="G468" s="1424"/>
      <c r="H468" s="1424"/>
      <c r="I468" s="1424"/>
      <c r="J468" s="1426"/>
      <c r="K468" s="1424"/>
      <c r="L468" s="1426"/>
      <c r="M468" s="1403"/>
      <c r="N468" s="1426"/>
      <c r="O468" s="1403"/>
      <c r="P468" s="1426"/>
      <c r="Q468" s="1424"/>
      <c r="R468" s="1426"/>
      <c r="S468" s="1403"/>
      <c r="T468" s="1426"/>
      <c r="U468" s="1403"/>
      <c r="V468" s="1426"/>
      <c r="W468" s="1424"/>
      <c r="X468" s="1426"/>
      <c r="Y468" s="1403"/>
      <c r="Z468" s="1426"/>
      <c r="AA468" s="1403"/>
      <c r="AB468" s="1426"/>
      <c r="AC468" s="1424"/>
      <c r="AD468" s="1426"/>
      <c r="AE468" s="1403"/>
      <c r="AF468" s="1426"/>
      <c r="AG468" s="1403"/>
      <c r="AH468" s="1426"/>
      <c r="AI468" s="1426"/>
      <c r="AJ468" s="1"/>
    </row>
    <row r="469" spans="4:36" s="63" customFormat="1" ht="15">
      <c r="D469" s="1424"/>
      <c r="E469" s="1424"/>
      <c r="F469" s="1424"/>
      <c r="G469" s="1424"/>
      <c r="H469" s="1424"/>
      <c r="I469" s="1424"/>
      <c r="J469" s="1426"/>
      <c r="K469" s="1424"/>
      <c r="L469" s="1426"/>
      <c r="M469" s="1403"/>
      <c r="N469" s="1426"/>
      <c r="O469" s="1403"/>
      <c r="P469" s="1426"/>
      <c r="Q469" s="1424"/>
      <c r="R469" s="1426"/>
      <c r="S469" s="1403"/>
      <c r="T469" s="1426"/>
      <c r="U469" s="1403"/>
      <c r="V469" s="1426"/>
      <c r="W469" s="1424"/>
      <c r="X469" s="1426"/>
      <c r="Y469" s="1403"/>
      <c r="Z469" s="1426"/>
      <c r="AA469" s="1403"/>
      <c r="AB469" s="1426"/>
      <c r="AC469" s="1424"/>
      <c r="AD469" s="1426"/>
      <c r="AE469" s="1403"/>
      <c r="AF469" s="1426"/>
      <c r="AG469" s="1403"/>
      <c r="AH469" s="1426"/>
      <c r="AI469" s="1426"/>
      <c r="AJ469" s="1"/>
    </row>
    <row r="470" spans="4:36" s="63" customFormat="1" ht="15">
      <c r="D470" s="1424"/>
      <c r="E470" s="1424"/>
      <c r="F470" s="1424"/>
      <c r="G470" s="1424"/>
      <c r="H470" s="1424"/>
      <c r="I470" s="1424"/>
      <c r="J470" s="1426"/>
      <c r="K470" s="1424"/>
      <c r="L470" s="1426"/>
      <c r="M470" s="1403"/>
      <c r="N470" s="1426"/>
      <c r="O470" s="1403"/>
      <c r="P470" s="1426"/>
      <c r="Q470" s="1424"/>
      <c r="R470" s="1426"/>
      <c r="S470" s="1403"/>
      <c r="T470" s="1426"/>
      <c r="U470" s="1403"/>
      <c r="V470" s="1426"/>
      <c r="W470" s="1424"/>
      <c r="X470" s="1426"/>
      <c r="Y470" s="1403"/>
      <c r="Z470" s="1426"/>
      <c r="AA470" s="1403"/>
      <c r="AB470" s="1426"/>
      <c r="AC470" s="1424"/>
      <c r="AD470" s="1426"/>
      <c r="AE470" s="1403"/>
      <c r="AF470" s="1426"/>
      <c r="AG470" s="1403"/>
      <c r="AH470" s="1426"/>
      <c r="AI470" s="1426"/>
      <c r="AJ470" s="1"/>
    </row>
    <row r="471" spans="4:36" s="63" customFormat="1" ht="15">
      <c r="D471" s="1424"/>
      <c r="E471" s="1424"/>
      <c r="F471" s="1424"/>
      <c r="G471" s="1424"/>
      <c r="H471" s="1424"/>
      <c r="I471" s="1424"/>
      <c r="J471" s="1426"/>
      <c r="K471" s="1424"/>
      <c r="L471" s="1426"/>
      <c r="M471" s="1403"/>
      <c r="N471" s="1426"/>
      <c r="O471" s="1403"/>
      <c r="P471" s="1426"/>
      <c r="Q471" s="1424"/>
      <c r="R471" s="1426"/>
      <c r="S471" s="1403"/>
      <c r="T471" s="1426"/>
      <c r="U471" s="1403"/>
      <c r="V471" s="1426"/>
      <c r="W471" s="1424"/>
      <c r="X471" s="1426"/>
      <c r="Y471" s="1403"/>
      <c r="Z471" s="1426"/>
      <c r="AA471" s="1403"/>
      <c r="AB471" s="1426"/>
      <c r="AC471" s="1424"/>
      <c r="AD471" s="1426"/>
      <c r="AE471" s="1403"/>
      <c r="AF471" s="1426"/>
      <c r="AG471" s="1403"/>
      <c r="AH471" s="1426"/>
      <c r="AI471" s="1426"/>
      <c r="AJ471" s="1"/>
    </row>
    <row r="472" spans="4:36" s="63" customFormat="1" ht="15">
      <c r="D472" s="1424"/>
      <c r="E472" s="1424"/>
      <c r="F472" s="1424"/>
      <c r="G472" s="1424"/>
      <c r="H472" s="1424"/>
      <c r="I472" s="1424"/>
      <c r="J472" s="1426"/>
      <c r="K472" s="1424"/>
      <c r="L472" s="1426"/>
      <c r="M472" s="1403"/>
      <c r="N472" s="1426"/>
      <c r="O472" s="1403"/>
      <c r="P472" s="1426"/>
      <c r="Q472" s="1424"/>
      <c r="R472" s="1426"/>
      <c r="S472" s="1403"/>
      <c r="T472" s="1426"/>
      <c r="U472" s="1403"/>
      <c r="V472" s="1426"/>
      <c r="W472" s="1424"/>
      <c r="X472" s="1426"/>
      <c r="Y472" s="1403"/>
      <c r="Z472" s="1426"/>
      <c r="AA472" s="1403"/>
      <c r="AB472" s="1426"/>
      <c r="AC472" s="1424"/>
      <c r="AD472" s="1426"/>
      <c r="AE472" s="1403"/>
      <c r="AF472" s="1426"/>
      <c r="AG472" s="1403"/>
      <c r="AH472" s="1426"/>
      <c r="AI472" s="1426"/>
      <c r="AJ472" s="1"/>
    </row>
    <row r="473" spans="4:36" s="63" customFormat="1" ht="15">
      <c r="D473" s="1424"/>
      <c r="E473" s="1424"/>
      <c r="F473" s="1424"/>
      <c r="G473" s="1424"/>
      <c r="H473" s="1424"/>
      <c r="I473" s="1424"/>
      <c r="J473" s="1426"/>
      <c r="K473" s="1424"/>
      <c r="L473" s="1426"/>
      <c r="M473" s="1403"/>
      <c r="N473" s="1426"/>
      <c r="O473" s="1403"/>
      <c r="P473" s="1426"/>
      <c r="Q473" s="1424"/>
      <c r="R473" s="1426"/>
      <c r="S473" s="1403"/>
      <c r="T473" s="1426"/>
      <c r="U473" s="1403"/>
      <c r="V473" s="1426"/>
      <c r="W473" s="1424"/>
      <c r="X473" s="1426"/>
      <c r="Y473" s="1403"/>
      <c r="Z473" s="1426"/>
      <c r="AA473" s="1403"/>
      <c r="AB473" s="1426"/>
      <c r="AC473" s="1424"/>
      <c r="AD473" s="1426"/>
      <c r="AE473" s="1403"/>
      <c r="AF473" s="1426"/>
      <c r="AG473" s="1403"/>
      <c r="AH473" s="1426"/>
      <c r="AI473" s="1426"/>
      <c r="AJ473" s="1"/>
    </row>
    <row r="474" spans="4:36" s="63" customFormat="1" ht="15">
      <c r="D474" s="1424"/>
      <c r="E474" s="1424"/>
      <c r="F474" s="1424"/>
      <c r="G474" s="1424"/>
      <c r="H474" s="1424"/>
      <c r="I474" s="1424"/>
      <c r="J474" s="1426"/>
      <c r="K474" s="1424"/>
      <c r="L474" s="1426"/>
      <c r="M474" s="1403"/>
      <c r="N474" s="1426"/>
      <c r="O474" s="1403"/>
      <c r="P474" s="1426"/>
      <c r="Q474" s="1424"/>
      <c r="R474" s="1426"/>
      <c r="S474" s="1403"/>
      <c r="T474" s="1426"/>
      <c r="U474" s="1403"/>
      <c r="V474" s="1426"/>
      <c r="W474" s="1424"/>
      <c r="X474" s="1426"/>
      <c r="Y474" s="1403"/>
      <c r="Z474" s="1426"/>
      <c r="AA474" s="1403"/>
      <c r="AB474" s="1426"/>
      <c r="AC474" s="1424"/>
      <c r="AD474" s="1426"/>
      <c r="AE474" s="1403"/>
      <c r="AF474" s="1426"/>
      <c r="AG474" s="1403"/>
      <c r="AH474" s="1426"/>
      <c r="AI474" s="1426"/>
      <c r="AJ474" s="1"/>
    </row>
    <row r="475" spans="4:36" s="63" customFormat="1" ht="15">
      <c r="D475" s="1424"/>
      <c r="E475" s="1424"/>
      <c r="F475" s="1424"/>
      <c r="G475" s="1424"/>
      <c r="H475" s="1424"/>
      <c r="I475" s="1424"/>
      <c r="J475" s="1426"/>
      <c r="K475" s="1424"/>
      <c r="L475" s="1426"/>
      <c r="M475" s="1403"/>
      <c r="N475" s="1426"/>
      <c r="O475" s="1403"/>
      <c r="P475" s="1426"/>
      <c r="Q475" s="1424"/>
      <c r="R475" s="1426"/>
      <c r="S475" s="1403"/>
      <c r="T475" s="1426"/>
      <c r="U475" s="1403"/>
      <c r="V475" s="1426"/>
      <c r="W475" s="1424"/>
      <c r="X475" s="1426"/>
      <c r="Y475" s="1403"/>
      <c r="Z475" s="1426"/>
      <c r="AA475" s="1403"/>
      <c r="AB475" s="1426"/>
      <c r="AC475" s="1424"/>
      <c r="AD475" s="1426"/>
      <c r="AE475" s="1403"/>
      <c r="AF475" s="1426"/>
      <c r="AG475" s="1403"/>
      <c r="AH475" s="1426"/>
      <c r="AI475" s="1426"/>
      <c r="AJ475" s="1"/>
    </row>
    <row r="476" spans="4:36" s="63" customFormat="1" ht="15">
      <c r="D476" s="1424"/>
      <c r="E476" s="1424"/>
      <c r="F476" s="1424"/>
      <c r="G476" s="1424"/>
      <c r="H476" s="1424"/>
      <c r="I476" s="1424"/>
      <c r="J476" s="1426"/>
      <c r="K476" s="1424"/>
      <c r="L476" s="1426"/>
      <c r="M476" s="1403"/>
      <c r="N476" s="1426"/>
      <c r="O476" s="1403"/>
      <c r="P476" s="1426"/>
      <c r="Q476" s="1424"/>
      <c r="R476" s="1426"/>
      <c r="S476" s="1403"/>
      <c r="T476" s="1426"/>
      <c r="U476" s="1403"/>
      <c r="V476" s="1426"/>
      <c r="W476" s="1424"/>
      <c r="X476" s="1426"/>
      <c r="Y476" s="1403"/>
      <c r="Z476" s="1426"/>
      <c r="AA476" s="1403"/>
      <c r="AB476" s="1426"/>
      <c r="AC476" s="1424"/>
      <c r="AD476" s="1426"/>
      <c r="AE476" s="1403"/>
      <c r="AF476" s="1426"/>
      <c r="AG476" s="1403"/>
      <c r="AH476" s="1426"/>
      <c r="AI476" s="1426"/>
      <c r="AJ476" s="1"/>
    </row>
    <row r="477" spans="4:36" s="63" customFormat="1" ht="15">
      <c r="D477" s="1424"/>
      <c r="E477" s="1424"/>
      <c r="F477" s="1424"/>
      <c r="G477" s="1424"/>
      <c r="H477" s="1424"/>
      <c r="I477" s="1424"/>
      <c r="J477" s="1426"/>
      <c r="K477" s="1424"/>
      <c r="L477" s="1426"/>
      <c r="M477" s="1403"/>
      <c r="N477" s="1426"/>
      <c r="O477" s="1403"/>
      <c r="P477" s="1426"/>
      <c r="Q477" s="1424"/>
      <c r="R477" s="1426"/>
      <c r="S477" s="1403"/>
      <c r="T477" s="1426"/>
      <c r="U477" s="1403"/>
      <c r="V477" s="1426"/>
      <c r="W477" s="1424"/>
      <c r="X477" s="1426"/>
      <c r="Y477" s="1403"/>
      <c r="Z477" s="1426"/>
      <c r="AA477" s="1403"/>
      <c r="AB477" s="1426"/>
      <c r="AC477" s="1424"/>
      <c r="AD477" s="1426"/>
      <c r="AE477" s="1403"/>
      <c r="AF477" s="1426"/>
      <c r="AG477" s="1403"/>
      <c r="AH477" s="1426"/>
      <c r="AI477" s="1426"/>
      <c r="AJ477" s="1"/>
    </row>
    <row r="478" spans="4:36" s="63" customFormat="1" ht="15">
      <c r="D478" s="1424"/>
      <c r="E478" s="1424"/>
      <c r="F478" s="1424"/>
      <c r="G478" s="1424"/>
      <c r="H478" s="1424"/>
      <c r="I478" s="1424"/>
      <c r="J478" s="1426"/>
      <c r="K478" s="1424"/>
      <c r="L478" s="1426"/>
      <c r="M478" s="1403"/>
      <c r="N478" s="1426"/>
      <c r="O478" s="1403"/>
      <c r="P478" s="1426"/>
      <c r="Q478" s="1424"/>
      <c r="R478" s="1426"/>
      <c r="S478" s="1403"/>
      <c r="T478" s="1426"/>
      <c r="U478" s="1403"/>
      <c r="V478" s="1426"/>
      <c r="W478" s="1424"/>
      <c r="X478" s="1426"/>
      <c r="Y478" s="1403"/>
      <c r="Z478" s="1426"/>
      <c r="AA478" s="1403"/>
      <c r="AB478" s="1426"/>
      <c r="AC478" s="1424"/>
      <c r="AD478" s="1426"/>
      <c r="AE478" s="1403"/>
      <c r="AF478" s="1426"/>
      <c r="AG478" s="1403"/>
      <c r="AH478" s="1426"/>
      <c r="AI478" s="1426"/>
      <c r="AJ478" s="1"/>
    </row>
    <row r="479" spans="4:36" s="63" customFormat="1" ht="15">
      <c r="D479" s="1424"/>
      <c r="E479" s="1424"/>
      <c r="F479" s="1424"/>
      <c r="G479" s="1424"/>
      <c r="H479" s="1424"/>
      <c r="I479" s="1424"/>
      <c r="J479" s="1426"/>
      <c r="K479" s="1424"/>
      <c r="L479" s="1426"/>
      <c r="M479" s="1403"/>
      <c r="N479" s="1426"/>
      <c r="O479" s="1403"/>
      <c r="P479" s="1426"/>
      <c r="Q479" s="1424"/>
      <c r="R479" s="1426"/>
      <c r="S479" s="1403"/>
      <c r="T479" s="1426"/>
      <c r="U479" s="1403"/>
      <c r="V479" s="1426"/>
      <c r="W479" s="1424"/>
      <c r="X479" s="1426"/>
      <c r="Y479" s="1403"/>
      <c r="Z479" s="1426"/>
      <c r="AA479" s="1403"/>
      <c r="AB479" s="1426"/>
      <c r="AC479" s="1424"/>
      <c r="AD479" s="1426"/>
      <c r="AE479" s="1403"/>
      <c r="AF479" s="1426"/>
      <c r="AG479" s="1403"/>
      <c r="AH479" s="1426"/>
      <c r="AI479" s="1426"/>
      <c r="AJ479" s="1"/>
    </row>
    <row r="480" spans="4:36" s="63" customFormat="1" ht="15">
      <c r="D480" s="1424"/>
      <c r="E480" s="1424"/>
      <c r="F480" s="1424"/>
      <c r="G480" s="1424"/>
      <c r="H480" s="1424"/>
      <c r="I480" s="1424"/>
      <c r="J480" s="1426"/>
      <c r="K480" s="1424"/>
      <c r="L480" s="1426"/>
      <c r="M480" s="1403"/>
      <c r="N480" s="1426"/>
      <c r="O480" s="1403"/>
      <c r="P480" s="1426"/>
      <c r="Q480" s="1424"/>
      <c r="R480" s="1426"/>
      <c r="S480" s="1403"/>
      <c r="T480" s="1426"/>
      <c r="U480" s="1403"/>
      <c r="V480" s="1426"/>
      <c r="W480" s="1424"/>
      <c r="X480" s="1426"/>
      <c r="Y480" s="1403"/>
      <c r="Z480" s="1426"/>
      <c r="AA480" s="1403"/>
      <c r="AB480" s="1426"/>
      <c r="AC480" s="1424"/>
      <c r="AD480" s="1426"/>
      <c r="AE480" s="1403"/>
      <c r="AF480" s="1426"/>
      <c r="AG480" s="1403"/>
      <c r="AH480" s="1426"/>
      <c r="AI480" s="1426"/>
      <c r="AJ480" s="1"/>
    </row>
    <row r="481" spans="4:36" s="63" customFormat="1" ht="15">
      <c r="D481" s="1424"/>
      <c r="E481" s="1424"/>
      <c r="F481" s="1424"/>
      <c r="G481" s="1424"/>
      <c r="H481" s="1424"/>
      <c r="I481" s="1424"/>
      <c r="J481" s="1426"/>
      <c r="K481" s="1424"/>
      <c r="L481" s="1426"/>
      <c r="M481" s="1403"/>
      <c r="N481" s="1426"/>
      <c r="O481" s="1403"/>
      <c r="P481" s="1426"/>
      <c r="Q481" s="1424"/>
      <c r="R481" s="1426"/>
      <c r="S481" s="1403"/>
      <c r="T481" s="1426"/>
      <c r="U481" s="1403"/>
      <c r="V481" s="1426"/>
      <c r="W481" s="1424"/>
      <c r="X481" s="1426"/>
      <c r="Y481" s="1403"/>
      <c r="Z481" s="1426"/>
      <c r="AA481" s="1403"/>
      <c r="AB481" s="1426"/>
      <c r="AC481" s="1424"/>
      <c r="AD481" s="1426"/>
      <c r="AE481" s="1403"/>
      <c r="AF481" s="1426"/>
      <c r="AG481" s="1403"/>
      <c r="AH481" s="1426"/>
      <c r="AI481" s="1426"/>
      <c r="AJ481" s="1"/>
    </row>
    <row r="482" spans="4:36" s="63" customFormat="1" ht="15">
      <c r="D482" s="1424"/>
      <c r="E482" s="1424"/>
      <c r="F482" s="1424"/>
      <c r="G482" s="1424"/>
      <c r="H482" s="1424"/>
      <c r="I482" s="1424"/>
      <c r="J482" s="1426"/>
      <c r="K482" s="1424"/>
      <c r="L482" s="1426"/>
      <c r="M482" s="1403"/>
      <c r="N482" s="1426"/>
      <c r="O482" s="1403"/>
      <c r="P482" s="1426"/>
      <c r="Q482" s="1424"/>
      <c r="R482" s="1426"/>
      <c r="S482" s="1403"/>
      <c r="T482" s="1426"/>
      <c r="U482" s="1403"/>
      <c r="V482" s="1426"/>
      <c r="W482" s="1424"/>
      <c r="X482" s="1426"/>
      <c r="Y482" s="1403"/>
      <c r="Z482" s="1426"/>
      <c r="AA482" s="1403"/>
      <c r="AB482" s="1426"/>
      <c r="AC482" s="1424"/>
      <c r="AD482" s="1426"/>
      <c r="AE482" s="1403"/>
      <c r="AF482" s="1426"/>
      <c r="AG482" s="1403"/>
      <c r="AH482" s="1426"/>
      <c r="AI482" s="1426"/>
      <c r="AJ482" s="1"/>
    </row>
    <row r="483" spans="4:36" s="63" customFormat="1" ht="15">
      <c r="D483" s="1424"/>
      <c r="E483" s="1424"/>
      <c r="F483" s="1424"/>
      <c r="G483" s="1424"/>
      <c r="H483" s="1424"/>
      <c r="I483" s="1424"/>
      <c r="J483" s="1426"/>
      <c r="K483" s="1424"/>
      <c r="L483" s="1426"/>
      <c r="M483" s="1403"/>
      <c r="N483" s="1426"/>
      <c r="O483" s="1403"/>
      <c r="P483" s="1426"/>
      <c r="Q483" s="1424"/>
      <c r="R483" s="1426"/>
      <c r="S483" s="1403"/>
      <c r="T483" s="1426"/>
      <c r="U483" s="1403"/>
      <c r="V483" s="1426"/>
      <c r="W483" s="1424"/>
      <c r="X483" s="1426"/>
      <c r="Y483" s="1403"/>
      <c r="Z483" s="1426"/>
      <c r="AA483" s="1403"/>
      <c r="AB483" s="1426"/>
      <c r="AC483" s="1424"/>
      <c r="AD483" s="1426"/>
      <c r="AE483" s="1403"/>
      <c r="AF483" s="1426"/>
      <c r="AG483" s="1403"/>
      <c r="AH483" s="1426"/>
      <c r="AI483" s="1426"/>
      <c r="AJ483" s="1"/>
    </row>
    <row r="484" spans="4:36" s="63" customFormat="1" ht="15">
      <c r="D484" s="1424"/>
      <c r="E484" s="1424"/>
      <c r="F484" s="1424"/>
      <c r="G484" s="1424"/>
      <c r="H484" s="1424"/>
      <c r="I484" s="1424"/>
      <c r="J484" s="1426"/>
      <c r="K484" s="1424"/>
      <c r="L484" s="1426"/>
      <c r="M484" s="1403"/>
      <c r="N484" s="1426"/>
      <c r="O484" s="1403"/>
      <c r="P484" s="1426"/>
      <c r="Q484" s="1424"/>
      <c r="R484" s="1426"/>
      <c r="S484" s="1403"/>
      <c r="T484" s="1426"/>
      <c r="U484" s="1403"/>
      <c r="V484" s="1426"/>
      <c r="W484" s="1424"/>
      <c r="X484" s="1426"/>
      <c r="Y484" s="1403"/>
      <c r="Z484" s="1426"/>
      <c r="AA484" s="1403"/>
      <c r="AB484" s="1426"/>
      <c r="AC484" s="1424"/>
      <c r="AD484" s="1426"/>
      <c r="AE484" s="1403"/>
      <c r="AF484" s="1426"/>
      <c r="AG484" s="1403"/>
      <c r="AH484" s="1426"/>
      <c r="AI484" s="1426"/>
      <c r="AJ484" s="1"/>
    </row>
    <row r="485" spans="4:36" s="63" customFormat="1" ht="15">
      <c r="D485" s="1424"/>
      <c r="E485" s="1424"/>
      <c r="F485" s="1424"/>
      <c r="G485" s="1424"/>
      <c r="H485" s="1424"/>
      <c r="I485" s="1424"/>
      <c r="J485" s="1426"/>
      <c r="K485" s="1424"/>
      <c r="L485" s="1426"/>
      <c r="M485" s="1403"/>
      <c r="N485" s="1426"/>
      <c r="O485" s="1403"/>
      <c r="P485" s="1426"/>
      <c r="Q485" s="1424"/>
      <c r="R485" s="1426"/>
      <c r="S485" s="1403"/>
      <c r="T485" s="1426"/>
      <c r="U485" s="1403"/>
      <c r="V485" s="1426"/>
      <c r="W485" s="1424"/>
      <c r="X485" s="1426"/>
      <c r="Y485" s="1403"/>
      <c r="Z485" s="1426"/>
      <c r="AA485" s="1403"/>
      <c r="AB485" s="1426"/>
      <c r="AC485" s="1424"/>
      <c r="AD485" s="1426"/>
      <c r="AE485" s="1403"/>
      <c r="AF485" s="1426"/>
      <c r="AG485" s="1403"/>
      <c r="AH485" s="1426"/>
      <c r="AI485" s="1426"/>
      <c r="AJ485" s="1"/>
    </row>
    <row r="486" spans="4:36" s="63" customFormat="1" ht="15">
      <c r="D486" s="1424"/>
      <c r="E486" s="1424"/>
      <c r="F486" s="1424"/>
      <c r="G486" s="1424"/>
      <c r="H486" s="1424"/>
      <c r="I486" s="1424"/>
      <c r="J486" s="1426"/>
      <c r="K486" s="1424"/>
      <c r="L486" s="1426"/>
      <c r="M486" s="1403"/>
      <c r="N486" s="1426"/>
      <c r="O486" s="1403"/>
      <c r="P486" s="1426"/>
      <c r="Q486" s="1424"/>
      <c r="R486" s="1426"/>
      <c r="S486" s="1403"/>
      <c r="T486" s="1426"/>
      <c r="U486" s="1403"/>
      <c r="V486" s="1426"/>
      <c r="W486" s="1424"/>
      <c r="X486" s="1426"/>
      <c r="Y486" s="1403"/>
      <c r="Z486" s="1426"/>
      <c r="AA486" s="1403"/>
      <c r="AB486" s="1426"/>
      <c r="AC486" s="1424"/>
      <c r="AD486" s="1426"/>
      <c r="AE486" s="1403"/>
      <c r="AF486" s="1426"/>
      <c r="AG486" s="1403"/>
      <c r="AH486" s="1426"/>
      <c r="AI486" s="1426"/>
      <c r="AJ486" s="1"/>
    </row>
    <row r="487" spans="4:36" s="63" customFormat="1" ht="15">
      <c r="D487" s="1424"/>
      <c r="E487" s="1424"/>
      <c r="F487" s="1424"/>
      <c r="G487" s="1424"/>
      <c r="H487" s="1424"/>
      <c r="I487" s="1424"/>
      <c r="J487" s="1426"/>
      <c r="K487" s="1424"/>
      <c r="L487" s="1426"/>
      <c r="M487" s="1403"/>
      <c r="N487" s="1426"/>
      <c r="O487" s="1403"/>
      <c r="P487" s="1426"/>
      <c r="Q487" s="1424"/>
      <c r="R487" s="1426"/>
      <c r="S487" s="1403"/>
      <c r="T487" s="1426"/>
      <c r="U487" s="1403"/>
      <c r="V487" s="1426"/>
      <c r="W487" s="1424"/>
      <c r="X487" s="1426"/>
      <c r="Y487" s="1403"/>
      <c r="Z487" s="1426"/>
      <c r="AA487" s="1403"/>
      <c r="AB487" s="1426"/>
      <c r="AC487" s="1424"/>
      <c r="AD487" s="1426"/>
      <c r="AE487" s="1403"/>
      <c r="AF487" s="1426"/>
      <c r="AG487" s="1403"/>
      <c r="AH487" s="1426"/>
      <c r="AI487" s="1426"/>
      <c r="AJ487" s="1"/>
    </row>
    <row r="488" spans="4:36" s="63" customFormat="1" ht="15">
      <c r="D488" s="1424"/>
      <c r="E488" s="1424"/>
      <c r="F488" s="1424"/>
      <c r="G488" s="1424"/>
      <c r="H488" s="1424"/>
      <c r="I488" s="1424"/>
      <c r="J488" s="1426"/>
      <c r="K488" s="1424"/>
      <c r="L488" s="1426"/>
      <c r="M488" s="1403"/>
      <c r="N488" s="1426"/>
      <c r="O488" s="1403"/>
      <c r="P488" s="1426"/>
      <c r="Q488" s="1424"/>
      <c r="R488" s="1426"/>
      <c r="S488" s="1403"/>
      <c r="T488" s="1426"/>
      <c r="U488" s="1403"/>
      <c r="V488" s="1426"/>
      <c r="W488" s="1424"/>
      <c r="X488" s="1426"/>
      <c r="Y488" s="1403"/>
      <c r="Z488" s="1426"/>
      <c r="AA488" s="1403"/>
      <c r="AB488" s="1426"/>
      <c r="AC488" s="1424"/>
      <c r="AD488" s="1426"/>
      <c r="AE488" s="1403"/>
      <c r="AF488" s="1426"/>
      <c r="AG488" s="1403"/>
      <c r="AH488" s="1426"/>
      <c r="AI488" s="1426"/>
      <c r="AJ488" s="1"/>
    </row>
    <row r="489" spans="4:36" s="63" customFormat="1" ht="15">
      <c r="D489" s="1424"/>
      <c r="E489" s="1424"/>
      <c r="F489" s="1424"/>
      <c r="G489" s="1424"/>
      <c r="H489" s="1424"/>
      <c r="I489" s="1424"/>
      <c r="J489" s="1426"/>
      <c r="K489" s="1424"/>
      <c r="L489" s="1426"/>
      <c r="M489" s="1403"/>
      <c r="N489" s="1426"/>
      <c r="O489" s="1403"/>
      <c r="P489" s="1426"/>
      <c r="Q489" s="1424"/>
      <c r="R489" s="1426"/>
      <c r="S489" s="1403"/>
      <c r="T489" s="1426"/>
      <c r="U489" s="1403"/>
      <c r="V489" s="1426"/>
      <c r="W489" s="1424"/>
      <c r="X489" s="1426"/>
      <c r="Y489" s="1403"/>
      <c r="Z489" s="1426"/>
      <c r="AA489" s="1403"/>
      <c r="AB489" s="1426"/>
      <c r="AC489" s="1424"/>
      <c r="AD489" s="1426"/>
      <c r="AE489" s="1403"/>
      <c r="AF489" s="1426"/>
      <c r="AG489" s="1403"/>
      <c r="AH489" s="1426"/>
      <c r="AI489" s="1426"/>
      <c r="AJ489" s="1"/>
    </row>
    <row r="490" spans="4:36" s="63" customFormat="1" ht="15">
      <c r="D490" s="1424"/>
      <c r="E490" s="1424"/>
      <c r="F490" s="1424"/>
      <c r="G490" s="1424"/>
      <c r="H490" s="1424"/>
      <c r="I490" s="1424"/>
      <c r="J490" s="1426"/>
      <c r="K490" s="1424"/>
      <c r="L490" s="1426"/>
      <c r="M490" s="1403"/>
      <c r="N490" s="1426"/>
      <c r="O490" s="1403"/>
      <c r="P490" s="1426"/>
      <c r="Q490" s="1424"/>
      <c r="R490" s="1426"/>
      <c r="S490" s="1403"/>
      <c r="T490" s="1426"/>
      <c r="U490" s="1403"/>
      <c r="V490" s="1426"/>
      <c r="W490" s="1424"/>
      <c r="X490" s="1426"/>
      <c r="Y490" s="1403"/>
      <c r="Z490" s="1426"/>
      <c r="AA490" s="1403"/>
      <c r="AB490" s="1426"/>
      <c r="AC490" s="1424"/>
      <c r="AD490" s="1426"/>
      <c r="AE490" s="1403"/>
      <c r="AF490" s="1426"/>
      <c r="AG490" s="1403"/>
      <c r="AH490" s="1426"/>
      <c r="AI490" s="1426"/>
      <c r="AJ490" s="1"/>
    </row>
    <row r="491" spans="4:36" s="63" customFormat="1" ht="15">
      <c r="D491" s="1424"/>
      <c r="E491" s="1424"/>
      <c r="F491" s="1424"/>
      <c r="G491" s="1424"/>
      <c r="H491" s="1424"/>
      <c r="I491" s="1424"/>
      <c r="J491" s="1426"/>
      <c r="K491" s="1424"/>
      <c r="L491" s="1426"/>
      <c r="M491" s="1403"/>
      <c r="N491" s="1426"/>
      <c r="O491" s="1403"/>
      <c r="P491" s="1426"/>
      <c r="Q491" s="1424"/>
      <c r="R491" s="1426"/>
      <c r="S491" s="1403"/>
      <c r="T491" s="1426"/>
      <c r="U491" s="1403"/>
      <c r="V491" s="1426"/>
      <c r="W491" s="1424"/>
      <c r="X491" s="1426"/>
      <c r="Y491" s="1403"/>
      <c r="Z491" s="1426"/>
      <c r="AA491" s="1403"/>
      <c r="AB491" s="1426"/>
      <c r="AC491" s="1424"/>
      <c r="AD491" s="1426"/>
      <c r="AE491" s="1403"/>
      <c r="AF491" s="1426"/>
      <c r="AG491" s="1403"/>
      <c r="AH491" s="1426"/>
      <c r="AI491" s="1426"/>
      <c r="AJ491" s="1"/>
    </row>
    <row r="492" spans="4:36" s="63" customFormat="1" ht="15">
      <c r="D492" s="1424"/>
      <c r="E492" s="1424"/>
      <c r="F492" s="1424"/>
      <c r="G492" s="1424"/>
      <c r="H492" s="1424"/>
      <c r="I492" s="1424"/>
      <c r="J492" s="1426"/>
      <c r="K492" s="1424"/>
      <c r="L492" s="1426"/>
      <c r="M492" s="1403"/>
      <c r="N492" s="1426"/>
      <c r="O492" s="1403"/>
      <c r="P492" s="1426"/>
      <c r="Q492" s="1424"/>
      <c r="R492" s="1426"/>
      <c r="S492" s="1403"/>
      <c r="T492" s="1426"/>
      <c r="U492" s="1403"/>
      <c r="V492" s="1426"/>
      <c r="W492" s="1424"/>
      <c r="X492" s="1426"/>
      <c r="Y492" s="1403"/>
      <c r="Z492" s="1426"/>
      <c r="AA492" s="1403"/>
      <c r="AB492" s="1426"/>
      <c r="AC492" s="1424"/>
      <c r="AD492" s="1426"/>
      <c r="AE492" s="1403"/>
      <c r="AF492" s="1426"/>
      <c r="AG492" s="1403"/>
      <c r="AH492" s="1426"/>
      <c r="AI492" s="1426"/>
      <c r="AJ492" s="1"/>
    </row>
    <row r="493" spans="4:36" s="63" customFormat="1" ht="15">
      <c r="D493" s="1424"/>
      <c r="E493" s="1424"/>
      <c r="F493" s="1424"/>
      <c r="G493" s="1424"/>
      <c r="H493" s="1424"/>
      <c r="I493" s="1424"/>
      <c r="J493" s="1426"/>
      <c r="K493" s="1424"/>
      <c r="L493" s="1426"/>
      <c r="M493" s="1403"/>
      <c r="N493" s="1426"/>
      <c r="O493" s="1403"/>
      <c r="P493" s="1426"/>
      <c r="Q493" s="1424"/>
      <c r="R493" s="1426"/>
      <c r="S493" s="1403"/>
      <c r="T493" s="1426"/>
      <c r="U493" s="1403"/>
      <c r="V493" s="1426"/>
      <c r="W493" s="1424"/>
      <c r="X493" s="1426"/>
      <c r="Y493" s="1403"/>
      <c r="Z493" s="1426"/>
      <c r="AA493" s="1403"/>
      <c r="AB493" s="1426"/>
      <c r="AC493" s="1424"/>
      <c r="AD493" s="1426"/>
      <c r="AE493" s="1403"/>
      <c r="AF493" s="1426"/>
      <c r="AG493" s="1403"/>
      <c r="AH493" s="1426"/>
      <c r="AI493" s="1426"/>
      <c r="AJ493" s="1"/>
    </row>
    <row r="494" spans="4:36" s="63" customFormat="1" ht="15">
      <c r="D494" s="1424"/>
      <c r="E494" s="1424"/>
      <c r="F494" s="1424"/>
      <c r="G494" s="1424"/>
      <c r="H494" s="1424"/>
      <c r="I494" s="1424"/>
      <c r="J494" s="1426"/>
      <c r="K494" s="1424"/>
      <c r="L494" s="1426"/>
      <c r="M494" s="1403"/>
      <c r="N494" s="1426"/>
      <c r="O494" s="1403"/>
      <c r="P494" s="1426"/>
      <c r="Q494" s="1424"/>
      <c r="R494" s="1426"/>
      <c r="S494" s="1403"/>
      <c r="T494" s="1426"/>
      <c r="U494" s="1403"/>
      <c r="V494" s="1426"/>
      <c r="W494" s="1424"/>
      <c r="X494" s="1426"/>
      <c r="Y494" s="1403"/>
      <c r="Z494" s="1426"/>
      <c r="AA494" s="1403"/>
      <c r="AB494" s="1426"/>
      <c r="AC494" s="1424"/>
      <c r="AD494" s="1426"/>
      <c r="AE494" s="1403"/>
      <c r="AF494" s="1426"/>
      <c r="AG494" s="1403"/>
      <c r="AH494" s="1426"/>
      <c r="AI494" s="1426"/>
      <c r="AJ494" s="1"/>
    </row>
    <row r="495" spans="4:36" s="63" customFormat="1" ht="15">
      <c r="D495" s="1424"/>
      <c r="E495" s="1424"/>
      <c r="F495" s="1424"/>
      <c r="G495" s="1424"/>
      <c r="H495" s="1424"/>
      <c r="I495" s="1424"/>
      <c r="J495" s="1426"/>
      <c r="K495" s="1424"/>
      <c r="L495" s="1426"/>
      <c r="M495" s="1403"/>
      <c r="N495" s="1426"/>
      <c r="O495" s="1403"/>
      <c r="P495" s="1426"/>
      <c r="Q495" s="1424"/>
      <c r="R495" s="1426"/>
      <c r="S495" s="1403"/>
      <c r="T495" s="1426"/>
      <c r="U495" s="1403"/>
      <c r="V495" s="1426"/>
      <c r="W495" s="1424"/>
      <c r="X495" s="1426"/>
      <c r="Y495" s="1403"/>
      <c r="Z495" s="1426"/>
      <c r="AA495" s="1403"/>
      <c r="AB495" s="1426"/>
      <c r="AC495" s="1424"/>
      <c r="AD495" s="1426"/>
      <c r="AE495" s="1403"/>
      <c r="AF495" s="1426"/>
      <c r="AG495" s="1403"/>
      <c r="AH495" s="1426"/>
      <c r="AI495" s="1426"/>
      <c r="AJ495" s="1"/>
    </row>
    <row r="496" spans="4:36" s="63" customFormat="1" ht="15">
      <c r="D496" s="1424"/>
      <c r="E496" s="1424"/>
      <c r="F496" s="1424"/>
      <c r="G496" s="1424"/>
      <c r="H496" s="1424"/>
      <c r="I496" s="1424"/>
      <c r="J496" s="1426"/>
      <c r="K496" s="1424"/>
      <c r="L496" s="1426"/>
      <c r="M496" s="1403"/>
      <c r="N496" s="1426"/>
      <c r="O496" s="1403"/>
      <c r="P496" s="1426"/>
      <c r="Q496" s="1424"/>
      <c r="R496" s="1426"/>
      <c r="S496" s="1403"/>
      <c r="T496" s="1426"/>
      <c r="U496" s="1403"/>
      <c r="V496" s="1426"/>
      <c r="W496" s="1424"/>
      <c r="X496" s="1426"/>
      <c r="Y496" s="1403"/>
      <c r="Z496" s="1426"/>
      <c r="AA496" s="1403"/>
      <c r="AB496" s="1426"/>
      <c r="AC496" s="1424"/>
      <c r="AD496" s="1426"/>
      <c r="AE496" s="1403"/>
      <c r="AF496" s="1426"/>
      <c r="AG496" s="1403"/>
      <c r="AH496" s="1426"/>
      <c r="AI496" s="1426"/>
      <c r="AJ496" s="1"/>
    </row>
    <row r="497" spans="4:36" s="63" customFormat="1" ht="15">
      <c r="D497" s="1424"/>
      <c r="E497" s="1424"/>
      <c r="F497" s="1424"/>
      <c r="G497" s="1424"/>
      <c r="H497" s="1424"/>
      <c r="I497" s="1424"/>
      <c r="J497" s="1426"/>
      <c r="K497" s="1424"/>
      <c r="L497" s="1426"/>
      <c r="M497" s="1403"/>
      <c r="N497" s="1426"/>
      <c r="O497" s="1403"/>
      <c r="P497" s="1426"/>
      <c r="Q497" s="1424"/>
      <c r="R497" s="1426"/>
      <c r="S497" s="1403"/>
      <c r="T497" s="1426"/>
      <c r="U497" s="1403"/>
      <c r="V497" s="1426"/>
      <c r="W497" s="1424"/>
      <c r="X497" s="1426"/>
      <c r="Y497" s="1403"/>
      <c r="Z497" s="1426"/>
      <c r="AA497" s="1403"/>
      <c r="AB497" s="1426"/>
      <c r="AC497" s="1424"/>
      <c r="AD497" s="1426"/>
      <c r="AE497" s="1403"/>
      <c r="AF497" s="1426"/>
      <c r="AG497" s="1403"/>
      <c r="AH497" s="1426"/>
      <c r="AI497" s="1426"/>
      <c r="AJ497" s="1"/>
    </row>
    <row r="498" spans="4:36" s="63" customFormat="1" ht="15">
      <c r="D498" s="1424"/>
      <c r="E498" s="1424"/>
      <c r="F498" s="1424"/>
      <c r="G498" s="1424"/>
      <c r="H498" s="1424"/>
      <c r="I498" s="1424"/>
      <c r="J498" s="1426"/>
      <c r="K498" s="1424"/>
      <c r="L498" s="1426"/>
      <c r="M498" s="1403"/>
      <c r="N498" s="1426"/>
      <c r="O498" s="1403"/>
      <c r="P498" s="1426"/>
      <c r="Q498" s="1424"/>
      <c r="R498" s="1426"/>
      <c r="S498" s="1403"/>
      <c r="T498" s="1426"/>
      <c r="U498" s="1403"/>
      <c r="V498" s="1426"/>
      <c r="W498" s="1424"/>
      <c r="X498" s="1426"/>
      <c r="Y498" s="1403"/>
      <c r="Z498" s="1426"/>
      <c r="AA498" s="1403"/>
      <c r="AB498" s="1426"/>
      <c r="AC498" s="1424"/>
      <c r="AD498" s="1426"/>
      <c r="AE498" s="1403"/>
      <c r="AF498" s="1426"/>
      <c r="AG498" s="1403"/>
      <c r="AH498" s="1426"/>
      <c r="AI498" s="1426"/>
      <c r="AJ498" s="1"/>
    </row>
    <row r="499" spans="4:36" s="63" customFormat="1" ht="15">
      <c r="D499" s="1424"/>
      <c r="E499" s="1424"/>
      <c r="F499" s="1424"/>
      <c r="G499" s="1424"/>
      <c r="H499" s="1424"/>
      <c r="I499" s="1424"/>
      <c r="J499" s="1426"/>
      <c r="K499" s="1424"/>
      <c r="L499" s="1426"/>
      <c r="M499" s="1403"/>
      <c r="N499" s="1426"/>
      <c r="O499" s="1403"/>
      <c r="P499" s="1426"/>
      <c r="Q499" s="1424"/>
      <c r="R499" s="1426"/>
      <c r="S499" s="1403"/>
      <c r="T499" s="1426"/>
      <c r="U499" s="1403"/>
      <c r="V499" s="1426"/>
      <c r="W499" s="1424"/>
      <c r="X499" s="1426"/>
      <c r="Y499" s="1403"/>
      <c r="Z499" s="1426"/>
      <c r="AA499" s="1403"/>
      <c r="AB499" s="1426"/>
      <c r="AC499" s="1424"/>
      <c r="AD499" s="1426"/>
      <c r="AE499" s="1403"/>
      <c r="AF499" s="1426"/>
      <c r="AG499" s="1403"/>
      <c r="AH499" s="1426"/>
      <c r="AI499" s="1426"/>
      <c r="AJ499" s="1"/>
    </row>
    <row r="500" spans="4:36" s="63" customFormat="1" ht="15">
      <c r="D500" s="1424"/>
      <c r="E500" s="1424"/>
      <c r="F500" s="1424"/>
      <c r="G500" s="1424"/>
      <c r="H500" s="1424"/>
      <c r="I500" s="1424"/>
      <c r="J500" s="1426"/>
      <c r="K500" s="1424"/>
      <c r="L500" s="1426"/>
      <c r="M500" s="1403"/>
      <c r="N500" s="1426"/>
      <c r="O500" s="1403"/>
      <c r="P500" s="1426"/>
      <c r="Q500" s="1424"/>
      <c r="R500" s="1426"/>
      <c r="S500" s="1403"/>
      <c r="T500" s="1426"/>
      <c r="U500" s="1403"/>
      <c r="V500" s="1426"/>
      <c r="W500" s="1424"/>
      <c r="X500" s="1426"/>
      <c r="Y500" s="1403"/>
      <c r="Z500" s="1426"/>
      <c r="AA500" s="1403"/>
      <c r="AB500" s="1426"/>
      <c r="AC500" s="1424"/>
      <c r="AD500" s="1426"/>
      <c r="AE500" s="1403"/>
      <c r="AF500" s="1426"/>
      <c r="AG500" s="1403"/>
      <c r="AH500" s="1426"/>
      <c r="AI500" s="1426"/>
      <c r="AJ500" s="1"/>
    </row>
    <row r="501" spans="4:36" s="63" customFormat="1" ht="15">
      <c r="D501" s="1424"/>
      <c r="E501" s="1424"/>
      <c r="F501" s="1424"/>
      <c r="G501" s="1424"/>
      <c r="H501" s="1424"/>
      <c r="I501" s="1424"/>
      <c r="J501" s="1426"/>
      <c r="K501" s="1424"/>
      <c r="L501" s="1426"/>
      <c r="M501" s="1403"/>
      <c r="N501" s="1426"/>
      <c r="O501" s="1403"/>
      <c r="P501" s="1426"/>
      <c r="Q501" s="1424"/>
      <c r="R501" s="1426"/>
      <c r="S501" s="1403"/>
      <c r="T501" s="1426"/>
      <c r="U501" s="1403"/>
      <c r="V501" s="1426"/>
      <c r="W501" s="1424"/>
      <c r="X501" s="1426"/>
      <c r="Y501" s="1403"/>
      <c r="Z501" s="1426"/>
      <c r="AA501" s="1403"/>
      <c r="AB501" s="1426"/>
      <c r="AC501" s="1424"/>
      <c r="AD501" s="1426"/>
      <c r="AE501" s="1403"/>
      <c r="AF501" s="1426"/>
      <c r="AG501" s="1403"/>
      <c r="AH501" s="1426"/>
      <c r="AI501" s="1426"/>
      <c r="AJ501" s="1"/>
    </row>
    <row r="502" spans="4:36" s="63" customFormat="1" ht="15">
      <c r="D502" s="1424"/>
      <c r="E502" s="1424"/>
      <c r="F502" s="1424"/>
      <c r="G502" s="1424"/>
      <c r="H502" s="1424"/>
      <c r="I502" s="1424"/>
      <c r="J502" s="1426"/>
      <c r="K502" s="1424"/>
      <c r="L502" s="1426"/>
      <c r="M502" s="1403"/>
      <c r="N502" s="1426"/>
      <c r="O502" s="1403"/>
      <c r="P502" s="1426"/>
      <c r="Q502" s="1424"/>
      <c r="R502" s="1426"/>
      <c r="S502" s="1403"/>
      <c r="T502" s="1426"/>
      <c r="U502" s="1403"/>
      <c r="V502" s="1426"/>
      <c r="W502" s="1424"/>
      <c r="X502" s="1426"/>
      <c r="Y502" s="1403"/>
      <c r="Z502" s="1426"/>
      <c r="AA502" s="1403"/>
      <c r="AB502" s="1426"/>
      <c r="AC502" s="1424"/>
      <c r="AD502" s="1426"/>
      <c r="AE502" s="1403"/>
      <c r="AF502" s="1426"/>
      <c r="AG502" s="1403"/>
      <c r="AH502" s="1426"/>
      <c r="AI502" s="1426"/>
      <c r="AJ502" s="1"/>
    </row>
    <row r="503" spans="4:36" s="63" customFormat="1" ht="15">
      <c r="D503" s="1424"/>
      <c r="E503" s="1424"/>
      <c r="F503" s="1424"/>
      <c r="G503" s="1424"/>
      <c r="H503" s="1424"/>
      <c r="I503" s="1424"/>
      <c r="J503" s="1426"/>
      <c r="K503" s="1424"/>
      <c r="L503" s="1426"/>
      <c r="M503" s="1403"/>
      <c r="N503" s="1426"/>
      <c r="O503" s="1403"/>
      <c r="P503" s="1426"/>
      <c r="Q503" s="1424"/>
      <c r="R503" s="1426"/>
      <c r="S503" s="1403"/>
      <c r="T503" s="1426"/>
      <c r="U503" s="1403"/>
      <c r="V503" s="1426"/>
      <c r="W503" s="1424"/>
      <c r="X503" s="1426"/>
      <c r="Y503" s="1403"/>
      <c r="Z503" s="1426"/>
      <c r="AA503" s="1403"/>
      <c r="AB503" s="1426"/>
      <c r="AC503" s="1424"/>
      <c r="AD503" s="1426"/>
      <c r="AE503" s="1403"/>
      <c r="AF503" s="1426"/>
      <c r="AG503" s="1403"/>
      <c r="AH503" s="1426"/>
      <c r="AI503" s="1426"/>
      <c r="AJ503" s="1"/>
    </row>
    <row r="504" spans="4:36" s="63" customFormat="1" ht="15">
      <c r="D504" s="1424"/>
      <c r="E504" s="1424"/>
      <c r="F504" s="1424"/>
      <c r="G504" s="1424"/>
      <c r="H504" s="1424"/>
      <c r="I504" s="1424"/>
      <c r="J504" s="1426"/>
      <c r="K504" s="1424"/>
      <c r="L504" s="1426"/>
      <c r="M504" s="1403"/>
      <c r="N504" s="1426"/>
      <c r="O504" s="1403"/>
      <c r="P504" s="1426"/>
      <c r="Q504" s="1424"/>
      <c r="R504" s="1426"/>
      <c r="S504" s="1403"/>
      <c r="T504" s="1426"/>
      <c r="U504" s="1403"/>
      <c r="V504" s="1426"/>
      <c r="W504" s="1424"/>
      <c r="X504" s="1426"/>
      <c r="Y504" s="1403"/>
      <c r="Z504" s="1426"/>
      <c r="AA504" s="1403"/>
      <c r="AB504" s="1426"/>
      <c r="AC504" s="1424"/>
      <c r="AD504" s="1426"/>
      <c r="AE504" s="1403"/>
      <c r="AF504" s="1426"/>
      <c r="AG504" s="1403"/>
      <c r="AH504" s="1426"/>
      <c r="AI504" s="1426"/>
      <c r="AJ504" s="1"/>
    </row>
    <row r="505" spans="4:36" s="63" customFormat="1" ht="15">
      <c r="D505" s="1424"/>
      <c r="E505" s="1424"/>
      <c r="F505" s="1424"/>
      <c r="G505" s="1424"/>
      <c r="H505" s="1424"/>
      <c r="I505" s="1424"/>
      <c r="J505" s="1426"/>
      <c r="K505" s="1424"/>
      <c r="L505" s="1426"/>
      <c r="M505" s="1403"/>
      <c r="N505" s="1426"/>
      <c r="O505" s="1403"/>
      <c r="P505" s="1426"/>
      <c r="Q505" s="1424"/>
      <c r="R505" s="1426"/>
      <c r="S505" s="1403"/>
      <c r="T505" s="1426"/>
      <c r="U505" s="1403"/>
      <c r="V505" s="1426"/>
      <c r="W505" s="1424"/>
      <c r="X505" s="1426"/>
      <c r="Y505" s="1403"/>
      <c r="Z505" s="1426"/>
      <c r="AA505" s="1403"/>
      <c r="AB505" s="1426"/>
      <c r="AC505" s="1424"/>
      <c r="AD505" s="1426"/>
      <c r="AE505" s="1403"/>
      <c r="AF505" s="1426"/>
      <c r="AG505" s="1403"/>
      <c r="AH505" s="1426"/>
      <c r="AI505" s="1426"/>
      <c r="AJ505" s="1"/>
    </row>
    <row r="506" spans="4:36" s="63" customFormat="1" ht="15">
      <c r="D506" s="1424"/>
      <c r="E506" s="1424"/>
      <c r="F506" s="1424"/>
      <c r="G506" s="1424"/>
      <c r="H506" s="1424"/>
      <c r="I506" s="1424"/>
      <c r="J506" s="1426"/>
      <c r="K506" s="1424"/>
      <c r="L506" s="1426"/>
      <c r="M506" s="1403"/>
      <c r="N506" s="1426"/>
      <c r="O506" s="1403"/>
      <c r="P506" s="1426"/>
      <c r="Q506" s="1424"/>
      <c r="R506" s="1426"/>
      <c r="S506" s="1403"/>
      <c r="T506" s="1426"/>
      <c r="U506" s="1403"/>
      <c r="V506" s="1426"/>
      <c r="W506" s="1424"/>
      <c r="X506" s="1426"/>
      <c r="Y506" s="1403"/>
      <c r="Z506" s="1426"/>
      <c r="AA506" s="1403"/>
      <c r="AB506" s="1426"/>
      <c r="AC506" s="1424"/>
      <c r="AD506" s="1426"/>
      <c r="AE506" s="1403"/>
      <c r="AF506" s="1426"/>
      <c r="AG506" s="1403"/>
      <c r="AH506" s="1426"/>
      <c r="AI506" s="1426"/>
      <c r="AJ506" s="1"/>
    </row>
    <row r="507" spans="4:36" s="63" customFormat="1" ht="15">
      <c r="D507" s="1424"/>
      <c r="E507" s="1424"/>
      <c r="F507" s="1424"/>
      <c r="G507" s="1424"/>
      <c r="H507" s="1424"/>
      <c r="I507" s="1424"/>
      <c r="J507" s="1426"/>
      <c r="K507" s="1424"/>
      <c r="L507" s="1426"/>
      <c r="M507" s="1403"/>
      <c r="N507" s="1426"/>
      <c r="O507" s="1403"/>
      <c r="P507" s="1426"/>
      <c r="Q507" s="1424"/>
      <c r="R507" s="1426"/>
      <c r="S507" s="1403"/>
      <c r="T507" s="1426"/>
      <c r="U507" s="1403"/>
      <c r="V507" s="1426"/>
      <c r="W507" s="1424"/>
      <c r="X507" s="1426"/>
      <c r="Y507" s="1403"/>
      <c r="Z507" s="1426"/>
      <c r="AA507" s="1403"/>
      <c r="AB507" s="1426"/>
      <c r="AC507" s="1424"/>
      <c r="AD507" s="1426"/>
      <c r="AE507" s="1403"/>
      <c r="AF507" s="1426"/>
      <c r="AG507" s="1403"/>
      <c r="AH507" s="1426"/>
      <c r="AI507" s="1426"/>
      <c r="AJ507" s="1"/>
    </row>
    <row r="508" spans="4:36" s="63" customFormat="1" ht="15">
      <c r="D508" s="1424"/>
      <c r="E508" s="1424"/>
      <c r="F508" s="1424"/>
      <c r="G508" s="1424"/>
      <c r="H508" s="1424"/>
      <c r="I508" s="1424"/>
      <c r="J508" s="1426"/>
      <c r="K508" s="1424"/>
      <c r="L508" s="1426"/>
      <c r="M508" s="1403"/>
      <c r="N508" s="1426"/>
      <c r="O508" s="1403"/>
      <c r="P508" s="1426"/>
      <c r="Q508" s="1424"/>
      <c r="R508" s="1426"/>
      <c r="S508" s="1403"/>
      <c r="T508" s="1426"/>
      <c r="U508" s="1403"/>
      <c r="V508" s="1426"/>
      <c r="W508" s="1424"/>
      <c r="X508" s="1426"/>
      <c r="Y508" s="1403"/>
      <c r="Z508" s="1426"/>
      <c r="AA508" s="1403"/>
      <c r="AB508" s="1426"/>
      <c r="AC508" s="1424"/>
      <c r="AD508" s="1426"/>
      <c r="AE508" s="1403"/>
      <c r="AF508" s="1426"/>
      <c r="AG508" s="1403"/>
      <c r="AH508" s="1426"/>
      <c r="AI508" s="1426"/>
      <c r="AJ508" s="1"/>
    </row>
    <row r="509" spans="4:36" s="63" customFormat="1" ht="15">
      <c r="D509" s="1424"/>
      <c r="E509" s="1424"/>
      <c r="F509" s="1424"/>
      <c r="G509" s="1424"/>
      <c r="H509" s="1424"/>
      <c r="I509" s="1424"/>
      <c r="J509" s="1426"/>
      <c r="K509" s="1424"/>
      <c r="L509" s="1426"/>
      <c r="M509" s="1403"/>
      <c r="N509" s="1426"/>
      <c r="O509" s="1403"/>
      <c r="P509" s="1426"/>
      <c r="Q509" s="1424"/>
      <c r="R509" s="1426"/>
      <c r="S509" s="1403"/>
      <c r="T509" s="1426"/>
      <c r="U509" s="1403"/>
      <c r="V509" s="1426"/>
      <c r="W509" s="1424"/>
      <c r="X509" s="1426"/>
      <c r="Y509" s="1403"/>
      <c r="Z509" s="1426"/>
      <c r="AA509" s="1403"/>
      <c r="AB509" s="1426"/>
      <c r="AC509" s="1424"/>
      <c r="AD509" s="1426"/>
      <c r="AE509" s="1403"/>
      <c r="AF509" s="1426"/>
      <c r="AG509" s="1403"/>
      <c r="AH509" s="1426"/>
      <c r="AI509" s="1426"/>
      <c r="AJ509" s="1"/>
    </row>
    <row r="510" spans="4:36" s="63" customFormat="1" ht="15">
      <c r="D510" s="1424"/>
      <c r="E510" s="1424"/>
      <c r="F510" s="1424"/>
      <c r="G510" s="1424"/>
      <c r="H510" s="1424"/>
      <c r="I510" s="1424"/>
      <c r="J510" s="1426"/>
      <c r="K510" s="1424"/>
      <c r="L510" s="1426"/>
      <c r="M510" s="1403"/>
      <c r="N510" s="1426"/>
      <c r="O510" s="1403"/>
      <c r="P510" s="1426"/>
      <c r="Q510" s="1424"/>
      <c r="R510" s="1426"/>
      <c r="S510" s="1403"/>
      <c r="T510" s="1426"/>
      <c r="U510" s="1403"/>
      <c r="V510" s="1426"/>
      <c r="W510" s="1424"/>
      <c r="X510" s="1426"/>
      <c r="Y510" s="1403"/>
      <c r="Z510" s="1426"/>
      <c r="AA510" s="1403"/>
      <c r="AB510" s="1426"/>
      <c r="AC510" s="1424"/>
      <c r="AD510" s="1426"/>
      <c r="AE510" s="1403"/>
      <c r="AF510" s="1426"/>
      <c r="AG510" s="1403"/>
      <c r="AH510" s="1426"/>
      <c r="AI510" s="1426"/>
      <c r="AJ510" s="1"/>
    </row>
    <row r="511" spans="4:36" s="63" customFormat="1" ht="15">
      <c r="D511" s="1424"/>
      <c r="E511" s="1424"/>
      <c r="F511" s="1424"/>
      <c r="G511" s="1424"/>
      <c r="H511" s="1424"/>
      <c r="I511" s="1424"/>
      <c r="J511" s="1426"/>
      <c r="K511" s="1424"/>
      <c r="L511" s="1426"/>
      <c r="M511" s="1403"/>
      <c r="N511" s="1426"/>
      <c r="O511" s="1403"/>
      <c r="P511" s="1426"/>
      <c r="Q511" s="1424"/>
      <c r="R511" s="1426"/>
      <c r="S511" s="1403"/>
      <c r="T511" s="1426"/>
      <c r="U511" s="1403"/>
      <c r="V511" s="1426"/>
      <c r="W511" s="1424"/>
      <c r="X511" s="1426"/>
      <c r="Y511" s="1403"/>
      <c r="Z511" s="1426"/>
      <c r="AA511" s="1403"/>
      <c r="AB511" s="1426"/>
      <c r="AC511" s="1424"/>
      <c r="AD511" s="1426"/>
      <c r="AE511" s="1403"/>
      <c r="AF511" s="1426"/>
      <c r="AG511" s="1403"/>
      <c r="AH511" s="1426"/>
      <c r="AI511" s="1426"/>
      <c r="AJ511" s="1"/>
    </row>
    <row r="512" spans="4:36" s="63" customFormat="1" ht="15">
      <c r="D512" s="1424"/>
      <c r="E512" s="1424"/>
      <c r="F512" s="1424"/>
      <c r="G512" s="1424"/>
      <c r="H512" s="1424"/>
      <c r="I512" s="1424"/>
      <c r="J512" s="1426"/>
      <c r="K512" s="1424"/>
      <c r="L512" s="1426"/>
      <c r="M512" s="1403"/>
      <c r="N512" s="1426"/>
      <c r="O512" s="1403"/>
      <c r="P512" s="1426"/>
      <c r="Q512" s="1424"/>
      <c r="R512" s="1426"/>
      <c r="S512" s="1403"/>
      <c r="T512" s="1426"/>
      <c r="U512" s="1403"/>
      <c r="V512" s="1426"/>
      <c r="W512" s="1424"/>
      <c r="X512" s="1426"/>
      <c r="Y512" s="1403"/>
      <c r="Z512" s="1426"/>
      <c r="AA512" s="1403"/>
      <c r="AB512" s="1426"/>
      <c r="AC512" s="1424"/>
      <c r="AD512" s="1426"/>
      <c r="AE512" s="1403"/>
      <c r="AF512" s="1426"/>
      <c r="AG512" s="1403"/>
      <c r="AH512" s="1426"/>
      <c r="AI512" s="1426"/>
      <c r="AJ512" s="1"/>
    </row>
    <row r="513" spans="4:36" s="63" customFormat="1" ht="15">
      <c r="D513" s="1"/>
      <c r="E513" s="1"/>
      <c r="F513" s="1"/>
      <c r="G513" s="1"/>
      <c r="H513" s="1"/>
      <c r="I513" s="1"/>
      <c r="K513" s="1"/>
      <c r="M513" s="14"/>
      <c r="O513" s="14"/>
      <c r="Q513" s="1"/>
      <c r="S513" s="14"/>
      <c r="U513" s="14"/>
      <c r="W513" s="1"/>
      <c r="Y513" s="14"/>
      <c r="AA513" s="14"/>
      <c r="AC513" s="1"/>
      <c r="AE513" s="14"/>
      <c r="AG513" s="14"/>
      <c r="AI513" s="1426"/>
      <c r="AJ513" s="1"/>
    </row>
    <row r="514" spans="4:36" s="63" customFormat="1" ht="15">
      <c r="D514" s="1"/>
      <c r="E514" s="1"/>
      <c r="F514" s="1"/>
      <c r="G514" s="1"/>
      <c r="H514" s="1"/>
      <c r="I514" s="1"/>
      <c r="K514" s="1"/>
      <c r="M514" s="14"/>
      <c r="O514" s="14"/>
      <c r="Q514" s="1"/>
      <c r="S514" s="14"/>
      <c r="U514" s="14"/>
      <c r="W514" s="1"/>
      <c r="Y514" s="14"/>
      <c r="AA514" s="14"/>
      <c r="AC514" s="1"/>
      <c r="AE514" s="14"/>
      <c r="AG514" s="14"/>
      <c r="AI514" s="1426"/>
      <c r="AJ514" s="1"/>
    </row>
    <row r="515" spans="4:36" s="63" customFormat="1" ht="15">
      <c r="D515" s="1"/>
      <c r="E515" s="1"/>
      <c r="F515" s="1"/>
      <c r="G515" s="1"/>
      <c r="H515" s="1"/>
      <c r="I515" s="1"/>
      <c r="K515" s="1"/>
      <c r="M515" s="14"/>
      <c r="O515" s="14"/>
      <c r="Q515" s="1"/>
      <c r="S515" s="14"/>
      <c r="U515" s="14"/>
      <c r="W515" s="1"/>
      <c r="Y515" s="14"/>
      <c r="AA515" s="14"/>
      <c r="AC515" s="1"/>
      <c r="AE515" s="14"/>
      <c r="AG515" s="14"/>
      <c r="AI515" s="1426"/>
      <c r="AJ515" s="1"/>
    </row>
    <row r="516" spans="4:36" s="63" customFormat="1" ht="15">
      <c r="D516" s="1"/>
      <c r="E516" s="1"/>
      <c r="F516" s="1"/>
      <c r="G516" s="1"/>
      <c r="H516" s="1"/>
      <c r="I516" s="1"/>
      <c r="K516" s="1"/>
      <c r="M516" s="14"/>
      <c r="O516" s="14"/>
      <c r="Q516" s="1"/>
      <c r="S516" s="14"/>
      <c r="U516" s="14"/>
      <c r="W516" s="1"/>
      <c r="Y516" s="14"/>
      <c r="AA516" s="14"/>
      <c r="AC516" s="1"/>
      <c r="AE516" s="14"/>
      <c r="AG516" s="14"/>
      <c r="AI516" s="1426"/>
      <c r="AJ516" s="1"/>
    </row>
    <row r="517" spans="4:36" s="63" customFormat="1" ht="15">
      <c r="D517" s="1"/>
      <c r="E517" s="1"/>
      <c r="F517" s="1"/>
      <c r="G517" s="1"/>
      <c r="H517" s="1"/>
      <c r="I517" s="1"/>
      <c r="K517" s="1"/>
      <c r="M517" s="14"/>
      <c r="O517" s="14"/>
      <c r="Q517" s="1"/>
      <c r="S517" s="14"/>
      <c r="U517" s="14"/>
      <c r="W517" s="1"/>
      <c r="Y517" s="14"/>
      <c r="AA517" s="14"/>
      <c r="AC517" s="1"/>
      <c r="AE517" s="14"/>
      <c r="AG517" s="14"/>
      <c r="AI517" s="1426"/>
      <c r="AJ517" s="1"/>
    </row>
    <row r="518" spans="4:36" s="63" customFormat="1" ht="15">
      <c r="D518" s="1"/>
      <c r="E518" s="1"/>
      <c r="F518" s="1"/>
      <c r="G518" s="1"/>
      <c r="H518" s="1"/>
      <c r="I518" s="1"/>
      <c r="K518" s="1"/>
      <c r="M518" s="14"/>
      <c r="O518" s="14"/>
      <c r="Q518" s="1"/>
      <c r="S518" s="14"/>
      <c r="U518" s="14"/>
      <c r="W518" s="1"/>
      <c r="Y518" s="14"/>
      <c r="AA518" s="14"/>
      <c r="AC518" s="1"/>
      <c r="AE518" s="14"/>
      <c r="AG518" s="14"/>
      <c r="AI518" s="1426"/>
      <c r="AJ518" s="1"/>
    </row>
    <row r="519" spans="4:36" s="63" customFormat="1" ht="15">
      <c r="D519" s="1"/>
      <c r="E519" s="1"/>
      <c r="F519" s="1"/>
      <c r="G519" s="1"/>
      <c r="H519" s="1"/>
      <c r="I519" s="1"/>
      <c r="K519" s="1"/>
      <c r="M519" s="14"/>
      <c r="O519" s="14"/>
      <c r="Q519" s="1"/>
      <c r="S519" s="14"/>
      <c r="U519" s="14"/>
      <c r="W519" s="1"/>
      <c r="Y519" s="14"/>
      <c r="AA519" s="14"/>
      <c r="AC519" s="1"/>
      <c r="AE519" s="14"/>
      <c r="AG519" s="14"/>
      <c r="AI519" s="1426"/>
      <c r="AJ519" s="1"/>
    </row>
    <row r="520" spans="4:36" s="63" customFormat="1" ht="15">
      <c r="D520" s="1"/>
      <c r="E520" s="1"/>
      <c r="F520" s="1"/>
      <c r="G520" s="1"/>
      <c r="H520" s="1"/>
      <c r="I520" s="1"/>
      <c r="K520" s="1"/>
      <c r="M520" s="14"/>
      <c r="O520" s="14"/>
      <c r="Q520" s="1"/>
      <c r="S520" s="14"/>
      <c r="U520" s="14"/>
      <c r="W520" s="1"/>
      <c r="Y520" s="14"/>
      <c r="AA520" s="14"/>
      <c r="AC520" s="1"/>
      <c r="AE520" s="14"/>
      <c r="AG520" s="14"/>
      <c r="AI520" s="1426"/>
      <c r="AJ520" s="1"/>
    </row>
    <row r="521" spans="4:36" s="63" customFormat="1" ht="15">
      <c r="D521" s="1"/>
      <c r="E521" s="1"/>
      <c r="F521" s="1"/>
      <c r="G521" s="1"/>
      <c r="H521" s="1"/>
      <c r="I521" s="1"/>
      <c r="K521" s="1"/>
      <c r="M521" s="14"/>
      <c r="O521" s="14"/>
      <c r="Q521" s="1"/>
      <c r="S521" s="14"/>
      <c r="U521" s="14"/>
      <c r="W521" s="1"/>
      <c r="Y521" s="14"/>
      <c r="AA521" s="14"/>
      <c r="AC521" s="1"/>
      <c r="AE521" s="14"/>
      <c r="AG521" s="14"/>
      <c r="AI521" s="1426"/>
      <c r="AJ521" s="1"/>
    </row>
    <row r="522" spans="4:36" s="63" customFormat="1" ht="15">
      <c r="D522" s="1"/>
      <c r="E522" s="1"/>
      <c r="F522" s="1"/>
      <c r="G522" s="1"/>
      <c r="H522" s="1"/>
      <c r="I522" s="1"/>
      <c r="K522" s="1"/>
      <c r="M522" s="14"/>
      <c r="O522" s="14"/>
      <c r="Q522" s="1"/>
      <c r="S522" s="14"/>
      <c r="U522" s="14"/>
      <c r="W522" s="1"/>
      <c r="Y522" s="14"/>
      <c r="AA522" s="14"/>
      <c r="AC522" s="1"/>
      <c r="AE522" s="14"/>
      <c r="AG522" s="14"/>
      <c r="AI522" s="1426"/>
      <c r="AJ522" s="1"/>
    </row>
    <row r="523" spans="4:36" s="63" customFormat="1" ht="15">
      <c r="D523" s="1"/>
      <c r="E523" s="1"/>
      <c r="F523" s="1"/>
      <c r="G523" s="1"/>
      <c r="H523" s="1"/>
      <c r="I523" s="1"/>
      <c r="K523" s="1"/>
      <c r="M523" s="14"/>
      <c r="O523" s="14"/>
      <c r="Q523" s="1"/>
      <c r="S523" s="14"/>
      <c r="U523" s="14"/>
      <c r="W523" s="1"/>
      <c r="Y523" s="14"/>
      <c r="AA523" s="14"/>
      <c r="AC523" s="1"/>
      <c r="AE523" s="14"/>
      <c r="AG523" s="14"/>
      <c r="AI523" s="1426"/>
      <c r="AJ523" s="1"/>
    </row>
    <row r="524" spans="4:36" s="63" customFormat="1" ht="15">
      <c r="D524" s="1"/>
      <c r="E524" s="1"/>
      <c r="F524" s="1"/>
      <c r="G524" s="1"/>
      <c r="H524" s="1"/>
      <c r="I524" s="1"/>
      <c r="K524" s="1"/>
      <c r="M524" s="14"/>
      <c r="O524" s="14"/>
      <c r="Q524" s="1"/>
      <c r="S524" s="14"/>
      <c r="U524" s="14"/>
      <c r="W524" s="1"/>
      <c r="Y524" s="14"/>
      <c r="AA524" s="14"/>
      <c r="AC524" s="1"/>
      <c r="AE524" s="14"/>
      <c r="AG524" s="14"/>
      <c r="AI524" s="1426"/>
      <c r="AJ524" s="1"/>
    </row>
    <row r="525" spans="4:36" s="63" customFormat="1" ht="15">
      <c r="D525" s="1"/>
      <c r="E525" s="1"/>
      <c r="F525" s="1"/>
      <c r="G525" s="1"/>
      <c r="H525" s="1"/>
      <c r="I525" s="1"/>
      <c r="K525" s="1"/>
      <c r="M525" s="14"/>
      <c r="O525" s="14"/>
      <c r="Q525" s="1"/>
      <c r="S525" s="14"/>
      <c r="U525" s="14"/>
      <c r="W525" s="1"/>
      <c r="Y525" s="14"/>
      <c r="AA525" s="14"/>
      <c r="AC525" s="1"/>
      <c r="AE525" s="14"/>
      <c r="AG525" s="14"/>
      <c r="AI525" s="1426"/>
      <c r="AJ525" s="1"/>
    </row>
    <row r="526" spans="4:36" s="63" customFormat="1" ht="15">
      <c r="D526" s="1"/>
      <c r="E526" s="1"/>
      <c r="F526" s="1"/>
      <c r="G526" s="1"/>
      <c r="H526" s="1"/>
      <c r="I526" s="1"/>
      <c r="K526" s="1"/>
      <c r="M526" s="14"/>
      <c r="O526" s="14"/>
      <c r="Q526" s="1"/>
      <c r="S526" s="14"/>
      <c r="U526" s="14"/>
      <c r="W526" s="1"/>
      <c r="Y526" s="14"/>
      <c r="AA526" s="14"/>
      <c r="AC526" s="1"/>
      <c r="AE526" s="14"/>
      <c r="AG526" s="14"/>
      <c r="AI526" s="1426"/>
      <c r="AJ526" s="1"/>
    </row>
    <row r="527" spans="4:36" s="63" customFormat="1" ht="15">
      <c r="D527" s="1"/>
      <c r="E527" s="1"/>
      <c r="F527" s="1"/>
      <c r="G527" s="1"/>
      <c r="H527" s="1"/>
      <c r="I527" s="1"/>
      <c r="K527" s="1"/>
      <c r="M527" s="14"/>
      <c r="O527" s="14"/>
      <c r="Q527" s="1"/>
      <c r="S527" s="14"/>
      <c r="U527" s="14"/>
      <c r="W527" s="1"/>
      <c r="Y527" s="14"/>
      <c r="AA527" s="14"/>
      <c r="AC527" s="1"/>
      <c r="AE527" s="14"/>
      <c r="AG527" s="14"/>
      <c r="AI527" s="1426"/>
      <c r="AJ527" s="1"/>
    </row>
    <row r="528" spans="4:36" s="63" customFormat="1" ht="15">
      <c r="D528" s="1"/>
      <c r="E528" s="1"/>
      <c r="F528" s="1"/>
      <c r="G528" s="1"/>
      <c r="H528" s="1"/>
      <c r="I528" s="1"/>
      <c r="K528" s="1"/>
      <c r="M528" s="14"/>
      <c r="O528" s="14"/>
      <c r="Q528" s="1"/>
      <c r="S528" s="14"/>
      <c r="U528" s="14"/>
      <c r="W528" s="1"/>
      <c r="Y528" s="14"/>
      <c r="AA528" s="14"/>
      <c r="AC528" s="1"/>
      <c r="AE528" s="14"/>
      <c r="AG528" s="14"/>
      <c r="AI528" s="1426"/>
      <c r="AJ528" s="1"/>
    </row>
    <row r="529" spans="4:36" s="63" customFormat="1" ht="15">
      <c r="D529" s="1"/>
      <c r="E529" s="1"/>
      <c r="F529" s="1"/>
      <c r="G529" s="1"/>
      <c r="H529" s="1"/>
      <c r="I529" s="1"/>
      <c r="K529" s="1"/>
      <c r="M529" s="14"/>
      <c r="O529" s="14"/>
      <c r="Q529" s="1"/>
      <c r="S529" s="14"/>
      <c r="U529" s="14"/>
      <c r="W529" s="1"/>
      <c r="Y529" s="14"/>
      <c r="AA529" s="14"/>
      <c r="AC529" s="1"/>
      <c r="AE529" s="14"/>
      <c r="AG529" s="14"/>
      <c r="AI529" s="1426"/>
      <c r="AJ529" s="1"/>
    </row>
    <row r="530" spans="4:36" s="63" customFormat="1" ht="15">
      <c r="D530" s="1"/>
      <c r="E530" s="1"/>
      <c r="F530" s="1"/>
      <c r="G530" s="1"/>
      <c r="H530" s="1"/>
      <c r="I530" s="1"/>
      <c r="K530" s="1"/>
      <c r="M530" s="14"/>
      <c r="O530" s="14"/>
      <c r="Q530" s="1"/>
      <c r="S530" s="14"/>
      <c r="U530" s="14"/>
      <c r="W530" s="1"/>
      <c r="Y530" s="14"/>
      <c r="AA530" s="14"/>
      <c r="AC530" s="1"/>
      <c r="AE530" s="14"/>
      <c r="AG530" s="14"/>
      <c r="AI530" s="1426"/>
      <c r="AJ530" s="1"/>
    </row>
    <row r="531" spans="4:36" s="63" customFormat="1" ht="15">
      <c r="D531" s="1"/>
      <c r="E531" s="1"/>
      <c r="F531" s="1"/>
      <c r="G531" s="1"/>
      <c r="H531" s="1"/>
      <c r="I531" s="1"/>
      <c r="K531" s="1"/>
      <c r="M531" s="14"/>
      <c r="O531" s="14"/>
      <c r="Q531" s="1"/>
      <c r="S531" s="14"/>
      <c r="U531" s="14"/>
      <c r="W531" s="1"/>
      <c r="Y531" s="14"/>
      <c r="AA531" s="14"/>
      <c r="AC531" s="1"/>
      <c r="AE531" s="14"/>
      <c r="AG531" s="14"/>
      <c r="AI531" s="1426"/>
      <c r="AJ531" s="1"/>
    </row>
    <row r="532" spans="4:36" s="63" customFormat="1" ht="15">
      <c r="D532" s="1"/>
      <c r="E532" s="1"/>
      <c r="F532" s="1"/>
      <c r="G532" s="1"/>
      <c r="H532" s="1"/>
      <c r="I532" s="1"/>
      <c r="K532" s="1"/>
      <c r="M532" s="14"/>
      <c r="O532" s="14"/>
      <c r="Q532" s="1"/>
      <c r="S532" s="14"/>
      <c r="U532" s="14"/>
      <c r="W532" s="1"/>
      <c r="Y532" s="14"/>
      <c r="AA532" s="14"/>
      <c r="AC532" s="1"/>
      <c r="AE532" s="14"/>
      <c r="AG532" s="14"/>
      <c r="AI532" s="1426"/>
      <c r="AJ532" s="1"/>
    </row>
    <row r="533" spans="4:36" s="63" customFormat="1" ht="15">
      <c r="D533" s="1"/>
      <c r="E533" s="1"/>
      <c r="F533" s="1"/>
      <c r="G533" s="1"/>
      <c r="H533" s="1"/>
      <c r="I533" s="1"/>
      <c r="K533" s="1"/>
      <c r="M533" s="14"/>
      <c r="O533" s="14"/>
      <c r="Q533" s="1"/>
      <c r="S533" s="14"/>
      <c r="U533" s="14"/>
      <c r="W533" s="1"/>
      <c r="Y533" s="14"/>
      <c r="AA533" s="14"/>
      <c r="AC533" s="1"/>
      <c r="AE533" s="14"/>
      <c r="AG533" s="14"/>
      <c r="AI533" s="1426"/>
      <c r="AJ533" s="1"/>
    </row>
    <row r="534" spans="4:36" s="63" customFormat="1" ht="15">
      <c r="D534" s="1"/>
      <c r="E534" s="1"/>
      <c r="F534" s="1"/>
      <c r="G534" s="1"/>
      <c r="H534" s="1"/>
      <c r="I534" s="1"/>
      <c r="K534" s="1"/>
      <c r="M534" s="14"/>
      <c r="O534" s="14"/>
      <c r="Q534" s="1"/>
      <c r="S534" s="14"/>
      <c r="U534" s="14"/>
      <c r="W534" s="1"/>
      <c r="Y534" s="14"/>
      <c r="AA534" s="14"/>
      <c r="AC534" s="1"/>
      <c r="AE534" s="14"/>
      <c r="AG534" s="14"/>
      <c r="AI534" s="1426"/>
      <c r="AJ534" s="1"/>
    </row>
    <row r="535" spans="4:36" s="63" customFormat="1" ht="15">
      <c r="D535" s="1"/>
      <c r="E535" s="1"/>
      <c r="F535" s="1"/>
      <c r="G535" s="1"/>
      <c r="H535" s="1"/>
      <c r="I535" s="1"/>
      <c r="K535" s="1"/>
      <c r="M535" s="14"/>
      <c r="O535" s="14"/>
      <c r="Q535" s="1"/>
      <c r="S535" s="14"/>
      <c r="U535" s="14"/>
      <c r="W535" s="1"/>
      <c r="Y535" s="14"/>
      <c r="AA535" s="14"/>
      <c r="AC535" s="1"/>
      <c r="AE535" s="14"/>
      <c r="AG535" s="14"/>
      <c r="AI535" s="1426"/>
      <c r="AJ535" s="1"/>
    </row>
    <row r="536" spans="4:36" s="63" customFormat="1" ht="15">
      <c r="D536" s="1"/>
      <c r="E536" s="1"/>
      <c r="F536" s="1"/>
      <c r="G536" s="1"/>
      <c r="H536" s="1"/>
      <c r="I536" s="1"/>
      <c r="K536" s="1"/>
      <c r="M536" s="14"/>
      <c r="O536" s="14"/>
      <c r="Q536" s="1"/>
      <c r="S536" s="14"/>
      <c r="U536" s="14"/>
      <c r="W536" s="1"/>
      <c r="Y536" s="14"/>
      <c r="AA536" s="14"/>
      <c r="AC536" s="1"/>
      <c r="AE536" s="14"/>
      <c r="AG536" s="14"/>
      <c r="AI536" s="1426"/>
      <c r="AJ536" s="1"/>
    </row>
    <row r="537" spans="4:36" s="63" customFormat="1" ht="15">
      <c r="D537" s="1"/>
      <c r="E537" s="1"/>
      <c r="F537" s="1"/>
      <c r="G537" s="1"/>
      <c r="H537" s="1"/>
      <c r="I537" s="1"/>
      <c r="K537" s="1"/>
      <c r="M537" s="14"/>
      <c r="O537" s="14"/>
      <c r="Q537" s="1"/>
      <c r="S537" s="14"/>
      <c r="U537" s="14"/>
      <c r="W537" s="1"/>
      <c r="Y537" s="14"/>
      <c r="AA537" s="14"/>
      <c r="AC537" s="1"/>
      <c r="AE537" s="14"/>
      <c r="AG537" s="14"/>
      <c r="AI537" s="1426"/>
      <c r="AJ537" s="1"/>
    </row>
    <row r="538" spans="4:36" s="63" customFormat="1" ht="15">
      <c r="D538" s="1"/>
      <c r="E538" s="1"/>
      <c r="F538" s="1"/>
      <c r="G538" s="1"/>
      <c r="H538" s="1"/>
      <c r="I538" s="1"/>
      <c r="K538" s="1"/>
      <c r="M538" s="14"/>
      <c r="O538" s="14"/>
      <c r="Q538" s="1"/>
      <c r="S538" s="14"/>
      <c r="U538" s="14"/>
      <c r="W538" s="1"/>
      <c r="Y538" s="14"/>
      <c r="AA538" s="14"/>
      <c r="AC538" s="1"/>
      <c r="AE538" s="14"/>
      <c r="AG538" s="14"/>
      <c r="AI538" s="1426"/>
      <c r="AJ538" s="1"/>
    </row>
    <row r="539" spans="4:36" s="63" customFormat="1" ht="15">
      <c r="D539" s="1"/>
      <c r="E539" s="1"/>
      <c r="F539" s="1"/>
      <c r="G539" s="1"/>
      <c r="H539" s="1"/>
      <c r="I539" s="1"/>
      <c r="K539" s="1"/>
      <c r="M539" s="14"/>
      <c r="O539" s="14"/>
      <c r="Q539" s="1"/>
      <c r="S539" s="14"/>
      <c r="U539" s="14"/>
      <c r="W539" s="1"/>
      <c r="Y539" s="14"/>
      <c r="AA539" s="14"/>
      <c r="AC539" s="1"/>
      <c r="AE539" s="14"/>
      <c r="AG539" s="14"/>
      <c r="AI539" s="1426"/>
      <c r="AJ539" s="1"/>
    </row>
    <row r="540" spans="4:36" s="63" customFormat="1" ht="15">
      <c r="D540" s="1"/>
      <c r="E540" s="1"/>
      <c r="F540" s="1"/>
      <c r="G540" s="1"/>
      <c r="H540" s="1"/>
      <c r="I540" s="1"/>
      <c r="K540" s="1"/>
      <c r="M540" s="14"/>
      <c r="O540" s="14"/>
      <c r="Q540" s="1"/>
      <c r="S540" s="14"/>
      <c r="U540" s="14"/>
      <c r="W540" s="1"/>
      <c r="Y540" s="14"/>
      <c r="AA540" s="14"/>
      <c r="AC540" s="1"/>
      <c r="AE540" s="14"/>
      <c r="AG540" s="14"/>
      <c r="AI540" s="1426"/>
      <c r="AJ540" s="1"/>
    </row>
    <row r="541" spans="4:36" s="63" customFormat="1" ht="15">
      <c r="D541" s="1"/>
      <c r="E541" s="1"/>
      <c r="F541" s="1"/>
      <c r="G541" s="1"/>
      <c r="H541" s="1"/>
      <c r="I541" s="1"/>
      <c r="K541" s="1"/>
      <c r="M541" s="14"/>
      <c r="O541" s="14"/>
      <c r="Q541" s="1"/>
      <c r="S541" s="14"/>
      <c r="U541" s="14"/>
      <c r="W541" s="1"/>
      <c r="Y541" s="14"/>
      <c r="AA541" s="14"/>
      <c r="AC541" s="1"/>
      <c r="AE541" s="14"/>
      <c r="AG541" s="14"/>
      <c r="AI541" s="1426"/>
      <c r="AJ541" s="1"/>
    </row>
    <row r="542" spans="4:36" s="63" customFormat="1" ht="15">
      <c r="D542" s="1"/>
      <c r="E542" s="1"/>
      <c r="F542" s="1"/>
      <c r="G542" s="1"/>
      <c r="H542" s="1"/>
      <c r="I542" s="1"/>
      <c r="K542" s="1"/>
      <c r="M542" s="14"/>
      <c r="O542" s="14"/>
      <c r="Q542" s="1"/>
      <c r="S542" s="14"/>
      <c r="U542" s="14"/>
      <c r="W542" s="1"/>
      <c r="Y542" s="14"/>
      <c r="AA542" s="14"/>
      <c r="AC542" s="1"/>
      <c r="AE542" s="14"/>
      <c r="AG542" s="14"/>
      <c r="AI542" s="1426"/>
      <c r="AJ542" s="1"/>
    </row>
    <row r="543" spans="4:36" s="63" customFormat="1" ht="15">
      <c r="D543" s="1"/>
      <c r="E543" s="1"/>
      <c r="F543" s="1"/>
      <c r="G543" s="1"/>
      <c r="H543" s="1"/>
      <c r="I543" s="1"/>
      <c r="K543" s="1"/>
      <c r="M543" s="14"/>
      <c r="O543" s="14"/>
      <c r="Q543" s="1"/>
      <c r="S543" s="14"/>
      <c r="U543" s="14"/>
      <c r="W543" s="1"/>
      <c r="Y543" s="14"/>
      <c r="AA543" s="14"/>
      <c r="AC543" s="1"/>
      <c r="AE543" s="14"/>
      <c r="AG543" s="14"/>
      <c r="AI543" s="1426"/>
      <c r="AJ543" s="1"/>
    </row>
    <row r="544" spans="4:36" s="63" customFormat="1" ht="15">
      <c r="D544" s="1"/>
      <c r="E544" s="1"/>
      <c r="F544" s="1"/>
      <c r="G544" s="1"/>
      <c r="H544" s="1"/>
      <c r="I544" s="1"/>
      <c r="K544" s="1"/>
      <c r="M544" s="14"/>
      <c r="O544" s="14"/>
      <c r="Q544" s="1"/>
      <c r="S544" s="14"/>
      <c r="U544" s="14"/>
      <c r="W544" s="1"/>
      <c r="Y544" s="14"/>
      <c r="AA544" s="14"/>
      <c r="AC544" s="1"/>
      <c r="AE544" s="14"/>
      <c r="AG544" s="14"/>
      <c r="AI544" s="1426"/>
      <c r="AJ544" s="1"/>
    </row>
    <row r="545" spans="1:36" s="63" customFormat="1" ht="15">
      <c r="D545" s="1"/>
      <c r="E545" s="1"/>
      <c r="F545" s="1"/>
      <c r="G545" s="1"/>
      <c r="H545" s="1"/>
      <c r="I545" s="1"/>
      <c r="K545" s="1"/>
      <c r="M545" s="14"/>
      <c r="O545" s="14"/>
      <c r="Q545" s="1"/>
      <c r="S545" s="14"/>
      <c r="U545" s="14"/>
      <c r="W545" s="1"/>
      <c r="Y545" s="14"/>
      <c r="AA545" s="14"/>
      <c r="AC545" s="1"/>
      <c r="AE545" s="14"/>
      <c r="AG545" s="14"/>
      <c r="AI545" s="1426"/>
      <c r="AJ545" s="1"/>
    </row>
    <row r="546" spans="1:36" s="63" customFormat="1" ht="15">
      <c r="D546" s="1"/>
      <c r="E546" s="1"/>
      <c r="F546" s="1"/>
      <c r="G546" s="1"/>
      <c r="H546" s="1"/>
      <c r="I546" s="1"/>
      <c r="K546" s="1"/>
      <c r="M546" s="14"/>
      <c r="O546" s="14"/>
      <c r="Q546" s="1"/>
      <c r="S546" s="14"/>
      <c r="U546" s="14"/>
      <c r="W546" s="1"/>
      <c r="Y546" s="14"/>
      <c r="AA546" s="14"/>
      <c r="AC546" s="1"/>
      <c r="AE546" s="14"/>
      <c r="AG546" s="14"/>
      <c r="AI546" s="1426"/>
      <c r="AJ546" s="1"/>
    </row>
    <row r="547" spans="1:36" s="63" customFormat="1" ht="15">
      <c r="D547" s="1"/>
      <c r="E547" s="1"/>
      <c r="F547" s="1"/>
      <c r="G547" s="1"/>
      <c r="H547" s="1"/>
      <c r="I547" s="1"/>
      <c r="K547" s="1"/>
      <c r="M547" s="14"/>
      <c r="O547" s="14"/>
      <c r="Q547" s="1"/>
      <c r="S547" s="14"/>
      <c r="U547" s="14"/>
      <c r="W547" s="1"/>
      <c r="Y547" s="14"/>
      <c r="AA547" s="14"/>
      <c r="AC547" s="1"/>
      <c r="AE547" s="14"/>
      <c r="AG547" s="14"/>
      <c r="AI547" s="1426"/>
      <c r="AJ547" s="1"/>
    </row>
    <row r="548" spans="1:36" s="63" customFormat="1" ht="15">
      <c r="D548" s="1"/>
      <c r="E548" s="1"/>
      <c r="F548" s="1"/>
      <c r="G548" s="1"/>
      <c r="H548" s="1"/>
      <c r="I548" s="1"/>
      <c r="K548" s="1"/>
      <c r="M548" s="14"/>
      <c r="O548" s="14"/>
      <c r="Q548" s="1"/>
      <c r="S548" s="14"/>
      <c r="U548" s="14"/>
      <c r="W548" s="1"/>
      <c r="Y548" s="14"/>
      <c r="AA548" s="14"/>
      <c r="AC548" s="1"/>
      <c r="AE548" s="14"/>
      <c r="AG548" s="14"/>
      <c r="AI548" s="1426"/>
      <c r="AJ548" s="1"/>
    </row>
    <row r="549" spans="1:36" s="63" customFormat="1" ht="15">
      <c r="D549" s="1"/>
      <c r="E549" s="1"/>
      <c r="F549" s="1"/>
      <c r="G549" s="1"/>
      <c r="H549" s="1"/>
      <c r="I549" s="1"/>
      <c r="K549" s="1"/>
      <c r="M549" s="14"/>
      <c r="O549" s="14"/>
      <c r="Q549" s="1"/>
      <c r="S549" s="14"/>
      <c r="U549" s="14"/>
      <c r="W549" s="1"/>
      <c r="Y549" s="14"/>
      <c r="AA549" s="14"/>
      <c r="AC549" s="1"/>
      <c r="AE549" s="14"/>
      <c r="AG549" s="14"/>
      <c r="AI549" s="1426"/>
      <c r="AJ549" s="1"/>
    </row>
    <row r="550" spans="1:36" s="63" customFormat="1">
      <c r="A550" s="1"/>
      <c r="C550" s="1"/>
      <c r="D550" s="1"/>
      <c r="E550" s="1"/>
      <c r="F550" s="1"/>
      <c r="G550" s="1"/>
      <c r="H550" s="1"/>
      <c r="I550" s="1"/>
      <c r="K550" s="1"/>
      <c r="M550" s="1"/>
      <c r="O550" s="1"/>
      <c r="Q550" s="1"/>
      <c r="S550" s="1"/>
      <c r="U550" s="1"/>
      <c r="W550" s="1"/>
      <c r="Y550" s="1"/>
      <c r="AA550" s="1"/>
      <c r="AC550" s="1"/>
      <c r="AE550" s="1"/>
      <c r="AG550" s="1"/>
      <c r="AI550" s="1424"/>
      <c r="AJ550" s="1"/>
    </row>
    <row r="551" spans="1:36" s="63" customFormat="1">
      <c r="A551" s="1"/>
      <c r="C551" s="1"/>
      <c r="D551" s="1"/>
      <c r="E551" s="1"/>
      <c r="F551" s="1"/>
      <c r="G551" s="1"/>
      <c r="H551" s="1"/>
      <c r="I551" s="1"/>
      <c r="K551" s="1"/>
      <c r="M551" s="1"/>
      <c r="O551" s="1"/>
      <c r="Q551" s="1"/>
      <c r="S551" s="1"/>
      <c r="U551" s="1"/>
      <c r="W551" s="1"/>
      <c r="Y551" s="1"/>
      <c r="AA551" s="1"/>
      <c r="AC551" s="1"/>
      <c r="AE551" s="1"/>
      <c r="AG551" s="1"/>
      <c r="AI551" s="1424"/>
      <c r="AJ551" s="1"/>
    </row>
    <row r="552" spans="1:36" s="63" customFormat="1">
      <c r="A552" s="1"/>
      <c r="C552" s="1"/>
      <c r="D552" s="1"/>
      <c r="E552" s="1"/>
      <c r="F552" s="1"/>
      <c r="G552" s="1"/>
      <c r="H552" s="1"/>
      <c r="I552" s="1"/>
      <c r="K552" s="1"/>
      <c r="M552" s="1"/>
      <c r="O552" s="1"/>
      <c r="Q552" s="1"/>
      <c r="S552" s="1"/>
      <c r="U552" s="1"/>
      <c r="W552" s="1"/>
      <c r="Y552" s="1"/>
      <c r="AA552" s="1"/>
      <c r="AC552" s="1"/>
      <c r="AE552" s="1"/>
      <c r="AG552" s="1"/>
      <c r="AI552" s="1424"/>
      <c r="AJ552" s="1"/>
    </row>
    <row r="553" spans="1:36" s="63" customFormat="1">
      <c r="A553" s="1"/>
      <c r="C553" s="1"/>
      <c r="D553" s="1"/>
      <c r="E553" s="1"/>
      <c r="F553" s="1"/>
      <c r="G553" s="1"/>
      <c r="H553" s="1"/>
      <c r="I553" s="1"/>
      <c r="K553" s="1"/>
      <c r="M553" s="1"/>
      <c r="O553" s="1"/>
      <c r="Q553" s="1"/>
      <c r="S553" s="1"/>
      <c r="U553" s="1"/>
      <c r="W553" s="1"/>
      <c r="Y553" s="1"/>
      <c r="AA553" s="1"/>
      <c r="AC553" s="1"/>
      <c r="AE553" s="1"/>
      <c r="AG553" s="1"/>
      <c r="AI553" s="1424"/>
      <c r="AJ553" s="1"/>
    </row>
    <row r="554" spans="1:36" s="63" customFormat="1">
      <c r="A554" s="1"/>
      <c r="C554" s="1"/>
      <c r="D554" s="1"/>
      <c r="E554" s="1"/>
      <c r="F554" s="1"/>
      <c r="G554" s="1"/>
      <c r="H554" s="1"/>
      <c r="I554" s="1"/>
      <c r="K554" s="1"/>
      <c r="M554" s="1"/>
      <c r="O554" s="1"/>
      <c r="Q554" s="1"/>
      <c r="S554" s="1"/>
      <c r="U554" s="1"/>
      <c r="W554" s="1"/>
      <c r="Y554" s="1"/>
      <c r="AA554" s="1"/>
      <c r="AC554" s="1"/>
      <c r="AE554" s="1"/>
      <c r="AG554" s="1"/>
      <c r="AI554" s="1424"/>
      <c r="AJ554" s="1"/>
    </row>
    <row r="555" spans="1:36" s="63" customFormat="1">
      <c r="A555" s="1"/>
      <c r="C555" s="1"/>
      <c r="D555" s="1"/>
      <c r="E555" s="1"/>
      <c r="F555" s="1"/>
      <c r="G555" s="1"/>
      <c r="H555" s="1"/>
      <c r="I555" s="1"/>
      <c r="K555" s="1"/>
      <c r="M555" s="1"/>
      <c r="O555" s="1"/>
      <c r="Q555" s="1"/>
      <c r="S555" s="1"/>
      <c r="U555" s="1"/>
      <c r="W555" s="1"/>
      <c r="Y555" s="1"/>
      <c r="AA555" s="1"/>
      <c r="AC555" s="1"/>
      <c r="AE555" s="1"/>
      <c r="AG555" s="1"/>
      <c r="AI555" s="1424"/>
      <c r="AJ555" s="1"/>
    </row>
    <row r="556" spans="1:36" s="63" customFormat="1">
      <c r="A556" s="1"/>
      <c r="C556" s="1"/>
      <c r="D556" s="1"/>
      <c r="E556" s="1"/>
      <c r="F556" s="1"/>
      <c r="G556" s="1"/>
      <c r="H556" s="1"/>
      <c r="I556" s="1"/>
      <c r="K556" s="1"/>
      <c r="M556" s="1"/>
      <c r="O556" s="1"/>
      <c r="Q556" s="1"/>
      <c r="S556" s="1"/>
      <c r="U556" s="1"/>
      <c r="W556" s="1"/>
      <c r="Y556" s="1"/>
      <c r="AA556" s="1"/>
      <c r="AC556" s="1"/>
      <c r="AE556" s="1"/>
      <c r="AG556" s="1"/>
      <c r="AI556" s="1424"/>
      <c r="AJ556" s="1"/>
    </row>
    <row r="557" spans="1:36" s="63" customFormat="1">
      <c r="A557" s="1"/>
      <c r="C557" s="1"/>
      <c r="D557" s="1"/>
      <c r="E557" s="1"/>
      <c r="F557" s="1"/>
      <c r="G557" s="1"/>
      <c r="H557" s="1"/>
      <c r="I557" s="1"/>
      <c r="K557" s="1"/>
      <c r="M557" s="1"/>
      <c r="O557" s="1"/>
      <c r="Q557" s="1"/>
      <c r="S557" s="1"/>
      <c r="U557" s="1"/>
      <c r="W557" s="1"/>
      <c r="Y557" s="1"/>
      <c r="AA557" s="1"/>
      <c r="AC557" s="1"/>
      <c r="AE557" s="1"/>
      <c r="AG557" s="1"/>
      <c r="AI557" s="1424"/>
      <c r="AJ557" s="1"/>
    </row>
    <row r="558" spans="1:36" s="63" customFormat="1">
      <c r="A558" s="1"/>
      <c r="C558" s="1"/>
      <c r="D558" s="1"/>
      <c r="E558" s="1"/>
      <c r="F558" s="1"/>
      <c r="G558" s="1"/>
      <c r="H558" s="1"/>
      <c r="I558" s="1"/>
      <c r="K558" s="1"/>
      <c r="M558" s="1"/>
      <c r="O558" s="1"/>
      <c r="Q558" s="1"/>
      <c r="S558" s="1"/>
      <c r="U558" s="1"/>
      <c r="W558" s="1"/>
      <c r="Y558" s="1"/>
      <c r="AA558" s="1"/>
      <c r="AC558" s="1"/>
      <c r="AE558" s="1"/>
      <c r="AG558" s="1"/>
      <c r="AI558" s="1424"/>
      <c r="AJ558" s="1"/>
    </row>
    <row r="559" spans="1:36" s="63" customFormat="1">
      <c r="A559" s="1"/>
      <c r="C559" s="1"/>
      <c r="D559" s="1"/>
      <c r="E559" s="1"/>
      <c r="F559" s="1"/>
      <c r="G559" s="1"/>
      <c r="H559" s="1"/>
      <c r="I559" s="1"/>
      <c r="K559" s="1"/>
      <c r="M559" s="1"/>
      <c r="O559" s="1"/>
      <c r="Q559" s="1"/>
      <c r="S559" s="1"/>
      <c r="U559" s="1"/>
      <c r="W559" s="1"/>
      <c r="Y559" s="1"/>
      <c r="AA559" s="1"/>
      <c r="AC559" s="1"/>
      <c r="AE559" s="1"/>
      <c r="AG559" s="1"/>
      <c r="AI559" s="1424"/>
      <c r="AJ559" s="1"/>
    </row>
    <row r="560" spans="1:36" s="63" customFormat="1">
      <c r="A560" s="1"/>
      <c r="C560" s="1"/>
      <c r="D560" s="1"/>
      <c r="E560" s="1"/>
      <c r="F560" s="1"/>
      <c r="G560" s="1"/>
      <c r="H560" s="1"/>
      <c r="I560" s="1"/>
      <c r="K560" s="1"/>
      <c r="M560" s="1"/>
      <c r="O560" s="1"/>
      <c r="Q560" s="1"/>
      <c r="S560" s="1"/>
      <c r="U560" s="1"/>
      <c r="W560" s="1"/>
      <c r="Y560" s="1"/>
      <c r="AA560" s="1"/>
      <c r="AC560" s="1"/>
      <c r="AE560" s="1"/>
      <c r="AG560" s="1"/>
      <c r="AI560" s="1424"/>
      <c r="AJ560" s="1"/>
    </row>
    <row r="561" spans="1:36" s="63" customFormat="1">
      <c r="A561" s="1"/>
      <c r="C561" s="1"/>
      <c r="D561" s="1"/>
      <c r="E561" s="1"/>
      <c r="F561" s="1"/>
      <c r="G561" s="1"/>
      <c r="H561" s="1"/>
      <c r="I561" s="1"/>
      <c r="K561" s="1"/>
      <c r="M561" s="1"/>
      <c r="O561" s="1"/>
      <c r="Q561" s="1"/>
      <c r="S561" s="1"/>
      <c r="U561" s="1"/>
      <c r="W561" s="1"/>
      <c r="Y561" s="1"/>
      <c r="AA561" s="1"/>
      <c r="AC561" s="1"/>
      <c r="AE561" s="1"/>
      <c r="AG561" s="1"/>
      <c r="AI561" s="1424"/>
      <c r="AJ561" s="1"/>
    </row>
    <row r="562" spans="1:36" s="63" customFormat="1">
      <c r="A562" s="1"/>
      <c r="C562" s="1"/>
      <c r="D562" s="1"/>
      <c r="E562" s="1"/>
      <c r="F562" s="1"/>
      <c r="G562" s="1"/>
      <c r="H562" s="1"/>
      <c r="I562" s="1"/>
      <c r="K562" s="1"/>
      <c r="M562" s="1"/>
      <c r="O562" s="1"/>
      <c r="Q562" s="1"/>
      <c r="S562" s="1"/>
      <c r="U562" s="1"/>
      <c r="W562" s="1"/>
      <c r="Y562" s="1"/>
      <c r="AA562" s="1"/>
      <c r="AC562" s="1"/>
      <c r="AE562" s="1"/>
      <c r="AG562" s="1"/>
      <c r="AI562" s="1424"/>
      <c r="AJ562" s="1"/>
    </row>
    <row r="563" spans="1:36" s="63" customFormat="1">
      <c r="A563" s="1"/>
      <c r="C563" s="1"/>
      <c r="D563" s="1"/>
      <c r="E563" s="1"/>
      <c r="F563" s="1"/>
      <c r="G563" s="1"/>
      <c r="H563" s="1"/>
      <c r="I563" s="1"/>
      <c r="K563" s="1"/>
      <c r="M563" s="1"/>
      <c r="O563" s="1"/>
      <c r="Q563" s="1"/>
      <c r="S563" s="1"/>
      <c r="U563" s="1"/>
      <c r="W563" s="1"/>
      <c r="Y563" s="1"/>
      <c r="AA563" s="1"/>
      <c r="AC563" s="1"/>
      <c r="AE563" s="1"/>
      <c r="AG563" s="1"/>
      <c r="AI563" s="1424"/>
      <c r="AJ563" s="1"/>
    </row>
    <row r="564" spans="1:36" s="63" customFormat="1">
      <c r="A564" s="1"/>
      <c r="C564" s="1"/>
      <c r="D564" s="1"/>
      <c r="E564" s="1"/>
      <c r="F564" s="1"/>
      <c r="G564" s="1"/>
      <c r="H564" s="1"/>
      <c r="I564" s="1"/>
      <c r="K564" s="1"/>
      <c r="M564" s="1"/>
      <c r="O564" s="1"/>
      <c r="Q564" s="1"/>
      <c r="S564" s="1"/>
      <c r="U564" s="1"/>
      <c r="W564" s="1"/>
      <c r="Y564" s="1"/>
      <c r="AA564" s="1"/>
      <c r="AC564" s="1"/>
      <c r="AE564" s="1"/>
      <c r="AG564" s="1"/>
      <c r="AI564" s="1424"/>
      <c r="AJ564" s="1"/>
    </row>
    <row r="565" spans="1:36">
      <c r="B565" s="63"/>
    </row>
    <row r="566" spans="1:36">
      <c r="B566" s="63"/>
    </row>
    <row r="567" spans="1:36">
      <c r="B567" s="63"/>
    </row>
    <row r="568" spans="1:36">
      <c r="B568" s="63"/>
    </row>
    <row r="569" spans="1:36">
      <c r="B569" s="63"/>
    </row>
    <row r="570" spans="1:36">
      <c r="B570" s="63"/>
    </row>
    <row r="571" spans="1:36">
      <c r="B571" s="63"/>
    </row>
    <row r="572" spans="1:36">
      <c r="B572" s="63"/>
    </row>
    <row r="573" spans="1:36">
      <c r="B573" s="63"/>
    </row>
    <row r="574" spans="1:36">
      <c r="B574" s="63"/>
    </row>
    <row r="575" spans="1:36">
      <c r="B575" s="63"/>
    </row>
    <row r="576" spans="1:36">
      <c r="B576" s="63"/>
    </row>
    <row r="577" spans="2:2">
      <c r="B577" s="63"/>
    </row>
    <row r="578" spans="2:2">
      <c r="B578" s="63"/>
    </row>
    <row r="579" spans="2:2">
      <c r="B579" s="63"/>
    </row>
    <row r="580" spans="2:2">
      <c r="B580" s="63"/>
    </row>
    <row r="581" spans="2:2">
      <c r="B581" s="63"/>
    </row>
    <row r="582" spans="2:2">
      <c r="B582" s="63"/>
    </row>
    <row r="583" spans="2:2">
      <c r="B583" s="63"/>
    </row>
    <row r="584" spans="2:2">
      <c r="B584" s="63"/>
    </row>
  </sheetData>
  <customSheetViews>
    <customSheetView guid="{76FC386D-C488-46EF-BB9C-D1C49FEBAB90}" scale="85" showPageBreaks="1" showGridLines="0" printArea="1" hiddenRows="1" hiddenColumns="1" topLeftCell="D1">
      <pane xSplit="4" ySplit="15" topLeftCell="I321" activePane="bottomRight" state="frozen"/>
      <selection pane="bottomRight" activeCell="AL160" sqref="AL160"/>
      <pageMargins left="0.25" right="0.25" top="0.27" bottom="0.4" header="0.18" footer="0.25"/>
      <pageSetup scale="70" fitToHeight="0" orientation="portrait" errors="blank" horizontalDpi="4294967292" r:id="rId1"/>
      <headerFooter alignWithMargins="0">
        <oddFooter>&amp;L&amp;F - &amp;A&amp;CPrinted &amp;D - &amp;T&amp;RPage &amp;P of &amp;N</oddFooter>
      </headerFooter>
    </customSheetView>
    <customSheetView guid="{16F8EA47-9864-4C0F-89A1-62B7CCC013F9}" scale="85" showGridLines="0" hiddenRows="1" hiddenColumns="1" topLeftCell="D1">
      <pane xSplit="4" ySplit="15" topLeftCell="I321" activePane="bottomRight" state="frozen"/>
      <selection pane="bottomRight" activeCell="AL160" sqref="AL160"/>
      <pageMargins left="0.25" right="0.25" top="0.27" bottom="0.4" header="0.18" footer="0.25"/>
      <pageSetup scale="70" fitToHeight="0" orientation="portrait" errors="blank" horizontalDpi="4294967292" r:id="rId2"/>
      <headerFooter alignWithMargins="0">
        <oddFooter>&amp;L&amp;F - &amp;A&amp;CPrinted &amp;D - &amp;T&amp;RPage &amp;P of &amp;N</oddFooter>
      </headerFooter>
    </customSheetView>
  </customSheetViews>
  <pageMargins left="0.25" right="0.25" top="0.27" bottom="0.4" header="0.18" footer="0.25"/>
  <pageSetup scale="49" fitToHeight="5" orientation="landscape" errors="blank" horizontalDpi="4294967292" r:id="rId3"/>
  <headerFooter alignWithMargins="0">
    <oddFooter>&amp;L&amp;F - &amp;A&amp;CPrinted &amp;D - &amp;T&amp;RPage &amp;P of &amp;N</oddFooter>
  </headerFooter>
  <colBreaks count="1" manualBreakCount="1">
    <brk id="35" max="353"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S277"/>
  <sheetViews>
    <sheetView showGridLines="0" view="pageBreakPreview" zoomScale="60" zoomScaleNormal="100" workbookViewId="0">
      <pane xSplit="5" ySplit="6" topLeftCell="F28" activePane="bottomRight" state="frozen"/>
      <selection activeCell="AP280" sqref="AP280"/>
      <selection pane="topRight" activeCell="AP280" sqref="AP280"/>
      <selection pane="bottomLeft" activeCell="AP280" sqref="AP280"/>
      <selection pane="bottomRight" activeCell="AP280" sqref="AP280"/>
    </sheetView>
  </sheetViews>
  <sheetFormatPr defaultRowHeight="12.75" outlineLevelCol="1"/>
  <cols>
    <col min="1" max="1" width="15.5703125" style="884" hidden="1" customWidth="1"/>
    <col min="2" max="2" width="22.140625" style="882" customWidth="1"/>
    <col min="3" max="3" width="26.7109375" style="882" customWidth="1"/>
    <col min="4" max="4" width="15.140625" style="882" hidden="1" customWidth="1"/>
    <col min="5" max="5" width="10" style="883" hidden="1" customWidth="1"/>
    <col min="6" max="6" width="9" style="884" bestFit="1" customWidth="1"/>
    <col min="7" max="7" width="9" style="882" bestFit="1" customWidth="1"/>
    <col min="8" max="8" width="2.42578125" style="882" customWidth="1"/>
    <col min="9" max="9" width="11.5703125" style="884" hidden="1" customWidth="1" outlineLevel="1"/>
    <col min="10" max="11" width="12.42578125" style="882" hidden="1" customWidth="1" outlineLevel="1"/>
    <col min="12" max="13" width="13.85546875" style="882" hidden="1" customWidth="1" outlineLevel="1"/>
    <col min="14" max="19" width="12.42578125" style="882" hidden="1" customWidth="1" outlineLevel="1"/>
    <col min="20" max="20" width="12.42578125" style="884" hidden="1" customWidth="1" outlineLevel="1"/>
    <col min="21" max="21" width="1.7109375" style="884" customWidth="1" collapsed="1"/>
    <col min="22" max="22" width="13" style="896" customWidth="1"/>
    <col min="23" max="23" width="1.85546875" style="884" customWidth="1"/>
    <col min="24" max="24" width="10.28515625" style="884" hidden="1" customWidth="1" outlineLevel="1"/>
    <col min="25" max="25" width="12" style="882" hidden="1" customWidth="1" outlineLevel="1"/>
    <col min="26" max="35" width="10.28515625" style="884" hidden="1" customWidth="1" outlineLevel="1"/>
    <col min="36" max="36" width="12.42578125" style="884" customWidth="1" collapsed="1"/>
    <col min="37" max="37" width="3" style="884" customWidth="1"/>
    <col min="38" max="38" width="3" style="885" customWidth="1"/>
    <col min="39" max="39" width="9.28515625" style="1137" customWidth="1"/>
    <col min="40" max="40" width="2.42578125" style="1137" customWidth="1"/>
    <col min="41" max="41" width="12.28515625" style="1137" customWidth="1"/>
    <col min="42" max="42" width="11" style="1137" customWidth="1"/>
    <col min="43" max="43" width="9.7109375" style="1137" customWidth="1"/>
    <col min="44" max="44" width="2" style="1137" customWidth="1"/>
    <col min="45" max="45" width="12.42578125" style="1137" bestFit="1" customWidth="1"/>
    <col min="46" max="16384" width="9.140625" style="884"/>
  </cols>
  <sheetData>
    <row r="1" spans="1:45" ht="25.5">
      <c r="B1" s="881" t="s">
        <v>312</v>
      </c>
      <c r="C1" s="881"/>
      <c r="D1" s="881"/>
      <c r="AJ1" s="896"/>
      <c r="AN1" s="1151"/>
      <c r="AO1" s="1152" t="s">
        <v>2787</v>
      </c>
      <c r="AP1" s="1152" t="s">
        <v>2797</v>
      </c>
      <c r="AQ1" s="1152" t="s">
        <v>2798</v>
      </c>
      <c r="AS1" s="1152" t="s">
        <v>2799</v>
      </c>
    </row>
    <row r="2" spans="1:45">
      <c r="B2" s="881" t="s">
        <v>1883</v>
      </c>
      <c r="C2" s="881"/>
      <c r="D2" s="881"/>
      <c r="F2" s="882"/>
      <c r="I2" s="886"/>
      <c r="T2" s="886"/>
      <c r="U2" s="886"/>
      <c r="W2" s="882"/>
      <c r="AJ2" s="896"/>
      <c r="AN2" s="1138" t="s">
        <v>1720</v>
      </c>
      <c r="AO2" s="1153">
        <f ca="1">'LG MSW'!K22</f>
        <v>-2.8449160478212221E-3</v>
      </c>
      <c r="AP2" s="1207">
        <f>'Reg - Price Out '!AW20</f>
        <v>-0.21892627234430068</v>
      </c>
      <c r="AQ2" s="1173">
        <f>'Reg - Price Out '!AP2</f>
        <v>-1E-3</v>
      </c>
      <c r="AS2" s="1174">
        <f ca="1">AO2+AP2+AQ2</f>
        <v>-0.2227711883921219</v>
      </c>
    </row>
    <row r="3" spans="1:45">
      <c r="B3" s="881" t="s">
        <v>2327</v>
      </c>
      <c r="C3" s="881"/>
      <c r="D3" s="881"/>
      <c r="F3" s="882"/>
      <c r="I3" s="886"/>
      <c r="T3" s="886"/>
      <c r="U3" s="886"/>
      <c r="W3" s="882"/>
      <c r="AJ3" s="896"/>
      <c r="AN3" s="1138" t="s">
        <v>2440</v>
      </c>
      <c r="AO3" s="1153">
        <f ca="1">'LG Recycle'!K22</f>
        <v>0.32565588961321712</v>
      </c>
      <c r="AQ3" s="1173">
        <f>'Reg - Price Out '!AP3</f>
        <v>1.2999999999999999E-3</v>
      </c>
      <c r="AS3" s="1174">
        <f ca="1">AO3+AP3+AQ3</f>
        <v>0.32695588961321714</v>
      </c>
    </row>
    <row r="4" spans="1:45">
      <c r="B4" s="881" t="s">
        <v>943</v>
      </c>
      <c r="C4" s="881"/>
      <c r="D4" s="881"/>
      <c r="F4" s="882"/>
      <c r="I4" s="882"/>
      <c r="T4" s="882"/>
      <c r="U4" s="882"/>
      <c r="AJ4" s="896"/>
      <c r="AN4" s="1138" t="s">
        <v>5</v>
      </c>
      <c r="AO4" s="1153">
        <f ca="1">'LG YW'!K22</f>
        <v>0.14062524584753344</v>
      </c>
      <c r="AQ4" s="1173">
        <f>'Reg - Price Out '!AP4</f>
        <v>-1.1E-4</v>
      </c>
      <c r="AS4" s="1174">
        <f ca="1">AO4+AP4+AQ4</f>
        <v>0.14051524584753344</v>
      </c>
    </row>
    <row r="5" spans="1:45" ht="14.25" customHeight="1">
      <c r="C5" s="890"/>
      <c r="D5" s="890"/>
      <c r="F5" s="891"/>
      <c r="G5" s="891"/>
      <c r="I5" s="1547" t="s">
        <v>166</v>
      </c>
      <c r="J5" s="1547"/>
      <c r="K5" s="1547"/>
      <c r="L5" s="1547"/>
      <c r="M5" s="1547"/>
      <c r="N5" s="1547"/>
      <c r="O5" s="1547"/>
      <c r="P5" s="1547"/>
      <c r="Q5" s="1547"/>
      <c r="R5" s="1547"/>
      <c r="S5" s="1547"/>
      <c r="T5" s="1547"/>
      <c r="X5" s="1549" t="s">
        <v>373</v>
      </c>
      <c r="Y5" s="1549"/>
      <c r="Z5" s="1549"/>
      <c r="AA5" s="1549"/>
      <c r="AB5" s="1549"/>
      <c r="AC5" s="1549"/>
      <c r="AD5" s="1549"/>
      <c r="AE5" s="1549"/>
      <c r="AF5" s="1549"/>
      <c r="AG5" s="1549"/>
      <c r="AH5" s="1549"/>
      <c r="AI5" s="1549"/>
      <c r="AJ5" s="896"/>
    </row>
    <row r="6" spans="1:45" ht="50.25" customHeight="1">
      <c r="B6" s="892" t="s">
        <v>1885</v>
      </c>
      <c r="C6" s="890" t="s">
        <v>1886</v>
      </c>
      <c r="D6" s="890" t="s">
        <v>1887</v>
      </c>
      <c r="E6" s="890" t="s">
        <v>1888</v>
      </c>
      <c r="F6" s="890" t="s">
        <v>1890</v>
      </c>
      <c r="G6" s="890" t="s">
        <v>1890</v>
      </c>
      <c r="H6" s="890"/>
      <c r="I6" s="893">
        <v>43465</v>
      </c>
      <c r="J6" s="893">
        <v>43466</v>
      </c>
      <c r="K6" s="893">
        <v>43497</v>
      </c>
      <c r="L6" s="893">
        <v>43525</v>
      </c>
      <c r="M6" s="893">
        <v>43556</v>
      </c>
      <c r="N6" s="893">
        <v>43586</v>
      </c>
      <c r="O6" s="893">
        <v>43617</v>
      </c>
      <c r="P6" s="893">
        <v>43647</v>
      </c>
      <c r="Q6" s="893">
        <v>43678</v>
      </c>
      <c r="R6" s="893">
        <v>43709</v>
      </c>
      <c r="S6" s="893">
        <v>43739</v>
      </c>
      <c r="T6" s="893">
        <v>43770</v>
      </c>
      <c r="U6" s="893"/>
      <c r="V6" s="894" t="s">
        <v>1891</v>
      </c>
      <c r="W6" s="890"/>
      <c r="X6" s="893">
        <f t="shared" ref="X6:AI6" si="0">+I6</f>
        <v>43465</v>
      </c>
      <c r="Y6" s="893">
        <f t="shared" si="0"/>
        <v>43466</v>
      </c>
      <c r="Z6" s="893">
        <f t="shared" si="0"/>
        <v>43497</v>
      </c>
      <c r="AA6" s="893">
        <f t="shared" si="0"/>
        <v>43525</v>
      </c>
      <c r="AB6" s="893">
        <f t="shared" si="0"/>
        <v>43556</v>
      </c>
      <c r="AC6" s="893">
        <f t="shared" si="0"/>
        <v>43586</v>
      </c>
      <c r="AD6" s="893">
        <f t="shared" si="0"/>
        <v>43617</v>
      </c>
      <c r="AE6" s="893">
        <f t="shared" si="0"/>
        <v>43647</v>
      </c>
      <c r="AF6" s="893">
        <f t="shared" si="0"/>
        <v>43678</v>
      </c>
      <c r="AG6" s="893">
        <f t="shared" si="0"/>
        <v>43709</v>
      </c>
      <c r="AH6" s="893">
        <f t="shared" si="0"/>
        <v>43739</v>
      </c>
      <c r="AI6" s="893">
        <f t="shared" si="0"/>
        <v>43770</v>
      </c>
      <c r="AJ6" s="894" t="s">
        <v>1892</v>
      </c>
      <c r="AL6" s="1165"/>
      <c r="AM6" s="1139" t="s">
        <v>2783</v>
      </c>
      <c r="AO6" s="1139" t="s">
        <v>2784</v>
      </c>
      <c r="AQ6" s="1139" t="s">
        <v>2785</v>
      </c>
      <c r="AS6" s="1139" t="s">
        <v>2786</v>
      </c>
    </row>
    <row r="7" spans="1:45" ht="5.25" customHeight="1">
      <c r="F7" s="882"/>
      <c r="I7" s="882"/>
      <c r="T7" s="882"/>
      <c r="U7" s="882"/>
      <c r="W7" s="882"/>
      <c r="AJ7" s="896"/>
      <c r="AL7" s="1145"/>
    </row>
    <row r="8" spans="1:45">
      <c r="B8" s="897" t="s">
        <v>1893</v>
      </c>
      <c r="C8" s="898"/>
      <c r="D8" s="898"/>
      <c r="F8" s="899"/>
      <c r="G8" s="899"/>
      <c r="H8" s="899"/>
      <c r="I8" s="899"/>
      <c r="J8" s="899"/>
      <c r="K8" s="899"/>
      <c r="L8" s="899"/>
      <c r="M8" s="899"/>
      <c r="N8" s="899"/>
      <c r="O8" s="899"/>
      <c r="P8" s="899"/>
      <c r="Q8" s="899"/>
      <c r="R8" s="899"/>
      <c r="S8" s="899"/>
      <c r="T8" s="899"/>
      <c r="U8" s="899"/>
      <c r="W8" s="882"/>
      <c r="AJ8" s="896"/>
      <c r="AL8" s="1145"/>
    </row>
    <row r="9" spans="1:45" ht="5.25" customHeight="1">
      <c r="B9" s="897"/>
      <c r="C9" s="898"/>
      <c r="D9" s="898"/>
      <c r="F9" s="899"/>
      <c r="G9" s="899"/>
      <c r="H9" s="899"/>
      <c r="I9" s="899"/>
      <c r="J9" s="899"/>
      <c r="K9" s="899"/>
      <c r="L9" s="899"/>
      <c r="M9" s="899"/>
      <c r="N9" s="899"/>
      <c r="O9" s="899"/>
      <c r="P9" s="899"/>
      <c r="Q9" s="899"/>
      <c r="R9" s="899"/>
      <c r="S9" s="899"/>
      <c r="T9" s="899"/>
      <c r="U9" s="899"/>
      <c r="W9" s="882"/>
      <c r="AJ9" s="896"/>
      <c r="AL9" s="1145"/>
    </row>
    <row r="10" spans="1:45">
      <c r="B10" s="903" t="s">
        <v>1895</v>
      </c>
      <c r="C10" s="898"/>
      <c r="D10" s="898"/>
      <c r="F10" s="899"/>
      <c r="G10" s="899"/>
      <c r="H10" s="899"/>
      <c r="I10" s="899"/>
      <c r="J10" s="899"/>
      <c r="K10" s="899"/>
      <c r="L10" s="899"/>
      <c r="M10" s="899"/>
      <c r="N10" s="899"/>
      <c r="O10" s="899"/>
      <c r="P10" s="899"/>
      <c r="Q10" s="899"/>
      <c r="R10" s="899"/>
      <c r="S10" s="899"/>
      <c r="T10" s="899"/>
      <c r="U10" s="899"/>
      <c r="W10" s="882"/>
      <c r="AJ10" s="896"/>
      <c r="AL10" s="1145"/>
    </row>
    <row r="11" spans="1:45">
      <c r="A11" s="884" t="str">
        <f>$B$3&amp;"Residential"&amp;B11</f>
        <v>JBLM HOUSINGResidentialSL065.0G1W001WREC</v>
      </c>
      <c r="B11" s="889" t="s">
        <v>1930</v>
      </c>
      <c r="C11" s="889" t="s">
        <v>1931</v>
      </c>
      <c r="D11" s="889" t="s">
        <v>409</v>
      </c>
      <c r="E11" s="883">
        <v>32000</v>
      </c>
      <c r="F11" s="904">
        <v>21.73</v>
      </c>
      <c r="G11" s="904">
        <v>22.1</v>
      </c>
      <c r="H11" s="904"/>
      <c r="I11" s="904">
        <v>72469.55</v>
      </c>
      <c r="J11" s="904">
        <v>144083.87</v>
      </c>
      <c r="K11" s="904">
        <v>849.79999999998836</v>
      </c>
      <c r="L11" s="904">
        <v>73725.599999999991</v>
      </c>
      <c r="M11" s="904">
        <v>73692.45</v>
      </c>
      <c r="N11" s="904">
        <v>73725.600000000006</v>
      </c>
      <c r="O11" s="904">
        <v>73725.600000000006</v>
      </c>
      <c r="P11" s="904">
        <v>73725.600000000006</v>
      </c>
      <c r="Q11" s="904">
        <v>73703.5</v>
      </c>
      <c r="R11" s="904">
        <v>73716.759999999995</v>
      </c>
      <c r="S11" s="904">
        <v>73699.08</v>
      </c>
      <c r="T11" s="904">
        <v>73769.8</v>
      </c>
      <c r="U11" s="909"/>
      <c r="V11" s="957">
        <f t="shared" ref="V11:V12" si="1">SUM(I11:T11)</f>
        <v>880887.21</v>
      </c>
      <c r="W11" s="909"/>
      <c r="X11" s="906">
        <f t="shared" ref="X11:Z20" si="2">IFERROR(I11/$F11,0)</f>
        <v>3335</v>
      </c>
      <c r="Y11" s="906">
        <f t="shared" si="2"/>
        <v>6630.6428900138053</v>
      </c>
      <c r="Z11" s="906">
        <f t="shared" si="2"/>
        <v>39.107225034513959</v>
      </c>
      <c r="AA11" s="909">
        <f t="shared" ref="AA11:AI20" si="3">IFERROR(L11/$G11,0)</f>
        <v>3335.9999999999995</v>
      </c>
      <c r="AB11" s="909">
        <f t="shared" si="3"/>
        <v>3334.4999999999995</v>
      </c>
      <c r="AC11" s="909">
        <f t="shared" si="3"/>
        <v>3336</v>
      </c>
      <c r="AD11" s="909">
        <f t="shared" si="3"/>
        <v>3336</v>
      </c>
      <c r="AE11" s="909">
        <f t="shared" si="3"/>
        <v>3336</v>
      </c>
      <c r="AF11" s="909">
        <f t="shared" si="3"/>
        <v>3335</v>
      </c>
      <c r="AG11" s="909">
        <f t="shared" si="3"/>
        <v>3335.5999999999995</v>
      </c>
      <c r="AH11" s="909">
        <f t="shared" si="3"/>
        <v>3334.7999999999997</v>
      </c>
      <c r="AI11" s="909">
        <f t="shared" si="3"/>
        <v>3338</v>
      </c>
      <c r="AJ11" s="907">
        <f t="shared" ref="AJ11:AJ20" si="4">AVERAGE(X11:AI11)</f>
        <v>3335.554176254027</v>
      </c>
      <c r="AL11" s="1146"/>
      <c r="AM11" s="1140">
        <f ca="1">G11*$AS$2</f>
        <v>-4.9232432634658947</v>
      </c>
      <c r="AO11" s="1140">
        <f ca="1">AJ11*AM11*12</f>
        <v>-197060.93553801804</v>
      </c>
      <c r="AQ11" s="1140">
        <f ca="1">G11+AM11</f>
        <v>17.176756736534106</v>
      </c>
      <c r="AS11" s="1140">
        <f ca="1">V11+AO11</f>
        <v>683826.27446198196</v>
      </c>
    </row>
    <row r="12" spans="1:45">
      <c r="A12" s="884" t="str">
        <f>$B$3&amp;"Residential"&amp;B12</f>
        <v>JBLM HOUSINGResidentialSL095.0G1W001WREC</v>
      </c>
      <c r="B12" s="889" t="s">
        <v>1942</v>
      </c>
      <c r="C12" s="889" t="s">
        <v>1943</v>
      </c>
      <c r="D12" s="889" t="s">
        <v>409</v>
      </c>
      <c r="E12" s="883">
        <v>32000</v>
      </c>
      <c r="F12" s="904">
        <v>28.35</v>
      </c>
      <c r="G12" s="904">
        <v>28.88</v>
      </c>
      <c r="H12" s="904"/>
      <c r="I12" s="904">
        <v>24721.200000000001</v>
      </c>
      <c r="J12" s="904">
        <v>24664.5</v>
      </c>
      <c r="K12" s="904">
        <v>24664.5</v>
      </c>
      <c r="L12" s="904">
        <v>25154.480000000003</v>
      </c>
      <c r="M12" s="904">
        <v>25060.62</v>
      </c>
      <c r="N12" s="904">
        <v>25125.599999999999</v>
      </c>
      <c r="O12" s="904">
        <v>25043.1</v>
      </c>
      <c r="P12" s="904">
        <v>25089.5</v>
      </c>
      <c r="Q12" s="904">
        <v>25212.240000000002</v>
      </c>
      <c r="R12" s="904">
        <v>25190.58</v>
      </c>
      <c r="S12" s="904">
        <v>25241.119999999999</v>
      </c>
      <c r="T12" s="904">
        <v>25241.119999999999</v>
      </c>
      <c r="U12" s="909"/>
      <c r="V12" s="957">
        <f t="shared" si="1"/>
        <v>300408.56</v>
      </c>
      <c r="W12" s="909"/>
      <c r="X12" s="906">
        <f t="shared" si="2"/>
        <v>872</v>
      </c>
      <c r="Y12" s="906">
        <f t="shared" si="2"/>
        <v>870</v>
      </c>
      <c r="Z12" s="906">
        <f t="shared" si="2"/>
        <v>870</v>
      </c>
      <c r="AA12" s="909">
        <f t="shared" si="3"/>
        <v>871.00000000000011</v>
      </c>
      <c r="AB12" s="909">
        <f t="shared" si="3"/>
        <v>867.75</v>
      </c>
      <c r="AC12" s="909">
        <f t="shared" si="3"/>
        <v>870</v>
      </c>
      <c r="AD12" s="909">
        <f t="shared" si="3"/>
        <v>867.143351800554</v>
      </c>
      <c r="AE12" s="909">
        <f t="shared" si="3"/>
        <v>868.75</v>
      </c>
      <c r="AF12" s="909">
        <f t="shared" si="3"/>
        <v>873.00000000000011</v>
      </c>
      <c r="AG12" s="909">
        <f t="shared" si="3"/>
        <v>872.25000000000011</v>
      </c>
      <c r="AH12" s="909">
        <f t="shared" si="3"/>
        <v>874</v>
      </c>
      <c r="AI12" s="909">
        <f t="shared" si="3"/>
        <v>874</v>
      </c>
      <c r="AJ12" s="907">
        <f t="shared" si="4"/>
        <v>870.82444598337952</v>
      </c>
      <c r="AL12" s="1146"/>
      <c r="AM12" s="1140">
        <f t="shared" ref="AM12:AM20" ca="1" si="5">G12*$AS$2</f>
        <v>-6.4336319207644799</v>
      </c>
      <c r="AO12" s="1140">
        <f t="shared" ref="AO12:AO20" ca="1" si="6">AJ12*AM12*12</f>
        <v>-67230.767436728565</v>
      </c>
      <c r="AQ12" s="1140">
        <f t="shared" ref="AQ12:AQ20" ca="1" si="7">G12+AM12</f>
        <v>22.446368079235519</v>
      </c>
      <c r="AS12" s="1140">
        <f t="shared" ref="AS12:AS20" ca="1" si="8">V12+AO12</f>
        <v>233177.79256327142</v>
      </c>
    </row>
    <row r="13" spans="1:45">
      <c r="A13" s="884" t="str">
        <f>$B$3&amp;"commercial"&amp;B13</f>
        <v>JBLM HOUSINGcommercialFL006.0Y1W001MF</v>
      </c>
      <c r="B13" s="889" t="s">
        <v>2328</v>
      </c>
      <c r="C13" s="889" t="s">
        <v>2329</v>
      </c>
      <c r="D13" s="889" t="s">
        <v>411</v>
      </c>
      <c r="E13" s="883">
        <v>33000</v>
      </c>
      <c r="F13" s="904">
        <v>322.57</v>
      </c>
      <c r="G13" s="904">
        <v>329.11</v>
      </c>
      <c r="H13" s="904"/>
      <c r="I13" s="904">
        <v>8709.39</v>
      </c>
      <c r="J13" s="904">
        <v>8709.39</v>
      </c>
      <c r="K13" s="904">
        <v>8709.39</v>
      </c>
      <c r="L13" s="904">
        <v>8885.9699999999993</v>
      </c>
      <c r="M13" s="904">
        <v>8885.9699999999993</v>
      </c>
      <c r="N13" s="904">
        <v>8885.9699999999993</v>
      </c>
      <c r="O13" s="904">
        <v>8885.9699999999993</v>
      </c>
      <c r="P13" s="904">
        <v>8885.9699999999993</v>
      </c>
      <c r="Q13" s="904">
        <v>8885.9699999999993</v>
      </c>
      <c r="R13" s="904">
        <v>8885.9699999999993</v>
      </c>
      <c r="S13" s="904">
        <v>8885.9699999999993</v>
      </c>
      <c r="T13" s="904">
        <v>8885.9699999999993</v>
      </c>
      <c r="U13" s="909"/>
      <c r="V13" s="957">
        <f t="shared" ref="V13:V18" si="9">SUM(I13:T13)</f>
        <v>106101.90000000001</v>
      </c>
      <c r="W13" s="909"/>
      <c r="X13" s="906">
        <f t="shared" si="2"/>
        <v>27</v>
      </c>
      <c r="Y13" s="906">
        <f t="shared" si="2"/>
        <v>27</v>
      </c>
      <c r="Z13" s="906">
        <f t="shared" si="2"/>
        <v>27</v>
      </c>
      <c r="AA13" s="909">
        <f t="shared" si="3"/>
        <v>26.999999999999996</v>
      </c>
      <c r="AB13" s="909">
        <f t="shared" si="3"/>
        <v>26.999999999999996</v>
      </c>
      <c r="AC13" s="909">
        <f t="shared" si="3"/>
        <v>26.999999999999996</v>
      </c>
      <c r="AD13" s="909">
        <f t="shared" si="3"/>
        <v>26.999999999999996</v>
      </c>
      <c r="AE13" s="909">
        <f t="shared" si="3"/>
        <v>26.999999999999996</v>
      </c>
      <c r="AF13" s="909">
        <f t="shared" si="3"/>
        <v>26.999999999999996</v>
      </c>
      <c r="AG13" s="909">
        <f t="shared" si="3"/>
        <v>26.999999999999996</v>
      </c>
      <c r="AH13" s="909">
        <f t="shared" si="3"/>
        <v>26.999999999999996</v>
      </c>
      <c r="AI13" s="909">
        <f t="shared" si="3"/>
        <v>26.999999999999996</v>
      </c>
      <c r="AJ13" s="907">
        <f t="shared" si="4"/>
        <v>27</v>
      </c>
      <c r="AL13" s="1146"/>
      <c r="AM13" s="1140">
        <f t="shared" ca="1" si="5"/>
        <v>-73.316225811731243</v>
      </c>
      <c r="AO13" s="1140">
        <f t="shared" ca="1" si="6"/>
        <v>-23754.457163000923</v>
      </c>
      <c r="AQ13" s="1140">
        <f t="shared" ca="1" si="7"/>
        <v>255.79377418826877</v>
      </c>
      <c r="AS13" s="1140">
        <f t="shared" ca="1" si="8"/>
        <v>82347.442836999078</v>
      </c>
    </row>
    <row r="14" spans="1:45">
      <c r="A14" s="884" t="str">
        <f>$B$3&amp;"commercial"&amp;B14</f>
        <v>JBLM HOUSINGcommercialFL006.0Y2W001MF</v>
      </c>
      <c r="B14" s="889" t="s">
        <v>2330</v>
      </c>
      <c r="C14" s="889" t="s">
        <v>2331</v>
      </c>
      <c r="D14" s="889" t="s">
        <v>411</v>
      </c>
      <c r="E14" s="883">
        <v>33000</v>
      </c>
      <c r="F14" s="904">
        <v>613.46</v>
      </c>
      <c r="G14" s="904">
        <v>626.54</v>
      </c>
      <c r="H14" s="904"/>
      <c r="I14" s="904">
        <v>8588.44</v>
      </c>
      <c r="J14" s="904">
        <v>8588.44</v>
      </c>
      <c r="K14" s="904">
        <v>8588.44</v>
      </c>
      <c r="L14" s="904">
        <v>8771.56</v>
      </c>
      <c r="M14" s="904">
        <v>8771.56</v>
      </c>
      <c r="N14" s="904">
        <v>8771.56</v>
      </c>
      <c r="O14" s="904">
        <v>8771.56</v>
      </c>
      <c r="P14" s="904">
        <v>8771.56</v>
      </c>
      <c r="Q14" s="904">
        <v>8771.56</v>
      </c>
      <c r="R14" s="904">
        <v>8771.56</v>
      </c>
      <c r="S14" s="904">
        <v>8771.56</v>
      </c>
      <c r="T14" s="904">
        <v>8771.56</v>
      </c>
      <c r="U14" s="909"/>
      <c r="V14" s="957">
        <f t="shared" si="9"/>
        <v>104709.35999999999</v>
      </c>
      <c r="W14" s="909"/>
      <c r="X14" s="906">
        <f t="shared" si="2"/>
        <v>14</v>
      </c>
      <c r="Y14" s="906">
        <f t="shared" si="2"/>
        <v>14</v>
      </c>
      <c r="Z14" s="906">
        <f t="shared" si="2"/>
        <v>14</v>
      </c>
      <c r="AA14" s="909">
        <f t="shared" si="3"/>
        <v>14</v>
      </c>
      <c r="AB14" s="909">
        <f t="shared" si="3"/>
        <v>14</v>
      </c>
      <c r="AC14" s="909">
        <f t="shared" si="3"/>
        <v>14</v>
      </c>
      <c r="AD14" s="909">
        <f t="shared" si="3"/>
        <v>14</v>
      </c>
      <c r="AE14" s="909">
        <f t="shared" si="3"/>
        <v>14</v>
      </c>
      <c r="AF14" s="909">
        <f t="shared" si="3"/>
        <v>14</v>
      </c>
      <c r="AG14" s="909">
        <f t="shared" si="3"/>
        <v>14</v>
      </c>
      <c r="AH14" s="909">
        <f t="shared" si="3"/>
        <v>14</v>
      </c>
      <c r="AI14" s="909">
        <f t="shared" si="3"/>
        <v>14</v>
      </c>
      <c r="AJ14" s="907">
        <f t="shared" si="4"/>
        <v>14</v>
      </c>
      <c r="AL14" s="1146"/>
      <c r="AM14" s="1140">
        <f ca="1">G14*$AS$2</f>
        <v>-139.57506037520005</v>
      </c>
      <c r="AO14" s="1140">
        <f t="shared" ca="1" si="6"/>
        <v>-23448.610143033606</v>
      </c>
      <c r="AQ14" s="1140">
        <f t="shared" ca="1" si="7"/>
        <v>486.96493962479991</v>
      </c>
      <c r="AS14" s="1140">
        <f t="shared" ca="1" si="8"/>
        <v>81260.749856966373</v>
      </c>
    </row>
    <row r="15" spans="1:45">
      <c r="A15" s="884" t="str">
        <f t="shared" ref="A15:A20" si="10">$B$3&amp;"Residential"&amp;B15</f>
        <v>JBLM HOUSINGResidentialBULKY-RES</v>
      </c>
      <c r="B15" s="889" t="s">
        <v>1948</v>
      </c>
      <c r="C15" s="889" t="s">
        <v>1949</v>
      </c>
      <c r="D15" s="889" t="s">
        <v>1950</v>
      </c>
      <c r="E15" s="883">
        <v>32001</v>
      </c>
      <c r="F15" s="904">
        <v>31.67</v>
      </c>
      <c r="G15" s="904">
        <v>31.67</v>
      </c>
      <c r="H15" s="904"/>
      <c r="I15" s="904">
        <v>0</v>
      </c>
      <c r="J15" s="904">
        <v>0</v>
      </c>
      <c r="K15" s="904">
        <v>0</v>
      </c>
      <c r="L15" s="904">
        <v>0</v>
      </c>
      <c r="M15" s="904">
        <v>300.87</v>
      </c>
      <c r="N15" s="904">
        <v>0</v>
      </c>
      <c r="O15" s="904">
        <v>0</v>
      </c>
      <c r="P15" s="904">
        <v>0</v>
      </c>
      <c r="Q15" s="904">
        <v>126.68</v>
      </c>
      <c r="R15" s="904">
        <v>0</v>
      </c>
      <c r="S15" s="904">
        <v>0</v>
      </c>
      <c r="T15" s="904">
        <v>0</v>
      </c>
      <c r="U15" s="909"/>
      <c r="V15" s="957">
        <f t="shared" si="9"/>
        <v>427.55</v>
      </c>
      <c r="W15" s="909"/>
      <c r="X15" s="906">
        <f t="shared" si="2"/>
        <v>0</v>
      </c>
      <c r="Y15" s="906">
        <f t="shared" si="2"/>
        <v>0</v>
      </c>
      <c r="Z15" s="906">
        <f t="shared" si="2"/>
        <v>0</v>
      </c>
      <c r="AA15" s="909">
        <f t="shared" si="3"/>
        <v>0</v>
      </c>
      <c r="AB15" s="909">
        <f t="shared" si="3"/>
        <v>9.5001578781180918</v>
      </c>
      <c r="AC15" s="909">
        <f t="shared" si="3"/>
        <v>0</v>
      </c>
      <c r="AD15" s="909">
        <f t="shared" si="3"/>
        <v>0</v>
      </c>
      <c r="AE15" s="909">
        <f t="shared" si="3"/>
        <v>0</v>
      </c>
      <c r="AF15" s="909">
        <f t="shared" si="3"/>
        <v>4</v>
      </c>
      <c r="AG15" s="909">
        <f t="shared" si="3"/>
        <v>0</v>
      </c>
      <c r="AH15" s="909">
        <f t="shared" si="3"/>
        <v>0</v>
      </c>
      <c r="AI15" s="909">
        <f t="shared" si="3"/>
        <v>0</v>
      </c>
      <c r="AJ15" s="907">
        <f t="shared" si="4"/>
        <v>1.1250131565098409</v>
      </c>
      <c r="AL15" s="1146"/>
      <c r="AM15" s="1140">
        <f t="shared" ca="1" si="5"/>
        <v>-7.055163536378501</v>
      </c>
      <c r="AO15" s="1140">
        <f t="shared" ca="1" si="6"/>
        <v>-95.245821597051702</v>
      </c>
      <c r="AQ15" s="1140">
        <f t="shared" ca="1" si="7"/>
        <v>24.614836463621501</v>
      </c>
      <c r="AS15" s="1140">
        <f t="shared" ca="1" si="8"/>
        <v>332.30417840294831</v>
      </c>
    </row>
    <row r="16" spans="1:45">
      <c r="A16" s="884" t="str">
        <f t="shared" si="10"/>
        <v>JBLM HOUSINGResidentialOW-RES</v>
      </c>
      <c r="B16" s="889" t="s">
        <v>1959</v>
      </c>
      <c r="C16" s="889" t="s">
        <v>1960</v>
      </c>
      <c r="D16" s="889" t="s">
        <v>1950</v>
      </c>
      <c r="E16" s="883">
        <v>32001</v>
      </c>
      <c r="F16" s="904">
        <v>0</v>
      </c>
      <c r="G16" s="904">
        <v>0</v>
      </c>
      <c r="H16" s="904"/>
      <c r="I16" s="904">
        <v>0</v>
      </c>
      <c r="J16" s="904">
        <v>0</v>
      </c>
      <c r="K16" s="904">
        <v>0</v>
      </c>
      <c r="L16" s="904">
        <v>0</v>
      </c>
      <c r="M16" s="904">
        <v>0</v>
      </c>
      <c r="N16" s="904">
        <v>0</v>
      </c>
      <c r="O16" s="904">
        <v>0</v>
      </c>
      <c r="P16" s="904">
        <v>0</v>
      </c>
      <c r="Q16" s="904">
        <v>0</v>
      </c>
      <c r="R16" s="904">
        <v>1633.14</v>
      </c>
      <c r="S16" s="904">
        <v>2979.9</v>
      </c>
      <c r="T16" s="904">
        <v>4326.66</v>
      </c>
      <c r="U16" s="909"/>
      <c r="V16" s="957">
        <f t="shared" si="9"/>
        <v>8939.7000000000007</v>
      </c>
      <c r="W16" s="909"/>
      <c r="X16" s="906">
        <f t="shared" si="2"/>
        <v>0</v>
      </c>
      <c r="Y16" s="906">
        <f t="shared" si="2"/>
        <v>0</v>
      </c>
      <c r="Z16" s="906">
        <f t="shared" si="2"/>
        <v>0</v>
      </c>
      <c r="AA16" s="909">
        <f t="shared" si="3"/>
        <v>0</v>
      </c>
      <c r="AB16" s="909">
        <f t="shared" si="3"/>
        <v>0</v>
      </c>
      <c r="AC16" s="909">
        <f t="shared" si="3"/>
        <v>0</v>
      </c>
      <c r="AD16" s="909">
        <f t="shared" si="3"/>
        <v>0</v>
      </c>
      <c r="AE16" s="909">
        <f t="shared" si="3"/>
        <v>0</v>
      </c>
      <c r="AF16" s="909">
        <f t="shared" si="3"/>
        <v>0</v>
      </c>
      <c r="AG16" s="909">
        <f t="shared" si="3"/>
        <v>0</v>
      </c>
      <c r="AH16" s="909">
        <f t="shared" si="3"/>
        <v>0</v>
      </c>
      <c r="AI16" s="909">
        <f t="shared" si="3"/>
        <v>0</v>
      </c>
      <c r="AJ16" s="907">
        <f t="shared" si="4"/>
        <v>0</v>
      </c>
      <c r="AL16" s="1146"/>
      <c r="AM16" s="1140">
        <f t="shared" ca="1" si="5"/>
        <v>0</v>
      </c>
      <c r="AO16" s="1140">
        <f t="shared" ca="1" si="6"/>
        <v>0</v>
      </c>
      <c r="AQ16" s="1140">
        <f t="shared" ca="1" si="7"/>
        <v>0</v>
      </c>
      <c r="AS16" s="1140">
        <f t="shared" ca="1" si="8"/>
        <v>8939.7000000000007</v>
      </c>
    </row>
    <row r="17" spans="1:45" s="882" customFormat="1">
      <c r="A17" s="884" t="str">
        <f t="shared" si="10"/>
        <v>JBLM HOUSINGResidentialDISPFEDMSW-RES</v>
      </c>
      <c r="B17" s="889" t="s">
        <v>2332</v>
      </c>
      <c r="C17" s="889" t="s">
        <v>2333</v>
      </c>
      <c r="D17" s="889" t="s">
        <v>409</v>
      </c>
      <c r="E17" s="883">
        <v>32000</v>
      </c>
      <c r="F17" s="904">
        <v>107.83</v>
      </c>
      <c r="G17" s="904">
        <v>112.64</v>
      </c>
      <c r="H17" s="904"/>
      <c r="I17" s="904">
        <v>1056.73</v>
      </c>
      <c r="J17" s="904">
        <v>1601.28</v>
      </c>
      <c r="K17" s="904">
        <v>1093.4000000000001</v>
      </c>
      <c r="L17" s="904">
        <v>756.97</v>
      </c>
      <c r="M17" s="904">
        <v>2693.22</v>
      </c>
      <c r="N17" s="904">
        <v>2154.8000000000002</v>
      </c>
      <c r="O17" s="904">
        <v>1999.36</v>
      </c>
      <c r="P17" s="904">
        <v>3748.66</v>
      </c>
      <c r="Q17" s="904">
        <v>2591.85</v>
      </c>
      <c r="R17" s="904">
        <v>2428.52</v>
      </c>
      <c r="S17" s="904">
        <v>1779.71</v>
      </c>
      <c r="T17" s="904">
        <v>1720.01</v>
      </c>
      <c r="U17" s="909"/>
      <c r="V17" s="957">
        <f t="shared" si="9"/>
        <v>23624.51</v>
      </c>
      <c r="W17" s="909"/>
      <c r="X17" s="906">
        <f t="shared" si="2"/>
        <v>9.7999629045720127</v>
      </c>
      <c r="Y17" s="906">
        <f t="shared" si="2"/>
        <v>14.850041732356488</v>
      </c>
      <c r="Z17" s="906">
        <f t="shared" si="2"/>
        <v>10.140035240656591</v>
      </c>
      <c r="AA17" s="909">
        <f t="shared" si="3"/>
        <v>6.7202592329545459</v>
      </c>
      <c r="AB17" s="909">
        <f t="shared" si="3"/>
        <v>23.909978693181817</v>
      </c>
      <c r="AC17" s="909">
        <f t="shared" si="3"/>
        <v>19.129971590909093</v>
      </c>
      <c r="AD17" s="909">
        <f t="shared" si="3"/>
        <v>17.75</v>
      </c>
      <c r="AE17" s="909">
        <f t="shared" si="3"/>
        <v>33.280007102272727</v>
      </c>
      <c r="AF17" s="909">
        <f t="shared" si="3"/>
        <v>23.010031960227273</v>
      </c>
      <c r="AG17" s="909">
        <f t="shared" si="3"/>
        <v>21.560014204545453</v>
      </c>
      <c r="AH17" s="909">
        <f t="shared" si="3"/>
        <v>15.799982244318182</v>
      </c>
      <c r="AI17" s="909">
        <f t="shared" si="3"/>
        <v>15.269975142045455</v>
      </c>
      <c r="AJ17" s="907">
        <f t="shared" si="4"/>
        <v>17.601688337336636</v>
      </c>
      <c r="AL17" s="1146"/>
      <c r="AM17" s="1140">
        <f t="shared" ca="1" si="5"/>
        <v>-25.092946660488611</v>
      </c>
      <c r="AN17" s="1137"/>
      <c r="AO17" s="1140">
        <f t="shared" ca="1" si="6"/>
        <v>-5300.1387189999923</v>
      </c>
      <c r="AP17" s="1137"/>
      <c r="AQ17" s="1140">
        <f t="shared" ca="1" si="7"/>
        <v>87.547053339511393</v>
      </c>
      <c r="AR17" s="1137"/>
      <c r="AS17" s="1140">
        <f t="shared" ca="1" si="8"/>
        <v>18324.371281000007</v>
      </c>
    </row>
    <row r="18" spans="1:45">
      <c r="A18" s="884" t="str">
        <f t="shared" si="10"/>
        <v>JBLM HOUSINGResidentialPDBAG-RES</v>
      </c>
      <c r="B18" s="889" t="s">
        <v>2334</v>
      </c>
      <c r="C18" s="889" t="s">
        <v>2335</v>
      </c>
      <c r="D18" s="889" t="s">
        <v>409</v>
      </c>
      <c r="E18" s="883">
        <v>32000</v>
      </c>
      <c r="F18" s="904">
        <v>0</v>
      </c>
      <c r="G18" s="904">
        <v>5.09</v>
      </c>
      <c r="H18" s="904"/>
      <c r="I18" s="904">
        <v>748.5</v>
      </c>
      <c r="J18" s="904">
        <v>0</v>
      </c>
      <c r="K18" s="904">
        <v>0</v>
      </c>
      <c r="L18" s="904">
        <v>763.5</v>
      </c>
      <c r="M18" s="904">
        <v>0</v>
      </c>
      <c r="N18" s="904">
        <v>0</v>
      </c>
      <c r="O18" s="904">
        <v>0</v>
      </c>
      <c r="P18" s="904">
        <v>0</v>
      </c>
      <c r="Q18" s="904">
        <v>0</v>
      </c>
      <c r="R18" s="904">
        <v>0</v>
      </c>
      <c r="S18" s="904">
        <v>0</v>
      </c>
      <c r="T18" s="904">
        <v>0</v>
      </c>
      <c r="U18" s="909"/>
      <c r="V18" s="957">
        <f t="shared" si="9"/>
        <v>1512</v>
      </c>
      <c r="W18" s="909"/>
      <c r="X18" s="906">
        <f t="shared" si="2"/>
        <v>0</v>
      </c>
      <c r="Y18" s="906">
        <f t="shared" si="2"/>
        <v>0</v>
      </c>
      <c r="Z18" s="906">
        <f t="shared" si="2"/>
        <v>0</v>
      </c>
      <c r="AA18" s="909">
        <f t="shared" si="3"/>
        <v>150</v>
      </c>
      <c r="AB18" s="909">
        <f t="shared" si="3"/>
        <v>0</v>
      </c>
      <c r="AC18" s="909">
        <f t="shared" si="3"/>
        <v>0</v>
      </c>
      <c r="AD18" s="909">
        <f t="shared" si="3"/>
        <v>0</v>
      </c>
      <c r="AE18" s="909">
        <f t="shared" si="3"/>
        <v>0</v>
      </c>
      <c r="AF18" s="909">
        <f t="shared" si="3"/>
        <v>0</v>
      </c>
      <c r="AG18" s="909">
        <f t="shared" si="3"/>
        <v>0</v>
      </c>
      <c r="AH18" s="909">
        <f t="shared" si="3"/>
        <v>0</v>
      </c>
      <c r="AI18" s="909">
        <f t="shared" si="3"/>
        <v>0</v>
      </c>
      <c r="AJ18" s="907">
        <f t="shared" si="4"/>
        <v>12.5</v>
      </c>
      <c r="AL18" s="1146"/>
      <c r="AM18" s="1140">
        <f t="shared" ca="1" si="5"/>
        <v>-1.1339053489159003</v>
      </c>
      <c r="AO18" s="1140">
        <f t="shared" ca="1" si="6"/>
        <v>-170.08580233738505</v>
      </c>
      <c r="AQ18" s="1140">
        <f t="shared" ca="1" si="7"/>
        <v>3.9560946510840997</v>
      </c>
      <c r="AS18" s="1140">
        <f t="shared" ca="1" si="8"/>
        <v>1341.9141976626149</v>
      </c>
    </row>
    <row r="19" spans="1:45">
      <c r="A19" s="884" t="str">
        <f t="shared" si="10"/>
        <v>JBLM HOUSINGResidentialREINSTATE-RES</v>
      </c>
      <c r="B19" s="889" t="s">
        <v>1981</v>
      </c>
      <c r="C19" s="889" t="s">
        <v>1982</v>
      </c>
      <c r="D19" s="889" t="s">
        <v>1950</v>
      </c>
      <c r="E19" s="883">
        <v>32001</v>
      </c>
      <c r="F19" s="904">
        <v>12.65</v>
      </c>
      <c r="G19" s="904">
        <v>12.65</v>
      </c>
      <c r="H19" s="904"/>
      <c r="I19" s="904">
        <v>12.65</v>
      </c>
      <c r="J19" s="904">
        <v>0</v>
      </c>
      <c r="K19" s="904">
        <v>0</v>
      </c>
      <c r="L19" s="904">
        <v>0</v>
      </c>
      <c r="M19" s="904">
        <v>0</v>
      </c>
      <c r="N19" s="904">
        <v>0</v>
      </c>
      <c r="O19" s="904">
        <v>0</v>
      </c>
      <c r="P19" s="904">
        <v>0</v>
      </c>
      <c r="Q19" s="904">
        <v>0</v>
      </c>
      <c r="R19" s="904">
        <v>12.65</v>
      </c>
      <c r="S19" s="904">
        <v>0</v>
      </c>
      <c r="T19" s="904">
        <v>12.65</v>
      </c>
      <c r="U19" s="909"/>
      <c r="V19" s="957">
        <f t="shared" ref="V19:V20" si="11">SUM(I19:T19)</f>
        <v>37.950000000000003</v>
      </c>
      <c r="W19" s="909"/>
      <c r="X19" s="906">
        <f t="shared" si="2"/>
        <v>1</v>
      </c>
      <c r="Y19" s="906">
        <f t="shared" si="2"/>
        <v>0</v>
      </c>
      <c r="Z19" s="906">
        <f t="shared" si="2"/>
        <v>0</v>
      </c>
      <c r="AA19" s="909">
        <f t="shared" si="3"/>
        <v>0</v>
      </c>
      <c r="AB19" s="909">
        <f t="shared" si="3"/>
        <v>0</v>
      </c>
      <c r="AC19" s="909">
        <f t="shared" si="3"/>
        <v>0</v>
      </c>
      <c r="AD19" s="909">
        <f t="shared" si="3"/>
        <v>0</v>
      </c>
      <c r="AE19" s="909">
        <f t="shared" si="3"/>
        <v>0</v>
      </c>
      <c r="AF19" s="909">
        <f t="shared" si="3"/>
        <v>0</v>
      </c>
      <c r="AG19" s="909">
        <f t="shared" si="3"/>
        <v>1</v>
      </c>
      <c r="AH19" s="909">
        <f t="shared" si="3"/>
        <v>0</v>
      </c>
      <c r="AI19" s="909">
        <f t="shared" si="3"/>
        <v>1</v>
      </c>
      <c r="AJ19" s="907">
        <f t="shared" si="4"/>
        <v>0.25</v>
      </c>
      <c r="AL19" s="1146"/>
      <c r="AM19" s="1140">
        <f t="shared" ca="1" si="5"/>
        <v>-2.8180555331603423</v>
      </c>
      <c r="AO19" s="1140">
        <f t="shared" ca="1" si="6"/>
        <v>-8.4541665994810273</v>
      </c>
      <c r="AQ19" s="1140">
        <f t="shared" ca="1" si="7"/>
        <v>9.8319444668396585</v>
      </c>
      <c r="AS19" s="1140">
        <f t="shared" ca="1" si="8"/>
        <v>29.495833400518976</v>
      </c>
    </row>
    <row r="20" spans="1:45">
      <c r="A20" s="884" t="str">
        <f t="shared" si="10"/>
        <v>JBLM HOUSINGResidentialTIME-RES</v>
      </c>
      <c r="B20" s="889" t="s">
        <v>1989</v>
      </c>
      <c r="C20" s="889" t="s">
        <v>1990</v>
      </c>
      <c r="D20" s="889" t="s">
        <v>1950</v>
      </c>
      <c r="E20" s="883">
        <v>32001</v>
      </c>
      <c r="F20" s="904">
        <v>106</v>
      </c>
      <c r="G20" s="904">
        <v>106</v>
      </c>
      <c r="H20" s="904"/>
      <c r="I20" s="904">
        <v>646.88</v>
      </c>
      <c r="J20" s="904">
        <v>976.5</v>
      </c>
      <c r="K20" s="904">
        <v>516.38</v>
      </c>
      <c r="L20" s="904">
        <v>779.63</v>
      </c>
      <c r="M20" s="904">
        <v>2572.8200000000002</v>
      </c>
      <c r="N20" s="904">
        <v>1235.25</v>
      </c>
      <c r="O20" s="904">
        <v>2260.13</v>
      </c>
      <c r="P20" s="904">
        <v>2018.25</v>
      </c>
      <c r="Q20" s="904">
        <v>1285.8800000000001</v>
      </c>
      <c r="R20" s="904">
        <v>5438</v>
      </c>
      <c r="S20" s="904">
        <v>459.24</v>
      </c>
      <c r="T20" s="904">
        <v>1691.01</v>
      </c>
      <c r="U20" s="909"/>
      <c r="V20" s="957">
        <f t="shared" si="11"/>
        <v>19879.97</v>
      </c>
      <c r="W20" s="909"/>
      <c r="X20" s="906">
        <f t="shared" si="2"/>
        <v>6.1026415094339619</v>
      </c>
      <c r="Y20" s="906">
        <f t="shared" si="2"/>
        <v>9.2122641509433958</v>
      </c>
      <c r="Z20" s="906">
        <f t="shared" si="2"/>
        <v>4.871509433962264</v>
      </c>
      <c r="AA20" s="909">
        <f t="shared" si="3"/>
        <v>7.3549999999999995</v>
      </c>
      <c r="AB20" s="909">
        <f t="shared" si="3"/>
        <v>24.271886792452833</v>
      </c>
      <c r="AC20" s="909">
        <f t="shared" si="3"/>
        <v>11.653301886792454</v>
      </c>
      <c r="AD20" s="909">
        <f t="shared" si="3"/>
        <v>21.321981132075472</v>
      </c>
      <c r="AE20" s="909">
        <f t="shared" si="3"/>
        <v>19.040094339622641</v>
      </c>
      <c r="AF20" s="909">
        <f t="shared" si="3"/>
        <v>12.130943396226415</v>
      </c>
      <c r="AG20" s="909">
        <f t="shared" si="3"/>
        <v>51.301886792452834</v>
      </c>
      <c r="AH20" s="909">
        <f t="shared" si="3"/>
        <v>4.3324528301886795</v>
      </c>
      <c r="AI20" s="909">
        <f t="shared" si="3"/>
        <v>15.952924528301887</v>
      </c>
      <c r="AJ20" s="907">
        <f t="shared" si="4"/>
        <v>15.628907232704401</v>
      </c>
      <c r="AL20" s="1146"/>
      <c r="AM20" s="1140">
        <f t="shared" ca="1" si="5"/>
        <v>-23.613745969564921</v>
      </c>
      <c r="AO20" s="1140">
        <f t="shared" ca="1" si="6"/>
        <v>-4428.6845420997306</v>
      </c>
      <c r="AQ20" s="1140">
        <f t="shared" ca="1" si="7"/>
        <v>82.386254030435083</v>
      </c>
      <c r="AS20" s="1140">
        <f t="shared" ca="1" si="8"/>
        <v>15451.285457900271</v>
      </c>
    </row>
    <row r="21" spans="1:45">
      <c r="B21" s="889"/>
      <c r="C21" s="889"/>
      <c r="D21" s="889"/>
      <c r="F21" s="904"/>
      <c r="G21" s="904"/>
      <c r="H21" s="904"/>
      <c r="I21" s="904"/>
      <c r="J21" s="904"/>
      <c r="K21" s="904"/>
      <c r="L21" s="904"/>
      <c r="M21" s="904"/>
      <c r="N21" s="904"/>
      <c r="O21" s="904"/>
      <c r="P21" s="904"/>
      <c r="Q21" s="904"/>
      <c r="R21" s="904"/>
      <c r="S21" s="904"/>
      <c r="T21" s="904"/>
      <c r="U21" s="909"/>
      <c r="V21" s="957"/>
      <c r="W21" s="909"/>
      <c r="X21" s="906"/>
      <c r="Y21" s="906"/>
      <c r="Z21" s="906"/>
      <c r="AA21" s="909"/>
      <c r="AB21" s="909"/>
      <c r="AC21" s="909"/>
      <c r="AD21" s="909"/>
      <c r="AE21" s="909"/>
      <c r="AF21" s="909"/>
      <c r="AG21" s="909"/>
      <c r="AH21" s="909"/>
      <c r="AI21" s="909"/>
      <c r="AJ21" s="907"/>
      <c r="AL21" s="1146"/>
      <c r="AM21" s="1140"/>
      <c r="AO21" s="1140"/>
      <c r="AQ21" s="1140"/>
      <c r="AS21" s="1140"/>
    </row>
    <row r="22" spans="1:45">
      <c r="B22" s="889"/>
      <c r="C22" s="910" t="s">
        <v>1994</v>
      </c>
      <c r="D22" s="889"/>
      <c r="F22" s="904"/>
      <c r="G22" s="904"/>
      <c r="H22" s="911"/>
      <c r="I22" s="912">
        <f t="shared" ref="I22:T22" si="12">SUM(I11:I20)</f>
        <v>116953.34</v>
      </c>
      <c r="J22" s="912">
        <f t="shared" si="12"/>
        <v>188623.98</v>
      </c>
      <c r="K22" s="912">
        <f t="shared" si="12"/>
        <v>44421.909999999989</v>
      </c>
      <c r="L22" s="912">
        <f t="shared" si="12"/>
        <v>118837.70999999999</v>
      </c>
      <c r="M22" s="912">
        <f t="shared" si="12"/>
        <v>121977.51</v>
      </c>
      <c r="N22" s="912">
        <f t="shared" si="12"/>
        <v>119898.78000000001</v>
      </c>
      <c r="O22" s="912">
        <f t="shared" si="12"/>
        <v>120685.72000000002</v>
      </c>
      <c r="P22" s="912">
        <f t="shared" si="12"/>
        <v>122239.54000000001</v>
      </c>
      <c r="Q22" s="912">
        <f t="shared" si="12"/>
        <v>120577.68000000001</v>
      </c>
      <c r="R22" s="912">
        <f t="shared" si="12"/>
        <v>126077.18</v>
      </c>
      <c r="S22" s="912">
        <f t="shared" si="12"/>
        <v>121816.58</v>
      </c>
      <c r="T22" s="912">
        <f t="shared" si="12"/>
        <v>124418.77999999998</v>
      </c>
      <c r="U22" s="966"/>
      <c r="V22" s="912">
        <f>SUM(V11:V20)</f>
        <v>1446528.7099999997</v>
      </c>
      <c r="W22" s="914"/>
      <c r="X22" s="913">
        <f t="shared" ref="X22:AI22" si="13">SUM(X11:X14)</f>
        <v>4248</v>
      </c>
      <c r="Y22" s="913">
        <f t="shared" si="13"/>
        <v>7541.6428900138053</v>
      </c>
      <c r="Z22" s="913">
        <f t="shared" si="13"/>
        <v>950.10722503451393</v>
      </c>
      <c r="AA22" s="913">
        <f t="shared" si="13"/>
        <v>4248</v>
      </c>
      <c r="AB22" s="913">
        <f t="shared" si="13"/>
        <v>4243.25</v>
      </c>
      <c r="AC22" s="913">
        <f t="shared" si="13"/>
        <v>4247</v>
      </c>
      <c r="AD22" s="913">
        <f t="shared" si="13"/>
        <v>4244.1433518005542</v>
      </c>
      <c r="AE22" s="913">
        <f t="shared" si="13"/>
        <v>4245.75</v>
      </c>
      <c r="AF22" s="913">
        <f t="shared" si="13"/>
        <v>4249</v>
      </c>
      <c r="AG22" s="913">
        <f t="shared" si="13"/>
        <v>4248.8499999999995</v>
      </c>
      <c r="AH22" s="913">
        <f t="shared" si="13"/>
        <v>4249.7999999999993</v>
      </c>
      <c r="AI22" s="913">
        <f t="shared" si="13"/>
        <v>4253</v>
      </c>
      <c r="AJ22" s="912">
        <f>AVERAGE(X22:AI22)</f>
        <v>4247.3786222374065</v>
      </c>
      <c r="AL22" s="1146"/>
      <c r="AM22" s="1140"/>
      <c r="AO22" s="1143">
        <f ca="1">SUM(AO11:AO20)</f>
        <v>-321497.37933241477</v>
      </c>
      <c r="AQ22" s="1140"/>
      <c r="AS22" s="1143">
        <f ca="1">SUM(AS11:AS20)</f>
        <v>1125031.3306675851</v>
      </c>
    </row>
    <row r="23" spans="1:45">
      <c r="B23" s="889"/>
      <c r="C23" s="889"/>
      <c r="D23" s="889"/>
      <c r="F23" s="904"/>
      <c r="G23" s="904"/>
      <c r="H23" s="911"/>
      <c r="I23" s="904"/>
      <c r="J23" s="904"/>
      <c r="K23" s="904"/>
      <c r="L23" s="904"/>
      <c r="M23" s="904"/>
      <c r="N23" s="904"/>
      <c r="O23" s="904"/>
      <c r="P23" s="904"/>
      <c r="Q23" s="904"/>
      <c r="R23" s="904"/>
      <c r="S23" s="904"/>
      <c r="T23" s="904"/>
      <c r="U23" s="911"/>
      <c r="V23" s="967"/>
      <c r="W23" s="944"/>
      <c r="X23" s="906"/>
      <c r="Y23" s="906"/>
      <c r="Z23" s="906"/>
      <c r="AA23" s="909"/>
      <c r="AB23" s="909"/>
      <c r="AC23" s="909"/>
      <c r="AD23" s="909"/>
      <c r="AE23" s="909"/>
      <c r="AF23" s="909"/>
      <c r="AG23" s="909"/>
      <c r="AH23" s="909"/>
      <c r="AI23" s="909"/>
      <c r="AL23" s="1146"/>
      <c r="AM23" s="1140"/>
      <c r="AO23" s="1140"/>
      <c r="AQ23" s="1140"/>
      <c r="AS23" s="1140"/>
    </row>
    <row r="24" spans="1:45">
      <c r="B24" s="918" t="s">
        <v>1998</v>
      </c>
      <c r="C24" s="889"/>
      <c r="D24" s="889"/>
      <c r="F24" s="904"/>
      <c r="G24" s="904"/>
      <c r="H24" s="911"/>
      <c r="I24" s="904"/>
      <c r="J24" s="904"/>
      <c r="K24" s="904"/>
      <c r="L24" s="904"/>
      <c r="M24" s="904"/>
      <c r="N24" s="904"/>
      <c r="O24" s="904"/>
      <c r="P24" s="904"/>
      <c r="Q24" s="904"/>
      <c r="R24" s="904"/>
      <c r="S24" s="904"/>
      <c r="T24" s="904"/>
      <c r="U24" s="911"/>
      <c r="V24" s="967"/>
      <c r="W24" s="944"/>
      <c r="X24" s="906"/>
      <c r="Y24" s="906"/>
      <c r="Z24" s="906"/>
      <c r="AA24" s="909"/>
      <c r="AB24" s="909"/>
      <c r="AC24" s="909"/>
      <c r="AD24" s="909"/>
      <c r="AE24" s="909"/>
      <c r="AF24" s="909"/>
      <c r="AG24" s="909"/>
      <c r="AH24" s="909"/>
      <c r="AI24" s="909"/>
      <c r="AL24" s="1146"/>
      <c r="AM24" s="1140"/>
      <c r="AO24" s="1140"/>
      <c r="AQ24" s="1140"/>
      <c r="AS24" s="1140"/>
    </row>
    <row r="25" spans="1:45">
      <c r="A25" s="884" t="str">
        <f>$B$3&amp;"Residential"&amp;B25</f>
        <v>JBLM HOUSINGResidentialRECBINONLYR</v>
      </c>
      <c r="B25" s="889" t="s">
        <v>1999</v>
      </c>
      <c r="C25" s="889" t="s">
        <v>2000</v>
      </c>
      <c r="D25" s="889" t="s">
        <v>410</v>
      </c>
      <c r="E25" s="883">
        <v>32100</v>
      </c>
      <c r="F25" s="904">
        <v>5.07</v>
      </c>
      <c r="G25" s="904">
        <v>5.07</v>
      </c>
      <c r="H25" s="904"/>
      <c r="I25" s="904">
        <v>10.14</v>
      </c>
      <c r="J25" s="904">
        <v>10.14</v>
      </c>
      <c r="K25" s="904">
        <v>10.14</v>
      </c>
      <c r="L25" s="904">
        <v>10.14</v>
      </c>
      <c r="M25" s="904">
        <v>10.14</v>
      </c>
      <c r="N25" s="904">
        <v>10.14</v>
      </c>
      <c r="O25" s="904">
        <v>10.14</v>
      </c>
      <c r="P25" s="904">
        <v>10.14</v>
      </c>
      <c r="Q25" s="904">
        <v>10.14</v>
      </c>
      <c r="R25" s="904">
        <v>10.14</v>
      </c>
      <c r="S25" s="904">
        <v>10.14</v>
      </c>
      <c r="T25" s="904">
        <v>10.14</v>
      </c>
      <c r="U25" s="909"/>
      <c r="V25" s="957">
        <f>SUM(I25:T25)</f>
        <v>121.68</v>
      </c>
      <c r="W25" s="909"/>
      <c r="X25" s="906">
        <f t="shared" ref="X25:Z27" si="14">IFERROR(I25/$F25,0)</f>
        <v>2</v>
      </c>
      <c r="Y25" s="906">
        <f t="shared" si="14"/>
        <v>2</v>
      </c>
      <c r="Z25" s="906">
        <f t="shared" si="14"/>
        <v>2</v>
      </c>
      <c r="AA25" s="909">
        <f t="shared" ref="AA25:AI27" si="15">IFERROR(L25/$G25,0)</f>
        <v>2</v>
      </c>
      <c r="AB25" s="909">
        <f t="shared" si="15"/>
        <v>2</v>
      </c>
      <c r="AC25" s="909">
        <f t="shared" si="15"/>
        <v>2</v>
      </c>
      <c r="AD25" s="909">
        <f t="shared" si="15"/>
        <v>2</v>
      </c>
      <c r="AE25" s="909">
        <f t="shared" si="15"/>
        <v>2</v>
      </c>
      <c r="AF25" s="909">
        <f t="shared" si="15"/>
        <v>2</v>
      </c>
      <c r="AG25" s="909">
        <f t="shared" si="15"/>
        <v>2</v>
      </c>
      <c r="AH25" s="909">
        <f t="shared" si="15"/>
        <v>2</v>
      </c>
      <c r="AI25" s="909">
        <f t="shared" si="15"/>
        <v>2</v>
      </c>
      <c r="AJ25" s="907">
        <f>AVERAGE(X25:AI25)</f>
        <v>2</v>
      </c>
      <c r="AL25" s="1146"/>
      <c r="AM25" s="1140">
        <f ca="1">G25*$AS$3</f>
        <v>1.6576663603390109</v>
      </c>
      <c r="AO25" s="1140">
        <f ca="1">AJ25*AM25*12</f>
        <v>39.783992648136262</v>
      </c>
      <c r="AQ25" s="1140">
        <f ca="1">G25+AM25</f>
        <v>6.7276663603390112</v>
      </c>
      <c r="AS25" s="1140">
        <f ca="1">V25+AO25</f>
        <v>161.46399264813627</v>
      </c>
    </row>
    <row r="26" spans="1:45">
      <c r="A26" s="884" t="str">
        <f>$B$3&amp;"Residential"&amp;B26</f>
        <v>JBLM HOUSINGResidentialRECPROGADJ-RES</v>
      </c>
      <c r="B26" s="889" t="s">
        <v>2001</v>
      </c>
      <c r="C26" s="889" t="s">
        <v>2002</v>
      </c>
      <c r="D26" s="889" t="s">
        <v>410</v>
      </c>
      <c r="E26" s="883">
        <v>32100</v>
      </c>
      <c r="F26" s="904">
        <v>5.07</v>
      </c>
      <c r="G26" s="904">
        <v>5.07</v>
      </c>
      <c r="H26" s="904"/>
      <c r="I26" s="904">
        <v>21288.93</v>
      </c>
      <c r="J26" s="904">
        <v>21283.86</v>
      </c>
      <c r="K26" s="904">
        <v>21283.86</v>
      </c>
      <c r="L26" s="904">
        <v>21283.86</v>
      </c>
      <c r="M26" s="904">
        <v>21287.66</v>
      </c>
      <c r="N26" s="904">
        <v>21288.93</v>
      </c>
      <c r="O26" s="904">
        <v>21288.93</v>
      </c>
      <c r="P26" s="904">
        <v>21288.93</v>
      </c>
      <c r="Q26" s="904">
        <v>21309.21</v>
      </c>
      <c r="R26" s="904">
        <v>21258.510000000002</v>
      </c>
      <c r="S26" s="904">
        <v>21283.86</v>
      </c>
      <c r="T26" s="904">
        <v>21288.93</v>
      </c>
      <c r="U26" s="909"/>
      <c r="V26" s="957">
        <f>SUM(I26:T26)</f>
        <v>255435.46999999997</v>
      </c>
      <c r="W26" s="909"/>
      <c r="X26" s="906">
        <f t="shared" si="14"/>
        <v>4199</v>
      </c>
      <c r="Y26" s="906">
        <f t="shared" si="14"/>
        <v>4198</v>
      </c>
      <c r="Z26" s="906">
        <f t="shared" si="14"/>
        <v>4198</v>
      </c>
      <c r="AA26" s="909">
        <f t="shared" si="15"/>
        <v>4198</v>
      </c>
      <c r="AB26" s="909">
        <f t="shared" si="15"/>
        <v>4198.749506903353</v>
      </c>
      <c r="AC26" s="909">
        <f t="shared" si="15"/>
        <v>4199</v>
      </c>
      <c r="AD26" s="909">
        <f t="shared" si="15"/>
        <v>4199</v>
      </c>
      <c r="AE26" s="909">
        <f t="shared" si="15"/>
        <v>4199</v>
      </c>
      <c r="AF26" s="909">
        <f t="shared" si="15"/>
        <v>4203</v>
      </c>
      <c r="AG26" s="909">
        <f t="shared" si="15"/>
        <v>4193</v>
      </c>
      <c r="AH26" s="909">
        <f t="shared" si="15"/>
        <v>4198</v>
      </c>
      <c r="AI26" s="909">
        <f t="shared" si="15"/>
        <v>4199</v>
      </c>
      <c r="AJ26" s="907">
        <f>AVERAGE(X26:AI26)</f>
        <v>4198.4791255752798</v>
      </c>
      <c r="AL26" s="1146"/>
      <c r="AM26" s="1140">
        <f ca="1">G26*$AS$3</f>
        <v>1.6576663603390109</v>
      </c>
      <c r="AO26" s="1140">
        <f t="shared" ref="AO26:AO27" ca="1" si="16">AJ26*AM26*12</f>
        <v>83516.131332620251</v>
      </c>
      <c r="AQ26" s="1140">
        <f t="shared" ref="AQ26:AQ27" ca="1" si="17">G26+AM26</f>
        <v>6.7276663603390112</v>
      </c>
      <c r="AS26" s="1140">
        <f t="shared" ref="AS26:AS27" ca="1" si="18">V26+AO26</f>
        <v>338951.60133262025</v>
      </c>
    </row>
    <row r="27" spans="1:45">
      <c r="A27" s="884" t="str">
        <f>$B$3&amp;"Commercial Recycle"&amp;B27</f>
        <v>JBLM HOUSINGCommercial RecycleMFWBINS</v>
      </c>
      <c r="B27" s="889" t="s">
        <v>2228</v>
      </c>
      <c r="C27" s="889" t="s">
        <v>2229</v>
      </c>
      <c r="D27" s="889" t="s">
        <v>9</v>
      </c>
      <c r="E27" s="940">
        <v>33020</v>
      </c>
      <c r="F27" s="904">
        <v>1.7</v>
      </c>
      <c r="G27" s="904">
        <v>1.7</v>
      </c>
      <c r="H27" s="904"/>
      <c r="I27" s="904">
        <v>1198.5</v>
      </c>
      <c r="J27" s="904">
        <v>1198.5</v>
      </c>
      <c r="K27" s="904">
        <v>1198.5</v>
      </c>
      <c r="L27" s="904">
        <v>1198.5</v>
      </c>
      <c r="M27" s="904">
        <v>1198.5</v>
      </c>
      <c r="N27" s="904">
        <v>1198.5</v>
      </c>
      <c r="O27" s="904">
        <v>1198.5</v>
      </c>
      <c r="P27" s="904">
        <v>1198.5</v>
      </c>
      <c r="Q27" s="904">
        <v>1198.5</v>
      </c>
      <c r="R27" s="904">
        <v>1198.5</v>
      </c>
      <c r="S27" s="904">
        <v>1198.5</v>
      </c>
      <c r="T27" s="904">
        <v>1198.5</v>
      </c>
      <c r="U27" s="909"/>
      <c r="V27" s="957">
        <f>SUM(I27:T27)</f>
        <v>14382</v>
      </c>
      <c r="W27" s="909"/>
      <c r="X27" s="906">
        <f t="shared" si="14"/>
        <v>705</v>
      </c>
      <c r="Y27" s="906">
        <f t="shared" si="14"/>
        <v>705</v>
      </c>
      <c r="Z27" s="906">
        <f t="shared" si="14"/>
        <v>705</v>
      </c>
      <c r="AA27" s="909">
        <f t="shared" si="15"/>
        <v>705</v>
      </c>
      <c r="AB27" s="909">
        <f t="shared" si="15"/>
        <v>705</v>
      </c>
      <c r="AC27" s="909">
        <f t="shared" si="15"/>
        <v>705</v>
      </c>
      <c r="AD27" s="909">
        <f t="shared" si="15"/>
        <v>705</v>
      </c>
      <c r="AE27" s="909">
        <f t="shared" si="15"/>
        <v>705</v>
      </c>
      <c r="AF27" s="909">
        <f t="shared" si="15"/>
        <v>705</v>
      </c>
      <c r="AG27" s="909">
        <f t="shared" si="15"/>
        <v>705</v>
      </c>
      <c r="AH27" s="909">
        <f t="shared" si="15"/>
        <v>705</v>
      </c>
      <c r="AI27" s="909">
        <f t="shared" si="15"/>
        <v>705</v>
      </c>
      <c r="AJ27" s="907">
        <f>AVERAGE(X27:AI27)</f>
        <v>705</v>
      </c>
      <c r="AL27" s="1146"/>
      <c r="AM27" s="1140">
        <f ca="1">G27*$AS$3</f>
        <v>0.55582501234246917</v>
      </c>
      <c r="AO27" s="1140">
        <f t="shared" ca="1" si="16"/>
        <v>4702.2796044172892</v>
      </c>
      <c r="AQ27" s="1140">
        <f t="shared" ca="1" si="17"/>
        <v>2.255825012342469</v>
      </c>
      <c r="AS27" s="1140">
        <f t="shared" ca="1" si="18"/>
        <v>19084.27960441729</v>
      </c>
    </row>
    <row r="28" spans="1:45">
      <c r="B28" s="889"/>
      <c r="C28" s="889"/>
      <c r="D28" s="889"/>
      <c r="E28" s="940"/>
      <c r="F28" s="904"/>
      <c r="G28" s="904"/>
      <c r="H28" s="904"/>
      <c r="I28" s="904"/>
      <c r="J28" s="904"/>
      <c r="K28" s="904"/>
      <c r="L28" s="904"/>
      <c r="M28" s="904"/>
      <c r="N28" s="904"/>
      <c r="O28" s="904"/>
      <c r="P28" s="904"/>
      <c r="Q28" s="904"/>
      <c r="R28" s="904"/>
      <c r="S28" s="904"/>
      <c r="T28" s="904"/>
      <c r="U28" s="909"/>
      <c r="V28" s="957"/>
      <c r="W28" s="909"/>
      <c r="X28" s="906"/>
      <c r="Y28" s="906"/>
      <c r="Z28" s="906"/>
      <c r="AA28" s="909"/>
      <c r="AB28" s="909"/>
      <c r="AC28" s="909"/>
      <c r="AD28" s="909"/>
      <c r="AE28" s="909"/>
      <c r="AF28" s="909"/>
      <c r="AG28" s="909"/>
      <c r="AH28" s="909"/>
      <c r="AI28" s="909"/>
      <c r="AL28" s="1146"/>
      <c r="AM28" s="1140"/>
      <c r="AO28" s="1140"/>
      <c r="AQ28" s="1140"/>
      <c r="AS28" s="1140"/>
    </row>
    <row r="29" spans="1:45">
      <c r="B29" s="889"/>
      <c r="C29" s="910" t="s">
        <v>2004</v>
      </c>
      <c r="D29" s="889"/>
      <c r="F29" s="904"/>
      <c r="G29" s="904"/>
      <c r="H29" s="911"/>
      <c r="I29" s="912">
        <f>SUM(I25:I28)</f>
        <v>22497.57</v>
      </c>
      <c r="J29" s="912">
        <f>SUM(J25:J28)</f>
        <v>22492.5</v>
      </c>
      <c r="K29" s="912">
        <f>SUM(K25:K28)</f>
        <v>22492.5</v>
      </c>
      <c r="L29" s="912">
        <f>SUM(L25:L28)</f>
        <v>22492.5</v>
      </c>
      <c r="M29" s="912">
        <f t="shared" ref="M29:S29" si="19">SUM(M25:M28)</f>
        <v>22496.3</v>
      </c>
      <c r="N29" s="912">
        <f t="shared" si="19"/>
        <v>22497.57</v>
      </c>
      <c r="O29" s="912">
        <f t="shared" si="19"/>
        <v>22497.57</v>
      </c>
      <c r="P29" s="912">
        <f t="shared" si="19"/>
        <v>22497.57</v>
      </c>
      <c r="Q29" s="912">
        <f t="shared" si="19"/>
        <v>22517.85</v>
      </c>
      <c r="R29" s="912">
        <f t="shared" si="19"/>
        <v>22467.15</v>
      </c>
      <c r="S29" s="912">
        <f t="shared" si="19"/>
        <v>22492.5</v>
      </c>
      <c r="T29" s="912">
        <f>SUM(T25:T28)</f>
        <v>22497.57</v>
      </c>
      <c r="U29" s="966"/>
      <c r="V29" s="912">
        <f>SUM(V25:V28)</f>
        <v>269939.14999999997</v>
      </c>
      <c r="W29" s="914"/>
      <c r="X29" s="913">
        <f>SUM(X25:X28)</f>
        <v>4906</v>
      </c>
      <c r="Y29" s="913">
        <f>SUM(Y25:Y28)</f>
        <v>4905</v>
      </c>
      <c r="Z29" s="913">
        <f t="shared" ref="Z29:AI29" si="20">SUM(Z25:Z28)</f>
        <v>4905</v>
      </c>
      <c r="AA29" s="913">
        <f>SUM(AA25:AA28)</f>
        <v>4905</v>
      </c>
      <c r="AB29" s="913">
        <f t="shared" si="20"/>
        <v>4905.749506903353</v>
      </c>
      <c r="AC29" s="913">
        <f t="shared" si="20"/>
        <v>4906</v>
      </c>
      <c r="AD29" s="913">
        <f t="shared" si="20"/>
        <v>4906</v>
      </c>
      <c r="AE29" s="913">
        <f t="shared" si="20"/>
        <v>4906</v>
      </c>
      <c r="AF29" s="913">
        <f t="shared" si="20"/>
        <v>4910</v>
      </c>
      <c r="AG29" s="913">
        <f t="shared" si="20"/>
        <v>4900</v>
      </c>
      <c r="AH29" s="913">
        <f t="shared" si="20"/>
        <v>4905</v>
      </c>
      <c r="AI29" s="913">
        <f t="shared" si="20"/>
        <v>4906</v>
      </c>
      <c r="AJ29" s="912">
        <f>AVERAGE(X29:AI29)</f>
        <v>4905.4791255752798</v>
      </c>
      <c r="AL29" s="1146"/>
      <c r="AM29" s="1140"/>
      <c r="AO29" s="1143">
        <f ca="1">SUM(AO25:AO28)</f>
        <v>88258.194929685676</v>
      </c>
      <c r="AQ29" s="1140"/>
      <c r="AS29" s="1143">
        <f ca="1">SUM(AS25:AS28)</f>
        <v>358197.34492968564</v>
      </c>
    </row>
    <row r="30" spans="1:45">
      <c r="B30" s="889"/>
      <c r="C30" s="910"/>
      <c r="D30" s="889"/>
      <c r="F30" s="904"/>
      <c r="G30" s="904"/>
      <c r="H30" s="911"/>
      <c r="I30" s="908"/>
      <c r="J30" s="908"/>
      <c r="K30" s="908"/>
      <c r="L30" s="908"/>
      <c r="M30" s="908"/>
      <c r="N30" s="908"/>
      <c r="O30" s="908"/>
      <c r="P30" s="908"/>
      <c r="Q30" s="908"/>
      <c r="R30" s="908"/>
      <c r="S30" s="908"/>
      <c r="T30" s="908"/>
      <c r="U30" s="914"/>
      <c r="V30" s="968"/>
      <c r="W30" s="914"/>
      <c r="X30" s="906"/>
      <c r="Y30" s="906"/>
      <c r="Z30" s="906"/>
      <c r="AA30" s="909"/>
      <c r="AB30" s="909"/>
      <c r="AC30" s="909"/>
      <c r="AD30" s="909"/>
      <c r="AE30" s="909"/>
      <c r="AF30" s="909"/>
      <c r="AG30" s="909"/>
      <c r="AH30" s="909"/>
      <c r="AI30" s="909"/>
      <c r="AL30" s="1146"/>
      <c r="AM30" s="1140"/>
      <c r="AN30" s="1141"/>
      <c r="AO30" s="1140"/>
      <c r="AP30" s="1141"/>
      <c r="AQ30" s="1140"/>
      <c r="AR30" s="1141"/>
      <c r="AS30" s="1140"/>
    </row>
    <row r="31" spans="1:45">
      <c r="A31" s="884" t="str">
        <f>$B$3&amp;"Residential"&amp;B31</f>
        <v>JBLM HOUSINGResidentialRECVALRES</v>
      </c>
      <c r="B31" s="889" t="s">
        <v>2005</v>
      </c>
      <c r="C31" s="889" t="s">
        <v>2006</v>
      </c>
      <c r="D31" s="889" t="s">
        <v>10</v>
      </c>
      <c r="E31" s="883">
        <v>35527</v>
      </c>
      <c r="F31" s="904">
        <v>-0.48</v>
      </c>
      <c r="G31" s="904">
        <v>-0.48</v>
      </c>
      <c r="H31" s="904"/>
      <c r="I31" s="969"/>
      <c r="J31" s="969"/>
      <c r="K31" s="969"/>
      <c r="L31" s="969"/>
      <c r="M31" s="969"/>
      <c r="N31" s="969"/>
      <c r="O31" s="969"/>
      <c r="P31" s="969"/>
      <c r="Q31" s="969"/>
      <c r="R31" s="969"/>
      <c r="S31" s="969"/>
      <c r="T31" s="969"/>
      <c r="U31" s="909"/>
      <c r="V31" s="957"/>
      <c r="W31" s="909"/>
      <c r="X31" s="906">
        <f>IFERROR(I31/$F31,0)</f>
        <v>0</v>
      </c>
      <c r="Y31" s="906">
        <f>IFERROR(J31/$F31,0)</f>
        <v>0</v>
      </c>
      <c r="Z31" s="906">
        <f>IFERROR(K31/$F31,0)</f>
        <v>0</v>
      </c>
      <c r="AA31" s="909">
        <f t="shared" ref="AA31:AI31" si="21">IFERROR(L31/$G31,0)</f>
        <v>0</v>
      </c>
      <c r="AB31" s="909">
        <f t="shared" si="21"/>
        <v>0</v>
      </c>
      <c r="AC31" s="909">
        <f t="shared" si="21"/>
        <v>0</v>
      </c>
      <c r="AD31" s="909">
        <f t="shared" si="21"/>
        <v>0</v>
      </c>
      <c r="AE31" s="909">
        <f t="shared" si="21"/>
        <v>0</v>
      </c>
      <c r="AF31" s="909">
        <f t="shared" si="21"/>
        <v>0</v>
      </c>
      <c r="AG31" s="909">
        <f t="shared" si="21"/>
        <v>0</v>
      </c>
      <c r="AH31" s="909">
        <f t="shared" si="21"/>
        <v>0</v>
      </c>
      <c r="AI31" s="909">
        <f t="shared" si="21"/>
        <v>0</v>
      </c>
      <c r="AL31" s="1146"/>
      <c r="AM31" s="1140"/>
      <c r="AO31" s="1140"/>
      <c r="AQ31" s="1140"/>
      <c r="AS31" s="1140"/>
    </row>
    <row r="32" spans="1:45">
      <c r="B32" s="889"/>
      <c r="C32" s="910"/>
      <c r="D32" s="889"/>
      <c r="F32" s="904"/>
      <c r="G32" s="904"/>
      <c r="H32" s="911"/>
      <c r="I32" s="904"/>
      <c r="J32" s="904"/>
      <c r="K32" s="904"/>
      <c r="L32" s="904"/>
      <c r="M32" s="904"/>
      <c r="N32" s="904"/>
      <c r="O32" s="904"/>
      <c r="P32" s="904"/>
      <c r="Q32" s="904"/>
      <c r="R32" s="904"/>
      <c r="S32" s="904"/>
      <c r="T32" s="904"/>
      <c r="U32" s="911"/>
      <c r="V32" s="967"/>
      <c r="W32" s="944"/>
      <c r="X32" s="906"/>
      <c r="Y32" s="906"/>
      <c r="Z32" s="906"/>
      <c r="AA32" s="909"/>
      <c r="AB32" s="909"/>
      <c r="AC32" s="909"/>
      <c r="AD32" s="909"/>
      <c r="AE32" s="909"/>
      <c r="AF32" s="909"/>
      <c r="AG32" s="909"/>
      <c r="AH32" s="909"/>
      <c r="AI32" s="909"/>
      <c r="AL32" s="1146"/>
      <c r="AM32" s="1140"/>
      <c r="AO32" s="1140"/>
      <c r="AQ32" s="1140"/>
      <c r="AS32" s="1140"/>
    </row>
    <row r="33" spans="1:45">
      <c r="B33" s="918" t="s">
        <v>2007</v>
      </c>
      <c r="C33" s="889"/>
      <c r="D33" s="889"/>
      <c r="F33" s="904"/>
      <c r="G33" s="904"/>
      <c r="H33" s="911"/>
      <c r="I33" s="904"/>
      <c r="J33" s="904"/>
      <c r="K33" s="904"/>
      <c r="L33" s="904"/>
      <c r="M33" s="904"/>
      <c r="N33" s="904"/>
      <c r="O33" s="904"/>
      <c r="P33" s="904"/>
      <c r="Q33" s="904"/>
      <c r="R33" s="904"/>
      <c r="S33" s="904"/>
      <c r="T33" s="904"/>
      <c r="U33" s="911"/>
      <c r="V33" s="967"/>
      <c r="W33" s="944"/>
      <c r="X33" s="906"/>
      <c r="Y33" s="906"/>
      <c r="Z33" s="906"/>
      <c r="AA33" s="909"/>
      <c r="AB33" s="909"/>
      <c r="AC33" s="909"/>
      <c r="AD33" s="909"/>
      <c r="AE33" s="909"/>
      <c r="AF33" s="909"/>
      <c r="AG33" s="909"/>
      <c r="AH33" s="909"/>
      <c r="AI33" s="909"/>
      <c r="AL33" s="1146"/>
      <c r="AM33" s="1140"/>
      <c r="AO33" s="1140"/>
      <c r="AQ33" s="1140"/>
      <c r="AS33" s="1140"/>
    </row>
    <row r="34" spans="1:45">
      <c r="A34" s="884" t="str">
        <f>$B$3&amp;"Residential"&amp;B34</f>
        <v>JBLM HOUSINGResidentialGWRES</v>
      </c>
      <c r="B34" s="889" t="s">
        <v>2008</v>
      </c>
      <c r="C34" s="889" t="s">
        <v>2009</v>
      </c>
      <c r="D34" s="889" t="s">
        <v>2010</v>
      </c>
      <c r="E34" s="883">
        <v>32110</v>
      </c>
      <c r="F34" s="904">
        <v>5.53</v>
      </c>
      <c r="G34" s="904">
        <v>5.53</v>
      </c>
      <c r="H34" s="904"/>
      <c r="I34" s="904">
        <v>3124.45</v>
      </c>
      <c r="J34" s="904">
        <v>3129.98</v>
      </c>
      <c r="K34" s="904">
        <v>3118.92</v>
      </c>
      <c r="L34" s="904">
        <v>3129.98</v>
      </c>
      <c r="M34" s="904">
        <v>3157.63</v>
      </c>
      <c r="N34" s="904">
        <v>3185.28</v>
      </c>
      <c r="O34" s="904">
        <v>3262.7</v>
      </c>
      <c r="P34" s="904">
        <v>3367.77</v>
      </c>
      <c r="Q34" s="904">
        <v>3400.95</v>
      </c>
      <c r="R34" s="904">
        <v>3412.01</v>
      </c>
      <c r="S34" s="904">
        <v>3439.66</v>
      </c>
      <c r="T34" s="904">
        <v>3453.49</v>
      </c>
      <c r="U34" s="909"/>
      <c r="V34" s="957">
        <f>SUM(I34:T34)</f>
        <v>39182.82</v>
      </c>
      <c r="W34" s="909"/>
      <c r="X34" s="906">
        <f t="shared" ref="X34:Z34" si="22">IFERROR(I34/$F34,0)</f>
        <v>564.99999999999989</v>
      </c>
      <c r="Y34" s="906">
        <f t="shared" si="22"/>
        <v>566</v>
      </c>
      <c r="Z34" s="906">
        <f t="shared" si="22"/>
        <v>564</v>
      </c>
      <c r="AA34" s="909">
        <f t="shared" ref="AA34:AI34" si="23">IFERROR(L34/$G34,0)</f>
        <v>566</v>
      </c>
      <c r="AB34" s="909">
        <f t="shared" si="23"/>
        <v>571</v>
      </c>
      <c r="AC34" s="909">
        <f t="shared" si="23"/>
        <v>576</v>
      </c>
      <c r="AD34" s="909">
        <f t="shared" si="23"/>
        <v>589.99999999999989</v>
      </c>
      <c r="AE34" s="909">
        <f t="shared" si="23"/>
        <v>609</v>
      </c>
      <c r="AF34" s="909">
        <f t="shared" si="23"/>
        <v>614.99999999999989</v>
      </c>
      <c r="AG34" s="909">
        <f t="shared" si="23"/>
        <v>617</v>
      </c>
      <c r="AH34" s="909">
        <f t="shared" si="23"/>
        <v>622</v>
      </c>
      <c r="AI34" s="909">
        <f t="shared" si="23"/>
        <v>624.50090415913189</v>
      </c>
      <c r="AJ34" s="907">
        <f>AVERAGE(X34:AI34)</f>
        <v>590.45840867992763</v>
      </c>
      <c r="AL34" s="1146"/>
      <c r="AM34" s="1140">
        <f ca="1">G34*$AS$4</f>
        <v>0.77704930953686002</v>
      </c>
      <c r="AO34" s="1140">
        <f ca="1">AJ34*AM34*12</f>
        <v>5505.7835852996504</v>
      </c>
      <c r="AQ34" s="1140">
        <f ca="1">G34+AM34</f>
        <v>6.3070493095368603</v>
      </c>
      <c r="AS34" s="1140">
        <f ca="1">V34+AO34</f>
        <v>44688.60358529965</v>
      </c>
    </row>
    <row r="35" spans="1:45">
      <c r="B35" s="889"/>
      <c r="C35" s="910" t="s">
        <v>2017</v>
      </c>
      <c r="D35" s="889"/>
      <c r="F35" s="904"/>
      <c r="G35" s="904"/>
      <c r="H35" s="911"/>
      <c r="I35" s="912">
        <f t="shared" ref="I35:T35" si="24">SUM(I34:I34)</f>
        <v>3124.45</v>
      </c>
      <c r="J35" s="912">
        <f t="shared" si="24"/>
        <v>3129.98</v>
      </c>
      <c r="K35" s="912">
        <f t="shared" si="24"/>
        <v>3118.92</v>
      </c>
      <c r="L35" s="912">
        <f t="shared" si="24"/>
        <v>3129.98</v>
      </c>
      <c r="M35" s="912">
        <f t="shared" si="24"/>
        <v>3157.63</v>
      </c>
      <c r="N35" s="912">
        <f t="shared" si="24"/>
        <v>3185.28</v>
      </c>
      <c r="O35" s="912">
        <f t="shared" si="24"/>
        <v>3262.7</v>
      </c>
      <c r="P35" s="912">
        <f t="shared" si="24"/>
        <v>3367.77</v>
      </c>
      <c r="Q35" s="912">
        <f t="shared" si="24"/>
        <v>3400.95</v>
      </c>
      <c r="R35" s="912">
        <f t="shared" si="24"/>
        <v>3412.01</v>
      </c>
      <c r="S35" s="912">
        <f t="shared" si="24"/>
        <v>3439.66</v>
      </c>
      <c r="T35" s="912">
        <f t="shared" si="24"/>
        <v>3453.49</v>
      </c>
      <c r="U35" s="966"/>
      <c r="V35" s="912">
        <f>SUM(V34:V34)</f>
        <v>39182.82</v>
      </c>
      <c r="W35" s="914"/>
      <c r="X35" s="913">
        <f t="shared" ref="X35:AI35" si="25">SUM(X34:X34)</f>
        <v>564.99999999999989</v>
      </c>
      <c r="Y35" s="913">
        <f t="shared" si="25"/>
        <v>566</v>
      </c>
      <c r="Z35" s="913">
        <f t="shared" si="25"/>
        <v>564</v>
      </c>
      <c r="AA35" s="913">
        <f t="shared" si="25"/>
        <v>566</v>
      </c>
      <c r="AB35" s="913">
        <f t="shared" si="25"/>
        <v>571</v>
      </c>
      <c r="AC35" s="913">
        <f t="shared" si="25"/>
        <v>576</v>
      </c>
      <c r="AD35" s="913">
        <f t="shared" si="25"/>
        <v>589.99999999999989</v>
      </c>
      <c r="AE35" s="913">
        <f t="shared" si="25"/>
        <v>609</v>
      </c>
      <c r="AF35" s="913">
        <f t="shared" si="25"/>
        <v>614.99999999999989</v>
      </c>
      <c r="AG35" s="913">
        <f t="shared" si="25"/>
        <v>617</v>
      </c>
      <c r="AH35" s="913">
        <f t="shared" si="25"/>
        <v>622</v>
      </c>
      <c r="AI35" s="913">
        <f t="shared" si="25"/>
        <v>624.50090415913189</v>
      </c>
      <c r="AJ35" s="912">
        <f>AVERAGE(X35:AI35)</f>
        <v>590.45840867992763</v>
      </c>
      <c r="AL35" s="1146"/>
      <c r="AM35" s="1140"/>
      <c r="AO35" s="1143">
        <f ca="1">SUM(AO34:AO34)</f>
        <v>5505.7835852996504</v>
      </c>
      <c r="AQ35" s="1140"/>
      <c r="AS35" s="1143">
        <f ca="1">SUM(AS34:AS34)</f>
        <v>44688.60358529965</v>
      </c>
    </row>
    <row r="36" spans="1:45" ht="8.25" customHeight="1">
      <c r="B36" s="889"/>
      <c r="C36" s="910"/>
      <c r="D36" s="889"/>
      <c r="F36" s="904"/>
      <c r="G36" s="904"/>
      <c r="H36" s="911"/>
      <c r="I36" s="904"/>
      <c r="J36" s="904"/>
      <c r="K36" s="904"/>
      <c r="L36" s="904"/>
      <c r="M36" s="904"/>
      <c r="N36" s="904"/>
      <c r="O36" s="904"/>
      <c r="P36" s="904"/>
      <c r="Q36" s="904"/>
      <c r="R36" s="904"/>
      <c r="S36" s="904"/>
      <c r="T36" s="904"/>
      <c r="U36" s="911"/>
      <c r="V36" s="967"/>
      <c r="W36" s="944"/>
      <c r="X36" s="906"/>
      <c r="Y36" s="906"/>
      <c r="Z36" s="906"/>
      <c r="AA36" s="909"/>
      <c r="AB36" s="909"/>
      <c r="AC36" s="909"/>
      <c r="AD36" s="909"/>
      <c r="AE36" s="909"/>
      <c r="AF36" s="909"/>
      <c r="AG36" s="909"/>
      <c r="AH36" s="909"/>
      <c r="AI36" s="909"/>
      <c r="AL36" s="1146"/>
      <c r="AM36" s="1140"/>
      <c r="AO36" s="1140"/>
      <c r="AQ36" s="1140"/>
      <c r="AS36" s="1140"/>
    </row>
    <row r="37" spans="1:45" ht="8.25" customHeight="1">
      <c r="F37" s="904"/>
      <c r="G37" s="904"/>
      <c r="I37" s="904"/>
      <c r="J37" s="904"/>
      <c r="K37" s="904"/>
      <c r="L37" s="904"/>
      <c r="M37" s="904"/>
      <c r="N37" s="904"/>
      <c r="O37" s="904"/>
      <c r="P37" s="904"/>
      <c r="Q37" s="904"/>
      <c r="R37" s="904"/>
      <c r="S37" s="904"/>
      <c r="T37" s="904"/>
      <c r="X37" s="906"/>
      <c r="Y37" s="906"/>
      <c r="Z37" s="906"/>
      <c r="AA37" s="909"/>
      <c r="AB37" s="909"/>
      <c r="AC37" s="909"/>
      <c r="AD37" s="909"/>
      <c r="AE37" s="909"/>
      <c r="AF37" s="909"/>
      <c r="AG37" s="909"/>
      <c r="AH37" s="909"/>
      <c r="AI37" s="909"/>
      <c r="AL37" s="1146"/>
      <c r="AM37" s="1140"/>
      <c r="AO37" s="1140"/>
      <c r="AQ37" s="1140"/>
      <c r="AS37" s="1140"/>
    </row>
    <row r="38" spans="1:45" ht="8.25" customHeight="1">
      <c r="F38" s="904"/>
      <c r="G38" s="904"/>
      <c r="I38" s="904"/>
      <c r="J38" s="904"/>
      <c r="K38" s="904"/>
      <c r="L38" s="904"/>
      <c r="M38" s="904"/>
      <c r="N38" s="904"/>
      <c r="O38" s="904"/>
      <c r="P38" s="904"/>
      <c r="Q38" s="904"/>
      <c r="R38" s="904"/>
      <c r="S38" s="904"/>
      <c r="T38" s="904"/>
      <c r="U38" s="882"/>
      <c r="W38" s="882"/>
      <c r="X38" s="906"/>
      <c r="Y38" s="906"/>
      <c r="Z38" s="906"/>
      <c r="AA38" s="909"/>
      <c r="AB38" s="909"/>
      <c r="AC38" s="909"/>
      <c r="AD38" s="909"/>
      <c r="AE38" s="909"/>
      <c r="AF38" s="909"/>
      <c r="AG38" s="909"/>
      <c r="AH38" s="909"/>
      <c r="AI38" s="909"/>
      <c r="AL38" s="1146"/>
      <c r="AM38" s="1140"/>
      <c r="AO38" s="1140"/>
      <c r="AQ38" s="1140"/>
      <c r="AS38" s="1140"/>
    </row>
    <row r="39" spans="1:45" s="881" customFormat="1">
      <c r="B39" s="881" t="s">
        <v>2018</v>
      </c>
      <c r="E39" s="892"/>
      <c r="F39" s="904"/>
      <c r="G39" s="904"/>
      <c r="I39" s="933">
        <f t="shared" ref="I39:T39" si="26">+I22+I29+I35+I31</f>
        <v>142575.36000000002</v>
      </c>
      <c r="J39" s="933">
        <f t="shared" si="26"/>
        <v>214246.46000000002</v>
      </c>
      <c r="K39" s="933">
        <f t="shared" si="26"/>
        <v>70033.329999999987</v>
      </c>
      <c r="L39" s="933">
        <f t="shared" si="26"/>
        <v>144460.19</v>
      </c>
      <c r="M39" s="933">
        <f t="shared" si="26"/>
        <v>147631.44</v>
      </c>
      <c r="N39" s="933">
        <f t="shared" si="26"/>
        <v>145581.63</v>
      </c>
      <c r="O39" s="933">
        <f t="shared" si="26"/>
        <v>146445.99000000002</v>
      </c>
      <c r="P39" s="933">
        <f t="shared" si="26"/>
        <v>148104.88</v>
      </c>
      <c r="Q39" s="933">
        <f t="shared" si="26"/>
        <v>146496.48000000001</v>
      </c>
      <c r="R39" s="933">
        <f t="shared" si="26"/>
        <v>151956.34</v>
      </c>
      <c r="S39" s="933">
        <f t="shared" si="26"/>
        <v>147748.74000000002</v>
      </c>
      <c r="T39" s="933">
        <f t="shared" si="26"/>
        <v>150369.83999999997</v>
      </c>
      <c r="U39" s="917"/>
      <c r="V39" s="970">
        <f>+V22+V29+V35+V31</f>
        <v>1755650.6799999997</v>
      </c>
      <c r="W39" s="917"/>
      <c r="X39" s="906"/>
      <c r="Y39" s="906"/>
      <c r="Z39" s="906"/>
      <c r="AA39" s="909"/>
      <c r="AB39" s="909"/>
      <c r="AC39" s="909"/>
      <c r="AD39" s="909"/>
      <c r="AE39" s="909"/>
      <c r="AF39" s="909"/>
      <c r="AG39" s="909"/>
      <c r="AH39" s="909"/>
      <c r="AI39" s="909"/>
      <c r="AL39" s="1146"/>
      <c r="AM39" s="1140"/>
      <c r="AN39" s="1137"/>
      <c r="AO39" s="1164">
        <f ca="1">+AO22+AO29+AO35+AO31</f>
        <v>-227733.40081742944</v>
      </c>
      <c r="AP39" s="1137"/>
      <c r="AQ39" s="1140"/>
      <c r="AR39" s="1137"/>
      <c r="AS39" s="1164">
        <f ca="1">+AS22+AS29+AS35+AS31</f>
        <v>1527917.2791825703</v>
      </c>
    </row>
    <row r="40" spans="1:45" s="881" customFormat="1" ht="4.5" customHeight="1">
      <c r="E40" s="892"/>
      <c r="F40" s="904"/>
      <c r="G40" s="904"/>
      <c r="H40" s="935"/>
      <c r="I40" s="904"/>
      <c r="J40" s="904"/>
      <c r="K40" s="904"/>
      <c r="L40" s="904"/>
      <c r="M40" s="904"/>
      <c r="N40" s="904"/>
      <c r="O40" s="904"/>
      <c r="P40" s="904"/>
      <c r="Q40" s="904"/>
      <c r="R40" s="904"/>
      <c r="S40" s="904"/>
      <c r="T40" s="904"/>
      <c r="U40" s="955"/>
      <c r="V40" s="971"/>
      <c r="W40" s="917"/>
      <c r="X40" s="906"/>
      <c r="Y40" s="906"/>
      <c r="Z40" s="906"/>
      <c r="AA40" s="909"/>
      <c r="AB40" s="909"/>
      <c r="AC40" s="909"/>
      <c r="AD40" s="909"/>
      <c r="AE40" s="909"/>
      <c r="AF40" s="909"/>
      <c r="AG40" s="909"/>
      <c r="AH40" s="909"/>
      <c r="AI40" s="909"/>
      <c r="AL40" s="1146"/>
      <c r="AM40" s="1140"/>
      <c r="AN40" s="1137"/>
      <c r="AO40" s="1140"/>
      <c r="AP40" s="1137"/>
      <c r="AQ40" s="1140"/>
      <c r="AR40" s="1137"/>
      <c r="AS40" s="1140"/>
    </row>
    <row r="41" spans="1:45" s="881" customFormat="1" ht="4.5" customHeight="1">
      <c r="E41" s="892"/>
      <c r="F41" s="904"/>
      <c r="G41" s="904"/>
      <c r="H41" s="935"/>
      <c r="I41" s="904"/>
      <c r="J41" s="904"/>
      <c r="K41" s="904"/>
      <c r="L41" s="904"/>
      <c r="M41" s="904"/>
      <c r="N41" s="904"/>
      <c r="O41" s="904"/>
      <c r="P41" s="904"/>
      <c r="Q41" s="904"/>
      <c r="R41" s="904"/>
      <c r="S41" s="904"/>
      <c r="T41" s="904"/>
      <c r="U41" s="955"/>
      <c r="V41" s="971"/>
      <c r="W41" s="917"/>
      <c r="X41" s="906"/>
      <c r="Y41" s="906"/>
      <c r="Z41" s="906"/>
      <c r="AA41" s="909"/>
      <c r="AB41" s="909"/>
      <c r="AC41" s="909"/>
      <c r="AD41" s="909"/>
      <c r="AE41" s="909"/>
      <c r="AF41" s="909"/>
      <c r="AG41" s="909"/>
      <c r="AH41" s="909"/>
      <c r="AI41" s="909"/>
      <c r="AL41" s="1146"/>
      <c r="AM41" s="1140"/>
      <c r="AN41" s="1137"/>
      <c r="AO41" s="1140"/>
      <c r="AP41" s="1137"/>
      <c r="AQ41" s="1140"/>
      <c r="AR41" s="1137"/>
      <c r="AS41" s="1140"/>
    </row>
    <row r="42" spans="1:45" ht="4.5" customHeight="1">
      <c r="F42" s="904"/>
      <c r="G42" s="904"/>
      <c r="I42" s="904"/>
      <c r="J42" s="904"/>
      <c r="K42" s="904"/>
      <c r="L42" s="904"/>
      <c r="M42" s="904"/>
      <c r="N42" s="904"/>
      <c r="O42" s="904"/>
      <c r="P42" s="904"/>
      <c r="Q42" s="904"/>
      <c r="R42" s="904"/>
      <c r="S42" s="904"/>
      <c r="T42" s="904"/>
      <c r="X42" s="906"/>
      <c r="Y42" s="906"/>
      <c r="Z42" s="906"/>
      <c r="AA42" s="909"/>
      <c r="AB42" s="909"/>
      <c r="AC42" s="909"/>
      <c r="AD42" s="909"/>
      <c r="AE42" s="909"/>
      <c r="AF42" s="909"/>
      <c r="AG42" s="909"/>
      <c r="AH42" s="909"/>
      <c r="AI42" s="909"/>
      <c r="AL42" s="1146"/>
      <c r="AM42" s="1140"/>
      <c r="AO42" s="1140"/>
      <c r="AQ42" s="1140"/>
      <c r="AS42" s="1140"/>
    </row>
    <row r="43" spans="1:45" ht="4.5" customHeight="1">
      <c r="E43" s="972"/>
      <c r="F43" s="904"/>
      <c r="G43" s="904"/>
      <c r="I43" s="904"/>
      <c r="J43" s="904"/>
      <c r="K43" s="904"/>
      <c r="L43" s="904"/>
      <c r="M43" s="904"/>
      <c r="N43" s="904"/>
      <c r="O43" s="904"/>
      <c r="P43" s="904"/>
      <c r="Q43" s="904"/>
      <c r="R43" s="904"/>
      <c r="S43" s="904"/>
      <c r="T43" s="904"/>
      <c r="X43" s="906"/>
      <c r="Y43" s="906"/>
      <c r="Z43" s="906"/>
      <c r="AA43" s="909"/>
      <c r="AB43" s="909"/>
      <c r="AC43" s="909"/>
      <c r="AD43" s="909"/>
      <c r="AE43" s="909"/>
      <c r="AF43" s="909"/>
      <c r="AG43" s="909"/>
      <c r="AH43" s="909"/>
      <c r="AI43" s="909"/>
      <c r="AL43" s="1146"/>
      <c r="AM43" s="1140"/>
      <c r="AO43" s="1140"/>
      <c r="AQ43" s="1140"/>
      <c r="AS43" s="1140"/>
    </row>
    <row r="44" spans="1:45">
      <c r="B44" s="897" t="s">
        <v>2019</v>
      </c>
      <c r="C44" s="898"/>
      <c r="D44" s="898"/>
      <c r="F44" s="904"/>
      <c r="G44" s="904"/>
      <c r="H44" s="899"/>
      <c r="I44" s="904"/>
      <c r="J44" s="904"/>
      <c r="K44" s="904"/>
      <c r="L44" s="904"/>
      <c r="M44" s="904"/>
      <c r="N44" s="904"/>
      <c r="O44" s="904"/>
      <c r="P44" s="904"/>
      <c r="Q44" s="904"/>
      <c r="R44" s="904"/>
      <c r="S44" s="904"/>
      <c r="T44" s="904"/>
      <c r="U44" s="973"/>
      <c r="X44" s="906"/>
      <c r="Y44" s="906"/>
      <c r="Z44" s="906"/>
      <c r="AA44" s="909"/>
      <c r="AB44" s="909"/>
      <c r="AC44" s="909"/>
      <c r="AD44" s="909"/>
      <c r="AE44" s="909"/>
      <c r="AF44" s="909"/>
      <c r="AG44" s="909"/>
      <c r="AH44" s="909"/>
      <c r="AI44" s="909"/>
      <c r="AL44" s="1146"/>
      <c r="AM44" s="1140"/>
      <c r="AO44" s="1140"/>
      <c r="AQ44" s="1140"/>
      <c r="AS44" s="1140"/>
    </row>
    <row r="45" spans="1:45">
      <c r="B45" s="897"/>
      <c r="C45" s="898"/>
      <c r="D45" s="898"/>
      <c r="F45" s="904"/>
      <c r="G45" s="904"/>
      <c r="H45" s="899"/>
      <c r="I45" s="904"/>
      <c r="J45" s="904"/>
      <c r="K45" s="904"/>
      <c r="L45" s="904"/>
      <c r="M45" s="904"/>
      <c r="N45" s="904"/>
      <c r="O45" s="904"/>
      <c r="P45" s="904"/>
      <c r="Q45" s="904"/>
      <c r="R45" s="904"/>
      <c r="S45" s="904"/>
      <c r="T45" s="904"/>
      <c r="U45" s="973"/>
      <c r="X45" s="906"/>
      <c r="Y45" s="906"/>
      <c r="Z45" s="906"/>
      <c r="AA45" s="909"/>
      <c r="AB45" s="909"/>
      <c r="AC45" s="909"/>
      <c r="AD45" s="909"/>
      <c r="AE45" s="909"/>
      <c r="AF45" s="909"/>
      <c r="AG45" s="909"/>
      <c r="AH45" s="909"/>
      <c r="AI45" s="909"/>
      <c r="AL45" s="1146"/>
      <c r="AM45" s="1140"/>
      <c r="AO45" s="1140"/>
      <c r="AQ45" s="1140"/>
      <c r="AS45" s="1140"/>
    </row>
    <row r="46" spans="1:45">
      <c r="B46" s="903" t="s">
        <v>2020</v>
      </c>
      <c r="C46" s="898"/>
      <c r="D46" s="898"/>
      <c r="F46" s="904"/>
      <c r="G46" s="904"/>
      <c r="H46" s="899"/>
      <c r="I46" s="904"/>
      <c r="J46" s="904"/>
      <c r="K46" s="904"/>
      <c r="L46" s="904"/>
      <c r="M46" s="904"/>
      <c r="N46" s="904"/>
      <c r="O46" s="904"/>
      <c r="P46" s="904"/>
      <c r="Q46" s="904"/>
      <c r="R46" s="904"/>
      <c r="S46" s="904"/>
      <c r="T46" s="904"/>
      <c r="U46" s="973"/>
      <c r="X46" s="906"/>
      <c r="Y46" s="906"/>
      <c r="Z46" s="906"/>
      <c r="AA46" s="909"/>
      <c r="AB46" s="909"/>
      <c r="AC46" s="909"/>
      <c r="AD46" s="909"/>
      <c r="AE46" s="909"/>
      <c r="AF46" s="909"/>
      <c r="AG46" s="909"/>
      <c r="AH46" s="909"/>
      <c r="AI46" s="909"/>
      <c r="AL46" s="1146"/>
      <c r="AM46" s="1140"/>
      <c r="AO46" s="1140"/>
      <c r="AQ46" s="1140"/>
      <c r="AS46" s="1140"/>
    </row>
    <row r="47" spans="1:45">
      <c r="A47" s="884" t="str">
        <f>$B$3&amp;"Commercial"&amp;B47</f>
        <v>JBLM HOUSINGCommercialSL065.0G1W001NORECC</v>
      </c>
      <c r="B47" s="889" t="s">
        <v>2087</v>
      </c>
      <c r="C47" s="889" t="s">
        <v>2088</v>
      </c>
      <c r="D47" s="889" t="s">
        <v>411</v>
      </c>
      <c r="E47" s="883">
        <v>33000</v>
      </c>
      <c r="F47" s="904">
        <v>21.73</v>
      </c>
      <c r="G47" s="904">
        <v>22.1</v>
      </c>
      <c r="H47" s="904"/>
      <c r="I47" s="904">
        <v>0</v>
      </c>
      <c r="J47" s="904">
        <v>0</v>
      </c>
      <c r="K47" s="904">
        <v>21.73</v>
      </c>
      <c r="L47" s="904">
        <v>22.1</v>
      </c>
      <c r="M47" s="904">
        <v>0</v>
      </c>
      <c r="N47" s="904">
        <v>0</v>
      </c>
      <c r="O47" s="904">
        <v>0</v>
      </c>
      <c r="P47" s="904">
        <v>0</v>
      </c>
      <c r="Q47" s="904">
        <v>0</v>
      </c>
      <c r="R47" s="904">
        <v>0</v>
      </c>
      <c r="S47" s="904">
        <v>0</v>
      </c>
      <c r="T47" s="904">
        <v>0</v>
      </c>
      <c r="U47" s="909"/>
      <c r="V47" s="957">
        <f t="shared" ref="V47" si="27">SUM(I47:T47)</f>
        <v>43.83</v>
      </c>
      <c r="W47" s="909"/>
      <c r="X47" s="906">
        <f t="shared" ref="X47:Z48" si="28">IFERROR(I47/$F47,0)</f>
        <v>0</v>
      </c>
      <c r="Y47" s="906">
        <f t="shared" si="28"/>
        <v>0</v>
      </c>
      <c r="Z47" s="906">
        <f t="shared" si="28"/>
        <v>1</v>
      </c>
      <c r="AA47" s="909">
        <f t="shared" ref="AA47:AI48" si="29">IFERROR(L47/$G47,0)</f>
        <v>1</v>
      </c>
      <c r="AB47" s="909">
        <f t="shared" si="29"/>
        <v>0</v>
      </c>
      <c r="AC47" s="909">
        <f t="shared" si="29"/>
        <v>0</v>
      </c>
      <c r="AD47" s="909">
        <f t="shared" si="29"/>
        <v>0</v>
      </c>
      <c r="AE47" s="909">
        <f t="shared" si="29"/>
        <v>0</v>
      </c>
      <c r="AF47" s="909">
        <f t="shared" si="29"/>
        <v>0</v>
      </c>
      <c r="AG47" s="909">
        <f t="shared" si="29"/>
        <v>0</v>
      </c>
      <c r="AH47" s="909">
        <f t="shared" si="29"/>
        <v>0</v>
      </c>
      <c r="AI47" s="909">
        <f t="shared" si="29"/>
        <v>0</v>
      </c>
      <c r="AJ47" s="907">
        <f t="shared" ref="AJ47:AJ48" si="30">AVERAGE(X47:AI47)</f>
        <v>0.16666666666666666</v>
      </c>
      <c r="AL47" s="1146"/>
      <c r="AM47" s="1140">
        <f t="shared" ref="AM47:AM48" ca="1" si="31">G47*$AS$2</f>
        <v>-4.9232432634658947</v>
      </c>
      <c r="AO47" s="1140">
        <f t="shared" ref="AO47:AO48" ca="1" si="32">AJ47*AM47*12</f>
        <v>-9.8464865269317894</v>
      </c>
      <c r="AQ47" s="1140">
        <f t="shared" ref="AQ47:AQ48" ca="1" si="33">G47+AM47</f>
        <v>17.176756736534106</v>
      </c>
      <c r="AS47" s="1140">
        <f t="shared" ref="AS47:AS48" ca="1" si="34">V47+AO47</f>
        <v>33.983513473068207</v>
      </c>
    </row>
    <row r="48" spans="1:45">
      <c r="A48" s="884" t="str">
        <f>$B$3&amp;"Commercial"&amp;B48</f>
        <v>JBLM HOUSINGCommercialSL095.0G1W001WRECC</v>
      </c>
      <c r="B48" s="889" t="s">
        <v>2097</v>
      </c>
      <c r="C48" s="889" t="s">
        <v>2098</v>
      </c>
      <c r="D48" s="889" t="s">
        <v>411</v>
      </c>
      <c r="E48" s="883">
        <v>33000</v>
      </c>
      <c r="F48" s="904">
        <v>28.35</v>
      </c>
      <c r="G48" s="904">
        <v>28.88</v>
      </c>
      <c r="H48" s="904"/>
      <c r="I48" s="904">
        <v>0</v>
      </c>
      <c r="J48" s="904">
        <v>0</v>
      </c>
      <c r="K48" s="904">
        <v>0</v>
      </c>
      <c r="L48" s="904">
        <v>0</v>
      </c>
      <c r="M48" s="904">
        <v>23.1</v>
      </c>
      <c r="N48" s="904">
        <v>28.88</v>
      </c>
      <c r="O48" s="904">
        <v>28.88</v>
      </c>
      <c r="P48" s="904">
        <v>12.84</v>
      </c>
      <c r="Q48" s="904">
        <v>0</v>
      </c>
      <c r="R48" s="904">
        <v>0</v>
      </c>
      <c r="S48" s="904">
        <v>0</v>
      </c>
      <c r="T48" s="904">
        <v>0</v>
      </c>
      <c r="U48" s="909"/>
      <c r="V48" s="957">
        <f t="shared" ref="V48" si="35">SUM(I48:T48)</f>
        <v>93.7</v>
      </c>
      <c r="W48" s="909"/>
      <c r="X48" s="906">
        <f t="shared" si="28"/>
        <v>0</v>
      </c>
      <c r="Y48" s="906">
        <f t="shared" si="28"/>
        <v>0</v>
      </c>
      <c r="Z48" s="906">
        <f t="shared" si="28"/>
        <v>0</v>
      </c>
      <c r="AA48" s="909">
        <f t="shared" si="29"/>
        <v>0</v>
      </c>
      <c r="AB48" s="909">
        <f t="shared" si="29"/>
        <v>0.79986149584487543</v>
      </c>
      <c r="AC48" s="909">
        <f t="shared" si="29"/>
        <v>1</v>
      </c>
      <c r="AD48" s="909">
        <f t="shared" si="29"/>
        <v>1</v>
      </c>
      <c r="AE48" s="909">
        <f t="shared" si="29"/>
        <v>0.44459833795013853</v>
      </c>
      <c r="AF48" s="909">
        <f t="shared" si="29"/>
        <v>0</v>
      </c>
      <c r="AG48" s="909">
        <f t="shared" si="29"/>
        <v>0</v>
      </c>
      <c r="AH48" s="909">
        <f t="shared" si="29"/>
        <v>0</v>
      </c>
      <c r="AI48" s="909">
        <f t="shared" si="29"/>
        <v>0</v>
      </c>
      <c r="AJ48" s="907">
        <f t="shared" si="30"/>
        <v>0.27037165281625114</v>
      </c>
      <c r="AL48" s="1146"/>
      <c r="AM48" s="1140">
        <f t="shared" ca="1" si="31"/>
        <v>-6.4336319207644799</v>
      </c>
      <c r="AO48" s="1140">
        <f t="shared" ca="1" si="32"/>
        <v>-20.873660352341819</v>
      </c>
      <c r="AQ48" s="1140">
        <f t="shared" ca="1" si="33"/>
        <v>22.446368079235519</v>
      </c>
      <c r="AS48" s="1140">
        <f t="shared" ca="1" si="34"/>
        <v>72.826339647658187</v>
      </c>
    </row>
    <row r="49" spans="1:45" ht="14.25">
      <c r="B49" s="939"/>
      <c r="C49" s="889"/>
      <c r="D49" s="889"/>
      <c r="F49" s="904"/>
      <c r="G49" s="904"/>
      <c r="H49" s="904"/>
      <c r="I49" s="904"/>
      <c r="J49" s="904"/>
      <c r="K49" s="904"/>
      <c r="L49" s="904"/>
      <c r="M49" s="904"/>
      <c r="N49" s="904"/>
      <c r="O49" s="904"/>
      <c r="P49" s="904"/>
      <c r="Q49" s="904"/>
      <c r="R49" s="904"/>
      <c r="S49" s="904"/>
      <c r="T49" s="904"/>
      <c r="U49" s="909"/>
      <c r="V49" s="957"/>
      <c r="W49" s="909"/>
      <c r="X49" s="906"/>
      <c r="Y49" s="906"/>
      <c r="Z49" s="906"/>
      <c r="AA49" s="909"/>
      <c r="AB49" s="909"/>
      <c r="AC49" s="909"/>
      <c r="AD49" s="909"/>
      <c r="AE49" s="909"/>
      <c r="AF49" s="909"/>
      <c r="AG49" s="909"/>
      <c r="AH49" s="909"/>
      <c r="AI49" s="909"/>
      <c r="AL49" s="1146"/>
      <c r="AM49" s="1140"/>
      <c r="AN49" s="1141"/>
      <c r="AO49" s="1140"/>
      <c r="AP49" s="1141"/>
      <c r="AQ49" s="1140"/>
      <c r="AR49" s="1141"/>
      <c r="AS49" s="1140"/>
    </row>
    <row r="50" spans="1:45">
      <c r="B50" s="889"/>
      <c r="C50" s="910" t="s">
        <v>2224</v>
      </c>
      <c r="D50" s="889"/>
      <c r="E50" s="940"/>
      <c r="F50" s="904"/>
      <c r="G50" s="904"/>
      <c r="H50" s="911"/>
      <c r="I50" s="912">
        <f t="shared" ref="I50:T50" si="36">SUM(I47:I48)</f>
        <v>0</v>
      </c>
      <c r="J50" s="912">
        <f t="shared" si="36"/>
        <v>0</v>
      </c>
      <c r="K50" s="912">
        <f t="shared" si="36"/>
        <v>21.73</v>
      </c>
      <c r="L50" s="912">
        <f t="shared" si="36"/>
        <v>22.1</v>
      </c>
      <c r="M50" s="912">
        <f t="shared" si="36"/>
        <v>23.1</v>
      </c>
      <c r="N50" s="912">
        <f t="shared" si="36"/>
        <v>28.88</v>
      </c>
      <c r="O50" s="912">
        <f t="shared" si="36"/>
        <v>28.88</v>
      </c>
      <c r="P50" s="912">
        <f t="shared" si="36"/>
        <v>12.84</v>
      </c>
      <c r="Q50" s="912">
        <f t="shared" si="36"/>
        <v>0</v>
      </c>
      <c r="R50" s="912">
        <f t="shared" si="36"/>
        <v>0</v>
      </c>
      <c r="S50" s="912">
        <f t="shared" si="36"/>
        <v>0</v>
      </c>
      <c r="T50" s="912">
        <f t="shared" si="36"/>
        <v>0</v>
      </c>
      <c r="U50" s="966"/>
      <c r="V50" s="912">
        <f>SUM(V47:V48)</f>
        <v>137.53</v>
      </c>
      <c r="W50" s="914"/>
      <c r="X50" s="906"/>
      <c r="Y50" s="906"/>
      <c r="Z50" s="906"/>
      <c r="AA50" s="909"/>
      <c r="AB50" s="909"/>
      <c r="AC50" s="909"/>
      <c r="AD50" s="909"/>
      <c r="AE50" s="909"/>
      <c r="AF50" s="909"/>
      <c r="AG50" s="909"/>
      <c r="AH50" s="909"/>
      <c r="AI50" s="909"/>
      <c r="AL50" s="1146"/>
      <c r="AM50" s="1140"/>
      <c r="AO50" s="1143">
        <f ca="1">SUM(AO47:AO48)</f>
        <v>-30.720146879273607</v>
      </c>
      <c r="AQ50" s="1140"/>
      <c r="AS50" s="1143">
        <f ca="1">SUM(AS47:AS48)</f>
        <v>106.80985312072639</v>
      </c>
    </row>
    <row r="51" spans="1:45" ht="7.5" customHeight="1">
      <c r="B51" s="889"/>
      <c r="C51" s="910"/>
      <c r="D51" s="889"/>
      <c r="E51" s="940"/>
      <c r="F51" s="904"/>
      <c r="G51" s="904"/>
      <c r="H51" s="911"/>
      <c r="I51" s="904"/>
      <c r="J51" s="904"/>
      <c r="K51" s="904"/>
      <c r="L51" s="904"/>
      <c r="M51" s="904"/>
      <c r="N51" s="904"/>
      <c r="O51" s="904"/>
      <c r="P51" s="904"/>
      <c r="Q51" s="904"/>
      <c r="R51" s="904"/>
      <c r="S51" s="904"/>
      <c r="T51" s="904"/>
      <c r="U51" s="914"/>
      <c r="V51" s="968"/>
      <c r="W51" s="914"/>
      <c r="X51" s="906"/>
      <c r="Y51" s="906"/>
      <c r="Z51" s="906"/>
      <c r="AA51" s="909"/>
      <c r="AB51" s="909"/>
      <c r="AC51" s="909"/>
      <c r="AD51" s="909"/>
      <c r="AE51" s="909"/>
      <c r="AF51" s="909"/>
      <c r="AG51" s="909"/>
      <c r="AH51" s="909"/>
      <c r="AI51" s="909"/>
      <c r="AL51" s="1146"/>
      <c r="AM51" s="1140"/>
      <c r="AO51" s="1140"/>
      <c r="AQ51" s="1140"/>
      <c r="AS51" s="1140"/>
    </row>
    <row r="52" spans="1:45" ht="7.5" customHeight="1">
      <c r="B52" s="889"/>
      <c r="C52" s="910"/>
      <c r="D52" s="889"/>
      <c r="E52" s="940"/>
      <c r="F52" s="904"/>
      <c r="G52" s="904"/>
      <c r="H52" s="911"/>
      <c r="I52" s="904"/>
      <c r="J52" s="904"/>
      <c r="K52" s="904"/>
      <c r="L52" s="904"/>
      <c r="M52" s="904"/>
      <c r="N52" s="904"/>
      <c r="O52" s="904"/>
      <c r="P52" s="904"/>
      <c r="Q52" s="904"/>
      <c r="R52" s="904"/>
      <c r="S52" s="904"/>
      <c r="T52" s="904"/>
      <c r="U52" s="914"/>
      <c r="V52" s="968"/>
      <c r="W52" s="914"/>
      <c r="X52" s="906"/>
      <c r="Y52" s="906"/>
      <c r="Z52" s="906"/>
      <c r="AA52" s="909"/>
      <c r="AB52" s="909"/>
      <c r="AC52" s="909"/>
      <c r="AD52" s="909"/>
      <c r="AE52" s="909"/>
      <c r="AF52" s="909"/>
      <c r="AG52" s="909"/>
      <c r="AH52" s="909"/>
      <c r="AI52" s="909"/>
      <c r="AL52" s="1146"/>
      <c r="AM52" s="1140"/>
      <c r="AO52" s="1140"/>
      <c r="AQ52" s="1140"/>
      <c r="AS52" s="1140"/>
    </row>
    <row r="53" spans="1:45" hidden="1">
      <c r="B53" s="889"/>
      <c r="C53" s="889"/>
      <c r="D53" s="889"/>
      <c r="E53" s="940"/>
      <c r="F53" s="904"/>
      <c r="G53" s="904"/>
      <c r="H53" s="911"/>
      <c r="I53" s="904"/>
      <c r="J53" s="904"/>
      <c r="K53" s="904"/>
      <c r="L53" s="904"/>
      <c r="M53" s="904"/>
      <c r="N53" s="904"/>
      <c r="O53" s="904"/>
      <c r="P53" s="904"/>
      <c r="Q53" s="904"/>
      <c r="R53" s="904"/>
      <c r="S53" s="904"/>
      <c r="T53" s="904"/>
      <c r="U53" s="911"/>
      <c r="V53" s="967"/>
      <c r="W53" s="944"/>
      <c r="X53" s="906"/>
      <c r="Y53" s="906"/>
      <c r="Z53" s="906"/>
      <c r="AA53" s="909"/>
      <c r="AB53" s="909"/>
      <c r="AC53" s="909"/>
      <c r="AD53" s="909"/>
      <c r="AE53" s="909"/>
      <c r="AF53" s="909"/>
      <c r="AG53" s="909"/>
      <c r="AH53" s="909"/>
      <c r="AI53" s="909"/>
      <c r="AL53" s="1146"/>
      <c r="AM53" s="1140"/>
      <c r="AO53" s="1140"/>
      <c r="AQ53" s="1140"/>
      <c r="AS53" s="1140"/>
    </row>
    <row r="54" spans="1:45" hidden="1">
      <c r="B54" s="918" t="s">
        <v>2336</v>
      </c>
      <c r="C54" s="889"/>
      <c r="D54" s="889"/>
      <c r="E54" s="940"/>
      <c r="F54" s="904"/>
      <c r="G54" s="904"/>
      <c r="H54" s="911"/>
      <c r="I54" s="904"/>
      <c r="J54" s="904"/>
      <c r="K54" s="904"/>
      <c r="L54" s="904"/>
      <c r="M54" s="904"/>
      <c r="N54" s="904"/>
      <c r="O54" s="904"/>
      <c r="P54" s="904"/>
      <c r="Q54" s="904"/>
      <c r="R54" s="904"/>
      <c r="S54" s="904"/>
      <c r="T54" s="904"/>
      <c r="U54" s="911"/>
      <c r="V54" s="967"/>
      <c r="W54" s="944"/>
      <c r="X54" s="906"/>
      <c r="Y54" s="906"/>
      <c r="Z54" s="906"/>
      <c r="AA54" s="909"/>
      <c r="AB54" s="909"/>
      <c r="AC54" s="909"/>
      <c r="AD54" s="909"/>
      <c r="AE54" s="909"/>
      <c r="AF54" s="909"/>
      <c r="AG54" s="909"/>
      <c r="AH54" s="909"/>
      <c r="AI54" s="909"/>
      <c r="AL54" s="1146"/>
      <c r="AM54" s="1140"/>
      <c r="AO54" s="1140"/>
      <c r="AQ54" s="1140"/>
      <c r="AS54" s="1140"/>
    </row>
    <row r="55" spans="1:45" s="882" customFormat="1" hidden="1">
      <c r="A55" s="884"/>
      <c r="B55" s="889"/>
      <c r="C55" s="889"/>
      <c r="D55" s="889"/>
      <c r="E55" s="883"/>
      <c r="F55" s="904"/>
      <c r="G55" s="904"/>
      <c r="H55" s="904"/>
      <c r="I55" s="904"/>
      <c r="J55" s="904"/>
      <c r="K55" s="904"/>
      <c r="L55" s="904"/>
      <c r="M55" s="904"/>
      <c r="N55" s="904"/>
      <c r="O55" s="904"/>
      <c r="P55" s="904"/>
      <c r="Q55" s="904"/>
      <c r="R55" s="904"/>
      <c r="S55" s="904"/>
      <c r="T55" s="904"/>
      <c r="U55" s="909"/>
      <c r="V55" s="957"/>
      <c r="W55" s="909"/>
      <c r="X55" s="906"/>
      <c r="Y55" s="906"/>
      <c r="Z55" s="906"/>
      <c r="AA55" s="909"/>
      <c r="AB55" s="909"/>
      <c r="AC55" s="909"/>
      <c r="AD55" s="909"/>
      <c r="AE55" s="909"/>
      <c r="AF55" s="909"/>
      <c r="AG55" s="909"/>
      <c r="AH55" s="909"/>
      <c r="AI55" s="909"/>
      <c r="AJ55" s="907"/>
      <c r="AL55" s="1146"/>
      <c r="AM55" s="1140"/>
      <c r="AN55" s="1137"/>
      <c r="AO55" s="1140"/>
      <c r="AP55" s="1137"/>
      <c r="AQ55" s="1140"/>
      <c r="AR55" s="1137"/>
      <c r="AS55" s="1140"/>
    </row>
    <row r="56" spans="1:45" s="882" customFormat="1" hidden="1">
      <c r="B56" s="889"/>
      <c r="C56" s="889"/>
      <c r="D56" s="889"/>
      <c r="E56" s="883"/>
      <c r="F56" s="904"/>
      <c r="G56" s="904"/>
      <c r="H56" s="904"/>
      <c r="I56" s="904"/>
      <c r="J56" s="904"/>
      <c r="K56" s="904"/>
      <c r="L56" s="904"/>
      <c r="M56" s="904"/>
      <c r="N56" s="904"/>
      <c r="O56" s="904"/>
      <c r="P56" s="904"/>
      <c r="Q56" s="904"/>
      <c r="R56" s="904"/>
      <c r="S56" s="904"/>
      <c r="T56" s="904"/>
      <c r="U56" s="906"/>
      <c r="V56" s="974"/>
      <c r="W56" s="975"/>
      <c r="X56" s="906"/>
      <c r="Y56" s="906"/>
      <c r="Z56" s="906"/>
      <c r="AA56" s="909"/>
      <c r="AB56" s="909"/>
      <c r="AC56" s="909"/>
      <c r="AD56" s="909"/>
      <c r="AE56" s="909"/>
      <c r="AF56" s="909"/>
      <c r="AG56" s="909"/>
      <c r="AH56" s="909"/>
      <c r="AI56" s="909"/>
      <c r="AL56" s="1146"/>
      <c r="AM56" s="1140"/>
      <c r="AN56" s="1137"/>
      <c r="AO56" s="1140"/>
      <c r="AP56" s="1137"/>
      <c r="AQ56" s="1140"/>
      <c r="AR56" s="1137"/>
      <c r="AS56" s="1140"/>
    </row>
    <row r="57" spans="1:45" hidden="1">
      <c r="B57" s="889"/>
      <c r="C57" s="910" t="s">
        <v>2337</v>
      </c>
      <c r="D57" s="889"/>
      <c r="F57" s="904"/>
      <c r="G57" s="904"/>
      <c r="H57" s="911"/>
      <c r="I57" s="912">
        <f>SUM(I55:I55)</f>
        <v>0</v>
      </c>
      <c r="J57" s="912">
        <f>SUM(J55:J55)</f>
        <v>0</v>
      </c>
      <c r="K57" s="912">
        <f t="shared" ref="K57:T57" si="37">SUM(K55:K55)</f>
        <v>0</v>
      </c>
      <c r="L57" s="912">
        <f t="shared" si="37"/>
        <v>0</v>
      </c>
      <c r="M57" s="912">
        <f t="shared" si="37"/>
        <v>0</v>
      </c>
      <c r="N57" s="912">
        <f t="shared" si="37"/>
        <v>0</v>
      </c>
      <c r="O57" s="912">
        <f t="shared" si="37"/>
        <v>0</v>
      </c>
      <c r="P57" s="912">
        <f t="shared" si="37"/>
        <v>0</v>
      </c>
      <c r="Q57" s="912">
        <f t="shared" si="37"/>
        <v>0</v>
      </c>
      <c r="R57" s="912">
        <f t="shared" si="37"/>
        <v>0</v>
      </c>
      <c r="S57" s="912">
        <f t="shared" si="37"/>
        <v>0</v>
      </c>
      <c r="T57" s="912">
        <f t="shared" si="37"/>
        <v>0</v>
      </c>
      <c r="U57" s="966"/>
      <c r="V57" s="912">
        <f>SUM(V55:V55)</f>
        <v>0</v>
      </c>
      <c r="W57" s="914"/>
      <c r="X57" s="906"/>
      <c r="Y57" s="906"/>
      <c r="Z57" s="906"/>
      <c r="AA57" s="909"/>
      <c r="AB57" s="909"/>
      <c r="AC57" s="909"/>
      <c r="AD57" s="909"/>
      <c r="AE57" s="909"/>
      <c r="AF57" s="909"/>
      <c r="AG57" s="909"/>
      <c r="AH57" s="909"/>
      <c r="AI57" s="909"/>
      <c r="AL57" s="1146"/>
      <c r="AM57" s="1140"/>
      <c r="AO57" s="1140"/>
      <c r="AQ57" s="1140"/>
      <c r="AS57" s="1140"/>
    </row>
    <row r="58" spans="1:45" ht="6.75" customHeight="1">
      <c r="F58" s="904"/>
      <c r="G58" s="904"/>
      <c r="I58" s="904"/>
      <c r="J58" s="904"/>
      <c r="K58" s="904"/>
      <c r="L58" s="904"/>
      <c r="M58" s="904"/>
      <c r="N58" s="904"/>
      <c r="O58" s="904"/>
      <c r="P58" s="904"/>
      <c r="Q58" s="904"/>
      <c r="R58" s="904"/>
      <c r="S58" s="904"/>
      <c r="T58" s="904"/>
      <c r="U58" s="976"/>
      <c r="V58" s="977"/>
      <c r="W58" s="976"/>
      <c r="X58" s="906"/>
      <c r="Y58" s="906"/>
      <c r="Z58" s="906"/>
      <c r="AA58" s="909"/>
      <c r="AB58" s="909"/>
      <c r="AC58" s="909"/>
      <c r="AD58" s="909"/>
      <c r="AE58" s="909"/>
      <c r="AF58" s="909"/>
      <c r="AG58" s="909"/>
      <c r="AH58" s="909"/>
      <c r="AI58" s="909"/>
      <c r="AL58" s="1146"/>
      <c r="AM58" s="1140"/>
      <c r="AO58" s="1140"/>
      <c r="AQ58" s="1140"/>
      <c r="AS58" s="1140"/>
    </row>
    <row r="59" spans="1:45" ht="6.75" customHeight="1">
      <c r="F59" s="904"/>
      <c r="G59" s="904"/>
      <c r="I59" s="904"/>
      <c r="J59" s="904"/>
      <c r="K59" s="904"/>
      <c r="L59" s="904"/>
      <c r="M59" s="904"/>
      <c r="N59" s="904"/>
      <c r="O59" s="904"/>
      <c r="P59" s="904"/>
      <c r="Q59" s="904"/>
      <c r="R59" s="904"/>
      <c r="S59" s="904"/>
      <c r="T59" s="904"/>
      <c r="X59" s="906"/>
      <c r="Y59" s="906"/>
      <c r="Z59" s="906"/>
      <c r="AA59" s="909"/>
      <c r="AB59" s="909"/>
      <c r="AC59" s="909"/>
      <c r="AD59" s="909"/>
      <c r="AE59" s="909"/>
      <c r="AF59" s="909"/>
      <c r="AG59" s="909"/>
      <c r="AH59" s="909"/>
      <c r="AI59" s="909"/>
      <c r="AL59" s="1146"/>
      <c r="AM59" s="1140"/>
      <c r="AO59" s="1140"/>
      <c r="AQ59" s="1140"/>
      <c r="AS59" s="1140"/>
    </row>
    <row r="60" spans="1:45" s="921" customFormat="1">
      <c r="B60" s="881" t="s">
        <v>2231</v>
      </c>
      <c r="C60" s="881"/>
      <c r="D60" s="881"/>
      <c r="E60" s="892"/>
      <c r="F60" s="904"/>
      <c r="G60" s="904"/>
      <c r="H60" s="881"/>
      <c r="I60" s="933">
        <f>+I57+I50</f>
        <v>0</v>
      </c>
      <c r="J60" s="933">
        <f>+J57+J50</f>
        <v>0</v>
      </c>
      <c r="K60" s="933">
        <f t="shared" ref="K60:V60" si="38">+K57+K50</f>
        <v>21.73</v>
      </c>
      <c r="L60" s="933">
        <f t="shared" si="38"/>
        <v>22.1</v>
      </c>
      <c r="M60" s="933">
        <f t="shared" si="38"/>
        <v>23.1</v>
      </c>
      <c r="N60" s="933">
        <f t="shared" si="38"/>
        <v>28.88</v>
      </c>
      <c r="O60" s="933">
        <f t="shared" si="38"/>
        <v>28.88</v>
      </c>
      <c r="P60" s="933">
        <f t="shared" si="38"/>
        <v>12.84</v>
      </c>
      <c r="Q60" s="933">
        <f t="shared" si="38"/>
        <v>0</v>
      </c>
      <c r="R60" s="933">
        <f t="shared" si="38"/>
        <v>0</v>
      </c>
      <c r="S60" s="933">
        <f t="shared" si="38"/>
        <v>0</v>
      </c>
      <c r="T60" s="933">
        <f t="shared" si="38"/>
        <v>0</v>
      </c>
      <c r="U60" s="884"/>
      <c r="V60" s="912">
        <f t="shared" si="38"/>
        <v>137.53</v>
      </c>
      <c r="W60" s="884"/>
      <c r="X60" s="906"/>
      <c r="Y60" s="906"/>
      <c r="Z60" s="906"/>
      <c r="AA60" s="909"/>
      <c r="AB60" s="909"/>
      <c r="AC60" s="909"/>
      <c r="AD60" s="909"/>
      <c r="AE60" s="909"/>
      <c r="AF60" s="909"/>
      <c r="AG60" s="909"/>
      <c r="AH60" s="909"/>
      <c r="AI60" s="909"/>
      <c r="AL60" s="1146"/>
      <c r="AM60" s="1140"/>
      <c r="AN60" s="1137"/>
      <c r="AO60" s="1143">
        <f t="shared" ref="AO60" ca="1" si="39">+AO57+AO50</f>
        <v>-30.720146879273607</v>
      </c>
      <c r="AP60" s="1137"/>
      <c r="AQ60" s="1140"/>
      <c r="AR60" s="1137"/>
      <c r="AS60" s="1143">
        <f t="shared" ref="AS60" ca="1" si="40">+AS57+AS50</f>
        <v>106.80985312072639</v>
      </c>
    </row>
    <row r="61" spans="1:45" s="921" customFormat="1" ht="6.75" customHeight="1">
      <c r="B61" s="881"/>
      <c r="C61" s="881"/>
      <c r="D61" s="881"/>
      <c r="E61" s="892"/>
      <c r="F61" s="904"/>
      <c r="G61" s="904"/>
      <c r="H61" s="935"/>
      <c r="I61" s="904"/>
      <c r="J61" s="904"/>
      <c r="K61" s="904"/>
      <c r="L61" s="904"/>
      <c r="M61" s="904"/>
      <c r="N61" s="904"/>
      <c r="O61" s="904"/>
      <c r="P61" s="904"/>
      <c r="Q61" s="904"/>
      <c r="R61" s="904"/>
      <c r="S61" s="904"/>
      <c r="T61" s="904"/>
      <c r="U61" s="884"/>
      <c r="V61" s="896"/>
      <c r="W61" s="884"/>
      <c r="X61" s="906"/>
      <c r="Y61" s="906"/>
      <c r="Z61" s="906"/>
      <c r="AA61" s="909"/>
      <c r="AB61" s="909"/>
      <c r="AC61" s="909"/>
      <c r="AD61" s="909"/>
      <c r="AE61" s="909"/>
      <c r="AF61" s="909"/>
      <c r="AG61" s="909"/>
      <c r="AH61" s="909"/>
      <c r="AI61" s="909"/>
      <c r="AL61" s="1146"/>
      <c r="AM61" s="1140"/>
      <c r="AN61" s="1137"/>
      <c r="AO61" s="1140"/>
      <c r="AP61" s="1137"/>
      <c r="AQ61" s="1140"/>
      <c r="AR61" s="1137"/>
      <c r="AS61" s="1140"/>
    </row>
    <row r="62" spans="1:45" s="921" customFormat="1" ht="6.75" customHeight="1">
      <c r="B62" s="881"/>
      <c r="C62" s="881"/>
      <c r="D62" s="881"/>
      <c r="E62" s="892"/>
      <c r="F62" s="904"/>
      <c r="G62" s="904"/>
      <c r="H62" s="935"/>
      <c r="I62" s="904"/>
      <c r="J62" s="904"/>
      <c r="K62" s="904"/>
      <c r="L62" s="904"/>
      <c r="M62" s="904"/>
      <c r="N62" s="904"/>
      <c r="O62" s="904"/>
      <c r="P62" s="904"/>
      <c r="Q62" s="904"/>
      <c r="R62" s="904"/>
      <c r="S62" s="904"/>
      <c r="T62" s="904"/>
      <c r="U62" s="884"/>
      <c r="V62" s="896"/>
      <c r="W62" s="884"/>
      <c r="X62" s="906"/>
      <c r="Y62" s="906"/>
      <c r="Z62" s="906"/>
      <c r="AA62" s="909"/>
      <c r="AB62" s="909"/>
      <c r="AC62" s="909"/>
      <c r="AD62" s="909"/>
      <c r="AE62" s="909"/>
      <c r="AF62" s="909"/>
      <c r="AG62" s="909"/>
      <c r="AH62" s="909"/>
      <c r="AI62" s="909"/>
      <c r="AL62" s="1145"/>
      <c r="AM62" s="1137"/>
      <c r="AN62" s="1137"/>
      <c r="AO62" s="1137"/>
      <c r="AP62" s="1137"/>
      <c r="AQ62" s="1137"/>
      <c r="AR62" s="1137"/>
      <c r="AS62" s="1137"/>
    </row>
    <row r="63" spans="1:45" ht="6.75" customHeight="1">
      <c r="F63" s="904"/>
      <c r="G63" s="904"/>
      <c r="I63" s="904"/>
      <c r="J63" s="904"/>
      <c r="K63" s="904"/>
      <c r="L63" s="904"/>
      <c r="M63" s="904"/>
      <c r="N63" s="904"/>
      <c r="O63" s="904"/>
      <c r="P63" s="904"/>
      <c r="Q63" s="904"/>
      <c r="R63" s="904"/>
      <c r="S63" s="904"/>
      <c r="T63" s="904"/>
      <c r="X63" s="906"/>
      <c r="Y63" s="906"/>
      <c r="Z63" s="906"/>
      <c r="AA63" s="909"/>
      <c r="AB63" s="909"/>
      <c r="AC63" s="909"/>
      <c r="AD63" s="909"/>
      <c r="AE63" s="909"/>
      <c r="AF63" s="909"/>
      <c r="AG63" s="909"/>
      <c r="AH63" s="909"/>
      <c r="AI63" s="909"/>
      <c r="AL63" s="1145"/>
    </row>
    <row r="64" spans="1:45">
      <c r="B64" s="898" t="s">
        <v>2232</v>
      </c>
      <c r="C64" s="898"/>
      <c r="D64" s="898"/>
      <c r="F64" s="904"/>
      <c r="G64" s="904"/>
      <c r="H64" s="899"/>
      <c r="I64" s="904"/>
      <c r="J64" s="904"/>
      <c r="K64" s="904"/>
      <c r="L64" s="904"/>
      <c r="M64" s="904"/>
      <c r="N64" s="904"/>
      <c r="O64" s="904"/>
      <c r="P64" s="904"/>
      <c r="Q64" s="904"/>
      <c r="R64" s="904"/>
      <c r="S64" s="904"/>
      <c r="T64" s="904"/>
      <c r="U64" s="973"/>
      <c r="V64" s="977"/>
      <c r="W64" s="886"/>
      <c r="X64" s="906"/>
      <c r="Y64" s="906"/>
      <c r="Z64" s="906"/>
      <c r="AA64" s="909"/>
      <c r="AB64" s="909"/>
      <c r="AC64" s="909"/>
      <c r="AD64" s="909"/>
      <c r="AE64" s="909"/>
      <c r="AF64" s="909"/>
      <c r="AG64" s="909"/>
      <c r="AH64" s="909"/>
      <c r="AI64" s="909"/>
      <c r="AL64" s="1145"/>
    </row>
    <row r="65" spans="1:45" ht="7.5" customHeight="1">
      <c r="B65" s="898"/>
      <c r="C65" s="898"/>
      <c r="D65" s="898"/>
      <c r="F65" s="904"/>
      <c r="G65" s="904"/>
      <c r="H65" s="899"/>
      <c r="I65" s="904"/>
      <c r="J65" s="904"/>
      <c r="K65" s="904"/>
      <c r="L65" s="904"/>
      <c r="M65" s="904"/>
      <c r="N65" s="904"/>
      <c r="O65" s="904"/>
      <c r="P65" s="904"/>
      <c r="Q65" s="904"/>
      <c r="R65" s="904"/>
      <c r="S65" s="904"/>
      <c r="T65" s="904"/>
      <c r="U65" s="973"/>
      <c r="X65" s="906"/>
      <c r="Y65" s="906"/>
      <c r="Z65" s="906"/>
      <c r="AA65" s="909"/>
      <c r="AB65" s="909"/>
      <c r="AC65" s="909"/>
      <c r="AD65" s="909"/>
      <c r="AE65" s="909"/>
      <c r="AF65" s="909"/>
      <c r="AG65" s="909"/>
      <c r="AH65" s="909"/>
      <c r="AI65" s="909"/>
      <c r="AL65" s="1145"/>
    </row>
    <row r="66" spans="1:45">
      <c r="B66" s="918" t="s">
        <v>2233</v>
      </c>
      <c r="C66" s="889"/>
      <c r="D66" s="889"/>
      <c r="F66" s="904"/>
      <c r="G66" s="904"/>
      <c r="H66" s="944"/>
      <c r="I66" s="904"/>
      <c r="J66" s="904"/>
      <c r="K66" s="904"/>
      <c r="L66" s="904"/>
      <c r="M66" s="904"/>
      <c r="N66" s="904"/>
      <c r="O66" s="904"/>
      <c r="P66" s="904"/>
      <c r="Q66" s="904"/>
      <c r="R66" s="904"/>
      <c r="S66" s="904"/>
      <c r="T66" s="904"/>
      <c r="U66" s="944"/>
      <c r="V66" s="967"/>
      <c r="W66" s="944"/>
      <c r="X66" s="906"/>
      <c r="Y66" s="906"/>
      <c r="Z66" s="906"/>
      <c r="AA66" s="909"/>
      <c r="AB66" s="909"/>
      <c r="AC66" s="909"/>
      <c r="AD66" s="909"/>
      <c r="AE66" s="909"/>
      <c r="AF66" s="909"/>
      <c r="AG66" s="909"/>
      <c r="AH66" s="909"/>
      <c r="AI66" s="909"/>
      <c r="AL66" s="1145"/>
    </row>
    <row r="67" spans="1:45">
      <c r="A67" s="884" t="str">
        <f t="shared" ref="A67:A75" si="41">$B$3&amp;"Rolloff"&amp;B67</f>
        <v>JBLM HOUSINGRolloffHAUL20-RO</v>
      </c>
      <c r="B67" s="889" t="s">
        <v>2234</v>
      </c>
      <c r="C67" s="889" t="s">
        <v>2235</v>
      </c>
      <c r="D67" s="889" t="s">
        <v>2236</v>
      </c>
      <c r="E67" s="883">
        <v>31000</v>
      </c>
      <c r="F67" s="904">
        <v>152</v>
      </c>
      <c r="G67" s="904">
        <v>152</v>
      </c>
      <c r="H67" s="904"/>
      <c r="I67" s="904">
        <v>152</v>
      </c>
      <c r="J67" s="904">
        <v>152</v>
      </c>
      <c r="K67" s="904">
        <v>152</v>
      </c>
      <c r="L67" s="904">
        <v>0</v>
      </c>
      <c r="M67" s="904">
        <v>152</v>
      </c>
      <c r="N67" s="904">
        <v>0</v>
      </c>
      <c r="O67" s="904">
        <v>152</v>
      </c>
      <c r="P67" s="904">
        <v>0</v>
      </c>
      <c r="Q67" s="904">
        <v>152</v>
      </c>
      <c r="R67" s="904">
        <v>152</v>
      </c>
      <c r="S67" s="904">
        <v>608</v>
      </c>
      <c r="T67" s="904">
        <v>304</v>
      </c>
      <c r="U67" s="909"/>
      <c r="V67" s="957">
        <f t="shared" ref="V67:V75" si="42">SUM(I67:T67)</f>
        <v>1976</v>
      </c>
      <c r="W67" s="909"/>
      <c r="X67" s="906">
        <f t="shared" ref="X67:Z75" si="43">IFERROR(I67/$F67,0)</f>
        <v>1</v>
      </c>
      <c r="Y67" s="906">
        <f t="shared" si="43"/>
        <v>1</v>
      </c>
      <c r="Z67" s="906">
        <f t="shared" si="43"/>
        <v>1</v>
      </c>
      <c r="AA67" s="909">
        <f t="shared" ref="AA67:AI75" si="44">IFERROR(L67/$G67,0)</f>
        <v>0</v>
      </c>
      <c r="AB67" s="909">
        <f t="shared" si="44"/>
        <v>1</v>
      </c>
      <c r="AC67" s="909">
        <f t="shared" si="44"/>
        <v>0</v>
      </c>
      <c r="AD67" s="909">
        <f t="shared" si="44"/>
        <v>1</v>
      </c>
      <c r="AE67" s="909">
        <f t="shared" si="44"/>
        <v>0</v>
      </c>
      <c r="AF67" s="909">
        <f t="shared" si="44"/>
        <v>1</v>
      </c>
      <c r="AG67" s="909">
        <f t="shared" si="44"/>
        <v>1</v>
      </c>
      <c r="AH67" s="909">
        <f t="shared" si="44"/>
        <v>4</v>
      </c>
      <c r="AI67" s="909">
        <f t="shared" si="44"/>
        <v>2</v>
      </c>
      <c r="AJ67" s="907">
        <f t="shared" ref="AJ67:AJ75" si="45">AVERAGE(X67:AI67)</f>
        <v>1.0833333333333333</v>
      </c>
      <c r="AL67" s="1146"/>
      <c r="AM67" s="1140">
        <f t="shared" ref="AM67:AM75" ca="1" si="46">G67*$AS$2</f>
        <v>-33.861220635602528</v>
      </c>
      <c r="AO67" s="1140">
        <f t="shared" ref="AO67:AO75" ca="1" si="47">AJ67*AM67*12</f>
        <v>-440.19586826283285</v>
      </c>
      <c r="AQ67" s="1140">
        <f t="shared" ref="AQ67:AQ75" ca="1" si="48">G67+AM67</f>
        <v>118.13877936439746</v>
      </c>
      <c r="AS67" s="1140">
        <f t="shared" ref="AS67:AS75" ca="1" si="49">V67+AO67</f>
        <v>1535.8041317371672</v>
      </c>
    </row>
    <row r="68" spans="1:45">
      <c r="A68" s="884" t="str">
        <f t="shared" si="41"/>
        <v>JBLM HOUSINGRolloffHAUL30-RO</v>
      </c>
      <c r="B68" s="889" t="s">
        <v>2237</v>
      </c>
      <c r="C68" s="889" t="s">
        <v>2238</v>
      </c>
      <c r="D68" s="889" t="s">
        <v>2236</v>
      </c>
      <c r="E68" s="883">
        <v>31000</v>
      </c>
      <c r="F68" s="904">
        <v>159</v>
      </c>
      <c r="G68" s="904">
        <v>159</v>
      </c>
      <c r="H68" s="904"/>
      <c r="I68" s="904">
        <v>159</v>
      </c>
      <c r="J68" s="904">
        <v>159</v>
      </c>
      <c r="K68" s="904">
        <v>318</v>
      </c>
      <c r="L68" s="904">
        <v>159</v>
      </c>
      <c r="M68" s="904">
        <v>318</v>
      </c>
      <c r="N68" s="904">
        <v>159</v>
      </c>
      <c r="O68" s="904">
        <v>318</v>
      </c>
      <c r="P68" s="904">
        <v>318</v>
      </c>
      <c r="Q68" s="904">
        <v>318</v>
      </c>
      <c r="R68" s="904">
        <v>318</v>
      </c>
      <c r="S68" s="904">
        <v>318</v>
      </c>
      <c r="T68" s="904">
        <v>159</v>
      </c>
      <c r="U68" s="909"/>
      <c r="V68" s="957">
        <f t="shared" si="42"/>
        <v>3021</v>
      </c>
      <c r="W68" s="909"/>
      <c r="X68" s="906">
        <f t="shared" si="43"/>
        <v>1</v>
      </c>
      <c r="Y68" s="906">
        <f t="shared" si="43"/>
        <v>1</v>
      </c>
      <c r="Z68" s="906">
        <f t="shared" si="43"/>
        <v>2</v>
      </c>
      <c r="AA68" s="909">
        <f t="shared" si="44"/>
        <v>1</v>
      </c>
      <c r="AB68" s="909">
        <f t="shared" si="44"/>
        <v>2</v>
      </c>
      <c r="AC68" s="909">
        <f t="shared" si="44"/>
        <v>1</v>
      </c>
      <c r="AD68" s="909">
        <f t="shared" si="44"/>
        <v>2</v>
      </c>
      <c r="AE68" s="909">
        <f t="shared" si="44"/>
        <v>2</v>
      </c>
      <c r="AF68" s="909">
        <f t="shared" si="44"/>
        <v>2</v>
      </c>
      <c r="AG68" s="909">
        <f t="shared" si="44"/>
        <v>2</v>
      </c>
      <c r="AH68" s="909">
        <f t="shared" si="44"/>
        <v>2</v>
      </c>
      <c r="AI68" s="909">
        <f t="shared" si="44"/>
        <v>1</v>
      </c>
      <c r="AJ68" s="907">
        <f t="shared" si="45"/>
        <v>1.5833333333333333</v>
      </c>
      <c r="AL68" s="1146"/>
      <c r="AM68" s="1140">
        <f t="shared" ca="1" si="46"/>
        <v>-35.420618954347383</v>
      </c>
      <c r="AO68" s="1140">
        <f t="shared" ca="1" si="47"/>
        <v>-672.99176013260023</v>
      </c>
      <c r="AQ68" s="1140">
        <f t="shared" ca="1" si="48"/>
        <v>123.57938104565261</v>
      </c>
      <c r="AS68" s="1140">
        <f t="shared" ca="1" si="49"/>
        <v>2348.0082398673999</v>
      </c>
    </row>
    <row r="69" spans="1:45">
      <c r="A69" s="884" t="str">
        <f t="shared" si="41"/>
        <v>JBLM HOUSINGRolloffHAUL40-RO</v>
      </c>
      <c r="B69" s="889" t="s">
        <v>2239</v>
      </c>
      <c r="C69" s="889" t="s">
        <v>2240</v>
      </c>
      <c r="D69" s="889" t="s">
        <v>2236</v>
      </c>
      <c r="E69" s="883">
        <v>31000</v>
      </c>
      <c r="F69" s="904">
        <v>165</v>
      </c>
      <c r="G69" s="904">
        <v>165</v>
      </c>
      <c r="H69" s="904"/>
      <c r="I69" s="904">
        <v>3300</v>
      </c>
      <c r="J69" s="904">
        <v>3300</v>
      </c>
      <c r="K69" s="904">
        <v>2805</v>
      </c>
      <c r="L69" s="904">
        <v>3465</v>
      </c>
      <c r="M69" s="904">
        <v>3795</v>
      </c>
      <c r="N69" s="904">
        <v>3630</v>
      </c>
      <c r="O69" s="904">
        <v>4290</v>
      </c>
      <c r="P69" s="904">
        <v>4290</v>
      </c>
      <c r="Q69" s="904">
        <v>5115</v>
      </c>
      <c r="R69" s="904">
        <v>4785</v>
      </c>
      <c r="S69" s="904">
        <v>4785</v>
      </c>
      <c r="T69" s="904">
        <v>4290</v>
      </c>
      <c r="U69" s="909"/>
      <c r="V69" s="957">
        <f t="shared" si="42"/>
        <v>47850</v>
      </c>
      <c r="W69" s="909"/>
      <c r="X69" s="906">
        <f t="shared" si="43"/>
        <v>20</v>
      </c>
      <c r="Y69" s="906">
        <f t="shared" si="43"/>
        <v>20</v>
      </c>
      <c r="Z69" s="906">
        <f t="shared" si="43"/>
        <v>17</v>
      </c>
      <c r="AA69" s="909">
        <f t="shared" si="44"/>
        <v>21</v>
      </c>
      <c r="AB69" s="909">
        <f t="shared" si="44"/>
        <v>23</v>
      </c>
      <c r="AC69" s="909">
        <f t="shared" si="44"/>
        <v>22</v>
      </c>
      <c r="AD69" s="909">
        <f t="shared" si="44"/>
        <v>26</v>
      </c>
      <c r="AE69" s="909">
        <f t="shared" si="44"/>
        <v>26</v>
      </c>
      <c r="AF69" s="909">
        <f t="shared" si="44"/>
        <v>31</v>
      </c>
      <c r="AG69" s="909">
        <f t="shared" si="44"/>
        <v>29</v>
      </c>
      <c r="AH69" s="909">
        <f t="shared" si="44"/>
        <v>29</v>
      </c>
      <c r="AI69" s="909">
        <f t="shared" si="44"/>
        <v>26</v>
      </c>
      <c r="AJ69" s="907">
        <f t="shared" si="45"/>
        <v>24.166666666666668</v>
      </c>
      <c r="AL69" s="1146"/>
      <c r="AM69" s="1140">
        <f t="shared" ca="1" si="46"/>
        <v>-36.757246084700114</v>
      </c>
      <c r="AO69" s="1140">
        <f t="shared" ca="1" si="47"/>
        <v>-10659.601364563034</v>
      </c>
      <c r="AQ69" s="1140">
        <f t="shared" ca="1" si="48"/>
        <v>128.24275391529989</v>
      </c>
      <c r="AS69" s="1140">
        <f t="shared" ca="1" si="49"/>
        <v>37190.39863543697</v>
      </c>
    </row>
    <row r="70" spans="1:45">
      <c r="A70" s="884" t="str">
        <f t="shared" si="41"/>
        <v>JBLM HOUSINGRolloffRENT20MO-RO</v>
      </c>
      <c r="B70" s="889" t="s">
        <v>2277</v>
      </c>
      <c r="C70" s="889" t="s">
        <v>2278</v>
      </c>
      <c r="D70" s="889" t="s">
        <v>2279</v>
      </c>
      <c r="E70" s="883">
        <v>31002</v>
      </c>
      <c r="F70" s="904">
        <v>59.5</v>
      </c>
      <c r="G70" s="904">
        <v>59.5</v>
      </c>
      <c r="H70" s="904"/>
      <c r="I70" s="904">
        <v>59.5</v>
      </c>
      <c r="J70" s="904">
        <v>59.5</v>
      </c>
      <c r="K70" s="904">
        <v>59.5</v>
      </c>
      <c r="L70" s="904">
        <v>59.5</v>
      </c>
      <c r="M70" s="904">
        <v>59.5</v>
      </c>
      <c r="N70" s="904">
        <v>59.5</v>
      </c>
      <c r="O70" s="904">
        <v>59.5</v>
      </c>
      <c r="P70" s="904">
        <v>59.5</v>
      </c>
      <c r="Q70" s="904">
        <v>59.5</v>
      </c>
      <c r="R70" s="904">
        <v>59.5</v>
      </c>
      <c r="S70" s="904">
        <v>59.5</v>
      </c>
      <c r="T70" s="904">
        <v>59.5</v>
      </c>
      <c r="U70" s="909"/>
      <c r="V70" s="957">
        <f t="shared" si="42"/>
        <v>714</v>
      </c>
      <c r="W70" s="909"/>
      <c r="X70" s="906">
        <f t="shared" si="43"/>
        <v>1</v>
      </c>
      <c r="Y70" s="906">
        <f t="shared" si="43"/>
        <v>1</v>
      </c>
      <c r="Z70" s="906">
        <f t="shared" si="43"/>
        <v>1</v>
      </c>
      <c r="AA70" s="909">
        <f t="shared" si="44"/>
        <v>1</v>
      </c>
      <c r="AB70" s="909">
        <f t="shared" si="44"/>
        <v>1</v>
      </c>
      <c r="AC70" s="909">
        <f t="shared" si="44"/>
        <v>1</v>
      </c>
      <c r="AD70" s="909">
        <f t="shared" si="44"/>
        <v>1</v>
      </c>
      <c r="AE70" s="909">
        <f t="shared" si="44"/>
        <v>1</v>
      </c>
      <c r="AF70" s="909">
        <f t="shared" si="44"/>
        <v>1</v>
      </c>
      <c r="AG70" s="909">
        <f t="shared" si="44"/>
        <v>1</v>
      </c>
      <c r="AH70" s="909">
        <f t="shared" si="44"/>
        <v>1</v>
      </c>
      <c r="AI70" s="909">
        <f t="shared" si="44"/>
        <v>1</v>
      </c>
      <c r="AJ70" s="907">
        <f t="shared" si="45"/>
        <v>1</v>
      </c>
      <c r="AL70" s="1146"/>
      <c r="AM70" s="1140">
        <f t="shared" ca="1" si="46"/>
        <v>-13.254885709331253</v>
      </c>
      <c r="AO70" s="1140">
        <f t="shared" ca="1" si="47"/>
        <v>-159.05862851197503</v>
      </c>
      <c r="AQ70" s="1140">
        <f t="shared" ca="1" si="48"/>
        <v>46.245114290668745</v>
      </c>
      <c r="AS70" s="1140">
        <f t="shared" ca="1" si="49"/>
        <v>554.94137148802497</v>
      </c>
    </row>
    <row r="71" spans="1:45">
      <c r="A71" s="884" t="str">
        <f t="shared" si="41"/>
        <v>JBLM HOUSINGRolloffRENT30MO-RO</v>
      </c>
      <c r="B71" s="889" t="s">
        <v>2280</v>
      </c>
      <c r="C71" s="889" t="s">
        <v>2281</v>
      </c>
      <c r="D71" s="889" t="s">
        <v>2279</v>
      </c>
      <c r="E71" s="883">
        <v>31002</v>
      </c>
      <c r="F71" s="904">
        <v>59.5</v>
      </c>
      <c r="G71" s="904">
        <v>59.5</v>
      </c>
      <c r="H71" s="904"/>
      <c r="I71" s="904">
        <v>59.5</v>
      </c>
      <c r="J71" s="904">
        <v>59.5</v>
      </c>
      <c r="K71" s="904">
        <v>59.5</v>
      </c>
      <c r="L71" s="904">
        <v>59.5</v>
      </c>
      <c r="M71" s="904">
        <v>59.5</v>
      </c>
      <c r="N71" s="904">
        <v>59.5</v>
      </c>
      <c r="O71" s="904">
        <v>59.5</v>
      </c>
      <c r="P71" s="904">
        <v>59.5</v>
      </c>
      <c r="Q71" s="904">
        <v>59.5</v>
      </c>
      <c r="R71" s="904">
        <v>59.5</v>
      </c>
      <c r="S71" s="904">
        <v>59.5</v>
      </c>
      <c r="T71" s="904">
        <v>59.5</v>
      </c>
      <c r="U71" s="909"/>
      <c r="V71" s="957">
        <f t="shared" si="42"/>
        <v>714</v>
      </c>
      <c r="W71" s="909"/>
      <c r="X71" s="906">
        <f t="shared" si="43"/>
        <v>1</v>
      </c>
      <c r="Y71" s="906">
        <f t="shared" si="43"/>
        <v>1</v>
      </c>
      <c r="Z71" s="906">
        <f t="shared" si="43"/>
        <v>1</v>
      </c>
      <c r="AA71" s="909">
        <f t="shared" si="44"/>
        <v>1</v>
      </c>
      <c r="AB71" s="909">
        <f t="shared" si="44"/>
        <v>1</v>
      </c>
      <c r="AC71" s="909">
        <f t="shared" si="44"/>
        <v>1</v>
      </c>
      <c r="AD71" s="909">
        <f t="shared" si="44"/>
        <v>1</v>
      </c>
      <c r="AE71" s="909">
        <f t="shared" si="44"/>
        <v>1</v>
      </c>
      <c r="AF71" s="909">
        <f t="shared" si="44"/>
        <v>1</v>
      </c>
      <c r="AG71" s="909">
        <f t="shared" si="44"/>
        <v>1</v>
      </c>
      <c r="AH71" s="909">
        <f t="shared" si="44"/>
        <v>1</v>
      </c>
      <c r="AI71" s="909">
        <f t="shared" si="44"/>
        <v>1</v>
      </c>
      <c r="AJ71" s="907">
        <f t="shared" si="45"/>
        <v>1</v>
      </c>
      <c r="AL71" s="1146"/>
      <c r="AM71" s="1140">
        <f t="shared" ca="1" si="46"/>
        <v>-13.254885709331253</v>
      </c>
      <c r="AO71" s="1140">
        <f t="shared" ca="1" si="47"/>
        <v>-159.05862851197503</v>
      </c>
      <c r="AQ71" s="1140">
        <f t="shared" ca="1" si="48"/>
        <v>46.245114290668745</v>
      </c>
      <c r="AS71" s="1140">
        <f t="shared" ca="1" si="49"/>
        <v>554.94137148802497</v>
      </c>
    </row>
    <row r="72" spans="1:45">
      <c r="A72" s="884" t="str">
        <f t="shared" si="41"/>
        <v>JBLM HOUSINGRolloffRENT40MO-RO</v>
      </c>
      <c r="B72" s="889" t="s">
        <v>2282</v>
      </c>
      <c r="C72" s="889" t="s">
        <v>2283</v>
      </c>
      <c r="D72" s="889" t="s">
        <v>2279</v>
      </c>
      <c r="E72" s="883">
        <v>31002</v>
      </c>
      <c r="F72" s="904">
        <v>59.5</v>
      </c>
      <c r="G72" s="904">
        <v>59.5</v>
      </c>
      <c r="H72" s="904"/>
      <c r="I72" s="904">
        <v>119</v>
      </c>
      <c r="J72" s="904">
        <v>119</v>
      </c>
      <c r="K72" s="904">
        <v>119</v>
      </c>
      <c r="L72" s="904">
        <v>119</v>
      </c>
      <c r="M72" s="904">
        <v>119</v>
      </c>
      <c r="N72" s="904">
        <v>119</v>
      </c>
      <c r="O72" s="904">
        <v>119</v>
      </c>
      <c r="P72" s="904">
        <v>119</v>
      </c>
      <c r="Q72" s="904">
        <v>119</v>
      </c>
      <c r="R72" s="904">
        <v>119</v>
      </c>
      <c r="S72" s="904">
        <v>119</v>
      </c>
      <c r="T72" s="904">
        <v>119</v>
      </c>
      <c r="U72" s="909"/>
      <c r="V72" s="957">
        <f t="shared" si="42"/>
        <v>1428</v>
      </c>
      <c r="W72" s="909"/>
      <c r="X72" s="906">
        <f t="shared" si="43"/>
        <v>2</v>
      </c>
      <c r="Y72" s="906">
        <f t="shared" si="43"/>
        <v>2</v>
      </c>
      <c r="Z72" s="906">
        <f t="shared" si="43"/>
        <v>2</v>
      </c>
      <c r="AA72" s="909">
        <f t="shared" si="44"/>
        <v>2</v>
      </c>
      <c r="AB72" s="909">
        <f t="shared" si="44"/>
        <v>2</v>
      </c>
      <c r="AC72" s="909">
        <f t="shared" si="44"/>
        <v>2</v>
      </c>
      <c r="AD72" s="909">
        <f t="shared" si="44"/>
        <v>2</v>
      </c>
      <c r="AE72" s="909">
        <f t="shared" si="44"/>
        <v>2</v>
      </c>
      <c r="AF72" s="909">
        <f t="shared" si="44"/>
        <v>2</v>
      </c>
      <c r="AG72" s="909">
        <f t="shared" si="44"/>
        <v>2</v>
      </c>
      <c r="AH72" s="909">
        <f t="shared" si="44"/>
        <v>2</v>
      </c>
      <c r="AI72" s="909">
        <f t="shared" si="44"/>
        <v>2</v>
      </c>
      <c r="AJ72" s="907">
        <f t="shared" si="45"/>
        <v>2</v>
      </c>
      <c r="AL72" s="1146"/>
      <c r="AM72" s="1140">
        <f t="shared" ca="1" si="46"/>
        <v>-13.254885709331253</v>
      </c>
      <c r="AO72" s="1140">
        <f t="shared" ca="1" si="47"/>
        <v>-318.11725702395006</v>
      </c>
      <c r="AQ72" s="1140">
        <f t="shared" ca="1" si="48"/>
        <v>46.245114290668745</v>
      </c>
      <c r="AS72" s="1140">
        <f t="shared" ca="1" si="49"/>
        <v>1109.8827429760499</v>
      </c>
    </row>
    <row r="73" spans="1:45" ht="13.5" customHeight="1">
      <c r="A73" s="884" t="str">
        <f t="shared" si="41"/>
        <v>JBLM HOUSINGRolloffEXWGHT-RO</v>
      </c>
      <c r="B73" s="889" t="s">
        <v>2298</v>
      </c>
      <c r="C73" s="889" t="s">
        <v>2299</v>
      </c>
      <c r="D73" s="889" t="s">
        <v>2236</v>
      </c>
      <c r="E73" s="883">
        <v>31000</v>
      </c>
      <c r="F73" s="904">
        <v>0</v>
      </c>
      <c r="G73" s="904">
        <v>0</v>
      </c>
      <c r="H73" s="947"/>
      <c r="I73" s="904">
        <v>0</v>
      </c>
      <c r="J73" s="904">
        <v>0</v>
      </c>
      <c r="K73" s="904">
        <v>0</v>
      </c>
      <c r="L73" s="904">
        <v>0</v>
      </c>
      <c r="M73" s="904">
        <v>570</v>
      </c>
      <c r="N73" s="904">
        <v>0</v>
      </c>
      <c r="O73" s="904">
        <v>0</v>
      </c>
      <c r="P73" s="904">
        <v>0</v>
      </c>
      <c r="Q73" s="904">
        <v>0</v>
      </c>
      <c r="R73" s="904">
        <v>0</v>
      </c>
      <c r="S73" s="904">
        <v>0</v>
      </c>
      <c r="T73" s="904">
        <v>0</v>
      </c>
      <c r="U73" s="909"/>
      <c r="V73" s="957">
        <f t="shared" si="42"/>
        <v>570</v>
      </c>
      <c r="W73" s="909"/>
      <c r="X73" s="906">
        <f t="shared" si="43"/>
        <v>0</v>
      </c>
      <c r="Y73" s="906">
        <f t="shared" si="43"/>
        <v>0</v>
      </c>
      <c r="Z73" s="906">
        <f t="shared" si="43"/>
        <v>0</v>
      </c>
      <c r="AA73" s="909">
        <f t="shared" si="44"/>
        <v>0</v>
      </c>
      <c r="AB73" s="909">
        <f t="shared" si="44"/>
        <v>0</v>
      </c>
      <c r="AC73" s="909">
        <f t="shared" si="44"/>
        <v>0</v>
      </c>
      <c r="AD73" s="909">
        <f t="shared" si="44"/>
        <v>0</v>
      </c>
      <c r="AE73" s="909">
        <f t="shared" si="44"/>
        <v>0</v>
      </c>
      <c r="AF73" s="909">
        <f t="shared" si="44"/>
        <v>0</v>
      </c>
      <c r="AG73" s="909">
        <f t="shared" si="44"/>
        <v>0</v>
      </c>
      <c r="AH73" s="909">
        <f t="shared" si="44"/>
        <v>0</v>
      </c>
      <c r="AI73" s="909">
        <f t="shared" si="44"/>
        <v>0</v>
      </c>
      <c r="AJ73" s="907">
        <f t="shared" si="45"/>
        <v>0</v>
      </c>
      <c r="AL73" s="1146"/>
      <c r="AM73" s="1140">
        <f t="shared" ca="1" si="46"/>
        <v>0</v>
      </c>
      <c r="AO73" s="1140">
        <f t="shared" ca="1" si="47"/>
        <v>0</v>
      </c>
      <c r="AQ73" s="1140">
        <f t="shared" ca="1" si="48"/>
        <v>0</v>
      </c>
      <c r="AS73" s="1140">
        <f t="shared" ca="1" si="49"/>
        <v>570</v>
      </c>
    </row>
    <row r="74" spans="1:45">
      <c r="A74" s="884" t="str">
        <f t="shared" si="41"/>
        <v>JBLM HOUSINGRolloffMILE-RO</v>
      </c>
      <c r="B74" s="889" t="s">
        <v>2307</v>
      </c>
      <c r="C74" s="889" t="s">
        <v>2308</v>
      </c>
      <c r="D74" s="889" t="s">
        <v>2236</v>
      </c>
      <c r="E74" s="883">
        <v>31000</v>
      </c>
      <c r="F74" s="904">
        <v>3</v>
      </c>
      <c r="G74" s="904">
        <v>3</v>
      </c>
      <c r="H74" s="904"/>
      <c r="I74" s="904">
        <v>387</v>
      </c>
      <c r="J74" s="904">
        <v>387</v>
      </c>
      <c r="K74" s="904">
        <v>342</v>
      </c>
      <c r="L74" s="904">
        <v>387</v>
      </c>
      <c r="M74" s="904">
        <v>450</v>
      </c>
      <c r="N74" s="904">
        <v>405</v>
      </c>
      <c r="O74" s="904">
        <v>504</v>
      </c>
      <c r="P74" s="904">
        <v>486</v>
      </c>
      <c r="Q74" s="904">
        <v>594</v>
      </c>
      <c r="R74" s="904">
        <v>558</v>
      </c>
      <c r="S74" s="904">
        <v>612</v>
      </c>
      <c r="T74" s="904">
        <v>513</v>
      </c>
      <c r="U74" s="909"/>
      <c r="V74" s="957">
        <f t="shared" si="42"/>
        <v>5625</v>
      </c>
      <c r="W74" s="909"/>
      <c r="X74" s="906">
        <f t="shared" si="43"/>
        <v>129</v>
      </c>
      <c r="Y74" s="906">
        <f t="shared" si="43"/>
        <v>129</v>
      </c>
      <c r="Z74" s="906">
        <f t="shared" si="43"/>
        <v>114</v>
      </c>
      <c r="AA74" s="909">
        <f t="shared" si="44"/>
        <v>129</v>
      </c>
      <c r="AB74" s="909">
        <f t="shared" si="44"/>
        <v>150</v>
      </c>
      <c r="AC74" s="909">
        <f t="shared" si="44"/>
        <v>135</v>
      </c>
      <c r="AD74" s="909">
        <f t="shared" si="44"/>
        <v>168</v>
      </c>
      <c r="AE74" s="909">
        <f t="shared" si="44"/>
        <v>162</v>
      </c>
      <c r="AF74" s="909">
        <f t="shared" si="44"/>
        <v>198</v>
      </c>
      <c r="AG74" s="909">
        <f t="shared" si="44"/>
        <v>186</v>
      </c>
      <c r="AH74" s="909">
        <f t="shared" si="44"/>
        <v>204</v>
      </c>
      <c r="AI74" s="909">
        <f t="shared" si="44"/>
        <v>171</v>
      </c>
      <c r="AJ74" s="907">
        <f t="shared" si="45"/>
        <v>156.25</v>
      </c>
      <c r="AL74" s="1146"/>
      <c r="AM74" s="1140">
        <f t="shared" ca="1" si="46"/>
        <v>-0.66831356517636564</v>
      </c>
      <c r="AO74" s="1140">
        <f t="shared" ca="1" si="47"/>
        <v>-1253.0879347056857</v>
      </c>
      <c r="AQ74" s="1140">
        <f t="shared" ca="1" si="48"/>
        <v>2.3316864348236344</v>
      </c>
      <c r="AS74" s="1140">
        <f t="shared" ca="1" si="49"/>
        <v>4371.9120652943147</v>
      </c>
    </row>
    <row r="75" spans="1:45">
      <c r="A75" s="884" t="str">
        <f t="shared" si="41"/>
        <v>JBLM HOUSINGRolloffRTRNTRIP-RO</v>
      </c>
      <c r="B75" s="889" t="s">
        <v>2309</v>
      </c>
      <c r="C75" s="889" t="s">
        <v>2310</v>
      </c>
      <c r="D75" s="889" t="s">
        <v>2236</v>
      </c>
      <c r="E75" s="883">
        <v>31000</v>
      </c>
      <c r="F75" s="904">
        <v>60</v>
      </c>
      <c r="G75" s="904">
        <v>60</v>
      </c>
      <c r="H75" s="904"/>
      <c r="I75" s="904">
        <v>120</v>
      </c>
      <c r="J75" s="904">
        <v>120</v>
      </c>
      <c r="K75" s="904">
        <v>0</v>
      </c>
      <c r="L75" s="904">
        <v>60</v>
      </c>
      <c r="M75" s="904">
        <v>0</v>
      </c>
      <c r="N75" s="904">
        <v>60</v>
      </c>
      <c r="O75" s="904">
        <v>0</v>
      </c>
      <c r="P75" s="904">
        <v>120</v>
      </c>
      <c r="Q75" s="904">
        <v>0</v>
      </c>
      <c r="R75" s="904">
        <v>120</v>
      </c>
      <c r="S75" s="904">
        <v>180</v>
      </c>
      <c r="T75" s="904">
        <v>120</v>
      </c>
      <c r="U75" s="909"/>
      <c r="V75" s="957">
        <f t="shared" si="42"/>
        <v>900</v>
      </c>
      <c r="W75" s="909"/>
      <c r="X75" s="906">
        <f t="shared" si="43"/>
        <v>2</v>
      </c>
      <c r="Y75" s="906">
        <f t="shared" si="43"/>
        <v>2</v>
      </c>
      <c r="Z75" s="906">
        <f t="shared" si="43"/>
        <v>0</v>
      </c>
      <c r="AA75" s="909">
        <f t="shared" si="44"/>
        <v>1</v>
      </c>
      <c r="AB75" s="909">
        <f t="shared" si="44"/>
        <v>0</v>
      </c>
      <c r="AC75" s="909">
        <f t="shared" si="44"/>
        <v>1</v>
      </c>
      <c r="AD75" s="909">
        <f t="shared" si="44"/>
        <v>0</v>
      </c>
      <c r="AE75" s="909">
        <f t="shared" si="44"/>
        <v>2</v>
      </c>
      <c r="AF75" s="909">
        <f t="shared" si="44"/>
        <v>0</v>
      </c>
      <c r="AG75" s="909">
        <f t="shared" si="44"/>
        <v>2</v>
      </c>
      <c r="AH75" s="909">
        <f t="shared" si="44"/>
        <v>3</v>
      </c>
      <c r="AI75" s="909">
        <f t="shared" si="44"/>
        <v>2</v>
      </c>
      <c r="AJ75" s="907">
        <f t="shared" si="45"/>
        <v>1.25</v>
      </c>
      <c r="AL75" s="1146"/>
      <c r="AM75" s="1140">
        <f t="shared" ca="1" si="46"/>
        <v>-13.366271303527315</v>
      </c>
      <c r="AO75" s="1140">
        <f t="shared" ca="1" si="47"/>
        <v>-200.49406955290974</v>
      </c>
      <c r="AQ75" s="1140">
        <f t="shared" ca="1" si="48"/>
        <v>46.633728696472687</v>
      </c>
      <c r="AS75" s="1140">
        <f t="shared" ca="1" si="49"/>
        <v>699.50593044709024</v>
      </c>
    </row>
    <row r="76" spans="1:45">
      <c r="B76" s="889"/>
      <c r="C76" s="889"/>
      <c r="D76" s="889"/>
      <c r="F76" s="904"/>
      <c r="G76" s="904"/>
      <c r="H76" s="904"/>
      <c r="I76" s="904"/>
      <c r="J76" s="904"/>
      <c r="K76" s="904"/>
      <c r="L76" s="904"/>
      <c r="M76" s="904"/>
      <c r="N76" s="904"/>
      <c r="O76" s="904"/>
      <c r="P76" s="904"/>
      <c r="Q76" s="904"/>
      <c r="R76" s="904"/>
      <c r="S76" s="904"/>
      <c r="T76" s="904"/>
      <c r="U76" s="909"/>
      <c r="V76" s="957"/>
      <c r="W76" s="909"/>
      <c r="X76" s="906"/>
      <c r="Y76" s="906"/>
      <c r="Z76" s="906"/>
      <c r="AA76" s="909"/>
      <c r="AB76" s="909"/>
      <c r="AC76" s="909"/>
      <c r="AD76" s="909"/>
      <c r="AE76" s="909"/>
      <c r="AF76" s="909"/>
      <c r="AG76" s="909"/>
      <c r="AH76" s="909"/>
      <c r="AI76" s="909"/>
      <c r="AL76" s="1146"/>
      <c r="AM76" s="1146"/>
      <c r="AN76" s="1145"/>
      <c r="AO76" s="1140"/>
      <c r="AP76" s="1145"/>
      <c r="AQ76" s="1140"/>
      <c r="AR76" s="1145"/>
      <c r="AS76" s="1140"/>
    </row>
    <row r="77" spans="1:45">
      <c r="B77" s="889"/>
      <c r="C77" s="910" t="s">
        <v>2313</v>
      </c>
      <c r="D77" s="889"/>
      <c r="F77" s="904"/>
      <c r="G77" s="904"/>
      <c r="H77" s="904"/>
      <c r="I77" s="912">
        <f t="shared" ref="I77:T77" si="50">SUM(I67:I75)</f>
        <v>4356</v>
      </c>
      <c r="J77" s="912">
        <f t="shared" si="50"/>
        <v>4356</v>
      </c>
      <c r="K77" s="912">
        <f t="shared" si="50"/>
        <v>3855</v>
      </c>
      <c r="L77" s="912">
        <f t="shared" si="50"/>
        <v>4309</v>
      </c>
      <c r="M77" s="912">
        <f t="shared" si="50"/>
        <v>5523</v>
      </c>
      <c r="N77" s="912">
        <f t="shared" si="50"/>
        <v>4492</v>
      </c>
      <c r="O77" s="912">
        <f t="shared" si="50"/>
        <v>5502</v>
      </c>
      <c r="P77" s="912">
        <f t="shared" si="50"/>
        <v>5452</v>
      </c>
      <c r="Q77" s="912">
        <f t="shared" si="50"/>
        <v>6417</v>
      </c>
      <c r="R77" s="912">
        <f t="shared" si="50"/>
        <v>6171</v>
      </c>
      <c r="S77" s="912">
        <f t="shared" si="50"/>
        <v>6741</v>
      </c>
      <c r="T77" s="912">
        <f t="shared" si="50"/>
        <v>5624</v>
      </c>
      <c r="U77" s="966"/>
      <c r="V77" s="912">
        <f>SUM(V67:V75)</f>
        <v>62798</v>
      </c>
      <c r="W77" s="914"/>
      <c r="X77" s="906">
        <f>SUM(X70:X72)</f>
        <v>4</v>
      </c>
      <c r="Y77" s="906">
        <f t="shared" ref="Y77:AJ77" si="51">SUM(Y70:Y72)</f>
        <v>4</v>
      </c>
      <c r="Z77" s="906">
        <f t="shared" si="51"/>
        <v>4</v>
      </c>
      <c r="AA77" s="906">
        <f t="shared" si="51"/>
        <v>4</v>
      </c>
      <c r="AB77" s="906">
        <f t="shared" si="51"/>
        <v>4</v>
      </c>
      <c r="AC77" s="906">
        <f t="shared" si="51"/>
        <v>4</v>
      </c>
      <c r="AD77" s="906">
        <f t="shared" si="51"/>
        <v>4</v>
      </c>
      <c r="AE77" s="906">
        <f t="shared" si="51"/>
        <v>4</v>
      </c>
      <c r="AF77" s="906">
        <f t="shared" si="51"/>
        <v>4</v>
      </c>
      <c r="AG77" s="906">
        <f t="shared" si="51"/>
        <v>4</v>
      </c>
      <c r="AH77" s="906">
        <f t="shared" si="51"/>
        <v>4</v>
      </c>
      <c r="AI77" s="906">
        <f t="shared" si="51"/>
        <v>4</v>
      </c>
      <c r="AJ77" s="906">
        <f t="shared" si="51"/>
        <v>4</v>
      </c>
      <c r="AL77" s="1146"/>
      <c r="AM77" s="1146"/>
      <c r="AO77" s="1143">
        <f ca="1">SUM(AO67:AO75)</f>
        <v>-13862.605511264963</v>
      </c>
      <c r="AQ77" s="1140"/>
      <c r="AS77" s="1143">
        <f ca="1">SUM(AS67:AS75)</f>
        <v>48935.394488735052</v>
      </c>
    </row>
    <row r="78" spans="1:45" ht="7.5" customHeight="1">
      <c r="B78" s="889"/>
      <c r="C78" s="889"/>
      <c r="D78" s="889"/>
      <c r="F78" s="904"/>
      <c r="G78" s="904"/>
      <c r="H78" s="904"/>
      <c r="I78" s="904"/>
      <c r="J78" s="904"/>
      <c r="K78" s="904"/>
      <c r="L78" s="904"/>
      <c r="M78" s="904"/>
      <c r="N78" s="904"/>
      <c r="O78" s="904"/>
      <c r="P78" s="904"/>
      <c r="Q78" s="904"/>
      <c r="R78" s="904"/>
      <c r="S78" s="904"/>
      <c r="T78" s="904"/>
      <c r="U78" s="944"/>
      <c r="V78" s="967"/>
      <c r="W78" s="944"/>
      <c r="X78" s="906"/>
      <c r="Y78" s="906"/>
      <c r="Z78" s="906"/>
      <c r="AA78" s="909"/>
      <c r="AB78" s="909"/>
      <c r="AC78" s="909"/>
      <c r="AD78" s="909"/>
      <c r="AE78" s="909"/>
      <c r="AF78" s="909"/>
      <c r="AG78" s="909"/>
      <c r="AH78" s="909"/>
      <c r="AI78" s="909"/>
      <c r="AL78" s="1146"/>
      <c r="AM78" s="1146"/>
      <c r="AN78" s="1145"/>
      <c r="AO78" s="1140"/>
      <c r="AP78" s="1145"/>
      <c r="AQ78" s="1140"/>
      <c r="AR78" s="1145"/>
      <c r="AS78" s="1140"/>
    </row>
    <row r="79" spans="1:45">
      <c r="B79" s="918" t="s">
        <v>2314</v>
      </c>
      <c r="C79" s="889"/>
      <c r="D79" s="889"/>
      <c r="F79" s="904"/>
      <c r="G79" s="904"/>
      <c r="H79" s="904"/>
      <c r="I79" s="904"/>
      <c r="J79" s="904"/>
      <c r="K79" s="904"/>
      <c r="L79" s="904"/>
      <c r="M79" s="904"/>
      <c r="N79" s="904"/>
      <c r="O79" s="904"/>
      <c r="P79" s="904"/>
      <c r="Q79" s="904"/>
      <c r="R79" s="904"/>
      <c r="S79" s="904"/>
      <c r="T79" s="904"/>
      <c r="U79" s="944"/>
      <c r="V79" s="967"/>
      <c r="W79" s="944"/>
      <c r="X79" s="906"/>
      <c r="Y79" s="906"/>
      <c r="Z79" s="906"/>
      <c r="AA79" s="909"/>
      <c r="AB79" s="909"/>
      <c r="AC79" s="909"/>
      <c r="AD79" s="909"/>
      <c r="AE79" s="909"/>
      <c r="AF79" s="909"/>
      <c r="AG79" s="909"/>
      <c r="AH79" s="909"/>
      <c r="AI79" s="909"/>
      <c r="AL79" s="1146"/>
      <c r="AM79" s="1146"/>
      <c r="AO79" s="1140"/>
      <c r="AQ79" s="1140"/>
      <c r="AS79" s="1140"/>
    </row>
    <row r="80" spans="1:45">
      <c r="A80" s="884" t="str">
        <f>$B$3&amp;"Rolloff"&amp;B80</f>
        <v>JBLM HOUSINGRolloffDISP-RO</v>
      </c>
      <c r="B80" s="889" t="s">
        <v>2315</v>
      </c>
      <c r="C80" s="889" t="s">
        <v>2316</v>
      </c>
      <c r="D80" s="889" t="s">
        <v>2317</v>
      </c>
      <c r="E80" s="883">
        <v>31005</v>
      </c>
      <c r="F80" s="904">
        <v>157.38</v>
      </c>
      <c r="G80" s="904">
        <v>164.34</v>
      </c>
      <c r="H80" s="904"/>
      <c r="I80" s="904">
        <v>375.25</v>
      </c>
      <c r="J80" s="904">
        <v>0</v>
      </c>
      <c r="K80" s="904">
        <v>0</v>
      </c>
      <c r="L80" s="904">
        <v>0</v>
      </c>
      <c r="M80" s="904">
        <v>0</v>
      </c>
      <c r="N80" s="904">
        <v>0</v>
      </c>
      <c r="O80" s="904">
        <v>0</v>
      </c>
      <c r="P80" s="904">
        <v>0</v>
      </c>
      <c r="Q80" s="904">
        <v>0</v>
      </c>
      <c r="R80" s="904">
        <v>0</v>
      </c>
      <c r="S80" s="904">
        <v>0</v>
      </c>
      <c r="T80" s="904">
        <v>0</v>
      </c>
      <c r="U80" s="909"/>
      <c r="V80" s="957">
        <f t="shared" ref="V80:V81" si="52">SUM(I80:T80)</f>
        <v>375.25</v>
      </c>
      <c r="W80" s="909"/>
      <c r="X80" s="906">
        <f t="shared" ref="X80:Z81" si="53">IFERROR(I80/$F80,0)</f>
        <v>2.3843563349853856</v>
      </c>
      <c r="Y80" s="906">
        <f t="shared" si="53"/>
        <v>0</v>
      </c>
      <c r="Z80" s="906">
        <f t="shared" si="53"/>
        <v>0</v>
      </c>
      <c r="AA80" s="909">
        <f t="shared" ref="AA80:AI81" si="54">IFERROR(L80/$G80,0)</f>
        <v>0</v>
      </c>
      <c r="AB80" s="909">
        <f t="shared" si="54"/>
        <v>0</v>
      </c>
      <c r="AC80" s="909">
        <f t="shared" si="54"/>
        <v>0</v>
      </c>
      <c r="AD80" s="909">
        <f t="shared" si="54"/>
        <v>0</v>
      </c>
      <c r="AE80" s="909">
        <f t="shared" si="54"/>
        <v>0</v>
      </c>
      <c r="AF80" s="909">
        <f t="shared" si="54"/>
        <v>0</v>
      </c>
      <c r="AG80" s="909">
        <f t="shared" si="54"/>
        <v>0</v>
      </c>
      <c r="AH80" s="909">
        <f t="shared" si="54"/>
        <v>0</v>
      </c>
      <c r="AI80" s="909">
        <f t="shared" si="54"/>
        <v>0</v>
      </c>
      <c r="AJ80" s="907">
        <f>AVERAGE(X80:AI80)</f>
        <v>0.19869636124878212</v>
      </c>
      <c r="AL80" s="1146"/>
      <c r="AM80" s="1140"/>
      <c r="AO80" s="1140"/>
      <c r="AQ80" s="1140"/>
      <c r="AS80" s="1140"/>
    </row>
    <row r="81" spans="1:45">
      <c r="A81" s="884" t="str">
        <f>$B$3&amp;"Rolloff"&amp;B81</f>
        <v>JBLM HOUSINGRolloffDISPFEDMSW-RO</v>
      </c>
      <c r="B81" s="889" t="s">
        <v>2318</v>
      </c>
      <c r="C81" s="889" t="str">
        <f>VLOOKUP($B81,'[45]RM Data'!$H:$I,2,FALSE)</f>
        <v xml:space="preserve">DISPOSAL FEE FEDERAL MSW </v>
      </c>
      <c r="D81" s="889"/>
      <c r="F81" s="904">
        <v>107.83</v>
      </c>
      <c r="G81" s="904">
        <v>112.64</v>
      </c>
      <c r="H81" s="904"/>
      <c r="I81" s="904">
        <v>5671.87</v>
      </c>
      <c r="J81" s="904">
        <v>6271.41</v>
      </c>
      <c r="K81" s="904">
        <v>5748.42</v>
      </c>
      <c r="L81" s="904">
        <v>5639.84</v>
      </c>
      <c r="M81" s="904">
        <v>7896.08</v>
      </c>
      <c r="N81" s="904">
        <v>6518.49</v>
      </c>
      <c r="O81" s="904">
        <v>9063.01</v>
      </c>
      <c r="P81" s="904">
        <v>8924.49</v>
      </c>
      <c r="Q81" s="904">
        <v>6680.68</v>
      </c>
      <c r="R81" s="904">
        <v>8886.19</v>
      </c>
      <c r="S81" s="904">
        <v>9549.6</v>
      </c>
      <c r="T81" s="904">
        <v>7037.78</v>
      </c>
      <c r="U81" s="909"/>
      <c r="V81" s="957">
        <f t="shared" si="52"/>
        <v>87887.86</v>
      </c>
      <c r="W81" s="909"/>
      <c r="X81" s="906">
        <f t="shared" si="53"/>
        <v>52.600111286283962</v>
      </c>
      <c r="Y81" s="906">
        <f t="shared" si="53"/>
        <v>58.16015951034035</v>
      </c>
      <c r="Z81" s="906">
        <f t="shared" si="53"/>
        <v>53.310025039413894</v>
      </c>
      <c r="AA81" s="909">
        <f t="shared" si="54"/>
        <v>50.069602272727273</v>
      </c>
      <c r="AB81" s="909">
        <f t="shared" si="54"/>
        <v>70.100142045454547</v>
      </c>
      <c r="AC81" s="909">
        <f t="shared" si="54"/>
        <v>57.8701171875</v>
      </c>
      <c r="AD81" s="909">
        <f t="shared" si="54"/>
        <v>80.4599609375</v>
      </c>
      <c r="AE81" s="909">
        <f t="shared" si="54"/>
        <v>79.23020241477272</v>
      </c>
      <c r="AF81" s="909">
        <f t="shared" si="54"/>
        <v>59.31001420454546</v>
      </c>
      <c r="AG81" s="909">
        <f t="shared" si="54"/>
        <v>78.890181107954547</v>
      </c>
      <c r="AH81" s="909">
        <f t="shared" si="54"/>
        <v>84.779829545454547</v>
      </c>
      <c r="AI81" s="909">
        <f t="shared" si="54"/>
        <v>62.480291193181813</v>
      </c>
      <c r="AJ81" s="907">
        <f>AVERAGE(X81:AI81)</f>
        <v>65.605053062094086</v>
      </c>
      <c r="AL81" s="1146"/>
      <c r="AM81" s="1140"/>
      <c r="AO81" s="1140"/>
      <c r="AQ81" s="1140"/>
      <c r="AS81" s="1140"/>
    </row>
    <row r="82" spans="1:45">
      <c r="B82" s="889"/>
      <c r="C82" s="910" t="s">
        <v>2319</v>
      </c>
      <c r="D82" s="889"/>
      <c r="F82" s="904"/>
      <c r="G82" s="904"/>
      <c r="H82" s="904"/>
      <c r="I82" s="912">
        <f t="shared" ref="I82:T82" si="55">SUM(I80:I81)</f>
        <v>6047.12</v>
      </c>
      <c r="J82" s="912">
        <f t="shared" si="55"/>
        <v>6271.41</v>
      </c>
      <c r="K82" s="912">
        <f t="shared" si="55"/>
        <v>5748.42</v>
      </c>
      <c r="L82" s="912">
        <f t="shared" si="55"/>
        <v>5639.84</v>
      </c>
      <c r="M82" s="912">
        <f t="shared" si="55"/>
        <v>7896.08</v>
      </c>
      <c r="N82" s="912">
        <f t="shared" si="55"/>
        <v>6518.49</v>
      </c>
      <c r="O82" s="912">
        <f t="shared" si="55"/>
        <v>9063.01</v>
      </c>
      <c r="P82" s="912">
        <f t="shared" si="55"/>
        <v>8924.49</v>
      </c>
      <c r="Q82" s="912">
        <f t="shared" si="55"/>
        <v>6680.68</v>
      </c>
      <c r="R82" s="912">
        <f t="shared" si="55"/>
        <v>8886.19</v>
      </c>
      <c r="S82" s="912">
        <f t="shared" si="55"/>
        <v>9549.6</v>
      </c>
      <c r="T82" s="912">
        <f t="shared" si="55"/>
        <v>7037.78</v>
      </c>
      <c r="U82" s="966"/>
      <c r="V82" s="912">
        <f>SUM(V80:V81)</f>
        <v>88263.11</v>
      </c>
      <c r="W82" s="914"/>
      <c r="X82" s="906"/>
      <c r="Y82" s="906"/>
      <c r="Z82" s="906"/>
      <c r="AA82" s="909"/>
      <c r="AB82" s="909"/>
      <c r="AC82" s="909"/>
      <c r="AD82" s="909"/>
      <c r="AE82" s="909"/>
      <c r="AF82" s="909"/>
      <c r="AG82" s="909"/>
      <c r="AH82" s="909"/>
      <c r="AI82" s="909"/>
      <c r="AL82" s="1166"/>
      <c r="AM82" s="1149"/>
      <c r="AN82" s="1149"/>
      <c r="AO82" s="1149"/>
      <c r="AP82" s="1149"/>
      <c r="AQ82" s="1149"/>
      <c r="AR82" s="1149"/>
      <c r="AS82" s="1143">
        <f>SUM(AS80:AS81)</f>
        <v>0</v>
      </c>
    </row>
    <row r="83" spans="1:45" ht="7.5" customHeight="1">
      <c r="B83" s="889"/>
      <c r="F83" s="904"/>
      <c r="G83" s="904"/>
      <c r="I83" s="904"/>
      <c r="J83" s="904"/>
      <c r="K83" s="904"/>
      <c r="L83" s="904"/>
      <c r="M83" s="904"/>
      <c r="N83" s="904"/>
      <c r="O83" s="904"/>
      <c r="P83" s="904"/>
      <c r="Q83" s="904"/>
      <c r="R83" s="904"/>
      <c r="S83" s="904"/>
      <c r="T83" s="904"/>
      <c r="U83" s="976"/>
      <c r="V83" s="977"/>
      <c r="W83" s="976"/>
      <c r="X83" s="906"/>
      <c r="Y83" s="906"/>
      <c r="Z83" s="906"/>
      <c r="AA83" s="909"/>
      <c r="AB83" s="909"/>
      <c r="AC83" s="909"/>
      <c r="AD83" s="909"/>
      <c r="AE83" s="909"/>
      <c r="AF83" s="909"/>
      <c r="AG83" s="909"/>
      <c r="AH83" s="909"/>
      <c r="AI83" s="909"/>
      <c r="AL83" s="1166"/>
      <c r="AM83" s="1149"/>
      <c r="AN83" s="1149"/>
      <c r="AO83" s="1149"/>
      <c r="AP83" s="1149"/>
      <c r="AQ83" s="1149"/>
      <c r="AR83" s="1149"/>
      <c r="AS83" s="1149"/>
    </row>
    <row r="84" spans="1:45" ht="7.5" customHeight="1">
      <c r="F84" s="904"/>
      <c r="G84" s="904"/>
      <c r="I84" s="904"/>
      <c r="J84" s="904"/>
      <c r="K84" s="904"/>
      <c r="L84" s="904"/>
      <c r="M84" s="904"/>
      <c r="N84" s="904"/>
      <c r="O84" s="904"/>
      <c r="P84" s="904"/>
      <c r="Q84" s="904"/>
      <c r="R84" s="904"/>
      <c r="S84" s="904"/>
      <c r="T84" s="904"/>
      <c r="X84" s="906"/>
      <c r="Y84" s="906"/>
      <c r="Z84" s="906"/>
      <c r="AA84" s="909"/>
      <c r="AB84" s="909"/>
      <c r="AC84" s="909"/>
      <c r="AD84" s="909"/>
      <c r="AE84" s="909"/>
      <c r="AF84" s="909"/>
      <c r="AG84" s="909"/>
      <c r="AH84" s="909"/>
      <c r="AI84" s="909"/>
      <c r="AL84" s="1166"/>
      <c r="AM84" s="1149"/>
      <c r="AN84" s="1149"/>
      <c r="AO84" s="1149"/>
      <c r="AP84" s="1149"/>
      <c r="AQ84" s="1149"/>
      <c r="AR84" s="1149"/>
      <c r="AS84" s="1149"/>
    </row>
    <row r="85" spans="1:45" s="921" customFormat="1">
      <c r="B85" s="881" t="s">
        <v>2320</v>
      </c>
      <c r="C85" s="881"/>
      <c r="D85" s="881"/>
      <c r="E85" s="892"/>
      <c r="F85" s="904"/>
      <c r="G85" s="904"/>
      <c r="H85" s="881"/>
      <c r="I85" s="933">
        <f t="shared" ref="I85:T85" si="56">+I77+I82</f>
        <v>10403.119999999999</v>
      </c>
      <c r="J85" s="933">
        <f t="shared" si="56"/>
        <v>10627.41</v>
      </c>
      <c r="K85" s="933">
        <f t="shared" si="56"/>
        <v>9603.42</v>
      </c>
      <c r="L85" s="933">
        <f t="shared" si="56"/>
        <v>9948.84</v>
      </c>
      <c r="M85" s="933">
        <f t="shared" si="56"/>
        <v>13419.08</v>
      </c>
      <c r="N85" s="933">
        <f t="shared" si="56"/>
        <v>11010.49</v>
      </c>
      <c r="O85" s="933">
        <f t="shared" si="56"/>
        <v>14565.01</v>
      </c>
      <c r="P85" s="933">
        <f t="shared" si="56"/>
        <v>14376.49</v>
      </c>
      <c r="Q85" s="933">
        <f t="shared" si="56"/>
        <v>13097.68</v>
      </c>
      <c r="R85" s="933">
        <f t="shared" si="56"/>
        <v>15057.19</v>
      </c>
      <c r="S85" s="933">
        <f t="shared" si="56"/>
        <v>16290.6</v>
      </c>
      <c r="T85" s="933">
        <f t="shared" si="56"/>
        <v>12661.779999999999</v>
      </c>
      <c r="U85" s="917"/>
      <c r="V85" s="933">
        <f>+V77+V82</f>
        <v>151061.10999999999</v>
      </c>
      <c r="W85" s="917"/>
      <c r="X85" s="906"/>
      <c r="Y85" s="906"/>
      <c r="Z85" s="906"/>
      <c r="AA85" s="909"/>
      <c r="AB85" s="909"/>
      <c r="AC85" s="909"/>
      <c r="AD85" s="909"/>
      <c r="AE85" s="909"/>
      <c r="AF85" s="909"/>
      <c r="AG85" s="909"/>
      <c r="AH85" s="909"/>
      <c r="AI85" s="909"/>
      <c r="AL85" s="1145"/>
      <c r="AM85" s="1137"/>
      <c r="AN85" s="1137"/>
      <c r="AO85" s="933">
        <f ca="1">+AO77+AO82</f>
        <v>-13862.605511264963</v>
      </c>
      <c r="AP85" s="1137"/>
      <c r="AQ85" s="1137"/>
      <c r="AR85" s="1137"/>
      <c r="AS85" s="933">
        <f ca="1">+AS77+AS82</f>
        <v>48935.394488735052</v>
      </c>
    </row>
    <row r="86" spans="1:45" s="921" customFormat="1" ht="7.5" customHeight="1">
      <c r="B86" s="881"/>
      <c r="C86" s="881"/>
      <c r="D86" s="881"/>
      <c r="E86" s="892"/>
      <c r="F86" s="904"/>
      <c r="G86" s="904"/>
      <c r="H86" s="935"/>
      <c r="I86" s="904"/>
      <c r="J86" s="904"/>
      <c r="K86" s="904"/>
      <c r="L86" s="904"/>
      <c r="M86" s="904"/>
      <c r="N86" s="904"/>
      <c r="O86" s="904"/>
      <c r="P86" s="904"/>
      <c r="Q86" s="904"/>
      <c r="R86" s="904"/>
      <c r="S86" s="904"/>
      <c r="T86" s="904"/>
      <c r="U86" s="955"/>
      <c r="V86" s="971"/>
      <c r="W86" s="917"/>
      <c r="X86" s="906"/>
      <c r="Y86" s="906"/>
      <c r="Z86" s="906"/>
      <c r="AA86" s="909"/>
      <c r="AB86" s="909"/>
      <c r="AC86" s="909"/>
      <c r="AD86" s="909"/>
      <c r="AE86" s="909"/>
      <c r="AF86" s="909"/>
      <c r="AG86" s="909"/>
      <c r="AH86" s="909"/>
      <c r="AI86" s="909"/>
      <c r="AL86" s="1145"/>
      <c r="AM86" s="1137"/>
      <c r="AN86" s="1137"/>
      <c r="AO86" s="1137"/>
      <c r="AP86" s="1137"/>
      <c r="AQ86" s="1137"/>
      <c r="AR86" s="1137"/>
      <c r="AS86" s="1137"/>
    </row>
    <row r="87" spans="1:45" s="921" customFormat="1" ht="7.5" customHeight="1">
      <c r="B87" s="881"/>
      <c r="C87" s="881"/>
      <c r="D87" s="881"/>
      <c r="E87" s="892"/>
      <c r="F87" s="904"/>
      <c r="G87" s="904"/>
      <c r="H87" s="935"/>
      <c r="I87" s="904"/>
      <c r="J87" s="904"/>
      <c r="K87" s="904"/>
      <c r="L87" s="904"/>
      <c r="M87" s="904"/>
      <c r="N87" s="904"/>
      <c r="O87" s="904"/>
      <c r="P87" s="904"/>
      <c r="Q87" s="904"/>
      <c r="R87" s="904"/>
      <c r="S87" s="904"/>
      <c r="T87" s="904"/>
      <c r="U87" s="955"/>
      <c r="V87" s="971"/>
      <c r="W87" s="917"/>
      <c r="X87" s="906"/>
      <c r="Y87" s="906"/>
      <c r="Z87" s="906"/>
      <c r="AA87" s="909"/>
      <c r="AB87" s="909"/>
      <c r="AC87" s="909"/>
      <c r="AD87" s="909"/>
      <c r="AE87" s="909"/>
      <c r="AF87" s="909"/>
      <c r="AG87" s="909"/>
      <c r="AH87" s="909"/>
      <c r="AI87" s="909"/>
      <c r="AL87" s="1145"/>
      <c r="AM87" s="1137"/>
      <c r="AN87" s="1137"/>
      <c r="AO87" s="1137"/>
      <c r="AP87" s="1137"/>
      <c r="AQ87" s="1137"/>
      <c r="AR87" s="1137"/>
      <c r="AS87" s="1137"/>
    </row>
    <row r="88" spans="1:45" ht="7.5" customHeight="1">
      <c r="F88" s="904"/>
      <c r="G88" s="904"/>
      <c r="I88" s="904"/>
      <c r="J88" s="904"/>
      <c r="K88" s="904"/>
      <c r="L88" s="904"/>
      <c r="M88" s="904"/>
      <c r="N88" s="904"/>
      <c r="O88" s="904"/>
      <c r="P88" s="904"/>
      <c r="Q88" s="904"/>
      <c r="R88" s="904"/>
      <c r="S88" s="904"/>
      <c r="T88" s="904"/>
      <c r="X88" s="906"/>
      <c r="Y88" s="906"/>
      <c r="Z88" s="906"/>
      <c r="AA88" s="909"/>
      <c r="AB88" s="909"/>
      <c r="AC88" s="909"/>
      <c r="AD88" s="909"/>
      <c r="AE88" s="909"/>
      <c r="AF88" s="909"/>
      <c r="AG88" s="909"/>
      <c r="AH88" s="909"/>
      <c r="AI88" s="909"/>
      <c r="AL88" s="1146"/>
      <c r="AM88" s="1140"/>
      <c r="AO88" s="1140"/>
      <c r="AQ88" s="1140"/>
      <c r="AS88" s="1140"/>
    </row>
    <row r="89" spans="1:45">
      <c r="B89" s="898" t="s">
        <v>315</v>
      </c>
      <c r="F89" s="904"/>
      <c r="G89" s="904"/>
      <c r="H89" s="904"/>
      <c r="I89" s="904"/>
      <c r="J89" s="904"/>
      <c r="K89" s="904"/>
      <c r="L89" s="904"/>
      <c r="M89" s="904"/>
      <c r="N89" s="904"/>
      <c r="O89" s="904"/>
      <c r="P89" s="904"/>
      <c r="Q89" s="904"/>
      <c r="R89" s="904"/>
      <c r="S89" s="904"/>
      <c r="T89" s="904"/>
      <c r="X89" s="906"/>
      <c r="Y89" s="906"/>
      <c r="Z89" s="906"/>
      <c r="AA89" s="909"/>
      <c r="AB89" s="909"/>
      <c r="AC89" s="909"/>
      <c r="AD89" s="909"/>
      <c r="AE89" s="909"/>
      <c r="AF89" s="909"/>
      <c r="AG89" s="909"/>
      <c r="AH89" s="909"/>
      <c r="AI89" s="909"/>
      <c r="AL89" s="1146"/>
      <c r="AM89" s="1140"/>
      <c r="AO89" s="1140"/>
      <c r="AQ89" s="1140"/>
      <c r="AS89" s="1140"/>
    </row>
    <row r="90" spans="1:45">
      <c r="A90" s="884" t="str">
        <f>$B$3&amp;"accounting adjustments"&amp;B90</f>
        <v>JBLM HOUSINGaccounting adjustmentsADJ-FIN</v>
      </c>
      <c r="B90" s="889" t="s">
        <v>2321</v>
      </c>
      <c r="C90" s="889" t="s">
        <v>2322</v>
      </c>
      <c r="D90" s="889" t="s">
        <v>315</v>
      </c>
      <c r="E90" s="883">
        <v>38000</v>
      </c>
      <c r="F90" s="904"/>
      <c r="G90" s="904"/>
      <c r="H90" s="904"/>
      <c r="I90" s="904">
        <v>0</v>
      </c>
      <c r="J90" s="904">
        <v>0</v>
      </c>
      <c r="K90" s="904">
        <v>0</v>
      </c>
      <c r="L90" s="904">
        <v>0</v>
      </c>
      <c r="M90" s="904">
        <v>0</v>
      </c>
      <c r="N90" s="904">
        <v>0</v>
      </c>
      <c r="O90" s="904">
        <v>0</v>
      </c>
      <c r="P90" s="904">
        <v>0</v>
      </c>
      <c r="Q90" s="904">
        <v>0</v>
      </c>
      <c r="R90" s="904">
        <v>0</v>
      </c>
      <c r="S90" s="904">
        <v>0</v>
      </c>
      <c r="T90" s="904">
        <v>0</v>
      </c>
      <c r="U90" s="909"/>
      <c r="V90" s="957"/>
      <c r="W90" s="909"/>
      <c r="X90" s="906">
        <f t="shared" ref="X90:Z91" si="57">IFERROR(I90/$F90,0)</f>
        <v>0</v>
      </c>
      <c r="Y90" s="906">
        <f t="shared" si="57"/>
        <v>0</v>
      </c>
      <c r="Z90" s="906">
        <f t="shared" si="57"/>
        <v>0</v>
      </c>
      <c r="AA90" s="909">
        <f t="shared" ref="AA90:AI91" si="58">IFERROR(L90/$G90,0)</f>
        <v>0</v>
      </c>
      <c r="AB90" s="909">
        <f t="shared" si="58"/>
        <v>0</v>
      </c>
      <c r="AC90" s="909">
        <f t="shared" si="58"/>
        <v>0</v>
      </c>
      <c r="AD90" s="909">
        <f t="shared" si="58"/>
        <v>0</v>
      </c>
      <c r="AE90" s="909">
        <f t="shared" si="58"/>
        <v>0</v>
      </c>
      <c r="AF90" s="909">
        <f t="shared" si="58"/>
        <v>0</v>
      </c>
      <c r="AG90" s="909">
        <f t="shared" si="58"/>
        <v>0</v>
      </c>
      <c r="AH90" s="909">
        <f t="shared" si="58"/>
        <v>0</v>
      </c>
      <c r="AI90" s="909">
        <f t="shared" si="58"/>
        <v>0</v>
      </c>
      <c r="AL90" s="1146"/>
      <c r="AM90" s="1140"/>
      <c r="AO90" s="1140"/>
      <c r="AQ90" s="1140"/>
      <c r="AS90" s="1140"/>
    </row>
    <row r="91" spans="1:45">
      <c r="A91" s="884" t="str">
        <f>$B$3&amp;"accounting adjustments"&amp;B91</f>
        <v>JBLM HOUSINGaccounting adjustmentsRETCKC</v>
      </c>
      <c r="B91" s="889" t="s">
        <v>2323</v>
      </c>
      <c r="C91" s="889" t="s">
        <v>2324</v>
      </c>
      <c r="D91" s="889" t="s">
        <v>315</v>
      </c>
      <c r="E91" s="883">
        <v>38000</v>
      </c>
      <c r="F91" s="904">
        <v>0</v>
      </c>
      <c r="G91" s="904">
        <v>0</v>
      </c>
      <c r="H91" s="904"/>
      <c r="I91" s="904">
        <v>0</v>
      </c>
      <c r="J91" s="904">
        <v>0</v>
      </c>
      <c r="K91" s="904">
        <v>0</v>
      </c>
      <c r="L91" s="904">
        <v>0</v>
      </c>
      <c r="M91" s="904">
        <v>0</v>
      </c>
      <c r="N91" s="904">
        <v>0</v>
      </c>
      <c r="O91" s="904">
        <v>0</v>
      </c>
      <c r="P91" s="904">
        <v>0</v>
      </c>
      <c r="Q91" s="904">
        <v>0</v>
      </c>
      <c r="R91" s="904">
        <v>0</v>
      </c>
      <c r="S91" s="904">
        <v>0</v>
      </c>
      <c r="T91" s="904">
        <v>0</v>
      </c>
      <c r="U91" s="909"/>
      <c r="V91" s="957"/>
      <c r="W91" s="909"/>
      <c r="X91" s="906">
        <f t="shared" si="57"/>
        <v>0</v>
      </c>
      <c r="Y91" s="906">
        <f t="shared" si="57"/>
        <v>0</v>
      </c>
      <c r="Z91" s="906">
        <f t="shared" si="57"/>
        <v>0</v>
      </c>
      <c r="AA91" s="909">
        <f t="shared" si="58"/>
        <v>0</v>
      </c>
      <c r="AB91" s="909">
        <f t="shared" si="58"/>
        <v>0</v>
      </c>
      <c r="AC91" s="909">
        <f t="shared" si="58"/>
        <v>0</v>
      </c>
      <c r="AD91" s="909">
        <f t="shared" si="58"/>
        <v>0</v>
      </c>
      <c r="AE91" s="909">
        <f t="shared" si="58"/>
        <v>0</v>
      </c>
      <c r="AF91" s="909">
        <f t="shared" si="58"/>
        <v>0</v>
      </c>
      <c r="AG91" s="909">
        <f t="shared" si="58"/>
        <v>0</v>
      </c>
      <c r="AH91" s="909">
        <f t="shared" si="58"/>
        <v>0</v>
      </c>
      <c r="AI91" s="909">
        <f t="shared" si="58"/>
        <v>0</v>
      </c>
      <c r="AL91" s="1146"/>
      <c r="AM91" s="1140"/>
      <c r="AO91" s="1140"/>
      <c r="AQ91" s="1140"/>
      <c r="AS91" s="1140"/>
    </row>
    <row r="92" spans="1:45">
      <c r="B92" s="889"/>
      <c r="F92" s="904"/>
      <c r="G92" s="904"/>
      <c r="I92" s="906"/>
      <c r="T92" s="906"/>
      <c r="U92" s="906"/>
      <c r="V92" s="957"/>
      <c r="W92" s="906"/>
      <c r="AL92" s="1146"/>
      <c r="AM92" s="1140"/>
      <c r="AO92" s="1140"/>
      <c r="AQ92" s="1140"/>
      <c r="AS92" s="1140"/>
    </row>
    <row r="93" spans="1:45" s="921" customFormat="1">
      <c r="B93" s="881" t="s">
        <v>2325</v>
      </c>
      <c r="C93" s="881"/>
      <c r="D93" s="881"/>
      <c r="E93" s="892"/>
      <c r="F93" s="904"/>
      <c r="G93" s="904"/>
      <c r="H93" s="881"/>
      <c r="I93" s="954">
        <f>SUM(I90:I91)</f>
        <v>0</v>
      </c>
      <c r="J93" s="954">
        <f>SUM(J90:J91)</f>
        <v>0</v>
      </c>
      <c r="K93" s="954">
        <f t="shared" ref="K93:T93" si="59">SUM(K90:K91)</f>
        <v>0</v>
      </c>
      <c r="L93" s="954">
        <f t="shared" si="59"/>
        <v>0</v>
      </c>
      <c r="M93" s="954">
        <f t="shared" si="59"/>
        <v>0</v>
      </c>
      <c r="N93" s="954">
        <f t="shared" si="59"/>
        <v>0</v>
      </c>
      <c r="O93" s="954">
        <f t="shared" si="59"/>
        <v>0</v>
      </c>
      <c r="P93" s="954">
        <f t="shared" si="59"/>
        <v>0</v>
      </c>
      <c r="Q93" s="954">
        <f t="shared" si="59"/>
        <v>0</v>
      </c>
      <c r="R93" s="954">
        <f t="shared" si="59"/>
        <v>0</v>
      </c>
      <c r="S93" s="954">
        <f t="shared" si="59"/>
        <v>0</v>
      </c>
      <c r="T93" s="954">
        <f t="shared" si="59"/>
        <v>0</v>
      </c>
      <c r="U93" s="917"/>
      <c r="V93" s="971"/>
      <c r="W93" s="917"/>
      <c r="Y93" s="881"/>
      <c r="AL93" s="1146"/>
      <c r="AM93" s="1140"/>
      <c r="AN93" s="1137"/>
      <c r="AO93" s="1140"/>
      <c r="AP93" s="1137"/>
      <c r="AQ93" s="1140"/>
      <c r="AR93" s="1137"/>
      <c r="AS93" s="1140"/>
    </row>
    <row r="94" spans="1:45" s="921" customFormat="1" ht="5.25" customHeight="1">
      <c r="B94" s="881"/>
      <c r="C94" s="881"/>
      <c r="D94" s="881"/>
      <c r="E94" s="892"/>
      <c r="F94" s="904"/>
      <c r="G94" s="904"/>
      <c r="H94" s="935"/>
      <c r="I94" s="978"/>
      <c r="J94" s="935"/>
      <c r="K94" s="935"/>
      <c r="L94" s="935"/>
      <c r="M94" s="935"/>
      <c r="N94" s="935"/>
      <c r="O94" s="935"/>
      <c r="P94" s="935"/>
      <c r="Q94" s="935"/>
      <c r="R94" s="935"/>
      <c r="S94" s="935"/>
      <c r="T94" s="955"/>
      <c r="U94" s="955"/>
      <c r="V94" s="971"/>
      <c r="W94" s="917"/>
      <c r="Y94" s="881"/>
      <c r="AL94" s="1146"/>
      <c r="AM94" s="1140"/>
      <c r="AN94" s="1137"/>
      <c r="AO94" s="1140"/>
      <c r="AP94" s="1137"/>
      <c r="AQ94" s="1140"/>
      <c r="AR94" s="1137"/>
      <c r="AS94" s="1140"/>
    </row>
    <row r="95" spans="1:45" s="921" customFormat="1" ht="5.25" customHeight="1">
      <c r="B95" s="881"/>
      <c r="C95" s="881"/>
      <c r="D95" s="881"/>
      <c r="E95" s="892"/>
      <c r="F95" s="904"/>
      <c r="G95" s="904"/>
      <c r="H95" s="935"/>
      <c r="I95" s="979"/>
      <c r="J95" s="935"/>
      <c r="K95" s="935"/>
      <c r="L95" s="935"/>
      <c r="M95" s="935"/>
      <c r="N95" s="935"/>
      <c r="O95" s="935"/>
      <c r="P95" s="935"/>
      <c r="Q95" s="935"/>
      <c r="R95" s="935"/>
      <c r="S95" s="935"/>
      <c r="T95" s="979"/>
      <c r="U95" s="979"/>
      <c r="V95" s="971"/>
      <c r="W95" s="980"/>
      <c r="Y95" s="881"/>
      <c r="AL95" s="1146"/>
      <c r="AM95" s="1140"/>
      <c r="AN95" s="1137"/>
      <c r="AO95" s="1140"/>
      <c r="AP95" s="1137"/>
      <c r="AQ95" s="1140"/>
      <c r="AR95" s="1137"/>
      <c r="AS95" s="1140"/>
    </row>
    <row r="96" spans="1:45" ht="5.25" customHeight="1">
      <c r="B96" s="889"/>
      <c r="F96" s="904"/>
      <c r="G96" s="904"/>
      <c r="I96" s="906"/>
      <c r="T96" s="906"/>
      <c r="U96" s="906"/>
      <c r="V96" s="957"/>
      <c r="W96" s="906"/>
      <c r="AL96" s="1146"/>
      <c r="AM96" s="1140"/>
      <c r="AO96" s="1140"/>
      <c r="AQ96" s="1140"/>
      <c r="AS96" s="1140"/>
    </row>
    <row r="97" spans="2:45" ht="5.25" customHeight="1">
      <c r="F97" s="904"/>
      <c r="G97" s="904"/>
      <c r="I97" s="909"/>
      <c r="T97" s="909"/>
      <c r="U97" s="909"/>
      <c r="V97" s="957"/>
      <c r="W97" s="909"/>
      <c r="AL97" s="1146"/>
      <c r="AM97" s="1140"/>
      <c r="AO97" s="1140"/>
      <c r="AQ97" s="1140"/>
      <c r="AS97" s="1140"/>
    </row>
    <row r="98" spans="2:45" s="921" customFormat="1" ht="13.5" thickBot="1">
      <c r="B98" s="881" t="s">
        <v>2326</v>
      </c>
      <c r="C98" s="881"/>
      <c r="D98" s="881"/>
      <c r="E98" s="892"/>
      <c r="F98" s="904"/>
      <c r="G98" s="904"/>
      <c r="H98" s="881"/>
      <c r="I98" s="962">
        <f t="shared" ref="I98:T98" si="60">+I39+I60+I85+I93</f>
        <v>152978.48000000001</v>
      </c>
      <c r="J98" s="962">
        <f t="shared" si="60"/>
        <v>224873.87000000002</v>
      </c>
      <c r="K98" s="962">
        <f t="shared" si="60"/>
        <v>79658.479999999981</v>
      </c>
      <c r="L98" s="962">
        <f t="shared" si="60"/>
        <v>154431.13</v>
      </c>
      <c r="M98" s="962">
        <f t="shared" si="60"/>
        <v>161073.62</v>
      </c>
      <c r="N98" s="962">
        <f t="shared" si="60"/>
        <v>156621</v>
      </c>
      <c r="O98" s="962">
        <f t="shared" si="60"/>
        <v>161039.88000000003</v>
      </c>
      <c r="P98" s="962">
        <f t="shared" si="60"/>
        <v>162494.21</v>
      </c>
      <c r="Q98" s="962">
        <f t="shared" si="60"/>
        <v>159594.16</v>
      </c>
      <c r="R98" s="962">
        <f t="shared" si="60"/>
        <v>167013.53</v>
      </c>
      <c r="S98" s="962">
        <f t="shared" si="60"/>
        <v>164039.34000000003</v>
      </c>
      <c r="T98" s="962">
        <f t="shared" si="60"/>
        <v>163031.61999999997</v>
      </c>
      <c r="U98" s="917"/>
      <c r="V98" s="962">
        <f>+V39+V60+V85+V93</f>
        <v>1906849.3199999998</v>
      </c>
      <c r="W98" s="917"/>
      <c r="Y98" s="881"/>
      <c r="AL98" s="1146"/>
      <c r="AM98" s="1140"/>
      <c r="AN98" s="1137"/>
      <c r="AO98" s="1150">
        <f ca="1">+AO39+AO60+AO85+AO93</f>
        <v>-241626.72647557367</v>
      </c>
      <c r="AP98" s="1144"/>
      <c r="AQ98" s="1144"/>
      <c r="AR98" s="1144"/>
      <c r="AS98" s="1150">
        <f ca="1">+AS39+AS60+AS85+AS93</f>
        <v>1576959.4835244261</v>
      </c>
    </row>
    <row r="99" spans="2:45" s="921" customFormat="1" ht="13.5" thickTop="1">
      <c r="B99" s="881"/>
      <c r="C99" s="881"/>
      <c r="D99" s="881"/>
      <c r="E99" s="892"/>
      <c r="F99" s="904"/>
      <c r="G99" s="904"/>
      <c r="H99" s="935"/>
      <c r="I99" s="978"/>
      <c r="J99" s="935"/>
      <c r="K99" s="935"/>
      <c r="L99" s="935"/>
      <c r="M99" s="935"/>
      <c r="N99" s="935"/>
      <c r="O99" s="935"/>
      <c r="P99" s="935"/>
      <c r="Q99" s="935"/>
      <c r="R99" s="935"/>
      <c r="S99" s="935"/>
      <c r="T99" s="955"/>
      <c r="U99" s="955"/>
      <c r="V99" s="971"/>
      <c r="W99" s="917"/>
      <c r="Y99" s="881"/>
      <c r="AL99" s="1167"/>
      <c r="AM99" s="1140"/>
      <c r="AN99" s="1137"/>
      <c r="AO99" s="1140"/>
      <c r="AP99" s="1137"/>
      <c r="AQ99" s="1140"/>
      <c r="AR99" s="1137"/>
      <c r="AS99" s="1140"/>
    </row>
    <row r="100" spans="2:45" s="921" customFormat="1">
      <c r="B100" s="881"/>
      <c r="C100" s="881"/>
      <c r="D100" s="881"/>
      <c r="E100" s="892"/>
      <c r="F100" s="904"/>
      <c r="G100" s="904"/>
      <c r="H100" s="935"/>
      <c r="I100" s="979"/>
      <c r="J100" s="935"/>
      <c r="K100" s="935"/>
      <c r="L100" s="935"/>
      <c r="M100" s="935"/>
      <c r="N100" s="935"/>
      <c r="O100" s="935"/>
      <c r="P100" s="963"/>
      <c r="Q100" s="963"/>
      <c r="R100" s="963"/>
      <c r="S100" s="963"/>
      <c r="T100" s="979"/>
      <c r="U100" s="979"/>
      <c r="V100" s="971"/>
      <c r="W100" s="980"/>
      <c r="Y100" s="881"/>
      <c r="AL100" s="1167"/>
      <c r="AM100" s="1140"/>
      <c r="AN100" s="1137"/>
      <c r="AO100" s="1140"/>
      <c r="AP100" s="1137"/>
      <c r="AQ100" s="1140"/>
      <c r="AR100" s="1137"/>
      <c r="AS100" s="1140"/>
    </row>
    <row r="101" spans="2:45">
      <c r="I101" s="909"/>
      <c r="J101" s="981"/>
      <c r="P101" s="981"/>
      <c r="T101" s="909"/>
      <c r="U101" s="909"/>
      <c r="V101" s="957"/>
      <c r="W101" s="909"/>
      <c r="AM101" s="1140"/>
      <c r="AO101" s="1140"/>
      <c r="AQ101" s="1140"/>
      <c r="AS101" s="1140"/>
    </row>
    <row r="102" spans="2:45">
      <c r="I102" s="909"/>
      <c r="J102" s="981"/>
      <c r="T102" s="909"/>
      <c r="U102" s="909"/>
      <c r="V102" s="957"/>
      <c r="W102" s="909"/>
      <c r="AM102" s="1140"/>
      <c r="AO102" s="1140"/>
      <c r="AQ102" s="1140"/>
      <c r="AS102" s="1140"/>
    </row>
    <row r="103" spans="2:45">
      <c r="I103" s="909"/>
      <c r="T103" s="909"/>
      <c r="U103" s="909"/>
      <c r="V103" s="957"/>
      <c r="W103" s="909"/>
      <c r="AM103" s="1140"/>
      <c r="AO103" s="1140"/>
      <c r="AQ103" s="1140"/>
      <c r="AS103" s="1140"/>
    </row>
    <row r="104" spans="2:45">
      <c r="I104" s="909"/>
      <c r="T104" s="909"/>
      <c r="U104" s="909"/>
      <c r="V104" s="957"/>
      <c r="W104" s="909"/>
      <c r="AM104" s="1140"/>
      <c r="AO104" s="1140"/>
      <c r="AQ104" s="1140"/>
      <c r="AS104" s="1140"/>
    </row>
    <row r="105" spans="2:45">
      <c r="I105" s="909"/>
      <c r="T105" s="909"/>
      <c r="U105" s="909"/>
      <c r="V105" s="957"/>
      <c r="W105" s="909"/>
      <c r="AM105" s="1140"/>
      <c r="AO105" s="1140"/>
      <c r="AQ105" s="1140"/>
      <c r="AS105" s="1140"/>
    </row>
    <row r="106" spans="2:45" s="882" customFormat="1">
      <c r="E106" s="883"/>
      <c r="F106" s="884"/>
      <c r="I106" s="909"/>
      <c r="T106" s="909"/>
      <c r="U106" s="909"/>
      <c r="V106" s="957"/>
      <c r="W106" s="909"/>
      <c r="X106" s="884"/>
      <c r="Z106" s="884"/>
      <c r="AA106" s="884"/>
      <c r="AB106" s="884"/>
      <c r="AC106" s="884"/>
      <c r="AD106" s="884"/>
      <c r="AE106" s="884"/>
      <c r="AF106" s="884"/>
      <c r="AG106" s="884"/>
      <c r="AH106" s="884"/>
      <c r="AI106" s="884"/>
      <c r="AL106" s="889"/>
      <c r="AM106" s="1140"/>
      <c r="AN106" s="1137"/>
      <c r="AO106" s="1140"/>
      <c r="AP106" s="1137"/>
      <c r="AQ106" s="1140"/>
      <c r="AR106" s="1137"/>
      <c r="AS106" s="1140"/>
    </row>
    <row r="107" spans="2:45" s="882" customFormat="1">
      <c r="E107" s="883"/>
      <c r="F107" s="884"/>
      <c r="I107" s="909"/>
      <c r="T107" s="909"/>
      <c r="U107" s="909"/>
      <c r="V107" s="957"/>
      <c r="W107" s="909"/>
      <c r="X107" s="884"/>
      <c r="Z107" s="884"/>
      <c r="AA107" s="884"/>
      <c r="AB107" s="884"/>
      <c r="AC107" s="884"/>
      <c r="AD107" s="884"/>
      <c r="AE107" s="884"/>
      <c r="AF107" s="884"/>
      <c r="AG107" s="884"/>
      <c r="AH107" s="884"/>
      <c r="AI107" s="884"/>
      <c r="AL107" s="889"/>
      <c r="AM107" s="1140"/>
      <c r="AN107" s="1137"/>
      <c r="AO107" s="1140"/>
      <c r="AP107" s="1137"/>
      <c r="AQ107" s="1140"/>
      <c r="AR107" s="1137"/>
      <c r="AS107" s="1140"/>
    </row>
    <row r="108" spans="2:45" s="882" customFormat="1">
      <c r="E108" s="883"/>
      <c r="F108" s="884"/>
      <c r="I108" s="909"/>
      <c r="T108" s="909"/>
      <c r="U108" s="909"/>
      <c r="V108" s="957"/>
      <c r="W108" s="909"/>
      <c r="X108" s="884"/>
      <c r="Z108" s="884"/>
      <c r="AA108" s="884"/>
      <c r="AB108" s="884"/>
      <c r="AC108" s="884"/>
      <c r="AD108" s="884"/>
      <c r="AE108" s="884"/>
      <c r="AF108" s="884"/>
      <c r="AG108" s="884"/>
      <c r="AH108" s="884"/>
      <c r="AI108" s="884"/>
      <c r="AL108" s="889"/>
      <c r="AM108" s="1140"/>
      <c r="AN108" s="1137"/>
      <c r="AO108" s="1140"/>
      <c r="AP108" s="1137"/>
      <c r="AQ108" s="1140"/>
      <c r="AR108" s="1137"/>
      <c r="AS108" s="1140"/>
    </row>
    <row r="109" spans="2:45" s="882" customFormat="1">
      <c r="E109" s="883"/>
      <c r="F109" s="884"/>
      <c r="I109" s="909"/>
      <c r="T109" s="909"/>
      <c r="U109" s="909"/>
      <c r="V109" s="957"/>
      <c r="W109" s="909"/>
      <c r="X109" s="884"/>
      <c r="Z109" s="884"/>
      <c r="AA109" s="884"/>
      <c r="AB109" s="884"/>
      <c r="AC109" s="884"/>
      <c r="AD109" s="884"/>
      <c r="AE109" s="884"/>
      <c r="AF109" s="884"/>
      <c r="AG109" s="884"/>
      <c r="AH109" s="884"/>
      <c r="AI109" s="884"/>
      <c r="AL109" s="889"/>
      <c r="AM109" s="1140"/>
      <c r="AN109" s="1137"/>
      <c r="AO109" s="1140"/>
      <c r="AP109" s="1137"/>
      <c r="AQ109" s="1140"/>
      <c r="AR109" s="1137"/>
      <c r="AS109" s="1140"/>
    </row>
    <row r="110" spans="2:45" s="882" customFormat="1">
      <c r="E110" s="883"/>
      <c r="F110" s="884"/>
      <c r="I110" s="909"/>
      <c r="T110" s="909"/>
      <c r="U110" s="909"/>
      <c r="V110" s="957"/>
      <c r="W110" s="909"/>
      <c r="X110" s="884"/>
      <c r="Z110" s="884"/>
      <c r="AA110" s="884"/>
      <c r="AB110" s="884"/>
      <c r="AC110" s="884"/>
      <c r="AD110" s="884"/>
      <c r="AE110" s="884"/>
      <c r="AF110" s="884"/>
      <c r="AG110" s="884"/>
      <c r="AH110" s="884"/>
      <c r="AI110" s="884"/>
      <c r="AL110" s="889"/>
      <c r="AM110" s="1140"/>
      <c r="AN110" s="1137"/>
      <c r="AO110" s="1140"/>
      <c r="AP110" s="1137"/>
      <c r="AQ110" s="1140"/>
      <c r="AR110" s="1137"/>
      <c r="AS110" s="1140"/>
    </row>
    <row r="111" spans="2:45" s="882" customFormat="1">
      <c r="E111" s="883"/>
      <c r="F111" s="884"/>
      <c r="I111" s="909"/>
      <c r="T111" s="909"/>
      <c r="U111" s="909"/>
      <c r="V111" s="957"/>
      <c r="W111" s="909"/>
      <c r="X111" s="884"/>
      <c r="Z111" s="884"/>
      <c r="AA111" s="884"/>
      <c r="AB111" s="884"/>
      <c r="AC111" s="884"/>
      <c r="AD111" s="884"/>
      <c r="AE111" s="884"/>
      <c r="AF111" s="884"/>
      <c r="AG111" s="884"/>
      <c r="AH111" s="884"/>
      <c r="AI111" s="884"/>
      <c r="AL111" s="889"/>
      <c r="AM111" s="1140"/>
      <c r="AN111" s="1137"/>
      <c r="AO111" s="1140"/>
      <c r="AP111" s="1137"/>
      <c r="AQ111" s="1140"/>
      <c r="AR111" s="1137"/>
      <c r="AS111" s="1140"/>
    </row>
    <row r="112" spans="2:45" s="882" customFormat="1">
      <c r="E112" s="883"/>
      <c r="F112" s="884"/>
      <c r="I112" s="909"/>
      <c r="T112" s="909"/>
      <c r="U112" s="909"/>
      <c r="V112" s="957"/>
      <c r="W112" s="909"/>
      <c r="X112" s="884"/>
      <c r="Z112" s="884"/>
      <c r="AA112" s="884"/>
      <c r="AB112" s="884"/>
      <c r="AC112" s="884"/>
      <c r="AD112" s="884"/>
      <c r="AE112" s="884"/>
      <c r="AF112" s="884"/>
      <c r="AG112" s="884"/>
      <c r="AH112" s="884"/>
      <c r="AI112" s="884"/>
      <c r="AL112" s="889"/>
      <c r="AM112" s="1140"/>
      <c r="AN112" s="1137"/>
      <c r="AO112" s="1140"/>
      <c r="AP112" s="1137"/>
      <c r="AQ112" s="1140"/>
      <c r="AR112" s="1137"/>
      <c r="AS112" s="1140"/>
    </row>
    <row r="113" spans="5:45" s="882" customFormat="1">
      <c r="E113" s="883"/>
      <c r="F113" s="884"/>
      <c r="I113" s="909"/>
      <c r="T113" s="909"/>
      <c r="U113" s="909"/>
      <c r="V113" s="957"/>
      <c r="W113" s="909"/>
      <c r="X113" s="884"/>
      <c r="Z113" s="884"/>
      <c r="AA113" s="884"/>
      <c r="AB113" s="884"/>
      <c r="AC113" s="884"/>
      <c r="AD113" s="884"/>
      <c r="AE113" s="884"/>
      <c r="AF113" s="884"/>
      <c r="AG113" s="884"/>
      <c r="AH113" s="884"/>
      <c r="AI113" s="884"/>
      <c r="AL113" s="889"/>
      <c r="AM113" s="1140"/>
      <c r="AN113" s="1137"/>
      <c r="AO113" s="1140"/>
      <c r="AP113" s="1137"/>
      <c r="AQ113" s="1140"/>
      <c r="AR113" s="1137"/>
      <c r="AS113" s="1140"/>
    </row>
    <row r="114" spans="5:45" s="882" customFormat="1">
      <c r="E114" s="883"/>
      <c r="F114" s="884"/>
      <c r="I114" s="909"/>
      <c r="T114" s="909"/>
      <c r="U114" s="909"/>
      <c r="V114" s="957"/>
      <c r="W114" s="909"/>
      <c r="X114" s="884"/>
      <c r="Z114" s="884"/>
      <c r="AA114" s="884"/>
      <c r="AB114" s="884"/>
      <c r="AC114" s="884"/>
      <c r="AD114" s="884"/>
      <c r="AE114" s="884"/>
      <c r="AF114" s="884"/>
      <c r="AG114" s="884"/>
      <c r="AH114" s="884"/>
      <c r="AI114" s="884"/>
      <c r="AL114" s="889"/>
      <c r="AM114" s="1140"/>
      <c r="AN114" s="1137"/>
      <c r="AO114" s="1140"/>
      <c r="AP114" s="1137"/>
      <c r="AQ114" s="1140"/>
      <c r="AR114" s="1137"/>
      <c r="AS114" s="1140"/>
    </row>
    <row r="115" spans="5:45" s="882" customFormat="1">
      <c r="E115" s="883"/>
      <c r="F115" s="884"/>
      <c r="I115" s="909"/>
      <c r="T115" s="909"/>
      <c r="U115" s="909"/>
      <c r="V115" s="957"/>
      <c r="W115" s="909"/>
      <c r="X115" s="884"/>
      <c r="Z115" s="884"/>
      <c r="AA115" s="884"/>
      <c r="AB115" s="884"/>
      <c r="AC115" s="884"/>
      <c r="AD115" s="884"/>
      <c r="AE115" s="884"/>
      <c r="AF115" s="884"/>
      <c r="AG115" s="884"/>
      <c r="AH115" s="884"/>
      <c r="AI115" s="884"/>
      <c r="AL115" s="889"/>
      <c r="AM115" s="1140"/>
      <c r="AN115" s="1137"/>
      <c r="AO115" s="1140"/>
      <c r="AP115" s="1137"/>
      <c r="AQ115" s="1140"/>
      <c r="AR115" s="1137"/>
      <c r="AS115" s="1140"/>
    </row>
    <row r="116" spans="5:45" s="882" customFormat="1">
      <c r="E116" s="883"/>
      <c r="F116" s="884"/>
      <c r="I116" s="909"/>
      <c r="T116" s="909"/>
      <c r="U116" s="909"/>
      <c r="V116" s="957"/>
      <c r="W116" s="909"/>
      <c r="X116" s="884"/>
      <c r="Z116" s="884"/>
      <c r="AA116" s="884"/>
      <c r="AB116" s="884"/>
      <c r="AC116" s="884"/>
      <c r="AD116" s="884"/>
      <c r="AE116" s="884"/>
      <c r="AF116" s="884"/>
      <c r="AG116" s="884"/>
      <c r="AH116" s="884"/>
      <c r="AI116" s="884"/>
      <c r="AL116" s="889"/>
      <c r="AM116" s="1140"/>
      <c r="AN116" s="1137"/>
      <c r="AO116" s="1140"/>
      <c r="AP116" s="1137"/>
      <c r="AQ116" s="1140"/>
      <c r="AR116" s="1137"/>
      <c r="AS116" s="1140"/>
    </row>
    <row r="117" spans="5:45" s="882" customFormat="1">
      <c r="E117" s="883"/>
      <c r="F117" s="884"/>
      <c r="I117" s="909"/>
      <c r="T117" s="909"/>
      <c r="U117" s="909"/>
      <c r="V117" s="957"/>
      <c r="W117" s="909"/>
      <c r="X117" s="884"/>
      <c r="Z117" s="884"/>
      <c r="AA117" s="884"/>
      <c r="AB117" s="884"/>
      <c r="AC117" s="884"/>
      <c r="AD117" s="884"/>
      <c r="AE117" s="884"/>
      <c r="AF117" s="884"/>
      <c r="AG117" s="884"/>
      <c r="AH117" s="884"/>
      <c r="AI117" s="884"/>
      <c r="AL117" s="889"/>
      <c r="AM117" s="1140"/>
      <c r="AN117" s="1137"/>
      <c r="AO117" s="1140"/>
      <c r="AP117" s="1137"/>
      <c r="AQ117" s="1140"/>
      <c r="AR117" s="1137"/>
      <c r="AS117" s="1140"/>
    </row>
    <row r="118" spans="5:45" s="882" customFormat="1">
      <c r="E118" s="883"/>
      <c r="F118" s="884"/>
      <c r="I118" s="909"/>
      <c r="T118" s="909"/>
      <c r="U118" s="909"/>
      <c r="V118" s="957"/>
      <c r="W118" s="909"/>
      <c r="X118" s="884"/>
      <c r="Z118" s="884"/>
      <c r="AA118" s="884"/>
      <c r="AB118" s="884"/>
      <c r="AC118" s="884"/>
      <c r="AD118" s="884"/>
      <c r="AE118" s="884"/>
      <c r="AF118" s="884"/>
      <c r="AG118" s="884"/>
      <c r="AH118" s="884"/>
      <c r="AI118" s="884"/>
      <c r="AL118" s="889"/>
      <c r="AM118" s="1140"/>
      <c r="AN118" s="1137"/>
      <c r="AO118" s="1140"/>
      <c r="AP118" s="1137"/>
      <c r="AQ118" s="1140"/>
      <c r="AR118" s="1137"/>
      <c r="AS118" s="1140"/>
    </row>
    <row r="119" spans="5:45" s="882" customFormat="1">
      <c r="E119" s="883"/>
      <c r="F119" s="884"/>
      <c r="I119" s="909"/>
      <c r="T119" s="909"/>
      <c r="U119" s="909"/>
      <c r="V119" s="957"/>
      <c r="W119" s="909"/>
      <c r="X119" s="884"/>
      <c r="Z119" s="884"/>
      <c r="AA119" s="884"/>
      <c r="AB119" s="884"/>
      <c r="AC119" s="884"/>
      <c r="AD119" s="884"/>
      <c r="AE119" s="884"/>
      <c r="AF119" s="884"/>
      <c r="AG119" s="884"/>
      <c r="AH119" s="884"/>
      <c r="AI119" s="884"/>
      <c r="AL119" s="889"/>
      <c r="AM119" s="1140"/>
      <c r="AN119" s="1137"/>
      <c r="AO119" s="1140"/>
      <c r="AP119" s="1137"/>
      <c r="AQ119" s="1140"/>
      <c r="AR119" s="1137"/>
      <c r="AS119" s="1140"/>
    </row>
    <row r="120" spans="5:45" s="882" customFormat="1">
      <c r="E120" s="883"/>
      <c r="F120" s="884"/>
      <c r="I120" s="909"/>
      <c r="T120" s="909"/>
      <c r="U120" s="909"/>
      <c r="V120" s="957"/>
      <c r="W120" s="909"/>
      <c r="X120" s="884"/>
      <c r="Z120" s="884"/>
      <c r="AA120" s="884"/>
      <c r="AB120" s="884"/>
      <c r="AC120" s="884"/>
      <c r="AD120" s="884"/>
      <c r="AE120" s="884"/>
      <c r="AF120" s="884"/>
      <c r="AG120" s="884"/>
      <c r="AH120" s="884"/>
      <c r="AI120" s="884"/>
      <c r="AL120" s="889"/>
      <c r="AM120" s="1140"/>
      <c r="AN120" s="1137"/>
      <c r="AO120" s="1140"/>
      <c r="AP120" s="1137"/>
      <c r="AQ120" s="1140"/>
      <c r="AR120" s="1137"/>
      <c r="AS120" s="1140"/>
    </row>
    <row r="121" spans="5:45" s="882" customFormat="1">
      <c r="E121" s="883"/>
      <c r="F121" s="884"/>
      <c r="I121" s="909"/>
      <c r="T121" s="909"/>
      <c r="U121" s="909"/>
      <c r="V121" s="957"/>
      <c r="W121" s="909"/>
      <c r="X121" s="884"/>
      <c r="Z121" s="884"/>
      <c r="AA121" s="884"/>
      <c r="AB121" s="884"/>
      <c r="AC121" s="884"/>
      <c r="AD121" s="884"/>
      <c r="AE121" s="884"/>
      <c r="AF121" s="884"/>
      <c r="AG121" s="884"/>
      <c r="AH121" s="884"/>
      <c r="AI121" s="884"/>
      <c r="AL121" s="889"/>
      <c r="AM121" s="1140"/>
      <c r="AN121" s="1137"/>
      <c r="AO121" s="1140"/>
      <c r="AP121" s="1137"/>
      <c r="AQ121" s="1140"/>
      <c r="AR121" s="1137"/>
      <c r="AS121" s="1140"/>
    </row>
    <row r="122" spans="5:45" s="882" customFormat="1">
      <c r="E122" s="883"/>
      <c r="F122" s="884"/>
      <c r="I122" s="909"/>
      <c r="T122" s="909"/>
      <c r="U122" s="909"/>
      <c r="V122" s="957"/>
      <c r="W122" s="909"/>
      <c r="X122" s="884"/>
      <c r="Z122" s="884"/>
      <c r="AA122" s="884"/>
      <c r="AB122" s="884"/>
      <c r="AC122" s="884"/>
      <c r="AD122" s="884"/>
      <c r="AE122" s="884"/>
      <c r="AF122" s="884"/>
      <c r="AG122" s="884"/>
      <c r="AH122" s="884"/>
      <c r="AI122" s="884"/>
      <c r="AL122" s="889"/>
      <c r="AM122" s="1140"/>
      <c r="AN122" s="1137"/>
      <c r="AO122" s="1140"/>
      <c r="AP122" s="1137"/>
      <c r="AQ122" s="1140"/>
      <c r="AR122" s="1137"/>
      <c r="AS122" s="1140"/>
    </row>
    <row r="123" spans="5:45" s="882" customFormat="1">
      <c r="E123" s="883"/>
      <c r="F123" s="884"/>
      <c r="I123" s="909"/>
      <c r="T123" s="909"/>
      <c r="U123" s="909"/>
      <c r="V123" s="957"/>
      <c r="W123" s="909"/>
      <c r="X123" s="884"/>
      <c r="Z123" s="884"/>
      <c r="AA123" s="884"/>
      <c r="AB123" s="884"/>
      <c r="AC123" s="884"/>
      <c r="AD123" s="884"/>
      <c r="AE123" s="884"/>
      <c r="AF123" s="884"/>
      <c r="AG123" s="884"/>
      <c r="AH123" s="884"/>
      <c r="AI123" s="884"/>
      <c r="AL123" s="889"/>
      <c r="AM123" s="1140"/>
      <c r="AN123" s="1137"/>
      <c r="AO123" s="1140"/>
      <c r="AP123" s="1137"/>
      <c r="AQ123" s="1140"/>
      <c r="AR123" s="1137"/>
      <c r="AS123" s="1140"/>
    </row>
    <row r="124" spans="5:45" s="882" customFormat="1">
      <c r="E124" s="883"/>
      <c r="F124" s="884"/>
      <c r="I124" s="909"/>
      <c r="T124" s="909"/>
      <c r="U124" s="909"/>
      <c r="V124" s="957"/>
      <c r="W124" s="909"/>
      <c r="X124" s="884"/>
      <c r="Z124" s="884"/>
      <c r="AA124" s="884"/>
      <c r="AB124" s="884"/>
      <c r="AC124" s="884"/>
      <c r="AD124" s="884"/>
      <c r="AE124" s="884"/>
      <c r="AF124" s="884"/>
      <c r="AG124" s="884"/>
      <c r="AH124" s="884"/>
      <c r="AI124" s="884"/>
      <c r="AL124" s="889"/>
      <c r="AM124" s="1140"/>
      <c r="AN124" s="1137"/>
      <c r="AO124" s="1140"/>
      <c r="AP124" s="1137"/>
      <c r="AQ124" s="1140"/>
      <c r="AR124" s="1137"/>
      <c r="AS124" s="1140"/>
    </row>
    <row r="125" spans="5:45" s="882" customFormat="1">
      <c r="E125" s="883"/>
      <c r="F125" s="884"/>
      <c r="I125" s="909"/>
      <c r="T125" s="909"/>
      <c r="U125" s="909"/>
      <c r="V125" s="957"/>
      <c r="W125" s="909"/>
      <c r="X125" s="884"/>
      <c r="Z125" s="884"/>
      <c r="AA125" s="884"/>
      <c r="AB125" s="884"/>
      <c r="AC125" s="884"/>
      <c r="AD125" s="884"/>
      <c r="AE125" s="884"/>
      <c r="AF125" s="884"/>
      <c r="AG125" s="884"/>
      <c r="AH125" s="884"/>
      <c r="AI125" s="884"/>
      <c r="AL125" s="889"/>
      <c r="AM125" s="1140"/>
      <c r="AN125" s="1137"/>
      <c r="AO125" s="1140"/>
      <c r="AP125" s="1137"/>
      <c r="AQ125" s="1140"/>
      <c r="AR125" s="1137"/>
      <c r="AS125" s="1140"/>
    </row>
    <row r="126" spans="5:45" s="882" customFormat="1">
      <c r="E126" s="883"/>
      <c r="F126" s="884"/>
      <c r="I126" s="909"/>
      <c r="T126" s="909"/>
      <c r="U126" s="909"/>
      <c r="V126" s="957"/>
      <c r="W126" s="909"/>
      <c r="X126" s="884"/>
      <c r="Z126" s="884"/>
      <c r="AA126" s="884"/>
      <c r="AB126" s="884"/>
      <c r="AC126" s="884"/>
      <c r="AD126" s="884"/>
      <c r="AE126" s="884"/>
      <c r="AF126" s="884"/>
      <c r="AG126" s="884"/>
      <c r="AH126" s="884"/>
      <c r="AI126" s="884"/>
      <c r="AL126" s="889"/>
      <c r="AM126" s="1140"/>
      <c r="AN126" s="1137"/>
      <c r="AO126" s="1140"/>
      <c r="AP126" s="1137"/>
      <c r="AQ126" s="1140"/>
      <c r="AR126" s="1137"/>
      <c r="AS126" s="1140"/>
    </row>
    <row r="127" spans="5:45" s="882" customFormat="1">
      <c r="E127" s="883"/>
      <c r="F127" s="884"/>
      <c r="I127" s="909"/>
      <c r="T127" s="909"/>
      <c r="U127" s="909"/>
      <c r="V127" s="957"/>
      <c r="W127" s="909"/>
      <c r="X127" s="884"/>
      <c r="Z127" s="884"/>
      <c r="AA127" s="884"/>
      <c r="AB127" s="884"/>
      <c r="AC127" s="884"/>
      <c r="AD127" s="884"/>
      <c r="AE127" s="884"/>
      <c r="AF127" s="884"/>
      <c r="AG127" s="884"/>
      <c r="AH127" s="884"/>
      <c r="AI127" s="884"/>
      <c r="AL127" s="889"/>
      <c r="AM127" s="1140"/>
      <c r="AN127" s="1137"/>
      <c r="AO127" s="1140"/>
      <c r="AP127" s="1137"/>
      <c r="AQ127" s="1140"/>
      <c r="AR127" s="1137"/>
      <c r="AS127" s="1140"/>
    </row>
    <row r="128" spans="5:45" s="882" customFormat="1">
      <c r="E128" s="883"/>
      <c r="F128" s="884"/>
      <c r="I128" s="909"/>
      <c r="T128" s="909"/>
      <c r="U128" s="909"/>
      <c r="V128" s="957"/>
      <c r="W128" s="909"/>
      <c r="X128" s="884"/>
      <c r="Z128" s="884"/>
      <c r="AA128" s="884"/>
      <c r="AB128" s="884"/>
      <c r="AC128" s="884"/>
      <c r="AD128" s="884"/>
      <c r="AE128" s="884"/>
      <c r="AF128" s="884"/>
      <c r="AG128" s="884"/>
      <c r="AH128" s="884"/>
      <c r="AI128" s="884"/>
      <c r="AL128" s="889"/>
      <c r="AM128" s="1140"/>
      <c r="AN128" s="1137"/>
      <c r="AO128" s="1140"/>
      <c r="AP128" s="1137"/>
      <c r="AQ128" s="1140"/>
      <c r="AR128" s="1137"/>
      <c r="AS128" s="1140"/>
    </row>
    <row r="129" spans="5:45" s="882" customFormat="1">
      <c r="E129" s="883"/>
      <c r="F129" s="884"/>
      <c r="I129" s="909"/>
      <c r="T129" s="909"/>
      <c r="U129" s="909"/>
      <c r="V129" s="957"/>
      <c r="W129" s="909"/>
      <c r="X129" s="884"/>
      <c r="Z129" s="884"/>
      <c r="AA129" s="884"/>
      <c r="AB129" s="884"/>
      <c r="AC129" s="884"/>
      <c r="AD129" s="884"/>
      <c r="AE129" s="884"/>
      <c r="AF129" s="884"/>
      <c r="AG129" s="884"/>
      <c r="AH129" s="884"/>
      <c r="AI129" s="884"/>
      <c r="AL129" s="889"/>
      <c r="AM129" s="1140"/>
      <c r="AN129" s="1137"/>
      <c r="AO129" s="1140"/>
      <c r="AP129" s="1137"/>
      <c r="AQ129" s="1140"/>
      <c r="AR129" s="1137"/>
      <c r="AS129" s="1140"/>
    </row>
    <row r="130" spans="5:45" s="882" customFormat="1">
      <c r="E130" s="883"/>
      <c r="F130" s="884"/>
      <c r="I130" s="909"/>
      <c r="T130" s="909"/>
      <c r="U130" s="909"/>
      <c r="V130" s="957"/>
      <c r="W130" s="909"/>
      <c r="X130" s="884"/>
      <c r="Z130" s="884"/>
      <c r="AA130" s="884"/>
      <c r="AB130" s="884"/>
      <c r="AC130" s="884"/>
      <c r="AD130" s="884"/>
      <c r="AE130" s="884"/>
      <c r="AF130" s="884"/>
      <c r="AG130" s="884"/>
      <c r="AH130" s="884"/>
      <c r="AI130" s="884"/>
      <c r="AL130" s="889"/>
      <c r="AM130" s="1140"/>
      <c r="AN130" s="1137"/>
      <c r="AO130" s="1140"/>
      <c r="AP130" s="1137"/>
      <c r="AQ130" s="1140"/>
      <c r="AR130" s="1137"/>
      <c r="AS130" s="1140"/>
    </row>
    <row r="131" spans="5:45" s="882" customFormat="1">
      <c r="E131" s="883"/>
      <c r="F131" s="884"/>
      <c r="I131" s="909"/>
      <c r="T131" s="909"/>
      <c r="U131" s="909"/>
      <c r="V131" s="957"/>
      <c r="W131" s="909"/>
      <c r="X131" s="884"/>
      <c r="Z131" s="884"/>
      <c r="AA131" s="884"/>
      <c r="AB131" s="884"/>
      <c r="AC131" s="884"/>
      <c r="AD131" s="884"/>
      <c r="AE131" s="884"/>
      <c r="AF131" s="884"/>
      <c r="AG131" s="884"/>
      <c r="AH131" s="884"/>
      <c r="AI131" s="884"/>
      <c r="AL131" s="889"/>
      <c r="AM131" s="1140"/>
      <c r="AN131" s="1137"/>
      <c r="AO131" s="1140"/>
      <c r="AP131" s="1137"/>
      <c r="AQ131" s="1140"/>
      <c r="AR131" s="1137"/>
      <c r="AS131" s="1140"/>
    </row>
    <row r="132" spans="5:45" s="882" customFormat="1">
      <c r="E132" s="883"/>
      <c r="F132" s="884"/>
      <c r="I132" s="909"/>
      <c r="T132" s="909"/>
      <c r="U132" s="909"/>
      <c r="V132" s="957"/>
      <c r="W132" s="909"/>
      <c r="X132" s="884"/>
      <c r="Z132" s="884"/>
      <c r="AA132" s="884"/>
      <c r="AB132" s="884"/>
      <c r="AC132" s="884"/>
      <c r="AD132" s="884"/>
      <c r="AE132" s="884"/>
      <c r="AF132" s="884"/>
      <c r="AG132" s="884"/>
      <c r="AH132" s="884"/>
      <c r="AI132" s="884"/>
      <c r="AL132" s="889"/>
      <c r="AM132" s="1140"/>
      <c r="AN132" s="1137"/>
      <c r="AO132" s="1140"/>
      <c r="AP132" s="1137"/>
      <c r="AQ132" s="1140"/>
      <c r="AR132" s="1137"/>
      <c r="AS132" s="1140"/>
    </row>
    <row r="133" spans="5:45" s="882" customFormat="1">
      <c r="E133" s="883"/>
      <c r="F133" s="884"/>
      <c r="I133" s="909"/>
      <c r="T133" s="909"/>
      <c r="U133" s="909"/>
      <c r="V133" s="957"/>
      <c r="W133" s="909"/>
      <c r="X133" s="884"/>
      <c r="Z133" s="884"/>
      <c r="AA133" s="884"/>
      <c r="AB133" s="884"/>
      <c r="AC133" s="884"/>
      <c r="AD133" s="884"/>
      <c r="AE133" s="884"/>
      <c r="AF133" s="884"/>
      <c r="AG133" s="884"/>
      <c r="AH133" s="884"/>
      <c r="AI133" s="884"/>
      <c r="AL133" s="889"/>
      <c r="AM133" s="1140"/>
      <c r="AN133" s="1137"/>
      <c r="AO133" s="1140"/>
      <c r="AP133" s="1137"/>
      <c r="AQ133" s="1140"/>
      <c r="AR133" s="1137"/>
      <c r="AS133" s="1140"/>
    </row>
    <row r="134" spans="5:45">
      <c r="AM134" s="1140"/>
      <c r="AO134" s="1140"/>
      <c r="AQ134" s="1140"/>
      <c r="AS134" s="1140"/>
    </row>
    <row r="135" spans="5:45">
      <c r="AM135" s="1140"/>
      <c r="AO135" s="1140"/>
      <c r="AQ135" s="1140"/>
      <c r="AS135" s="1140"/>
    </row>
    <row r="136" spans="5:45">
      <c r="AM136" s="1140"/>
      <c r="AO136" s="1140"/>
      <c r="AQ136" s="1140"/>
      <c r="AS136" s="1140"/>
    </row>
    <row r="137" spans="5:45">
      <c r="AM137" s="1140"/>
      <c r="AO137" s="1140"/>
      <c r="AQ137" s="1140"/>
      <c r="AS137" s="1140"/>
    </row>
    <row r="138" spans="5:45">
      <c r="AM138" s="1140"/>
      <c r="AO138" s="1140"/>
      <c r="AQ138" s="1140"/>
      <c r="AS138" s="1140"/>
    </row>
    <row r="139" spans="5:45">
      <c r="AM139" s="1140"/>
      <c r="AO139" s="1140"/>
      <c r="AQ139" s="1140"/>
      <c r="AS139" s="1140"/>
    </row>
    <row r="140" spans="5:45">
      <c r="AM140" s="1140"/>
      <c r="AO140" s="1140"/>
      <c r="AQ140" s="1140"/>
      <c r="AS140" s="1140"/>
    </row>
    <row r="141" spans="5:45">
      <c r="AM141" s="1140"/>
      <c r="AO141" s="1140"/>
      <c r="AQ141" s="1140"/>
      <c r="AS141" s="1140"/>
    </row>
    <row r="142" spans="5:45">
      <c r="AM142" s="1140"/>
      <c r="AO142" s="1140"/>
      <c r="AQ142" s="1140"/>
      <c r="AS142" s="1140"/>
    </row>
    <row r="143" spans="5:45">
      <c r="AM143" s="1140"/>
      <c r="AO143" s="1140"/>
      <c r="AQ143" s="1140"/>
      <c r="AS143" s="1140"/>
    </row>
    <row r="144" spans="5:45">
      <c r="AM144" s="1140"/>
      <c r="AO144" s="1140"/>
      <c r="AQ144" s="1140"/>
      <c r="AS144" s="1140"/>
    </row>
    <row r="145" spans="39:45">
      <c r="AM145" s="1140"/>
      <c r="AO145" s="1140"/>
      <c r="AQ145" s="1140"/>
      <c r="AS145" s="1140"/>
    </row>
    <row r="146" spans="39:45">
      <c r="AM146" s="1140"/>
      <c r="AO146" s="1140"/>
      <c r="AQ146" s="1140"/>
      <c r="AS146" s="1140"/>
    </row>
    <row r="147" spans="39:45">
      <c r="AM147" s="1140"/>
      <c r="AO147" s="1140"/>
      <c r="AQ147" s="1140"/>
      <c r="AS147" s="1140"/>
    </row>
    <row r="148" spans="39:45">
      <c r="AM148" s="1140"/>
      <c r="AO148" s="1140"/>
      <c r="AQ148" s="1140"/>
      <c r="AS148" s="1140"/>
    </row>
    <row r="149" spans="39:45">
      <c r="AM149" s="1140"/>
      <c r="AO149" s="1140"/>
      <c r="AQ149" s="1140"/>
      <c r="AS149" s="1140"/>
    </row>
    <row r="150" spans="39:45">
      <c r="AM150" s="1140"/>
      <c r="AO150" s="1140"/>
      <c r="AQ150" s="1140"/>
      <c r="AS150" s="1140"/>
    </row>
    <row r="151" spans="39:45">
      <c r="AM151" s="1140"/>
      <c r="AO151" s="1140"/>
      <c r="AQ151" s="1140"/>
      <c r="AS151" s="1140"/>
    </row>
    <row r="152" spans="39:45">
      <c r="AM152" s="1140"/>
      <c r="AO152" s="1140"/>
      <c r="AQ152" s="1140"/>
      <c r="AS152" s="1140"/>
    </row>
    <row r="153" spans="39:45">
      <c r="AM153" s="1140"/>
      <c r="AN153" s="1141"/>
      <c r="AO153" s="1140"/>
      <c r="AP153" s="1141"/>
      <c r="AQ153" s="1140"/>
      <c r="AR153" s="1141"/>
      <c r="AS153" s="1140"/>
    </row>
    <row r="154" spans="39:45">
      <c r="AM154" s="1140"/>
      <c r="AO154" s="1140"/>
      <c r="AQ154" s="1140"/>
      <c r="AS154" s="1140"/>
    </row>
    <row r="155" spans="39:45">
      <c r="AM155" s="1140"/>
      <c r="AO155" s="1140"/>
      <c r="AQ155" s="1140"/>
      <c r="AS155" s="1140"/>
    </row>
    <row r="156" spans="39:45">
      <c r="AM156" s="1140"/>
      <c r="AO156" s="1140"/>
      <c r="AQ156" s="1140"/>
      <c r="AS156" s="1140"/>
    </row>
    <row r="157" spans="39:45">
      <c r="AM157" s="1140"/>
      <c r="AO157" s="1140"/>
      <c r="AQ157" s="1140"/>
      <c r="AS157" s="1140"/>
    </row>
    <row r="158" spans="39:45">
      <c r="AM158" s="1140"/>
      <c r="AO158" s="1140"/>
      <c r="AQ158" s="1140"/>
      <c r="AS158" s="1140"/>
    </row>
    <row r="159" spans="39:45">
      <c r="AM159" s="1140"/>
      <c r="AO159" s="1140"/>
      <c r="AQ159" s="1140"/>
      <c r="AS159" s="1140"/>
    </row>
    <row r="160" spans="39:45">
      <c r="AM160" s="1140"/>
      <c r="AO160" s="1140"/>
      <c r="AQ160" s="1140"/>
      <c r="AS160" s="1140"/>
    </row>
    <row r="161" spans="39:45">
      <c r="AM161" s="1140"/>
      <c r="AO161" s="1140"/>
      <c r="AQ161" s="1140"/>
      <c r="AS161" s="1140"/>
    </row>
    <row r="162" spans="39:45">
      <c r="AM162" s="1140"/>
      <c r="AO162" s="1140"/>
      <c r="AQ162" s="1140"/>
      <c r="AS162" s="1140"/>
    </row>
    <row r="163" spans="39:45">
      <c r="AM163" s="1140"/>
      <c r="AO163" s="1140"/>
      <c r="AQ163" s="1140"/>
      <c r="AS163" s="1140"/>
    </row>
    <row r="164" spans="39:45">
      <c r="AM164" s="1140"/>
      <c r="AO164" s="1140"/>
      <c r="AQ164" s="1140"/>
      <c r="AS164" s="1140"/>
    </row>
    <row r="165" spans="39:45">
      <c r="AM165" s="1140"/>
      <c r="AO165" s="1140"/>
      <c r="AQ165" s="1140"/>
      <c r="AS165" s="1140"/>
    </row>
    <row r="166" spans="39:45">
      <c r="AM166" s="1140"/>
      <c r="AO166" s="1140"/>
      <c r="AQ166" s="1140"/>
      <c r="AS166" s="1140"/>
    </row>
    <row r="167" spans="39:45">
      <c r="AM167" s="1140"/>
      <c r="AO167" s="1140"/>
      <c r="AQ167" s="1140"/>
      <c r="AS167" s="1140"/>
    </row>
    <row r="168" spans="39:45">
      <c r="AM168" s="1140"/>
      <c r="AO168" s="1140"/>
      <c r="AQ168" s="1140"/>
      <c r="AS168" s="1140"/>
    </row>
    <row r="169" spans="39:45">
      <c r="AM169" s="1140"/>
      <c r="AO169" s="1140"/>
      <c r="AQ169" s="1140"/>
      <c r="AS169" s="1140"/>
    </row>
    <row r="170" spans="39:45">
      <c r="AM170" s="1140"/>
      <c r="AO170" s="1140"/>
      <c r="AQ170" s="1140"/>
      <c r="AS170" s="1140"/>
    </row>
    <row r="171" spans="39:45">
      <c r="AM171" s="1140"/>
      <c r="AO171" s="1140"/>
      <c r="AQ171" s="1140"/>
      <c r="AS171" s="1140"/>
    </row>
    <row r="172" spans="39:45">
      <c r="AM172" s="1140"/>
      <c r="AO172" s="1140"/>
      <c r="AQ172" s="1140"/>
      <c r="AS172" s="1140"/>
    </row>
    <row r="173" spans="39:45">
      <c r="AM173" s="1140"/>
      <c r="AO173" s="1140"/>
      <c r="AQ173" s="1140"/>
      <c r="AS173" s="1140"/>
    </row>
    <row r="174" spans="39:45">
      <c r="AM174" s="1140"/>
      <c r="AO174" s="1140"/>
      <c r="AQ174" s="1140"/>
      <c r="AS174" s="1140"/>
    </row>
    <row r="175" spans="39:45">
      <c r="AM175" s="1140"/>
      <c r="AO175" s="1140"/>
      <c r="AQ175" s="1140"/>
      <c r="AS175" s="1140"/>
    </row>
    <row r="176" spans="39:45">
      <c r="AM176" s="1140"/>
      <c r="AO176" s="1140"/>
      <c r="AQ176" s="1140"/>
      <c r="AS176" s="1140"/>
    </row>
    <row r="177" spans="39:45">
      <c r="AM177" s="1140"/>
      <c r="AO177" s="1140"/>
      <c r="AQ177" s="1140"/>
      <c r="AS177" s="1140"/>
    </row>
    <row r="178" spans="39:45">
      <c r="AM178" s="1140"/>
      <c r="AO178" s="1140"/>
      <c r="AQ178" s="1140"/>
      <c r="AS178" s="1140"/>
    </row>
    <row r="179" spans="39:45">
      <c r="AM179" s="1140"/>
      <c r="AO179" s="1140"/>
      <c r="AQ179" s="1140"/>
      <c r="AS179" s="1140"/>
    </row>
    <row r="180" spans="39:45">
      <c r="AM180" s="1140"/>
      <c r="AO180" s="1140"/>
      <c r="AQ180" s="1140"/>
      <c r="AS180" s="1140"/>
    </row>
    <row r="181" spans="39:45">
      <c r="AM181" s="1140"/>
      <c r="AO181" s="1140"/>
      <c r="AQ181" s="1140"/>
      <c r="AS181" s="1140"/>
    </row>
    <row r="182" spans="39:45">
      <c r="AM182" s="1140"/>
      <c r="AO182" s="1140"/>
      <c r="AQ182" s="1140"/>
      <c r="AS182" s="1140"/>
    </row>
    <row r="183" spans="39:45">
      <c r="AM183" s="1140"/>
      <c r="AO183" s="1140"/>
      <c r="AQ183" s="1140"/>
      <c r="AS183" s="1140"/>
    </row>
    <row r="184" spans="39:45">
      <c r="AM184" s="1140"/>
      <c r="AO184" s="1140"/>
      <c r="AQ184" s="1140"/>
      <c r="AS184" s="1140"/>
    </row>
    <row r="185" spans="39:45">
      <c r="AM185" s="1140"/>
      <c r="AO185" s="1140"/>
      <c r="AQ185" s="1140"/>
      <c r="AS185" s="1140"/>
    </row>
    <row r="186" spans="39:45">
      <c r="AM186" s="1140"/>
      <c r="AO186" s="1140"/>
      <c r="AQ186" s="1140"/>
      <c r="AS186" s="1140"/>
    </row>
    <row r="187" spans="39:45">
      <c r="AM187" s="1140"/>
      <c r="AO187" s="1140"/>
      <c r="AQ187" s="1140"/>
      <c r="AS187" s="1140"/>
    </row>
    <row r="188" spans="39:45">
      <c r="AM188" s="1140"/>
      <c r="AO188" s="1140"/>
      <c r="AQ188" s="1140"/>
      <c r="AS188" s="1140"/>
    </row>
    <row r="189" spans="39:45">
      <c r="AM189" s="1140"/>
      <c r="AO189" s="1140"/>
      <c r="AQ189" s="1140"/>
      <c r="AS189" s="1140"/>
    </row>
    <row r="190" spans="39:45">
      <c r="AM190" s="1140"/>
      <c r="AO190" s="1140"/>
      <c r="AQ190" s="1140"/>
      <c r="AS190" s="1140"/>
    </row>
    <row r="191" spans="39:45">
      <c r="AM191" s="1140"/>
      <c r="AO191" s="1140"/>
      <c r="AQ191" s="1140"/>
      <c r="AS191" s="1140"/>
    </row>
    <row r="192" spans="39:45">
      <c r="AM192" s="1140"/>
      <c r="AO192" s="1140"/>
      <c r="AQ192" s="1140"/>
      <c r="AS192" s="1140"/>
    </row>
    <row r="193" spans="39:45">
      <c r="AM193" s="1140"/>
      <c r="AO193" s="1140"/>
      <c r="AQ193" s="1140"/>
      <c r="AS193" s="1140"/>
    </row>
    <row r="194" spans="39:45">
      <c r="AM194" s="1140"/>
      <c r="AO194" s="1140"/>
      <c r="AQ194" s="1140"/>
      <c r="AS194" s="1140"/>
    </row>
    <row r="195" spans="39:45">
      <c r="AM195" s="1140"/>
      <c r="AO195" s="1140"/>
      <c r="AQ195" s="1140"/>
      <c r="AS195" s="1140"/>
    </row>
    <row r="196" spans="39:45">
      <c r="AM196" s="1140"/>
      <c r="AO196" s="1140"/>
      <c r="AQ196" s="1140"/>
      <c r="AS196" s="1140"/>
    </row>
    <row r="197" spans="39:45">
      <c r="AO197" s="1140"/>
    </row>
    <row r="198" spans="39:45">
      <c r="AO198" s="1140"/>
    </row>
    <row r="199" spans="39:45">
      <c r="AO199" s="1140"/>
    </row>
    <row r="200" spans="39:45">
      <c r="AO200" s="1140"/>
    </row>
    <row r="201" spans="39:45">
      <c r="AM201" s="1140"/>
      <c r="AO201" s="1140"/>
      <c r="AQ201" s="1140"/>
      <c r="AS201" s="1140"/>
    </row>
    <row r="202" spans="39:45">
      <c r="AM202" s="1140"/>
      <c r="AO202" s="1140"/>
      <c r="AQ202" s="1140"/>
      <c r="AS202" s="1140"/>
    </row>
    <row r="203" spans="39:45">
      <c r="AO203" s="1140"/>
    </row>
    <row r="204" spans="39:45">
      <c r="AO204" s="1140"/>
    </row>
    <row r="205" spans="39:45">
      <c r="AO205" s="1140"/>
    </row>
    <row r="206" spans="39:45">
      <c r="AO206" s="1140"/>
    </row>
    <row r="207" spans="39:45">
      <c r="AO207" s="1140"/>
    </row>
    <row r="208" spans="39:45">
      <c r="AO208" s="1140"/>
    </row>
    <row r="209" spans="39:45">
      <c r="AM209" s="1144"/>
      <c r="AN209" s="1144"/>
      <c r="AO209" s="1140"/>
      <c r="AP209" s="1144"/>
      <c r="AQ209" s="1144"/>
      <c r="AR209" s="1144"/>
      <c r="AS209" s="1144"/>
    </row>
    <row r="210" spans="39:45">
      <c r="AM210" s="1144"/>
      <c r="AN210" s="1144"/>
      <c r="AO210" s="1140"/>
      <c r="AP210" s="1144"/>
      <c r="AQ210" s="1144"/>
      <c r="AR210" s="1144"/>
      <c r="AS210" s="1144"/>
    </row>
    <row r="211" spans="39:45">
      <c r="AO211" s="1140"/>
    </row>
    <row r="212" spans="39:45">
      <c r="AO212" s="1140"/>
    </row>
    <row r="213" spans="39:45">
      <c r="AO213" s="1140"/>
    </row>
    <row r="214" spans="39:45">
      <c r="AO214" s="1140"/>
    </row>
    <row r="215" spans="39:45">
      <c r="AM215" s="1140"/>
      <c r="AO215" s="1140"/>
      <c r="AQ215" s="1140"/>
      <c r="AS215" s="1140"/>
    </row>
    <row r="216" spans="39:45">
      <c r="AM216" s="1140"/>
      <c r="AO216" s="1140"/>
      <c r="AQ216" s="1140"/>
      <c r="AS216" s="1140"/>
    </row>
    <row r="217" spans="39:45">
      <c r="AM217" s="1140"/>
      <c r="AO217" s="1140"/>
      <c r="AQ217" s="1140"/>
      <c r="AS217" s="1140"/>
    </row>
    <row r="218" spans="39:45">
      <c r="AM218" s="1140"/>
      <c r="AO218" s="1140"/>
      <c r="AQ218" s="1140"/>
      <c r="AS218" s="1140"/>
    </row>
    <row r="219" spans="39:45">
      <c r="AM219" s="1140"/>
      <c r="AO219" s="1140"/>
      <c r="AQ219" s="1140"/>
      <c r="AS219" s="1140"/>
    </row>
    <row r="220" spans="39:45">
      <c r="AM220" s="1140"/>
      <c r="AO220" s="1140"/>
      <c r="AQ220" s="1140"/>
      <c r="AS220" s="1140"/>
    </row>
    <row r="221" spans="39:45">
      <c r="AM221" s="1140"/>
      <c r="AO221" s="1140"/>
      <c r="AQ221" s="1140"/>
      <c r="AS221" s="1140"/>
    </row>
    <row r="222" spans="39:45">
      <c r="AM222" s="1140"/>
      <c r="AO222" s="1140"/>
      <c r="AQ222" s="1140"/>
      <c r="AS222" s="1140"/>
    </row>
    <row r="223" spans="39:45">
      <c r="AM223" s="1140"/>
      <c r="AO223" s="1140"/>
      <c r="AQ223" s="1140"/>
      <c r="AS223" s="1140"/>
    </row>
    <row r="224" spans="39:45">
      <c r="AM224" s="1140"/>
      <c r="AO224" s="1140"/>
      <c r="AQ224" s="1140"/>
      <c r="AS224" s="1140"/>
    </row>
    <row r="225" spans="39:45">
      <c r="AM225" s="1140"/>
      <c r="AO225" s="1140"/>
      <c r="AQ225" s="1140"/>
      <c r="AS225" s="1140"/>
    </row>
    <row r="226" spans="39:45">
      <c r="AM226" s="1140"/>
      <c r="AO226" s="1140"/>
      <c r="AQ226" s="1140"/>
      <c r="AS226" s="1140"/>
    </row>
    <row r="227" spans="39:45">
      <c r="AM227" s="1140"/>
      <c r="AO227" s="1140"/>
      <c r="AQ227" s="1140"/>
      <c r="AS227" s="1140"/>
    </row>
    <row r="228" spans="39:45">
      <c r="AM228" s="1140"/>
      <c r="AO228" s="1140"/>
      <c r="AQ228" s="1140"/>
      <c r="AS228" s="1140"/>
    </row>
    <row r="229" spans="39:45">
      <c r="AM229" s="1140"/>
      <c r="AO229" s="1140"/>
      <c r="AQ229" s="1140"/>
      <c r="AS229" s="1140"/>
    </row>
    <row r="230" spans="39:45">
      <c r="AM230" s="1140"/>
      <c r="AO230" s="1140"/>
      <c r="AQ230" s="1140"/>
      <c r="AS230" s="1140"/>
    </row>
    <row r="231" spans="39:45">
      <c r="AM231" s="1140"/>
      <c r="AO231" s="1140"/>
      <c r="AQ231" s="1140"/>
      <c r="AS231" s="1140"/>
    </row>
    <row r="232" spans="39:45">
      <c r="AM232" s="1140"/>
      <c r="AO232" s="1140"/>
      <c r="AQ232" s="1140"/>
      <c r="AS232" s="1140"/>
    </row>
    <row r="233" spans="39:45">
      <c r="AM233" s="1140"/>
      <c r="AO233" s="1140"/>
      <c r="AQ233" s="1140"/>
      <c r="AS233" s="1140"/>
    </row>
    <row r="234" spans="39:45">
      <c r="AM234" s="1140"/>
      <c r="AO234" s="1140"/>
      <c r="AQ234" s="1140"/>
      <c r="AS234" s="1140"/>
    </row>
    <row r="235" spans="39:45">
      <c r="AM235" s="1140"/>
      <c r="AO235" s="1140"/>
      <c r="AQ235" s="1140"/>
      <c r="AS235" s="1140"/>
    </row>
    <row r="236" spans="39:45">
      <c r="AM236" s="1140"/>
      <c r="AO236" s="1140"/>
      <c r="AQ236" s="1140"/>
      <c r="AS236" s="1140"/>
    </row>
    <row r="237" spans="39:45">
      <c r="AM237" s="1140"/>
      <c r="AO237" s="1140"/>
      <c r="AQ237" s="1140"/>
      <c r="AS237" s="1140"/>
    </row>
    <row r="238" spans="39:45">
      <c r="AM238" s="1140"/>
      <c r="AO238" s="1140"/>
      <c r="AQ238" s="1140"/>
      <c r="AS238" s="1140"/>
    </row>
    <row r="239" spans="39:45">
      <c r="AM239" s="1140"/>
      <c r="AO239" s="1140"/>
      <c r="AQ239" s="1140"/>
      <c r="AS239" s="1140"/>
    </row>
    <row r="240" spans="39:45">
      <c r="AM240" s="1140"/>
      <c r="AO240" s="1140"/>
      <c r="AQ240" s="1140"/>
      <c r="AS240" s="1140"/>
    </row>
    <row r="241" spans="39:45">
      <c r="AM241" s="1140"/>
      <c r="AO241" s="1140"/>
      <c r="AQ241" s="1140"/>
      <c r="AS241" s="1140"/>
    </row>
    <row r="242" spans="39:45">
      <c r="AM242" s="1140"/>
      <c r="AO242" s="1140"/>
      <c r="AQ242" s="1140"/>
      <c r="AS242" s="1140"/>
    </row>
    <row r="243" spans="39:45">
      <c r="AM243" s="1140"/>
      <c r="AO243" s="1140"/>
      <c r="AQ243" s="1140"/>
      <c r="AS243" s="1140"/>
    </row>
    <row r="244" spans="39:45">
      <c r="AM244" s="1140"/>
      <c r="AO244" s="1140"/>
      <c r="AQ244" s="1140"/>
      <c r="AS244" s="1140"/>
    </row>
    <row r="245" spans="39:45">
      <c r="AM245" s="1140"/>
      <c r="AO245" s="1140"/>
      <c r="AQ245" s="1140"/>
      <c r="AS245" s="1140"/>
    </row>
    <row r="246" spans="39:45">
      <c r="AM246" s="1140"/>
      <c r="AO246" s="1140"/>
      <c r="AQ246" s="1140"/>
      <c r="AS246" s="1140"/>
    </row>
    <row r="247" spans="39:45">
      <c r="AM247" s="1140"/>
      <c r="AO247" s="1140"/>
      <c r="AQ247" s="1140"/>
      <c r="AS247" s="1140"/>
    </row>
    <row r="248" spans="39:45">
      <c r="AM248" s="1140"/>
      <c r="AO248" s="1140"/>
      <c r="AQ248" s="1140"/>
      <c r="AS248" s="1140"/>
    </row>
    <row r="249" spans="39:45">
      <c r="AM249" s="1140"/>
      <c r="AO249" s="1140"/>
      <c r="AQ249" s="1140"/>
      <c r="AS249" s="1140"/>
    </row>
    <row r="250" spans="39:45">
      <c r="AM250" s="1140"/>
      <c r="AO250" s="1140"/>
      <c r="AQ250" s="1140"/>
      <c r="AS250" s="1140"/>
    </row>
    <row r="251" spans="39:45">
      <c r="AM251" s="1140"/>
      <c r="AO251" s="1140"/>
      <c r="AQ251" s="1140"/>
      <c r="AS251" s="1140"/>
    </row>
    <row r="252" spans="39:45">
      <c r="AM252" s="1140"/>
      <c r="AO252" s="1140"/>
      <c r="AQ252" s="1140"/>
      <c r="AS252" s="1140"/>
    </row>
    <row r="253" spans="39:45">
      <c r="AM253" s="1140"/>
      <c r="AO253" s="1140"/>
      <c r="AQ253" s="1140"/>
      <c r="AS253" s="1140"/>
    </row>
    <row r="254" spans="39:45">
      <c r="AM254" s="1140"/>
      <c r="AO254" s="1140"/>
      <c r="AQ254" s="1140"/>
      <c r="AS254" s="1140"/>
    </row>
    <row r="259" spans="39:45">
      <c r="AM259" s="1140"/>
      <c r="AO259" s="1140"/>
      <c r="AQ259" s="1140"/>
      <c r="AS259" s="1140"/>
    </row>
    <row r="260" spans="39:45">
      <c r="AM260" s="1140"/>
      <c r="AO260" s="1140"/>
      <c r="AQ260" s="1140"/>
      <c r="AS260" s="1140"/>
    </row>
    <row r="265" spans="39:45">
      <c r="AM265" s="1144"/>
      <c r="AN265" s="1144"/>
      <c r="AO265" s="1144"/>
      <c r="AP265" s="1144"/>
      <c r="AQ265" s="1144"/>
      <c r="AR265" s="1144"/>
      <c r="AS265" s="1144"/>
    </row>
    <row r="266" spans="39:45">
      <c r="AM266" s="1144"/>
      <c r="AN266" s="1144"/>
      <c r="AO266" s="1144"/>
      <c r="AP266" s="1144"/>
      <c r="AQ266" s="1144"/>
      <c r="AR266" s="1144"/>
      <c r="AS266" s="1144"/>
    </row>
    <row r="270" spans="39:45">
      <c r="AM270" s="1140"/>
      <c r="AO270" s="1140"/>
      <c r="AQ270" s="1140"/>
      <c r="AS270" s="1140"/>
    </row>
    <row r="272" spans="39:45">
      <c r="AM272" s="1144"/>
      <c r="AN272" s="1144"/>
      <c r="AO272" s="1144"/>
      <c r="AP272" s="1144"/>
      <c r="AQ272" s="1144"/>
      <c r="AR272" s="1144"/>
      <c r="AS272" s="1144"/>
    </row>
    <row r="273" spans="39:45">
      <c r="AM273" s="1144"/>
      <c r="AN273" s="1144"/>
      <c r="AO273" s="1144"/>
      <c r="AP273" s="1144"/>
      <c r="AQ273" s="1144"/>
      <c r="AR273" s="1144"/>
      <c r="AS273" s="1144"/>
    </row>
    <row r="274" spans="39:45">
      <c r="AM274" s="1144"/>
      <c r="AN274" s="1144"/>
      <c r="AO274" s="1144"/>
      <c r="AP274" s="1144"/>
      <c r="AQ274" s="1144"/>
      <c r="AR274" s="1144"/>
      <c r="AS274" s="1144"/>
    </row>
    <row r="277" spans="39:45">
      <c r="AM277" s="1144"/>
      <c r="AN277" s="1144"/>
    </row>
  </sheetData>
  <customSheetViews>
    <customSheetView guid="{76FC386D-C488-46EF-BB9C-D1C49FEBAB90}" showPageBreaks="1" showGridLines="0" fitToPage="1" printArea="1" hiddenColumns="1">
      <pane xSplit="4" ySplit="6" topLeftCell="J41" activePane="bottomRight" state="frozen"/>
      <selection pane="bottomRight" activeCell="P62" sqref="P62"/>
      <pageMargins left="0.7" right="0.7" top="0.75" bottom="0.75" header="0.3" footer="0.3"/>
      <pageSetup orientation="portrait" r:id="rId1"/>
      <headerFooter>
        <oddHeader>&amp;R&amp;F
&amp;A</oddHeader>
        <oddFooter>&amp;L&amp;D&amp;C&amp;P&amp;R&amp;T</oddFooter>
      </headerFooter>
    </customSheetView>
    <customSheetView guid="{16F8EA47-9864-4C0F-89A1-62B7CCC013F9}" showGridLines="0" fitToPage="1" printArea="1" hiddenColumns="1">
      <pane xSplit="4" ySplit="6" topLeftCell="F7" activePane="bottomRight" state="frozen"/>
      <selection pane="bottomRight" activeCell="G18" sqref="G18"/>
      <pageMargins left="0.7" right="0.7" top="0.75" bottom="0.75" header="0.3" footer="0.3"/>
      <pageSetup scale="79" orientation="portrait" r:id="rId2"/>
      <headerFooter>
        <oddHeader>&amp;R&amp;F
&amp;A</oddHeader>
        <oddFooter>&amp;L&amp;D&amp;C&amp;P&amp;R&amp;T</oddFooter>
      </headerFooter>
    </customSheetView>
  </customSheetViews>
  <mergeCells count="2">
    <mergeCell ref="I5:T5"/>
    <mergeCell ref="X5:AI5"/>
  </mergeCells>
  <conditionalFormatting sqref="B4">
    <cfRule type="duplicateValues" dxfId="16" priority="1"/>
  </conditionalFormatting>
  <pageMargins left="0.7" right="0.7" top="0.75" bottom="0.75" header="0.3" footer="0.3"/>
  <pageSetup scale="74" fitToHeight="2" orientation="landscape" r:id="rId3"/>
  <headerFooter>
    <oddHeader>&amp;R&amp;F
&amp;A</oddHeader>
    <oddFooter>&amp;L&amp;D&amp;C&amp;P&amp;R&amp;T</oddFooter>
  </headerFooter>
  <rowBreaks count="1" manualBreakCount="1">
    <brk id="62" min="1" max="4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R149"/>
  <sheetViews>
    <sheetView showGridLines="0" view="pageBreakPreview" zoomScale="60" zoomScaleNormal="100" workbookViewId="0">
      <pane xSplit="5" ySplit="6" topLeftCell="F65" activePane="bottomRight" state="frozen"/>
      <selection activeCell="AP280" sqref="AP280"/>
      <selection pane="topRight" activeCell="AP280" sqref="AP280"/>
      <selection pane="bottomLeft" activeCell="AP280" sqref="AP280"/>
      <selection pane="bottomRight" activeCell="AP280" sqref="AP280"/>
    </sheetView>
  </sheetViews>
  <sheetFormatPr defaultRowHeight="12.75" outlineLevelCol="1"/>
  <cols>
    <col min="1" max="1" width="9.140625" style="884"/>
    <col min="2" max="2" width="20.140625" style="882" customWidth="1"/>
    <col min="3" max="3" width="21.7109375" style="882" customWidth="1"/>
    <col min="4" max="4" width="15.140625" style="882" hidden="1" customWidth="1"/>
    <col min="5" max="5" width="10" style="883" hidden="1" customWidth="1"/>
    <col min="6" max="6" width="9" style="884" bestFit="1" customWidth="1"/>
    <col min="7" max="7" width="9" style="882" bestFit="1" customWidth="1"/>
    <col min="8" max="8" width="2.42578125" style="882" customWidth="1"/>
    <col min="9" max="11" width="12.42578125" style="882" hidden="1" customWidth="1" outlineLevel="1"/>
    <col min="12" max="13" width="13.85546875" style="882" hidden="1" customWidth="1" outlineLevel="1"/>
    <col min="14" max="20" width="12.42578125" style="882" hidden="1" customWidth="1" outlineLevel="1"/>
    <col min="21" max="21" width="11.5703125" style="884" customWidth="1" collapsed="1"/>
    <col min="22" max="22" width="2.140625" style="885" customWidth="1"/>
    <col min="23" max="23" width="9.140625" style="884" hidden="1" customWidth="1" outlineLevel="1"/>
    <col min="24" max="24" width="12" style="882" hidden="1" customWidth="1" outlineLevel="1"/>
    <col min="25" max="34" width="9.140625" style="884" hidden="1" customWidth="1" outlineLevel="1"/>
    <col min="35" max="35" width="11.42578125" style="884" customWidth="1" collapsed="1"/>
    <col min="36" max="36" width="2" style="884" customWidth="1"/>
    <col min="37" max="37" width="4.42578125" style="884" customWidth="1"/>
    <col min="38" max="38" width="9.140625" style="1137"/>
    <col min="39" max="39" width="9.28515625" style="1137" customWidth="1"/>
    <col min="40" max="40" width="12.7109375" style="1137" customWidth="1"/>
    <col min="41" max="41" width="2.140625" style="1137" customWidth="1"/>
    <col min="42" max="42" width="9.140625" style="1137"/>
    <col min="43" max="43" width="2.42578125" style="1137" customWidth="1"/>
    <col min="44" max="44" width="9.42578125" style="1137" customWidth="1"/>
    <col min="45" max="16384" width="9.140625" style="884"/>
  </cols>
  <sheetData>
    <row r="1" spans="2:44" ht="25.5">
      <c r="B1" s="881" t="s">
        <v>2338</v>
      </c>
      <c r="C1" s="881"/>
      <c r="D1" s="881"/>
      <c r="AJ1" s="1137"/>
      <c r="AK1" s="1151"/>
      <c r="AL1" s="1152" t="s">
        <v>2787</v>
      </c>
      <c r="AM1" s="1152" t="s">
        <v>2797</v>
      </c>
      <c r="AN1" s="1152" t="s">
        <v>2798</v>
      </c>
      <c r="AP1" s="1152" t="s">
        <v>2799</v>
      </c>
    </row>
    <row r="2" spans="2:44">
      <c r="B2" s="881" t="s">
        <v>1883</v>
      </c>
      <c r="C2" s="881"/>
      <c r="D2" s="881"/>
      <c r="F2" s="882"/>
      <c r="I2" s="986"/>
      <c r="J2" s="987"/>
      <c r="K2" s="987"/>
      <c r="L2" s="987"/>
      <c r="T2" s="886"/>
      <c r="U2" s="886"/>
      <c r="V2" s="889"/>
      <c r="AJ2" s="1137"/>
      <c r="AK2" s="1138" t="s">
        <v>1720</v>
      </c>
      <c r="AL2" s="1153">
        <f ca="1">'Reg - Price Out '!AN2</f>
        <v>-2.8449160478212221E-3</v>
      </c>
      <c r="AM2" s="1207">
        <f>'Reg - Price Out '!AW20</f>
        <v>-0.21892627234430068</v>
      </c>
      <c r="AN2" s="1173">
        <f>'Reg - Price Out '!AP2</f>
        <v>-1E-3</v>
      </c>
      <c r="AP2" s="1174">
        <f ca="1">AL2+AM2+AN2</f>
        <v>-0.2227711883921219</v>
      </c>
    </row>
    <row r="3" spans="2:44">
      <c r="B3" s="881" t="s">
        <v>2339</v>
      </c>
      <c r="C3" s="881"/>
      <c r="D3" s="881"/>
      <c r="F3" s="882"/>
      <c r="I3" s="886"/>
      <c r="T3" s="886"/>
      <c r="U3" s="886"/>
      <c r="V3" s="889"/>
      <c r="AJ3" s="1137"/>
      <c r="AK3" s="1138" t="s">
        <v>2440</v>
      </c>
      <c r="AL3" s="1153">
        <f ca="1">'Reg - Price Out '!AN3</f>
        <v>0.32565588961321712</v>
      </c>
      <c r="AN3" s="1173">
        <f>'Reg - Price Out '!AP3</f>
        <v>1.2999999999999999E-3</v>
      </c>
      <c r="AP3" s="1174">
        <f ca="1">AL3+AM3+AN3</f>
        <v>0.32695588961321714</v>
      </c>
    </row>
    <row r="4" spans="2:44">
      <c r="B4" s="881" t="s">
        <v>943</v>
      </c>
      <c r="C4" s="881"/>
      <c r="D4" s="881"/>
      <c r="F4" s="882"/>
      <c r="U4" s="882"/>
      <c r="AJ4" s="1137"/>
      <c r="AK4" s="1138" t="s">
        <v>5</v>
      </c>
      <c r="AL4" s="1153">
        <f ca="1">'Reg - Price Out '!AN4</f>
        <v>0.14062524584753344</v>
      </c>
      <c r="AN4" s="1173">
        <f>'Reg - Price Out '!AP4</f>
        <v>-1.1E-4</v>
      </c>
      <c r="AP4" s="1174">
        <f ca="1">AL4+AM4+AN4</f>
        <v>0.14051524584753344</v>
      </c>
    </row>
    <row r="5" spans="2:44" ht="14.25" customHeight="1">
      <c r="C5" s="890"/>
      <c r="D5" s="890"/>
      <c r="F5" s="891"/>
      <c r="G5" s="891"/>
      <c r="I5" s="1547" t="s">
        <v>166</v>
      </c>
      <c r="J5" s="1547"/>
      <c r="K5" s="1547"/>
      <c r="L5" s="1547"/>
      <c r="M5" s="1547"/>
      <c r="N5" s="1547"/>
      <c r="O5" s="1547"/>
      <c r="P5" s="1547"/>
      <c r="Q5" s="1547"/>
      <c r="R5" s="1547"/>
      <c r="S5" s="1547"/>
      <c r="T5" s="1547"/>
      <c r="W5" s="1547" t="s">
        <v>373</v>
      </c>
      <c r="X5" s="1547"/>
      <c r="Y5" s="1547"/>
      <c r="Z5" s="1547"/>
      <c r="AA5" s="1547"/>
      <c r="AB5" s="1547"/>
      <c r="AC5" s="1547"/>
      <c r="AD5" s="1547"/>
      <c r="AE5" s="1547"/>
      <c r="AF5" s="1547"/>
      <c r="AG5" s="1547"/>
      <c r="AH5" s="1547"/>
    </row>
    <row r="6" spans="2:44" ht="50.25" customHeight="1">
      <c r="B6" s="892" t="s">
        <v>1885</v>
      </c>
      <c r="C6" s="890" t="s">
        <v>1886</v>
      </c>
      <c r="D6" s="890" t="s">
        <v>1887</v>
      </c>
      <c r="E6" s="890" t="s">
        <v>1888</v>
      </c>
      <c r="F6" s="890" t="s">
        <v>1889</v>
      </c>
      <c r="G6" s="890" t="s">
        <v>1890</v>
      </c>
      <c r="H6" s="890"/>
      <c r="I6" s="893">
        <v>43435</v>
      </c>
      <c r="J6" s="893">
        <v>43466</v>
      </c>
      <c r="K6" s="893">
        <v>43497</v>
      </c>
      <c r="L6" s="893">
        <v>43525</v>
      </c>
      <c r="M6" s="893">
        <v>43556</v>
      </c>
      <c r="N6" s="893">
        <v>43586</v>
      </c>
      <c r="O6" s="893">
        <v>43617</v>
      </c>
      <c r="P6" s="893">
        <v>43647</v>
      </c>
      <c r="Q6" s="893">
        <v>43678</v>
      </c>
      <c r="R6" s="893">
        <v>43709</v>
      </c>
      <c r="S6" s="893">
        <v>43739</v>
      </c>
      <c r="T6" s="893">
        <v>43770</v>
      </c>
      <c r="U6" s="894" t="s">
        <v>1891</v>
      </c>
      <c r="V6" s="895"/>
      <c r="W6" s="893">
        <f t="shared" ref="W6:AH6" si="0">+I6</f>
        <v>43435</v>
      </c>
      <c r="X6" s="893">
        <f t="shared" si="0"/>
        <v>43466</v>
      </c>
      <c r="Y6" s="893">
        <f t="shared" si="0"/>
        <v>43497</v>
      </c>
      <c r="Z6" s="893">
        <f t="shared" si="0"/>
        <v>43525</v>
      </c>
      <c r="AA6" s="893">
        <f t="shared" si="0"/>
        <v>43556</v>
      </c>
      <c r="AB6" s="893">
        <f t="shared" si="0"/>
        <v>43586</v>
      </c>
      <c r="AC6" s="893">
        <f t="shared" si="0"/>
        <v>43617</v>
      </c>
      <c r="AD6" s="893">
        <f t="shared" si="0"/>
        <v>43647</v>
      </c>
      <c r="AE6" s="893">
        <f t="shared" si="0"/>
        <v>43678</v>
      </c>
      <c r="AF6" s="893">
        <f t="shared" si="0"/>
        <v>43709</v>
      </c>
      <c r="AG6" s="893">
        <f t="shared" si="0"/>
        <v>43739</v>
      </c>
      <c r="AH6" s="893">
        <f t="shared" si="0"/>
        <v>43770</v>
      </c>
      <c r="AI6" s="894" t="s">
        <v>1892</v>
      </c>
      <c r="AL6" s="1139" t="s">
        <v>2783</v>
      </c>
      <c r="AN6" s="1139" t="s">
        <v>2784</v>
      </c>
      <c r="AP6" s="1139" t="s">
        <v>2785</v>
      </c>
      <c r="AR6" s="1139" t="s">
        <v>2786</v>
      </c>
    </row>
    <row r="7" spans="2:44">
      <c r="F7" s="882"/>
      <c r="U7" s="882"/>
      <c r="V7" s="889"/>
    </row>
    <row r="8" spans="2:44" hidden="1">
      <c r="B8" s="897" t="s">
        <v>1893</v>
      </c>
      <c r="C8" s="898"/>
      <c r="D8" s="898"/>
      <c r="F8" s="899"/>
      <c r="G8" s="899"/>
      <c r="H8" s="899"/>
      <c r="I8" s="899"/>
      <c r="J8" s="899"/>
      <c r="K8" s="899"/>
      <c r="L8" s="899"/>
      <c r="M8" s="899"/>
      <c r="N8" s="899"/>
      <c r="O8" s="899"/>
      <c r="P8" s="899"/>
      <c r="Q8" s="899"/>
      <c r="R8" s="899"/>
      <c r="S8" s="899"/>
      <c r="T8" s="899"/>
      <c r="U8" s="899"/>
      <c r="V8" s="889"/>
    </row>
    <row r="9" spans="2:44" hidden="1">
      <c r="B9" s="897"/>
      <c r="C9" s="898"/>
      <c r="D9" s="898"/>
      <c r="F9" s="899"/>
      <c r="G9" s="899"/>
      <c r="H9" s="899"/>
      <c r="I9" s="899"/>
      <c r="J9" s="899"/>
      <c r="K9" s="899"/>
      <c r="L9" s="899"/>
      <c r="M9" s="899"/>
      <c r="N9" s="899"/>
      <c r="O9" s="899"/>
      <c r="P9" s="899"/>
      <c r="Q9" s="899"/>
      <c r="R9" s="899"/>
      <c r="S9" s="899"/>
      <c r="T9" s="899"/>
      <c r="U9" s="899"/>
      <c r="V9" s="889"/>
    </row>
    <row r="10" spans="2:44" hidden="1">
      <c r="B10" s="903" t="s">
        <v>1895</v>
      </c>
      <c r="C10" s="898"/>
      <c r="D10" s="898"/>
      <c r="F10" s="899"/>
      <c r="G10" s="899"/>
      <c r="H10" s="899"/>
      <c r="I10" s="899"/>
      <c r="J10" s="899"/>
      <c r="K10" s="899"/>
      <c r="L10" s="899"/>
      <c r="M10" s="899"/>
      <c r="N10" s="899"/>
      <c r="O10" s="899"/>
      <c r="P10" s="899"/>
      <c r="Q10" s="899"/>
      <c r="R10" s="899"/>
      <c r="S10" s="899"/>
      <c r="T10" s="899"/>
      <c r="U10" s="899"/>
      <c r="V10" s="889"/>
    </row>
    <row r="11" spans="2:44" hidden="1">
      <c r="B11" s="889"/>
      <c r="C11" s="889"/>
      <c r="D11" s="889"/>
      <c r="F11" s="904"/>
      <c r="G11" s="904"/>
      <c r="H11" s="904"/>
      <c r="I11" s="904"/>
      <c r="J11" s="904"/>
      <c r="K11" s="904"/>
      <c r="L11" s="904"/>
      <c r="M11" s="904"/>
      <c r="N11" s="904"/>
      <c r="O11" s="904"/>
      <c r="P11" s="904"/>
      <c r="Q11" s="904"/>
      <c r="R11" s="904"/>
      <c r="S11" s="904"/>
      <c r="T11" s="904"/>
      <c r="U11" s="957"/>
      <c r="V11" s="905"/>
      <c r="W11" s="906"/>
      <c r="X11" s="906"/>
      <c r="Y11" s="906"/>
      <c r="Z11" s="909"/>
      <c r="AA11" s="909"/>
      <c r="AB11" s="909"/>
      <c r="AC11" s="909"/>
      <c r="AD11" s="909"/>
      <c r="AE11" s="909"/>
      <c r="AF11" s="909"/>
      <c r="AG11" s="909"/>
      <c r="AH11" s="909"/>
      <c r="AL11" s="1140">
        <f ca="1">G11*$AL$2</f>
        <v>0</v>
      </c>
      <c r="AN11" s="1140">
        <f ca="1">AI11*AL11*12</f>
        <v>0</v>
      </c>
      <c r="AP11" s="1140">
        <f ca="1">G11+AL11</f>
        <v>0</v>
      </c>
      <c r="AR11" s="1140">
        <f ca="1">U11+AN11</f>
        <v>0</v>
      </c>
    </row>
    <row r="12" spans="2:44" hidden="1">
      <c r="B12" s="889"/>
      <c r="C12" s="889"/>
      <c r="D12" s="889"/>
      <c r="F12" s="904"/>
      <c r="G12" s="904"/>
      <c r="H12" s="904"/>
      <c r="I12" s="904"/>
      <c r="J12" s="904"/>
      <c r="K12" s="904"/>
      <c r="L12" s="904"/>
      <c r="M12" s="904"/>
      <c r="N12" s="904"/>
      <c r="O12" s="904"/>
      <c r="P12" s="904"/>
      <c r="Q12" s="904"/>
      <c r="R12" s="904"/>
      <c r="S12" s="904"/>
      <c r="T12" s="904"/>
      <c r="U12" s="909"/>
      <c r="V12" s="905"/>
      <c r="W12" s="906"/>
      <c r="X12" s="906"/>
      <c r="Y12" s="906"/>
      <c r="Z12" s="909"/>
      <c r="AA12" s="909"/>
      <c r="AB12" s="909"/>
      <c r="AC12" s="909"/>
      <c r="AD12" s="909"/>
      <c r="AE12" s="909"/>
      <c r="AF12" s="909"/>
      <c r="AG12" s="909"/>
      <c r="AH12" s="909"/>
      <c r="AL12" s="1140"/>
      <c r="AN12" s="1140"/>
      <c r="AP12" s="1140"/>
      <c r="AR12" s="1140"/>
    </row>
    <row r="13" spans="2:44" hidden="1">
      <c r="B13" s="889"/>
      <c r="C13" s="910" t="s">
        <v>1994</v>
      </c>
      <c r="D13" s="889"/>
      <c r="F13" s="904"/>
      <c r="G13" s="904"/>
      <c r="H13" s="911"/>
      <c r="I13" s="912">
        <f t="shared" ref="I13:T13" si="1">SUM(I11:I11)</f>
        <v>0</v>
      </c>
      <c r="J13" s="912">
        <f t="shared" si="1"/>
        <v>0</v>
      </c>
      <c r="K13" s="912">
        <f t="shared" si="1"/>
        <v>0</v>
      </c>
      <c r="L13" s="912">
        <f t="shared" si="1"/>
        <v>0</v>
      </c>
      <c r="M13" s="912">
        <f t="shared" si="1"/>
        <v>0</v>
      </c>
      <c r="N13" s="912">
        <f t="shared" si="1"/>
        <v>0</v>
      </c>
      <c r="O13" s="912">
        <f t="shared" si="1"/>
        <v>0</v>
      </c>
      <c r="P13" s="912">
        <f t="shared" si="1"/>
        <v>0</v>
      </c>
      <c r="Q13" s="912">
        <f t="shared" si="1"/>
        <v>0</v>
      </c>
      <c r="R13" s="912">
        <f t="shared" si="1"/>
        <v>0</v>
      </c>
      <c r="S13" s="912">
        <f t="shared" si="1"/>
        <v>0</v>
      </c>
      <c r="T13" s="912">
        <f t="shared" si="1"/>
        <v>0</v>
      </c>
      <c r="U13" s="966">
        <f>SUM(I13:T13)</f>
        <v>0</v>
      </c>
      <c r="V13" s="914"/>
      <c r="W13" s="906"/>
      <c r="X13" s="906"/>
      <c r="Y13" s="906"/>
      <c r="Z13" s="909"/>
      <c r="AA13" s="909"/>
      <c r="AB13" s="909"/>
      <c r="AC13" s="909"/>
      <c r="AD13" s="909"/>
      <c r="AE13" s="909"/>
      <c r="AF13" s="909"/>
      <c r="AG13" s="909"/>
      <c r="AH13" s="909"/>
      <c r="AL13" s="1140"/>
      <c r="AN13" s="1140"/>
      <c r="AP13" s="1140"/>
      <c r="AR13" s="1168">
        <f ca="1">AR11</f>
        <v>0</v>
      </c>
    </row>
    <row r="14" spans="2:44" hidden="1">
      <c r="B14" s="889"/>
      <c r="C14" s="889"/>
      <c r="D14" s="889"/>
      <c r="F14" s="904"/>
      <c r="G14" s="904"/>
      <c r="H14" s="911"/>
      <c r="I14" s="904"/>
      <c r="J14" s="904"/>
      <c r="K14" s="904"/>
      <c r="L14" s="904"/>
      <c r="M14" s="904"/>
      <c r="N14" s="904"/>
      <c r="O14" s="904"/>
      <c r="P14" s="904"/>
      <c r="Q14" s="904"/>
      <c r="R14" s="904"/>
      <c r="S14" s="904"/>
      <c r="T14" s="904"/>
      <c r="U14" s="911"/>
      <c r="V14" s="945"/>
      <c r="W14" s="906"/>
      <c r="X14" s="906"/>
      <c r="Y14" s="906"/>
      <c r="Z14" s="909"/>
      <c r="AA14" s="909"/>
      <c r="AB14" s="909"/>
      <c r="AC14" s="909"/>
      <c r="AD14" s="909"/>
      <c r="AE14" s="909"/>
      <c r="AF14" s="909"/>
      <c r="AG14" s="909"/>
      <c r="AH14" s="909"/>
      <c r="AL14" s="1140"/>
      <c r="AN14" s="1140"/>
      <c r="AP14" s="1140"/>
      <c r="AR14" s="1140"/>
    </row>
    <row r="15" spans="2:44" hidden="1">
      <c r="F15" s="904"/>
      <c r="G15" s="904"/>
      <c r="I15" s="904"/>
      <c r="J15" s="904"/>
      <c r="K15" s="904"/>
      <c r="L15" s="904"/>
      <c r="M15" s="904"/>
      <c r="N15" s="904"/>
      <c r="O15" s="904"/>
      <c r="P15" s="904"/>
      <c r="Q15" s="904"/>
      <c r="R15" s="904"/>
      <c r="S15" s="904"/>
      <c r="T15" s="904"/>
      <c r="X15" s="906"/>
      <c r="Y15" s="906"/>
      <c r="Z15" s="909"/>
      <c r="AA15" s="909"/>
      <c r="AB15" s="909"/>
      <c r="AC15" s="909"/>
      <c r="AD15" s="909"/>
      <c r="AE15" s="909"/>
      <c r="AF15" s="909"/>
      <c r="AG15" s="909"/>
      <c r="AH15" s="909"/>
      <c r="AL15" s="1140"/>
      <c r="AN15" s="1140"/>
      <c r="AP15" s="1140"/>
      <c r="AR15" s="1140"/>
    </row>
    <row r="16" spans="2:44" s="881" customFormat="1" hidden="1">
      <c r="B16" s="881" t="s">
        <v>2018</v>
      </c>
      <c r="E16" s="892"/>
      <c r="F16" s="904"/>
      <c r="G16" s="904"/>
      <c r="I16" s="933">
        <f>+I13</f>
        <v>0</v>
      </c>
      <c r="J16" s="933">
        <f t="shared" ref="J16:T16" si="2">+J13</f>
        <v>0</v>
      </c>
      <c r="K16" s="933">
        <f t="shared" si="2"/>
        <v>0</v>
      </c>
      <c r="L16" s="933">
        <f t="shared" si="2"/>
        <v>0</v>
      </c>
      <c r="M16" s="933">
        <f t="shared" si="2"/>
        <v>0</v>
      </c>
      <c r="N16" s="933">
        <f t="shared" si="2"/>
        <v>0</v>
      </c>
      <c r="O16" s="933">
        <f t="shared" si="2"/>
        <v>0</v>
      </c>
      <c r="P16" s="933">
        <f t="shared" si="2"/>
        <v>0</v>
      </c>
      <c r="Q16" s="933">
        <f t="shared" si="2"/>
        <v>0</v>
      </c>
      <c r="R16" s="933">
        <f t="shared" si="2"/>
        <v>0</v>
      </c>
      <c r="S16" s="933">
        <f t="shared" si="2"/>
        <v>0</v>
      </c>
      <c r="T16" s="933">
        <f t="shared" si="2"/>
        <v>0</v>
      </c>
      <c r="U16" s="982">
        <f>+U13</f>
        <v>0</v>
      </c>
      <c r="V16" s="885"/>
      <c r="W16" s="884"/>
      <c r="X16" s="906"/>
      <c r="Y16" s="906"/>
      <c r="Z16" s="909"/>
      <c r="AA16" s="909"/>
      <c r="AB16" s="909"/>
      <c r="AC16" s="909"/>
      <c r="AD16" s="909"/>
      <c r="AE16" s="909"/>
      <c r="AF16" s="909"/>
      <c r="AG16" s="909"/>
      <c r="AH16" s="909"/>
      <c r="AL16" s="1140"/>
      <c r="AM16" s="1137"/>
      <c r="AN16" s="1140"/>
      <c r="AO16" s="1137"/>
      <c r="AP16" s="1140"/>
      <c r="AQ16" s="1137"/>
      <c r="AR16" s="1169">
        <f t="shared" ref="AR16" ca="1" si="3">+AR13</f>
        <v>0</v>
      </c>
    </row>
    <row r="17" spans="1:44" s="881" customFormat="1">
      <c r="E17" s="892"/>
      <c r="F17" s="904"/>
      <c r="G17" s="904"/>
      <c r="H17" s="935"/>
      <c r="I17" s="904"/>
      <c r="J17" s="904"/>
      <c r="K17" s="904"/>
      <c r="L17" s="904"/>
      <c r="M17" s="904"/>
      <c r="N17" s="904"/>
      <c r="O17" s="904"/>
      <c r="P17" s="904"/>
      <c r="Q17" s="904"/>
      <c r="R17" s="904"/>
      <c r="S17" s="904"/>
      <c r="T17" s="904"/>
      <c r="U17" s="884"/>
      <c r="V17" s="885"/>
      <c r="W17" s="884"/>
      <c r="X17" s="906"/>
      <c r="Y17" s="906"/>
      <c r="Z17" s="909"/>
      <c r="AA17" s="909"/>
      <c r="AB17" s="909"/>
      <c r="AC17" s="909"/>
      <c r="AD17" s="909"/>
      <c r="AE17" s="909"/>
      <c r="AF17" s="909"/>
      <c r="AG17" s="909"/>
      <c r="AH17" s="909"/>
      <c r="AL17" s="1140"/>
      <c r="AM17" s="1137"/>
      <c r="AN17" s="1140"/>
      <c r="AO17" s="1137"/>
      <c r="AP17" s="1140"/>
      <c r="AQ17" s="1137"/>
      <c r="AR17" s="1140"/>
    </row>
    <row r="18" spans="1:44">
      <c r="E18" s="972"/>
      <c r="F18" s="904"/>
      <c r="G18" s="904"/>
      <c r="I18" s="904"/>
      <c r="J18" s="904"/>
      <c r="K18" s="904"/>
      <c r="L18" s="904"/>
      <c r="M18" s="904"/>
      <c r="N18" s="904"/>
      <c r="O18" s="904"/>
      <c r="P18" s="904"/>
      <c r="Q18" s="904"/>
      <c r="R18" s="904"/>
      <c r="S18" s="904"/>
      <c r="T18" s="904"/>
      <c r="W18" s="906"/>
      <c r="X18" s="906"/>
      <c r="Y18" s="906"/>
      <c r="Z18" s="909"/>
      <c r="AA18" s="909"/>
      <c r="AB18" s="909"/>
      <c r="AC18" s="909"/>
      <c r="AD18" s="909"/>
      <c r="AE18" s="909"/>
      <c r="AF18" s="909"/>
      <c r="AG18" s="909"/>
      <c r="AH18" s="909"/>
      <c r="AL18" s="1140"/>
      <c r="AN18" s="1140"/>
      <c r="AP18" s="1140"/>
      <c r="AR18" s="1140"/>
    </row>
    <row r="19" spans="1:44">
      <c r="B19" s="897" t="s">
        <v>2019</v>
      </c>
      <c r="C19" s="898"/>
      <c r="D19" s="898"/>
      <c r="F19" s="904"/>
      <c r="G19" s="904"/>
      <c r="H19" s="899"/>
      <c r="I19" s="904"/>
      <c r="J19" s="904"/>
      <c r="K19" s="904"/>
      <c r="L19" s="904"/>
      <c r="M19" s="904"/>
      <c r="N19" s="904"/>
      <c r="O19" s="904"/>
      <c r="P19" s="904"/>
      <c r="Q19" s="904"/>
      <c r="R19" s="904"/>
      <c r="S19" s="904"/>
      <c r="T19" s="904"/>
      <c r="U19" s="973"/>
      <c r="W19" s="906"/>
      <c r="X19" s="906"/>
      <c r="Y19" s="906"/>
      <c r="Z19" s="909"/>
      <c r="AA19" s="909"/>
      <c r="AB19" s="909"/>
      <c r="AC19" s="909"/>
      <c r="AD19" s="909"/>
      <c r="AE19" s="909"/>
      <c r="AF19" s="909"/>
      <c r="AG19" s="909"/>
      <c r="AH19" s="909"/>
      <c r="AL19" s="1140"/>
      <c r="AN19" s="1140"/>
      <c r="AP19" s="1140"/>
      <c r="AR19" s="1140"/>
    </row>
    <row r="20" spans="1:44">
      <c r="B20" s="897"/>
      <c r="C20" s="898"/>
      <c r="D20" s="898"/>
      <c r="F20" s="904"/>
      <c r="G20" s="904"/>
      <c r="H20" s="899"/>
      <c r="I20" s="904"/>
      <c r="J20" s="904"/>
      <c r="K20" s="904"/>
      <c r="L20" s="904"/>
      <c r="M20" s="904"/>
      <c r="N20" s="904"/>
      <c r="O20" s="904"/>
      <c r="P20" s="904"/>
      <c r="Q20" s="904"/>
      <c r="R20" s="904"/>
      <c r="S20" s="904"/>
      <c r="T20" s="904"/>
      <c r="U20" s="973"/>
      <c r="W20" s="906"/>
      <c r="X20" s="906"/>
      <c r="Y20" s="906"/>
      <c r="Z20" s="909"/>
      <c r="AA20" s="909"/>
      <c r="AB20" s="909"/>
      <c r="AC20" s="909"/>
      <c r="AD20" s="909"/>
      <c r="AE20" s="909"/>
      <c r="AF20" s="909"/>
      <c r="AG20" s="909"/>
      <c r="AH20" s="909"/>
      <c r="AL20" s="1140"/>
      <c r="AN20" s="1140"/>
      <c r="AP20" s="1140"/>
      <c r="AR20" s="1140"/>
    </row>
    <row r="21" spans="1:44">
      <c r="B21" s="903" t="s">
        <v>2020</v>
      </c>
      <c r="C21" s="898"/>
      <c r="D21" s="898"/>
      <c r="F21" s="904"/>
      <c r="G21" s="904"/>
      <c r="H21" s="899"/>
      <c r="I21" s="904"/>
      <c r="J21" s="904"/>
      <c r="K21" s="904"/>
      <c r="L21" s="904"/>
      <c r="M21" s="904"/>
      <c r="N21" s="904"/>
      <c r="O21" s="904"/>
      <c r="P21" s="904"/>
      <c r="Q21" s="904"/>
      <c r="R21" s="904"/>
      <c r="S21" s="904"/>
      <c r="T21" s="904"/>
      <c r="U21" s="973"/>
      <c r="W21" s="906"/>
      <c r="X21" s="906"/>
      <c r="Y21" s="906"/>
      <c r="Z21" s="909"/>
      <c r="AA21" s="909"/>
      <c r="AB21" s="909"/>
      <c r="AC21" s="909"/>
      <c r="AD21" s="909"/>
      <c r="AE21" s="909"/>
      <c r="AF21" s="909"/>
      <c r="AG21" s="909"/>
      <c r="AH21" s="909"/>
      <c r="AL21" s="1140"/>
      <c r="AN21" s="1140"/>
      <c r="AP21" s="1140"/>
      <c r="AR21" s="1140"/>
    </row>
    <row r="22" spans="1:44">
      <c r="A22" s="884" t="str">
        <f t="shared" ref="A22:A54" si="4">$B$3&amp;"Commercial"&amp;B22</f>
        <v>FORT LEWISCommercialFL001.0Y1W001</v>
      </c>
      <c r="B22" s="889" t="s">
        <v>2022</v>
      </c>
      <c r="C22" s="889" t="s">
        <v>2023</v>
      </c>
      <c r="D22" s="889" t="s">
        <v>411</v>
      </c>
      <c r="E22" s="883">
        <v>33000</v>
      </c>
      <c r="F22" s="904">
        <v>75.41</v>
      </c>
      <c r="G22" s="904">
        <v>76.75</v>
      </c>
      <c r="H22" s="904"/>
      <c r="I22" s="904">
        <v>490.17</v>
      </c>
      <c r="J22" s="904">
        <v>452.46</v>
      </c>
      <c r="K22" s="904">
        <v>527.87</v>
      </c>
      <c r="L22" s="904">
        <v>537.25</v>
      </c>
      <c r="M22" s="904">
        <v>652.37</v>
      </c>
      <c r="N22" s="904">
        <v>675.4</v>
      </c>
      <c r="O22" s="904">
        <v>690.75</v>
      </c>
      <c r="P22" s="904">
        <v>748.31</v>
      </c>
      <c r="Q22" s="904">
        <v>767.5</v>
      </c>
      <c r="R22" s="904">
        <v>690.75</v>
      </c>
      <c r="S22" s="904">
        <v>782.85</v>
      </c>
      <c r="T22" s="904">
        <v>844.25</v>
      </c>
      <c r="U22" s="957">
        <f t="shared" ref="U22:U36" si="5">SUM(I22:T22)</f>
        <v>7859.93</v>
      </c>
      <c r="V22" s="905"/>
      <c r="W22" s="906">
        <f t="shared" ref="W22:Y38" si="6">IFERROR(I22/$F22,0)</f>
        <v>6.5000663042036866</v>
      </c>
      <c r="X22" s="906">
        <f t="shared" si="6"/>
        <v>6</v>
      </c>
      <c r="Y22" s="906">
        <f t="shared" si="6"/>
        <v>7</v>
      </c>
      <c r="Z22" s="909">
        <f t="shared" ref="Z22:AH38" si="7">IFERROR(L22/$G22,0)</f>
        <v>7</v>
      </c>
      <c r="AA22" s="909">
        <f t="shared" si="7"/>
        <v>8.4999348534201946</v>
      </c>
      <c r="AB22" s="909">
        <f t="shared" si="7"/>
        <v>8.7999999999999989</v>
      </c>
      <c r="AC22" s="909">
        <f t="shared" si="7"/>
        <v>9</v>
      </c>
      <c r="AD22" s="909">
        <f t="shared" si="7"/>
        <v>9.7499674267100964</v>
      </c>
      <c r="AE22" s="909">
        <f t="shared" si="7"/>
        <v>10</v>
      </c>
      <c r="AF22" s="909">
        <f t="shared" si="7"/>
        <v>9</v>
      </c>
      <c r="AG22" s="909">
        <f t="shared" si="7"/>
        <v>10.200000000000001</v>
      </c>
      <c r="AH22" s="909">
        <f t="shared" si="7"/>
        <v>11</v>
      </c>
      <c r="AI22" s="907">
        <f t="shared" ref="AI22:AI55" si="8">AVERAGE(W22:AH22)</f>
        <v>8.5624973820278303</v>
      </c>
      <c r="AL22" s="1140">
        <f ca="1">G22*$AP$2</f>
        <v>-17.097688709095355</v>
      </c>
      <c r="AN22" s="1140">
        <f ca="1">AI22*AL22*12</f>
        <v>-1756.786977724269</v>
      </c>
      <c r="AP22" s="1140">
        <f ca="1">G22+AL22</f>
        <v>59.652311290904649</v>
      </c>
      <c r="AR22" s="1140">
        <f ca="1">U22+AN22</f>
        <v>6103.1430222757317</v>
      </c>
    </row>
    <row r="23" spans="1:44">
      <c r="A23" s="884" t="str">
        <f t="shared" si="4"/>
        <v>FORT LEWISCommercialFL001.5Y1W001</v>
      </c>
      <c r="B23" s="889" t="s">
        <v>2028</v>
      </c>
      <c r="C23" s="889" t="s">
        <v>2029</v>
      </c>
      <c r="D23" s="889" t="s">
        <v>411</v>
      </c>
      <c r="E23" s="883">
        <v>33000</v>
      </c>
      <c r="F23" s="904">
        <v>103.34</v>
      </c>
      <c r="G23" s="904">
        <v>105.29</v>
      </c>
      <c r="H23" s="904"/>
      <c r="I23" s="904">
        <v>413.36</v>
      </c>
      <c r="J23" s="904">
        <v>413.36</v>
      </c>
      <c r="K23" s="904">
        <v>413.36</v>
      </c>
      <c r="L23" s="904">
        <v>421.16</v>
      </c>
      <c r="M23" s="904">
        <v>315.87</v>
      </c>
      <c r="N23" s="904">
        <v>315.87</v>
      </c>
      <c r="O23" s="904">
        <v>315.87</v>
      </c>
      <c r="P23" s="904">
        <v>289.55</v>
      </c>
      <c r="Q23" s="904">
        <v>315.87</v>
      </c>
      <c r="R23" s="904">
        <v>315.87</v>
      </c>
      <c r="S23" s="904">
        <v>315.87</v>
      </c>
      <c r="T23" s="904">
        <v>315.87</v>
      </c>
      <c r="U23" s="957">
        <f t="shared" si="5"/>
        <v>4161.88</v>
      </c>
      <c r="V23" s="905"/>
      <c r="W23" s="906">
        <f t="shared" si="6"/>
        <v>4</v>
      </c>
      <c r="X23" s="906">
        <f t="shared" si="6"/>
        <v>4</v>
      </c>
      <c r="Y23" s="906">
        <f t="shared" si="6"/>
        <v>4</v>
      </c>
      <c r="Z23" s="909">
        <f t="shared" si="7"/>
        <v>4</v>
      </c>
      <c r="AA23" s="909">
        <f t="shared" si="7"/>
        <v>3</v>
      </c>
      <c r="AB23" s="909">
        <f t="shared" si="7"/>
        <v>3</v>
      </c>
      <c r="AC23" s="909">
        <f t="shared" si="7"/>
        <v>3</v>
      </c>
      <c r="AD23" s="909">
        <f t="shared" si="7"/>
        <v>2.7500237439452939</v>
      </c>
      <c r="AE23" s="909">
        <f t="shared" si="7"/>
        <v>3</v>
      </c>
      <c r="AF23" s="909">
        <f t="shared" si="7"/>
        <v>3</v>
      </c>
      <c r="AG23" s="909">
        <f t="shared" si="7"/>
        <v>3</v>
      </c>
      <c r="AH23" s="909">
        <f t="shared" si="7"/>
        <v>3</v>
      </c>
      <c r="AI23" s="907">
        <f t="shared" si="8"/>
        <v>3.3125019786621075</v>
      </c>
      <c r="AL23" s="1140">
        <f t="shared" ref="AL23:AL54" ca="1" si="9">G23*$AP$2</f>
        <v>-23.455578425806515</v>
      </c>
      <c r="AN23" s="1140">
        <f t="shared" ref="AN23:AN55" ca="1" si="10">AI23*AL23*12</f>
        <v>-932.35979935377986</v>
      </c>
      <c r="AP23" s="1140">
        <f t="shared" ref="AP23:AP55" ca="1" si="11">G23+AL23</f>
        <v>81.834421574193499</v>
      </c>
      <c r="AR23" s="1140">
        <f t="shared" ref="AR23:AR55" ca="1" si="12">U23+AN23</f>
        <v>3229.5202006462205</v>
      </c>
    </row>
    <row r="24" spans="1:44">
      <c r="A24" s="884" t="str">
        <f t="shared" si="4"/>
        <v>FORT LEWISCommercialFL001.5Y2W001</v>
      </c>
      <c r="B24" s="889" t="s">
        <v>2030</v>
      </c>
      <c r="C24" s="889" t="s">
        <v>2031</v>
      </c>
      <c r="D24" s="889" t="s">
        <v>411</v>
      </c>
      <c r="E24" s="883">
        <v>33000</v>
      </c>
      <c r="F24" s="904">
        <v>188.73</v>
      </c>
      <c r="G24" s="904">
        <v>192.62</v>
      </c>
      <c r="H24" s="904"/>
      <c r="I24" s="904">
        <v>566.19000000000005</v>
      </c>
      <c r="J24" s="904">
        <v>566.19000000000005</v>
      </c>
      <c r="K24" s="904">
        <v>566.19000000000005</v>
      </c>
      <c r="L24" s="904">
        <v>577.86</v>
      </c>
      <c r="M24" s="904">
        <v>577.86</v>
      </c>
      <c r="N24" s="904">
        <v>577.86</v>
      </c>
      <c r="O24" s="904">
        <v>577.86</v>
      </c>
      <c r="P24" s="904">
        <v>577.86</v>
      </c>
      <c r="Q24" s="904">
        <v>577.86</v>
      </c>
      <c r="R24" s="904">
        <v>577.86</v>
      </c>
      <c r="S24" s="904">
        <v>577.86</v>
      </c>
      <c r="T24" s="904">
        <v>577.86</v>
      </c>
      <c r="U24" s="957">
        <f t="shared" si="5"/>
        <v>6899.3099999999995</v>
      </c>
      <c r="V24" s="905"/>
      <c r="W24" s="906">
        <f t="shared" si="6"/>
        <v>3.0000000000000004</v>
      </c>
      <c r="X24" s="906">
        <f t="shared" si="6"/>
        <v>3.0000000000000004</v>
      </c>
      <c r="Y24" s="906">
        <f t="shared" si="6"/>
        <v>3.0000000000000004</v>
      </c>
      <c r="Z24" s="909">
        <f t="shared" si="7"/>
        <v>3</v>
      </c>
      <c r="AA24" s="909">
        <f t="shared" si="7"/>
        <v>3</v>
      </c>
      <c r="AB24" s="909">
        <f t="shared" si="7"/>
        <v>3</v>
      </c>
      <c r="AC24" s="909">
        <f t="shared" si="7"/>
        <v>3</v>
      </c>
      <c r="AD24" s="909">
        <f t="shared" si="7"/>
        <v>3</v>
      </c>
      <c r="AE24" s="909">
        <f t="shared" si="7"/>
        <v>3</v>
      </c>
      <c r="AF24" s="909">
        <f t="shared" si="7"/>
        <v>3</v>
      </c>
      <c r="AG24" s="909">
        <f t="shared" si="7"/>
        <v>3</v>
      </c>
      <c r="AH24" s="909">
        <f t="shared" si="7"/>
        <v>3</v>
      </c>
      <c r="AI24" s="907">
        <f t="shared" si="8"/>
        <v>3</v>
      </c>
      <c r="AL24" s="1140">
        <f t="shared" ca="1" si="9"/>
        <v>-42.910186308090523</v>
      </c>
      <c r="AN24" s="1140">
        <f t="shared" ca="1" si="10"/>
        <v>-1544.7667070912589</v>
      </c>
      <c r="AP24" s="1140">
        <f t="shared" ca="1" si="11"/>
        <v>149.70981369190949</v>
      </c>
      <c r="AR24" s="1140">
        <f t="shared" ca="1" si="12"/>
        <v>5354.5432929087401</v>
      </c>
    </row>
    <row r="25" spans="1:44">
      <c r="A25" s="884" t="str">
        <f t="shared" si="4"/>
        <v>FORT LEWISCommercialFL001.5Y3W001</v>
      </c>
      <c r="B25" s="889" t="s">
        <v>2032</v>
      </c>
      <c r="C25" s="889" t="s">
        <v>2033</v>
      </c>
      <c r="D25" s="889" t="s">
        <v>411</v>
      </c>
      <c r="E25" s="883">
        <v>33000</v>
      </c>
      <c r="F25" s="904">
        <v>274.11</v>
      </c>
      <c r="G25" s="904">
        <v>279.95999999999998</v>
      </c>
      <c r="H25" s="904"/>
      <c r="I25" s="904">
        <v>822.33</v>
      </c>
      <c r="J25" s="904">
        <v>822.33</v>
      </c>
      <c r="K25" s="904">
        <v>822.33</v>
      </c>
      <c r="L25" s="904">
        <v>839.88</v>
      </c>
      <c r="M25" s="904">
        <v>839.88</v>
      </c>
      <c r="N25" s="904">
        <v>839.88</v>
      </c>
      <c r="O25" s="904">
        <v>839.88</v>
      </c>
      <c r="P25" s="904">
        <v>839.88</v>
      </c>
      <c r="Q25" s="904">
        <v>839.88</v>
      </c>
      <c r="R25" s="904">
        <v>839.88</v>
      </c>
      <c r="S25" s="904">
        <v>839.88</v>
      </c>
      <c r="T25" s="904">
        <v>839.88</v>
      </c>
      <c r="U25" s="957">
        <f t="shared" si="5"/>
        <v>10025.909999999998</v>
      </c>
      <c r="V25" s="905"/>
      <c r="W25" s="906">
        <f t="shared" si="6"/>
        <v>3</v>
      </c>
      <c r="X25" s="906">
        <f t="shared" si="6"/>
        <v>3</v>
      </c>
      <c r="Y25" s="906">
        <f t="shared" si="6"/>
        <v>3</v>
      </c>
      <c r="Z25" s="909">
        <f t="shared" si="7"/>
        <v>3</v>
      </c>
      <c r="AA25" s="909">
        <f t="shared" si="7"/>
        <v>3</v>
      </c>
      <c r="AB25" s="909">
        <f t="shared" si="7"/>
        <v>3</v>
      </c>
      <c r="AC25" s="909">
        <f t="shared" si="7"/>
        <v>3</v>
      </c>
      <c r="AD25" s="909">
        <f t="shared" si="7"/>
        <v>3</v>
      </c>
      <c r="AE25" s="909">
        <f t="shared" si="7"/>
        <v>3</v>
      </c>
      <c r="AF25" s="909">
        <f t="shared" si="7"/>
        <v>3</v>
      </c>
      <c r="AG25" s="909">
        <f t="shared" si="7"/>
        <v>3</v>
      </c>
      <c r="AH25" s="909">
        <f t="shared" si="7"/>
        <v>3</v>
      </c>
      <c r="AI25" s="907">
        <f t="shared" si="8"/>
        <v>3</v>
      </c>
      <c r="AL25" s="1140">
        <f t="shared" ca="1" si="9"/>
        <v>-62.367021902258443</v>
      </c>
      <c r="AN25" s="1140">
        <f t="shared" ca="1" si="10"/>
        <v>-2245.212788481304</v>
      </c>
      <c r="AP25" s="1140">
        <f t="shared" ca="1" si="11"/>
        <v>217.59297809774154</v>
      </c>
      <c r="AR25" s="1140">
        <f t="shared" ca="1" si="12"/>
        <v>7780.6972115186945</v>
      </c>
    </row>
    <row r="26" spans="1:44">
      <c r="A26" s="884" t="str">
        <f t="shared" si="4"/>
        <v>FORT LEWISCommercialFL001.5Y4W001</v>
      </c>
      <c r="B26" s="889" t="s">
        <v>2340</v>
      </c>
      <c r="C26" s="889" t="s">
        <v>2341</v>
      </c>
      <c r="D26" s="889"/>
      <c r="F26" s="904">
        <v>359.5</v>
      </c>
      <c r="G26" s="904">
        <v>367.29</v>
      </c>
      <c r="H26" s="904"/>
      <c r="I26" s="904">
        <v>359.5</v>
      </c>
      <c r="J26" s="904">
        <v>359.5</v>
      </c>
      <c r="K26" s="904">
        <v>359.5</v>
      </c>
      <c r="L26" s="904">
        <v>367.29</v>
      </c>
      <c r="M26" s="904">
        <v>367.29</v>
      </c>
      <c r="N26" s="904">
        <v>367.29</v>
      </c>
      <c r="O26" s="904">
        <v>367.29</v>
      </c>
      <c r="P26" s="904">
        <v>367.29</v>
      </c>
      <c r="Q26" s="904">
        <v>367.29</v>
      </c>
      <c r="R26" s="904">
        <v>367.29</v>
      </c>
      <c r="S26" s="904">
        <v>367.29</v>
      </c>
      <c r="T26" s="904">
        <v>367.29</v>
      </c>
      <c r="U26" s="957">
        <f t="shared" si="5"/>
        <v>4384.1099999999997</v>
      </c>
      <c r="V26" s="905"/>
      <c r="W26" s="906">
        <f t="shared" si="6"/>
        <v>1</v>
      </c>
      <c r="X26" s="906">
        <f t="shared" si="6"/>
        <v>1</v>
      </c>
      <c r="Y26" s="906">
        <f t="shared" si="6"/>
        <v>1</v>
      </c>
      <c r="Z26" s="909">
        <f t="shared" si="7"/>
        <v>1</v>
      </c>
      <c r="AA26" s="909">
        <f t="shared" si="7"/>
        <v>1</v>
      </c>
      <c r="AB26" s="909">
        <f t="shared" si="7"/>
        <v>1</v>
      </c>
      <c r="AC26" s="909">
        <f t="shared" si="7"/>
        <v>1</v>
      </c>
      <c r="AD26" s="909">
        <f t="shared" si="7"/>
        <v>1</v>
      </c>
      <c r="AE26" s="909">
        <f t="shared" si="7"/>
        <v>1</v>
      </c>
      <c r="AF26" s="909">
        <f t="shared" si="7"/>
        <v>1</v>
      </c>
      <c r="AG26" s="909">
        <f t="shared" si="7"/>
        <v>1</v>
      </c>
      <c r="AH26" s="909">
        <f t="shared" si="7"/>
        <v>1</v>
      </c>
      <c r="AI26" s="907">
        <f t="shared" si="8"/>
        <v>1</v>
      </c>
      <c r="AL26" s="1140">
        <f t="shared" ca="1" si="9"/>
        <v>-81.821629784542452</v>
      </c>
      <c r="AN26" s="1140">
        <f t="shared" ca="1" si="10"/>
        <v>-981.85955741450948</v>
      </c>
      <c r="AP26" s="1140">
        <f t="shared" ca="1" si="11"/>
        <v>285.46837021545758</v>
      </c>
      <c r="AR26" s="1140">
        <f t="shared" ca="1" si="12"/>
        <v>3402.2504425854904</v>
      </c>
    </row>
    <row r="27" spans="1:44">
      <c r="A27" s="884" t="str">
        <f t="shared" si="4"/>
        <v>FORT LEWISCommercialFL001.5Y5W001</v>
      </c>
      <c r="B27" s="889" t="s">
        <v>2342</v>
      </c>
      <c r="C27" s="889" t="s">
        <v>2343</v>
      </c>
      <c r="D27" s="889"/>
      <c r="F27" s="904">
        <v>444.89</v>
      </c>
      <c r="G27" s="904">
        <v>454.63</v>
      </c>
      <c r="H27" s="904"/>
      <c r="I27" s="904">
        <v>3114.23</v>
      </c>
      <c r="J27" s="904">
        <v>3114.23</v>
      </c>
      <c r="K27" s="904">
        <v>3114.23</v>
      </c>
      <c r="L27" s="904">
        <v>3182.41</v>
      </c>
      <c r="M27" s="904">
        <v>3182.41</v>
      </c>
      <c r="N27" s="904">
        <v>3182.41</v>
      </c>
      <c r="O27" s="904">
        <v>3182.41</v>
      </c>
      <c r="P27" s="904">
        <v>3182.41</v>
      </c>
      <c r="Q27" s="904">
        <v>3182.41</v>
      </c>
      <c r="R27" s="904">
        <v>3182.41</v>
      </c>
      <c r="S27" s="904">
        <v>3182.41</v>
      </c>
      <c r="T27" s="904">
        <v>3182.41</v>
      </c>
      <c r="U27" s="957">
        <f t="shared" si="5"/>
        <v>37984.380000000005</v>
      </c>
      <c r="V27" s="905"/>
      <c r="W27" s="906">
        <f t="shared" si="6"/>
        <v>7</v>
      </c>
      <c r="X27" s="906">
        <f t="shared" si="6"/>
        <v>7</v>
      </c>
      <c r="Y27" s="906">
        <f t="shared" si="6"/>
        <v>7</v>
      </c>
      <c r="Z27" s="909">
        <f t="shared" si="7"/>
        <v>7</v>
      </c>
      <c r="AA27" s="909">
        <f t="shared" si="7"/>
        <v>7</v>
      </c>
      <c r="AB27" s="909">
        <f t="shared" si="7"/>
        <v>7</v>
      </c>
      <c r="AC27" s="909">
        <f t="shared" si="7"/>
        <v>7</v>
      </c>
      <c r="AD27" s="909">
        <f t="shared" si="7"/>
        <v>7</v>
      </c>
      <c r="AE27" s="909">
        <f t="shared" si="7"/>
        <v>7</v>
      </c>
      <c r="AF27" s="909">
        <f t="shared" si="7"/>
        <v>7</v>
      </c>
      <c r="AG27" s="909">
        <f t="shared" si="7"/>
        <v>7</v>
      </c>
      <c r="AH27" s="909">
        <f t="shared" si="7"/>
        <v>7</v>
      </c>
      <c r="AI27" s="907">
        <f t="shared" si="8"/>
        <v>7</v>
      </c>
      <c r="AL27" s="1140">
        <f t="shared" ca="1" si="9"/>
        <v>-101.27846537871038</v>
      </c>
      <c r="AN27" s="1140">
        <f t="shared" ca="1" si="10"/>
        <v>-8507.3910918116708</v>
      </c>
      <c r="AP27" s="1140">
        <f t="shared" ca="1" si="11"/>
        <v>353.3515346212896</v>
      </c>
      <c r="AR27" s="1140">
        <f t="shared" ca="1" si="12"/>
        <v>29476.988908188334</v>
      </c>
    </row>
    <row r="28" spans="1:44">
      <c r="A28" s="884" t="str">
        <f t="shared" si="4"/>
        <v>FORT LEWISCommercialFL002.0Y1W001</v>
      </c>
      <c r="B28" s="889" t="s">
        <v>2034</v>
      </c>
      <c r="C28" s="889" t="s">
        <v>2035</v>
      </c>
      <c r="D28" s="889" t="s">
        <v>411</v>
      </c>
      <c r="E28" s="883">
        <v>33000</v>
      </c>
      <c r="F28" s="904">
        <v>131.85</v>
      </c>
      <c r="G28" s="904">
        <v>134.36000000000001</v>
      </c>
      <c r="H28" s="904"/>
      <c r="I28" s="904">
        <v>1977.75</v>
      </c>
      <c r="J28" s="904">
        <v>1845.9</v>
      </c>
      <c r="K28" s="904">
        <v>1845.9</v>
      </c>
      <c r="L28" s="904">
        <v>1679.5</v>
      </c>
      <c r="M28" s="904">
        <v>1343.6</v>
      </c>
      <c r="N28" s="904">
        <v>1262.98</v>
      </c>
      <c r="O28" s="904">
        <v>1343.6</v>
      </c>
      <c r="P28" s="904">
        <v>1343.6</v>
      </c>
      <c r="Q28" s="904">
        <v>1343.6</v>
      </c>
      <c r="R28" s="904">
        <v>1377.19</v>
      </c>
      <c r="S28" s="904">
        <v>1477.96</v>
      </c>
      <c r="T28" s="904">
        <v>1477.96</v>
      </c>
      <c r="U28" s="957">
        <f t="shared" si="5"/>
        <v>18319.54</v>
      </c>
      <c r="V28" s="905"/>
      <c r="W28" s="906">
        <f t="shared" si="6"/>
        <v>15</v>
      </c>
      <c r="X28" s="906">
        <f t="shared" si="6"/>
        <v>14.000000000000002</v>
      </c>
      <c r="Y28" s="906">
        <f t="shared" si="6"/>
        <v>14.000000000000002</v>
      </c>
      <c r="Z28" s="909">
        <f t="shared" si="7"/>
        <v>12.499999999999998</v>
      </c>
      <c r="AA28" s="909">
        <f t="shared" si="7"/>
        <v>9.9999999999999982</v>
      </c>
      <c r="AB28" s="909">
        <f t="shared" si="7"/>
        <v>9.3999702292348903</v>
      </c>
      <c r="AC28" s="909">
        <f t="shared" si="7"/>
        <v>9.9999999999999982</v>
      </c>
      <c r="AD28" s="909">
        <f t="shared" si="7"/>
        <v>9.9999999999999982</v>
      </c>
      <c r="AE28" s="909">
        <f t="shared" si="7"/>
        <v>9.9999999999999982</v>
      </c>
      <c r="AF28" s="909">
        <f t="shared" si="7"/>
        <v>10.25</v>
      </c>
      <c r="AG28" s="909">
        <f t="shared" si="7"/>
        <v>11</v>
      </c>
      <c r="AH28" s="909">
        <f t="shared" si="7"/>
        <v>11</v>
      </c>
      <c r="AI28" s="907">
        <f t="shared" si="8"/>
        <v>11.429164185769574</v>
      </c>
      <c r="AL28" s="1140">
        <f t="shared" ca="1" si="9"/>
        <v>-29.931536872365502</v>
      </c>
      <c r="AN28" s="1140">
        <f t="shared" ca="1" si="10"/>
        <v>-4105.109390960175</v>
      </c>
      <c r="AP28" s="1140">
        <f t="shared" ca="1" si="11"/>
        <v>104.42846312763452</v>
      </c>
      <c r="AR28" s="1140">
        <f t="shared" ca="1" si="12"/>
        <v>14214.430609039826</v>
      </c>
    </row>
    <row r="29" spans="1:44">
      <c r="A29" s="884" t="str">
        <f t="shared" si="4"/>
        <v>FORT LEWISCommercialFL002.0Y3W001</v>
      </c>
      <c r="B29" s="889" t="s">
        <v>2038</v>
      </c>
      <c r="C29" s="889" t="s">
        <v>2039</v>
      </c>
      <c r="D29" s="889" t="s">
        <v>411</v>
      </c>
      <c r="E29" s="883">
        <v>33000</v>
      </c>
      <c r="F29" s="904">
        <v>357.53</v>
      </c>
      <c r="G29" s="904">
        <v>365.06</v>
      </c>
      <c r="H29" s="904"/>
      <c r="I29" s="904">
        <v>1072.5899999999999</v>
      </c>
      <c r="J29" s="904">
        <v>1072.5899999999999</v>
      </c>
      <c r="K29" s="904">
        <v>1072.5899999999999</v>
      </c>
      <c r="L29" s="904">
        <v>1095.18</v>
      </c>
      <c r="M29" s="904">
        <v>1095.18</v>
      </c>
      <c r="N29" s="904">
        <v>1095.18</v>
      </c>
      <c r="O29" s="904">
        <v>1095.18</v>
      </c>
      <c r="P29" s="904">
        <v>1460.24</v>
      </c>
      <c r="Q29" s="904">
        <v>1460.24</v>
      </c>
      <c r="R29" s="904">
        <v>1460.24</v>
      </c>
      <c r="S29" s="904">
        <v>1460.24</v>
      </c>
      <c r="T29" s="904">
        <v>1460.24</v>
      </c>
      <c r="U29" s="957">
        <f t="shared" si="5"/>
        <v>14899.69</v>
      </c>
      <c r="V29" s="905"/>
      <c r="W29" s="906">
        <f t="shared" si="6"/>
        <v>3</v>
      </c>
      <c r="X29" s="906">
        <f t="shared" si="6"/>
        <v>3</v>
      </c>
      <c r="Y29" s="906">
        <f t="shared" si="6"/>
        <v>3</v>
      </c>
      <c r="Z29" s="909">
        <f t="shared" si="7"/>
        <v>3</v>
      </c>
      <c r="AA29" s="909">
        <f t="shared" si="7"/>
        <v>3</v>
      </c>
      <c r="AB29" s="909">
        <f t="shared" si="7"/>
        <v>3</v>
      </c>
      <c r="AC29" s="909">
        <f t="shared" si="7"/>
        <v>3</v>
      </c>
      <c r="AD29" s="909">
        <f t="shared" si="7"/>
        <v>4</v>
      </c>
      <c r="AE29" s="909">
        <f t="shared" si="7"/>
        <v>4</v>
      </c>
      <c r="AF29" s="909">
        <f t="shared" si="7"/>
        <v>4</v>
      </c>
      <c r="AG29" s="909">
        <f t="shared" si="7"/>
        <v>4</v>
      </c>
      <c r="AH29" s="909">
        <f t="shared" si="7"/>
        <v>4</v>
      </c>
      <c r="AI29" s="907">
        <f t="shared" si="8"/>
        <v>3.4166666666666665</v>
      </c>
      <c r="AL29" s="1140">
        <f t="shared" ca="1" si="9"/>
        <v>-81.324850034428025</v>
      </c>
      <c r="AN29" s="1140">
        <f t="shared" ca="1" si="10"/>
        <v>-3334.3188514115491</v>
      </c>
      <c r="AP29" s="1140">
        <f t="shared" ca="1" si="11"/>
        <v>283.73514996557196</v>
      </c>
      <c r="AR29" s="1140">
        <f t="shared" ca="1" si="12"/>
        <v>11565.371148588452</v>
      </c>
    </row>
    <row r="30" spans="1:44">
      <c r="A30" s="884" t="str">
        <f t="shared" si="4"/>
        <v>FORT LEWISCommercialFL002.0Y5W001</v>
      </c>
      <c r="B30" s="889" t="s">
        <v>2344</v>
      </c>
      <c r="C30" s="889" t="s">
        <v>2345</v>
      </c>
      <c r="D30" s="889"/>
      <c r="F30" s="904">
        <v>583.21</v>
      </c>
      <c r="G30" s="904">
        <v>595.77</v>
      </c>
      <c r="H30" s="904"/>
      <c r="I30" s="904">
        <v>1166.42</v>
      </c>
      <c r="J30" s="904">
        <v>1166.42</v>
      </c>
      <c r="K30" s="904">
        <v>1166.42</v>
      </c>
      <c r="L30" s="904">
        <v>1191.54</v>
      </c>
      <c r="M30" s="904">
        <v>1191.54</v>
      </c>
      <c r="N30" s="904">
        <v>953.23</v>
      </c>
      <c r="O30" s="904">
        <v>595.77</v>
      </c>
      <c r="P30" s="904">
        <v>595.77</v>
      </c>
      <c r="Q30" s="904">
        <v>595.77</v>
      </c>
      <c r="R30" s="904">
        <v>595.77</v>
      </c>
      <c r="S30" s="904">
        <v>595.77</v>
      </c>
      <c r="T30" s="904">
        <v>595.77</v>
      </c>
      <c r="U30" s="957">
        <f t="shared" si="5"/>
        <v>10410.190000000002</v>
      </c>
      <c r="V30" s="905"/>
      <c r="W30" s="906">
        <f t="shared" si="6"/>
        <v>2</v>
      </c>
      <c r="X30" s="906">
        <f t="shared" si="6"/>
        <v>2</v>
      </c>
      <c r="Y30" s="906">
        <f t="shared" si="6"/>
        <v>2</v>
      </c>
      <c r="Z30" s="909">
        <f t="shared" si="7"/>
        <v>2</v>
      </c>
      <c r="AA30" s="909">
        <f t="shared" si="7"/>
        <v>2</v>
      </c>
      <c r="AB30" s="909">
        <f t="shared" si="7"/>
        <v>1.5999966429998154</v>
      </c>
      <c r="AC30" s="909">
        <f t="shared" si="7"/>
        <v>1</v>
      </c>
      <c r="AD30" s="909">
        <f t="shared" si="7"/>
        <v>1</v>
      </c>
      <c r="AE30" s="909">
        <f t="shared" si="7"/>
        <v>1</v>
      </c>
      <c r="AF30" s="909">
        <f t="shared" si="7"/>
        <v>1</v>
      </c>
      <c r="AG30" s="909">
        <f t="shared" si="7"/>
        <v>1</v>
      </c>
      <c r="AH30" s="909">
        <f t="shared" si="7"/>
        <v>1</v>
      </c>
      <c r="AI30" s="907">
        <f t="shared" si="8"/>
        <v>1.4666663869166514</v>
      </c>
      <c r="AL30" s="1140">
        <f t="shared" ca="1" si="9"/>
        <v>-132.72039090837447</v>
      </c>
      <c r="AN30" s="1140">
        <f t="shared" ca="1" si="10"/>
        <v>-2335.8784344450141</v>
      </c>
      <c r="AP30" s="1140">
        <f t="shared" ca="1" si="11"/>
        <v>463.04960909162548</v>
      </c>
      <c r="AR30" s="1140">
        <f t="shared" ca="1" si="12"/>
        <v>8074.3115655549882</v>
      </c>
    </row>
    <row r="31" spans="1:44">
      <c r="A31" s="884" t="str">
        <f t="shared" si="4"/>
        <v>FORT LEWISCommercialFL003.0Y1W001</v>
      </c>
      <c r="B31" s="889" t="s">
        <v>2040</v>
      </c>
      <c r="C31" s="889" t="s">
        <v>2041</v>
      </c>
      <c r="D31" s="889" t="s">
        <v>411</v>
      </c>
      <c r="E31" s="883">
        <v>33000</v>
      </c>
      <c r="F31" s="904">
        <v>180.63</v>
      </c>
      <c r="G31" s="904">
        <v>184.31</v>
      </c>
      <c r="H31" s="904"/>
      <c r="I31" s="904">
        <v>903.15</v>
      </c>
      <c r="J31" s="904">
        <v>903.15</v>
      </c>
      <c r="K31" s="904">
        <v>903.15</v>
      </c>
      <c r="L31" s="904">
        <v>1013.71</v>
      </c>
      <c r="M31" s="904">
        <v>1105.8599999999999</v>
      </c>
      <c r="N31" s="904">
        <v>1216.45</v>
      </c>
      <c r="O31" s="904">
        <v>1290.17</v>
      </c>
      <c r="P31" s="904">
        <v>1290.17</v>
      </c>
      <c r="Q31" s="904">
        <v>1290.17</v>
      </c>
      <c r="R31" s="904">
        <v>1290.17</v>
      </c>
      <c r="S31" s="904">
        <v>1290.17</v>
      </c>
      <c r="T31" s="904">
        <v>1105.8599999999999</v>
      </c>
      <c r="U31" s="957">
        <f t="shared" si="5"/>
        <v>13602.18</v>
      </c>
      <c r="V31" s="905"/>
      <c r="W31" s="906">
        <f t="shared" si="6"/>
        <v>5</v>
      </c>
      <c r="X31" s="906">
        <f t="shared" si="6"/>
        <v>5</v>
      </c>
      <c r="Y31" s="906">
        <f t="shared" si="6"/>
        <v>5</v>
      </c>
      <c r="Z31" s="909">
        <f t="shared" si="7"/>
        <v>5.5000271282079103</v>
      </c>
      <c r="AA31" s="909">
        <f t="shared" si="7"/>
        <v>5.9999999999999991</v>
      </c>
      <c r="AB31" s="909">
        <f t="shared" si="7"/>
        <v>6.6000217025663286</v>
      </c>
      <c r="AC31" s="909">
        <f t="shared" si="7"/>
        <v>7</v>
      </c>
      <c r="AD31" s="909">
        <f t="shared" si="7"/>
        <v>7</v>
      </c>
      <c r="AE31" s="909">
        <f t="shared" si="7"/>
        <v>7</v>
      </c>
      <c r="AF31" s="909">
        <f t="shared" si="7"/>
        <v>7</v>
      </c>
      <c r="AG31" s="909">
        <f t="shared" si="7"/>
        <v>7</v>
      </c>
      <c r="AH31" s="909">
        <f t="shared" si="7"/>
        <v>5.9999999999999991</v>
      </c>
      <c r="AI31" s="907">
        <f t="shared" si="8"/>
        <v>6.1750040692311865</v>
      </c>
      <c r="AL31" s="1140">
        <f t="shared" ca="1" si="9"/>
        <v>-41.058957732551988</v>
      </c>
      <c r="AN31" s="1140">
        <f t="shared" ca="1" si="10"/>
        <v>-3042.470772922798</v>
      </c>
      <c r="AP31" s="1140">
        <f t="shared" ca="1" si="11"/>
        <v>143.25104226744801</v>
      </c>
      <c r="AR31" s="1140">
        <f t="shared" ca="1" si="12"/>
        <v>10559.709227077203</v>
      </c>
    </row>
    <row r="32" spans="1:44">
      <c r="A32" s="884" t="str">
        <f t="shared" si="4"/>
        <v>FORT LEWISCommercialFL003.0Y2W001</v>
      </c>
      <c r="B32" s="889" t="s">
        <v>2042</v>
      </c>
      <c r="C32" s="889" t="s">
        <v>2043</v>
      </c>
      <c r="D32" s="889" t="s">
        <v>411</v>
      </c>
      <c r="E32" s="883">
        <v>33000</v>
      </c>
      <c r="F32" s="904">
        <v>337.5</v>
      </c>
      <c r="G32" s="904">
        <v>344.86</v>
      </c>
      <c r="H32" s="904"/>
      <c r="I32" s="904">
        <v>337.5</v>
      </c>
      <c r="J32" s="904">
        <v>337.5</v>
      </c>
      <c r="K32" s="904">
        <v>337.5</v>
      </c>
      <c r="L32" s="904">
        <v>344.86</v>
      </c>
      <c r="M32" s="904">
        <v>344.86</v>
      </c>
      <c r="N32" s="904">
        <v>344.86</v>
      </c>
      <c r="O32" s="904">
        <v>344.86</v>
      </c>
      <c r="P32" s="904">
        <v>344.86</v>
      </c>
      <c r="Q32" s="904">
        <v>344.86</v>
      </c>
      <c r="R32" s="904">
        <v>344.86</v>
      </c>
      <c r="S32" s="904">
        <v>344.86</v>
      </c>
      <c r="T32" s="904">
        <v>344.86</v>
      </c>
      <c r="U32" s="957">
        <f t="shared" si="5"/>
        <v>4116.2400000000007</v>
      </c>
      <c r="V32" s="905"/>
      <c r="W32" s="906">
        <f t="shared" si="6"/>
        <v>1</v>
      </c>
      <c r="X32" s="906">
        <f t="shared" si="6"/>
        <v>1</v>
      </c>
      <c r="Y32" s="906">
        <f t="shared" si="6"/>
        <v>1</v>
      </c>
      <c r="Z32" s="909">
        <f t="shared" si="7"/>
        <v>1</v>
      </c>
      <c r="AA32" s="909">
        <f t="shared" si="7"/>
        <v>1</v>
      </c>
      <c r="AB32" s="909">
        <f t="shared" si="7"/>
        <v>1</v>
      </c>
      <c r="AC32" s="909">
        <f t="shared" si="7"/>
        <v>1</v>
      </c>
      <c r="AD32" s="909">
        <f t="shared" si="7"/>
        <v>1</v>
      </c>
      <c r="AE32" s="909">
        <f t="shared" si="7"/>
        <v>1</v>
      </c>
      <c r="AF32" s="909">
        <f t="shared" si="7"/>
        <v>1</v>
      </c>
      <c r="AG32" s="909">
        <f t="shared" si="7"/>
        <v>1</v>
      </c>
      <c r="AH32" s="909">
        <f t="shared" si="7"/>
        <v>1</v>
      </c>
      <c r="AI32" s="907">
        <f t="shared" si="8"/>
        <v>1</v>
      </c>
      <c r="AL32" s="1140">
        <f t="shared" ca="1" si="9"/>
        <v>-76.824872028907166</v>
      </c>
      <c r="AN32" s="1140">
        <f t="shared" ca="1" si="10"/>
        <v>-921.89846434688593</v>
      </c>
      <c r="AP32" s="1140">
        <f t="shared" ca="1" si="11"/>
        <v>268.03512797109283</v>
      </c>
      <c r="AR32" s="1140">
        <f t="shared" ca="1" si="12"/>
        <v>3194.341535653115</v>
      </c>
    </row>
    <row r="33" spans="1:44">
      <c r="A33" s="884" t="str">
        <f t="shared" si="4"/>
        <v>FORT LEWISCommercialFL004.0Y1W001</v>
      </c>
      <c r="B33" s="889" t="s">
        <v>2047</v>
      </c>
      <c r="C33" s="889" t="s">
        <v>2048</v>
      </c>
      <c r="D33" s="889" t="s">
        <v>411</v>
      </c>
      <c r="E33" s="883">
        <v>33000</v>
      </c>
      <c r="F33" s="904">
        <v>240.15</v>
      </c>
      <c r="G33" s="904">
        <v>244.91</v>
      </c>
      <c r="H33" s="904"/>
      <c r="I33" s="904">
        <v>240.15</v>
      </c>
      <c r="J33" s="904">
        <v>240.15</v>
      </c>
      <c r="K33" s="904">
        <v>240.15</v>
      </c>
      <c r="L33" s="904">
        <v>244.91</v>
      </c>
      <c r="M33" s="904">
        <v>244.91</v>
      </c>
      <c r="N33" s="904">
        <v>244.91</v>
      </c>
      <c r="O33" s="904">
        <v>244.91</v>
      </c>
      <c r="P33" s="904">
        <v>428.59</v>
      </c>
      <c r="Q33" s="904">
        <v>391.86</v>
      </c>
      <c r="R33" s="904">
        <v>244.91</v>
      </c>
      <c r="S33" s="904">
        <v>244.91</v>
      </c>
      <c r="T33" s="904">
        <v>244.91</v>
      </c>
      <c r="U33" s="957">
        <f t="shared" si="5"/>
        <v>3255.27</v>
      </c>
      <c r="V33" s="905"/>
      <c r="W33" s="906">
        <f t="shared" si="6"/>
        <v>1</v>
      </c>
      <c r="X33" s="906">
        <f t="shared" si="6"/>
        <v>1</v>
      </c>
      <c r="Y33" s="906">
        <f t="shared" si="6"/>
        <v>1</v>
      </c>
      <c r="Z33" s="909">
        <f t="shared" si="7"/>
        <v>1</v>
      </c>
      <c r="AA33" s="909">
        <f t="shared" si="7"/>
        <v>1</v>
      </c>
      <c r="AB33" s="909">
        <f t="shared" si="7"/>
        <v>1</v>
      </c>
      <c r="AC33" s="909">
        <f t="shared" si="7"/>
        <v>1</v>
      </c>
      <c r="AD33" s="909">
        <f t="shared" si="7"/>
        <v>1.7499897921685517</v>
      </c>
      <c r="AE33" s="909">
        <f t="shared" si="7"/>
        <v>1.6000163325303174</v>
      </c>
      <c r="AF33" s="909">
        <f t="shared" si="7"/>
        <v>1</v>
      </c>
      <c r="AG33" s="909">
        <f t="shared" si="7"/>
        <v>1</v>
      </c>
      <c r="AH33" s="909">
        <f t="shared" si="7"/>
        <v>1</v>
      </c>
      <c r="AI33" s="907">
        <f t="shared" si="8"/>
        <v>1.1125005103915726</v>
      </c>
      <c r="AL33" s="1140">
        <f t="shared" ca="1" si="9"/>
        <v>-54.558891749114572</v>
      </c>
      <c r="AN33" s="1140">
        <f t="shared" ca="1" si="10"/>
        <v>-728.36153900746228</v>
      </c>
      <c r="AP33" s="1140">
        <f t="shared" ca="1" si="11"/>
        <v>190.35110825088543</v>
      </c>
      <c r="AR33" s="1140">
        <f t="shared" ca="1" si="12"/>
        <v>2526.9084609925376</v>
      </c>
    </row>
    <row r="34" spans="1:44">
      <c r="A34" s="884" t="str">
        <f t="shared" si="4"/>
        <v>FORT LEWISCommercialFL006.0Y1W001</v>
      </c>
      <c r="B34" s="889" t="s">
        <v>2057</v>
      </c>
      <c r="C34" s="889" t="s">
        <v>2058</v>
      </c>
      <c r="D34" s="889" t="s">
        <v>411</v>
      </c>
      <c r="E34" s="883">
        <v>33000</v>
      </c>
      <c r="F34" s="904">
        <v>322.57</v>
      </c>
      <c r="G34" s="904">
        <v>329.11</v>
      </c>
      <c r="H34" s="904"/>
      <c r="I34" s="904">
        <v>1129</v>
      </c>
      <c r="J34" s="904">
        <v>967.71</v>
      </c>
      <c r="K34" s="904">
        <v>967.71</v>
      </c>
      <c r="L34" s="904">
        <v>987.33</v>
      </c>
      <c r="M34" s="904">
        <v>1316.44</v>
      </c>
      <c r="N34" s="904">
        <v>1053.1500000000001</v>
      </c>
      <c r="O34" s="904">
        <v>987.33</v>
      </c>
      <c r="P34" s="904">
        <v>987.33</v>
      </c>
      <c r="Q34" s="904">
        <v>987.33</v>
      </c>
      <c r="R34" s="904">
        <v>987.33</v>
      </c>
      <c r="S34" s="904">
        <v>855.69</v>
      </c>
      <c r="T34" s="904">
        <v>822.78</v>
      </c>
      <c r="U34" s="957">
        <f t="shared" si="5"/>
        <v>12049.130000000001</v>
      </c>
      <c r="V34" s="905"/>
      <c r="W34" s="906">
        <f t="shared" si="6"/>
        <v>3.500015500511517</v>
      </c>
      <c r="X34" s="906">
        <f t="shared" si="6"/>
        <v>3</v>
      </c>
      <c r="Y34" s="906">
        <f t="shared" si="6"/>
        <v>3</v>
      </c>
      <c r="Z34" s="909">
        <f t="shared" si="7"/>
        <v>3</v>
      </c>
      <c r="AA34" s="909">
        <f t="shared" si="7"/>
        <v>4</v>
      </c>
      <c r="AB34" s="909">
        <f t="shared" si="7"/>
        <v>3.1999939230044667</v>
      </c>
      <c r="AC34" s="909">
        <f t="shared" si="7"/>
        <v>3</v>
      </c>
      <c r="AD34" s="909">
        <f t="shared" si="7"/>
        <v>3</v>
      </c>
      <c r="AE34" s="909">
        <f t="shared" si="7"/>
        <v>3</v>
      </c>
      <c r="AF34" s="909">
        <f t="shared" si="7"/>
        <v>3</v>
      </c>
      <c r="AG34" s="909">
        <f t="shared" si="7"/>
        <v>2.600012153991067</v>
      </c>
      <c r="AH34" s="909">
        <f t="shared" si="7"/>
        <v>2.5000151924888332</v>
      </c>
      <c r="AI34" s="907">
        <f t="shared" si="8"/>
        <v>3.0666697308329902</v>
      </c>
      <c r="AL34" s="1140">
        <f t="shared" ca="1" si="9"/>
        <v>-73.316225811731243</v>
      </c>
      <c r="AN34" s="1140">
        <f t="shared" ca="1" si="10"/>
        <v>-2698.039805709031</v>
      </c>
      <c r="AP34" s="1140">
        <f t="shared" ca="1" si="11"/>
        <v>255.79377418826877</v>
      </c>
      <c r="AR34" s="1140">
        <f t="shared" ca="1" si="12"/>
        <v>9351.0901942909695</v>
      </c>
    </row>
    <row r="35" spans="1:44">
      <c r="A35" s="884" t="str">
        <f t="shared" si="4"/>
        <v>FORT LEWISCommercialFL006.0Y2W001</v>
      </c>
      <c r="B35" s="889" t="s">
        <v>2059</v>
      </c>
      <c r="C35" s="889" t="s">
        <v>2060</v>
      </c>
      <c r="D35" s="889" t="s">
        <v>411</v>
      </c>
      <c r="E35" s="883">
        <v>33000</v>
      </c>
      <c r="F35" s="904">
        <v>613.46</v>
      </c>
      <c r="G35" s="904">
        <v>626.54</v>
      </c>
      <c r="H35" s="904"/>
      <c r="I35" s="904">
        <v>613.46</v>
      </c>
      <c r="J35" s="904">
        <v>613.46</v>
      </c>
      <c r="K35" s="904">
        <v>613.46</v>
      </c>
      <c r="L35" s="904">
        <v>613.46</v>
      </c>
      <c r="M35" s="904">
        <v>613.46</v>
      </c>
      <c r="N35" s="904">
        <v>613.46</v>
      </c>
      <c r="O35" s="904">
        <v>613.46</v>
      </c>
      <c r="P35" s="904">
        <v>613.46</v>
      </c>
      <c r="Q35" s="904">
        <v>626.54</v>
      </c>
      <c r="R35" s="904">
        <v>626.54</v>
      </c>
      <c r="S35" s="904">
        <v>626.54</v>
      </c>
      <c r="T35" s="904">
        <v>626.54</v>
      </c>
      <c r="U35" s="957">
        <f t="shared" si="5"/>
        <v>7413.84</v>
      </c>
      <c r="V35" s="905"/>
      <c r="W35" s="906">
        <f t="shared" si="6"/>
        <v>1</v>
      </c>
      <c r="X35" s="906">
        <f t="shared" si="6"/>
        <v>1</v>
      </c>
      <c r="Y35" s="906">
        <f t="shared" si="6"/>
        <v>1</v>
      </c>
      <c r="Z35" s="909">
        <f t="shared" si="7"/>
        <v>0.9791234398442239</v>
      </c>
      <c r="AA35" s="909">
        <f t="shared" si="7"/>
        <v>0.9791234398442239</v>
      </c>
      <c r="AB35" s="909">
        <f t="shared" si="7"/>
        <v>0.9791234398442239</v>
      </c>
      <c r="AC35" s="909">
        <f t="shared" si="7"/>
        <v>0.9791234398442239</v>
      </c>
      <c r="AD35" s="909">
        <f t="shared" si="7"/>
        <v>0.9791234398442239</v>
      </c>
      <c r="AE35" s="909">
        <f t="shared" si="7"/>
        <v>1</v>
      </c>
      <c r="AF35" s="909">
        <f t="shared" si="7"/>
        <v>1</v>
      </c>
      <c r="AG35" s="909">
        <f t="shared" si="7"/>
        <v>1</v>
      </c>
      <c r="AH35" s="909">
        <f t="shared" si="7"/>
        <v>1</v>
      </c>
      <c r="AI35" s="907">
        <f t="shared" si="8"/>
        <v>0.99130143326842646</v>
      </c>
      <c r="AL35" s="1140">
        <f t="shared" ca="1" si="9"/>
        <v>-139.57506037520005</v>
      </c>
      <c r="AN35" s="1140">
        <f t="shared" ca="1" si="10"/>
        <v>-1660.3314887815557</v>
      </c>
      <c r="AP35" s="1140">
        <f t="shared" ca="1" si="11"/>
        <v>486.96493962479991</v>
      </c>
      <c r="AR35" s="1140">
        <f t="shared" ca="1" si="12"/>
        <v>5753.5085112184443</v>
      </c>
    </row>
    <row r="36" spans="1:44">
      <c r="A36" s="884" t="str">
        <f t="shared" si="4"/>
        <v>FORT LEWISCommercialFL006.0Y3W001</v>
      </c>
      <c r="B36" s="889" t="s">
        <v>2061</v>
      </c>
      <c r="C36" s="889" t="s">
        <v>2062</v>
      </c>
      <c r="D36" s="889" t="s">
        <v>411</v>
      </c>
      <c r="E36" s="883">
        <v>33000</v>
      </c>
      <c r="F36" s="904">
        <v>904.35</v>
      </c>
      <c r="G36" s="904">
        <v>923.96</v>
      </c>
      <c r="H36" s="904"/>
      <c r="I36" s="904">
        <v>3617.4</v>
      </c>
      <c r="J36" s="904">
        <v>3339.14</v>
      </c>
      <c r="K36" s="904">
        <v>4521.75</v>
      </c>
      <c r="L36" s="904">
        <v>4619.8</v>
      </c>
      <c r="M36" s="904">
        <v>4619.8</v>
      </c>
      <c r="N36" s="904">
        <v>4619.8</v>
      </c>
      <c r="O36" s="904">
        <v>4619.8</v>
      </c>
      <c r="P36" s="904">
        <v>4619.8</v>
      </c>
      <c r="Q36" s="904">
        <v>4619.8</v>
      </c>
      <c r="R36" s="904">
        <v>4619.8</v>
      </c>
      <c r="S36" s="904">
        <v>4619.8</v>
      </c>
      <c r="T36" s="904">
        <v>4690.88</v>
      </c>
      <c r="U36" s="957">
        <f t="shared" si="5"/>
        <v>53127.570000000007</v>
      </c>
      <c r="V36" s="905"/>
      <c r="W36" s="906">
        <f t="shared" si="6"/>
        <v>4</v>
      </c>
      <c r="X36" s="906">
        <f t="shared" si="6"/>
        <v>3.6923093934870348</v>
      </c>
      <c r="Y36" s="906">
        <f t="shared" si="6"/>
        <v>5</v>
      </c>
      <c r="Z36" s="909">
        <f t="shared" si="7"/>
        <v>5</v>
      </c>
      <c r="AA36" s="909">
        <f t="shared" si="7"/>
        <v>5</v>
      </c>
      <c r="AB36" s="909">
        <f t="shared" si="7"/>
        <v>5</v>
      </c>
      <c r="AC36" s="909">
        <f t="shared" si="7"/>
        <v>5</v>
      </c>
      <c r="AD36" s="909">
        <f t="shared" si="7"/>
        <v>5</v>
      </c>
      <c r="AE36" s="909">
        <f t="shared" si="7"/>
        <v>5</v>
      </c>
      <c r="AF36" s="909">
        <f t="shared" si="7"/>
        <v>5</v>
      </c>
      <c r="AG36" s="909">
        <f t="shared" si="7"/>
        <v>5</v>
      </c>
      <c r="AH36" s="909">
        <f t="shared" si="7"/>
        <v>5.0769297372180615</v>
      </c>
      <c r="AI36" s="907">
        <f t="shared" si="8"/>
        <v>4.8141032608920913</v>
      </c>
      <c r="AL36" s="1140">
        <f t="shared" ca="1" si="9"/>
        <v>-205.83166722678496</v>
      </c>
      <c r="AN36" s="1140">
        <f t="shared" ca="1" si="10"/>
        <v>-11890.738804695855</v>
      </c>
      <c r="AP36" s="1140">
        <f t="shared" ca="1" si="11"/>
        <v>718.12833277321511</v>
      </c>
      <c r="AR36" s="1140">
        <f t="shared" ca="1" si="12"/>
        <v>41236.831195304156</v>
      </c>
    </row>
    <row r="37" spans="1:44">
      <c r="A37" s="884" t="str">
        <f t="shared" si="4"/>
        <v>FORT LEWISCommercialFL004.0YXX001TEMPC</v>
      </c>
      <c r="B37" s="889" t="s">
        <v>2119</v>
      </c>
      <c r="C37" s="889" t="s">
        <v>2120</v>
      </c>
      <c r="D37" s="889" t="s">
        <v>411</v>
      </c>
      <c r="E37" s="883">
        <v>33000</v>
      </c>
      <c r="F37" s="904">
        <v>54.61</v>
      </c>
      <c r="G37" s="904">
        <v>55.71</v>
      </c>
      <c r="H37" s="904"/>
      <c r="I37" s="904">
        <v>0</v>
      </c>
      <c r="J37" s="904">
        <v>0</v>
      </c>
      <c r="K37" s="904">
        <v>0</v>
      </c>
      <c r="L37" s="904">
        <v>0</v>
      </c>
      <c r="M37" s="904">
        <v>0</v>
      </c>
      <c r="N37" s="904">
        <v>0</v>
      </c>
      <c r="O37" s="904">
        <v>0</v>
      </c>
      <c r="P37" s="904">
        <v>0</v>
      </c>
      <c r="Q37" s="904">
        <v>0</v>
      </c>
      <c r="R37" s="904">
        <v>0</v>
      </c>
      <c r="S37" s="904">
        <v>68.87</v>
      </c>
      <c r="T37" s="904">
        <v>0</v>
      </c>
      <c r="U37" s="957">
        <f t="shared" ref="U37:U43" si="13">SUM(I37:T37)</f>
        <v>68.87</v>
      </c>
      <c r="V37" s="905"/>
      <c r="W37" s="906">
        <f t="shared" si="6"/>
        <v>0</v>
      </c>
      <c r="X37" s="906">
        <f t="shared" si="6"/>
        <v>0</v>
      </c>
      <c r="Y37" s="906">
        <f t="shared" si="6"/>
        <v>0</v>
      </c>
      <c r="Z37" s="909">
        <f t="shared" si="7"/>
        <v>0</v>
      </c>
      <c r="AA37" s="909">
        <f t="shared" si="7"/>
        <v>0</v>
      </c>
      <c r="AB37" s="909">
        <f t="shared" si="7"/>
        <v>0</v>
      </c>
      <c r="AC37" s="909">
        <f t="shared" si="7"/>
        <v>0</v>
      </c>
      <c r="AD37" s="909">
        <f t="shared" si="7"/>
        <v>0</v>
      </c>
      <c r="AE37" s="909">
        <f t="shared" si="7"/>
        <v>0</v>
      </c>
      <c r="AF37" s="909">
        <f t="shared" si="7"/>
        <v>0</v>
      </c>
      <c r="AG37" s="909">
        <f t="shared" si="7"/>
        <v>1.2362232992281459</v>
      </c>
      <c r="AH37" s="909">
        <f t="shared" si="7"/>
        <v>0</v>
      </c>
      <c r="AI37" s="907">
        <f t="shared" si="8"/>
        <v>0.10301860826901216</v>
      </c>
      <c r="AL37" s="1140">
        <f t="shared" ca="1" si="9"/>
        <v>-12.410582905325111</v>
      </c>
      <c r="AN37" s="1140">
        <f t="shared" ca="1" si="10"/>
        <v>-15.342251744565436</v>
      </c>
      <c r="AP37" s="1140">
        <f t="shared" ca="1" si="11"/>
        <v>43.299417094674894</v>
      </c>
      <c r="AR37" s="1140">
        <f t="shared" ca="1" si="12"/>
        <v>53.527748255434567</v>
      </c>
    </row>
    <row r="38" spans="1:44">
      <c r="A38" s="884" t="str">
        <f t="shared" si="4"/>
        <v>FORT LEWISCommercialFL006.0YXX001TEMPC</v>
      </c>
      <c r="B38" s="889" t="s">
        <v>2121</v>
      </c>
      <c r="C38" s="889" t="s">
        <v>2122</v>
      </c>
      <c r="D38" s="889" t="s">
        <v>411</v>
      </c>
      <c r="E38" s="883">
        <v>33000</v>
      </c>
      <c r="F38" s="904">
        <v>72.180000000000007</v>
      </c>
      <c r="G38" s="904">
        <v>97.24</v>
      </c>
      <c r="H38" s="904"/>
      <c r="I38" s="904">
        <v>0</v>
      </c>
      <c r="J38" s="904">
        <v>0</v>
      </c>
      <c r="K38" s="904">
        <v>0</v>
      </c>
      <c r="L38" s="904">
        <v>0</v>
      </c>
      <c r="M38" s="904">
        <v>0</v>
      </c>
      <c r="N38" s="904">
        <v>97.24</v>
      </c>
      <c r="O38" s="904">
        <v>0</v>
      </c>
      <c r="P38" s="904">
        <v>0</v>
      </c>
      <c r="Q38" s="904">
        <v>0</v>
      </c>
      <c r="R38" s="904">
        <v>0</v>
      </c>
      <c r="S38" s="904">
        <v>0</v>
      </c>
      <c r="T38" s="904">
        <v>97.24</v>
      </c>
      <c r="U38" s="957">
        <f t="shared" si="13"/>
        <v>194.48</v>
      </c>
      <c r="V38" s="905"/>
      <c r="W38" s="906">
        <f t="shared" si="6"/>
        <v>0</v>
      </c>
      <c r="X38" s="906">
        <f t="shared" si="6"/>
        <v>0</v>
      </c>
      <c r="Y38" s="906">
        <f t="shared" si="6"/>
        <v>0</v>
      </c>
      <c r="Z38" s="909">
        <f t="shared" si="7"/>
        <v>0</v>
      </c>
      <c r="AA38" s="909">
        <f t="shared" si="7"/>
        <v>0</v>
      </c>
      <c r="AB38" s="909">
        <f t="shared" si="7"/>
        <v>1</v>
      </c>
      <c r="AC38" s="909">
        <f t="shared" si="7"/>
        <v>0</v>
      </c>
      <c r="AD38" s="909">
        <f t="shared" si="7"/>
        <v>0</v>
      </c>
      <c r="AE38" s="909">
        <f t="shared" si="7"/>
        <v>0</v>
      </c>
      <c r="AF38" s="909">
        <f t="shared" si="7"/>
        <v>0</v>
      </c>
      <c r="AG38" s="909">
        <f t="shared" si="7"/>
        <v>0</v>
      </c>
      <c r="AH38" s="909">
        <f t="shared" si="7"/>
        <v>1</v>
      </c>
      <c r="AI38" s="907">
        <f t="shared" si="8"/>
        <v>0.16666666666666666</v>
      </c>
      <c r="AL38" s="1140">
        <f t="shared" ca="1" si="9"/>
        <v>-21.662270359249931</v>
      </c>
      <c r="AN38" s="1140">
        <f t="shared" ca="1" si="10"/>
        <v>-43.324540718499861</v>
      </c>
      <c r="AP38" s="1140">
        <f t="shared" ca="1" si="11"/>
        <v>75.577729640750064</v>
      </c>
      <c r="AR38" s="1140">
        <f t="shared" ca="1" si="12"/>
        <v>151.15545928150013</v>
      </c>
    </row>
    <row r="39" spans="1:44">
      <c r="A39" s="884" t="str">
        <f t="shared" si="4"/>
        <v>FORT LEWISCommercialRENT4TEMP-COMM</v>
      </c>
      <c r="B39" s="889" t="s">
        <v>2131</v>
      </c>
      <c r="C39" s="889" t="s">
        <v>2132</v>
      </c>
      <c r="D39" s="889" t="s">
        <v>411</v>
      </c>
      <c r="E39" s="883">
        <v>33000</v>
      </c>
      <c r="F39" s="904">
        <v>0.9</v>
      </c>
      <c r="G39" s="904">
        <v>0.9</v>
      </c>
      <c r="H39" s="904"/>
      <c r="I39" s="904">
        <v>0</v>
      </c>
      <c r="J39" s="904">
        <v>0</v>
      </c>
      <c r="K39" s="904">
        <v>0</v>
      </c>
      <c r="L39" s="904">
        <v>0</v>
      </c>
      <c r="M39" s="904">
        <v>0</v>
      </c>
      <c r="N39" s="904">
        <v>0</v>
      </c>
      <c r="O39" s="904">
        <v>0</v>
      </c>
      <c r="P39" s="904">
        <v>0</v>
      </c>
      <c r="Q39" s="904">
        <v>0</v>
      </c>
      <c r="R39" s="904">
        <v>0</v>
      </c>
      <c r="S39" s="904">
        <v>1.8</v>
      </c>
      <c r="T39" s="904">
        <v>0</v>
      </c>
      <c r="U39" s="957">
        <f t="shared" si="13"/>
        <v>1.8</v>
      </c>
      <c r="V39" s="905"/>
      <c r="W39" s="906">
        <f t="shared" ref="W39:W55" si="14">IFERROR(I39/$F39,0)</f>
        <v>0</v>
      </c>
      <c r="X39" s="906">
        <f t="shared" ref="X39:X55" si="15">IFERROR(J39/$F39,0)</f>
        <v>0</v>
      </c>
      <c r="Y39" s="906">
        <f t="shared" ref="Y39:Y55" si="16">IFERROR(K39/$F39,0)</f>
        <v>0</v>
      </c>
      <c r="Z39" s="909">
        <f t="shared" ref="Z39:Z55" si="17">IFERROR(L39/$G39,0)</f>
        <v>0</v>
      </c>
      <c r="AA39" s="909">
        <f t="shared" ref="AA39:AA55" si="18">IFERROR(M39/$G39,0)</f>
        <v>0</v>
      </c>
      <c r="AB39" s="909">
        <f t="shared" ref="AB39:AB55" si="19">IFERROR(N39/$G39,0)</f>
        <v>0</v>
      </c>
      <c r="AC39" s="909">
        <f t="shared" ref="AC39:AC55" si="20">IFERROR(O39/$G39,0)</f>
        <v>0</v>
      </c>
      <c r="AD39" s="909">
        <f t="shared" ref="AD39:AD55" si="21">IFERROR(P39/$G39,0)</f>
        <v>0</v>
      </c>
      <c r="AE39" s="909">
        <f t="shared" ref="AE39:AE55" si="22">IFERROR(Q39/$G39,0)</f>
        <v>0</v>
      </c>
      <c r="AF39" s="909">
        <f t="shared" ref="AF39:AF55" si="23">IFERROR(R39/$G39,0)</f>
        <v>0</v>
      </c>
      <c r="AG39" s="909">
        <f t="shared" ref="AG39:AG55" si="24">IFERROR(S39/$G39,0)</f>
        <v>2</v>
      </c>
      <c r="AH39" s="909">
        <f t="shared" ref="AH39:AH55" si="25">IFERROR(T39/$G39,0)</f>
        <v>0</v>
      </c>
      <c r="AI39" s="907">
        <f t="shared" si="8"/>
        <v>0.16666666666666666</v>
      </c>
      <c r="AL39" s="1140">
        <f t="shared" ca="1" si="9"/>
        <v>-0.20049406955290971</v>
      </c>
      <c r="AN39" s="1140">
        <f ca="1">AI39*AL39*12</f>
        <v>-0.40098813910581943</v>
      </c>
      <c r="AP39" s="1140">
        <f t="shared" ca="1" si="11"/>
        <v>0.69950593044709031</v>
      </c>
      <c r="AR39" s="1140">
        <f t="shared" ca="1" si="12"/>
        <v>1.3990118608941806</v>
      </c>
    </row>
    <row r="40" spans="1:44">
      <c r="A40" s="884" t="str">
        <f t="shared" si="4"/>
        <v>FORT LEWISCommercialRENT6TEMP-COMM</v>
      </c>
      <c r="B40" s="889" t="s">
        <v>2133</v>
      </c>
      <c r="C40" s="889" t="s">
        <v>2134</v>
      </c>
      <c r="D40" s="889" t="s">
        <v>411</v>
      </c>
      <c r="E40" s="883">
        <v>33000</v>
      </c>
      <c r="F40" s="904">
        <v>1.32</v>
      </c>
      <c r="G40" s="904">
        <v>1.32</v>
      </c>
      <c r="H40" s="904"/>
      <c r="I40" s="904">
        <v>0</v>
      </c>
      <c r="J40" s="904">
        <v>0</v>
      </c>
      <c r="K40" s="904">
        <v>0</v>
      </c>
      <c r="L40" s="904">
        <v>0</v>
      </c>
      <c r="M40" s="904">
        <v>0</v>
      </c>
      <c r="N40" s="904">
        <v>7.92</v>
      </c>
      <c r="O40" s="904">
        <v>0</v>
      </c>
      <c r="P40" s="904">
        <v>0</v>
      </c>
      <c r="Q40" s="904">
        <v>0</v>
      </c>
      <c r="R40" s="904">
        <v>0</v>
      </c>
      <c r="S40" s="904">
        <v>0</v>
      </c>
      <c r="T40" s="904">
        <v>0</v>
      </c>
      <c r="U40" s="957">
        <f t="shared" si="13"/>
        <v>7.92</v>
      </c>
      <c r="V40" s="905"/>
      <c r="W40" s="906">
        <f t="shared" si="14"/>
        <v>0</v>
      </c>
      <c r="X40" s="906">
        <f t="shared" si="15"/>
        <v>0</v>
      </c>
      <c r="Y40" s="906">
        <f t="shared" si="16"/>
        <v>0</v>
      </c>
      <c r="Z40" s="909">
        <f t="shared" si="17"/>
        <v>0</v>
      </c>
      <c r="AA40" s="909">
        <f t="shared" si="18"/>
        <v>0</v>
      </c>
      <c r="AB40" s="909">
        <f t="shared" si="19"/>
        <v>6</v>
      </c>
      <c r="AC40" s="909">
        <f t="shared" si="20"/>
        <v>0</v>
      </c>
      <c r="AD40" s="909">
        <f t="shared" si="21"/>
        <v>0</v>
      </c>
      <c r="AE40" s="909">
        <f t="shared" si="22"/>
        <v>0</v>
      </c>
      <c r="AF40" s="909">
        <f t="shared" si="23"/>
        <v>0</v>
      </c>
      <c r="AG40" s="909">
        <f t="shared" si="24"/>
        <v>0</v>
      </c>
      <c r="AH40" s="909">
        <f t="shared" si="25"/>
        <v>0</v>
      </c>
      <c r="AI40" s="907">
        <f t="shared" si="8"/>
        <v>0.5</v>
      </c>
      <c r="AL40" s="1140">
        <f t="shared" ca="1" si="9"/>
        <v>-0.29405796867760092</v>
      </c>
      <c r="AN40" s="1140">
        <f t="shared" ca="1" si="10"/>
        <v>-1.7643478120656055</v>
      </c>
      <c r="AP40" s="1140">
        <f t="shared" ca="1" si="11"/>
        <v>1.025942031322399</v>
      </c>
      <c r="AR40" s="1140">
        <f t="shared" ca="1" si="12"/>
        <v>6.1556521879343942</v>
      </c>
    </row>
    <row r="41" spans="1:44">
      <c r="A41" s="884" t="str">
        <f t="shared" si="4"/>
        <v>FORT LEWISCommercialSL065.0G1W001NORECC</v>
      </c>
      <c r="B41" s="889" t="s">
        <v>2087</v>
      </c>
      <c r="C41" s="889" t="s">
        <v>2088</v>
      </c>
      <c r="D41" s="889" t="s">
        <v>411</v>
      </c>
      <c r="E41" s="883">
        <v>33000</v>
      </c>
      <c r="F41" s="904">
        <v>21.73</v>
      </c>
      <c r="G41" s="904">
        <v>22.1</v>
      </c>
      <c r="H41" s="904"/>
      <c r="I41" s="904">
        <v>86.92</v>
      </c>
      <c r="J41" s="904">
        <v>86.92</v>
      </c>
      <c r="K41" s="904">
        <v>86.92</v>
      </c>
      <c r="L41" s="904">
        <v>88.4</v>
      </c>
      <c r="M41" s="904">
        <v>88.4</v>
      </c>
      <c r="N41" s="904">
        <v>88.4</v>
      </c>
      <c r="O41" s="904">
        <v>88.4</v>
      </c>
      <c r="P41" s="904">
        <v>88.4</v>
      </c>
      <c r="Q41" s="904">
        <v>88.4</v>
      </c>
      <c r="R41" s="904">
        <v>88.4</v>
      </c>
      <c r="S41" s="904">
        <v>88.4</v>
      </c>
      <c r="T41" s="904">
        <v>88.4</v>
      </c>
      <c r="U41" s="957">
        <f t="shared" si="13"/>
        <v>1056.3599999999999</v>
      </c>
      <c r="V41" s="905"/>
      <c r="W41" s="906">
        <f t="shared" si="14"/>
        <v>4</v>
      </c>
      <c r="X41" s="906">
        <f t="shared" si="15"/>
        <v>4</v>
      </c>
      <c r="Y41" s="906">
        <f t="shared" si="16"/>
        <v>4</v>
      </c>
      <c r="Z41" s="909">
        <f t="shared" si="17"/>
        <v>4</v>
      </c>
      <c r="AA41" s="909">
        <f t="shared" si="18"/>
        <v>4</v>
      </c>
      <c r="AB41" s="909">
        <f t="shared" si="19"/>
        <v>4</v>
      </c>
      <c r="AC41" s="909">
        <f t="shared" si="20"/>
        <v>4</v>
      </c>
      <c r="AD41" s="909">
        <f t="shared" si="21"/>
        <v>4</v>
      </c>
      <c r="AE41" s="909">
        <f t="shared" si="22"/>
        <v>4</v>
      </c>
      <c r="AF41" s="909">
        <f t="shared" si="23"/>
        <v>4</v>
      </c>
      <c r="AG41" s="909">
        <f t="shared" si="24"/>
        <v>4</v>
      </c>
      <c r="AH41" s="909">
        <f t="shared" si="25"/>
        <v>4</v>
      </c>
      <c r="AI41" s="907">
        <f t="shared" si="8"/>
        <v>4</v>
      </c>
      <c r="AL41" s="1140">
        <f t="shared" ca="1" si="9"/>
        <v>-4.9232432634658947</v>
      </c>
      <c r="AN41" s="1140">
        <f t="shared" ca="1" si="10"/>
        <v>-236.31567664636293</v>
      </c>
      <c r="AP41" s="1140">
        <f t="shared" ca="1" si="11"/>
        <v>17.176756736534106</v>
      </c>
      <c r="AR41" s="1140">
        <f t="shared" ca="1" si="12"/>
        <v>820.04432335363697</v>
      </c>
    </row>
    <row r="42" spans="1:44">
      <c r="A42" s="884" t="str">
        <f t="shared" si="4"/>
        <v>FORT LEWISCommercialSL065.0G1W001WRECC</v>
      </c>
      <c r="B42" s="889" t="s">
        <v>2089</v>
      </c>
      <c r="C42" s="889" t="s">
        <v>2090</v>
      </c>
      <c r="D42" s="889" t="s">
        <v>411</v>
      </c>
      <c r="E42" s="883">
        <v>33000</v>
      </c>
      <c r="F42" s="904">
        <v>21.73</v>
      </c>
      <c r="G42" s="904">
        <v>22.1</v>
      </c>
      <c r="H42" s="904"/>
      <c r="I42" s="904">
        <v>260.76</v>
      </c>
      <c r="J42" s="904">
        <v>260.76</v>
      </c>
      <c r="K42" s="904">
        <v>260.76</v>
      </c>
      <c r="L42" s="904">
        <v>265.2</v>
      </c>
      <c r="M42" s="904">
        <v>265.2</v>
      </c>
      <c r="N42" s="904">
        <v>265.2</v>
      </c>
      <c r="O42" s="904">
        <v>265.2</v>
      </c>
      <c r="P42" s="904">
        <v>265.2</v>
      </c>
      <c r="Q42" s="904">
        <v>265.2</v>
      </c>
      <c r="R42" s="904">
        <v>265.2</v>
      </c>
      <c r="S42" s="904">
        <v>265.2</v>
      </c>
      <c r="T42" s="904">
        <v>265.2</v>
      </c>
      <c r="U42" s="957">
        <f t="shared" si="13"/>
        <v>3169.0799999999995</v>
      </c>
      <c r="V42" s="905"/>
      <c r="W42" s="906">
        <f t="shared" si="14"/>
        <v>12</v>
      </c>
      <c r="X42" s="906">
        <f t="shared" si="15"/>
        <v>12</v>
      </c>
      <c r="Y42" s="906">
        <f t="shared" si="16"/>
        <v>12</v>
      </c>
      <c r="Z42" s="909">
        <f t="shared" si="17"/>
        <v>11.999999999999998</v>
      </c>
      <c r="AA42" s="909">
        <f t="shared" si="18"/>
        <v>11.999999999999998</v>
      </c>
      <c r="AB42" s="909">
        <f t="shared" si="19"/>
        <v>11.999999999999998</v>
      </c>
      <c r="AC42" s="909">
        <f t="shared" si="20"/>
        <v>11.999999999999998</v>
      </c>
      <c r="AD42" s="909">
        <f t="shared" si="21"/>
        <v>11.999999999999998</v>
      </c>
      <c r="AE42" s="909">
        <f t="shared" si="22"/>
        <v>11.999999999999998</v>
      </c>
      <c r="AF42" s="909">
        <f t="shared" si="23"/>
        <v>11.999999999999998</v>
      </c>
      <c r="AG42" s="909">
        <f t="shared" si="24"/>
        <v>11.999999999999998</v>
      </c>
      <c r="AH42" s="909">
        <f t="shared" si="25"/>
        <v>11.999999999999998</v>
      </c>
      <c r="AI42" s="907">
        <f t="shared" si="8"/>
        <v>12</v>
      </c>
      <c r="AL42" s="1140">
        <f t="shared" ca="1" si="9"/>
        <v>-4.9232432634658947</v>
      </c>
      <c r="AN42" s="1140">
        <f t="shared" ca="1" si="10"/>
        <v>-708.94702993908879</v>
      </c>
      <c r="AP42" s="1140">
        <f t="shared" ca="1" si="11"/>
        <v>17.176756736534106</v>
      </c>
      <c r="AR42" s="1140">
        <f t="shared" ca="1" si="12"/>
        <v>2460.1329700609108</v>
      </c>
    </row>
    <row r="43" spans="1:44">
      <c r="A43" s="884" t="str">
        <f t="shared" si="4"/>
        <v>FORT LEWISCommercialSL095.0G1W001NORECC</v>
      </c>
      <c r="B43" s="889" t="s">
        <v>2095</v>
      </c>
      <c r="C43" s="889" t="s">
        <v>2096</v>
      </c>
      <c r="D43" s="889" t="s">
        <v>411</v>
      </c>
      <c r="E43" s="883">
        <v>33000</v>
      </c>
      <c r="F43" s="904">
        <v>28.35</v>
      </c>
      <c r="G43" s="904">
        <v>28.88</v>
      </c>
      <c r="H43" s="904"/>
      <c r="I43" s="904">
        <v>113.4</v>
      </c>
      <c r="J43" s="904">
        <v>113.4</v>
      </c>
      <c r="K43" s="904">
        <v>113.4</v>
      </c>
      <c r="L43" s="904">
        <v>115.52</v>
      </c>
      <c r="M43" s="904">
        <v>115.52</v>
      </c>
      <c r="N43" s="904">
        <v>115.52</v>
      </c>
      <c r="O43" s="904">
        <v>115.52</v>
      </c>
      <c r="P43" s="904">
        <v>115.52</v>
      </c>
      <c r="Q43" s="904">
        <v>115.52</v>
      </c>
      <c r="R43" s="904">
        <v>115.52</v>
      </c>
      <c r="S43" s="904">
        <v>115.52</v>
      </c>
      <c r="T43" s="904">
        <v>115.52</v>
      </c>
      <c r="U43" s="957">
        <f t="shared" si="13"/>
        <v>1379.8799999999999</v>
      </c>
      <c r="V43" s="905"/>
      <c r="W43" s="906">
        <f t="shared" si="14"/>
        <v>4</v>
      </c>
      <c r="X43" s="906">
        <f t="shared" si="15"/>
        <v>4</v>
      </c>
      <c r="Y43" s="906">
        <f t="shared" si="16"/>
        <v>4</v>
      </c>
      <c r="Z43" s="909">
        <f t="shared" si="17"/>
        <v>4</v>
      </c>
      <c r="AA43" s="909">
        <f t="shared" si="18"/>
        <v>4</v>
      </c>
      <c r="AB43" s="909">
        <f t="shared" si="19"/>
        <v>4</v>
      </c>
      <c r="AC43" s="909">
        <f t="shared" si="20"/>
        <v>4</v>
      </c>
      <c r="AD43" s="909">
        <f t="shared" si="21"/>
        <v>4</v>
      </c>
      <c r="AE43" s="909">
        <f t="shared" si="22"/>
        <v>4</v>
      </c>
      <c r="AF43" s="909">
        <f t="shared" si="23"/>
        <v>4</v>
      </c>
      <c r="AG43" s="909">
        <f t="shared" si="24"/>
        <v>4</v>
      </c>
      <c r="AH43" s="909">
        <f t="shared" si="25"/>
        <v>4</v>
      </c>
      <c r="AI43" s="907">
        <f t="shared" si="8"/>
        <v>4</v>
      </c>
      <c r="AL43" s="1140">
        <f t="shared" ca="1" si="9"/>
        <v>-6.4336319207644799</v>
      </c>
      <c r="AN43" s="1140">
        <f t="shared" ca="1" si="10"/>
        <v>-308.81433219669503</v>
      </c>
      <c r="AP43" s="1140">
        <f t="shared" ca="1" si="11"/>
        <v>22.446368079235519</v>
      </c>
      <c r="AR43" s="1140">
        <f t="shared" ca="1" si="12"/>
        <v>1071.0656678033049</v>
      </c>
    </row>
    <row r="44" spans="1:44">
      <c r="A44" s="884" t="str">
        <f t="shared" si="4"/>
        <v>FORT LEWISCommercialEXTRA-COMM</v>
      </c>
      <c r="B44" s="889" t="s">
        <v>2138</v>
      </c>
      <c r="C44" s="889" t="s">
        <v>2139</v>
      </c>
      <c r="D44" s="889" t="s">
        <v>2137</v>
      </c>
      <c r="E44" s="883">
        <v>33001</v>
      </c>
      <c r="F44" s="904">
        <v>3.63</v>
      </c>
      <c r="G44" s="904">
        <v>3.71</v>
      </c>
      <c r="H44" s="904"/>
      <c r="I44" s="904">
        <v>0</v>
      </c>
      <c r="J44" s="904">
        <v>32.67</v>
      </c>
      <c r="K44" s="904">
        <v>10.89</v>
      </c>
      <c r="L44" s="904">
        <v>55.09</v>
      </c>
      <c r="M44" s="904">
        <v>48.23</v>
      </c>
      <c r="N44" s="904">
        <v>77.91</v>
      </c>
      <c r="O44" s="904">
        <v>66.78</v>
      </c>
      <c r="P44" s="904">
        <v>44.52</v>
      </c>
      <c r="Q44" s="904">
        <v>29.68</v>
      </c>
      <c r="R44" s="904">
        <v>59.36</v>
      </c>
      <c r="S44" s="904">
        <v>48.23</v>
      </c>
      <c r="T44" s="904">
        <v>29.68</v>
      </c>
      <c r="U44" s="957">
        <f t="shared" ref="U44:U46" si="26">SUM(I44:T44)</f>
        <v>503.04</v>
      </c>
      <c r="V44" s="905"/>
      <c r="W44" s="906">
        <f t="shared" si="14"/>
        <v>0</v>
      </c>
      <c r="X44" s="906">
        <f t="shared" si="15"/>
        <v>9</v>
      </c>
      <c r="Y44" s="906">
        <f t="shared" si="16"/>
        <v>3.0000000000000004</v>
      </c>
      <c r="Z44" s="909">
        <f t="shared" si="17"/>
        <v>14.849056603773587</v>
      </c>
      <c r="AA44" s="909">
        <f t="shared" si="18"/>
        <v>13</v>
      </c>
      <c r="AB44" s="909">
        <f t="shared" si="19"/>
        <v>21</v>
      </c>
      <c r="AC44" s="909">
        <f t="shared" si="20"/>
        <v>18</v>
      </c>
      <c r="AD44" s="909">
        <f t="shared" si="21"/>
        <v>12.000000000000002</v>
      </c>
      <c r="AE44" s="909">
        <f t="shared" si="22"/>
        <v>8</v>
      </c>
      <c r="AF44" s="909">
        <f t="shared" si="23"/>
        <v>16</v>
      </c>
      <c r="AG44" s="909">
        <f t="shared" si="24"/>
        <v>13</v>
      </c>
      <c r="AH44" s="909">
        <f t="shared" si="25"/>
        <v>8</v>
      </c>
      <c r="AI44" s="907">
        <f t="shared" si="8"/>
        <v>11.320754716981133</v>
      </c>
      <c r="AL44" s="1140">
        <f t="shared" ca="1" si="9"/>
        <v>-0.82648110893477222</v>
      </c>
      <c r="AN44" s="1140">
        <f t="shared" ca="1" si="10"/>
        <v>-112.27667894962946</v>
      </c>
      <c r="AP44" s="1140">
        <f t="shared" ca="1" si="11"/>
        <v>2.8835188910652279</v>
      </c>
      <c r="AR44" s="1140">
        <f t="shared" ca="1" si="12"/>
        <v>390.76332105037056</v>
      </c>
    </row>
    <row r="45" spans="1:44">
      <c r="A45" s="884" t="str">
        <f t="shared" si="4"/>
        <v>FORT LEWISCommercialEXTRAYDG-COM</v>
      </c>
      <c r="B45" s="889" t="s">
        <v>2142</v>
      </c>
      <c r="C45" s="889" t="s">
        <v>2143</v>
      </c>
      <c r="D45" s="889" t="s">
        <v>2137</v>
      </c>
      <c r="E45" s="883">
        <v>33001</v>
      </c>
      <c r="F45" s="904">
        <v>31.67</v>
      </c>
      <c r="G45" s="904">
        <v>32.04</v>
      </c>
      <c r="H45" s="904"/>
      <c r="I45" s="904">
        <v>0</v>
      </c>
      <c r="J45" s="904">
        <v>0</v>
      </c>
      <c r="K45" s="904">
        <v>158.35</v>
      </c>
      <c r="L45" s="904">
        <v>350.96</v>
      </c>
      <c r="M45" s="904">
        <v>288.36</v>
      </c>
      <c r="N45" s="904">
        <v>192.24</v>
      </c>
      <c r="O45" s="904">
        <v>224.28</v>
      </c>
      <c r="P45" s="904">
        <v>96.12</v>
      </c>
      <c r="Q45" s="904">
        <v>0</v>
      </c>
      <c r="R45" s="904">
        <v>0</v>
      </c>
      <c r="S45" s="904">
        <v>0</v>
      </c>
      <c r="T45" s="904">
        <v>32.04</v>
      </c>
      <c r="U45" s="957">
        <f t="shared" si="26"/>
        <v>1342.35</v>
      </c>
      <c r="V45" s="905"/>
      <c r="W45" s="906">
        <f t="shared" si="14"/>
        <v>0</v>
      </c>
      <c r="X45" s="906">
        <f t="shared" si="15"/>
        <v>0</v>
      </c>
      <c r="Y45" s="906">
        <f t="shared" si="16"/>
        <v>4.9999999999999991</v>
      </c>
      <c r="Z45" s="909">
        <f t="shared" si="17"/>
        <v>10.953807740324594</v>
      </c>
      <c r="AA45" s="909">
        <f t="shared" si="18"/>
        <v>9</v>
      </c>
      <c r="AB45" s="909">
        <f t="shared" si="19"/>
        <v>6</v>
      </c>
      <c r="AC45" s="909">
        <f t="shared" si="20"/>
        <v>7</v>
      </c>
      <c r="AD45" s="909">
        <f t="shared" si="21"/>
        <v>3</v>
      </c>
      <c r="AE45" s="909">
        <f t="shared" si="22"/>
        <v>0</v>
      </c>
      <c r="AF45" s="909">
        <f t="shared" si="23"/>
        <v>0</v>
      </c>
      <c r="AG45" s="909">
        <f t="shared" si="24"/>
        <v>0</v>
      </c>
      <c r="AH45" s="909">
        <f t="shared" si="25"/>
        <v>1</v>
      </c>
      <c r="AI45" s="907">
        <f t="shared" si="8"/>
        <v>3.4961506450270492</v>
      </c>
      <c r="AL45" s="1140">
        <f t="shared" ca="1" si="9"/>
        <v>-7.1375888760835853</v>
      </c>
      <c r="AN45" s="1140">
        <f t="shared" ca="1" si="10"/>
        <v>-299.44903143669023</v>
      </c>
      <c r="AP45" s="1140">
        <f t="shared" ca="1" si="11"/>
        <v>24.902411123916416</v>
      </c>
      <c r="AR45" s="1140">
        <f t="shared" ca="1" si="12"/>
        <v>1042.9009685633096</v>
      </c>
    </row>
    <row r="46" spans="1:44">
      <c r="A46" s="884" t="str">
        <f t="shared" si="4"/>
        <v>FORT LEWISCommercialACCESS-COMM</v>
      </c>
      <c r="B46" s="889" t="s">
        <v>2144</v>
      </c>
      <c r="C46" s="889" t="s">
        <v>2145</v>
      </c>
      <c r="D46" s="889" t="s">
        <v>411</v>
      </c>
      <c r="E46" s="883">
        <v>33000</v>
      </c>
      <c r="F46" s="904">
        <v>4.76</v>
      </c>
      <c r="G46" s="904">
        <v>4.76</v>
      </c>
      <c r="H46" s="904"/>
      <c r="I46" s="904">
        <v>9.52</v>
      </c>
      <c r="J46" s="904">
        <v>9.52</v>
      </c>
      <c r="K46" s="904">
        <v>9.52</v>
      </c>
      <c r="L46" s="904">
        <v>9.52</v>
      </c>
      <c r="M46" s="904">
        <v>9.52</v>
      </c>
      <c r="N46" s="904">
        <v>9.52</v>
      </c>
      <c r="O46" s="904">
        <v>9.52</v>
      </c>
      <c r="P46" s="904">
        <v>9.52</v>
      </c>
      <c r="Q46" s="904">
        <v>9.52</v>
      </c>
      <c r="R46" s="904">
        <v>9.52</v>
      </c>
      <c r="S46" s="904">
        <v>10.47</v>
      </c>
      <c r="T46" s="904">
        <v>14.28</v>
      </c>
      <c r="U46" s="957">
        <f t="shared" si="26"/>
        <v>119.94999999999997</v>
      </c>
      <c r="V46" s="905"/>
      <c r="W46" s="906">
        <f t="shared" si="14"/>
        <v>2</v>
      </c>
      <c r="X46" s="906">
        <f t="shared" si="15"/>
        <v>2</v>
      </c>
      <c r="Y46" s="906">
        <f t="shared" si="16"/>
        <v>2</v>
      </c>
      <c r="Z46" s="909">
        <f t="shared" si="17"/>
        <v>2</v>
      </c>
      <c r="AA46" s="909">
        <f t="shared" si="18"/>
        <v>2</v>
      </c>
      <c r="AB46" s="909">
        <f t="shared" si="19"/>
        <v>2</v>
      </c>
      <c r="AC46" s="909">
        <f t="shared" si="20"/>
        <v>2</v>
      </c>
      <c r="AD46" s="909">
        <f t="shared" si="21"/>
        <v>2</v>
      </c>
      <c r="AE46" s="909">
        <f t="shared" si="22"/>
        <v>2</v>
      </c>
      <c r="AF46" s="909">
        <f t="shared" si="23"/>
        <v>2</v>
      </c>
      <c r="AG46" s="909">
        <f t="shared" si="24"/>
        <v>2.1995798319327733</v>
      </c>
      <c r="AH46" s="909">
        <f t="shared" si="25"/>
        <v>3</v>
      </c>
      <c r="AI46" s="907">
        <f t="shared" si="8"/>
        <v>2.0999649859943976</v>
      </c>
      <c r="AL46" s="1140">
        <f t="shared" ca="1" si="9"/>
        <v>-1.0603908567465001</v>
      </c>
      <c r="AN46" s="1140">
        <f t="shared" ca="1" si="10"/>
        <v>-26.721404047635019</v>
      </c>
      <c r="AP46" s="1140">
        <f t="shared" ca="1" si="11"/>
        <v>3.6996091432534994</v>
      </c>
      <c r="AR46" s="1140">
        <f t="shared" ca="1" si="12"/>
        <v>93.228595952364955</v>
      </c>
    </row>
    <row r="47" spans="1:44">
      <c r="A47" s="884" t="str">
        <f t="shared" si="4"/>
        <v>FORT LEWISCommercialCLEAN4-COMM</v>
      </c>
      <c r="B47" s="889" t="s">
        <v>2168</v>
      </c>
      <c r="C47" s="889" t="s">
        <v>2169</v>
      </c>
      <c r="D47" s="889" t="s">
        <v>2137</v>
      </c>
      <c r="E47" s="883">
        <v>33001</v>
      </c>
      <c r="F47" s="904">
        <v>19</v>
      </c>
      <c r="G47" s="904">
        <v>19</v>
      </c>
      <c r="H47" s="904"/>
      <c r="I47" s="904">
        <v>0</v>
      </c>
      <c r="J47" s="904">
        <v>0</v>
      </c>
      <c r="K47" s="904">
        <v>0</v>
      </c>
      <c r="L47" s="904">
        <v>0</v>
      </c>
      <c r="M47" s="904">
        <v>0</v>
      </c>
      <c r="N47" s="904">
        <v>0</v>
      </c>
      <c r="O47" s="904">
        <v>0</v>
      </c>
      <c r="P47" s="904">
        <v>0</v>
      </c>
      <c r="Q47" s="904">
        <v>0</v>
      </c>
      <c r="R47" s="904">
        <v>0</v>
      </c>
      <c r="S47" s="904">
        <v>19</v>
      </c>
      <c r="T47" s="904">
        <v>0</v>
      </c>
      <c r="U47" s="957">
        <f t="shared" ref="U47:U54" si="27">SUM(I47:T47)</f>
        <v>19</v>
      </c>
      <c r="V47" s="905"/>
      <c r="W47" s="906">
        <f t="shared" si="14"/>
        <v>0</v>
      </c>
      <c r="X47" s="906">
        <f t="shared" si="15"/>
        <v>0</v>
      </c>
      <c r="Y47" s="906">
        <f t="shared" si="16"/>
        <v>0</v>
      </c>
      <c r="Z47" s="909">
        <f t="shared" si="17"/>
        <v>0</v>
      </c>
      <c r="AA47" s="909">
        <f t="shared" si="18"/>
        <v>0</v>
      </c>
      <c r="AB47" s="909">
        <f t="shared" si="19"/>
        <v>0</v>
      </c>
      <c r="AC47" s="909">
        <f t="shared" si="20"/>
        <v>0</v>
      </c>
      <c r="AD47" s="909">
        <f t="shared" si="21"/>
        <v>0</v>
      </c>
      <c r="AE47" s="909">
        <f t="shared" si="22"/>
        <v>0</v>
      </c>
      <c r="AF47" s="909">
        <f t="shared" si="23"/>
        <v>0</v>
      </c>
      <c r="AG47" s="909">
        <f t="shared" si="24"/>
        <v>1</v>
      </c>
      <c r="AH47" s="909">
        <f t="shared" si="25"/>
        <v>0</v>
      </c>
      <c r="AI47" s="907">
        <f t="shared" si="8"/>
        <v>8.3333333333333329E-2</v>
      </c>
      <c r="AL47" s="1140">
        <f t="shared" ca="1" si="9"/>
        <v>-4.232652579450316</v>
      </c>
      <c r="AN47" s="1140">
        <f t="shared" ca="1" si="10"/>
        <v>-4.232652579450316</v>
      </c>
      <c r="AP47" s="1140">
        <f t="shared" ca="1" si="11"/>
        <v>14.767347420549683</v>
      </c>
      <c r="AR47" s="1140">
        <f t="shared" ca="1" si="12"/>
        <v>14.767347420549683</v>
      </c>
    </row>
    <row r="48" spans="1:44">
      <c r="A48" s="884" t="str">
        <f t="shared" si="4"/>
        <v>FORT LEWISCommercialCLEAN6-COMM</v>
      </c>
      <c r="B48" s="889" t="s">
        <v>2170</v>
      </c>
      <c r="C48" s="889" t="s">
        <v>2171</v>
      </c>
      <c r="D48" s="889" t="s">
        <v>2137</v>
      </c>
      <c r="E48" s="883">
        <v>33001</v>
      </c>
      <c r="F48" s="904">
        <v>28.5</v>
      </c>
      <c r="G48" s="904">
        <v>28.5</v>
      </c>
      <c r="H48" s="904"/>
      <c r="I48" s="904">
        <v>0</v>
      </c>
      <c r="J48" s="904">
        <v>0</v>
      </c>
      <c r="K48" s="904">
        <v>0</v>
      </c>
      <c r="L48" s="904">
        <v>0</v>
      </c>
      <c r="M48" s="904">
        <v>0</v>
      </c>
      <c r="N48" s="904">
        <v>28.5</v>
      </c>
      <c r="O48" s="904">
        <v>0</v>
      </c>
      <c r="P48" s="904">
        <v>0</v>
      </c>
      <c r="Q48" s="904">
        <v>0</v>
      </c>
      <c r="R48" s="904">
        <v>0</v>
      </c>
      <c r="S48" s="904">
        <v>0</v>
      </c>
      <c r="T48" s="904">
        <v>0</v>
      </c>
      <c r="U48" s="957">
        <f t="shared" si="27"/>
        <v>28.5</v>
      </c>
      <c r="V48" s="905"/>
      <c r="W48" s="906">
        <f t="shared" si="14"/>
        <v>0</v>
      </c>
      <c r="X48" s="906">
        <f t="shared" si="15"/>
        <v>0</v>
      </c>
      <c r="Y48" s="906">
        <f t="shared" si="16"/>
        <v>0</v>
      </c>
      <c r="Z48" s="909">
        <f t="shared" si="17"/>
        <v>0</v>
      </c>
      <c r="AA48" s="909">
        <f t="shared" si="18"/>
        <v>0</v>
      </c>
      <c r="AB48" s="909">
        <f t="shared" si="19"/>
        <v>1</v>
      </c>
      <c r="AC48" s="909">
        <f t="shared" si="20"/>
        <v>0</v>
      </c>
      <c r="AD48" s="909">
        <f t="shared" si="21"/>
        <v>0</v>
      </c>
      <c r="AE48" s="909">
        <f t="shared" si="22"/>
        <v>0</v>
      </c>
      <c r="AF48" s="909">
        <f t="shared" si="23"/>
        <v>0</v>
      </c>
      <c r="AG48" s="909">
        <f t="shared" si="24"/>
        <v>0</v>
      </c>
      <c r="AH48" s="909">
        <f t="shared" si="25"/>
        <v>0</v>
      </c>
      <c r="AI48" s="907">
        <f t="shared" si="8"/>
        <v>8.3333333333333329E-2</v>
      </c>
      <c r="AL48" s="1140">
        <f t="shared" ca="1" si="9"/>
        <v>-6.3489788691754745</v>
      </c>
      <c r="AN48" s="1140">
        <f t="shared" ca="1" si="10"/>
        <v>-6.3489788691754736</v>
      </c>
      <c r="AP48" s="1140">
        <f t="shared" ca="1" si="11"/>
        <v>22.151021130824525</v>
      </c>
      <c r="AR48" s="1140">
        <f t="shared" ca="1" si="12"/>
        <v>22.151021130824525</v>
      </c>
    </row>
    <row r="49" spans="1:44">
      <c r="A49" s="884" t="str">
        <f t="shared" si="4"/>
        <v>FORT LEWISCommercialDEL2TEMP-COMM</v>
      </c>
      <c r="B49" s="889" t="s">
        <v>2178</v>
      </c>
      <c r="C49" s="889" t="s">
        <v>2179</v>
      </c>
      <c r="D49" s="889" t="s">
        <v>2137</v>
      </c>
      <c r="E49" s="883">
        <v>33001</v>
      </c>
      <c r="F49" s="904">
        <v>22.71</v>
      </c>
      <c r="G49" s="904">
        <v>22.71</v>
      </c>
      <c r="H49" s="904"/>
      <c r="I49" s="904">
        <v>0</v>
      </c>
      <c r="J49" s="904">
        <v>0</v>
      </c>
      <c r="K49" s="904">
        <v>0</v>
      </c>
      <c r="L49" s="904">
        <v>0</v>
      </c>
      <c r="M49" s="904">
        <v>0</v>
      </c>
      <c r="N49" s="904">
        <v>0</v>
      </c>
      <c r="O49" s="904">
        <v>0</v>
      </c>
      <c r="P49" s="904">
        <v>0</v>
      </c>
      <c r="Q49" s="904">
        <v>0</v>
      </c>
      <c r="R49" s="904">
        <v>45.42</v>
      </c>
      <c r="S49" s="904">
        <v>0</v>
      </c>
      <c r="T49" s="904">
        <v>0</v>
      </c>
      <c r="U49" s="957">
        <f t="shared" si="27"/>
        <v>45.42</v>
      </c>
      <c r="V49" s="905"/>
      <c r="W49" s="906">
        <f t="shared" si="14"/>
        <v>0</v>
      </c>
      <c r="X49" s="906">
        <f t="shared" si="15"/>
        <v>0</v>
      </c>
      <c r="Y49" s="906">
        <f t="shared" si="16"/>
        <v>0</v>
      </c>
      <c r="Z49" s="909">
        <f t="shared" si="17"/>
        <v>0</v>
      </c>
      <c r="AA49" s="909">
        <f t="shared" si="18"/>
        <v>0</v>
      </c>
      <c r="AB49" s="909">
        <f t="shared" si="19"/>
        <v>0</v>
      </c>
      <c r="AC49" s="909">
        <f t="shared" si="20"/>
        <v>0</v>
      </c>
      <c r="AD49" s="909">
        <f t="shared" si="21"/>
        <v>0</v>
      </c>
      <c r="AE49" s="909">
        <f t="shared" si="22"/>
        <v>0</v>
      </c>
      <c r="AF49" s="909">
        <f t="shared" si="23"/>
        <v>2</v>
      </c>
      <c r="AG49" s="909">
        <f t="shared" si="24"/>
        <v>0</v>
      </c>
      <c r="AH49" s="909">
        <f t="shared" si="25"/>
        <v>0</v>
      </c>
      <c r="AI49" s="907">
        <f t="shared" si="8"/>
        <v>0.16666666666666666</v>
      </c>
      <c r="AL49" s="1140">
        <f t="shared" ca="1" si="9"/>
        <v>-5.0591336883850886</v>
      </c>
      <c r="AN49" s="1140">
        <f t="shared" ca="1" si="10"/>
        <v>-10.118267376770177</v>
      </c>
      <c r="AP49" s="1140">
        <f t="shared" ca="1" si="11"/>
        <v>17.650866311614912</v>
      </c>
      <c r="AR49" s="1140">
        <f t="shared" ca="1" si="12"/>
        <v>35.301732623229825</v>
      </c>
    </row>
    <row r="50" spans="1:44">
      <c r="A50" s="884" t="str">
        <f t="shared" si="4"/>
        <v>FORT LEWISCommercialDEL4TEMP-COMM</v>
      </c>
      <c r="B50" s="889" t="s">
        <v>2182</v>
      </c>
      <c r="C50" s="889" t="s">
        <v>2183</v>
      </c>
      <c r="D50" s="889" t="s">
        <v>2137</v>
      </c>
      <c r="E50" s="883">
        <v>33001</v>
      </c>
      <c r="F50" s="904">
        <v>22.71</v>
      </c>
      <c r="G50" s="904">
        <v>22.71</v>
      </c>
      <c r="H50" s="904"/>
      <c r="I50" s="904">
        <v>0</v>
      </c>
      <c r="J50" s="904">
        <v>0</v>
      </c>
      <c r="K50" s="904">
        <v>0</v>
      </c>
      <c r="L50" s="904">
        <v>0</v>
      </c>
      <c r="M50" s="904">
        <v>0</v>
      </c>
      <c r="N50" s="904">
        <v>0</v>
      </c>
      <c r="O50" s="904">
        <v>0</v>
      </c>
      <c r="P50" s="904">
        <v>0</v>
      </c>
      <c r="Q50" s="904">
        <v>0</v>
      </c>
      <c r="R50" s="904">
        <v>0</v>
      </c>
      <c r="S50" s="904">
        <v>22.71</v>
      </c>
      <c r="T50" s="904">
        <v>0</v>
      </c>
      <c r="U50" s="957">
        <f t="shared" si="27"/>
        <v>22.71</v>
      </c>
      <c r="V50" s="905"/>
      <c r="W50" s="906">
        <f t="shared" si="14"/>
        <v>0</v>
      </c>
      <c r="X50" s="906">
        <f t="shared" si="15"/>
        <v>0</v>
      </c>
      <c r="Y50" s="906">
        <f t="shared" si="16"/>
        <v>0</v>
      </c>
      <c r="Z50" s="909">
        <f t="shared" si="17"/>
        <v>0</v>
      </c>
      <c r="AA50" s="909">
        <f t="shared" si="18"/>
        <v>0</v>
      </c>
      <c r="AB50" s="909">
        <f t="shared" si="19"/>
        <v>0</v>
      </c>
      <c r="AC50" s="909">
        <f t="shared" si="20"/>
        <v>0</v>
      </c>
      <c r="AD50" s="909">
        <f t="shared" si="21"/>
        <v>0</v>
      </c>
      <c r="AE50" s="909">
        <f t="shared" si="22"/>
        <v>0</v>
      </c>
      <c r="AF50" s="909">
        <f t="shared" si="23"/>
        <v>0</v>
      </c>
      <c r="AG50" s="909">
        <f t="shared" si="24"/>
        <v>1</v>
      </c>
      <c r="AH50" s="909">
        <f t="shared" si="25"/>
        <v>0</v>
      </c>
      <c r="AI50" s="907">
        <f t="shared" si="8"/>
        <v>8.3333333333333329E-2</v>
      </c>
      <c r="AL50" s="1140">
        <f t="shared" ca="1" si="9"/>
        <v>-5.0591336883850886</v>
      </c>
      <c r="AN50" s="1140">
        <f t="shared" ca="1" si="10"/>
        <v>-5.0591336883850886</v>
      </c>
      <c r="AP50" s="1140">
        <f t="shared" ca="1" si="11"/>
        <v>17.650866311614912</v>
      </c>
      <c r="AR50" s="1140">
        <f t="shared" ca="1" si="12"/>
        <v>17.650866311614912</v>
      </c>
    </row>
    <row r="51" spans="1:44">
      <c r="A51" s="884" t="str">
        <f t="shared" si="4"/>
        <v>FORT LEWISCommercialDEL6TEMP-COMM</v>
      </c>
      <c r="B51" s="889" t="s">
        <v>2184</v>
      </c>
      <c r="C51" s="889" t="s">
        <v>2185</v>
      </c>
      <c r="D51" s="889" t="s">
        <v>2137</v>
      </c>
      <c r="E51" s="883">
        <v>33001</v>
      </c>
      <c r="F51" s="904">
        <v>42.77</v>
      </c>
      <c r="G51" s="904">
        <v>42.77</v>
      </c>
      <c r="H51" s="904"/>
      <c r="I51" s="904">
        <v>0</v>
      </c>
      <c r="J51" s="904">
        <v>0</v>
      </c>
      <c r="K51" s="904">
        <v>0</v>
      </c>
      <c r="L51" s="904">
        <v>0</v>
      </c>
      <c r="M51" s="904">
        <v>0</v>
      </c>
      <c r="N51" s="904">
        <v>42.77</v>
      </c>
      <c r="O51" s="904">
        <v>0</v>
      </c>
      <c r="P51" s="904">
        <v>0</v>
      </c>
      <c r="Q51" s="904">
        <v>0</v>
      </c>
      <c r="R51" s="904">
        <v>0</v>
      </c>
      <c r="S51" s="904">
        <v>0</v>
      </c>
      <c r="T51" s="904">
        <v>0</v>
      </c>
      <c r="U51" s="957">
        <f t="shared" si="27"/>
        <v>42.77</v>
      </c>
      <c r="V51" s="905"/>
      <c r="W51" s="906">
        <f t="shared" si="14"/>
        <v>0</v>
      </c>
      <c r="X51" s="906">
        <f t="shared" si="15"/>
        <v>0</v>
      </c>
      <c r="Y51" s="906">
        <f t="shared" si="16"/>
        <v>0</v>
      </c>
      <c r="Z51" s="909">
        <f t="shared" si="17"/>
        <v>0</v>
      </c>
      <c r="AA51" s="909">
        <f t="shared" si="18"/>
        <v>0</v>
      </c>
      <c r="AB51" s="909">
        <f t="shared" si="19"/>
        <v>1</v>
      </c>
      <c r="AC51" s="909">
        <f t="shared" si="20"/>
        <v>0</v>
      </c>
      <c r="AD51" s="909">
        <f t="shared" si="21"/>
        <v>0</v>
      </c>
      <c r="AE51" s="909">
        <f t="shared" si="22"/>
        <v>0</v>
      </c>
      <c r="AF51" s="909">
        <f t="shared" si="23"/>
        <v>0</v>
      </c>
      <c r="AG51" s="909">
        <f t="shared" si="24"/>
        <v>0</v>
      </c>
      <c r="AH51" s="909">
        <f t="shared" si="25"/>
        <v>0</v>
      </c>
      <c r="AI51" s="907">
        <f t="shared" si="8"/>
        <v>8.3333333333333329E-2</v>
      </c>
      <c r="AL51" s="1140">
        <f t="shared" ca="1" si="9"/>
        <v>-9.5279237275310535</v>
      </c>
      <c r="AN51" s="1140">
        <f t="shared" ca="1" si="10"/>
        <v>-9.5279237275310535</v>
      </c>
      <c r="AP51" s="1140">
        <f t="shared" ca="1" si="11"/>
        <v>33.24207627246895</v>
      </c>
      <c r="AR51" s="1140">
        <f t="shared" ca="1" si="12"/>
        <v>33.24207627246895</v>
      </c>
    </row>
    <row r="52" spans="1:44">
      <c r="A52" s="884" t="str">
        <f t="shared" si="4"/>
        <v>FORT LEWISCommercialREINSTATE-COMM</v>
      </c>
      <c r="B52" s="889" t="s">
        <v>2186</v>
      </c>
      <c r="C52" s="889" t="s">
        <v>2187</v>
      </c>
      <c r="D52" s="889" t="s">
        <v>2137</v>
      </c>
      <c r="E52" s="883">
        <v>33001</v>
      </c>
      <c r="F52" s="904">
        <v>12.65</v>
      </c>
      <c r="G52" s="904">
        <v>12.65</v>
      </c>
      <c r="H52" s="904"/>
      <c r="I52" s="904">
        <v>0</v>
      </c>
      <c r="J52" s="904">
        <v>25.3</v>
      </c>
      <c r="K52" s="904">
        <v>0</v>
      </c>
      <c r="L52" s="904">
        <v>12.65</v>
      </c>
      <c r="M52" s="904">
        <v>0</v>
      </c>
      <c r="N52" s="904">
        <v>0</v>
      </c>
      <c r="O52" s="904">
        <v>0</v>
      </c>
      <c r="P52" s="904">
        <v>0</v>
      </c>
      <c r="Q52" s="904">
        <v>0</v>
      </c>
      <c r="R52" s="904">
        <v>0</v>
      </c>
      <c r="S52" s="904">
        <v>0</v>
      </c>
      <c r="T52" s="904">
        <v>0</v>
      </c>
      <c r="U52" s="957">
        <f t="shared" si="27"/>
        <v>37.950000000000003</v>
      </c>
      <c r="V52" s="905"/>
      <c r="W52" s="906">
        <f t="shared" si="14"/>
        <v>0</v>
      </c>
      <c r="X52" s="906">
        <f t="shared" si="15"/>
        <v>2</v>
      </c>
      <c r="Y52" s="906">
        <f t="shared" si="16"/>
        <v>0</v>
      </c>
      <c r="Z52" s="909">
        <f t="shared" si="17"/>
        <v>1</v>
      </c>
      <c r="AA52" s="909">
        <f t="shared" si="18"/>
        <v>0</v>
      </c>
      <c r="AB52" s="909">
        <f t="shared" si="19"/>
        <v>0</v>
      </c>
      <c r="AC52" s="909">
        <f t="shared" si="20"/>
        <v>0</v>
      </c>
      <c r="AD52" s="909">
        <f t="shared" si="21"/>
        <v>0</v>
      </c>
      <c r="AE52" s="909">
        <f t="shared" si="22"/>
        <v>0</v>
      </c>
      <c r="AF52" s="909">
        <f t="shared" si="23"/>
        <v>0</v>
      </c>
      <c r="AG52" s="909">
        <f t="shared" si="24"/>
        <v>0</v>
      </c>
      <c r="AH52" s="909">
        <f t="shared" si="25"/>
        <v>0</v>
      </c>
      <c r="AI52" s="907">
        <f t="shared" si="8"/>
        <v>0.25</v>
      </c>
      <c r="AL52" s="1140">
        <f t="shared" ca="1" si="9"/>
        <v>-2.8180555331603423</v>
      </c>
      <c r="AN52" s="1140">
        <f t="shared" ca="1" si="10"/>
        <v>-8.4541665994810273</v>
      </c>
      <c r="AP52" s="1140">
        <f t="shared" ca="1" si="11"/>
        <v>9.8319444668396585</v>
      </c>
      <c r="AR52" s="1140">
        <f t="shared" ca="1" si="12"/>
        <v>29.495833400518976</v>
      </c>
    </row>
    <row r="53" spans="1:44">
      <c r="A53" s="884" t="str">
        <f t="shared" si="4"/>
        <v>FORT LEWISCommercialSP2-COMM</v>
      </c>
      <c r="B53" s="889" t="s">
        <v>2200</v>
      </c>
      <c r="C53" s="889" t="s">
        <v>2201</v>
      </c>
      <c r="D53" s="889" t="s">
        <v>2137</v>
      </c>
      <c r="E53" s="883">
        <v>33001</v>
      </c>
      <c r="F53" s="904">
        <v>46.06</v>
      </c>
      <c r="G53" s="904">
        <v>46.64</v>
      </c>
      <c r="H53" s="904"/>
      <c r="I53" s="904">
        <v>0</v>
      </c>
      <c r="J53" s="904">
        <v>0</v>
      </c>
      <c r="K53" s="904">
        <v>0</v>
      </c>
      <c r="L53" s="904">
        <v>0</v>
      </c>
      <c r="M53" s="904">
        <v>0</v>
      </c>
      <c r="N53" s="904">
        <v>46.64</v>
      </c>
      <c r="O53" s="904">
        <v>0</v>
      </c>
      <c r="P53" s="904">
        <v>0</v>
      </c>
      <c r="Q53" s="904">
        <v>0</v>
      </c>
      <c r="R53" s="904">
        <v>0</v>
      </c>
      <c r="S53" s="904">
        <v>0</v>
      </c>
      <c r="T53" s="904">
        <v>0</v>
      </c>
      <c r="U53" s="957">
        <f t="shared" si="27"/>
        <v>46.64</v>
      </c>
      <c r="V53" s="905"/>
      <c r="W53" s="906">
        <f t="shared" si="14"/>
        <v>0</v>
      </c>
      <c r="X53" s="906">
        <f t="shared" si="15"/>
        <v>0</v>
      </c>
      <c r="Y53" s="906">
        <f t="shared" si="16"/>
        <v>0</v>
      </c>
      <c r="Z53" s="909">
        <f t="shared" si="17"/>
        <v>0</v>
      </c>
      <c r="AA53" s="909">
        <f t="shared" si="18"/>
        <v>0</v>
      </c>
      <c r="AB53" s="909">
        <f t="shared" si="19"/>
        <v>1</v>
      </c>
      <c r="AC53" s="909">
        <f t="shared" si="20"/>
        <v>0</v>
      </c>
      <c r="AD53" s="909">
        <f t="shared" si="21"/>
        <v>0</v>
      </c>
      <c r="AE53" s="909">
        <f t="shared" si="22"/>
        <v>0</v>
      </c>
      <c r="AF53" s="909">
        <f t="shared" si="23"/>
        <v>0</v>
      </c>
      <c r="AG53" s="909">
        <f t="shared" si="24"/>
        <v>0</v>
      </c>
      <c r="AH53" s="909">
        <f t="shared" si="25"/>
        <v>0</v>
      </c>
      <c r="AI53" s="907">
        <f t="shared" si="8"/>
        <v>8.3333333333333329E-2</v>
      </c>
      <c r="AL53" s="1140">
        <f t="shared" ca="1" si="9"/>
        <v>-10.390048226608565</v>
      </c>
      <c r="AN53" s="1140">
        <f t="shared" ca="1" si="10"/>
        <v>-10.390048226608563</v>
      </c>
      <c r="AP53" s="1140">
        <f t="shared" ca="1" si="11"/>
        <v>36.249951773391437</v>
      </c>
      <c r="AR53" s="1140">
        <f t="shared" ca="1" si="12"/>
        <v>36.249951773391437</v>
      </c>
    </row>
    <row r="54" spans="1:44">
      <c r="A54" s="884" t="str">
        <f t="shared" si="4"/>
        <v>FORT LEWISCommercialSP6-COMM</v>
      </c>
      <c r="B54" s="889" t="s">
        <v>2206</v>
      </c>
      <c r="C54" s="889" t="s">
        <v>2207</v>
      </c>
      <c r="D54" s="889" t="s">
        <v>2137</v>
      </c>
      <c r="E54" s="883">
        <v>33001</v>
      </c>
      <c r="F54" s="904">
        <v>87.18</v>
      </c>
      <c r="G54" s="904">
        <v>88.69</v>
      </c>
      <c r="H54" s="904"/>
      <c r="I54" s="904">
        <v>0</v>
      </c>
      <c r="J54" s="904">
        <v>87.18</v>
      </c>
      <c r="K54" s="904">
        <v>0</v>
      </c>
      <c r="L54" s="904">
        <v>0</v>
      </c>
      <c r="M54" s="904">
        <v>0</v>
      </c>
      <c r="N54" s="904">
        <v>0</v>
      </c>
      <c r="O54" s="904">
        <v>0</v>
      </c>
      <c r="P54" s="904">
        <v>0</v>
      </c>
      <c r="Q54" s="904">
        <v>88.69</v>
      </c>
      <c r="R54" s="904">
        <v>0</v>
      </c>
      <c r="S54" s="904">
        <v>0</v>
      </c>
      <c r="T54" s="904">
        <v>0</v>
      </c>
      <c r="U54" s="957">
        <f t="shared" si="27"/>
        <v>175.87</v>
      </c>
      <c r="V54" s="905"/>
      <c r="W54" s="906">
        <f t="shared" si="14"/>
        <v>0</v>
      </c>
      <c r="X54" s="906">
        <f t="shared" si="15"/>
        <v>1</v>
      </c>
      <c r="Y54" s="906">
        <f t="shared" si="16"/>
        <v>0</v>
      </c>
      <c r="Z54" s="909">
        <f t="shared" si="17"/>
        <v>0</v>
      </c>
      <c r="AA54" s="909">
        <f t="shared" si="18"/>
        <v>0</v>
      </c>
      <c r="AB54" s="909">
        <f t="shared" si="19"/>
        <v>0</v>
      </c>
      <c r="AC54" s="909">
        <f t="shared" si="20"/>
        <v>0</v>
      </c>
      <c r="AD54" s="909">
        <f t="shared" si="21"/>
        <v>0</v>
      </c>
      <c r="AE54" s="909">
        <f t="shared" si="22"/>
        <v>1</v>
      </c>
      <c r="AF54" s="909">
        <f t="shared" si="23"/>
        <v>0</v>
      </c>
      <c r="AG54" s="909">
        <f t="shared" si="24"/>
        <v>0</v>
      </c>
      <c r="AH54" s="909">
        <f t="shared" si="25"/>
        <v>0</v>
      </c>
      <c r="AI54" s="907">
        <f t="shared" si="8"/>
        <v>0.16666666666666666</v>
      </c>
      <c r="AL54" s="1140">
        <f t="shared" ca="1" si="9"/>
        <v>-19.757576698497292</v>
      </c>
      <c r="AN54" s="1140">
        <f t="shared" ca="1" si="10"/>
        <v>-39.515153396994585</v>
      </c>
      <c r="AP54" s="1140">
        <f t="shared" ca="1" si="11"/>
        <v>68.932423301502709</v>
      </c>
      <c r="AR54" s="1140">
        <f t="shared" ca="1" si="12"/>
        <v>136.35484660300543</v>
      </c>
    </row>
    <row r="55" spans="1:44">
      <c r="A55" s="884" t="str">
        <f>$B$3&amp;"SURC"&amp;B55</f>
        <v>FORT LEWISSURCCOMMODITY SURCHARGE</v>
      </c>
      <c r="B55" s="889" t="s">
        <v>2346</v>
      </c>
      <c r="C55" s="889" t="s">
        <v>2346</v>
      </c>
      <c r="D55" s="889"/>
      <c r="F55" s="904">
        <v>0</v>
      </c>
      <c r="G55" s="904">
        <v>0</v>
      </c>
      <c r="H55" s="904"/>
      <c r="I55" s="904">
        <v>15.09</v>
      </c>
      <c r="J55" s="904">
        <v>16.66</v>
      </c>
      <c r="K55" s="904">
        <v>173.28</v>
      </c>
      <c r="L55" s="904">
        <v>266.61</v>
      </c>
      <c r="M55" s="904">
        <v>282.39999999999998</v>
      </c>
      <c r="N55" s="904">
        <v>299.85000000000002</v>
      </c>
      <c r="O55" s="904">
        <v>298.97000000000003</v>
      </c>
      <c r="P55" s="904">
        <v>321.8</v>
      </c>
      <c r="Q55" s="904">
        <v>318.20999999999998</v>
      </c>
      <c r="R55" s="904">
        <v>336</v>
      </c>
      <c r="S55" s="904">
        <v>350.64</v>
      </c>
      <c r="T55" s="904">
        <v>360.8</v>
      </c>
      <c r="U55" s="957">
        <f t="shared" ref="U55" si="28">SUM(I55:T55)</f>
        <v>3040.31</v>
      </c>
      <c r="V55" s="905"/>
      <c r="W55" s="906">
        <f t="shared" si="14"/>
        <v>0</v>
      </c>
      <c r="X55" s="906">
        <f t="shared" si="15"/>
        <v>0</v>
      </c>
      <c r="Y55" s="906">
        <f t="shared" si="16"/>
        <v>0</v>
      </c>
      <c r="Z55" s="909">
        <f t="shared" si="17"/>
        <v>0</v>
      </c>
      <c r="AA55" s="909">
        <f t="shared" si="18"/>
        <v>0</v>
      </c>
      <c r="AB55" s="909">
        <f t="shared" si="19"/>
        <v>0</v>
      </c>
      <c r="AC55" s="909">
        <f t="shared" si="20"/>
        <v>0</v>
      </c>
      <c r="AD55" s="909">
        <f t="shared" si="21"/>
        <v>0</v>
      </c>
      <c r="AE55" s="909">
        <f t="shared" si="22"/>
        <v>0</v>
      </c>
      <c r="AF55" s="909">
        <f t="shared" si="23"/>
        <v>0</v>
      </c>
      <c r="AG55" s="909">
        <f t="shared" si="24"/>
        <v>0</v>
      </c>
      <c r="AH55" s="909">
        <f t="shared" si="25"/>
        <v>0</v>
      </c>
      <c r="AI55" s="907">
        <f t="shared" si="8"/>
        <v>0</v>
      </c>
      <c r="AL55" s="1140">
        <f t="shared" ref="AL55" ca="1" si="29">G55*$AL$2</f>
        <v>0</v>
      </c>
      <c r="AN55" s="1140">
        <f t="shared" ca="1" si="10"/>
        <v>0</v>
      </c>
      <c r="AP55" s="1140">
        <f t="shared" ca="1" si="11"/>
        <v>0</v>
      </c>
      <c r="AR55" s="1140">
        <f t="shared" ca="1" si="12"/>
        <v>3040.31</v>
      </c>
    </row>
    <row r="56" spans="1:44" ht="14.25">
      <c r="B56" s="939"/>
      <c r="C56" s="889"/>
      <c r="D56" s="889"/>
      <c r="F56" s="904"/>
      <c r="G56" s="904"/>
      <c r="H56" s="904"/>
      <c r="I56" s="904"/>
      <c r="J56" s="904"/>
      <c r="K56" s="904"/>
      <c r="L56" s="904"/>
      <c r="M56" s="904"/>
      <c r="N56" s="904"/>
      <c r="O56" s="904"/>
      <c r="P56" s="904"/>
      <c r="Q56" s="904"/>
      <c r="R56" s="904"/>
      <c r="S56" s="904"/>
      <c r="T56" s="904"/>
      <c r="U56" s="909"/>
      <c r="V56" s="905"/>
      <c r="W56" s="906"/>
      <c r="X56" s="906"/>
      <c r="Y56" s="906"/>
      <c r="Z56" s="909"/>
      <c r="AA56" s="909"/>
      <c r="AB56" s="909"/>
      <c r="AC56" s="909"/>
      <c r="AD56" s="909"/>
      <c r="AE56" s="909"/>
      <c r="AF56" s="909"/>
      <c r="AG56" s="909"/>
      <c r="AH56" s="909"/>
      <c r="AL56" s="1140"/>
      <c r="AN56" s="1140"/>
      <c r="AP56" s="1140"/>
      <c r="AR56" s="1140"/>
    </row>
    <row r="57" spans="1:44">
      <c r="B57" s="889"/>
      <c r="C57" s="910" t="s">
        <v>2224</v>
      </c>
      <c r="D57" s="889"/>
      <c r="E57" s="940"/>
      <c r="F57" s="904"/>
      <c r="G57" s="904"/>
      <c r="H57" s="911"/>
      <c r="I57" s="912">
        <f t="shared" ref="I57:U57" si="30">SUM(I22:I55)</f>
        <v>17308.89</v>
      </c>
      <c r="J57" s="912">
        <f t="shared" si="30"/>
        <v>16846.499999999996</v>
      </c>
      <c r="K57" s="912">
        <f t="shared" si="30"/>
        <v>18285.229999999992</v>
      </c>
      <c r="L57" s="912">
        <f t="shared" si="30"/>
        <v>18880.090000000004</v>
      </c>
      <c r="M57" s="912">
        <f t="shared" si="30"/>
        <v>18908.960000000006</v>
      </c>
      <c r="N57" s="912">
        <f t="shared" si="30"/>
        <v>18634.440000000002</v>
      </c>
      <c r="O57" s="912">
        <f t="shared" si="30"/>
        <v>18177.810000000001</v>
      </c>
      <c r="P57" s="912">
        <f t="shared" si="30"/>
        <v>18630.2</v>
      </c>
      <c r="Q57" s="912">
        <f t="shared" si="30"/>
        <v>18626.2</v>
      </c>
      <c r="R57" s="912">
        <f t="shared" si="30"/>
        <v>18440.29</v>
      </c>
      <c r="S57" s="912">
        <f t="shared" si="30"/>
        <v>18572.940000000002</v>
      </c>
      <c r="T57" s="912">
        <f t="shared" si="30"/>
        <v>18500.520000000008</v>
      </c>
      <c r="U57" s="912">
        <f t="shared" si="30"/>
        <v>219812.07</v>
      </c>
      <c r="V57" s="914"/>
      <c r="W57" s="913">
        <f t="shared" ref="W57:AH57" si="31">+SUM(W22:W38,W41:W43)</f>
        <v>80.000081804715194</v>
      </c>
      <c r="X57" s="913">
        <f t="shared" si="31"/>
        <v>77.692309393487037</v>
      </c>
      <c r="Y57" s="913">
        <f t="shared" si="31"/>
        <v>80</v>
      </c>
      <c r="Z57" s="913">
        <f t="shared" si="31"/>
        <v>78.979150568052134</v>
      </c>
      <c r="AA57" s="913">
        <f t="shared" si="31"/>
        <v>78.479058293264416</v>
      </c>
      <c r="AB57" s="913">
        <f t="shared" si="31"/>
        <v>78.579105937649715</v>
      </c>
      <c r="AC57" s="913">
        <f t="shared" si="31"/>
        <v>77.979123439844216</v>
      </c>
      <c r="AD57" s="913">
        <f t="shared" si="31"/>
        <v>80.229104402668156</v>
      </c>
      <c r="AE57" s="913">
        <f t="shared" si="31"/>
        <v>80.600016332530316</v>
      </c>
      <c r="AF57" s="913">
        <f t="shared" si="31"/>
        <v>79.25</v>
      </c>
      <c r="AG57" s="913">
        <f t="shared" si="31"/>
        <v>82.036235453219206</v>
      </c>
      <c r="AH57" s="913">
        <f t="shared" si="31"/>
        <v>81.576944929706883</v>
      </c>
      <c r="AI57" s="913">
        <f>AVERAGE(W57:AH57)</f>
        <v>79.616760879594779</v>
      </c>
      <c r="AJ57" s="1238" t="s">
        <v>2362</v>
      </c>
      <c r="AK57" s="1239">
        <f>SUM(AI41:AI43)</f>
        <v>20</v>
      </c>
      <c r="AL57" s="1140"/>
      <c r="AN57" s="1143">
        <f ca="1">SUM(AN22:AN55)</f>
        <v>-48532.527080251857</v>
      </c>
      <c r="AP57" s="1140"/>
      <c r="AR57" s="1143">
        <f t="shared" ref="AR57" ca="1" si="32">SUM(AR22:AR55)</f>
        <v>171279.54291974817</v>
      </c>
    </row>
    <row r="58" spans="1:44">
      <c r="B58" s="889"/>
      <c r="C58" s="910"/>
      <c r="D58" s="889"/>
      <c r="E58" s="940"/>
      <c r="F58" s="904"/>
      <c r="G58" s="904"/>
      <c r="H58" s="911"/>
      <c r="I58" s="904"/>
      <c r="J58" s="904"/>
      <c r="K58" s="904"/>
      <c r="L58" s="904"/>
      <c r="M58" s="904"/>
      <c r="N58" s="904"/>
      <c r="O58" s="904"/>
      <c r="P58" s="904"/>
      <c r="Q58" s="904"/>
      <c r="R58" s="904"/>
      <c r="S58" s="904"/>
      <c r="T58" s="904"/>
      <c r="U58" s="914"/>
      <c r="V58" s="914"/>
      <c r="W58" s="906"/>
      <c r="X58" s="906"/>
      <c r="Y58" s="906"/>
      <c r="Z58" s="909"/>
      <c r="AA58" s="909"/>
      <c r="AB58" s="909"/>
      <c r="AC58" s="909"/>
      <c r="AD58" s="909"/>
      <c r="AE58" s="909"/>
      <c r="AF58" s="909"/>
      <c r="AG58" s="909"/>
      <c r="AH58" s="909"/>
      <c r="AJ58" s="1238" t="s">
        <v>926</v>
      </c>
      <c r="AK58" s="1239">
        <f>AI57-AK57</f>
        <v>59.616760879594779</v>
      </c>
      <c r="AL58" s="1140"/>
      <c r="AN58" s="1140"/>
      <c r="AP58" s="1140"/>
      <c r="AR58" s="1140"/>
    </row>
    <row r="59" spans="1:44">
      <c r="B59" s="889"/>
      <c r="C59" s="889"/>
      <c r="D59" s="889"/>
      <c r="E59" s="940"/>
      <c r="F59" s="904"/>
      <c r="G59" s="904"/>
      <c r="H59" s="911"/>
      <c r="I59" s="904"/>
      <c r="J59" s="904"/>
      <c r="K59" s="904"/>
      <c r="L59" s="904"/>
      <c r="M59" s="904"/>
      <c r="N59" s="904"/>
      <c r="O59" s="904"/>
      <c r="P59" s="904"/>
      <c r="Q59" s="904"/>
      <c r="R59" s="904"/>
      <c r="S59" s="904"/>
      <c r="T59" s="904"/>
      <c r="U59" s="911"/>
      <c r="V59" s="945"/>
      <c r="W59" s="906"/>
      <c r="X59" s="906"/>
      <c r="Y59" s="906"/>
      <c r="Z59" s="909"/>
      <c r="AA59" s="909"/>
      <c r="AB59" s="909"/>
      <c r="AC59" s="909"/>
      <c r="AD59" s="909"/>
      <c r="AE59" s="909"/>
      <c r="AF59" s="909"/>
      <c r="AG59" s="909"/>
      <c r="AH59" s="909"/>
      <c r="AL59" s="1140"/>
      <c r="AN59" s="1140"/>
      <c r="AP59" s="1140"/>
      <c r="AR59" s="1140"/>
    </row>
    <row r="60" spans="1:44">
      <c r="F60" s="904"/>
      <c r="G60" s="904"/>
      <c r="I60" s="904"/>
      <c r="J60" s="904"/>
      <c r="K60" s="904"/>
      <c r="L60" s="904"/>
      <c r="M60" s="904"/>
      <c r="N60" s="904"/>
      <c r="O60" s="904"/>
      <c r="P60" s="904"/>
      <c r="Q60" s="904"/>
      <c r="R60" s="904"/>
      <c r="S60" s="904"/>
      <c r="T60" s="904"/>
      <c r="U60" s="976"/>
      <c r="V60" s="983"/>
      <c r="W60" s="906"/>
      <c r="X60" s="906"/>
      <c r="Y60" s="906"/>
      <c r="Z60" s="909"/>
      <c r="AA60" s="909"/>
      <c r="AB60" s="909"/>
      <c r="AC60" s="909"/>
      <c r="AD60" s="909"/>
      <c r="AE60" s="909"/>
      <c r="AF60" s="909"/>
      <c r="AG60" s="909"/>
      <c r="AH60" s="909"/>
      <c r="AL60" s="1140"/>
      <c r="AN60" s="1140"/>
      <c r="AP60" s="1140"/>
      <c r="AR60" s="1140"/>
    </row>
    <row r="61" spans="1:44">
      <c r="F61" s="904"/>
      <c r="G61" s="904"/>
      <c r="I61" s="904"/>
      <c r="J61" s="904"/>
      <c r="K61" s="904"/>
      <c r="L61" s="904"/>
      <c r="M61" s="904"/>
      <c r="N61" s="904"/>
      <c r="O61" s="904"/>
      <c r="P61" s="904"/>
      <c r="Q61" s="904"/>
      <c r="R61" s="904"/>
      <c r="S61" s="904"/>
      <c r="T61" s="904"/>
      <c r="U61" s="882"/>
      <c r="V61" s="889"/>
      <c r="W61" s="906"/>
      <c r="X61" s="906"/>
      <c r="Y61" s="906"/>
      <c r="Z61" s="909"/>
      <c r="AA61" s="909"/>
      <c r="AB61" s="909"/>
      <c r="AC61" s="909"/>
      <c r="AD61" s="909"/>
      <c r="AE61" s="909"/>
      <c r="AF61" s="909"/>
      <c r="AG61" s="909"/>
      <c r="AH61" s="909"/>
      <c r="AL61" s="1140"/>
      <c r="AN61" s="1140"/>
      <c r="AP61" s="1140"/>
      <c r="AR61" s="933">
        <f t="shared" ref="AR61" ca="1" si="33">AR57</f>
        <v>171279.54291974817</v>
      </c>
    </row>
    <row r="62" spans="1:44" s="921" customFormat="1">
      <c r="B62" s="881" t="s">
        <v>2231</v>
      </c>
      <c r="C62" s="881"/>
      <c r="D62" s="881"/>
      <c r="E62" s="892"/>
      <c r="F62" s="904"/>
      <c r="G62" s="904"/>
      <c r="H62" s="881"/>
      <c r="I62" s="933">
        <f>I57</f>
        <v>17308.89</v>
      </c>
      <c r="J62" s="933">
        <f t="shared" ref="J62:U62" si="34">J57</f>
        <v>16846.499999999996</v>
      </c>
      <c r="K62" s="933">
        <f t="shared" si="34"/>
        <v>18285.229999999992</v>
      </c>
      <c r="L62" s="933">
        <f t="shared" si="34"/>
        <v>18880.090000000004</v>
      </c>
      <c r="M62" s="933">
        <f t="shared" si="34"/>
        <v>18908.960000000006</v>
      </c>
      <c r="N62" s="933">
        <f t="shared" si="34"/>
        <v>18634.440000000002</v>
      </c>
      <c r="O62" s="933">
        <f t="shared" si="34"/>
        <v>18177.810000000001</v>
      </c>
      <c r="P62" s="933">
        <f t="shared" si="34"/>
        <v>18630.2</v>
      </c>
      <c r="Q62" s="933">
        <f t="shared" si="34"/>
        <v>18626.2</v>
      </c>
      <c r="R62" s="933">
        <f t="shared" si="34"/>
        <v>18440.29</v>
      </c>
      <c r="S62" s="933">
        <f t="shared" si="34"/>
        <v>18572.940000000002</v>
      </c>
      <c r="T62" s="933">
        <f t="shared" si="34"/>
        <v>18500.520000000008</v>
      </c>
      <c r="U62" s="933">
        <f t="shared" si="34"/>
        <v>219812.07</v>
      </c>
      <c r="V62" s="942"/>
      <c r="W62" s="906"/>
      <c r="X62" s="906"/>
      <c r="Y62" s="906"/>
      <c r="Z62" s="909"/>
      <c r="AA62" s="909"/>
      <c r="AB62" s="909"/>
      <c r="AC62" s="909"/>
      <c r="AD62" s="909"/>
      <c r="AE62" s="909"/>
      <c r="AF62" s="909"/>
      <c r="AG62" s="909"/>
      <c r="AH62" s="909"/>
      <c r="AL62" s="1137"/>
      <c r="AM62" s="1137"/>
      <c r="AN62" s="1137"/>
      <c r="AO62" s="1137"/>
      <c r="AP62" s="1137"/>
      <c r="AQ62" s="1137"/>
      <c r="AR62" s="1137"/>
    </row>
    <row r="63" spans="1:44">
      <c r="F63" s="904"/>
      <c r="G63" s="904"/>
      <c r="I63" s="904"/>
      <c r="J63" s="904"/>
      <c r="K63" s="904"/>
      <c r="L63" s="904"/>
      <c r="M63" s="904"/>
      <c r="N63" s="904"/>
      <c r="O63" s="904"/>
      <c r="P63" s="904"/>
      <c r="Q63" s="904"/>
      <c r="R63" s="904"/>
      <c r="S63" s="904"/>
      <c r="T63" s="904"/>
      <c r="U63" s="882"/>
      <c r="V63" s="889"/>
      <c r="W63" s="906"/>
      <c r="X63" s="906"/>
      <c r="Y63" s="906"/>
      <c r="Z63" s="909"/>
      <c r="AA63" s="909"/>
      <c r="AB63" s="909"/>
      <c r="AC63" s="909"/>
      <c r="AD63" s="909"/>
      <c r="AE63" s="909"/>
      <c r="AF63" s="909"/>
      <c r="AG63" s="909"/>
      <c r="AH63" s="909"/>
    </row>
    <row r="64" spans="1:44">
      <c r="B64" s="898" t="s">
        <v>2232</v>
      </c>
      <c r="C64" s="898"/>
      <c r="D64" s="898"/>
      <c r="F64" s="904"/>
      <c r="G64" s="904"/>
      <c r="H64" s="899"/>
      <c r="I64" s="904"/>
      <c r="J64" s="904"/>
      <c r="K64" s="904"/>
      <c r="L64" s="904"/>
      <c r="M64" s="904"/>
      <c r="N64" s="904"/>
      <c r="O64" s="904"/>
      <c r="P64" s="904"/>
      <c r="Q64" s="904"/>
      <c r="R64" s="904"/>
      <c r="S64" s="904"/>
      <c r="T64" s="904"/>
      <c r="U64" s="973"/>
      <c r="V64" s="887"/>
      <c r="W64" s="906"/>
      <c r="X64" s="906"/>
      <c r="Y64" s="906"/>
      <c r="Z64" s="909"/>
      <c r="AA64" s="909"/>
      <c r="AB64" s="909"/>
      <c r="AC64" s="909"/>
      <c r="AD64" s="909"/>
      <c r="AE64" s="909"/>
      <c r="AF64" s="909"/>
      <c r="AG64" s="909"/>
      <c r="AH64" s="909"/>
    </row>
    <row r="65" spans="1:44">
      <c r="B65" s="898"/>
      <c r="C65" s="898"/>
      <c r="D65" s="898"/>
      <c r="F65" s="904"/>
      <c r="G65" s="904"/>
      <c r="H65" s="899"/>
      <c r="I65" s="904"/>
      <c r="J65" s="904"/>
      <c r="K65" s="904"/>
      <c r="L65" s="904"/>
      <c r="M65" s="904"/>
      <c r="N65" s="904"/>
      <c r="O65" s="904"/>
      <c r="P65" s="904"/>
      <c r="Q65" s="904"/>
      <c r="R65" s="904"/>
      <c r="S65" s="904"/>
      <c r="T65" s="904"/>
      <c r="U65" s="973"/>
      <c r="W65" s="906"/>
      <c r="X65" s="906"/>
      <c r="Y65" s="906"/>
      <c r="Z65" s="909"/>
      <c r="AA65" s="909"/>
      <c r="AB65" s="909"/>
      <c r="AC65" s="909"/>
      <c r="AD65" s="909"/>
      <c r="AE65" s="909"/>
      <c r="AF65" s="909"/>
      <c r="AG65" s="909"/>
      <c r="AH65" s="909"/>
    </row>
    <row r="66" spans="1:44">
      <c r="B66" s="918" t="s">
        <v>2233</v>
      </c>
      <c r="C66" s="889"/>
      <c r="D66" s="889"/>
      <c r="F66" s="904"/>
      <c r="G66" s="904"/>
      <c r="H66" s="944"/>
      <c r="I66" s="904"/>
      <c r="J66" s="904"/>
      <c r="K66" s="904"/>
      <c r="L66" s="904"/>
      <c r="M66" s="904"/>
      <c r="N66" s="904"/>
      <c r="O66" s="904"/>
      <c r="P66" s="904"/>
      <c r="Q66" s="904"/>
      <c r="R66" s="904"/>
      <c r="S66" s="904"/>
      <c r="T66" s="904"/>
      <c r="U66" s="944"/>
      <c r="V66" s="945"/>
      <c r="W66" s="906"/>
      <c r="X66" s="906"/>
      <c r="Y66" s="906"/>
      <c r="Z66" s="909"/>
      <c r="AA66" s="909"/>
      <c r="AB66" s="909"/>
      <c r="AC66" s="909"/>
      <c r="AD66" s="909"/>
      <c r="AE66" s="909"/>
      <c r="AF66" s="909"/>
      <c r="AG66" s="909"/>
      <c r="AH66" s="909"/>
      <c r="AL66" s="1140">
        <f ca="1">G66*$AL$2</f>
        <v>0</v>
      </c>
      <c r="AN66" s="1140">
        <f t="shared" ref="AN66:AN92" ca="1" si="35">AI66*AL66*12</f>
        <v>0</v>
      </c>
      <c r="AP66" s="1140">
        <f t="shared" ref="AP66:AP92" ca="1" si="36">G66+AL66</f>
        <v>0</v>
      </c>
      <c r="AR66" s="1140">
        <f t="shared" ref="AR66:AR92" ca="1" si="37">U66+AN66</f>
        <v>0</v>
      </c>
    </row>
    <row r="67" spans="1:44">
      <c r="A67" s="884" t="str">
        <f t="shared" ref="A67:A93" si="38">$B$3&amp;"Rolloff"&amp;B67</f>
        <v>FORT LEWISRolloffHAUL20-RO</v>
      </c>
      <c r="B67" s="889" t="s">
        <v>2234</v>
      </c>
      <c r="C67" s="889" t="s">
        <v>2235</v>
      </c>
      <c r="D67" s="889" t="s">
        <v>2236</v>
      </c>
      <c r="E67" s="883">
        <v>31000</v>
      </c>
      <c r="F67" s="904">
        <v>152</v>
      </c>
      <c r="G67" s="904">
        <v>152</v>
      </c>
      <c r="H67" s="904"/>
      <c r="I67" s="904">
        <v>456</v>
      </c>
      <c r="J67" s="904">
        <v>1216</v>
      </c>
      <c r="K67" s="904">
        <v>1064</v>
      </c>
      <c r="L67" s="904">
        <v>760</v>
      </c>
      <c r="M67" s="904">
        <v>1216</v>
      </c>
      <c r="N67" s="904">
        <v>912</v>
      </c>
      <c r="O67" s="904">
        <v>608</v>
      </c>
      <c r="P67" s="904">
        <v>912</v>
      </c>
      <c r="Q67" s="904">
        <v>760</v>
      </c>
      <c r="R67" s="904">
        <v>608</v>
      </c>
      <c r="S67" s="904">
        <v>760</v>
      </c>
      <c r="T67" s="904">
        <v>304</v>
      </c>
      <c r="U67" s="957">
        <f t="shared" ref="U67:U93" si="39">SUM(I67:T67)</f>
        <v>9576</v>
      </c>
      <c r="V67" s="905"/>
      <c r="W67" s="906">
        <f t="shared" ref="W67:Y93" si="40">IFERROR(I67/$F67,0)</f>
        <v>3</v>
      </c>
      <c r="X67" s="906">
        <f t="shared" si="40"/>
        <v>8</v>
      </c>
      <c r="Y67" s="906">
        <f t="shared" si="40"/>
        <v>7</v>
      </c>
      <c r="Z67" s="909">
        <f t="shared" ref="Z67:AH93" si="41">IFERROR(L67/$G67,0)</f>
        <v>5</v>
      </c>
      <c r="AA67" s="909">
        <f t="shared" si="41"/>
        <v>8</v>
      </c>
      <c r="AB67" s="909">
        <f t="shared" si="41"/>
        <v>6</v>
      </c>
      <c r="AC67" s="909">
        <f t="shared" si="41"/>
        <v>4</v>
      </c>
      <c r="AD67" s="909">
        <f t="shared" si="41"/>
        <v>6</v>
      </c>
      <c r="AE67" s="909">
        <f t="shared" si="41"/>
        <v>5</v>
      </c>
      <c r="AF67" s="909">
        <f t="shared" si="41"/>
        <v>4</v>
      </c>
      <c r="AG67" s="909">
        <f t="shared" si="41"/>
        <v>5</v>
      </c>
      <c r="AH67" s="909">
        <f t="shared" si="41"/>
        <v>2</v>
      </c>
      <c r="AI67" s="907">
        <f t="shared" ref="AI67:AI93" si="42">AVERAGE(W67:AH67)</f>
        <v>5.25</v>
      </c>
      <c r="AL67" s="1140">
        <f t="shared" ref="AL67:AL92" ca="1" si="43">G67*$AP$2</f>
        <v>-33.861220635602528</v>
      </c>
      <c r="AN67" s="1140">
        <f t="shared" ca="1" si="35"/>
        <v>-2133.2569000429594</v>
      </c>
      <c r="AP67" s="1140">
        <f t="shared" ca="1" si="36"/>
        <v>118.13877936439746</v>
      </c>
      <c r="AR67" s="1140">
        <f t="shared" ca="1" si="37"/>
        <v>7442.7430999570406</v>
      </c>
    </row>
    <row r="68" spans="1:44">
      <c r="A68" s="884" t="str">
        <f t="shared" si="38"/>
        <v>FORT LEWISRolloffHAUL30-RO</v>
      </c>
      <c r="B68" s="889" t="s">
        <v>2237</v>
      </c>
      <c r="C68" s="889" t="s">
        <v>2238</v>
      </c>
      <c r="D68" s="889" t="s">
        <v>2236</v>
      </c>
      <c r="E68" s="883">
        <v>31000</v>
      </c>
      <c r="F68" s="904">
        <v>159</v>
      </c>
      <c r="G68" s="904">
        <v>159</v>
      </c>
      <c r="H68" s="904"/>
      <c r="I68" s="904">
        <v>0</v>
      </c>
      <c r="J68" s="904">
        <v>159</v>
      </c>
      <c r="K68" s="904">
        <v>0</v>
      </c>
      <c r="L68" s="904">
        <v>159</v>
      </c>
      <c r="M68" s="904">
        <v>0</v>
      </c>
      <c r="N68" s="904">
        <v>0</v>
      </c>
      <c r="O68" s="904">
        <v>159</v>
      </c>
      <c r="P68" s="904">
        <v>0</v>
      </c>
      <c r="Q68" s="904">
        <v>636</v>
      </c>
      <c r="R68" s="904">
        <v>477</v>
      </c>
      <c r="S68" s="904">
        <v>636</v>
      </c>
      <c r="T68" s="904">
        <v>1590</v>
      </c>
      <c r="U68" s="957">
        <f t="shared" si="39"/>
        <v>3816</v>
      </c>
      <c r="V68" s="905"/>
      <c r="W68" s="906">
        <f t="shared" si="40"/>
        <v>0</v>
      </c>
      <c r="X68" s="906">
        <f t="shared" si="40"/>
        <v>1</v>
      </c>
      <c r="Y68" s="906">
        <f t="shared" si="40"/>
        <v>0</v>
      </c>
      <c r="Z68" s="909">
        <f t="shared" si="41"/>
        <v>1</v>
      </c>
      <c r="AA68" s="909">
        <f t="shared" si="41"/>
        <v>0</v>
      </c>
      <c r="AB68" s="909">
        <f t="shared" si="41"/>
        <v>0</v>
      </c>
      <c r="AC68" s="909">
        <f t="shared" si="41"/>
        <v>1</v>
      </c>
      <c r="AD68" s="909">
        <f t="shared" si="41"/>
        <v>0</v>
      </c>
      <c r="AE68" s="909">
        <f t="shared" si="41"/>
        <v>4</v>
      </c>
      <c r="AF68" s="909">
        <f t="shared" si="41"/>
        <v>3</v>
      </c>
      <c r="AG68" s="909">
        <f t="shared" si="41"/>
        <v>4</v>
      </c>
      <c r="AH68" s="909">
        <f t="shared" si="41"/>
        <v>10</v>
      </c>
      <c r="AI68" s="907">
        <f t="shared" si="42"/>
        <v>2</v>
      </c>
      <c r="AL68" s="1140">
        <f t="shared" ca="1" si="43"/>
        <v>-35.420618954347383</v>
      </c>
      <c r="AN68" s="1140">
        <f t="shared" ca="1" si="35"/>
        <v>-850.09485490433713</v>
      </c>
      <c r="AP68" s="1140">
        <f t="shared" ca="1" si="36"/>
        <v>123.57938104565261</v>
      </c>
      <c r="AR68" s="1140">
        <f t="shared" ca="1" si="37"/>
        <v>2965.9051450956631</v>
      </c>
    </row>
    <row r="69" spans="1:44">
      <c r="A69" s="884" t="str">
        <f t="shared" si="38"/>
        <v>FORT LEWISRolloffHAUL40-RO</v>
      </c>
      <c r="B69" s="889" t="s">
        <v>2239</v>
      </c>
      <c r="C69" s="889" t="s">
        <v>2240</v>
      </c>
      <c r="D69" s="889" t="s">
        <v>2236</v>
      </c>
      <c r="E69" s="883">
        <v>31000</v>
      </c>
      <c r="F69" s="904">
        <v>165</v>
      </c>
      <c r="G69" s="904">
        <v>165</v>
      </c>
      <c r="H69" s="904"/>
      <c r="I69" s="904">
        <v>660</v>
      </c>
      <c r="J69" s="904">
        <v>990</v>
      </c>
      <c r="K69" s="904">
        <v>495</v>
      </c>
      <c r="L69" s="904">
        <v>825</v>
      </c>
      <c r="M69" s="904">
        <v>990</v>
      </c>
      <c r="N69" s="904">
        <v>1155</v>
      </c>
      <c r="O69" s="904">
        <v>660</v>
      </c>
      <c r="P69" s="904">
        <v>495</v>
      </c>
      <c r="Q69" s="904">
        <v>825</v>
      </c>
      <c r="R69" s="904">
        <v>495</v>
      </c>
      <c r="S69" s="904">
        <v>0</v>
      </c>
      <c r="T69" s="904">
        <v>165</v>
      </c>
      <c r="U69" s="957">
        <f t="shared" si="39"/>
        <v>7755</v>
      </c>
      <c r="V69" s="905"/>
      <c r="W69" s="906">
        <f t="shared" si="40"/>
        <v>4</v>
      </c>
      <c r="X69" s="906">
        <f t="shared" si="40"/>
        <v>6</v>
      </c>
      <c r="Y69" s="906">
        <f t="shared" si="40"/>
        <v>3</v>
      </c>
      <c r="Z69" s="909">
        <f t="shared" si="41"/>
        <v>5</v>
      </c>
      <c r="AA69" s="909">
        <f t="shared" si="41"/>
        <v>6</v>
      </c>
      <c r="AB69" s="909">
        <f t="shared" si="41"/>
        <v>7</v>
      </c>
      <c r="AC69" s="909">
        <f t="shared" si="41"/>
        <v>4</v>
      </c>
      <c r="AD69" s="909">
        <f t="shared" si="41"/>
        <v>3</v>
      </c>
      <c r="AE69" s="909">
        <f t="shared" si="41"/>
        <v>5</v>
      </c>
      <c r="AF69" s="909">
        <f t="shared" si="41"/>
        <v>3</v>
      </c>
      <c r="AG69" s="909">
        <f t="shared" si="41"/>
        <v>0</v>
      </c>
      <c r="AH69" s="909">
        <f t="shared" si="41"/>
        <v>1</v>
      </c>
      <c r="AI69" s="907">
        <f t="shared" si="42"/>
        <v>3.9166666666666665</v>
      </c>
      <c r="AL69" s="1140">
        <f t="shared" ca="1" si="43"/>
        <v>-36.757246084700114</v>
      </c>
      <c r="AN69" s="1140">
        <f t="shared" ca="1" si="35"/>
        <v>-1727.5905659809055</v>
      </c>
      <c r="AP69" s="1140">
        <f t="shared" ca="1" si="36"/>
        <v>128.24275391529989</v>
      </c>
      <c r="AR69" s="1140">
        <f t="shared" ca="1" si="37"/>
        <v>6027.409434019095</v>
      </c>
    </row>
    <row r="70" spans="1:44">
      <c r="A70" s="884" t="str">
        <f t="shared" si="38"/>
        <v>FORT LEWISRolloffFINAL20-RO</v>
      </c>
      <c r="B70" s="889" t="s">
        <v>2242</v>
      </c>
      <c r="C70" s="889" t="s">
        <v>2243</v>
      </c>
      <c r="D70" s="889" t="s">
        <v>2236</v>
      </c>
      <c r="E70" s="883">
        <v>31000</v>
      </c>
      <c r="F70" s="904">
        <v>152</v>
      </c>
      <c r="G70" s="904">
        <v>152</v>
      </c>
      <c r="H70" s="904"/>
      <c r="I70" s="904">
        <v>304</v>
      </c>
      <c r="J70" s="904">
        <v>152</v>
      </c>
      <c r="K70" s="904">
        <v>152</v>
      </c>
      <c r="L70" s="904">
        <v>0</v>
      </c>
      <c r="M70" s="904">
        <v>152</v>
      </c>
      <c r="N70" s="904">
        <v>0</v>
      </c>
      <c r="O70" s="904">
        <v>0</v>
      </c>
      <c r="P70" s="904">
        <v>0</v>
      </c>
      <c r="Q70" s="904">
        <v>152</v>
      </c>
      <c r="R70" s="904">
        <v>0</v>
      </c>
      <c r="S70" s="904">
        <v>152</v>
      </c>
      <c r="T70" s="904">
        <v>152</v>
      </c>
      <c r="U70" s="957">
        <f t="shared" si="39"/>
        <v>1216</v>
      </c>
      <c r="V70" s="905"/>
      <c r="W70" s="906">
        <f t="shared" si="40"/>
        <v>2</v>
      </c>
      <c r="X70" s="906">
        <f t="shared" si="40"/>
        <v>1</v>
      </c>
      <c r="Y70" s="906">
        <f t="shared" si="40"/>
        <v>1</v>
      </c>
      <c r="Z70" s="909">
        <f t="shared" si="41"/>
        <v>0</v>
      </c>
      <c r="AA70" s="909">
        <f t="shared" si="41"/>
        <v>1</v>
      </c>
      <c r="AB70" s="909">
        <f t="shared" si="41"/>
        <v>0</v>
      </c>
      <c r="AC70" s="909">
        <f t="shared" si="41"/>
        <v>0</v>
      </c>
      <c r="AD70" s="909">
        <f t="shared" si="41"/>
        <v>0</v>
      </c>
      <c r="AE70" s="909">
        <f t="shared" si="41"/>
        <v>1</v>
      </c>
      <c r="AF70" s="909">
        <f t="shared" si="41"/>
        <v>0</v>
      </c>
      <c r="AG70" s="909">
        <f t="shared" si="41"/>
        <v>1</v>
      </c>
      <c r="AH70" s="909">
        <f t="shared" si="41"/>
        <v>1</v>
      </c>
      <c r="AI70" s="907">
        <f t="shared" si="42"/>
        <v>0.66666666666666663</v>
      </c>
      <c r="AL70" s="1140">
        <f t="shared" ca="1" si="43"/>
        <v>-33.861220635602528</v>
      </c>
      <c r="AN70" s="1140">
        <f t="shared" ca="1" si="35"/>
        <v>-270.88976508482023</v>
      </c>
      <c r="AP70" s="1140">
        <f t="shared" ca="1" si="36"/>
        <v>118.13877936439746</v>
      </c>
      <c r="AR70" s="1140">
        <f t="shared" ca="1" si="37"/>
        <v>945.11023491517972</v>
      </c>
    </row>
    <row r="71" spans="1:44">
      <c r="A71" s="884" t="str">
        <f t="shared" si="38"/>
        <v>FORT LEWISRolloffFINAL30-RO</v>
      </c>
      <c r="B71" s="889" t="s">
        <v>2244</v>
      </c>
      <c r="C71" s="889" t="s">
        <v>2245</v>
      </c>
      <c r="D71" s="889" t="s">
        <v>2236</v>
      </c>
      <c r="E71" s="883">
        <v>31000</v>
      </c>
      <c r="F71" s="904">
        <v>159</v>
      </c>
      <c r="G71" s="904">
        <v>159</v>
      </c>
      <c r="H71" s="904"/>
      <c r="I71" s="904">
        <v>0</v>
      </c>
      <c r="J71" s="904">
        <v>0</v>
      </c>
      <c r="K71" s="904">
        <v>0</v>
      </c>
      <c r="L71" s="904">
        <v>0</v>
      </c>
      <c r="M71" s="904">
        <v>0</v>
      </c>
      <c r="N71" s="904">
        <v>159</v>
      </c>
      <c r="O71" s="904">
        <v>0</v>
      </c>
      <c r="P71" s="904">
        <v>0</v>
      </c>
      <c r="Q71" s="904">
        <v>0</v>
      </c>
      <c r="R71" s="904">
        <v>0</v>
      </c>
      <c r="S71" s="904">
        <v>477</v>
      </c>
      <c r="T71" s="904">
        <v>318</v>
      </c>
      <c r="U71" s="957">
        <f t="shared" si="39"/>
        <v>954</v>
      </c>
      <c r="V71" s="905"/>
      <c r="W71" s="906">
        <f t="shared" si="40"/>
        <v>0</v>
      </c>
      <c r="X71" s="906">
        <f t="shared" si="40"/>
        <v>0</v>
      </c>
      <c r="Y71" s="906">
        <f t="shared" si="40"/>
        <v>0</v>
      </c>
      <c r="Z71" s="909">
        <f t="shared" si="41"/>
        <v>0</v>
      </c>
      <c r="AA71" s="909">
        <f t="shared" si="41"/>
        <v>0</v>
      </c>
      <c r="AB71" s="909">
        <f t="shared" si="41"/>
        <v>1</v>
      </c>
      <c r="AC71" s="909">
        <f t="shared" si="41"/>
        <v>0</v>
      </c>
      <c r="AD71" s="909">
        <f t="shared" si="41"/>
        <v>0</v>
      </c>
      <c r="AE71" s="909">
        <f t="shared" si="41"/>
        <v>0</v>
      </c>
      <c r="AF71" s="909">
        <f t="shared" si="41"/>
        <v>0</v>
      </c>
      <c r="AG71" s="909">
        <f t="shared" si="41"/>
        <v>3</v>
      </c>
      <c r="AH71" s="909">
        <f t="shared" si="41"/>
        <v>2</v>
      </c>
      <c r="AI71" s="907">
        <f t="shared" si="42"/>
        <v>0.5</v>
      </c>
      <c r="AL71" s="1140">
        <f t="shared" ca="1" si="43"/>
        <v>-35.420618954347383</v>
      </c>
      <c r="AN71" s="1140">
        <f t="shared" ca="1" si="35"/>
        <v>-212.52371372608428</v>
      </c>
      <c r="AP71" s="1140">
        <f t="shared" ca="1" si="36"/>
        <v>123.57938104565261</v>
      </c>
      <c r="AR71" s="1140">
        <f t="shared" ca="1" si="37"/>
        <v>741.47628627391578</v>
      </c>
    </row>
    <row r="72" spans="1:44">
      <c r="A72" s="884" t="str">
        <f t="shared" si="38"/>
        <v>FORT LEWISRolloffFINAL40-RO</v>
      </c>
      <c r="B72" s="889" t="s">
        <v>2246</v>
      </c>
      <c r="C72" s="889" t="s">
        <v>2247</v>
      </c>
      <c r="D72" s="889" t="s">
        <v>2236</v>
      </c>
      <c r="E72" s="883">
        <v>31000</v>
      </c>
      <c r="F72" s="904">
        <v>165</v>
      </c>
      <c r="G72" s="904">
        <v>165</v>
      </c>
      <c r="H72" s="904"/>
      <c r="I72" s="904">
        <v>0</v>
      </c>
      <c r="J72" s="904">
        <v>0</v>
      </c>
      <c r="K72" s="904">
        <v>0</v>
      </c>
      <c r="L72" s="904">
        <v>0</v>
      </c>
      <c r="M72" s="904">
        <v>0</v>
      </c>
      <c r="N72" s="904">
        <v>0</v>
      </c>
      <c r="O72" s="904">
        <v>0</v>
      </c>
      <c r="P72" s="904">
        <v>0</v>
      </c>
      <c r="Q72" s="904">
        <v>0</v>
      </c>
      <c r="R72" s="904">
        <v>165</v>
      </c>
      <c r="S72" s="904">
        <v>0</v>
      </c>
      <c r="T72" s="904">
        <v>0</v>
      </c>
      <c r="U72" s="957">
        <f t="shared" si="39"/>
        <v>165</v>
      </c>
      <c r="V72" s="905"/>
      <c r="W72" s="906">
        <f t="shared" si="40"/>
        <v>0</v>
      </c>
      <c r="X72" s="906">
        <f t="shared" si="40"/>
        <v>0</v>
      </c>
      <c r="Y72" s="906">
        <f t="shared" si="40"/>
        <v>0</v>
      </c>
      <c r="Z72" s="909">
        <f t="shared" si="41"/>
        <v>0</v>
      </c>
      <c r="AA72" s="909">
        <f t="shared" si="41"/>
        <v>0</v>
      </c>
      <c r="AB72" s="909">
        <f t="shared" si="41"/>
        <v>0</v>
      </c>
      <c r="AC72" s="909">
        <f t="shared" si="41"/>
        <v>0</v>
      </c>
      <c r="AD72" s="909">
        <f t="shared" si="41"/>
        <v>0</v>
      </c>
      <c r="AE72" s="909">
        <f t="shared" si="41"/>
        <v>0</v>
      </c>
      <c r="AF72" s="909">
        <f t="shared" si="41"/>
        <v>1</v>
      </c>
      <c r="AG72" s="909">
        <f t="shared" si="41"/>
        <v>0</v>
      </c>
      <c r="AH72" s="909">
        <f t="shared" si="41"/>
        <v>0</v>
      </c>
      <c r="AI72" s="907">
        <f t="shared" si="42"/>
        <v>8.3333333333333329E-2</v>
      </c>
      <c r="AL72" s="1140">
        <f t="shared" ca="1" si="43"/>
        <v>-36.757246084700114</v>
      </c>
      <c r="AN72" s="1140">
        <f t="shared" ca="1" si="35"/>
        <v>-36.757246084700114</v>
      </c>
      <c r="AP72" s="1140">
        <f t="shared" ca="1" si="36"/>
        <v>128.24275391529989</v>
      </c>
      <c r="AR72" s="1140">
        <f t="shared" ca="1" si="37"/>
        <v>128.24275391529989</v>
      </c>
    </row>
    <row r="73" spans="1:44">
      <c r="A73" s="884" t="str">
        <f t="shared" si="38"/>
        <v>FORT LEWISRolloffHAUL20-CP</v>
      </c>
      <c r="B73" s="889" t="s">
        <v>2250</v>
      </c>
      <c r="C73" s="889" t="s">
        <v>2251</v>
      </c>
      <c r="D73" s="889" t="s">
        <v>2236</v>
      </c>
      <c r="E73" s="883">
        <v>31000</v>
      </c>
      <c r="F73" s="904">
        <v>179</v>
      </c>
      <c r="G73" s="904">
        <v>179</v>
      </c>
      <c r="H73" s="904"/>
      <c r="I73" s="904">
        <v>716</v>
      </c>
      <c r="J73" s="904">
        <v>895</v>
      </c>
      <c r="K73" s="904">
        <v>537</v>
      </c>
      <c r="L73" s="904">
        <v>358</v>
      </c>
      <c r="M73" s="904">
        <v>716</v>
      </c>
      <c r="N73" s="904">
        <v>895</v>
      </c>
      <c r="O73" s="904">
        <v>716</v>
      </c>
      <c r="P73" s="904">
        <v>716</v>
      </c>
      <c r="Q73" s="904">
        <v>716</v>
      </c>
      <c r="R73" s="904">
        <v>716</v>
      </c>
      <c r="S73" s="904">
        <v>895</v>
      </c>
      <c r="T73" s="904">
        <v>537</v>
      </c>
      <c r="U73" s="957">
        <f t="shared" si="39"/>
        <v>8413</v>
      </c>
      <c r="V73" s="905"/>
      <c r="W73" s="906">
        <f t="shared" si="40"/>
        <v>4</v>
      </c>
      <c r="X73" s="906">
        <f t="shared" si="40"/>
        <v>5</v>
      </c>
      <c r="Y73" s="906">
        <f t="shared" si="40"/>
        <v>3</v>
      </c>
      <c r="Z73" s="909">
        <f t="shared" si="41"/>
        <v>2</v>
      </c>
      <c r="AA73" s="909">
        <f t="shared" si="41"/>
        <v>4</v>
      </c>
      <c r="AB73" s="909">
        <f t="shared" si="41"/>
        <v>5</v>
      </c>
      <c r="AC73" s="909">
        <f t="shared" si="41"/>
        <v>4</v>
      </c>
      <c r="AD73" s="909">
        <f t="shared" si="41"/>
        <v>4</v>
      </c>
      <c r="AE73" s="909">
        <f t="shared" si="41"/>
        <v>4</v>
      </c>
      <c r="AF73" s="909">
        <f t="shared" si="41"/>
        <v>4</v>
      </c>
      <c r="AG73" s="909">
        <f t="shared" si="41"/>
        <v>5</v>
      </c>
      <c r="AH73" s="909">
        <f t="shared" si="41"/>
        <v>3</v>
      </c>
      <c r="AI73" s="907">
        <f t="shared" si="42"/>
        <v>3.9166666666666665</v>
      </c>
      <c r="AL73" s="1140">
        <f t="shared" ca="1" si="43"/>
        <v>-39.876042722189823</v>
      </c>
      <c r="AN73" s="1140">
        <f t="shared" ca="1" si="35"/>
        <v>-1874.1740079429217</v>
      </c>
      <c r="AP73" s="1140">
        <f t="shared" ca="1" si="36"/>
        <v>139.12395727781018</v>
      </c>
      <c r="AR73" s="1140">
        <f t="shared" ca="1" si="37"/>
        <v>6538.8259920570781</v>
      </c>
    </row>
    <row r="74" spans="1:44">
      <c r="A74" s="884" t="str">
        <f t="shared" si="38"/>
        <v>FORT LEWISRolloffDEL20TEMP-RO</v>
      </c>
      <c r="B74" s="889" t="s">
        <v>2258</v>
      </c>
      <c r="C74" s="889" t="s">
        <v>2259</v>
      </c>
      <c r="D74" s="889" t="s">
        <v>2260</v>
      </c>
      <c r="E74" s="883">
        <v>31001</v>
      </c>
      <c r="F74" s="904">
        <v>106</v>
      </c>
      <c r="G74" s="904">
        <v>106</v>
      </c>
      <c r="H74" s="904"/>
      <c r="I74" s="904">
        <v>0</v>
      </c>
      <c r="J74" s="904">
        <v>318</v>
      </c>
      <c r="K74" s="904">
        <v>0</v>
      </c>
      <c r="L74" s="904">
        <v>106</v>
      </c>
      <c r="M74" s="904">
        <v>0</v>
      </c>
      <c r="N74" s="904">
        <v>106</v>
      </c>
      <c r="O74" s="904">
        <v>212</v>
      </c>
      <c r="P74" s="904">
        <v>0</v>
      </c>
      <c r="Q74" s="904">
        <v>212</v>
      </c>
      <c r="R74" s="904">
        <v>0</v>
      </c>
      <c r="S74" s="904">
        <v>106</v>
      </c>
      <c r="T74" s="904">
        <v>106</v>
      </c>
      <c r="U74" s="957">
        <f t="shared" si="39"/>
        <v>1166</v>
      </c>
      <c r="V74" s="905"/>
      <c r="W74" s="906">
        <f t="shared" si="40"/>
        <v>0</v>
      </c>
      <c r="X74" s="906">
        <f t="shared" si="40"/>
        <v>3</v>
      </c>
      <c r="Y74" s="906">
        <f t="shared" si="40"/>
        <v>0</v>
      </c>
      <c r="Z74" s="909">
        <f t="shared" si="41"/>
        <v>1</v>
      </c>
      <c r="AA74" s="909">
        <f t="shared" si="41"/>
        <v>0</v>
      </c>
      <c r="AB74" s="909">
        <f t="shared" si="41"/>
        <v>1</v>
      </c>
      <c r="AC74" s="909">
        <f t="shared" si="41"/>
        <v>2</v>
      </c>
      <c r="AD74" s="909">
        <f t="shared" si="41"/>
        <v>0</v>
      </c>
      <c r="AE74" s="909">
        <f t="shared" si="41"/>
        <v>2</v>
      </c>
      <c r="AF74" s="909">
        <f t="shared" si="41"/>
        <v>0</v>
      </c>
      <c r="AG74" s="909">
        <f t="shared" si="41"/>
        <v>1</v>
      </c>
      <c r="AH74" s="909">
        <f t="shared" si="41"/>
        <v>1</v>
      </c>
      <c r="AI74" s="907">
        <f t="shared" si="42"/>
        <v>0.91666666666666663</v>
      </c>
      <c r="AL74" s="1140">
        <f t="shared" ca="1" si="43"/>
        <v>-23.613745969564921</v>
      </c>
      <c r="AN74" s="1140">
        <f t="shared" ca="1" si="35"/>
        <v>-259.75120566521412</v>
      </c>
      <c r="AP74" s="1140">
        <f t="shared" ca="1" si="36"/>
        <v>82.386254030435083</v>
      </c>
      <c r="AR74" s="1140">
        <f t="shared" ca="1" si="37"/>
        <v>906.24879433478588</v>
      </c>
    </row>
    <row r="75" spans="1:44">
      <c r="A75" s="884" t="str">
        <f t="shared" si="38"/>
        <v>FORT LEWISRolloffDEL30TEMP-RO</v>
      </c>
      <c r="B75" s="889" t="s">
        <v>2261</v>
      </c>
      <c r="C75" s="889" t="s">
        <v>2262</v>
      </c>
      <c r="D75" s="889" t="s">
        <v>2260</v>
      </c>
      <c r="E75" s="883">
        <v>31001</v>
      </c>
      <c r="F75" s="904">
        <v>106</v>
      </c>
      <c r="G75" s="904">
        <v>106</v>
      </c>
      <c r="H75" s="904"/>
      <c r="I75" s="904">
        <v>106</v>
      </c>
      <c r="J75" s="904">
        <v>0</v>
      </c>
      <c r="K75" s="904">
        <v>106</v>
      </c>
      <c r="L75" s="904">
        <v>0</v>
      </c>
      <c r="M75" s="904">
        <v>106</v>
      </c>
      <c r="N75" s="904">
        <v>0</v>
      </c>
      <c r="O75" s="904">
        <v>0</v>
      </c>
      <c r="P75" s="904">
        <v>0</v>
      </c>
      <c r="Q75" s="904">
        <v>0</v>
      </c>
      <c r="R75" s="904">
        <v>0</v>
      </c>
      <c r="S75" s="904">
        <v>0</v>
      </c>
      <c r="T75" s="904">
        <v>0</v>
      </c>
      <c r="U75" s="957">
        <f t="shared" si="39"/>
        <v>318</v>
      </c>
      <c r="V75" s="905"/>
      <c r="W75" s="906">
        <f t="shared" si="40"/>
        <v>1</v>
      </c>
      <c r="X75" s="906">
        <f t="shared" si="40"/>
        <v>0</v>
      </c>
      <c r="Y75" s="906">
        <f t="shared" si="40"/>
        <v>1</v>
      </c>
      <c r="Z75" s="909">
        <f t="shared" si="41"/>
        <v>0</v>
      </c>
      <c r="AA75" s="909">
        <f t="shared" si="41"/>
        <v>1</v>
      </c>
      <c r="AB75" s="909">
        <f t="shared" si="41"/>
        <v>0</v>
      </c>
      <c r="AC75" s="909">
        <f t="shared" si="41"/>
        <v>0</v>
      </c>
      <c r="AD75" s="909">
        <f t="shared" si="41"/>
        <v>0</v>
      </c>
      <c r="AE75" s="909">
        <f t="shared" si="41"/>
        <v>0</v>
      </c>
      <c r="AF75" s="909">
        <f t="shared" si="41"/>
        <v>0</v>
      </c>
      <c r="AG75" s="909">
        <f t="shared" si="41"/>
        <v>0</v>
      </c>
      <c r="AH75" s="909">
        <f t="shared" si="41"/>
        <v>0</v>
      </c>
      <c r="AI75" s="907">
        <f t="shared" si="42"/>
        <v>0.25</v>
      </c>
      <c r="AL75" s="1140">
        <f t="shared" ca="1" si="43"/>
        <v>-23.613745969564921</v>
      </c>
      <c r="AN75" s="1140">
        <f t="shared" ca="1" si="35"/>
        <v>-70.841237908694765</v>
      </c>
      <c r="AP75" s="1140">
        <f t="shared" ca="1" si="36"/>
        <v>82.386254030435083</v>
      </c>
      <c r="AR75" s="1140">
        <f t="shared" ca="1" si="37"/>
        <v>247.15876209130522</v>
      </c>
    </row>
    <row r="76" spans="1:44">
      <c r="A76" s="884" t="str">
        <f t="shared" si="38"/>
        <v>FORT LEWISRolloffDEL40TEMP-RO</v>
      </c>
      <c r="B76" s="889" t="s">
        <v>2263</v>
      </c>
      <c r="C76" s="889" t="s">
        <v>2264</v>
      </c>
      <c r="D76" s="889" t="s">
        <v>2260</v>
      </c>
      <c r="E76" s="883">
        <v>31001</v>
      </c>
      <c r="F76" s="904">
        <v>106</v>
      </c>
      <c r="G76" s="904">
        <v>106</v>
      </c>
      <c r="H76" s="904"/>
      <c r="I76" s="904">
        <v>0</v>
      </c>
      <c r="J76" s="904">
        <v>0</v>
      </c>
      <c r="K76" s="904">
        <v>106</v>
      </c>
      <c r="L76" s="904">
        <v>0</v>
      </c>
      <c r="M76" s="904">
        <v>106</v>
      </c>
      <c r="N76" s="904">
        <v>0</v>
      </c>
      <c r="O76" s="904">
        <v>0</v>
      </c>
      <c r="P76" s="904">
        <v>0</v>
      </c>
      <c r="Q76" s="904">
        <v>106</v>
      </c>
      <c r="R76" s="904">
        <v>106</v>
      </c>
      <c r="S76" s="904">
        <v>0</v>
      </c>
      <c r="T76" s="904">
        <v>0</v>
      </c>
      <c r="U76" s="957">
        <f t="shared" si="39"/>
        <v>424</v>
      </c>
      <c r="V76" s="905"/>
      <c r="W76" s="906">
        <f t="shared" si="40"/>
        <v>0</v>
      </c>
      <c r="X76" s="906">
        <f t="shared" si="40"/>
        <v>0</v>
      </c>
      <c r="Y76" s="906">
        <f t="shared" si="40"/>
        <v>1</v>
      </c>
      <c r="Z76" s="909">
        <f t="shared" si="41"/>
        <v>0</v>
      </c>
      <c r="AA76" s="909">
        <f t="shared" si="41"/>
        <v>1</v>
      </c>
      <c r="AB76" s="909">
        <f t="shared" si="41"/>
        <v>0</v>
      </c>
      <c r="AC76" s="909">
        <f t="shared" si="41"/>
        <v>0</v>
      </c>
      <c r="AD76" s="909">
        <f t="shared" si="41"/>
        <v>0</v>
      </c>
      <c r="AE76" s="909">
        <f t="shared" si="41"/>
        <v>1</v>
      </c>
      <c r="AF76" s="909">
        <f t="shared" si="41"/>
        <v>1</v>
      </c>
      <c r="AG76" s="909">
        <f t="shared" si="41"/>
        <v>0</v>
      </c>
      <c r="AH76" s="909">
        <f t="shared" si="41"/>
        <v>0</v>
      </c>
      <c r="AI76" s="907">
        <f t="shared" si="42"/>
        <v>0.33333333333333331</v>
      </c>
      <c r="AL76" s="1140">
        <f t="shared" ca="1" si="43"/>
        <v>-23.613745969564921</v>
      </c>
      <c r="AN76" s="1140">
        <f t="shared" ca="1" si="35"/>
        <v>-94.454983878259682</v>
      </c>
      <c r="AP76" s="1140">
        <f t="shared" ca="1" si="36"/>
        <v>82.386254030435083</v>
      </c>
      <c r="AR76" s="1140">
        <f t="shared" ca="1" si="37"/>
        <v>329.54501612174033</v>
      </c>
    </row>
    <row r="77" spans="1:44">
      <c r="A77" s="884" t="str">
        <f t="shared" si="38"/>
        <v>FORT LEWISRolloffFINAL20TEMP-RO</v>
      </c>
      <c r="B77" s="889" t="s">
        <v>2265</v>
      </c>
      <c r="C77" s="889" t="s">
        <v>2266</v>
      </c>
      <c r="D77" s="889" t="s">
        <v>2260</v>
      </c>
      <c r="E77" s="883">
        <v>31001</v>
      </c>
      <c r="F77" s="904">
        <v>165.5</v>
      </c>
      <c r="G77" s="904">
        <v>165.5</v>
      </c>
      <c r="H77" s="904"/>
      <c r="I77" s="904">
        <v>0</v>
      </c>
      <c r="J77" s="904">
        <v>0</v>
      </c>
      <c r="K77" s="904">
        <v>331</v>
      </c>
      <c r="L77" s="904">
        <v>0</v>
      </c>
      <c r="M77" s="904">
        <v>331</v>
      </c>
      <c r="N77" s="904">
        <v>165.5</v>
      </c>
      <c r="O77" s="904">
        <v>0</v>
      </c>
      <c r="P77" s="904">
        <v>331</v>
      </c>
      <c r="Q77" s="904">
        <v>165.5</v>
      </c>
      <c r="R77" s="904">
        <v>165.5</v>
      </c>
      <c r="S77" s="904">
        <v>0</v>
      </c>
      <c r="T77" s="904">
        <v>0</v>
      </c>
      <c r="U77" s="957">
        <f t="shared" si="39"/>
        <v>1489.5</v>
      </c>
      <c r="V77" s="905"/>
      <c r="W77" s="906">
        <f t="shared" si="40"/>
        <v>0</v>
      </c>
      <c r="X77" s="906">
        <f t="shared" si="40"/>
        <v>0</v>
      </c>
      <c r="Y77" s="906">
        <f t="shared" si="40"/>
        <v>2</v>
      </c>
      <c r="Z77" s="909">
        <f t="shared" si="41"/>
        <v>0</v>
      </c>
      <c r="AA77" s="909">
        <f t="shared" si="41"/>
        <v>2</v>
      </c>
      <c r="AB77" s="909">
        <f t="shared" si="41"/>
        <v>1</v>
      </c>
      <c r="AC77" s="909">
        <f t="shared" si="41"/>
        <v>0</v>
      </c>
      <c r="AD77" s="909">
        <f t="shared" si="41"/>
        <v>2</v>
      </c>
      <c r="AE77" s="909">
        <f t="shared" si="41"/>
        <v>1</v>
      </c>
      <c r="AF77" s="909">
        <f t="shared" si="41"/>
        <v>1</v>
      </c>
      <c r="AG77" s="909">
        <f t="shared" si="41"/>
        <v>0</v>
      </c>
      <c r="AH77" s="909">
        <f t="shared" si="41"/>
        <v>0</v>
      </c>
      <c r="AI77" s="907">
        <f t="shared" si="42"/>
        <v>0.75</v>
      </c>
      <c r="AL77" s="1140">
        <f t="shared" ca="1" si="43"/>
        <v>-36.868631678896172</v>
      </c>
      <c r="AN77" s="1140">
        <f t="shared" ca="1" si="35"/>
        <v>-331.81768511006555</v>
      </c>
      <c r="AP77" s="1140">
        <f t="shared" ca="1" si="36"/>
        <v>128.63136832110382</v>
      </c>
      <c r="AR77" s="1140">
        <f t="shared" ca="1" si="37"/>
        <v>1157.6823148899343</v>
      </c>
    </row>
    <row r="78" spans="1:44">
      <c r="A78" s="884" t="str">
        <f t="shared" si="38"/>
        <v>FORT LEWISRolloffFINAL30TEMP-RO</v>
      </c>
      <c r="B78" s="889" t="s">
        <v>2267</v>
      </c>
      <c r="C78" s="889" t="s">
        <v>2268</v>
      </c>
      <c r="D78" s="889" t="s">
        <v>2260</v>
      </c>
      <c r="E78" s="883">
        <v>31001</v>
      </c>
      <c r="F78" s="904">
        <v>172</v>
      </c>
      <c r="G78" s="904">
        <v>172</v>
      </c>
      <c r="H78" s="904"/>
      <c r="I78" s="904">
        <v>0</v>
      </c>
      <c r="J78" s="904">
        <v>172</v>
      </c>
      <c r="K78" s="904">
        <v>0</v>
      </c>
      <c r="L78" s="904">
        <v>0</v>
      </c>
      <c r="M78" s="904">
        <v>344</v>
      </c>
      <c r="N78" s="904">
        <v>0</v>
      </c>
      <c r="O78" s="904">
        <v>0</v>
      </c>
      <c r="P78" s="904">
        <v>0</v>
      </c>
      <c r="Q78" s="904">
        <v>0</v>
      </c>
      <c r="R78" s="904">
        <v>0</v>
      </c>
      <c r="S78" s="904">
        <v>0</v>
      </c>
      <c r="T78" s="904">
        <v>0</v>
      </c>
      <c r="U78" s="957">
        <f t="shared" si="39"/>
        <v>516</v>
      </c>
      <c r="V78" s="905"/>
      <c r="W78" s="906">
        <f t="shared" si="40"/>
        <v>0</v>
      </c>
      <c r="X78" s="906">
        <f t="shared" si="40"/>
        <v>1</v>
      </c>
      <c r="Y78" s="906">
        <f t="shared" si="40"/>
        <v>0</v>
      </c>
      <c r="Z78" s="909">
        <f t="shared" si="41"/>
        <v>0</v>
      </c>
      <c r="AA78" s="909">
        <f t="shared" si="41"/>
        <v>2</v>
      </c>
      <c r="AB78" s="909">
        <f t="shared" si="41"/>
        <v>0</v>
      </c>
      <c r="AC78" s="909">
        <f t="shared" si="41"/>
        <v>0</v>
      </c>
      <c r="AD78" s="909">
        <f t="shared" si="41"/>
        <v>0</v>
      </c>
      <c r="AE78" s="909">
        <f t="shared" si="41"/>
        <v>0</v>
      </c>
      <c r="AF78" s="909">
        <f t="shared" si="41"/>
        <v>0</v>
      </c>
      <c r="AG78" s="909">
        <f t="shared" si="41"/>
        <v>0</v>
      </c>
      <c r="AH78" s="909">
        <f t="shared" si="41"/>
        <v>0</v>
      </c>
      <c r="AI78" s="907">
        <f t="shared" si="42"/>
        <v>0.25</v>
      </c>
      <c r="AL78" s="1140">
        <f t="shared" ca="1" si="43"/>
        <v>-38.316644403444968</v>
      </c>
      <c r="AN78" s="1140">
        <f t="shared" ca="1" si="35"/>
        <v>-114.9499332103349</v>
      </c>
      <c r="AP78" s="1140">
        <f t="shared" ca="1" si="36"/>
        <v>133.68335559655503</v>
      </c>
      <c r="AR78" s="1140">
        <f t="shared" ca="1" si="37"/>
        <v>401.0500667896651</v>
      </c>
    </row>
    <row r="79" spans="1:44">
      <c r="A79" s="884" t="str">
        <f t="shared" si="38"/>
        <v>FORT LEWISRolloffFINAL40TEMP-RO</v>
      </c>
      <c r="B79" s="889" t="s">
        <v>2269</v>
      </c>
      <c r="C79" s="889" t="s">
        <v>2270</v>
      </c>
      <c r="D79" s="889" t="s">
        <v>2260</v>
      </c>
      <c r="E79" s="883">
        <v>31001</v>
      </c>
      <c r="F79" s="904">
        <v>178.5</v>
      </c>
      <c r="G79" s="904">
        <v>178.5</v>
      </c>
      <c r="H79" s="904"/>
      <c r="I79" s="904">
        <v>178.5</v>
      </c>
      <c r="J79" s="904">
        <v>0</v>
      </c>
      <c r="K79" s="904">
        <v>178.5</v>
      </c>
      <c r="L79" s="904">
        <v>0</v>
      </c>
      <c r="M79" s="904">
        <v>0</v>
      </c>
      <c r="N79" s="904">
        <v>178.5</v>
      </c>
      <c r="O79" s="904">
        <v>0</v>
      </c>
      <c r="P79" s="904">
        <v>0</v>
      </c>
      <c r="Q79" s="904">
        <v>0</v>
      </c>
      <c r="R79" s="904">
        <v>357</v>
      </c>
      <c r="S79" s="904">
        <v>0</v>
      </c>
      <c r="T79" s="904">
        <v>0</v>
      </c>
      <c r="U79" s="957">
        <f t="shared" si="39"/>
        <v>892.5</v>
      </c>
      <c r="V79" s="905"/>
      <c r="W79" s="906">
        <f t="shared" si="40"/>
        <v>1</v>
      </c>
      <c r="X79" s="906">
        <f t="shared" si="40"/>
        <v>0</v>
      </c>
      <c r="Y79" s="906">
        <f t="shared" si="40"/>
        <v>1</v>
      </c>
      <c r="Z79" s="909">
        <f t="shared" si="41"/>
        <v>0</v>
      </c>
      <c r="AA79" s="909">
        <f t="shared" si="41"/>
        <v>0</v>
      </c>
      <c r="AB79" s="909">
        <f t="shared" si="41"/>
        <v>1</v>
      </c>
      <c r="AC79" s="909">
        <f t="shared" si="41"/>
        <v>0</v>
      </c>
      <c r="AD79" s="909">
        <f t="shared" si="41"/>
        <v>0</v>
      </c>
      <c r="AE79" s="909">
        <f t="shared" si="41"/>
        <v>0</v>
      </c>
      <c r="AF79" s="909">
        <f t="shared" si="41"/>
        <v>2</v>
      </c>
      <c r="AG79" s="909">
        <f t="shared" si="41"/>
        <v>0</v>
      </c>
      <c r="AH79" s="909">
        <f t="shared" si="41"/>
        <v>0</v>
      </c>
      <c r="AI79" s="907">
        <f t="shared" si="42"/>
        <v>0.41666666666666669</v>
      </c>
      <c r="AL79" s="1140">
        <f t="shared" ca="1" si="43"/>
        <v>-39.764657127993758</v>
      </c>
      <c r="AN79" s="1140">
        <f t="shared" ca="1" si="35"/>
        <v>-198.82328563996879</v>
      </c>
      <c r="AP79" s="1140">
        <f t="shared" ca="1" si="36"/>
        <v>138.73534287200624</v>
      </c>
      <c r="AR79" s="1140">
        <f t="shared" ca="1" si="37"/>
        <v>693.67671436003116</v>
      </c>
    </row>
    <row r="80" spans="1:44">
      <c r="A80" s="884" t="str">
        <f t="shared" si="38"/>
        <v>FORT LEWISRolloffHAUL20TEMP-RO</v>
      </c>
      <c r="B80" s="889" t="s">
        <v>2271</v>
      </c>
      <c r="C80" s="889" t="s">
        <v>2272</v>
      </c>
      <c r="D80" s="889" t="s">
        <v>2260</v>
      </c>
      <c r="E80" s="883">
        <v>31001</v>
      </c>
      <c r="F80" s="904">
        <v>165.5</v>
      </c>
      <c r="G80" s="904">
        <v>165.5</v>
      </c>
      <c r="H80" s="904"/>
      <c r="I80" s="904">
        <v>331</v>
      </c>
      <c r="J80" s="904">
        <v>0</v>
      </c>
      <c r="K80" s="904">
        <v>165.5</v>
      </c>
      <c r="L80" s="904">
        <v>165.5</v>
      </c>
      <c r="M80" s="904">
        <v>0</v>
      </c>
      <c r="N80" s="904">
        <v>0</v>
      </c>
      <c r="O80" s="904">
        <v>0</v>
      </c>
      <c r="P80" s="904">
        <v>165.5</v>
      </c>
      <c r="Q80" s="904">
        <v>331</v>
      </c>
      <c r="R80" s="904">
        <v>0</v>
      </c>
      <c r="S80" s="904">
        <v>0</v>
      </c>
      <c r="T80" s="904">
        <v>0</v>
      </c>
      <c r="U80" s="957">
        <f t="shared" si="39"/>
        <v>1158.5</v>
      </c>
      <c r="V80" s="905"/>
      <c r="W80" s="906">
        <f t="shared" si="40"/>
        <v>2</v>
      </c>
      <c r="X80" s="906">
        <f t="shared" si="40"/>
        <v>0</v>
      </c>
      <c r="Y80" s="906">
        <f t="shared" si="40"/>
        <v>1</v>
      </c>
      <c r="Z80" s="909">
        <f t="shared" si="41"/>
        <v>1</v>
      </c>
      <c r="AA80" s="909">
        <f t="shared" si="41"/>
        <v>0</v>
      </c>
      <c r="AB80" s="909">
        <f t="shared" si="41"/>
        <v>0</v>
      </c>
      <c r="AC80" s="909">
        <f t="shared" si="41"/>
        <v>0</v>
      </c>
      <c r="AD80" s="909">
        <f t="shared" si="41"/>
        <v>1</v>
      </c>
      <c r="AE80" s="909">
        <f t="shared" si="41"/>
        <v>2</v>
      </c>
      <c r="AF80" s="909">
        <f t="shared" si="41"/>
        <v>0</v>
      </c>
      <c r="AG80" s="909">
        <f t="shared" si="41"/>
        <v>0</v>
      </c>
      <c r="AH80" s="909">
        <f t="shared" si="41"/>
        <v>0</v>
      </c>
      <c r="AI80" s="907">
        <f t="shared" si="42"/>
        <v>0.58333333333333337</v>
      </c>
      <c r="AL80" s="1140">
        <f t="shared" ca="1" si="43"/>
        <v>-36.868631678896172</v>
      </c>
      <c r="AN80" s="1140">
        <f t="shared" ca="1" si="35"/>
        <v>-258.0804217522732</v>
      </c>
      <c r="AP80" s="1140">
        <f t="shared" ca="1" si="36"/>
        <v>128.63136832110382</v>
      </c>
      <c r="AR80" s="1140">
        <f t="shared" ca="1" si="37"/>
        <v>900.4195782477268</v>
      </c>
    </row>
    <row r="81" spans="1:44">
      <c r="A81" s="884" t="str">
        <f t="shared" si="38"/>
        <v>FORT LEWISRolloffHAUL30TEMP-RO</v>
      </c>
      <c r="B81" s="889" t="s">
        <v>2273</v>
      </c>
      <c r="C81" s="889" t="s">
        <v>2274</v>
      </c>
      <c r="D81" s="889" t="s">
        <v>2260</v>
      </c>
      <c r="E81" s="883">
        <v>31001</v>
      </c>
      <c r="F81" s="904">
        <v>172</v>
      </c>
      <c r="G81" s="904">
        <v>172</v>
      </c>
      <c r="H81" s="904"/>
      <c r="I81" s="904">
        <v>0</v>
      </c>
      <c r="J81" s="904">
        <v>0</v>
      </c>
      <c r="K81" s="904">
        <v>172</v>
      </c>
      <c r="L81" s="904">
        <v>0</v>
      </c>
      <c r="M81" s="904">
        <v>172</v>
      </c>
      <c r="N81" s="904">
        <v>0</v>
      </c>
      <c r="O81" s="904">
        <v>0</v>
      </c>
      <c r="P81" s="904">
        <v>0</v>
      </c>
      <c r="Q81" s="904">
        <v>0</v>
      </c>
      <c r="R81" s="904">
        <v>0</v>
      </c>
      <c r="S81" s="904">
        <v>0</v>
      </c>
      <c r="T81" s="904">
        <v>0</v>
      </c>
      <c r="U81" s="957">
        <f t="shared" si="39"/>
        <v>344</v>
      </c>
      <c r="V81" s="905"/>
      <c r="W81" s="906">
        <f t="shared" si="40"/>
        <v>0</v>
      </c>
      <c r="X81" s="906">
        <f t="shared" si="40"/>
        <v>0</v>
      </c>
      <c r="Y81" s="906">
        <f t="shared" si="40"/>
        <v>1</v>
      </c>
      <c r="Z81" s="909">
        <f t="shared" si="41"/>
        <v>0</v>
      </c>
      <c r="AA81" s="909">
        <f t="shared" si="41"/>
        <v>1</v>
      </c>
      <c r="AB81" s="909">
        <f t="shared" si="41"/>
        <v>0</v>
      </c>
      <c r="AC81" s="909">
        <f t="shared" si="41"/>
        <v>0</v>
      </c>
      <c r="AD81" s="909">
        <f t="shared" si="41"/>
        <v>0</v>
      </c>
      <c r="AE81" s="909">
        <f t="shared" si="41"/>
        <v>0</v>
      </c>
      <c r="AF81" s="909">
        <f t="shared" si="41"/>
        <v>0</v>
      </c>
      <c r="AG81" s="909">
        <f t="shared" si="41"/>
        <v>0</v>
      </c>
      <c r="AH81" s="909">
        <f t="shared" si="41"/>
        <v>0</v>
      </c>
      <c r="AI81" s="907">
        <f t="shared" si="42"/>
        <v>0.16666666666666666</v>
      </c>
      <c r="AL81" s="1140">
        <f t="shared" ca="1" si="43"/>
        <v>-38.316644403444968</v>
      </c>
      <c r="AN81" s="1140">
        <f t="shared" ca="1" si="35"/>
        <v>-76.633288806889936</v>
      </c>
      <c r="AP81" s="1140">
        <f t="shared" ca="1" si="36"/>
        <v>133.68335559655503</v>
      </c>
      <c r="AR81" s="1140">
        <f t="shared" ca="1" si="37"/>
        <v>267.36671119311006</v>
      </c>
    </row>
    <row r="82" spans="1:44">
      <c r="A82" s="884" t="str">
        <f t="shared" si="38"/>
        <v>FORT LEWISRolloffHAUL40TEMP-RO</v>
      </c>
      <c r="B82" s="889" t="s">
        <v>2275</v>
      </c>
      <c r="C82" s="889" t="s">
        <v>2276</v>
      </c>
      <c r="D82" s="889" t="s">
        <v>2260</v>
      </c>
      <c r="E82" s="883">
        <v>31001</v>
      </c>
      <c r="F82" s="904">
        <v>178.5</v>
      </c>
      <c r="G82" s="904">
        <v>178.5</v>
      </c>
      <c r="H82" s="904"/>
      <c r="I82" s="904">
        <v>165</v>
      </c>
      <c r="J82" s="904">
        <v>0</v>
      </c>
      <c r="K82" s="904">
        <v>0</v>
      </c>
      <c r="L82" s="904">
        <v>0</v>
      </c>
      <c r="M82" s="904">
        <v>178.5</v>
      </c>
      <c r="N82" s="904">
        <v>0</v>
      </c>
      <c r="O82" s="904">
        <v>0</v>
      </c>
      <c r="P82" s="904">
        <v>0</v>
      </c>
      <c r="Q82" s="904">
        <v>0</v>
      </c>
      <c r="R82" s="904">
        <v>357</v>
      </c>
      <c r="S82" s="904">
        <v>0</v>
      </c>
      <c r="T82" s="904">
        <v>0</v>
      </c>
      <c r="U82" s="957">
        <f t="shared" si="39"/>
        <v>700.5</v>
      </c>
      <c r="V82" s="905"/>
      <c r="W82" s="906">
        <f t="shared" si="40"/>
        <v>0.92436974789915971</v>
      </c>
      <c r="X82" s="906">
        <f t="shared" si="40"/>
        <v>0</v>
      </c>
      <c r="Y82" s="906">
        <f t="shared" si="40"/>
        <v>0</v>
      </c>
      <c r="Z82" s="909">
        <f t="shared" si="41"/>
        <v>0</v>
      </c>
      <c r="AA82" s="909">
        <f t="shared" si="41"/>
        <v>1</v>
      </c>
      <c r="AB82" s="909">
        <f t="shared" si="41"/>
        <v>0</v>
      </c>
      <c r="AC82" s="909">
        <f t="shared" si="41"/>
        <v>0</v>
      </c>
      <c r="AD82" s="909">
        <f t="shared" si="41"/>
        <v>0</v>
      </c>
      <c r="AE82" s="909">
        <f t="shared" si="41"/>
        <v>0</v>
      </c>
      <c r="AF82" s="909">
        <f t="shared" si="41"/>
        <v>2</v>
      </c>
      <c r="AG82" s="909">
        <f t="shared" si="41"/>
        <v>0</v>
      </c>
      <c r="AH82" s="909">
        <f t="shared" si="41"/>
        <v>0</v>
      </c>
      <c r="AI82" s="907">
        <f t="shared" si="42"/>
        <v>0.32703081232492998</v>
      </c>
      <c r="AL82" s="1140">
        <f t="shared" ca="1" si="43"/>
        <v>-39.764657127993758</v>
      </c>
      <c r="AN82" s="1140">
        <f t="shared" ca="1" si="35"/>
        <v>-156.05121746868139</v>
      </c>
      <c r="AP82" s="1140">
        <f t="shared" ca="1" si="36"/>
        <v>138.73534287200624</v>
      </c>
      <c r="AR82" s="1140">
        <f t="shared" ca="1" si="37"/>
        <v>544.44878253131856</v>
      </c>
    </row>
    <row r="83" spans="1:44">
      <c r="A83" s="884" t="str">
        <f t="shared" si="38"/>
        <v>FORT LEWISRolloffRENT20MO-RO</v>
      </c>
      <c r="B83" s="889" t="s">
        <v>2277</v>
      </c>
      <c r="C83" s="889" t="s">
        <v>2278</v>
      </c>
      <c r="D83" s="889" t="s">
        <v>2279</v>
      </c>
      <c r="E83" s="883">
        <v>31002</v>
      </c>
      <c r="F83" s="904">
        <v>59.5</v>
      </c>
      <c r="G83" s="904">
        <v>59.5</v>
      </c>
      <c r="H83" s="904"/>
      <c r="I83" s="904">
        <v>719.76</v>
      </c>
      <c r="J83" s="904">
        <v>673.69</v>
      </c>
      <c r="K83" s="904">
        <v>694.88</v>
      </c>
      <c r="L83" s="904">
        <v>679.45</v>
      </c>
      <c r="M83" s="904">
        <v>600.95000000000005</v>
      </c>
      <c r="N83" s="904">
        <v>535.5</v>
      </c>
      <c r="O83" s="904">
        <v>535.5</v>
      </c>
      <c r="P83" s="904">
        <v>535.5</v>
      </c>
      <c r="Q83" s="904">
        <v>479.83</v>
      </c>
      <c r="R83" s="904">
        <v>529.54999999999995</v>
      </c>
      <c r="S83" s="904">
        <v>577.73</v>
      </c>
      <c r="T83" s="904">
        <v>533.52</v>
      </c>
      <c r="U83" s="957">
        <f t="shared" si="39"/>
        <v>7095.8600000000006</v>
      </c>
      <c r="V83" s="905"/>
      <c r="W83" s="906">
        <f t="shared" si="40"/>
        <v>12.096806722689076</v>
      </c>
      <c r="X83" s="906">
        <f t="shared" si="40"/>
        <v>11.322521008403362</v>
      </c>
      <c r="Y83" s="906">
        <f t="shared" si="40"/>
        <v>11.678655462184874</v>
      </c>
      <c r="Z83" s="909">
        <f t="shared" si="41"/>
        <v>11.419327731092437</v>
      </c>
      <c r="AA83" s="909">
        <f t="shared" si="41"/>
        <v>10.100000000000001</v>
      </c>
      <c r="AB83" s="909">
        <f t="shared" si="41"/>
        <v>9</v>
      </c>
      <c r="AC83" s="909">
        <f t="shared" si="41"/>
        <v>9</v>
      </c>
      <c r="AD83" s="909">
        <f t="shared" si="41"/>
        <v>9</v>
      </c>
      <c r="AE83" s="909">
        <f t="shared" si="41"/>
        <v>8.0643697478991587</v>
      </c>
      <c r="AF83" s="909">
        <f t="shared" si="41"/>
        <v>8.8999999999999986</v>
      </c>
      <c r="AG83" s="909">
        <f t="shared" si="41"/>
        <v>9.7097478991596642</v>
      </c>
      <c r="AH83" s="909">
        <f t="shared" si="41"/>
        <v>8.9667226890756293</v>
      </c>
      <c r="AI83" s="907">
        <f t="shared" si="42"/>
        <v>9.9381792717086821</v>
      </c>
      <c r="AL83" s="1140">
        <f t="shared" ca="1" si="43"/>
        <v>-13.254885709331253</v>
      </c>
      <c r="AN83" s="1140">
        <f t="shared" ca="1" si="35"/>
        <v>-1580.753164864122</v>
      </c>
      <c r="AP83" s="1140">
        <f t="shared" ca="1" si="36"/>
        <v>46.245114290668745</v>
      </c>
      <c r="AR83" s="1140">
        <f t="shared" ca="1" si="37"/>
        <v>5515.106835135879</v>
      </c>
    </row>
    <row r="84" spans="1:44">
      <c r="A84" s="884" t="str">
        <f t="shared" si="38"/>
        <v>FORT LEWISRolloffRENT30MO-RO</v>
      </c>
      <c r="B84" s="889" t="s">
        <v>2280</v>
      </c>
      <c r="C84" s="889" t="s">
        <v>2281</v>
      </c>
      <c r="D84" s="889" t="s">
        <v>2279</v>
      </c>
      <c r="E84" s="883">
        <v>31002</v>
      </c>
      <c r="F84" s="904">
        <v>59.5</v>
      </c>
      <c r="G84" s="904">
        <v>59.5</v>
      </c>
      <c r="H84" s="904"/>
      <c r="I84" s="904">
        <v>86.37</v>
      </c>
      <c r="J84" s="904">
        <v>119</v>
      </c>
      <c r="K84" s="904">
        <v>119</v>
      </c>
      <c r="L84" s="904">
        <v>119</v>
      </c>
      <c r="M84" s="904">
        <v>119</v>
      </c>
      <c r="N84" s="904">
        <v>72.94</v>
      </c>
      <c r="O84" s="904">
        <v>59.5</v>
      </c>
      <c r="P84" s="904">
        <v>61.42</v>
      </c>
      <c r="Q84" s="904">
        <v>238</v>
      </c>
      <c r="R84" s="904">
        <v>238</v>
      </c>
      <c r="S84" s="904">
        <v>284.06</v>
      </c>
      <c r="T84" s="904">
        <v>168.58</v>
      </c>
      <c r="U84" s="957">
        <f t="shared" si="39"/>
        <v>1684.87</v>
      </c>
      <c r="V84" s="905"/>
      <c r="W84" s="906">
        <f t="shared" si="40"/>
        <v>1.4515966386554622</v>
      </c>
      <c r="X84" s="906">
        <f t="shared" si="40"/>
        <v>2</v>
      </c>
      <c r="Y84" s="906">
        <f t="shared" si="40"/>
        <v>2</v>
      </c>
      <c r="Z84" s="909">
        <f t="shared" si="41"/>
        <v>2</v>
      </c>
      <c r="AA84" s="909">
        <f t="shared" si="41"/>
        <v>2</v>
      </c>
      <c r="AB84" s="909">
        <f t="shared" si="41"/>
        <v>1.2258823529411764</v>
      </c>
      <c r="AC84" s="909">
        <f t="shared" si="41"/>
        <v>1</v>
      </c>
      <c r="AD84" s="909">
        <f t="shared" si="41"/>
        <v>1.0322689075630251</v>
      </c>
      <c r="AE84" s="909">
        <f t="shared" si="41"/>
        <v>4</v>
      </c>
      <c r="AF84" s="909">
        <f t="shared" si="41"/>
        <v>4</v>
      </c>
      <c r="AG84" s="909">
        <f t="shared" si="41"/>
        <v>4.7741176470588238</v>
      </c>
      <c r="AH84" s="909">
        <f t="shared" si="41"/>
        <v>2.8332773109243701</v>
      </c>
      <c r="AI84" s="907">
        <f t="shared" si="42"/>
        <v>2.3597619047619047</v>
      </c>
      <c r="AL84" s="1140">
        <f t="shared" ca="1" si="43"/>
        <v>-13.254885709331253</v>
      </c>
      <c r="AN84" s="1140">
        <f t="shared" ca="1" si="35"/>
        <v>-375.34049218623443</v>
      </c>
      <c r="AP84" s="1140">
        <f t="shared" ca="1" si="36"/>
        <v>46.245114290668745</v>
      </c>
      <c r="AR84" s="1140">
        <f t="shared" ca="1" si="37"/>
        <v>1309.5295078137656</v>
      </c>
    </row>
    <row r="85" spans="1:44">
      <c r="A85" s="884" t="str">
        <f t="shared" si="38"/>
        <v>FORT LEWISRolloffRENT40MO-RO</v>
      </c>
      <c r="B85" s="889" t="s">
        <v>2282</v>
      </c>
      <c r="C85" s="889" t="s">
        <v>2283</v>
      </c>
      <c r="D85" s="889" t="s">
        <v>2279</v>
      </c>
      <c r="E85" s="883">
        <v>31002</v>
      </c>
      <c r="F85" s="904">
        <v>59.5</v>
      </c>
      <c r="G85" s="904">
        <v>59.5</v>
      </c>
      <c r="H85" s="904"/>
      <c r="I85" s="904">
        <v>0</v>
      </c>
      <c r="J85" s="904">
        <v>117.08</v>
      </c>
      <c r="K85" s="904">
        <v>178.5</v>
      </c>
      <c r="L85" s="904">
        <v>178.5</v>
      </c>
      <c r="M85" s="904">
        <v>178.5</v>
      </c>
      <c r="N85" s="904">
        <v>178.5</v>
      </c>
      <c r="O85" s="904">
        <v>178.5</v>
      </c>
      <c r="P85" s="904">
        <v>178.5</v>
      </c>
      <c r="Q85" s="904">
        <v>119</v>
      </c>
      <c r="R85" s="904">
        <v>111.07</v>
      </c>
      <c r="S85" s="904">
        <v>59.5</v>
      </c>
      <c r="T85" s="904">
        <v>71.400000000000006</v>
      </c>
      <c r="U85" s="957">
        <f t="shared" si="39"/>
        <v>1549.05</v>
      </c>
      <c r="V85" s="905"/>
      <c r="W85" s="906">
        <f t="shared" si="40"/>
        <v>0</v>
      </c>
      <c r="X85" s="906">
        <f t="shared" si="40"/>
        <v>1.9677310924369749</v>
      </c>
      <c r="Y85" s="906">
        <f t="shared" si="40"/>
        <v>3</v>
      </c>
      <c r="Z85" s="909">
        <f t="shared" si="41"/>
        <v>3</v>
      </c>
      <c r="AA85" s="909">
        <f t="shared" si="41"/>
        <v>3</v>
      </c>
      <c r="AB85" s="909">
        <f t="shared" si="41"/>
        <v>3</v>
      </c>
      <c r="AC85" s="909">
        <f t="shared" si="41"/>
        <v>3</v>
      </c>
      <c r="AD85" s="909">
        <f t="shared" si="41"/>
        <v>3</v>
      </c>
      <c r="AE85" s="909">
        <f t="shared" si="41"/>
        <v>2</v>
      </c>
      <c r="AF85" s="909">
        <f t="shared" si="41"/>
        <v>1.8667226890756301</v>
      </c>
      <c r="AG85" s="909">
        <f t="shared" si="41"/>
        <v>1</v>
      </c>
      <c r="AH85" s="909">
        <f t="shared" si="41"/>
        <v>1.2000000000000002</v>
      </c>
      <c r="AI85" s="907">
        <f t="shared" si="42"/>
        <v>2.1695378151260503</v>
      </c>
      <c r="AL85" s="1140">
        <f t="shared" ca="1" si="43"/>
        <v>-13.254885709331253</v>
      </c>
      <c r="AN85" s="1140">
        <f t="shared" ca="1" si="35"/>
        <v>-345.08370937881642</v>
      </c>
      <c r="AP85" s="1140">
        <f t="shared" ca="1" si="36"/>
        <v>46.245114290668745</v>
      </c>
      <c r="AR85" s="1140">
        <f t="shared" ca="1" si="37"/>
        <v>1203.9662906211836</v>
      </c>
    </row>
    <row r="86" spans="1:44">
      <c r="A86" s="884" t="str">
        <f t="shared" si="38"/>
        <v>FORT LEWISRolloffRENT20TEMP-RO</v>
      </c>
      <c r="B86" s="889" t="s">
        <v>2284</v>
      </c>
      <c r="C86" s="889" t="s">
        <v>2285</v>
      </c>
      <c r="D86" s="889" t="s">
        <v>2279</v>
      </c>
      <c r="E86" s="883">
        <v>31002</v>
      </c>
      <c r="F86" s="904">
        <v>5.15</v>
      </c>
      <c r="G86" s="904">
        <v>5.15</v>
      </c>
      <c r="H86" s="904"/>
      <c r="I86" s="904">
        <v>478.95</v>
      </c>
      <c r="J86" s="904">
        <v>319.29999999999995</v>
      </c>
      <c r="K86" s="904">
        <v>288.39999999999998</v>
      </c>
      <c r="L86" s="904">
        <v>185.4</v>
      </c>
      <c r="M86" s="904">
        <v>206</v>
      </c>
      <c r="N86" s="904">
        <v>123.6</v>
      </c>
      <c r="O86" s="904">
        <v>0</v>
      </c>
      <c r="P86" s="904">
        <v>283.25</v>
      </c>
      <c r="Q86" s="904">
        <v>180.25</v>
      </c>
      <c r="R86" s="904">
        <v>77.25</v>
      </c>
      <c r="S86" s="904">
        <v>118.45</v>
      </c>
      <c r="T86" s="904">
        <v>180.25</v>
      </c>
      <c r="U86" s="957">
        <f t="shared" si="39"/>
        <v>2441.1</v>
      </c>
      <c r="V86" s="905"/>
      <c r="W86" s="906">
        <f t="shared" si="40"/>
        <v>92.999999999999986</v>
      </c>
      <c r="X86" s="906">
        <f t="shared" si="40"/>
        <v>61.999999999999986</v>
      </c>
      <c r="Y86" s="906">
        <f t="shared" si="40"/>
        <v>55.999999999999993</v>
      </c>
      <c r="Z86" s="909">
        <f t="shared" si="41"/>
        <v>36</v>
      </c>
      <c r="AA86" s="909">
        <f t="shared" si="41"/>
        <v>40</v>
      </c>
      <c r="AB86" s="909">
        <f t="shared" si="41"/>
        <v>23.999999999999996</v>
      </c>
      <c r="AC86" s="909">
        <f t="shared" si="41"/>
        <v>0</v>
      </c>
      <c r="AD86" s="909">
        <f t="shared" si="41"/>
        <v>54.999999999999993</v>
      </c>
      <c r="AE86" s="909">
        <f t="shared" si="41"/>
        <v>35</v>
      </c>
      <c r="AF86" s="909">
        <f t="shared" si="41"/>
        <v>14.999999999999998</v>
      </c>
      <c r="AG86" s="909">
        <f t="shared" si="41"/>
        <v>23</v>
      </c>
      <c r="AH86" s="909">
        <f t="shared" si="41"/>
        <v>35</v>
      </c>
      <c r="AI86" s="907">
        <f t="shared" si="42"/>
        <v>39.5</v>
      </c>
      <c r="AL86" s="1140">
        <f t="shared" ca="1" si="43"/>
        <v>-1.147271620219428</v>
      </c>
      <c r="AN86" s="1140">
        <f t="shared" ca="1" si="35"/>
        <v>-543.80674798400878</v>
      </c>
      <c r="AP86" s="1140">
        <f t="shared" ca="1" si="36"/>
        <v>4.0027283797805726</v>
      </c>
      <c r="AR86" s="1140">
        <f t="shared" ca="1" si="37"/>
        <v>1897.2932520159911</v>
      </c>
    </row>
    <row r="87" spans="1:44">
      <c r="A87" s="884" t="str">
        <f t="shared" si="38"/>
        <v>FORT LEWISRolloffRENT30TEMP-RO</v>
      </c>
      <c r="B87" s="889" t="s">
        <v>2286</v>
      </c>
      <c r="C87" s="889" t="s">
        <v>2287</v>
      </c>
      <c r="D87" s="889" t="s">
        <v>2279</v>
      </c>
      <c r="E87" s="883">
        <v>31002</v>
      </c>
      <c r="F87" s="904">
        <v>6.1</v>
      </c>
      <c r="G87" s="904">
        <v>6.1</v>
      </c>
      <c r="H87" s="904"/>
      <c r="I87" s="904">
        <v>48.8</v>
      </c>
      <c r="J87" s="904">
        <v>146.4</v>
      </c>
      <c r="K87" s="904">
        <v>97.6</v>
      </c>
      <c r="L87" s="904">
        <v>189.1</v>
      </c>
      <c r="M87" s="904">
        <v>164.7</v>
      </c>
      <c r="N87" s="904">
        <v>0</v>
      </c>
      <c r="O87" s="904">
        <v>0</v>
      </c>
      <c r="P87" s="904">
        <v>0</v>
      </c>
      <c r="Q87" s="904">
        <v>0</v>
      </c>
      <c r="R87" s="904">
        <v>0</v>
      </c>
      <c r="S87" s="904">
        <v>0</v>
      </c>
      <c r="T87" s="904">
        <v>0</v>
      </c>
      <c r="U87" s="957">
        <f t="shared" si="39"/>
        <v>646.59999999999991</v>
      </c>
      <c r="V87" s="905"/>
      <c r="W87" s="906">
        <f t="shared" si="40"/>
        <v>8</v>
      </c>
      <c r="X87" s="906">
        <f t="shared" si="40"/>
        <v>24.000000000000004</v>
      </c>
      <c r="Y87" s="906">
        <f t="shared" si="40"/>
        <v>16</v>
      </c>
      <c r="Z87" s="909">
        <f t="shared" si="41"/>
        <v>31</v>
      </c>
      <c r="AA87" s="909">
        <f t="shared" si="41"/>
        <v>27</v>
      </c>
      <c r="AB87" s="909">
        <f t="shared" si="41"/>
        <v>0</v>
      </c>
      <c r="AC87" s="909">
        <f t="shared" si="41"/>
        <v>0</v>
      </c>
      <c r="AD87" s="909">
        <f t="shared" si="41"/>
        <v>0</v>
      </c>
      <c r="AE87" s="909">
        <f t="shared" si="41"/>
        <v>0</v>
      </c>
      <c r="AF87" s="909">
        <f t="shared" si="41"/>
        <v>0</v>
      </c>
      <c r="AG87" s="909">
        <f t="shared" si="41"/>
        <v>0</v>
      </c>
      <c r="AH87" s="909">
        <f t="shared" si="41"/>
        <v>0</v>
      </c>
      <c r="AI87" s="907">
        <f>AVERAGE(W87:AH87)</f>
        <v>8.8333333333333339</v>
      </c>
      <c r="AL87" s="1140">
        <f t="shared" ca="1" si="43"/>
        <v>-1.3589042491919434</v>
      </c>
      <c r="AN87" s="1140">
        <f t="shared" ca="1" si="35"/>
        <v>-144.043850414346</v>
      </c>
      <c r="AP87" s="1140">
        <f t="shared" ca="1" si="36"/>
        <v>4.7410957508080562</v>
      </c>
      <c r="AR87" s="1140">
        <f t="shared" ca="1" si="37"/>
        <v>502.55614958565388</v>
      </c>
    </row>
    <row r="88" spans="1:44">
      <c r="A88" s="884" t="str">
        <f t="shared" si="38"/>
        <v>FORT LEWISRolloffRENT40TEMP-RO</v>
      </c>
      <c r="B88" s="889" t="s">
        <v>2288</v>
      </c>
      <c r="C88" s="889" t="s">
        <v>2289</v>
      </c>
      <c r="D88" s="889" t="s">
        <v>2279</v>
      </c>
      <c r="E88" s="883">
        <v>31002</v>
      </c>
      <c r="F88" s="904">
        <v>7.15</v>
      </c>
      <c r="G88" s="904">
        <v>7.15</v>
      </c>
      <c r="H88" s="904"/>
      <c r="I88" s="904">
        <v>150.15</v>
      </c>
      <c r="J88" s="904">
        <v>0</v>
      </c>
      <c r="K88" s="904">
        <v>35.75</v>
      </c>
      <c r="L88" s="904">
        <v>0</v>
      </c>
      <c r="M88" s="904">
        <v>100.10000000000001</v>
      </c>
      <c r="N88" s="904">
        <v>0</v>
      </c>
      <c r="O88" s="904">
        <v>0</v>
      </c>
      <c r="P88" s="904">
        <v>0</v>
      </c>
      <c r="Q88" s="904">
        <v>128.69999999999999</v>
      </c>
      <c r="R88" s="904">
        <v>321.75</v>
      </c>
      <c r="S88" s="904">
        <v>0</v>
      </c>
      <c r="T88" s="904">
        <v>0</v>
      </c>
      <c r="U88" s="957">
        <f t="shared" si="39"/>
        <v>736.45</v>
      </c>
      <c r="V88" s="905"/>
      <c r="W88" s="906">
        <f t="shared" si="40"/>
        <v>21</v>
      </c>
      <c r="X88" s="906">
        <f t="shared" si="40"/>
        <v>0</v>
      </c>
      <c r="Y88" s="906">
        <f t="shared" si="40"/>
        <v>5</v>
      </c>
      <c r="Z88" s="909">
        <f t="shared" si="41"/>
        <v>0</v>
      </c>
      <c r="AA88" s="909">
        <f t="shared" si="41"/>
        <v>14</v>
      </c>
      <c r="AB88" s="909">
        <f t="shared" si="41"/>
        <v>0</v>
      </c>
      <c r="AC88" s="909">
        <f t="shared" si="41"/>
        <v>0</v>
      </c>
      <c r="AD88" s="909">
        <f t="shared" si="41"/>
        <v>0</v>
      </c>
      <c r="AE88" s="909">
        <f t="shared" si="41"/>
        <v>17.999999999999996</v>
      </c>
      <c r="AF88" s="909">
        <f t="shared" si="41"/>
        <v>45</v>
      </c>
      <c r="AG88" s="909">
        <f t="shared" si="41"/>
        <v>0</v>
      </c>
      <c r="AH88" s="909">
        <f t="shared" si="41"/>
        <v>0</v>
      </c>
      <c r="AI88" s="907">
        <f t="shared" si="42"/>
        <v>8.5833333333333339</v>
      </c>
      <c r="AL88" s="1140">
        <f t="shared" ca="1" si="43"/>
        <v>-1.5928139970036717</v>
      </c>
      <c r="AN88" s="1140">
        <f t="shared" ca="1" si="35"/>
        <v>-164.05984169137821</v>
      </c>
      <c r="AP88" s="1140">
        <f t="shared" ca="1" si="36"/>
        <v>5.5571860029963283</v>
      </c>
      <c r="AR88" s="1140">
        <f t="shared" ca="1" si="37"/>
        <v>572.39015830862184</v>
      </c>
    </row>
    <row r="89" spans="1:44">
      <c r="A89" s="884" t="str">
        <f t="shared" si="38"/>
        <v>FORT LEWISRolloffCLEAN20-RO</v>
      </c>
      <c r="B89" s="889" t="s">
        <v>2291</v>
      </c>
      <c r="C89" s="889" t="s">
        <v>2292</v>
      </c>
      <c r="D89" s="889" t="s">
        <v>2236</v>
      </c>
      <c r="E89" s="883">
        <v>31000</v>
      </c>
      <c r="F89" s="904">
        <v>95</v>
      </c>
      <c r="G89" s="904">
        <v>95</v>
      </c>
      <c r="H89" s="904"/>
      <c r="I89" s="904">
        <v>190</v>
      </c>
      <c r="J89" s="904">
        <v>95</v>
      </c>
      <c r="K89" s="904">
        <v>95</v>
      </c>
      <c r="L89" s="904">
        <v>95</v>
      </c>
      <c r="M89" s="904">
        <v>190</v>
      </c>
      <c r="N89" s="904">
        <v>285</v>
      </c>
      <c r="O89" s="904">
        <v>190</v>
      </c>
      <c r="P89" s="904">
        <v>190</v>
      </c>
      <c r="Q89" s="904">
        <v>190</v>
      </c>
      <c r="R89" s="904">
        <v>190</v>
      </c>
      <c r="S89" s="904">
        <v>190</v>
      </c>
      <c r="T89" s="904">
        <v>190</v>
      </c>
      <c r="U89" s="957">
        <f t="shared" si="39"/>
        <v>2090</v>
      </c>
      <c r="V89" s="905"/>
      <c r="W89" s="906">
        <f t="shared" si="40"/>
        <v>2</v>
      </c>
      <c r="X89" s="906">
        <f t="shared" si="40"/>
        <v>1</v>
      </c>
      <c r="Y89" s="906">
        <f t="shared" si="40"/>
        <v>1</v>
      </c>
      <c r="Z89" s="909">
        <f t="shared" si="41"/>
        <v>1</v>
      </c>
      <c r="AA89" s="909">
        <f t="shared" si="41"/>
        <v>2</v>
      </c>
      <c r="AB89" s="909">
        <f t="shared" si="41"/>
        <v>3</v>
      </c>
      <c r="AC89" s="909">
        <f t="shared" si="41"/>
        <v>2</v>
      </c>
      <c r="AD89" s="909">
        <f t="shared" si="41"/>
        <v>2</v>
      </c>
      <c r="AE89" s="909">
        <f t="shared" si="41"/>
        <v>2</v>
      </c>
      <c r="AF89" s="909">
        <f t="shared" si="41"/>
        <v>2</v>
      </c>
      <c r="AG89" s="909">
        <f t="shared" si="41"/>
        <v>2</v>
      </c>
      <c r="AH89" s="909">
        <f t="shared" si="41"/>
        <v>2</v>
      </c>
      <c r="AI89" s="907">
        <f t="shared" si="42"/>
        <v>1.8333333333333333</v>
      </c>
      <c r="AL89" s="1140">
        <f t="shared" ca="1" si="43"/>
        <v>-21.163262897251581</v>
      </c>
      <c r="AN89" s="1140">
        <f t="shared" ca="1" si="35"/>
        <v>-465.59178373953478</v>
      </c>
      <c r="AP89" s="1140">
        <f t="shared" ca="1" si="36"/>
        <v>73.836737102748415</v>
      </c>
      <c r="AR89" s="1140">
        <f t="shared" ca="1" si="37"/>
        <v>1624.4082162604652</v>
      </c>
    </row>
    <row r="90" spans="1:44">
      <c r="A90" s="884" t="str">
        <f t="shared" si="38"/>
        <v>FORT LEWISRolloffDISCO-CP</v>
      </c>
      <c r="B90" s="889" t="s">
        <v>2290</v>
      </c>
      <c r="C90" s="889" t="s">
        <v>2347</v>
      </c>
      <c r="D90" s="889" t="s">
        <v>2236</v>
      </c>
      <c r="E90" s="883">
        <v>31000</v>
      </c>
      <c r="F90" s="904">
        <v>10.5</v>
      </c>
      <c r="G90" s="904">
        <v>10.5</v>
      </c>
      <c r="H90" s="904"/>
      <c r="I90" s="904">
        <v>42</v>
      </c>
      <c r="J90" s="904">
        <v>52.5</v>
      </c>
      <c r="K90" s="904">
        <v>31.5</v>
      </c>
      <c r="L90" s="904">
        <v>21</v>
      </c>
      <c r="M90" s="904">
        <v>42</v>
      </c>
      <c r="N90" s="904">
        <v>52.5</v>
      </c>
      <c r="O90" s="904">
        <v>42</v>
      </c>
      <c r="P90" s="904">
        <v>42</v>
      </c>
      <c r="Q90" s="904">
        <v>42</v>
      </c>
      <c r="R90" s="904">
        <v>42</v>
      </c>
      <c r="S90" s="904">
        <v>52.5</v>
      </c>
      <c r="T90" s="904">
        <v>31.5</v>
      </c>
      <c r="U90" s="957">
        <f t="shared" si="39"/>
        <v>493.5</v>
      </c>
      <c r="V90" s="905"/>
      <c r="W90" s="906">
        <f t="shared" si="40"/>
        <v>4</v>
      </c>
      <c r="X90" s="906">
        <f t="shared" si="40"/>
        <v>5</v>
      </c>
      <c r="Y90" s="906">
        <f t="shared" si="40"/>
        <v>3</v>
      </c>
      <c r="Z90" s="909">
        <f t="shared" si="41"/>
        <v>2</v>
      </c>
      <c r="AA90" s="909">
        <f t="shared" si="41"/>
        <v>4</v>
      </c>
      <c r="AB90" s="909">
        <f t="shared" si="41"/>
        <v>5</v>
      </c>
      <c r="AC90" s="909">
        <f t="shared" si="41"/>
        <v>4</v>
      </c>
      <c r="AD90" s="909">
        <f t="shared" si="41"/>
        <v>4</v>
      </c>
      <c r="AE90" s="909">
        <f t="shared" si="41"/>
        <v>4</v>
      </c>
      <c r="AF90" s="909">
        <f t="shared" si="41"/>
        <v>4</v>
      </c>
      <c r="AG90" s="909">
        <f t="shared" si="41"/>
        <v>5</v>
      </c>
      <c r="AH90" s="909">
        <f t="shared" si="41"/>
        <v>3</v>
      </c>
      <c r="AI90" s="907">
        <f t="shared" si="42"/>
        <v>3.9166666666666665</v>
      </c>
      <c r="AL90" s="1140">
        <f t="shared" ca="1" si="43"/>
        <v>-2.3390974781172797</v>
      </c>
      <c r="AN90" s="1140">
        <f t="shared" ca="1" si="35"/>
        <v>-109.93758147151215</v>
      </c>
      <c r="AP90" s="1140">
        <f t="shared" ca="1" si="36"/>
        <v>8.1609025218827203</v>
      </c>
      <c r="AR90" s="1140">
        <f t="shared" ca="1" si="37"/>
        <v>383.56241852848785</v>
      </c>
    </row>
    <row r="91" spans="1:44">
      <c r="A91" s="884" t="str">
        <f t="shared" si="38"/>
        <v>FORT LEWISRolloffLIDRO</v>
      </c>
      <c r="B91" s="889" t="s">
        <v>2304</v>
      </c>
      <c r="C91" s="889" t="s">
        <v>2303</v>
      </c>
      <c r="D91" s="889" t="s">
        <v>2236</v>
      </c>
      <c r="E91" s="883">
        <v>31000</v>
      </c>
      <c r="F91" s="904">
        <v>19.850000000000001</v>
      </c>
      <c r="G91" s="904">
        <v>19.850000000000001</v>
      </c>
      <c r="H91" s="904"/>
      <c r="I91" s="904">
        <v>204.27</v>
      </c>
      <c r="J91" s="904">
        <v>248.44</v>
      </c>
      <c r="K91" s="904">
        <v>234.66</v>
      </c>
      <c r="L91" s="904">
        <v>218.35</v>
      </c>
      <c r="M91" s="904">
        <v>193.87</v>
      </c>
      <c r="N91" s="904">
        <v>143.43</v>
      </c>
      <c r="O91" s="904">
        <v>147.55000000000001</v>
      </c>
      <c r="P91" s="904">
        <v>158.80000000000001</v>
      </c>
      <c r="Q91" s="904">
        <v>167.93</v>
      </c>
      <c r="R91" s="904">
        <v>167.4</v>
      </c>
      <c r="S91" s="904">
        <v>188.26</v>
      </c>
      <c r="T91" s="904">
        <v>135.63999999999999</v>
      </c>
      <c r="U91" s="957">
        <f t="shared" si="39"/>
        <v>2208.6</v>
      </c>
      <c r="V91" s="905"/>
      <c r="W91" s="906">
        <f t="shared" si="40"/>
        <v>10.290680100755667</v>
      </c>
      <c r="X91" s="906">
        <f t="shared" si="40"/>
        <v>12.515869017632241</v>
      </c>
      <c r="Y91" s="906">
        <f t="shared" si="40"/>
        <v>11.821662468513853</v>
      </c>
      <c r="Z91" s="909">
        <f t="shared" si="41"/>
        <v>10.999999999999998</v>
      </c>
      <c r="AA91" s="909">
        <f t="shared" si="41"/>
        <v>9.766750629722921</v>
      </c>
      <c r="AB91" s="909">
        <f t="shared" si="41"/>
        <v>7.2256926952141054</v>
      </c>
      <c r="AC91" s="909">
        <f t="shared" si="41"/>
        <v>7.4332493702770783</v>
      </c>
      <c r="AD91" s="909">
        <f t="shared" si="41"/>
        <v>8</v>
      </c>
      <c r="AE91" s="909">
        <f t="shared" si="41"/>
        <v>8.4599496221662474</v>
      </c>
      <c r="AF91" s="909">
        <f t="shared" si="41"/>
        <v>8.4332493702770783</v>
      </c>
      <c r="AG91" s="909">
        <f t="shared" si="41"/>
        <v>9.4841309823677573</v>
      </c>
      <c r="AH91" s="909">
        <f t="shared" si="41"/>
        <v>6.8332493702770769</v>
      </c>
      <c r="AI91" s="907">
        <f t="shared" si="42"/>
        <v>9.272040302267003</v>
      </c>
      <c r="AL91" s="1140">
        <f t="shared" ca="1" si="43"/>
        <v>-4.4220080895836205</v>
      </c>
      <c r="AN91" s="1140">
        <f t="shared" ca="1" si="35"/>
        <v>-492.0124466828405</v>
      </c>
      <c r="AP91" s="1140">
        <f t="shared" ca="1" si="36"/>
        <v>15.427991910416381</v>
      </c>
      <c r="AR91" s="1140">
        <f t="shared" ca="1" si="37"/>
        <v>1716.5875533171593</v>
      </c>
    </row>
    <row r="92" spans="1:44">
      <c r="A92" s="884" t="str">
        <f t="shared" si="38"/>
        <v>FORT LEWISRolloffMILE-RO</v>
      </c>
      <c r="B92" s="889" t="s">
        <v>2307</v>
      </c>
      <c r="C92" s="889" t="s">
        <v>2308</v>
      </c>
      <c r="D92" s="889" t="s">
        <v>2236</v>
      </c>
      <c r="E92" s="883">
        <v>31000</v>
      </c>
      <c r="F92" s="904">
        <v>3</v>
      </c>
      <c r="G92" s="904">
        <v>3</v>
      </c>
      <c r="H92" s="904"/>
      <c r="I92" s="904">
        <v>198</v>
      </c>
      <c r="J92" s="904">
        <v>252</v>
      </c>
      <c r="K92" s="904">
        <v>219</v>
      </c>
      <c r="L92" s="904">
        <v>174</v>
      </c>
      <c r="M92" s="904">
        <v>345</v>
      </c>
      <c r="N92" s="904">
        <v>258</v>
      </c>
      <c r="O92" s="904">
        <v>144</v>
      </c>
      <c r="P92" s="904">
        <v>183</v>
      </c>
      <c r="Q92" s="904">
        <v>276</v>
      </c>
      <c r="R92" s="904">
        <v>234</v>
      </c>
      <c r="S92" s="904">
        <v>204</v>
      </c>
      <c r="T92" s="904">
        <v>267</v>
      </c>
      <c r="U92" s="957">
        <f t="shared" si="39"/>
        <v>2754</v>
      </c>
      <c r="V92" s="905"/>
      <c r="W92" s="906">
        <f t="shared" si="40"/>
        <v>66</v>
      </c>
      <c r="X92" s="906">
        <f t="shared" si="40"/>
        <v>84</v>
      </c>
      <c r="Y92" s="906">
        <f t="shared" si="40"/>
        <v>73</v>
      </c>
      <c r="Z92" s="909">
        <f t="shared" si="41"/>
        <v>58</v>
      </c>
      <c r="AA92" s="909">
        <f t="shared" si="41"/>
        <v>115</v>
      </c>
      <c r="AB92" s="909">
        <f t="shared" si="41"/>
        <v>86</v>
      </c>
      <c r="AC92" s="909">
        <f t="shared" si="41"/>
        <v>48</v>
      </c>
      <c r="AD92" s="909">
        <f t="shared" si="41"/>
        <v>61</v>
      </c>
      <c r="AE92" s="909">
        <f t="shared" si="41"/>
        <v>92</v>
      </c>
      <c r="AF92" s="909">
        <f t="shared" si="41"/>
        <v>78</v>
      </c>
      <c r="AG92" s="909">
        <f t="shared" si="41"/>
        <v>68</v>
      </c>
      <c r="AH92" s="909">
        <f t="shared" si="41"/>
        <v>89</v>
      </c>
      <c r="AI92" s="907">
        <f t="shared" si="42"/>
        <v>76.5</v>
      </c>
      <c r="AL92" s="1140">
        <f t="shared" ca="1" si="43"/>
        <v>-0.66831356517636564</v>
      </c>
      <c r="AN92" s="1140">
        <f t="shared" ca="1" si="35"/>
        <v>-613.51185283190364</v>
      </c>
      <c r="AP92" s="1140">
        <f t="shared" ca="1" si="36"/>
        <v>2.3316864348236344</v>
      </c>
      <c r="AR92" s="1140">
        <f t="shared" ca="1" si="37"/>
        <v>2140.4881471680965</v>
      </c>
    </row>
    <row r="93" spans="1:44">
      <c r="A93" s="884" t="str">
        <f t="shared" si="38"/>
        <v>FORT LEWISRolloffRTRNTRIP-RO</v>
      </c>
      <c r="B93" s="889" t="s">
        <v>2309</v>
      </c>
      <c r="C93" s="889" t="s">
        <v>2310</v>
      </c>
      <c r="D93" s="889" t="s">
        <v>2236</v>
      </c>
      <c r="E93" s="883">
        <v>31000</v>
      </c>
      <c r="F93" s="904">
        <v>60</v>
      </c>
      <c r="G93" s="904">
        <v>60</v>
      </c>
      <c r="H93" s="904"/>
      <c r="I93" s="904">
        <v>60</v>
      </c>
      <c r="J93" s="904">
        <v>60</v>
      </c>
      <c r="K93" s="904">
        <v>60</v>
      </c>
      <c r="L93" s="904">
        <v>60</v>
      </c>
      <c r="M93" s="904">
        <v>60</v>
      </c>
      <c r="N93" s="904">
        <v>60</v>
      </c>
      <c r="O93" s="904">
        <v>0</v>
      </c>
      <c r="P93" s="904">
        <v>240</v>
      </c>
      <c r="Q93" s="904">
        <v>60</v>
      </c>
      <c r="R93" s="904">
        <v>0</v>
      </c>
      <c r="S93" s="904">
        <v>60</v>
      </c>
      <c r="T93" s="904">
        <v>240</v>
      </c>
      <c r="U93" s="957">
        <f t="shared" si="39"/>
        <v>960</v>
      </c>
      <c r="V93" s="905"/>
      <c r="W93" s="906">
        <f t="shared" si="40"/>
        <v>1</v>
      </c>
      <c r="X93" s="906">
        <f t="shared" si="40"/>
        <v>1</v>
      </c>
      <c r="Y93" s="906">
        <f t="shared" si="40"/>
        <v>1</v>
      </c>
      <c r="Z93" s="909">
        <f t="shared" si="41"/>
        <v>1</v>
      </c>
      <c r="AA93" s="909">
        <f t="shared" si="41"/>
        <v>1</v>
      </c>
      <c r="AB93" s="909">
        <f t="shared" si="41"/>
        <v>1</v>
      </c>
      <c r="AC93" s="909">
        <f t="shared" si="41"/>
        <v>0</v>
      </c>
      <c r="AD93" s="909">
        <f t="shared" si="41"/>
        <v>4</v>
      </c>
      <c r="AE93" s="909">
        <f t="shared" si="41"/>
        <v>1</v>
      </c>
      <c r="AF93" s="909">
        <f t="shared" si="41"/>
        <v>0</v>
      </c>
      <c r="AG93" s="909">
        <f t="shared" si="41"/>
        <v>1</v>
      </c>
      <c r="AH93" s="909">
        <f t="shared" si="41"/>
        <v>4</v>
      </c>
      <c r="AI93" s="907">
        <f t="shared" si="42"/>
        <v>1.3333333333333333</v>
      </c>
      <c r="AL93" s="1140"/>
      <c r="AN93" s="1140"/>
      <c r="AP93" s="1140"/>
      <c r="AR93" s="1140"/>
    </row>
    <row r="94" spans="1:44">
      <c r="B94" s="889"/>
      <c r="C94" s="889"/>
      <c r="D94" s="889"/>
      <c r="F94" s="904"/>
      <c r="G94" s="904"/>
      <c r="H94" s="904"/>
      <c r="I94" s="904"/>
      <c r="J94" s="904"/>
      <c r="K94" s="904"/>
      <c r="L94" s="904"/>
      <c r="M94" s="904"/>
      <c r="N94" s="904"/>
      <c r="O94" s="904"/>
      <c r="P94" s="904"/>
      <c r="Q94" s="904"/>
      <c r="R94" s="904"/>
      <c r="S94" s="904"/>
      <c r="T94" s="904"/>
      <c r="U94" s="909"/>
      <c r="V94" s="905"/>
      <c r="W94" s="906"/>
      <c r="X94" s="906"/>
      <c r="Y94" s="906"/>
      <c r="Z94" s="909"/>
      <c r="AA94" s="909"/>
      <c r="AB94" s="909"/>
      <c r="AC94" s="909"/>
      <c r="AD94" s="909"/>
      <c r="AE94" s="909"/>
      <c r="AF94" s="909"/>
      <c r="AG94" s="909"/>
      <c r="AH94" s="909"/>
      <c r="AL94" s="1140"/>
      <c r="AN94" s="1143">
        <f t="shared" ref="AN94" ca="1" si="44">SUM(AN66:AN92)</f>
        <v>-13500.831784451806</v>
      </c>
      <c r="AP94" s="1140"/>
      <c r="AR94" s="1143">
        <f t="shared" ref="AR94" ca="1" si="45">SUM(AR66:AR92)</f>
        <v>47103.198215548182</v>
      </c>
    </row>
    <row r="95" spans="1:44">
      <c r="B95" s="889"/>
      <c r="C95" s="910" t="s">
        <v>2313</v>
      </c>
      <c r="D95" s="889"/>
      <c r="F95" s="904"/>
      <c r="G95" s="904"/>
      <c r="H95" s="904"/>
      <c r="I95" s="912">
        <f t="shared" ref="I95:U95" si="46">SUM(I67:I93)</f>
        <v>5094.8</v>
      </c>
      <c r="J95" s="912">
        <f t="shared" si="46"/>
        <v>5985.41</v>
      </c>
      <c r="K95" s="912">
        <f t="shared" si="46"/>
        <v>5361.29</v>
      </c>
      <c r="L95" s="912">
        <f t="shared" si="46"/>
        <v>4293.2999999999993</v>
      </c>
      <c r="M95" s="912">
        <f t="shared" si="46"/>
        <v>6511.62</v>
      </c>
      <c r="N95" s="912">
        <f t="shared" si="46"/>
        <v>5280.47</v>
      </c>
      <c r="O95" s="912">
        <f t="shared" si="46"/>
        <v>3652.05</v>
      </c>
      <c r="P95" s="912">
        <f t="shared" si="46"/>
        <v>4491.97</v>
      </c>
      <c r="Q95" s="912">
        <f t="shared" si="46"/>
        <v>5785.21</v>
      </c>
      <c r="R95" s="912">
        <f t="shared" si="46"/>
        <v>5357.5199999999995</v>
      </c>
      <c r="S95" s="912">
        <f t="shared" si="46"/>
        <v>4760.5</v>
      </c>
      <c r="T95" s="912">
        <f t="shared" si="46"/>
        <v>4989.8900000000003</v>
      </c>
      <c r="U95" s="912">
        <f t="shared" si="46"/>
        <v>61564.03</v>
      </c>
      <c r="V95" s="914"/>
      <c r="W95" s="984">
        <f>SUM(W83:W85)+SUM(W86:W88)/30</f>
        <v>17.615070028011203</v>
      </c>
      <c r="X95" s="913">
        <f t="shared" ref="X95:AH95" si="47">SUM(X83:X85)+SUM(X86:X88)/30</f>
        <v>18.156918767507001</v>
      </c>
      <c r="Y95" s="913">
        <f t="shared" si="47"/>
        <v>19.245322128851541</v>
      </c>
      <c r="Z95" s="913">
        <f t="shared" si="47"/>
        <v>18.652661064425772</v>
      </c>
      <c r="AA95" s="913">
        <f t="shared" si="47"/>
        <v>17.8</v>
      </c>
      <c r="AB95" s="913">
        <f t="shared" si="47"/>
        <v>14.025882352941178</v>
      </c>
      <c r="AC95" s="913">
        <f t="shared" si="47"/>
        <v>13</v>
      </c>
      <c r="AD95" s="913">
        <f t="shared" si="47"/>
        <v>14.865602240896358</v>
      </c>
      <c r="AE95" s="913">
        <f t="shared" si="47"/>
        <v>15.831036414565826</v>
      </c>
      <c r="AF95" s="913">
        <f t="shared" si="47"/>
        <v>16.766722689075628</v>
      </c>
      <c r="AG95" s="913">
        <f t="shared" si="47"/>
        <v>16.250532212885155</v>
      </c>
      <c r="AH95" s="913">
        <f t="shared" si="47"/>
        <v>14.166666666666666</v>
      </c>
      <c r="AI95" s="913">
        <f>AVERAGE(W95:AH95)</f>
        <v>16.364701213818861</v>
      </c>
      <c r="AL95" s="1140"/>
      <c r="AN95" s="1140"/>
      <c r="AP95" s="1140"/>
      <c r="AR95" s="1140"/>
    </row>
    <row r="96" spans="1:44">
      <c r="B96" s="889"/>
      <c r="C96" s="889"/>
      <c r="D96" s="889"/>
      <c r="F96" s="904"/>
      <c r="G96" s="904"/>
      <c r="H96" s="904"/>
      <c r="I96" s="904"/>
      <c r="J96" s="904"/>
      <c r="K96" s="904"/>
      <c r="L96" s="904"/>
      <c r="M96" s="904"/>
      <c r="N96" s="904"/>
      <c r="O96" s="904"/>
      <c r="P96" s="904"/>
      <c r="Q96" s="904"/>
      <c r="R96" s="904"/>
      <c r="S96" s="904"/>
      <c r="T96" s="904"/>
      <c r="U96" s="944"/>
      <c r="V96" s="945"/>
      <c r="W96" s="906"/>
      <c r="X96" s="906"/>
      <c r="Y96" s="906"/>
      <c r="Z96" s="909"/>
      <c r="AA96" s="909"/>
      <c r="AB96" s="909"/>
      <c r="AC96" s="909"/>
      <c r="AD96" s="909"/>
      <c r="AE96" s="909"/>
      <c r="AF96" s="909"/>
      <c r="AG96" s="909"/>
      <c r="AH96" s="909"/>
      <c r="AL96" s="1140"/>
      <c r="AN96" s="1140"/>
      <c r="AP96" s="1140"/>
      <c r="AR96" s="1140"/>
    </row>
    <row r="97" spans="1:44">
      <c r="B97" s="918" t="s">
        <v>2314</v>
      </c>
      <c r="C97" s="889"/>
      <c r="D97" s="889"/>
      <c r="F97" s="904"/>
      <c r="G97" s="904"/>
      <c r="H97" s="904"/>
      <c r="I97" s="904"/>
      <c r="J97" s="904"/>
      <c r="K97" s="904"/>
      <c r="L97" s="904"/>
      <c r="M97" s="904"/>
      <c r="N97" s="904"/>
      <c r="O97" s="904"/>
      <c r="P97" s="904"/>
      <c r="Q97" s="904"/>
      <c r="R97" s="904"/>
      <c r="S97" s="904"/>
      <c r="T97" s="904"/>
      <c r="U97" s="944"/>
      <c r="V97" s="945"/>
      <c r="W97" s="906"/>
      <c r="X97" s="906"/>
      <c r="Y97" s="906"/>
      <c r="Z97" s="909"/>
      <c r="AA97" s="909"/>
      <c r="AB97" s="909"/>
      <c r="AC97" s="909"/>
      <c r="AD97" s="909"/>
      <c r="AE97" s="909"/>
      <c r="AF97" s="909"/>
      <c r="AG97" s="909"/>
      <c r="AH97" s="909"/>
      <c r="AL97" s="1140">
        <f ca="1">G97*$AL$2</f>
        <v>0</v>
      </c>
      <c r="AN97" s="1140">
        <f t="shared" ref="AN97" ca="1" si="48">AI97*AL97*12</f>
        <v>0</v>
      </c>
      <c r="AP97" s="1140">
        <f t="shared" ref="AP97" ca="1" si="49">G97+AL97</f>
        <v>0</v>
      </c>
      <c r="AR97" s="1140">
        <f t="shared" ref="AR97" ca="1" si="50">U97+AN97</f>
        <v>0</v>
      </c>
    </row>
    <row r="98" spans="1:44">
      <c r="A98" s="884" t="str">
        <f>$B$3&amp;"Rolloff"&amp;B98</f>
        <v>FORT LEWISRolloffDISP-RO</v>
      </c>
      <c r="B98" s="889" t="s">
        <v>2315</v>
      </c>
      <c r="C98" s="889" t="s">
        <v>2316</v>
      </c>
      <c r="D98" s="889" t="s">
        <v>2317</v>
      </c>
      <c r="E98" s="883">
        <v>31005</v>
      </c>
      <c r="F98" s="904">
        <v>157.38</v>
      </c>
      <c r="G98" s="904">
        <v>164.34</v>
      </c>
      <c r="H98" s="904"/>
      <c r="I98" s="904">
        <v>0</v>
      </c>
      <c r="J98" s="904">
        <v>0</v>
      </c>
      <c r="K98" s="904">
        <v>788.24</v>
      </c>
      <c r="L98" s="904">
        <v>0</v>
      </c>
      <c r="M98" s="904">
        <v>0</v>
      </c>
      <c r="N98" s="904">
        <v>0</v>
      </c>
      <c r="O98" s="904">
        <v>0</v>
      </c>
      <c r="P98" s="904">
        <v>0</v>
      </c>
      <c r="Q98" s="904">
        <v>0</v>
      </c>
      <c r="R98" s="904">
        <v>0</v>
      </c>
      <c r="S98" s="904">
        <v>0</v>
      </c>
      <c r="T98" s="904">
        <v>0</v>
      </c>
      <c r="U98" s="957">
        <f>SUM(I98:T98)</f>
        <v>788.24</v>
      </c>
      <c r="V98" s="905"/>
      <c r="W98" s="906">
        <f t="shared" ref="W98:Y99" si="51">IFERROR(I98/$F98,0)</f>
        <v>0</v>
      </c>
      <c r="X98" s="906">
        <f t="shared" si="51"/>
        <v>0</v>
      </c>
      <c r="Y98" s="906">
        <f t="shared" si="51"/>
        <v>5.0085144236878891</v>
      </c>
      <c r="Z98" s="909">
        <f t="shared" ref="Z98:AH99" si="52">IFERROR(L98/$G98,0)</f>
        <v>0</v>
      </c>
      <c r="AA98" s="909">
        <f t="shared" si="52"/>
        <v>0</v>
      </c>
      <c r="AB98" s="909">
        <f t="shared" si="52"/>
        <v>0</v>
      </c>
      <c r="AC98" s="909">
        <f t="shared" si="52"/>
        <v>0</v>
      </c>
      <c r="AD98" s="909">
        <f t="shared" si="52"/>
        <v>0</v>
      </c>
      <c r="AE98" s="909">
        <f t="shared" si="52"/>
        <v>0</v>
      </c>
      <c r="AF98" s="909">
        <f t="shared" si="52"/>
        <v>0</v>
      </c>
      <c r="AG98" s="909">
        <f t="shared" si="52"/>
        <v>0</v>
      </c>
      <c r="AH98" s="909">
        <f t="shared" si="52"/>
        <v>0</v>
      </c>
      <c r="AL98" s="1140"/>
      <c r="AN98" s="1140"/>
      <c r="AP98" s="1140"/>
      <c r="AR98" s="1140"/>
    </row>
    <row r="99" spans="1:44">
      <c r="A99" s="884" t="str">
        <f>$B$3&amp;"Rolloff"&amp;B99</f>
        <v>FORT LEWISRolloffDISPFEDMSW-RO</v>
      </c>
      <c r="B99" s="889" t="s">
        <v>2318</v>
      </c>
      <c r="C99" s="889" t="str">
        <f>VLOOKUP($B99,'[45]RM Data'!$H:$I,2,FALSE)</f>
        <v xml:space="preserve">DISPOSAL FEE FEDERAL MSW </v>
      </c>
      <c r="D99" s="889"/>
      <c r="F99" s="904">
        <v>107.83</v>
      </c>
      <c r="G99" s="904">
        <v>112.64</v>
      </c>
      <c r="H99" s="904"/>
      <c r="I99" s="904">
        <v>6094.56</v>
      </c>
      <c r="J99" s="904">
        <v>7506.07</v>
      </c>
      <c r="K99" s="904">
        <v>3599.37</v>
      </c>
      <c r="L99" s="904">
        <v>6408.08</v>
      </c>
      <c r="M99" s="904">
        <v>8799.4599999999991</v>
      </c>
      <c r="N99" s="904">
        <v>6261.67</v>
      </c>
      <c r="O99" s="904">
        <v>3713.74</v>
      </c>
      <c r="P99" s="904">
        <v>4033.66</v>
      </c>
      <c r="Q99" s="904">
        <v>6714.48</v>
      </c>
      <c r="R99" s="904">
        <v>6039.76</v>
      </c>
      <c r="S99" s="904">
        <v>4355.79</v>
      </c>
      <c r="T99" s="904">
        <v>3343.17</v>
      </c>
      <c r="U99" s="957">
        <f>SUM(I99:T99)</f>
        <v>66869.81</v>
      </c>
      <c r="V99" s="905"/>
      <c r="W99" s="906">
        <f t="shared" si="51"/>
        <v>56.520077900398782</v>
      </c>
      <c r="X99" s="906">
        <f t="shared" si="51"/>
        <v>69.610219790410824</v>
      </c>
      <c r="Y99" s="906">
        <f t="shared" si="51"/>
        <v>33.380042659742188</v>
      </c>
      <c r="Z99" s="909">
        <f t="shared" si="52"/>
        <v>56.889914772727273</v>
      </c>
      <c r="AA99" s="909">
        <f t="shared" si="52"/>
        <v>78.120205965909079</v>
      </c>
      <c r="AB99" s="909">
        <f t="shared" si="52"/>
        <v>55.590110085227273</v>
      </c>
      <c r="AC99" s="909">
        <f t="shared" si="52"/>
        <v>32.969992897727273</v>
      </c>
      <c r="AD99" s="909">
        <f t="shared" si="52"/>
        <v>35.810191761363633</v>
      </c>
      <c r="AE99" s="909">
        <f t="shared" si="52"/>
        <v>59.610085227272727</v>
      </c>
      <c r="AF99" s="909">
        <f t="shared" si="52"/>
        <v>53.620028409090914</v>
      </c>
      <c r="AG99" s="909">
        <f t="shared" si="52"/>
        <v>38.670010653409093</v>
      </c>
      <c r="AH99" s="909">
        <f t="shared" si="52"/>
        <v>29.680131392045457</v>
      </c>
      <c r="AI99" s="907">
        <f>AVERAGE(W99:AH99)</f>
        <v>50.039250959610378</v>
      </c>
      <c r="AL99" s="1140"/>
      <c r="AN99" s="1140"/>
      <c r="AP99" s="1140"/>
      <c r="AR99" s="1140"/>
    </row>
    <row r="100" spans="1:44">
      <c r="B100" s="889"/>
      <c r="C100" s="889"/>
      <c r="D100" s="889"/>
      <c r="F100" s="904"/>
      <c r="G100" s="904"/>
      <c r="H100" s="904"/>
      <c r="I100" s="904"/>
      <c r="J100" s="904"/>
      <c r="K100" s="904"/>
      <c r="L100" s="904"/>
      <c r="M100" s="904"/>
      <c r="N100" s="904"/>
      <c r="O100" s="904"/>
      <c r="P100" s="904"/>
      <c r="Q100" s="904"/>
      <c r="R100" s="904"/>
      <c r="S100" s="904"/>
      <c r="T100" s="904"/>
      <c r="U100" s="909"/>
      <c r="V100" s="905"/>
      <c r="W100" s="906"/>
      <c r="X100" s="906"/>
      <c r="Y100" s="906"/>
      <c r="Z100" s="909"/>
      <c r="AA100" s="909"/>
      <c r="AB100" s="909"/>
      <c r="AC100" s="909"/>
      <c r="AD100" s="909"/>
      <c r="AE100" s="909"/>
      <c r="AF100" s="909"/>
      <c r="AG100" s="909"/>
      <c r="AH100" s="909"/>
      <c r="AL100" s="1140"/>
      <c r="AN100" s="1140"/>
      <c r="AP100" s="1140"/>
      <c r="AR100" s="1143">
        <f t="shared" ref="AR100" ca="1" si="53">SUM(AR97:AR99)</f>
        <v>0</v>
      </c>
    </row>
    <row r="101" spans="1:44">
      <c r="B101" s="889"/>
      <c r="C101" s="910" t="s">
        <v>2319</v>
      </c>
      <c r="D101" s="889"/>
      <c r="F101" s="904"/>
      <c r="G101" s="904"/>
      <c r="H101" s="904"/>
      <c r="I101" s="912">
        <f t="shared" ref="I101:U101" si="54">SUM(I98:I100)</f>
        <v>6094.56</v>
      </c>
      <c r="J101" s="912">
        <f t="shared" si="54"/>
        <v>7506.07</v>
      </c>
      <c r="K101" s="912">
        <f t="shared" si="54"/>
        <v>4387.6099999999997</v>
      </c>
      <c r="L101" s="912">
        <f t="shared" si="54"/>
        <v>6408.08</v>
      </c>
      <c r="M101" s="912">
        <f t="shared" si="54"/>
        <v>8799.4599999999991</v>
      </c>
      <c r="N101" s="912">
        <f t="shared" si="54"/>
        <v>6261.67</v>
      </c>
      <c r="O101" s="912">
        <f t="shared" si="54"/>
        <v>3713.74</v>
      </c>
      <c r="P101" s="912">
        <f t="shared" si="54"/>
        <v>4033.66</v>
      </c>
      <c r="Q101" s="912">
        <f t="shared" si="54"/>
        <v>6714.48</v>
      </c>
      <c r="R101" s="912">
        <f t="shared" si="54"/>
        <v>6039.76</v>
      </c>
      <c r="S101" s="912">
        <f t="shared" si="54"/>
        <v>4355.79</v>
      </c>
      <c r="T101" s="912">
        <f t="shared" si="54"/>
        <v>3343.17</v>
      </c>
      <c r="U101" s="912">
        <f t="shared" si="54"/>
        <v>67658.05</v>
      </c>
      <c r="V101" s="914"/>
      <c r="W101" s="912">
        <f t="shared" ref="W101:AH101" si="55">SUM(W98:W100)</f>
        <v>56.520077900398782</v>
      </c>
      <c r="X101" s="912">
        <f t="shared" si="55"/>
        <v>69.610219790410824</v>
      </c>
      <c r="Y101" s="912">
        <f t="shared" si="55"/>
        <v>38.388557083430079</v>
      </c>
      <c r="Z101" s="912">
        <f t="shared" si="55"/>
        <v>56.889914772727273</v>
      </c>
      <c r="AA101" s="912">
        <f t="shared" si="55"/>
        <v>78.120205965909079</v>
      </c>
      <c r="AB101" s="912">
        <f t="shared" si="55"/>
        <v>55.590110085227273</v>
      </c>
      <c r="AC101" s="912">
        <f t="shared" si="55"/>
        <v>32.969992897727273</v>
      </c>
      <c r="AD101" s="912">
        <f t="shared" si="55"/>
        <v>35.810191761363633</v>
      </c>
      <c r="AE101" s="912">
        <f t="shared" si="55"/>
        <v>59.610085227272727</v>
      </c>
      <c r="AF101" s="912">
        <f t="shared" si="55"/>
        <v>53.620028409090914</v>
      </c>
      <c r="AG101" s="912">
        <f t="shared" si="55"/>
        <v>38.670010653409093</v>
      </c>
      <c r="AH101" s="912">
        <f t="shared" si="55"/>
        <v>29.680131392045457</v>
      </c>
      <c r="AI101" s="907">
        <f>AVERAGE(W101:AH101)</f>
        <v>50.456627161584372</v>
      </c>
      <c r="AL101" s="1140"/>
      <c r="AN101" s="1140"/>
      <c r="AP101" s="1140"/>
      <c r="AR101" s="1140"/>
    </row>
    <row r="102" spans="1:44">
      <c r="B102" s="889"/>
      <c r="F102" s="904"/>
      <c r="G102" s="904"/>
      <c r="I102" s="904"/>
      <c r="J102" s="904"/>
      <c r="K102" s="904"/>
      <c r="L102" s="904"/>
      <c r="M102" s="904"/>
      <c r="N102" s="904"/>
      <c r="O102" s="904"/>
      <c r="P102" s="904"/>
      <c r="Q102" s="904"/>
      <c r="R102" s="904"/>
      <c r="S102" s="904"/>
      <c r="T102" s="904"/>
      <c r="U102" s="976"/>
      <c r="V102" s="983"/>
      <c r="W102" s="906"/>
      <c r="X102" s="906"/>
      <c r="Y102" s="906"/>
      <c r="Z102" s="909"/>
      <c r="AA102" s="909"/>
      <c r="AB102" s="909"/>
      <c r="AC102" s="909"/>
      <c r="AD102" s="909"/>
      <c r="AE102" s="909"/>
      <c r="AF102" s="909"/>
      <c r="AG102" s="909"/>
      <c r="AH102" s="909"/>
      <c r="AL102" s="1140"/>
      <c r="AN102" s="1140"/>
      <c r="AP102" s="1140"/>
      <c r="AR102" s="1140"/>
    </row>
    <row r="103" spans="1:44">
      <c r="F103" s="904"/>
      <c r="G103" s="904"/>
      <c r="I103" s="904"/>
      <c r="J103" s="904"/>
      <c r="K103" s="904"/>
      <c r="L103" s="904"/>
      <c r="M103" s="904"/>
      <c r="N103" s="904"/>
      <c r="O103" s="904"/>
      <c r="P103" s="904"/>
      <c r="Q103" s="904"/>
      <c r="R103" s="904"/>
      <c r="S103" s="904"/>
      <c r="T103" s="904"/>
      <c r="W103" s="906"/>
      <c r="X103" s="906"/>
      <c r="Y103" s="906"/>
      <c r="Z103" s="909"/>
      <c r="AA103" s="909"/>
      <c r="AB103" s="909"/>
      <c r="AC103" s="909"/>
      <c r="AD103" s="909"/>
      <c r="AE103" s="909"/>
      <c r="AF103" s="909"/>
      <c r="AG103" s="909"/>
      <c r="AH103" s="909"/>
      <c r="AL103" s="1140"/>
    </row>
    <row r="104" spans="1:44" s="921" customFormat="1">
      <c r="B104" s="881" t="s">
        <v>2320</v>
      </c>
      <c r="C104" s="881"/>
      <c r="D104" s="881"/>
      <c r="E104" s="892"/>
      <c r="F104" s="904"/>
      <c r="G104" s="904"/>
      <c r="H104" s="881"/>
      <c r="I104" s="933">
        <f t="shared" ref="I104:T104" si="56">+I95+I101</f>
        <v>11189.36</v>
      </c>
      <c r="J104" s="933">
        <f t="shared" si="56"/>
        <v>13491.48</v>
      </c>
      <c r="K104" s="933">
        <f t="shared" si="56"/>
        <v>9748.9</v>
      </c>
      <c r="L104" s="933">
        <f t="shared" si="56"/>
        <v>10701.38</v>
      </c>
      <c r="M104" s="933">
        <f t="shared" si="56"/>
        <v>15311.079999999998</v>
      </c>
      <c r="N104" s="933">
        <f t="shared" si="56"/>
        <v>11542.14</v>
      </c>
      <c r="O104" s="933">
        <f t="shared" si="56"/>
        <v>7365.79</v>
      </c>
      <c r="P104" s="933">
        <f t="shared" si="56"/>
        <v>8525.630000000001</v>
      </c>
      <c r="Q104" s="933">
        <f t="shared" si="56"/>
        <v>12499.689999999999</v>
      </c>
      <c r="R104" s="933">
        <f t="shared" si="56"/>
        <v>11397.279999999999</v>
      </c>
      <c r="S104" s="933">
        <f t="shared" si="56"/>
        <v>9116.2900000000009</v>
      </c>
      <c r="T104" s="933">
        <f t="shared" si="56"/>
        <v>8333.0600000000013</v>
      </c>
      <c r="U104" s="985">
        <f>SUM(I104:T104)</f>
        <v>129222.07999999999</v>
      </c>
      <c r="V104" s="934"/>
      <c r="W104" s="933">
        <f t="shared" ref="W104:AH104" si="57">+W95+W101</f>
        <v>74.135147928409992</v>
      </c>
      <c r="X104" s="933">
        <f t="shared" si="57"/>
        <v>87.767138557917832</v>
      </c>
      <c r="Y104" s="933">
        <f t="shared" si="57"/>
        <v>57.63387921228162</v>
      </c>
      <c r="Z104" s="933">
        <f t="shared" si="57"/>
        <v>75.542575837153038</v>
      </c>
      <c r="AA104" s="933">
        <f t="shared" si="57"/>
        <v>95.920205965909076</v>
      </c>
      <c r="AB104" s="933">
        <f t="shared" si="57"/>
        <v>69.615992438168448</v>
      </c>
      <c r="AC104" s="933">
        <f t="shared" si="57"/>
        <v>45.969992897727273</v>
      </c>
      <c r="AD104" s="933">
        <f t="shared" si="57"/>
        <v>50.675794002259991</v>
      </c>
      <c r="AE104" s="933">
        <f t="shared" si="57"/>
        <v>75.441121641838549</v>
      </c>
      <c r="AF104" s="933">
        <f t="shared" si="57"/>
        <v>70.386751098166542</v>
      </c>
      <c r="AG104" s="933">
        <f t="shared" si="57"/>
        <v>54.920542866294248</v>
      </c>
      <c r="AH104" s="933">
        <f t="shared" si="57"/>
        <v>43.846798058712125</v>
      </c>
      <c r="AI104" s="907">
        <f>AVERAGE(W104:AH104)</f>
        <v>66.821328375403226</v>
      </c>
      <c r="AL104" s="1140"/>
      <c r="AM104" s="1137"/>
      <c r="AN104" s="1170">
        <f ca="1">AN100+AN94</f>
        <v>-13500.831784451806</v>
      </c>
      <c r="AO104" s="1137"/>
      <c r="AP104" s="1140"/>
      <c r="AQ104" s="1137"/>
      <c r="AR104" s="1170">
        <f ca="1">AR100+AR94</f>
        <v>47103.198215548182</v>
      </c>
    </row>
    <row r="105" spans="1:44" s="921" customFormat="1">
      <c r="B105" s="881"/>
      <c r="C105" s="881"/>
      <c r="D105" s="881"/>
      <c r="E105" s="892"/>
      <c r="F105" s="904"/>
      <c r="G105" s="904"/>
      <c r="H105" s="935"/>
      <c r="I105" s="904"/>
      <c r="J105" s="904"/>
      <c r="K105" s="904"/>
      <c r="L105" s="904"/>
      <c r="M105" s="904"/>
      <c r="N105" s="904"/>
      <c r="O105" s="904"/>
      <c r="P105" s="904"/>
      <c r="Q105" s="904"/>
      <c r="R105" s="904"/>
      <c r="S105" s="904"/>
      <c r="T105" s="904"/>
      <c r="U105" s="955"/>
      <c r="V105" s="934"/>
      <c r="W105" s="906"/>
      <c r="X105" s="906"/>
      <c r="Y105" s="906"/>
      <c r="Z105" s="909"/>
      <c r="AA105" s="909"/>
      <c r="AB105" s="909"/>
      <c r="AC105" s="909"/>
      <c r="AD105" s="909"/>
      <c r="AE105" s="909"/>
      <c r="AF105" s="909"/>
      <c r="AG105" s="909"/>
      <c r="AH105" s="909"/>
      <c r="AL105" s="1140"/>
      <c r="AM105" s="1137"/>
      <c r="AN105" s="1140"/>
      <c r="AO105" s="1137"/>
      <c r="AP105" s="1140"/>
      <c r="AQ105" s="1137"/>
      <c r="AR105" s="1140"/>
    </row>
    <row r="106" spans="1:44">
      <c r="F106" s="904"/>
      <c r="G106" s="904"/>
      <c r="U106" s="906"/>
      <c r="V106" s="916"/>
      <c r="AL106" s="1140"/>
      <c r="AN106" s="1140"/>
      <c r="AP106" s="1140"/>
      <c r="AR106" s="1140"/>
    </row>
    <row r="107" spans="1:44" s="921" customFormat="1" ht="13.5" thickBot="1">
      <c r="B107" s="881" t="s">
        <v>2326</v>
      </c>
      <c r="C107" s="881"/>
      <c r="D107" s="881"/>
      <c r="E107" s="892"/>
      <c r="F107" s="904"/>
      <c r="G107" s="904"/>
      <c r="H107" s="881"/>
      <c r="I107" s="962">
        <f t="shared" ref="I107:U107" si="58">+I16+I62+I104</f>
        <v>28498.25</v>
      </c>
      <c r="J107" s="962">
        <f t="shared" si="58"/>
        <v>30337.979999999996</v>
      </c>
      <c r="K107" s="962">
        <f t="shared" si="58"/>
        <v>28034.12999999999</v>
      </c>
      <c r="L107" s="962">
        <f t="shared" si="58"/>
        <v>29581.47</v>
      </c>
      <c r="M107" s="962">
        <f t="shared" si="58"/>
        <v>34220.040000000008</v>
      </c>
      <c r="N107" s="962">
        <f t="shared" si="58"/>
        <v>30176.58</v>
      </c>
      <c r="O107" s="962">
        <f t="shared" si="58"/>
        <v>25543.600000000002</v>
      </c>
      <c r="P107" s="962">
        <f t="shared" si="58"/>
        <v>27155.83</v>
      </c>
      <c r="Q107" s="962">
        <f t="shared" si="58"/>
        <v>31125.89</v>
      </c>
      <c r="R107" s="962">
        <f t="shared" si="58"/>
        <v>29837.57</v>
      </c>
      <c r="S107" s="962">
        <f t="shared" si="58"/>
        <v>27689.230000000003</v>
      </c>
      <c r="T107" s="962">
        <f t="shared" si="58"/>
        <v>26833.580000000009</v>
      </c>
      <c r="U107" s="962">
        <f t="shared" si="58"/>
        <v>349034.15</v>
      </c>
      <c r="V107" s="934"/>
      <c r="X107" s="881"/>
      <c r="AL107" s="1140"/>
      <c r="AM107" s="1137"/>
      <c r="AN107" s="1150">
        <f ca="1">AN104+AN57</f>
        <v>-62033.358864703667</v>
      </c>
      <c r="AO107" s="1144"/>
      <c r="AP107" s="1144"/>
      <c r="AQ107" s="1150"/>
      <c r="AR107" s="1150">
        <f ca="1">AR104+AR57</f>
        <v>218382.74113529635</v>
      </c>
    </row>
    <row r="108" spans="1:44" s="921" customFormat="1" ht="13.5" thickTop="1">
      <c r="B108" s="881"/>
      <c r="C108" s="881"/>
      <c r="D108" s="881"/>
      <c r="E108" s="892"/>
      <c r="F108" s="904"/>
      <c r="G108" s="904"/>
      <c r="H108" s="935"/>
      <c r="I108" s="955"/>
      <c r="J108" s="935"/>
      <c r="K108" s="935"/>
      <c r="L108" s="935"/>
      <c r="M108" s="935"/>
      <c r="N108" s="935"/>
      <c r="O108" s="935"/>
      <c r="P108" s="935"/>
      <c r="Q108" s="935"/>
      <c r="R108" s="935"/>
      <c r="S108" s="935"/>
      <c r="T108" s="955"/>
      <c r="U108" s="955"/>
      <c r="V108" s="934"/>
      <c r="X108" s="881"/>
      <c r="AL108" s="1140"/>
      <c r="AM108" s="1137"/>
      <c r="AN108" s="1140"/>
      <c r="AO108" s="1137"/>
      <c r="AP108" s="1140"/>
      <c r="AQ108" s="1137"/>
      <c r="AR108" s="1140"/>
    </row>
    <row r="109" spans="1:44" s="921" customFormat="1">
      <c r="B109" s="881"/>
      <c r="C109" s="881"/>
      <c r="D109" s="881"/>
      <c r="E109" s="892"/>
      <c r="F109" s="904"/>
      <c r="G109" s="904"/>
      <c r="H109" s="935"/>
      <c r="I109" s="963"/>
      <c r="J109" s="963"/>
      <c r="K109" s="963"/>
      <c r="L109" s="963"/>
      <c r="M109" s="963"/>
      <c r="N109" s="963"/>
      <c r="O109" s="963"/>
      <c r="P109" s="963"/>
      <c r="Q109" s="963"/>
      <c r="R109" s="963"/>
      <c r="S109" s="963"/>
      <c r="T109" s="963"/>
      <c r="U109" s="955"/>
      <c r="V109" s="934"/>
      <c r="X109" s="881"/>
      <c r="AL109" s="1140"/>
      <c r="AM109" s="1137"/>
      <c r="AN109" s="1140"/>
      <c r="AO109" s="1137"/>
      <c r="AP109" s="1140"/>
      <c r="AQ109" s="1137"/>
      <c r="AR109" s="1140"/>
    </row>
    <row r="110" spans="1:44">
      <c r="I110" s="906"/>
      <c r="J110" s="981"/>
      <c r="T110" s="906"/>
      <c r="U110" s="906"/>
      <c r="V110" s="916"/>
      <c r="AL110" s="1140"/>
      <c r="AN110" s="1140"/>
      <c r="AP110" s="1140"/>
      <c r="AR110" s="1140"/>
    </row>
    <row r="111" spans="1:44">
      <c r="I111" s="906"/>
      <c r="T111" s="906"/>
      <c r="U111" s="909"/>
      <c r="V111" s="905"/>
      <c r="AL111" s="1140"/>
      <c r="AN111" s="1140"/>
      <c r="AP111" s="1140"/>
      <c r="AR111" s="1140"/>
    </row>
    <row r="112" spans="1:44">
      <c r="I112" s="906"/>
      <c r="T112" s="906"/>
      <c r="U112" s="909"/>
      <c r="V112" s="905"/>
      <c r="AL112" s="1140"/>
      <c r="AN112" s="1140"/>
      <c r="AP112" s="1140"/>
      <c r="AR112" s="1140"/>
    </row>
    <row r="113" spans="5:44">
      <c r="I113" s="906"/>
      <c r="T113" s="906"/>
      <c r="U113" s="909"/>
      <c r="V113" s="905"/>
      <c r="AL113" s="1140"/>
      <c r="AN113" s="1140"/>
      <c r="AP113" s="1140"/>
      <c r="AR113" s="1140"/>
    </row>
    <row r="114" spans="5:44">
      <c r="I114" s="906"/>
      <c r="T114" s="906"/>
      <c r="U114" s="909"/>
      <c r="V114" s="905"/>
      <c r="AL114" s="1140"/>
      <c r="AN114" s="1140"/>
      <c r="AP114" s="1140"/>
      <c r="AR114" s="1140"/>
    </row>
    <row r="115" spans="5:44" s="882" customFormat="1">
      <c r="E115" s="883"/>
      <c r="F115" s="884"/>
      <c r="I115" s="906"/>
      <c r="T115" s="906"/>
      <c r="U115" s="909"/>
      <c r="V115" s="905"/>
      <c r="W115" s="884"/>
      <c r="Y115" s="884"/>
      <c r="Z115" s="884"/>
      <c r="AA115" s="884"/>
      <c r="AB115" s="884"/>
      <c r="AC115" s="884"/>
      <c r="AD115" s="884"/>
      <c r="AE115" s="884"/>
      <c r="AF115" s="884"/>
      <c r="AG115" s="884"/>
      <c r="AH115" s="884"/>
      <c r="AL115" s="1140"/>
      <c r="AM115" s="1137"/>
      <c r="AN115" s="1140"/>
      <c r="AO115" s="1137"/>
      <c r="AP115" s="1140"/>
      <c r="AQ115" s="1137"/>
      <c r="AR115" s="1140"/>
    </row>
    <row r="116" spans="5:44" s="882" customFormat="1">
      <c r="E116" s="883"/>
      <c r="F116" s="884"/>
      <c r="I116" s="906"/>
      <c r="T116" s="906"/>
      <c r="U116" s="909"/>
      <c r="V116" s="905"/>
      <c r="W116" s="884"/>
      <c r="Y116" s="884"/>
      <c r="Z116" s="884"/>
      <c r="AA116" s="884"/>
      <c r="AB116" s="884"/>
      <c r="AC116" s="884"/>
      <c r="AD116" s="884"/>
      <c r="AE116" s="884"/>
      <c r="AF116" s="884"/>
      <c r="AG116" s="884"/>
      <c r="AH116" s="884"/>
      <c r="AL116" s="1140"/>
      <c r="AM116" s="1137"/>
      <c r="AN116" s="1140"/>
      <c r="AO116" s="1137"/>
      <c r="AP116" s="1140"/>
      <c r="AQ116" s="1137"/>
      <c r="AR116" s="1140"/>
    </row>
    <row r="117" spans="5:44" s="882" customFormat="1">
      <c r="E117" s="883"/>
      <c r="F117" s="884"/>
      <c r="I117" s="906"/>
      <c r="T117" s="906"/>
      <c r="U117" s="909"/>
      <c r="V117" s="905"/>
      <c r="W117" s="884"/>
      <c r="Y117" s="884"/>
      <c r="Z117" s="884"/>
      <c r="AA117" s="884"/>
      <c r="AB117" s="884"/>
      <c r="AC117" s="884"/>
      <c r="AD117" s="884"/>
      <c r="AE117" s="884"/>
      <c r="AF117" s="884"/>
      <c r="AG117" s="884"/>
      <c r="AH117" s="884"/>
      <c r="AL117" s="1140"/>
      <c r="AM117" s="1137"/>
      <c r="AN117" s="1140"/>
      <c r="AO117" s="1137"/>
      <c r="AP117" s="1140"/>
      <c r="AQ117" s="1137"/>
      <c r="AR117" s="1140"/>
    </row>
    <row r="118" spans="5:44" s="882" customFormat="1">
      <c r="E118" s="883"/>
      <c r="F118" s="884"/>
      <c r="I118" s="906"/>
      <c r="T118" s="906"/>
      <c r="U118" s="909"/>
      <c r="V118" s="905"/>
      <c r="W118" s="884"/>
      <c r="Y118" s="884"/>
      <c r="Z118" s="884"/>
      <c r="AA118" s="884"/>
      <c r="AB118" s="884"/>
      <c r="AC118" s="884"/>
      <c r="AD118" s="884"/>
      <c r="AE118" s="884"/>
      <c r="AF118" s="884"/>
      <c r="AG118" s="884"/>
      <c r="AH118" s="884"/>
      <c r="AL118" s="1140"/>
      <c r="AM118" s="1137"/>
      <c r="AN118" s="1140"/>
      <c r="AO118" s="1137"/>
      <c r="AP118" s="1140"/>
      <c r="AQ118" s="1137"/>
      <c r="AR118" s="1140"/>
    </row>
    <row r="119" spans="5:44" s="882" customFormat="1">
      <c r="E119" s="883"/>
      <c r="F119" s="884"/>
      <c r="I119" s="906"/>
      <c r="T119" s="906"/>
      <c r="U119" s="909"/>
      <c r="V119" s="905"/>
      <c r="W119" s="884"/>
      <c r="Y119" s="884"/>
      <c r="Z119" s="884"/>
      <c r="AA119" s="884"/>
      <c r="AB119" s="884"/>
      <c r="AC119" s="884"/>
      <c r="AD119" s="884"/>
      <c r="AE119" s="884"/>
      <c r="AF119" s="884"/>
      <c r="AG119" s="884"/>
      <c r="AH119" s="884"/>
      <c r="AL119" s="1140"/>
      <c r="AM119" s="1137"/>
      <c r="AN119" s="1140"/>
      <c r="AO119" s="1137"/>
      <c r="AP119" s="1140"/>
      <c r="AQ119" s="1137"/>
      <c r="AR119" s="1140"/>
    </row>
    <row r="120" spans="5:44" s="882" customFormat="1">
      <c r="E120" s="883"/>
      <c r="F120" s="884"/>
      <c r="I120" s="906"/>
      <c r="T120" s="906"/>
      <c r="U120" s="909"/>
      <c r="V120" s="905"/>
      <c r="W120" s="884"/>
      <c r="Y120" s="884"/>
      <c r="Z120" s="884"/>
      <c r="AA120" s="884"/>
      <c r="AB120" s="884"/>
      <c r="AC120" s="884"/>
      <c r="AD120" s="884"/>
      <c r="AE120" s="884"/>
      <c r="AF120" s="884"/>
      <c r="AG120" s="884"/>
      <c r="AH120" s="884"/>
      <c r="AL120" s="1140"/>
      <c r="AM120" s="1137"/>
      <c r="AN120" s="1140"/>
      <c r="AO120" s="1137"/>
      <c r="AP120" s="1140"/>
      <c r="AQ120" s="1137"/>
      <c r="AR120" s="1140"/>
    </row>
    <row r="121" spans="5:44" s="882" customFormat="1">
      <c r="E121" s="883"/>
      <c r="F121" s="884"/>
      <c r="I121" s="906"/>
      <c r="T121" s="906"/>
      <c r="U121" s="909"/>
      <c r="V121" s="905"/>
      <c r="W121" s="884"/>
      <c r="Y121" s="884"/>
      <c r="Z121" s="884"/>
      <c r="AA121" s="884"/>
      <c r="AB121" s="884"/>
      <c r="AC121" s="884"/>
      <c r="AD121" s="884"/>
      <c r="AE121" s="884"/>
      <c r="AF121" s="884"/>
      <c r="AG121" s="884"/>
      <c r="AH121" s="884"/>
      <c r="AL121" s="1140"/>
      <c r="AM121" s="1137"/>
      <c r="AN121" s="1140"/>
      <c r="AO121" s="1137"/>
      <c r="AP121" s="1140"/>
      <c r="AQ121" s="1137"/>
      <c r="AR121" s="1140"/>
    </row>
    <row r="122" spans="5:44" s="882" customFormat="1">
      <c r="E122" s="883"/>
      <c r="F122" s="884"/>
      <c r="I122" s="906"/>
      <c r="T122" s="906"/>
      <c r="U122" s="909"/>
      <c r="V122" s="905"/>
      <c r="W122" s="884"/>
      <c r="Y122" s="884"/>
      <c r="Z122" s="884"/>
      <c r="AA122" s="884"/>
      <c r="AB122" s="884"/>
      <c r="AC122" s="884"/>
      <c r="AD122" s="884"/>
      <c r="AE122" s="884"/>
      <c r="AF122" s="884"/>
      <c r="AG122" s="884"/>
      <c r="AH122" s="884"/>
      <c r="AL122" s="1140"/>
      <c r="AM122" s="1137"/>
      <c r="AN122" s="1140"/>
      <c r="AO122" s="1137"/>
      <c r="AP122" s="1140"/>
      <c r="AQ122" s="1137"/>
      <c r="AR122" s="1140"/>
    </row>
    <row r="123" spans="5:44" s="882" customFormat="1">
      <c r="E123" s="883"/>
      <c r="F123" s="884"/>
      <c r="I123" s="906"/>
      <c r="T123" s="906"/>
      <c r="U123" s="909"/>
      <c r="V123" s="905"/>
      <c r="W123" s="884"/>
      <c r="Y123" s="884"/>
      <c r="Z123" s="884"/>
      <c r="AA123" s="884"/>
      <c r="AB123" s="884"/>
      <c r="AC123" s="884"/>
      <c r="AD123" s="884"/>
      <c r="AE123" s="884"/>
      <c r="AF123" s="884"/>
      <c r="AG123" s="884"/>
      <c r="AH123" s="884"/>
      <c r="AL123" s="1140"/>
      <c r="AM123" s="1137"/>
      <c r="AN123" s="1140"/>
      <c r="AO123" s="1137"/>
      <c r="AP123" s="1140"/>
      <c r="AQ123" s="1137"/>
      <c r="AR123" s="1140"/>
    </row>
    <row r="124" spans="5:44" s="882" customFormat="1">
      <c r="E124" s="883"/>
      <c r="F124" s="884"/>
      <c r="I124" s="906"/>
      <c r="T124" s="906"/>
      <c r="U124" s="909"/>
      <c r="V124" s="905"/>
      <c r="W124" s="884"/>
      <c r="Y124" s="884"/>
      <c r="Z124" s="884"/>
      <c r="AA124" s="884"/>
      <c r="AB124" s="884"/>
      <c r="AC124" s="884"/>
      <c r="AD124" s="884"/>
      <c r="AE124" s="884"/>
      <c r="AF124" s="884"/>
      <c r="AG124" s="884"/>
      <c r="AH124" s="884"/>
      <c r="AL124" s="1140"/>
      <c r="AM124" s="1137"/>
      <c r="AN124" s="1140"/>
      <c r="AO124" s="1137"/>
      <c r="AP124" s="1140"/>
      <c r="AQ124" s="1137"/>
      <c r="AR124" s="1140"/>
    </row>
    <row r="125" spans="5:44" s="882" customFormat="1">
      <c r="E125" s="883"/>
      <c r="F125" s="884"/>
      <c r="I125" s="906"/>
      <c r="T125" s="906"/>
      <c r="U125" s="909"/>
      <c r="V125" s="905"/>
      <c r="W125" s="884"/>
      <c r="Y125" s="884"/>
      <c r="Z125" s="884"/>
      <c r="AA125" s="884"/>
      <c r="AB125" s="884"/>
      <c r="AC125" s="884"/>
      <c r="AD125" s="884"/>
      <c r="AE125" s="884"/>
      <c r="AF125" s="884"/>
      <c r="AG125" s="884"/>
      <c r="AH125" s="884"/>
      <c r="AL125" s="1140"/>
      <c r="AM125" s="1137"/>
      <c r="AN125" s="1140"/>
      <c r="AO125" s="1137"/>
      <c r="AP125" s="1140"/>
      <c r="AQ125" s="1137"/>
      <c r="AR125" s="1140"/>
    </row>
    <row r="126" spans="5:44" s="882" customFormat="1">
      <c r="E126" s="883"/>
      <c r="F126" s="884"/>
      <c r="I126" s="906"/>
      <c r="T126" s="906"/>
      <c r="U126" s="909"/>
      <c r="V126" s="905"/>
      <c r="W126" s="884"/>
      <c r="Y126" s="884"/>
      <c r="Z126" s="884"/>
      <c r="AA126" s="884"/>
      <c r="AB126" s="884"/>
      <c r="AC126" s="884"/>
      <c r="AD126" s="884"/>
      <c r="AE126" s="884"/>
      <c r="AF126" s="884"/>
      <c r="AG126" s="884"/>
      <c r="AH126" s="884"/>
      <c r="AL126" s="1140"/>
      <c r="AM126" s="1137"/>
      <c r="AN126" s="1140"/>
      <c r="AO126" s="1137"/>
      <c r="AP126" s="1140"/>
      <c r="AQ126" s="1137"/>
      <c r="AR126" s="1140"/>
    </row>
    <row r="127" spans="5:44" s="882" customFormat="1">
      <c r="E127" s="883"/>
      <c r="F127" s="884"/>
      <c r="I127" s="906"/>
      <c r="T127" s="906"/>
      <c r="U127" s="909"/>
      <c r="V127" s="905"/>
      <c r="W127" s="884"/>
      <c r="Y127" s="884"/>
      <c r="Z127" s="884"/>
      <c r="AA127" s="884"/>
      <c r="AB127" s="884"/>
      <c r="AC127" s="884"/>
      <c r="AD127" s="884"/>
      <c r="AE127" s="884"/>
      <c r="AF127" s="884"/>
      <c r="AG127" s="884"/>
      <c r="AH127" s="884"/>
      <c r="AL127" s="1140"/>
      <c r="AM127" s="1137"/>
      <c r="AN127" s="1140"/>
      <c r="AO127" s="1137"/>
      <c r="AP127" s="1140"/>
      <c r="AQ127" s="1137"/>
      <c r="AR127" s="1140"/>
    </row>
    <row r="128" spans="5:44" s="882" customFormat="1">
      <c r="E128" s="883"/>
      <c r="F128" s="884"/>
      <c r="I128" s="906"/>
      <c r="T128" s="906"/>
      <c r="U128" s="909"/>
      <c r="V128" s="905"/>
      <c r="W128" s="884"/>
      <c r="Y128" s="884"/>
      <c r="Z128" s="884"/>
      <c r="AA128" s="884"/>
      <c r="AB128" s="884"/>
      <c r="AC128" s="884"/>
      <c r="AD128" s="884"/>
      <c r="AE128" s="884"/>
      <c r="AF128" s="884"/>
      <c r="AG128" s="884"/>
      <c r="AH128" s="884"/>
      <c r="AL128" s="1140"/>
      <c r="AM128" s="1137"/>
      <c r="AN128" s="1140"/>
      <c r="AO128" s="1137"/>
      <c r="AP128" s="1140"/>
      <c r="AQ128" s="1137"/>
      <c r="AR128" s="1140"/>
    </row>
    <row r="129" spans="5:44" s="882" customFormat="1">
      <c r="E129" s="883"/>
      <c r="F129" s="884"/>
      <c r="I129" s="906"/>
      <c r="T129" s="906"/>
      <c r="U129" s="909"/>
      <c r="V129" s="905"/>
      <c r="W129" s="884"/>
      <c r="Y129" s="884"/>
      <c r="Z129" s="884"/>
      <c r="AA129" s="884"/>
      <c r="AB129" s="884"/>
      <c r="AC129" s="884"/>
      <c r="AD129" s="884"/>
      <c r="AE129" s="884"/>
      <c r="AF129" s="884"/>
      <c r="AG129" s="884"/>
      <c r="AH129" s="884"/>
      <c r="AL129" s="1140"/>
      <c r="AM129" s="1137"/>
      <c r="AN129" s="1140"/>
      <c r="AO129" s="1137"/>
      <c r="AP129" s="1140"/>
      <c r="AQ129" s="1137"/>
      <c r="AR129" s="1140"/>
    </row>
    <row r="130" spans="5:44" s="882" customFormat="1">
      <c r="E130" s="883"/>
      <c r="F130" s="884"/>
      <c r="I130" s="906"/>
      <c r="T130" s="906"/>
      <c r="U130" s="909"/>
      <c r="V130" s="905"/>
      <c r="W130" s="884"/>
      <c r="Y130" s="884"/>
      <c r="Z130" s="884"/>
      <c r="AA130" s="884"/>
      <c r="AB130" s="884"/>
      <c r="AC130" s="884"/>
      <c r="AD130" s="884"/>
      <c r="AE130" s="884"/>
      <c r="AF130" s="884"/>
      <c r="AG130" s="884"/>
      <c r="AH130" s="884"/>
      <c r="AL130" s="1140"/>
      <c r="AM130" s="1137"/>
      <c r="AN130" s="1140"/>
      <c r="AO130" s="1137"/>
      <c r="AP130" s="1140"/>
      <c r="AQ130" s="1137"/>
      <c r="AR130" s="1140"/>
    </row>
    <row r="131" spans="5:44" s="882" customFormat="1">
      <c r="E131" s="883"/>
      <c r="F131" s="884"/>
      <c r="I131" s="906"/>
      <c r="T131" s="906"/>
      <c r="U131" s="909"/>
      <c r="V131" s="905"/>
      <c r="W131" s="884"/>
      <c r="Y131" s="884"/>
      <c r="Z131" s="884"/>
      <c r="AA131" s="884"/>
      <c r="AB131" s="884"/>
      <c r="AC131" s="884"/>
      <c r="AD131" s="884"/>
      <c r="AE131" s="884"/>
      <c r="AF131" s="884"/>
      <c r="AG131" s="884"/>
      <c r="AH131" s="884"/>
      <c r="AL131" s="1140"/>
      <c r="AM131" s="1137"/>
      <c r="AN131" s="1140"/>
      <c r="AO131" s="1137"/>
      <c r="AP131" s="1140"/>
      <c r="AQ131" s="1137"/>
      <c r="AR131" s="1140"/>
    </row>
    <row r="132" spans="5:44" s="882" customFormat="1">
      <c r="E132" s="883"/>
      <c r="F132" s="884"/>
      <c r="I132" s="906"/>
      <c r="T132" s="906"/>
      <c r="U132" s="909"/>
      <c r="V132" s="905"/>
      <c r="W132" s="884"/>
      <c r="Y132" s="884"/>
      <c r="Z132" s="884"/>
      <c r="AA132" s="884"/>
      <c r="AB132" s="884"/>
      <c r="AC132" s="884"/>
      <c r="AD132" s="884"/>
      <c r="AE132" s="884"/>
      <c r="AF132" s="884"/>
      <c r="AG132" s="884"/>
      <c r="AH132" s="884"/>
      <c r="AL132" s="1140"/>
      <c r="AM132" s="1137"/>
      <c r="AN132" s="1140"/>
      <c r="AO132" s="1137"/>
      <c r="AP132" s="1140"/>
      <c r="AQ132" s="1137"/>
      <c r="AR132" s="1140"/>
    </row>
    <row r="133" spans="5:44" s="882" customFormat="1">
      <c r="E133" s="883"/>
      <c r="F133" s="884"/>
      <c r="I133" s="906"/>
      <c r="T133" s="906"/>
      <c r="U133" s="909"/>
      <c r="V133" s="905"/>
      <c r="W133" s="884"/>
      <c r="Y133" s="884"/>
      <c r="Z133" s="884"/>
      <c r="AA133" s="884"/>
      <c r="AB133" s="884"/>
      <c r="AC133" s="884"/>
      <c r="AD133" s="884"/>
      <c r="AE133" s="884"/>
      <c r="AF133" s="884"/>
      <c r="AG133" s="884"/>
      <c r="AH133" s="884"/>
      <c r="AL133" s="1140"/>
      <c r="AM133" s="1137"/>
      <c r="AN133" s="1140"/>
      <c r="AO133" s="1137"/>
      <c r="AP133" s="1140"/>
      <c r="AQ133" s="1137"/>
      <c r="AR133" s="1140"/>
    </row>
    <row r="134" spans="5:44" s="882" customFormat="1">
      <c r="E134" s="883"/>
      <c r="F134" s="884"/>
      <c r="I134" s="906"/>
      <c r="T134" s="906"/>
      <c r="U134" s="909"/>
      <c r="V134" s="905"/>
      <c r="W134" s="884"/>
      <c r="Y134" s="884"/>
      <c r="Z134" s="884"/>
      <c r="AA134" s="884"/>
      <c r="AB134" s="884"/>
      <c r="AC134" s="884"/>
      <c r="AD134" s="884"/>
      <c r="AE134" s="884"/>
      <c r="AF134" s="884"/>
      <c r="AG134" s="884"/>
      <c r="AH134" s="884"/>
      <c r="AL134" s="1140"/>
      <c r="AM134" s="1137"/>
      <c r="AN134" s="1140"/>
      <c r="AO134" s="1137"/>
      <c r="AP134" s="1140"/>
      <c r="AQ134" s="1137"/>
      <c r="AR134" s="1140"/>
    </row>
    <row r="135" spans="5:44" s="882" customFormat="1">
      <c r="E135" s="883"/>
      <c r="F135" s="884"/>
      <c r="I135" s="906"/>
      <c r="T135" s="906"/>
      <c r="U135" s="909"/>
      <c r="V135" s="905"/>
      <c r="W135" s="884"/>
      <c r="Y135" s="884"/>
      <c r="Z135" s="884"/>
      <c r="AA135" s="884"/>
      <c r="AB135" s="884"/>
      <c r="AC135" s="884"/>
      <c r="AD135" s="884"/>
      <c r="AE135" s="884"/>
      <c r="AF135" s="884"/>
      <c r="AG135" s="884"/>
      <c r="AH135" s="884"/>
      <c r="AL135" s="1140"/>
      <c r="AM135" s="1137"/>
      <c r="AN135" s="1140"/>
      <c r="AO135" s="1137"/>
      <c r="AP135" s="1140"/>
      <c r="AQ135" s="1137"/>
      <c r="AR135" s="1140"/>
    </row>
    <row r="136" spans="5:44" s="882" customFormat="1">
      <c r="E136" s="883"/>
      <c r="F136" s="884"/>
      <c r="I136" s="906"/>
      <c r="T136" s="906"/>
      <c r="U136" s="909"/>
      <c r="V136" s="905"/>
      <c r="W136" s="884"/>
      <c r="Y136" s="884"/>
      <c r="Z136" s="884"/>
      <c r="AA136" s="884"/>
      <c r="AB136" s="884"/>
      <c r="AC136" s="884"/>
      <c r="AD136" s="884"/>
      <c r="AE136" s="884"/>
      <c r="AF136" s="884"/>
      <c r="AG136" s="884"/>
      <c r="AH136" s="884"/>
      <c r="AL136" s="1140"/>
      <c r="AM136" s="1137"/>
      <c r="AN136" s="1140"/>
      <c r="AO136" s="1137"/>
      <c r="AP136" s="1140"/>
      <c r="AQ136" s="1137"/>
      <c r="AR136" s="1140"/>
    </row>
    <row r="137" spans="5:44" s="882" customFormat="1">
      <c r="E137" s="883"/>
      <c r="F137" s="884"/>
      <c r="I137" s="906"/>
      <c r="T137" s="906"/>
      <c r="U137" s="909"/>
      <c r="V137" s="905"/>
      <c r="W137" s="884"/>
      <c r="Y137" s="884"/>
      <c r="Z137" s="884"/>
      <c r="AA137" s="884"/>
      <c r="AB137" s="884"/>
      <c r="AC137" s="884"/>
      <c r="AD137" s="884"/>
      <c r="AE137" s="884"/>
      <c r="AF137" s="884"/>
      <c r="AG137" s="884"/>
      <c r="AH137" s="884"/>
      <c r="AL137" s="1140"/>
      <c r="AM137" s="1137"/>
      <c r="AN137" s="1140"/>
      <c r="AO137" s="1137"/>
      <c r="AP137" s="1140"/>
      <c r="AQ137" s="1137"/>
      <c r="AR137" s="1140"/>
    </row>
    <row r="138" spans="5:44" s="882" customFormat="1">
      <c r="E138" s="883"/>
      <c r="F138" s="884"/>
      <c r="I138" s="906"/>
      <c r="T138" s="906"/>
      <c r="U138" s="909"/>
      <c r="V138" s="905"/>
      <c r="W138" s="884"/>
      <c r="Y138" s="884"/>
      <c r="Z138" s="884"/>
      <c r="AA138" s="884"/>
      <c r="AB138" s="884"/>
      <c r="AC138" s="884"/>
      <c r="AD138" s="884"/>
      <c r="AE138" s="884"/>
      <c r="AF138" s="884"/>
      <c r="AG138" s="884"/>
      <c r="AH138" s="884"/>
      <c r="AL138" s="1140"/>
      <c r="AM138" s="1137"/>
      <c r="AN138" s="1140"/>
      <c r="AO138" s="1137"/>
      <c r="AP138" s="1140"/>
      <c r="AQ138" s="1137"/>
      <c r="AR138" s="1140"/>
    </row>
    <row r="139" spans="5:44" s="882" customFormat="1">
      <c r="E139" s="883"/>
      <c r="F139" s="884"/>
      <c r="I139" s="906"/>
      <c r="T139" s="906"/>
      <c r="U139" s="909"/>
      <c r="V139" s="905"/>
      <c r="W139" s="884"/>
      <c r="Y139" s="884"/>
      <c r="Z139" s="884"/>
      <c r="AA139" s="884"/>
      <c r="AB139" s="884"/>
      <c r="AC139" s="884"/>
      <c r="AD139" s="884"/>
      <c r="AE139" s="884"/>
      <c r="AF139" s="884"/>
      <c r="AG139" s="884"/>
      <c r="AH139" s="884"/>
      <c r="AL139" s="1140"/>
      <c r="AM139" s="1137"/>
      <c r="AN139" s="1140"/>
      <c r="AO139" s="1137"/>
      <c r="AP139" s="1140"/>
      <c r="AQ139" s="1137"/>
      <c r="AR139" s="1140"/>
    </row>
    <row r="140" spans="5:44" s="882" customFormat="1">
      <c r="E140" s="883"/>
      <c r="F140" s="884"/>
      <c r="I140" s="906"/>
      <c r="T140" s="906"/>
      <c r="U140" s="909"/>
      <c r="V140" s="905"/>
      <c r="W140" s="884"/>
      <c r="Y140" s="884"/>
      <c r="Z140" s="884"/>
      <c r="AA140" s="884"/>
      <c r="AB140" s="884"/>
      <c r="AC140" s="884"/>
      <c r="AD140" s="884"/>
      <c r="AE140" s="884"/>
      <c r="AF140" s="884"/>
      <c r="AG140" s="884"/>
      <c r="AH140" s="884"/>
      <c r="AL140" s="1140"/>
      <c r="AM140" s="1137"/>
      <c r="AN140" s="1140"/>
      <c r="AO140" s="1137"/>
      <c r="AP140" s="1140"/>
      <c r="AQ140" s="1137"/>
      <c r="AR140" s="1140"/>
    </row>
    <row r="141" spans="5:44" s="882" customFormat="1">
      <c r="E141" s="883"/>
      <c r="F141" s="884"/>
      <c r="I141" s="906"/>
      <c r="T141" s="906"/>
      <c r="U141" s="909"/>
      <c r="V141" s="905"/>
      <c r="W141" s="884"/>
      <c r="Y141" s="884"/>
      <c r="Z141" s="884"/>
      <c r="AA141" s="884"/>
      <c r="AB141" s="884"/>
      <c r="AC141" s="884"/>
      <c r="AD141" s="884"/>
      <c r="AE141" s="884"/>
      <c r="AF141" s="884"/>
      <c r="AG141" s="884"/>
      <c r="AH141" s="884"/>
      <c r="AL141" s="1140"/>
      <c r="AM141" s="1137"/>
      <c r="AN141" s="1140"/>
      <c r="AO141" s="1137"/>
      <c r="AP141" s="1140"/>
      <c r="AQ141" s="1137"/>
      <c r="AR141" s="1140"/>
    </row>
    <row r="142" spans="5:44" s="882" customFormat="1">
      <c r="E142" s="883"/>
      <c r="F142" s="884"/>
      <c r="I142" s="906"/>
      <c r="T142" s="906"/>
      <c r="U142" s="909"/>
      <c r="V142" s="905"/>
      <c r="W142" s="884"/>
      <c r="Y142" s="884"/>
      <c r="Z142" s="884"/>
      <c r="AA142" s="884"/>
      <c r="AB142" s="884"/>
      <c r="AC142" s="884"/>
      <c r="AD142" s="884"/>
      <c r="AE142" s="884"/>
      <c r="AF142" s="884"/>
      <c r="AG142" s="884"/>
      <c r="AH142" s="884"/>
      <c r="AL142" s="1140"/>
      <c r="AM142" s="1137"/>
      <c r="AN142" s="1140"/>
      <c r="AO142" s="1137"/>
      <c r="AP142" s="1140"/>
      <c r="AQ142" s="1137"/>
      <c r="AR142" s="1140"/>
    </row>
    <row r="143" spans="5:44">
      <c r="AL143" s="1140"/>
      <c r="AN143" s="1140"/>
      <c r="AP143" s="1140"/>
      <c r="AR143" s="1140"/>
    </row>
    <row r="144" spans="5:44">
      <c r="AL144" s="1140"/>
      <c r="AN144" s="1140"/>
      <c r="AP144" s="1140"/>
      <c r="AR144" s="1140"/>
    </row>
    <row r="145" spans="38:44">
      <c r="AL145" s="1140"/>
      <c r="AN145" s="1140"/>
      <c r="AP145" s="1140"/>
      <c r="AR145" s="1140"/>
    </row>
    <row r="146" spans="38:44">
      <c r="AL146" s="1140"/>
      <c r="AN146" s="1140"/>
      <c r="AP146" s="1140"/>
      <c r="AR146" s="1140"/>
    </row>
    <row r="147" spans="38:44">
      <c r="AL147" s="1140"/>
      <c r="AN147" s="1140"/>
      <c r="AP147" s="1140"/>
      <c r="AR147" s="1140"/>
    </row>
    <row r="148" spans="38:44">
      <c r="AL148" s="1140"/>
      <c r="AN148" s="1140"/>
      <c r="AP148" s="1140"/>
      <c r="AR148" s="1140"/>
    </row>
    <row r="149" spans="38:44">
      <c r="AL149" s="1140"/>
      <c r="AN149" s="1140"/>
      <c r="AP149" s="1140"/>
      <c r="AR149" s="1140"/>
    </row>
  </sheetData>
  <customSheetViews>
    <customSheetView guid="{76FC386D-C488-46EF-BB9C-D1C49FEBAB90}" showPageBreaks="1" showGridLines="0" fitToPage="1" printArea="1" hiddenColumns="1">
      <pane xSplit="4" ySplit="6" topLeftCell="F76" activePane="bottomRight" state="frozen"/>
      <selection pane="bottomRight" activeCell="AK59" sqref="AK59"/>
      <pageMargins left="0.7" right="0.7" top="0.75" bottom="0.75" header="0.3" footer="0.3"/>
      <pageSetup orientation="portrait" r:id="rId1"/>
      <headerFooter>
        <oddHeader>&amp;R&amp;F
&amp;A</oddHeader>
        <oddFooter>&amp;L&amp;D&amp;C&amp;P&amp;R&amp;T</oddFooter>
      </headerFooter>
    </customSheetView>
    <customSheetView guid="{16F8EA47-9864-4C0F-89A1-62B7CCC013F9}" showGridLines="0" fitToPage="1" printArea="1" hiddenColumns="1">
      <pane xSplit="4" ySplit="6" topLeftCell="F7" activePane="bottomRight" state="frozen"/>
      <selection pane="bottomRight" activeCell="G29" sqref="G29"/>
      <pageMargins left="0.7" right="0.7" top="0.75" bottom="0.75" header="0.3" footer="0.3"/>
      <pageSetup scale="79" orientation="portrait" r:id="rId2"/>
      <headerFooter>
        <oddHeader>&amp;R&amp;F
&amp;A</oddHeader>
        <oddFooter>&amp;L&amp;D&amp;C&amp;P&amp;R&amp;T</oddFooter>
      </headerFooter>
    </customSheetView>
  </customSheetViews>
  <mergeCells count="2">
    <mergeCell ref="I5:T5"/>
    <mergeCell ref="W5:AH5"/>
  </mergeCells>
  <conditionalFormatting sqref="B4">
    <cfRule type="duplicateValues" dxfId="15" priority="1"/>
  </conditionalFormatting>
  <pageMargins left="0.7" right="0.7" top="0.75" bottom="0.75" header="0.3" footer="0.3"/>
  <pageSetup scale="61" fitToHeight="2" orientation="landscape" r:id="rId3"/>
  <headerFooter>
    <oddHeader>&amp;R&amp;F
&amp;A</oddHeader>
    <oddFooter>&amp;L&amp;D&amp;C&amp;P&amp;R&amp;T</oddFooter>
  </headerFooter>
  <rowBreaks count="1" manualBreakCount="1">
    <brk id="63" min="1" max="4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8" tint="0.59999389629810485"/>
  </sheetPr>
  <dimension ref="A1:AW112"/>
  <sheetViews>
    <sheetView showGridLines="0" showOutlineSymbols="0" view="pageBreakPreview" zoomScale="60" zoomScaleNormal="100" workbookViewId="0">
      <selection activeCell="AP280" sqref="AP280"/>
    </sheetView>
  </sheetViews>
  <sheetFormatPr defaultColWidth="16.7109375" defaultRowHeight="15"/>
  <cols>
    <col min="1" max="1" width="7.42578125" style="269" customWidth="1"/>
    <col min="2" max="2" width="33.5703125" style="310" bestFit="1" customWidth="1"/>
    <col min="3" max="3" width="21.28515625" style="310" customWidth="1"/>
    <col min="4" max="4" width="21.28515625" style="310" hidden="1" customWidth="1"/>
    <col min="5" max="5" width="11.7109375" style="310" customWidth="1"/>
    <col min="6" max="6" width="5.7109375" style="269" customWidth="1"/>
    <col min="7" max="7" width="8.5703125" style="269" customWidth="1"/>
    <col min="8" max="8" width="15" style="269" customWidth="1"/>
    <col min="9" max="9" width="17.7109375" style="269" customWidth="1"/>
    <col min="10" max="10" width="13.28515625" style="269" customWidth="1"/>
    <col min="11" max="11" width="15.140625" style="269" bestFit="1" customWidth="1"/>
    <col min="12" max="13" width="20.28515625" style="269" customWidth="1"/>
    <col min="14" max="14" width="2.42578125" style="269" customWidth="1"/>
    <col min="15" max="16" width="15" style="310" customWidth="1"/>
    <col min="17" max="17" width="14.42578125" style="310" customWidth="1"/>
    <col min="18" max="18" width="16.7109375" style="270"/>
    <col min="19" max="19" width="13.85546875" style="276" customWidth="1"/>
    <col min="20" max="20" width="16.7109375" style="269"/>
    <col min="21" max="21" width="13.42578125" style="269" customWidth="1"/>
    <col min="22" max="22" width="15.7109375" style="269" customWidth="1"/>
    <col min="23" max="23" width="16.7109375" style="269"/>
    <col min="24" max="27" width="17.7109375" style="269" customWidth="1"/>
    <col min="28" max="28" width="16" style="269" customWidth="1"/>
    <col min="29" max="29" width="16.7109375" style="269"/>
    <col min="30" max="30" width="15.85546875" style="269" customWidth="1"/>
    <col min="31" max="32" width="16.7109375" style="269"/>
    <col min="33" max="33" width="16.42578125" style="269" customWidth="1"/>
    <col min="34" max="34" width="17.28515625" style="269" customWidth="1"/>
    <col min="35" max="35" width="20.7109375" style="269" customWidth="1"/>
    <col min="36" max="36" width="18.140625" style="269" customWidth="1"/>
    <col min="37" max="37" width="16.42578125" style="269" customWidth="1"/>
    <col min="38" max="38" width="16.7109375" style="269"/>
    <col min="39" max="39" width="13.85546875" style="269" customWidth="1"/>
    <col min="40" max="40" width="16.42578125" style="269" customWidth="1"/>
    <col min="41" max="52" width="15.140625" style="269" customWidth="1"/>
    <col min="53" max="16384" width="16.7109375" style="269"/>
  </cols>
  <sheetData>
    <row r="1" spans="1:38" s="264" customFormat="1" ht="15.75" thickBot="1">
      <c r="A1" s="260"/>
      <c r="B1" s="261"/>
      <c r="C1" s="261"/>
      <c r="D1" s="261"/>
      <c r="E1" s="261"/>
      <c r="F1" s="261"/>
      <c r="G1" s="261"/>
      <c r="H1" s="261"/>
      <c r="I1" s="546"/>
      <c r="J1" s="546"/>
      <c r="K1" s="546"/>
      <c r="L1" s="546"/>
      <c r="M1" s="546"/>
      <c r="N1" s="546"/>
      <c r="O1" s="261"/>
      <c r="P1" s="261"/>
      <c r="Q1" s="261"/>
      <c r="R1" s="262"/>
      <c r="S1" s="263"/>
    </row>
    <row r="2" spans="1:38" ht="19.5" thickBot="1">
      <c r="A2" s="260"/>
      <c r="B2" s="1550" t="s">
        <v>546</v>
      </c>
      <c r="C2" s="1550"/>
      <c r="D2" s="260"/>
      <c r="E2" s="260"/>
      <c r="F2" s="265" t="s">
        <v>547</v>
      </c>
      <c r="G2" s="266"/>
      <c r="H2" s="266"/>
      <c r="I2" s="267" t="s">
        <v>908</v>
      </c>
      <c r="J2" s="266"/>
      <c r="K2" s="266"/>
      <c r="L2" s="266"/>
      <c r="M2" s="268" t="s">
        <v>547</v>
      </c>
      <c r="O2" s="260"/>
      <c r="P2" s="260"/>
      <c r="Q2" s="261"/>
      <c r="S2" s="513" t="s">
        <v>548</v>
      </c>
      <c r="T2" s="514"/>
      <c r="U2" s="515"/>
      <c r="AI2" s="1551" t="s">
        <v>909</v>
      </c>
      <c r="AJ2" s="1552"/>
      <c r="AK2" s="1552"/>
      <c r="AL2" s="1553"/>
    </row>
    <row r="3" spans="1:38" ht="16.5" thickBot="1">
      <c r="A3" s="260"/>
      <c r="B3" s="260"/>
      <c r="C3" s="260"/>
      <c r="D3" s="260"/>
      <c r="E3" s="260"/>
      <c r="F3" s="272"/>
      <c r="G3" s="273"/>
      <c r="H3" s="274"/>
      <c r="I3" s="274"/>
      <c r="J3" s="274"/>
      <c r="K3" s="275" t="s">
        <v>910</v>
      </c>
      <c r="L3" s="274"/>
      <c r="M3" s="275" t="s">
        <v>549</v>
      </c>
      <c r="O3" s="260"/>
      <c r="P3" s="260"/>
      <c r="Q3" s="261"/>
      <c r="S3" s="269"/>
      <c r="U3" s="269" t="s">
        <v>550</v>
      </c>
      <c r="W3" s="276" t="s">
        <v>550</v>
      </c>
      <c r="X3" s="276" t="s">
        <v>550</v>
      </c>
      <c r="Y3" s="276" t="s">
        <v>550</v>
      </c>
      <c r="Z3" s="276"/>
      <c r="AA3" s="276" t="s">
        <v>551</v>
      </c>
      <c r="AB3" s="276" t="s">
        <v>552</v>
      </c>
      <c r="AC3" s="276" t="s">
        <v>552</v>
      </c>
      <c r="AD3" s="276" t="s">
        <v>552</v>
      </c>
      <c r="AE3" s="276" t="s">
        <v>552</v>
      </c>
      <c r="AF3" s="276" t="s">
        <v>552</v>
      </c>
      <c r="AG3" s="276" t="s">
        <v>552</v>
      </c>
      <c r="AH3" s="276" t="s">
        <v>553</v>
      </c>
      <c r="AI3" s="276" t="s">
        <v>166</v>
      </c>
      <c r="AJ3" s="276" t="s">
        <v>911</v>
      </c>
      <c r="AK3" s="276"/>
    </row>
    <row r="4" spans="1:38" ht="19.5" thickBot="1">
      <c r="A4" s="260"/>
      <c r="B4" s="547" t="s">
        <v>554</v>
      </c>
      <c r="C4" s="267"/>
      <c r="D4" s="277"/>
      <c r="E4" s="260"/>
      <c r="F4" s="278"/>
      <c r="G4" s="273"/>
      <c r="H4" s="274" t="s">
        <v>320</v>
      </c>
      <c r="I4" s="274" t="s">
        <v>321</v>
      </c>
      <c r="J4" s="274" t="s">
        <v>322</v>
      </c>
      <c r="K4" s="274" t="s">
        <v>323</v>
      </c>
      <c r="L4" s="274" t="s">
        <v>555</v>
      </c>
      <c r="M4" s="274" t="s">
        <v>556</v>
      </c>
      <c r="O4" s="279"/>
      <c r="P4" s="279"/>
      <c r="Q4" s="261"/>
      <c r="S4" s="269"/>
      <c r="U4" s="276" t="s">
        <v>557</v>
      </c>
      <c r="W4" s="276" t="s">
        <v>407</v>
      </c>
      <c r="X4" s="276" t="s">
        <v>551</v>
      </c>
      <c r="Y4" s="276" t="s">
        <v>558</v>
      </c>
      <c r="Z4" s="276" t="s">
        <v>559</v>
      </c>
      <c r="AA4" s="276" t="s">
        <v>558</v>
      </c>
      <c r="AB4" s="276" t="s">
        <v>560</v>
      </c>
      <c r="AC4" s="276" t="s">
        <v>560</v>
      </c>
      <c r="AD4" s="276" t="s">
        <v>560</v>
      </c>
      <c r="AE4" s="276" t="s">
        <v>551</v>
      </c>
      <c r="AF4" s="276" t="s">
        <v>557</v>
      </c>
      <c r="AG4" s="276" t="s">
        <v>557</v>
      </c>
      <c r="AH4" s="276" t="s">
        <v>561</v>
      </c>
      <c r="AI4" s="276" t="s">
        <v>912</v>
      </c>
      <c r="AJ4" s="276" t="s">
        <v>913</v>
      </c>
      <c r="AK4" s="276" t="s">
        <v>562</v>
      </c>
      <c r="AL4" s="276" t="s">
        <v>914</v>
      </c>
    </row>
    <row r="5" spans="1:38" ht="15.75">
      <c r="A5" s="260"/>
      <c r="B5" s="280" t="s">
        <v>563</v>
      </c>
      <c r="C5" s="536">
        <f>+'Converted IS (C)'!T26</f>
        <v>36422793.284411147</v>
      </c>
      <c r="D5" s="277"/>
      <c r="E5" s="271">
        <f>C5-'LG MSW'!C5-'LG Recycle'!C5-'LG YW'!C5</f>
        <v>-9.7788870334625244E-9</v>
      </c>
      <c r="F5" s="281" t="s">
        <v>564</v>
      </c>
      <c r="G5" s="282"/>
      <c r="H5" s="282"/>
      <c r="I5" s="274" t="s">
        <v>565</v>
      </c>
      <c r="J5" s="274" t="s">
        <v>166</v>
      </c>
      <c r="K5" s="283" t="s">
        <v>915</v>
      </c>
      <c r="L5" s="516" t="s">
        <v>566</v>
      </c>
      <c r="M5" s="283" t="s">
        <v>166</v>
      </c>
      <c r="O5" s="271"/>
      <c r="P5" s="271"/>
      <c r="Q5" s="261"/>
      <c r="S5" s="284"/>
      <c r="U5" s="276" t="s">
        <v>567</v>
      </c>
      <c r="V5" s="276" t="s">
        <v>568</v>
      </c>
      <c r="W5" s="276" t="s">
        <v>569</v>
      </c>
      <c r="X5" s="276" t="s">
        <v>570</v>
      </c>
      <c r="Y5" s="276" t="s">
        <v>571</v>
      </c>
      <c r="Z5" s="276" t="s">
        <v>572</v>
      </c>
      <c r="AA5" s="276" t="s">
        <v>571</v>
      </c>
      <c r="AB5" s="276" t="s">
        <v>573</v>
      </c>
      <c r="AC5" s="276" t="s">
        <v>574</v>
      </c>
      <c r="AD5" s="276" t="s">
        <v>575</v>
      </c>
      <c r="AE5" s="276" t="s">
        <v>576</v>
      </c>
      <c r="AF5" s="276" t="s">
        <v>567</v>
      </c>
      <c r="AG5" s="276" t="s">
        <v>164</v>
      </c>
      <c r="AH5" s="276" t="s">
        <v>286</v>
      </c>
      <c r="AI5" s="276" t="s">
        <v>621</v>
      </c>
      <c r="AJ5" s="276" t="s">
        <v>621</v>
      </c>
      <c r="AK5" s="276" t="s">
        <v>286</v>
      </c>
      <c r="AL5" s="276" t="s">
        <v>553</v>
      </c>
    </row>
    <row r="6" spans="1:38" ht="15.75">
      <c r="A6" s="260"/>
      <c r="B6" s="280" t="s">
        <v>577</v>
      </c>
      <c r="C6" s="537">
        <f>'Converted IS (C)'!T291</f>
        <v>33888016.652001753</v>
      </c>
      <c r="D6" s="277"/>
      <c r="E6" s="271">
        <f>C6-'LG MSW'!C6-'LG Recycle'!C6-'LG YW'!C6</f>
        <v>6.0535967350006104E-9</v>
      </c>
      <c r="F6" s="285" t="s">
        <v>578</v>
      </c>
      <c r="G6" s="282"/>
      <c r="H6" s="282"/>
      <c r="I6" s="286"/>
      <c r="J6" s="287" t="s">
        <v>579</v>
      </c>
      <c r="K6" s="288"/>
      <c r="L6" s="287" t="s">
        <v>580</v>
      </c>
      <c r="M6" s="287" t="s">
        <v>581</v>
      </c>
      <c r="O6" s="271"/>
      <c r="P6" s="271"/>
      <c r="Q6" s="261"/>
      <c r="S6" s="517">
        <v>1</v>
      </c>
      <c r="T6" s="518">
        <f>Revenue/Investment*100</f>
        <v>153.26449003860213</v>
      </c>
      <c r="U6" s="519">
        <f>EXP(y_inter1-(slope*LN(+T6)))</f>
        <v>9.7987974704694487</v>
      </c>
      <c r="V6" s="520">
        <f>(+T6*U6/100)/100</f>
        <v>0.15018076973030445</v>
      </c>
      <c r="W6" s="520">
        <f>regDebt_weighted</f>
        <v>3.5860000000000003E-2</v>
      </c>
      <c r="X6" s="520">
        <f>+V6-W6</f>
        <v>0.11432076973030444</v>
      </c>
      <c r="Y6" s="520">
        <f>+((X6*(1-0.34))-Pfd_weighted)/Equity_percent</f>
        <v>0.20134217448256084</v>
      </c>
      <c r="Z6" s="520">
        <f>+C15</f>
        <v>2.5000000000000001E-3</v>
      </c>
      <c r="AA6" s="520">
        <f>+Y6+Z6</f>
        <v>0.20384217448256084</v>
      </c>
      <c r="AB6" s="520">
        <f>AA6*equityP</f>
        <v>0.1223053046895365</v>
      </c>
      <c r="AC6" s="520">
        <f>+AB6/(1-taxrate)</f>
        <v>0.15481684137916013</v>
      </c>
      <c r="AD6" s="520">
        <f>debtP*Debt_Rate</f>
        <v>1.2716825048595141E-2</v>
      </c>
      <c r="AE6" s="520">
        <f>AD6+AC6</f>
        <v>0.16753366642775527</v>
      </c>
      <c r="AF6" s="520">
        <f>AE6/(T6/100)</f>
        <v>0.10931016466081557</v>
      </c>
      <c r="AG6" s="520">
        <f>1-AF6</f>
        <v>0.89068983533918444</v>
      </c>
      <c r="AH6" s="521">
        <f>expenses/(AG6)</f>
        <v>38046933.183083676</v>
      </c>
      <c r="AI6" s="522">
        <f>+AH6-Revenue</f>
        <v>1624139.8986725286</v>
      </c>
      <c r="AJ6" s="523">
        <f ca="1">+AI6/$J$49</f>
        <v>1856488.823447109</v>
      </c>
      <c r="AK6" s="523">
        <f ca="1">+AJ6*$J$47</f>
        <v>40233.211587401427</v>
      </c>
      <c r="AL6" s="521">
        <f ca="1">ROUND(+AK6+AH6,5)</f>
        <v>38087166.394670002</v>
      </c>
    </row>
    <row r="7" spans="1:38" ht="15.75">
      <c r="A7" s="260"/>
      <c r="B7" s="280" t="s">
        <v>582</v>
      </c>
      <c r="C7" s="537">
        <f>Deprec!N81</f>
        <v>23764665.432441317</v>
      </c>
      <c r="D7" s="277"/>
      <c r="E7" s="271"/>
      <c r="F7" s="524">
        <v>1</v>
      </c>
      <c r="G7" s="282"/>
      <c r="H7" s="293" t="s">
        <v>563</v>
      </c>
      <c r="I7" s="294">
        <f>IF(A64=TRUE,C5,0)</f>
        <v>36422793.284411147</v>
      </c>
      <c r="J7" s="294">
        <f ca="1">(+$I8/($S50))-I7</f>
        <v>1380806.8597191945</v>
      </c>
      <c r="K7" s="294">
        <f ca="1">+I7+J7</f>
        <v>37803600.144130342</v>
      </c>
      <c r="L7" s="294">
        <f ca="1">((+J7/J49*K35)-J7)</f>
        <v>34205.36284702085</v>
      </c>
      <c r="M7" s="294">
        <f ca="1">IFERROR(+K7+L7,0.00001)</f>
        <v>37837805.506977364</v>
      </c>
      <c r="O7" s="271"/>
      <c r="P7" s="271"/>
      <c r="Q7" s="261"/>
      <c r="S7" s="295">
        <v>2</v>
      </c>
      <c r="T7" s="296">
        <f>Revenue/Investment*100</f>
        <v>153.26449003860213</v>
      </c>
      <c r="U7" s="297">
        <f>EXP(y_inter1-(slope*LN(+T7)))</f>
        <v>9.7987974704694487</v>
      </c>
      <c r="V7" s="298">
        <f t="shared" ref="V7:V9" si="0">(+T7*U7/100)/100</f>
        <v>0.15018076973030445</v>
      </c>
      <c r="W7" s="298">
        <f>regDebt_weighted</f>
        <v>3.5860000000000003E-2</v>
      </c>
      <c r="X7" s="298">
        <f t="shared" ref="X7:X9" si="1">+V7-W7</f>
        <v>0.11432076973030444</v>
      </c>
      <c r="Y7" s="298">
        <f>+((X7*(1-0.34))-Pfd_weighted)/Equity_percent</f>
        <v>0.20134217448256084</v>
      </c>
      <c r="Z7" s="298">
        <f>+Z6</f>
        <v>2.5000000000000001E-3</v>
      </c>
      <c r="AA7" s="298">
        <f>+Y7+Z7</f>
        <v>0.20384217448256084</v>
      </c>
      <c r="AB7" s="298">
        <f>AA7*equityP</f>
        <v>0.1223053046895365</v>
      </c>
      <c r="AC7" s="298">
        <f>+AB7/(1-taxrate)</f>
        <v>0.15481684137916013</v>
      </c>
      <c r="AD7" s="298">
        <f>debtP*Debt_Rate</f>
        <v>1.2716825048595141E-2</v>
      </c>
      <c r="AE7" s="298">
        <f t="shared" ref="AE7:AE9" si="2">AD7+AC7</f>
        <v>0.16753366642775527</v>
      </c>
      <c r="AF7" s="298">
        <f t="shared" ref="AF7:AF9" si="3">AE7/(T7/100)</f>
        <v>0.10931016466081557</v>
      </c>
      <c r="AG7" s="298">
        <f t="shared" ref="AG7:AG9" si="4">1-AF7</f>
        <v>0.89068983533918444</v>
      </c>
      <c r="AH7" s="299">
        <f>expenses/(AG7)</f>
        <v>38046933.183083676</v>
      </c>
      <c r="AI7" s="525">
        <f>+AH7-Revenue</f>
        <v>1624139.8986725286</v>
      </c>
      <c r="AJ7" s="300">
        <f ca="1">+AI7/$J$49</f>
        <v>1856488.823447109</v>
      </c>
      <c r="AK7" s="300">
        <f ca="1">+AJ7*$J$47</f>
        <v>40233.211587401427</v>
      </c>
      <c r="AL7" s="299">
        <f t="shared" ref="AL7:AL9" ca="1" si="5">ROUND(+AK7+AH7,5)</f>
        <v>38087166.394670002</v>
      </c>
    </row>
    <row r="8" spans="1:38" ht="15.75">
      <c r="A8" s="260"/>
      <c r="B8" s="280" t="s">
        <v>583</v>
      </c>
      <c r="C8" s="538">
        <f>'Corporate BS'!D48</f>
        <v>0.4</v>
      </c>
      <c r="D8" s="277"/>
      <c r="E8" s="260"/>
      <c r="F8" s="301">
        <f>+F7+1</f>
        <v>2</v>
      </c>
      <c r="G8" s="282"/>
      <c r="H8" s="293" t="s">
        <v>577</v>
      </c>
      <c r="I8" s="294">
        <f>IF(A64=TRUE,C6,0)</f>
        <v>33888016.652001753</v>
      </c>
      <c r="J8" s="273"/>
      <c r="K8" s="294">
        <f>+I8</f>
        <v>33888016.652001753</v>
      </c>
      <c r="L8" s="294">
        <f ca="1">+L7</f>
        <v>34205.36284702085</v>
      </c>
      <c r="M8" s="294">
        <f ca="1">IFERROR(+K8+L8,0.00001)</f>
        <v>33922222.014848776</v>
      </c>
      <c r="O8" s="271"/>
      <c r="P8" s="271"/>
      <c r="Q8" s="261"/>
      <c r="S8" s="302">
        <v>3</v>
      </c>
      <c r="T8" s="296">
        <f>Revenue/Investment*100</f>
        <v>153.26449003860213</v>
      </c>
      <c r="U8" s="297">
        <f>EXP(y_inter1-(slope*LN(+T8)))</f>
        <v>9.7987974704694487</v>
      </c>
      <c r="V8" s="298">
        <f t="shared" si="0"/>
        <v>0.15018076973030445</v>
      </c>
      <c r="W8" s="298">
        <f>regDebt_weighted</f>
        <v>3.5860000000000003E-2</v>
      </c>
      <c r="X8" s="298">
        <f t="shared" si="1"/>
        <v>0.11432076973030444</v>
      </c>
      <c r="Y8" s="298">
        <f>+((X8*(1-0.34))-Pfd_weighted)/Equity_percent</f>
        <v>0.20134217448256084</v>
      </c>
      <c r="Z8" s="298">
        <f>+Z7</f>
        <v>2.5000000000000001E-3</v>
      </c>
      <c r="AA8" s="298">
        <f t="shared" ref="AA8:AA9" si="6">+Y8+Z8</f>
        <v>0.20384217448256084</v>
      </c>
      <c r="AB8" s="298">
        <f>AA8*equityP</f>
        <v>0.1223053046895365</v>
      </c>
      <c r="AC8" s="298">
        <f>+AB8/(1-taxrate)</f>
        <v>0.15481684137916013</v>
      </c>
      <c r="AD8" s="298">
        <f>debtP*Debt_Rate</f>
        <v>1.2716825048595141E-2</v>
      </c>
      <c r="AE8" s="298">
        <f t="shared" si="2"/>
        <v>0.16753366642775527</v>
      </c>
      <c r="AF8" s="298">
        <f t="shared" si="3"/>
        <v>0.10931016466081557</v>
      </c>
      <c r="AG8" s="298">
        <f t="shared" si="4"/>
        <v>0.89068983533918444</v>
      </c>
      <c r="AH8" s="299">
        <f>expenses/(AG8)</f>
        <v>38046933.183083676</v>
      </c>
      <c r="AI8" s="525">
        <f>+AH8-Revenue</f>
        <v>1624139.8986725286</v>
      </c>
      <c r="AJ8" s="300">
        <f ca="1">+AI8/$J$49</f>
        <v>1856488.823447109</v>
      </c>
      <c r="AK8" s="300">
        <f ca="1">+AJ8*$J$47</f>
        <v>40233.211587401427</v>
      </c>
      <c r="AL8" s="299">
        <f t="shared" ca="1" si="5"/>
        <v>38087166.394670002</v>
      </c>
    </row>
    <row r="9" spans="1:38" ht="15.75">
      <c r="A9" s="260"/>
      <c r="B9" s="280" t="s">
        <v>584</v>
      </c>
      <c r="C9" s="538">
        <f>'Corporate BS'!B57</f>
        <v>3.179206262148785E-2</v>
      </c>
      <c r="D9" s="277"/>
      <c r="E9" s="260"/>
      <c r="F9" s="301">
        <f t="shared" ref="F9:F49" si="7">+F8+1</f>
        <v>3</v>
      </c>
      <c r="G9" s="282"/>
      <c r="H9" s="293" t="s">
        <v>585</v>
      </c>
      <c r="I9" s="526">
        <f>+I7-I8</f>
        <v>2534776.6324093938</v>
      </c>
      <c r="J9" s="273"/>
      <c r="K9" s="526">
        <f ca="1">+K7-K8</f>
        <v>3915583.4921285883</v>
      </c>
      <c r="L9" s="282"/>
      <c r="M9" s="527">
        <f ca="1">+M7-M8</f>
        <v>3915583.4921285883</v>
      </c>
      <c r="O9" s="271"/>
      <c r="P9" s="271"/>
      <c r="Q9" s="261"/>
      <c r="S9" s="303">
        <v>4</v>
      </c>
      <c r="T9" s="296">
        <f>Revenue/Investment*100</f>
        <v>153.26449003860213</v>
      </c>
      <c r="U9" s="297">
        <f>EXP(y_inter1-(slope*LN(+T9)))</f>
        <v>9.7987974704694487</v>
      </c>
      <c r="V9" s="298">
        <f t="shared" si="0"/>
        <v>0.15018076973030445</v>
      </c>
      <c r="W9" s="298">
        <f>regDebt_weighted</f>
        <v>3.5860000000000003E-2</v>
      </c>
      <c r="X9" s="298">
        <f t="shared" si="1"/>
        <v>0.11432076973030444</v>
      </c>
      <c r="Y9" s="298">
        <f>+((X9*(1-0.34))-Pfd_weighted)/Equity_percent</f>
        <v>0.20134217448256084</v>
      </c>
      <c r="Z9" s="298">
        <f>+Z8</f>
        <v>2.5000000000000001E-3</v>
      </c>
      <c r="AA9" s="298">
        <f t="shared" si="6"/>
        <v>0.20384217448256084</v>
      </c>
      <c r="AB9" s="298">
        <f>AA9*equityP</f>
        <v>0.1223053046895365</v>
      </c>
      <c r="AC9" s="298">
        <f>+AB9/(1-taxrate)</f>
        <v>0.15481684137916013</v>
      </c>
      <c r="AD9" s="298">
        <f>debtP*Debt_Rate</f>
        <v>1.2716825048595141E-2</v>
      </c>
      <c r="AE9" s="298">
        <f t="shared" si="2"/>
        <v>0.16753366642775527</v>
      </c>
      <c r="AF9" s="298">
        <f t="shared" si="3"/>
        <v>0.10931016466081557</v>
      </c>
      <c r="AG9" s="298">
        <f t="shared" si="4"/>
        <v>0.89068983533918444</v>
      </c>
      <c r="AH9" s="299">
        <f>expenses/(AG9)</f>
        <v>38046933.183083676</v>
      </c>
      <c r="AI9" s="525">
        <f>+AH9-Revenue</f>
        <v>1624139.8986725286</v>
      </c>
      <c r="AJ9" s="300">
        <f ca="1">+AI9/$J$49</f>
        <v>1856488.823447109</v>
      </c>
      <c r="AK9" s="300">
        <f ca="1">+AJ9*$J$47</f>
        <v>40233.211587401427</v>
      </c>
      <c r="AL9" s="299">
        <f t="shared" ca="1" si="5"/>
        <v>38087166.394670002</v>
      </c>
    </row>
    <row r="10" spans="1:38" ht="15.75">
      <c r="A10" s="260"/>
      <c r="B10" s="304" t="s">
        <v>916</v>
      </c>
      <c r="C10" s="538">
        <v>0.21</v>
      </c>
      <c r="D10" s="277"/>
      <c r="E10" s="260"/>
      <c r="F10" s="301">
        <f t="shared" si="7"/>
        <v>4</v>
      </c>
      <c r="G10" s="282"/>
      <c r="H10" s="282"/>
      <c r="I10" s="273"/>
      <c r="J10" s="273"/>
      <c r="K10" s="294"/>
      <c r="L10" s="282"/>
      <c r="M10" s="282"/>
      <c r="O10" s="271"/>
      <c r="P10" s="271"/>
      <c r="Q10" s="260"/>
      <c r="S10" s="276" t="s">
        <v>586</v>
      </c>
    </row>
    <row r="11" spans="1:38" ht="15.75">
      <c r="A11" s="260"/>
      <c r="B11" s="280" t="s">
        <v>587</v>
      </c>
      <c r="C11" s="539">
        <v>1.4999999999999999E-2</v>
      </c>
      <c r="D11" s="277"/>
      <c r="E11" s="1069"/>
      <c r="F11" s="301">
        <f t="shared" si="7"/>
        <v>5</v>
      </c>
      <c r="G11" s="282"/>
      <c r="H11" s="293" t="s">
        <v>141</v>
      </c>
      <c r="I11" s="294">
        <f>+K11</f>
        <v>302211.0926427528</v>
      </c>
      <c r="J11" s="273"/>
      <c r="K11" s="294">
        <f>+M27</f>
        <v>302211.0926427528</v>
      </c>
      <c r="L11" s="282"/>
      <c r="M11" s="294">
        <f>+K11</f>
        <v>302211.0926427528</v>
      </c>
      <c r="O11" s="271"/>
      <c r="P11" s="271"/>
      <c r="Q11" s="260"/>
      <c r="S11" s="517">
        <v>1</v>
      </c>
      <c r="T11" s="518">
        <f ca="1">IF((AL6/Investment*100)&gt;0,(AL6/Investment*100),0)</f>
        <v>160.26805217580272</v>
      </c>
      <c r="U11" s="519">
        <f ca="1">EXP(y_inter1-(slope*LN(T11)))</f>
        <v>9.5039880562253405</v>
      </c>
      <c r="V11" s="520">
        <f ca="1">(+T11*U11/100)/100</f>
        <v>0.15231856536733288</v>
      </c>
      <c r="W11" s="520">
        <f>regDebt_weighted</f>
        <v>3.5860000000000003E-2</v>
      </c>
      <c r="X11" s="520">
        <f ca="1">+V11-W11</f>
        <v>0.11645856536733287</v>
      </c>
      <c r="Y11" s="520">
        <f ca="1">+((X11*(1-0.34))-Pfd_weighted)/Equity_percent</f>
        <v>0.2054437591349991</v>
      </c>
      <c r="Z11" s="520">
        <f>+Z9</f>
        <v>2.5000000000000001E-3</v>
      </c>
      <c r="AA11" s="520">
        <f ca="1">+Y11+Z11</f>
        <v>0.2079437591349991</v>
      </c>
      <c r="AB11" s="520">
        <f ca="1">AA11*equityP</f>
        <v>0.12476625548099946</v>
      </c>
      <c r="AC11" s="520">
        <f ca="1">+AB11/(1-taxrate)</f>
        <v>0.15793196896329045</v>
      </c>
      <c r="AD11" s="520">
        <f>debtP*Debt_Rate</f>
        <v>1.2716825048595141E-2</v>
      </c>
      <c r="AE11" s="520">
        <f ca="1">+AD11+AC11</f>
        <v>0.1706487940118856</v>
      </c>
      <c r="AF11" s="520">
        <f ca="1">+AE11/(T11/100)</f>
        <v>0.10647711237215007</v>
      </c>
      <c r="AG11" s="520">
        <f ca="1">1-AF11</f>
        <v>0.89352288762784993</v>
      </c>
      <c r="AH11" s="521">
        <f ca="1">expenses/(AG11)</f>
        <v>37926299.506405063</v>
      </c>
      <c r="AI11" s="522">
        <f ca="1">+AH11-Revenue</f>
        <v>1503506.2219939157</v>
      </c>
      <c r="AJ11" s="523">
        <f ca="1">+AI11/$J$49</f>
        <v>1718597.3322841716</v>
      </c>
      <c r="AK11" s="523">
        <f ca="1">+AJ11*$J$47</f>
        <v>37244.872810462482</v>
      </c>
      <c r="AL11" s="521">
        <f ca="1">ROUND(+AK11+AH11,5)</f>
        <v>37963544.379220001</v>
      </c>
    </row>
    <row r="12" spans="1:38" ht="15.75">
      <c r="A12" s="260"/>
      <c r="B12" s="280" t="s">
        <v>75</v>
      </c>
      <c r="C12" s="539">
        <v>5.1000000000000004E-3</v>
      </c>
      <c r="D12" s="277"/>
      <c r="E12" s="260"/>
      <c r="F12" s="301">
        <f t="shared" si="7"/>
        <v>6</v>
      </c>
      <c r="G12" s="282"/>
      <c r="H12" s="293" t="s">
        <v>588</v>
      </c>
      <c r="I12" s="294">
        <f ca="1">IF(I14&lt;0,0,+J38*I14)</f>
        <v>387470.05235619389</v>
      </c>
      <c r="J12" s="294">
        <f ca="1">+K12-I12</f>
        <v>371338.15153583151</v>
      </c>
      <c r="K12" s="294">
        <f ca="1">+(K9-K11)*taxrate</f>
        <v>758808.2038920254</v>
      </c>
      <c r="L12" s="282"/>
      <c r="M12" s="294">
        <f ca="1">+K12</f>
        <v>758808.2038920254</v>
      </c>
      <c r="O12" s="271"/>
      <c r="P12" s="271"/>
      <c r="Q12" s="260"/>
      <c r="S12" s="295">
        <v>2</v>
      </c>
      <c r="T12" s="296">
        <f ca="1">IF((AL7/Investment*100)&gt;0,(AL7/Investment*100),0)</f>
        <v>160.26805217580272</v>
      </c>
      <c r="U12" s="307">
        <f ca="1">EXP(y_inter2-(slope*LN(+T12)))</f>
        <v>9.3687670796256146</v>
      </c>
      <c r="V12" s="298">
        <f ca="1">(+T12*U12/100)/100</f>
        <v>0.1501514051140381</v>
      </c>
      <c r="W12" s="298">
        <f>regDebt_weighted</f>
        <v>3.5860000000000003E-2</v>
      </c>
      <c r="X12" s="298">
        <f ca="1">+V12-W12</f>
        <v>0.1142914051140381</v>
      </c>
      <c r="Y12" s="298">
        <f ca="1">+((X12*(1-0.34))-Pfd_weighted)/Equity_percent</f>
        <v>0.2012858353932126</v>
      </c>
      <c r="Z12" s="298">
        <f>+Z11</f>
        <v>2.5000000000000001E-3</v>
      </c>
      <c r="AA12" s="298">
        <f ca="1">+Y12+Z12</f>
        <v>0.2037858353932126</v>
      </c>
      <c r="AB12" s="298">
        <f ca="1">AA12*equityP</f>
        <v>0.12227150123592756</v>
      </c>
      <c r="AC12" s="298">
        <f ca="1">+AB12/(1-taxrate)</f>
        <v>0.15477405219737664</v>
      </c>
      <c r="AD12" s="298">
        <f>debtP*Debt_Rate</f>
        <v>1.2716825048595141E-2</v>
      </c>
      <c r="AE12" s="298">
        <f ca="1">+AD12+AC12</f>
        <v>0.16749087724597178</v>
      </c>
      <c r="AF12" s="298">
        <f ca="1">+AE12/(T12/100)</f>
        <v>0.10450671545084114</v>
      </c>
      <c r="AG12" s="298">
        <f ca="1">1-AF12</f>
        <v>0.89549328454915889</v>
      </c>
      <c r="AH12" s="299">
        <f ca="1">expenses/(AG12)</f>
        <v>37842848.446443535</v>
      </c>
      <c r="AI12" s="525">
        <f ca="1">+AH12-Revenue</f>
        <v>1420055.1620323882</v>
      </c>
      <c r="AJ12" s="300">
        <f ca="1">+AI12/$J$49</f>
        <v>1623207.7908721189</v>
      </c>
      <c r="AK12" s="300">
        <f ca="1">+AJ12*$J$47</f>
        <v>35177.622227326588</v>
      </c>
      <c r="AL12" s="299">
        <f t="shared" ref="AL12:AL14" ca="1" si="8">ROUND(+AK12+AH12,5)</f>
        <v>37878026.068669997</v>
      </c>
    </row>
    <row r="13" spans="1:38" ht="15.75">
      <c r="A13" s="260"/>
      <c r="B13" s="280" t="s">
        <v>589</v>
      </c>
      <c r="C13" s="539">
        <v>0</v>
      </c>
      <c r="D13" s="277"/>
      <c r="E13" s="260"/>
      <c r="F13" s="301">
        <f t="shared" si="7"/>
        <v>7</v>
      </c>
      <c r="G13" s="282"/>
      <c r="H13" s="282"/>
      <c r="I13" s="273"/>
      <c r="J13" s="273"/>
      <c r="K13" s="294"/>
      <c r="L13" s="282"/>
      <c r="M13" s="282"/>
      <c r="O13" s="271"/>
      <c r="P13" s="271"/>
      <c r="Q13" s="260"/>
      <c r="S13" s="302">
        <v>3</v>
      </c>
      <c r="T13" s="296">
        <f ca="1">IF((AL8/Investment*100)&gt;0,(AL8/Investment*100),0)</f>
        <v>160.26805217580272</v>
      </c>
      <c r="U13" s="297">
        <f ca="1">EXP(y_inter3-(slope*LN(T13)))</f>
        <v>9.277679910621643</v>
      </c>
      <c r="V13" s="298">
        <f ca="1">(+T13*U13/100)/100</f>
        <v>0.14869156879859063</v>
      </c>
      <c r="W13" s="298">
        <f>regDebt_weighted</f>
        <v>3.5860000000000003E-2</v>
      </c>
      <c r="X13" s="298">
        <f ca="1">+V13-W13</f>
        <v>0.11283156879859063</v>
      </c>
      <c r="Y13" s="298">
        <f ca="1">+((X13*(1-0.34))-Pfd_weighted)/Equity_percent</f>
        <v>0.19848498664845876</v>
      </c>
      <c r="Z13" s="298">
        <f>+Z12</f>
        <v>2.5000000000000001E-3</v>
      </c>
      <c r="AA13" s="298">
        <f t="shared" ref="AA13:AA14" ca="1" si="9">+Y13+Z13</f>
        <v>0.20098498664845876</v>
      </c>
      <c r="AB13" s="298">
        <f ca="1">AA13*equityP</f>
        <v>0.12059099198907525</v>
      </c>
      <c r="AC13" s="298">
        <f ca="1">+AB13/(1-taxrate)</f>
        <v>0.15264682530262688</v>
      </c>
      <c r="AD13" s="298">
        <f>debtP*Debt_Rate</f>
        <v>1.2716825048595141E-2</v>
      </c>
      <c r="AE13" s="298">
        <f ca="1">+AD13+AC13</f>
        <v>0.16536365035122202</v>
      </c>
      <c r="AF13" s="298">
        <f ca="1">+AE13/(T13/100)</f>
        <v>0.10317942229049479</v>
      </c>
      <c r="AG13" s="298">
        <f ca="1">1-AF13</f>
        <v>0.89682057770950518</v>
      </c>
      <c r="AH13" s="299">
        <f ca="1">expenses/(AG13)</f>
        <v>37786841.085373305</v>
      </c>
      <c r="AI13" s="525">
        <f ca="1">+AH13-Revenue</f>
        <v>1364047.8009621575</v>
      </c>
      <c r="AJ13" s="300">
        <f ca="1">+AI13/$J$49</f>
        <v>1559188.0349738528</v>
      </c>
      <c r="AK13" s="300">
        <f ca="1">+AJ13*$J$47</f>
        <v>33790.207257574082</v>
      </c>
      <c r="AL13" s="299">
        <f t="shared" ca="1" si="8"/>
        <v>37820631.292630002</v>
      </c>
    </row>
    <row r="14" spans="1:38" ht="16.5" thickBot="1">
      <c r="A14" s="260"/>
      <c r="B14" s="318" t="s">
        <v>118</v>
      </c>
      <c r="C14" s="539">
        <f>+'Restating Adj'!B85</f>
        <v>1.5716691634570774E-3</v>
      </c>
      <c r="D14" s="277"/>
      <c r="E14" s="260"/>
      <c r="F14" s="301">
        <f t="shared" si="7"/>
        <v>8</v>
      </c>
      <c r="G14" s="282"/>
      <c r="H14" s="282" t="s">
        <v>287</v>
      </c>
      <c r="I14" s="528">
        <f ca="1">+I9-SUM(I11:I13)</f>
        <v>1845095.4874104471</v>
      </c>
      <c r="J14" s="273"/>
      <c r="K14" s="528">
        <f ca="1">+K9-SUM(K11:K13)</f>
        <v>2854564.1955938102</v>
      </c>
      <c r="L14" s="282"/>
      <c r="M14" s="528">
        <f ca="1">+M9-SUM(M11:M13)</f>
        <v>2854564.1955938102</v>
      </c>
      <c r="O14" s="271"/>
      <c r="P14" s="271"/>
      <c r="Q14" s="271"/>
      <c r="S14" s="303">
        <v>4</v>
      </c>
      <c r="T14" s="296">
        <f ca="1">IF((AL9/Investment*100)&gt;0,(AL9/Investment*100),0)</f>
        <v>160.26805217580272</v>
      </c>
      <c r="U14" s="309">
        <f ca="1">EXP(y_inter4-(slope*LN(T14)))</f>
        <v>9.2194142567080739</v>
      </c>
      <c r="V14" s="298">
        <f ca="1">(+T14*U14/100)/100</f>
        <v>0.14775775651244291</v>
      </c>
      <c r="W14" s="298">
        <f>regDebt_weighted</f>
        <v>3.5860000000000003E-2</v>
      </c>
      <c r="X14" s="298">
        <f ca="1">+V14-W14</f>
        <v>0.11189775651244291</v>
      </c>
      <c r="Y14" s="298">
        <f ca="1">+((X14*(1-0.34))-Pfd_weighted)/Equity_percent</f>
        <v>0.19669337005294277</v>
      </c>
      <c r="Z14" s="298">
        <f>+Z13</f>
        <v>2.5000000000000001E-3</v>
      </c>
      <c r="AA14" s="298">
        <f t="shared" ca="1" si="9"/>
        <v>0.19919337005294277</v>
      </c>
      <c r="AB14" s="298">
        <f ca="1">AA14*equityP</f>
        <v>0.11951602203176566</v>
      </c>
      <c r="AC14" s="298">
        <f ca="1">+AB14/(1-taxrate)</f>
        <v>0.15128610383767804</v>
      </c>
      <c r="AD14" s="298">
        <f>debtP*Debt_Rate</f>
        <v>1.2716825048595141E-2</v>
      </c>
      <c r="AE14" s="298">
        <f ca="1">+AD14+AC14</f>
        <v>0.16400292888627319</v>
      </c>
      <c r="AF14" s="298">
        <f ca="1">+AE14/(T14/100)</f>
        <v>0.10233039377453315</v>
      </c>
      <c r="AG14" s="298">
        <f ca="1">1-AF14</f>
        <v>0.89766960622546688</v>
      </c>
      <c r="AH14" s="299">
        <f ca="1">expenses/(AG14)</f>
        <v>37751101.760584876</v>
      </c>
      <c r="AI14" s="525">
        <f ca="1">+AH14-Revenue</f>
        <v>1328308.4761737287</v>
      </c>
      <c r="AJ14" s="300">
        <f ca="1">+AI14/$J$49</f>
        <v>1518335.8540247274</v>
      </c>
      <c r="AK14" s="300">
        <f ca="1">+AJ14*$J$47</f>
        <v>32904.872307438949</v>
      </c>
      <c r="AL14" s="299">
        <f t="shared" ca="1" si="8"/>
        <v>37784006.632890001</v>
      </c>
    </row>
    <row r="15" spans="1:38" ht="16.5" thickTop="1">
      <c r="A15" s="260"/>
      <c r="B15" s="318" t="s">
        <v>593</v>
      </c>
      <c r="C15" s="540">
        <v>2.5000000000000001E-3</v>
      </c>
      <c r="D15" s="260"/>
      <c r="E15" s="260"/>
      <c r="F15" s="301">
        <f t="shared" si="7"/>
        <v>9</v>
      </c>
      <c r="G15" s="273"/>
      <c r="H15" s="273"/>
      <c r="I15" s="273"/>
      <c r="J15" s="273"/>
      <c r="K15" s="311"/>
      <c r="L15" s="273"/>
      <c r="M15" s="273"/>
      <c r="O15" s="271"/>
      <c r="P15" s="271"/>
      <c r="Q15" s="271"/>
      <c r="S15" s="276" t="s">
        <v>590</v>
      </c>
    </row>
    <row r="16" spans="1:38" ht="15.75">
      <c r="A16" s="260"/>
      <c r="B16" s="260"/>
      <c r="C16" s="260"/>
      <c r="D16" s="277" t="s">
        <v>917</v>
      </c>
      <c r="E16" s="260"/>
      <c r="F16" s="301">
        <f t="shared" si="7"/>
        <v>10</v>
      </c>
      <c r="G16" s="273"/>
      <c r="H16" s="293" t="s">
        <v>591</v>
      </c>
      <c r="I16" s="312">
        <f>+I8/I7</f>
        <v>0.93040685779873256</v>
      </c>
      <c r="J16" s="313"/>
      <c r="K16" s="312">
        <f ca="1">+K8/K7</f>
        <v>0.89642299999999997</v>
      </c>
      <c r="L16" s="314"/>
      <c r="M16" s="312">
        <f ca="1">+M8/M7</f>
        <v>0.89651663357150702</v>
      </c>
      <c r="O16" s="271"/>
      <c r="P16" s="271"/>
      <c r="Q16" s="271"/>
      <c r="S16" s="305">
        <v>1</v>
      </c>
      <c r="T16" s="306">
        <f ca="1">AL11/Investment*100</f>
        <v>159.74785964121207</v>
      </c>
      <c r="U16" s="289">
        <f ca="1">EXP(y_inter1-(slope*LN(+T16)))</f>
        <v>9.5251355085942162</v>
      </c>
      <c r="V16" s="290">
        <f ca="1">(+T16*U16/100)/100</f>
        <v>0.1521620010290434</v>
      </c>
      <c r="W16" s="290">
        <f>regDebt_weighted</f>
        <v>3.5860000000000003E-2</v>
      </c>
      <c r="X16" s="290">
        <f ca="1">+V16-W16</f>
        <v>0.11630200102904339</v>
      </c>
      <c r="Y16" s="290">
        <f ca="1">+((X16*(1-0.34))-Pfd_weighted)/Equity_percent</f>
        <v>0.20514337406735067</v>
      </c>
      <c r="Z16" s="290">
        <f>+Z14</f>
        <v>2.5000000000000001E-3</v>
      </c>
      <c r="AA16" s="290">
        <f ca="1">+Y16+Z16</f>
        <v>0.20764337406735067</v>
      </c>
      <c r="AB16" s="290">
        <f ca="1">AA16*equityP</f>
        <v>0.12458602444041039</v>
      </c>
      <c r="AC16" s="290">
        <f ca="1">+AB16/(1-taxrate)</f>
        <v>0.15770382840558278</v>
      </c>
      <c r="AD16" s="290">
        <f>debtP*Debt_Rate</f>
        <v>1.2716825048595141E-2</v>
      </c>
      <c r="AE16" s="290">
        <f ca="1">+AD16+AC16</f>
        <v>0.17042065345417792</v>
      </c>
      <c r="AF16" s="290">
        <f ca="1">+AE16/(T16/100)</f>
        <v>0.10668102460773907</v>
      </c>
      <c r="AG16" s="290">
        <f ca="1">1-AF16</f>
        <v>0.89331897539226091</v>
      </c>
      <c r="AH16" s="291">
        <f ca="1">expenses/(AG16)</f>
        <v>37934956.701352231</v>
      </c>
      <c r="AI16" s="529">
        <f ca="1">+AH16-Revenue</f>
        <v>1512163.416941084</v>
      </c>
      <c r="AJ16" s="292">
        <f ca="1">+AI16/$J$49</f>
        <v>1728493.0227200491</v>
      </c>
      <c r="AK16" s="292">
        <f ca="1">+AJ16*$J$47</f>
        <v>37459.328939732804</v>
      </c>
      <c r="AL16" s="291">
        <f ca="1">ROUND(+AK16+AH16,5)</f>
        <v>37972416.03029</v>
      </c>
    </row>
    <row r="17" spans="1:38" ht="15.75">
      <c r="A17" s="260"/>
      <c r="B17" s="548" t="s">
        <v>918</v>
      </c>
      <c r="C17" s="322"/>
      <c r="D17" s="260" t="s">
        <v>919</v>
      </c>
      <c r="E17" s="260"/>
      <c r="F17" s="301">
        <f t="shared" si="7"/>
        <v>11</v>
      </c>
      <c r="G17" s="273"/>
      <c r="H17" s="273"/>
      <c r="I17" s="273"/>
      <c r="J17" s="558">
        <f>500000/J19</f>
        <v>1.3727667619989996E-2</v>
      </c>
      <c r="K17" s="273"/>
      <c r="L17" s="293"/>
      <c r="M17" s="293"/>
      <c r="N17" s="312"/>
      <c r="O17" s="260"/>
      <c r="P17" s="271"/>
      <c r="Q17" s="271"/>
      <c r="S17" s="295">
        <v>2</v>
      </c>
      <c r="T17" s="296">
        <f ca="1">AL12/Investment*100</f>
        <v>159.38800475163615</v>
      </c>
      <c r="U17" s="307">
        <f ca="1">EXP(y_inter2-(slope*LN(+T17)))</f>
        <v>9.4041017375312617</v>
      </c>
      <c r="V17" s="298">
        <f ca="1">(+T17*U17/100)/100</f>
        <v>0.14989010124265026</v>
      </c>
      <c r="W17" s="298">
        <f>regDebt_weighted</f>
        <v>3.5860000000000003E-2</v>
      </c>
      <c r="X17" s="298">
        <f ca="1">+V17-W17</f>
        <v>0.11403010124265026</v>
      </c>
      <c r="Y17" s="298">
        <f ca="1">+((X17*(1-0.34))-Pfd_weighted)/Equity_percent</f>
        <v>0.20078449657020109</v>
      </c>
      <c r="Z17" s="298">
        <f>+Z16</f>
        <v>2.5000000000000001E-3</v>
      </c>
      <c r="AA17" s="298">
        <f ca="1">+Y17+Z17</f>
        <v>0.20328449657020109</v>
      </c>
      <c r="AB17" s="298">
        <f ca="1">AA17*equityP</f>
        <v>0.12197069794212065</v>
      </c>
      <c r="AC17" s="298">
        <f ca="1">+AB17/(1-taxrate)</f>
        <v>0.15439328853432993</v>
      </c>
      <c r="AD17" s="298">
        <f>debtP*Debt_Rate</f>
        <v>1.2716825048595141E-2</v>
      </c>
      <c r="AE17" s="298">
        <f ca="1">+AD17+AC17</f>
        <v>0.16711011358292507</v>
      </c>
      <c r="AF17" s="298">
        <f ca="1">+AE17/(T17/100)</f>
        <v>0.10484484942472413</v>
      </c>
      <c r="AG17" s="298">
        <f ca="1">1-AF17</f>
        <v>0.89515515057527584</v>
      </c>
      <c r="AH17" s="299">
        <f ca="1">expenses/(AG17)</f>
        <v>37857143.122310646</v>
      </c>
      <c r="AI17" s="525">
        <f ca="1">+AH17-Revenue</f>
        <v>1434349.8378994986</v>
      </c>
      <c r="AJ17" s="300">
        <f ca="1">+AI17/$J$49</f>
        <v>1639547.4584117071</v>
      </c>
      <c r="AK17" s="300">
        <f ca="1">+AJ17*$J$47</f>
        <v>35531.730096485422</v>
      </c>
      <c r="AL17" s="299">
        <f t="shared" ref="AL17:AL19" ca="1" si="10">ROUND(+AK17+AH17,5)</f>
        <v>37892674.852410004</v>
      </c>
    </row>
    <row r="18" spans="1:38" ht="15.75">
      <c r="A18" s="260"/>
      <c r="B18" s="1554"/>
      <c r="C18" s="1554"/>
      <c r="D18" s="260"/>
      <c r="E18" s="260"/>
      <c r="F18" s="301">
        <f t="shared" si="7"/>
        <v>12</v>
      </c>
      <c r="G18" s="273"/>
      <c r="H18" s="315" t="s">
        <v>592</v>
      </c>
      <c r="I18" s="316"/>
      <c r="J18" s="316"/>
      <c r="K18" s="316"/>
      <c r="L18" s="316"/>
      <c r="M18" s="317"/>
      <c r="O18" s="391" t="s">
        <v>2385</v>
      </c>
      <c r="P18" s="271">
        <f ca="1">'LG MSW'!J20</f>
        <v>-87709.341611053795</v>
      </c>
      <c r="Q18" s="1084">
        <f ca="1">'LG MSW'!K22</f>
        <v>-2.8449160478212221E-3</v>
      </c>
      <c r="S18" s="302">
        <v>3</v>
      </c>
      <c r="T18" s="296">
        <f ca="1">AL13/Investment*100</f>
        <v>159.14649166910124</v>
      </c>
      <c r="U18" s="297">
        <f ca="1">EXP(y_inter3-(slope*LN(T18)))</f>
        <v>9.3223306531892298</v>
      </c>
      <c r="V18" s="298">
        <f ca="1">(+T18*U18/100)/100</f>
        <v>0.1483616217634387</v>
      </c>
      <c r="W18" s="298">
        <f>regDebt_weighted</f>
        <v>3.5860000000000003E-2</v>
      </c>
      <c r="X18" s="298">
        <f ca="1">+V18-W18</f>
        <v>0.1125016217634387</v>
      </c>
      <c r="Y18" s="298">
        <f ca="1">+((X18*(1-0.34))-Pfd_weighted)/Equity_percent</f>
        <v>0.1978519487321789</v>
      </c>
      <c r="Z18" s="298">
        <f>+Z17</f>
        <v>2.5000000000000001E-3</v>
      </c>
      <c r="AA18" s="298">
        <f t="shared" ref="AA18:AA19" ca="1" si="11">+Y18+Z18</f>
        <v>0.2003519487321789</v>
      </c>
      <c r="AB18" s="298">
        <f ca="1">AA18*equityP</f>
        <v>0.12021116923930733</v>
      </c>
      <c r="AC18" s="298">
        <f ca="1">+AB18/(1-taxrate)</f>
        <v>0.15216603701178141</v>
      </c>
      <c r="AD18" s="298">
        <f>debtP*Debt_Rate</f>
        <v>1.2716825048595141E-2</v>
      </c>
      <c r="AE18" s="298">
        <f ca="1">+AD18+AC18</f>
        <v>0.16488286206037656</v>
      </c>
      <c r="AF18" s="298">
        <f ca="1">+AE18/(T18/100)</f>
        <v>0.10360445921937282</v>
      </c>
      <c r="AG18" s="298">
        <f ca="1">1-AF18</f>
        <v>0.89639554078062722</v>
      </c>
      <c r="AH18" s="299">
        <f ca="1">expenses/(AG18)</f>
        <v>37804758.179062702</v>
      </c>
      <c r="AI18" s="525">
        <f ca="1">+AH18-Revenue</f>
        <v>1381964.8946515545</v>
      </c>
      <c r="AJ18" s="300">
        <f ca="1">+AI18/$J$49</f>
        <v>1579668.3422492342</v>
      </c>
      <c r="AK18" s="300">
        <f ca="1">+AJ18*$J$47</f>
        <v>34234.04970121209</v>
      </c>
      <c r="AL18" s="299">
        <f t="shared" ca="1" si="10"/>
        <v>37838992.228759997</v>
      </c>
    </row>
    <row r="19" spans="1:38" ht="15.75">
      <c r="A19" s="260"/>
      <c r="B19" s="1555" t="s">
        <v>920</v>
      </c>
      <c r="C19" s="1555"/>
      <c r="D19" s="260"/>
      <c r="E19" s="260"/>
      <c r="F19" s="301">
        <f t="shared" si="7"/>
        <v>13</v>
      </c>
      <c r="G19" s="273"/>
      <c r="H19" s="278"/>
      <c r="I19" s="319" t="s">
        <v>594</v>
      </c>
      <c r="J19" s="308">
        <f>+Revenue</f>
        <v>36422793.284411147</v>
      </c>
      <c r="K19" s="555"/>
      <c r="L19" s="319" t="s">
        <v>921</v>
      </c>
      <c r="M19" s="321">
        <f ca="1">+J7</f>
        <v>1380806.8597191945</v>
      </c>
      <c r="O19" s="1082" t="s">
        <v>2440</v>
      </c>
      <c r="P19" s="271">
        <f ca="1">'LG Recycle'!J20</f>
        <v>1229650.6410167068</v>
      </c>
      <c r="Q19" s="1084">
        <f ca="1">'LG Recycle'!K22</f>
        <v>0.32565588961321712</v>
      </c>
      <c r="S19" s="303">
        <v>4</v>
      </c>
      <c r="T19" s="296">
        <f ca="1">AL14/Investment*100</f>
        <v>158.99237773956111</v>
      </c>
      <c r="U19" s="309">
        <f ca="1">EXP(y_inter4-(slope*LN(T19)))</f>
        <v>9.2699226844219229</v>
      </c>
      <c r="V19" s="298">
        <f ca="1">(+T19*U19/100)/100</f>
        <v>0.14738470490581368</v>
      </c>
      <c r="W19" s="298">
        <f>regDebt_weighted</f>
        <v>3.5860000000000003E-2</v>
      </c>
      <c r="X19" s="298">
        <f ca="1">+V19-W19</f>
        <v>0.11152470490581368</v>
      </c>
      <c r="Y19" s="298">
        <f ca="1">+((X19*(1-0.34))-Pfd_weighted)/Equity_percent</f>
        <v>0.19597763150534017</v>
      </c>
      <c r="Z19" s="298">
        <f>+Z18</f>
        <v>2.5000000000000001E-3</v>
      </c>
      <c r="AA19" s="298">
        <f t="shared" ca="1" si="11"/>
        <v>0.19847763150534017</v>
      </c>
      <c r="AB19" s="298">
        <f ca="1">AA19*equityP</f>
        <v>0.11908657890320409</v>
      </c>
      <c r="AC19" s="298">
        <f ca="1">+AB19/(1-taxrate)</f>
        <v>0.15074250494076466</v>
      </c>
      <c r="AD19" s="298">
        <f>debtP*Debt_Rate</f>
        <v>1.2716825048595141E-2</v>
      </c>
      <c r="AE19" s="298">
        <f ca="1">+AD19+AC19</f>
        <v>0.1634593299893598</v>
      </c>
      <c r="AF19" s="298">
        <f ca="1">+AE19/(T19/100)</f>
        <v>0.10280953861644603</v>
      </c>
      <c r="AG19" s="298">
        <f ca="1">1-AF19</f>
        <v>0.89719046138355396</v>
      </c>
      <c r="AH19" s="299">
        <f ca="1">expenses/(AG19)</f>
        <v>37771262.748093836</v>
      </c>
      <c r="AI19" s="525">
        <f ca="1">+AH19-Revenue</f>
        <v>1348469.4636826888</v>
      </c>
      <c r="AJ19" s="300">
        <f ca="1">+AI19/$J$49</f>
        <v>1541381.0658384589</v>
      </c>
      <c r="AK19" s="300">
        <f ca="1">+AJ19*$J$47</f>
        <v>33404.300513667935</v>
      </c>
      <c r="AL19" s="299">
        <f t="shared" ca="1" si="10"/>
        <v>37804667.048610002</v>
      </c>
    </row>
    <row r="20" spans="1:38" ht="15.75">
      <c r="A20" s="260"/>
      <c r="B20" s="350"/>
      <c r="C20" s="260"/>
      <c r="D20" s="260"/>
      <c r="E20" s="260"/>
      <c r="F20" s="301">
        <f t="shared" si="7"/>
        <v>14</v>
      </c>
      <c r="G20" s="273"/>
      <c r="H20" s="278"/>
      <c r="I20" s="319" t="s">
        <v>595</v>
      </c>
      <c r="J20" s="308">
        <f ca="1">+J21-J19</f>
        <v>1415012.2225662172</v>
      </c>
      <c r="K20" s="556"/>
      <c r="L20" s="319" t="s">
        <v>922</v>
      </c>
      <c r="M20" s="321">
        <f ca="1">+L8</f>
        <v>34205.36284702085</v>
      </c>
      <c r="O20" s="1082" t="s">
        <v>299</v>
      </c>
      <c r="P20" s="1083">
        <f ca="1">'LG YW'!J20</f>
        <v>255469.56631146674</v>
      </c>
      <c r="Q20" s="1084">
        <f ca="1">'LG YW'!K22</f>
        <v>0.14062524584753344</v>
      </c>
      <c r="S20" s="276" t="s">
        <v>596</v>
      </c>
    </row>
    <row r="21" spans="1:38" ht="16.5" thickBot="1">
      <c r="A21" s="260"/>
      <c r="B21" s="350"/>
      <c r="C21" s="350"/>
      <c r="D21" s="260"/>
      <c r="E21" s="260"/>
      <c r="F21" s="301">
        <f t="shared" si="7"/>
        <v>15</v>
      </c>
      <c r="G21" s="273"/>
      <c r="H21" s="278"/>
      <c r="I21" s="323" t="s">
        <v>592</v>
      </c>
      <c r="J21" s="550">
        <f ca="1">+M7</f>
        <v>37837805.506977364</v>
      </c>
      <c r="K21" s="557"/>
      <c r="L21" s="323" t="s">
        <v>595</v>
      </c>
      <c r="M21" s="530">
        <f ca="1">+M19+M20</f>
        <v>1415012.2225662153</v>
      </c>
      <c r="O21" s="260"/>
      <c r="P21" s="1083">
        <f ca="1">SUM(P18:P20)</f>
        <v>1397410.8657171198</v>
      </c>
      <c r="Q21" s="271"/>
      <c r="S21" s="305">
        <v>1</v>
      </c>
      <c r="T21" s="306">
        <f ca="1">AL16/Investment*100</f>
        <v>159.78519090975115</v>
      </c>
      <c r="U21" s="289">
        <f ca="1">EXP(y_inter1-(slope*LN(+T21)))</f>
        <v>9.5236140155979196</v>
      </c>
      <c r="V21" s="290">
        <f ca="1">(+T21*U21/100)/100</f>
        <v>0.15217324836330953</v>
      </c>
      <c r="W21" s="290">
        <f>regDebt_weighted</f>
        <v>3.5860000000000003E-2</v>
      </c>
      <c r="X21" s="290">
        <f ca="1">+V21-W21</f>
        <v>0.11631324836330953</v>
      </c>
      <c r="Y21" s="290">
        <f ca="1">+((X21*(1-0.34))-Pfd_weighted)/Equity_percent</f>
        <v>0.20516495325518685</v>
      </c>
      <c r="Z21" s="290">
        <f>+Z19</f>
        <v>2.5000000000000001E-3</v>
      </c>
      <c r="AA21" s="290">
        <f ca="1">+Y21+Z21</f>
        <v>0.20766495325518686</v>
      </c>
      <c r="AB21" s="290">
        <f ca="1">AA21*equityP</f>
        <v>0.12459897195311211</v>
      </c>
      <c r="AC21" s="290">
        <f ca="1">+AB21/(1-taxrate)</f>
        <v>0.15772021766216721</v>
      </c>
      <c r="AD21" s="290">
        <f>debtP*Debt_Rate</f>
        <v>1.2716825048595141E-2</v>
      </c>
      <c r="AE21" s="290">
        <f ca="1">+AD21+AC21</f>
        <v>0.17043704271076235</v>
      </c>
      <c r="AF21" s="290">
        <f ca="1">+AE21/(T21/100)</f>
        <v>0.10666635733910254</v>
      </c>
      <c r="AG21" s="290">
        <f ca="1">1-AF21</f>
        <v>0.89333364266089743</v>
      </c>
      <c r="AH21" s="291">
        <f ca="1">expenses/(AG21)</f>
        <v>37934333.863283582</v>
      </c>
      <c r="AI21" s="529">
        <f ca="1">+AH21-Revenue</f>
        <v>1511540.5788724348</v>
      </c>
      <c r="AJ21" s="292">
        <f ca="1">+AI21/$J$49</f>
        <v>1727781.0816402137</v>
      </c>
      <c r="AK21" s="292">
        <f ca="1">+AJ21*$J$47</f>
        <v>37443.899988186735</v>
      </c>
      <c r="AL21" s="291">
        <f ca="1">ROUND(+AK21+AH21,5)</f>
        <v>37971777.763269998</v>
      </c>
    </row>
    <row r="22" spans="1:38" ht="21" customHeight="1" thickTop="1">
      <c r="A22" s="260"/>
      <c r="B22" s="350"/>
      <c r="C22" s="260"/>
      <c r="D22" s="260"/>
      <c r="E22" s="260"/>
      <c r="F22" s="301">
        <f t="shared" si="7"/>
        <v>16</v>
      </c>
      <c r="G22" s="273"/>
      <c r="H22" s="325"/>
      <c r="I22" s="326"/>
      <c r="J22" s="531" t="s">
        <v>923</v>
      </c>
      <c r="K22" s="532">
        <f ca="1">+(J21/J19)-1</f>
        <v>3.8849634939224664E-2</v>
      </c>
      <c r="L22" s="326"/>
      <c r="M22" s="327"/>
      <c r="O22" s="260"/>
      <c r="P22" s="271">
        <f ca="1">P21-J20</f>
        <v>-17601.356849097414</v>
      </c>
      <c r="Q22" s="271"/>
      <c r="S22" s="295">
        <v>2</v>
      </c>
      <c r="T22" s="296">
        <f ca="1">AL17/Investment*100</f>
        <v>159.44964577823359</v>
      </c>
      <c r="U22" s="307">
        <f ca="1">EXP(y_inter2-(slope*LN(+T22)))</f>
        <v>9.4016161062568617</v>
      </c>
      <c r="V22" s="298">
        <f ca="1">(+T22*U22/100)/100</f>
        <v>0.14990843578855922</v>
      </c>
      <c r="W22" s="298">
        <f>regDebt_weighted</f>
        <v>3.5860000000000003E-2</v>
      </c>
      <c r="X22" s="298">
        <f ca="1">+V22-W22</f>
        <v>0.11404843578855922</v>
      </c>
      <c r="Y22" s="298">
        <f ca="1">+((X22*(1-0.34))-Pfd_weighted)/Equity_percent</f>
        <v>0.20081967331525896</v>
      </c>
      <c r="Z22" s="298">
        <f>+Z21</f>
        <v>2.5000000000000001E-3</v>
      </c>
      <c r="AA22" s="298">
        <f ca="1">+Y22+Z22</f>
        <v>0.20331967331525896</v>
      </c>
      <c r="AB22" s="298">
        <f ca="1">AA22*equityP</f>
        <v>0.12199180398915538</v>
      </c>
      <c r="AC22" s="298">
        <f ca="1">+AB22/(1-taxrate)</f>
        <v>0.15442000504956377</v>
      </c>
      <c r="AD22" s="298">
        <f>debtP*Debt_Rate</f>
        <v>1.2716825048595141E-2</v>
      </c>
      <c r="AE22" s="298">
        <f ca="1">+AD22+AC22</f>
        <v>0.16713683009815891</v>
      </c>
      <c r="AF22" s="298">
        <f ca="1">+AE22/(T22/100)</f>
        <v>0.10482107331277288</v>
      </c>
      <c r="AG22" s="298">
        <f ca="1">1-AF22</f>
        <v>0.89517892668722709</v>
      </c>
      <c r="AH22" s="299">
        <f ca="1">expenses/(AG22)</f>
        <v>37856137.629837357</v>
      </c>
      <c r="AI22" s="525">
        <f ca="1">+AH22-Revenue</f>
        <v>1433344.3454262093</v>
      </c>
      <c r="AJ22" s="300">
        <f ca="1">+AI22/$J$49</f>
        <v>1638398.1205127689</v>
      </c>
      <c r="AK22" s="300">
        <f ca="1">+AJ22*$J$47</f>
        <v>35506.822025782611</v>
      </c>
      <c r="AL22" s="299">
        <f t="shared" ref="AL22:AL24" ca="1" si="12">ROUND(+AK22+AH22,5)</f>
        <v>37891644.451860003</v>
      </c>
    </row>
    <row r="23" spans="1:38" ht="15.75">
      <c r="A23" s="260"/>
      <c r="B23" s="533" t="s">
        <v>924</v>
      </c>
      <c r="C23" s="534"/>
      <c r="D23" s="534"/>
      <c r="E23" s="534"/>
      <c r="F23" s="301">
        <f t="shared" si="7"/>
        <v>17</v>
      </c>
      <c r="H23" s="273"/>
      <c r="I23" s="273"/>
      <c r="J23" s="273"/>
      <c r="K23" s="273"/>
      <c r="L23" s="273"/>
      <c r="M23" s="273"/>
      <c r="N23" s="273"/>
      <c r="O23" s="260"/>
      <c r="P23" s="271"/>
      <c r="Q23" s="271"/>
      <c r="S23" s="302">
        <v>3</v>
      </c>
      <c r="T23" s="296">
        <f ca="1">AL18/Investment*100</f>
        <v>159.22375316551148</v>
      </c>
      <c r="U23" s="297">
        <f ca="1">EXP(y_inter3-(slope*LN(T23)))</f>
        <v>9.3192377977495333</v>
      </c>
      <c r="V23" s="298">
        <f ca="1">(+T23*U23/100)/100</f>
        <v>0.14838440187995766</v>
      </c>
      <c r="W23" s="298">
        <f>regDebt_weighted</f>
        <v>3.5860000000000003E-2</v>
      </c>
      <c r="X23" s="298">
        <f ca="1">+V23-W23</f>
        <v>0.11252440187995766</v>
      </c>
      <c r="Y23" s="298">
        <f ca="1">+((X23*(1-0.34))-Pfd_weighted)/Equity_percent</f>
        <v>0.19789565476968618</v>
      </c>
      <c r="Z23" s="298">
        <f>+Z22</f>
        <v>2.5000000000000001E-3</v>
      </c>
      <c r="AA23" s="298">
        <f t="shared" ref="AA23:AA24" ca="1" si="13">+Y23+Z23</f>
        <v>0.20039565476968618</v>
      </c>
      <c r="AB23" s="298">
        <f ca="1">AA23*equityP</f>
        <v>0.1202373928618117</v>
      </c>
      <c r="AC23" s="298">
        <f ca="1">+AB23/(1-taxrate)</f>
        <v>0.15219923147064773</v>
      </c>
      <c r="AD23" s="298">
        <f>debtP*Debt_Rate</f>
        <v>1.2716825048595141E-2</v>
      </c>
      <c r="AE23" s="298">
        <f ca="1">+AD23+AC23</f>
        <v>0.16491605651924288</v>
      </c>
      <c r="AF23" s="298">
        <f ca="1">+AE23/(T23/100)</f>
        <v>0.10357503402637062</v>
      </c>
      <c r="AG23" s="298">
        <f ca="1">1-AF23</f>
        <v>0.89642496597362942</v>
      </c>
      <c r="AH23" s="299">
        <f ca="1">expenses/(AG23)</f>
        <v>37803517.236041211</v>
      </c>
      <c r="AI23" s="525">
        <f ca="1">+AH23-Revenue</f>
        <v>1380723.9516300634</v>
      </c>
      <c r="AJ23" s="300">
        <f ca="1">+AI23/$J$49</f>
        <v>1578249.870323376</v>
      </c>
      <c r="AK23" s="300">
        <f ca="1">+AJ23*$J$47</f>
        <v>34203.309046917238</v>
      </c>
      <c r="AL23" s="299">
        <f t="shared" ca="1" si="12"/>
        <v>37837720.545089997</v>
      </c>
    </row>
    <row r="24" spans="1:38" ht="15.75">
      <c r="A24" s="260"/>
      <c r="B24" s="535" t="s">
        <v>597</v>
      </c>
      <c r="C24" s="534"/>
      <c r="D24" s="534"/>
      <c r="E24" s="534"/>
      <c r="F24" s="301">
        <f t="shared" si="7"/>
        <v>18</v>
      </c>
      <c r="H24" s="328" t="s">
        <v>598</v>
      </c>
      <c r="K24" s="329" t="s">
        <v>599</v>
      </c>
      <c r="L24" s="329"/>
      <c r="M24" s="329"/>
      <c r="N24" s="329"/>
      <c r="O24" s="1069"/>
      <c r="P24" s="271"/>
      <c r="Q24" s="271"/>
      <c r="S24" s="303">
        <v>4</v>
      </c>
      <c r="T24" s="296">
        <f ca="1">AL19/Investment*100</f>
        <v>159.07931528041871</v>
      </c>
      <c r="U24" s="309">
        <f ca="1">EXP(y_inter4-(slope*LN(T24)))</f>
        <v>9.2664588763466593</v>
      </c>
      <c r="V24" s="298">
        <f ca="1">(+T24*U24/100)/100</f>
        <v>0.14741019331233848</v>
      </c>
      <c r="W24" s="298">
        <f>regDebt_weighted</f>
        <v>3.5860000000000003E-2</v>
      </c>
      <c r="X24" s="298">
        <f ca="1">+V24-W24</f>
        <v>0.11155019331233848</v>
      </c>
      <c r="Y24" s="298">
        <f ca="1">+((X24*(1-0.34))-Pfd_weighted)/Equity_percent</f>
        <v>0.1960265336806494</v>
      </c>
      <c r="Z24" s="298">
        <f>+Z23</f>
        <v>2.5000000000000001E-3</v>
      </c>
      <c r="AA24" s="298">
        <f t="shared" ca="1" si="13"/>
        <v>0.1985265336806494</v>
      </c>
      <c r="AB24" s="298">
        <f ca="1">AA24*equityP</f>
        <v>0.11911592020838964</v>
      </c>
      <c r="AC24" s="298">
        <f ca="1">+AB24/(1-taxrate)</f>
        <v>0.15077964583340461</v>
      </c>
      <c r="AD24" s="298">
        <f>debtP*Debt_Rate</f>
        <v>1.2716825048595141E-2</v>
      </c>
      <c r="AE24" s="298">
        <f ca="1">+AD24+AC24</f>
        <v>0.16349647088199976</v>
      </c>
      <c r="AF24" s="298">
        <f ca="1">+AE24/(T24/100)</f>
        <v>0.102776700159788</v>
      </c>
      <c r="AG24" s="298">
        <f ca="1">1-AF24</f>
        <v>0.89722329984021199</v>
      </c>
      <c r="AH24" s="299">
        <f ca="1">expenses/(AG24)</f>
        <v>37769880.316345915</v>
      </c>
      <c r="AI24" s="525">
        <f ca="1">+AH24-Revenue</f>
        <v>1347087.031934768</v>
      </c>
      <c r="AJ24" s="300">
        <f ca="1">+AI24/$J$49</f>
        <v>1539800.8638550639</v>
      </c>
      <c r="AK24" s="300">
        <f ca="1">+AJ24*$J$47</f>
        <v>33370.054899072362</v>
      </c>
      <c r="AL24" s="299">
        <f t="shared" ca="1" si="12"/>
        <v>37803250.371250004</v>
      </c>
    </row>
    <row r="25" spans="1:38" ht="15.75">
      <c r="A25" s="260"/>
      <c r="B25" s="535" t="s">
        <v>600</v>
      </c>
      <c r="C25" s="534"/>
      <c r="D25" s="534"/>
      <c r="E25" s="534"/>
      <c r="F25" s="301">
        <f t="shared" si="7"/>
        <v>19</v>
      </c>
      <c r="H25" s="330" t="s">
        <v>601</v>
      </c>
      <c r="I25" s="331" t="s">
        <v>602</v>
      </c>
      <c r="J25" s="332" t="s">
        <v>603</v>
      </c>
      <c r="K25" s="330" t="s">
        <v>604</v>
      </c>
      <c r="L25" s="332" t="s">
        <v>605</v>
      </c>
      <c r="M25" s="332" t="s">
        <v>603</v>
      </c>
      <c r="O25" s="260"/>
      <c r="P25" s="271"/>
      <c r="Q25" s="271"/>
      <c r="S25" s="276" t="s">
        <v>606</v>
      </c>
      <c r="X25" s="333"/>
      <c r="Y25" s="334"/>
      <c r="Z25" s="334"/>
      <c r="AA25" s="334"/>
      <c r="AB25" s="335"/>
      <c r="AC25" s="335"/>
      <c r="AD25" s="334"/>
      <c r="AF25" s="334"/>
      <c r="AG25" s="334"/>
      <c r="AH25" s="335"/>
      <c r="AI25" s="333"/>
    </row>
    <row r="26" spans="1:38" ht="15.75">
      <c r="A26" s="260"/>
      <c r="B26" s="535" t="s">
        <v>925</v>
      </c>
      <c r="C26" s="534"/>
      <c r="D26" s="534"/>
      <c r="E26" s="534"/>
      <c r="F26" s="301">
        <f t="shared" si="7"/>
        <v>20</v>
      </c>
      <c r="H26" s="293" t="s">
        <v>573</v>
      </c>
      <c r="I26" s="336">
        <f>1-I27</f>
        <v>0.6</v>
      </c>
      <c r="J26" s="337">
        <f>+I26*J28</f>
        <v>14258799.259464789</v>
      </c>
      <c r="K26" s="312">
        <f ca="1">+K34</f>
        <v>0.20019667460420912</v>
      </c>
      <c r="L26" s="336">
        <f ca="1">+K26*I26</f>
        <v>0.12011800476252546</v>
      </c>
      <c r="M26" s="294">
        <f ca="1">+J26*K26</f>
        <v>2854564.1955938102</v>
      </c>
      <c r="O26" s="260"/>
      <c r="P26" s="260"/>
      <c r="Q26" s="260"/>
      <c r="S26" s="305">
        <v>1</v>
      </c>
      <c r="T26" s="306">
        <f ca="1">AL21/Investment*100</f>
        <v>159.78250512811533</v>
      </c>
      <c r="U26" s="289">
        <f ca="1">EXP(y_inter1-(slope*LN(+T26)))</f>
        <v>9.5237234587589175</v>
      </c>
      <c r="V26" s="290">
        <f ca="1">(+T26*U26/100)/100</f>
        <v>0.1521724392387899</v>
      </c>
      <c r="W26" s="290">
        <f>regDebt_weighted</f>
        <v>3.5860000000000003E-2</v>
      </c>
      <c r="X26" s="290">
        <f ca="1">+V26-W26</f>
        <v>0.11631243923878989</v>
      </c>
      <c r="Y26" s="290">
        <f ca="1">+((X26*(1-0.34))-Pfd_weighted)/Equity_percent</f>
        <v>0.20516340086512011</v>
      </c>
      <c r="Z26" s="290">
        <f>+Z24</f>
        <v>2.5000000000000001E-3</v>
      </c>
      <c r="AA26" s="290">
        <f ca="1">+Y26+Z26</f>
        <v>0.20766340086512011</v>
      </c>
      <c r="AB26" s="290">
        <f ca="1">AA26*equityP</f>
        <v>0.12459804051907206</v>
      </c>
      <c r="AC26" s="290">
        <f ca="1">+AB26/(1-taxrate)</f>
        <v>0.15771903863173678</v>
      </c>
      <c r="AD26" s="290">
        <f>debtP*Debt_Rate</f>
        <v>1.2716825048595141E-2</v>
      </c>
      <c r="AE26" s="290">
        <f ca="1">+AD26+AC26</f>
        <v>0.17043586368033192</v>
      </c>
      <c r="AF26" s="290">
        <f ca="1">+AE26/(T26/100)</f>
        <v>0.10666741239516467</v>
      </c>
      <c r="AG26" s="290">
        <f ca="1">1-AF26</f>
        <v>0.89333258760483536</v>
      </c>
      <c r="AH26" s="291">
        <f ca="1">expenses/(AG26)</f>
        <v>37934378.665017508</v>
      </c>
      <c r="AI26" s="529">
        <f ca="1">+AH26-Revenue</f>
        <v>1511585.3806063607</v>
      </c>
      <c r="AJ26" s="292">
        <f ca="1">+AI26/$J$49</f>
        <v>1727832.2926955991</v>
      </c>
      <c r="AK26" s="292">
        <f ca="1">+AJ26*$J$47</f>
        <v>37445.009817236562</v>
      </c>
      <c r="AL26" s="291">
        <f ca="1">ROUND(+AK26+AH26,5)</f>
        <v>37971823.674829997</v>
      </c>
    </row>
    <row r="27" spans="1:38" ht="15.75">
      <c r="A27" s="260"/>
      <c r="B27" s="535" t="s">
        <v>607</v>
      </c>
      <c r="C27" s="534"/>
      <c r="D27" s="534"/>
      <c r="E27" s="534"/>
      <c r="F27" s="301">
        <f t="shared" si="7"/>
        <v>21</v>
      </c>
      <c r="H27" s="293" t="s">
        <v>575</v>
      </c>
      <c r="I27" s="336">
        <f>IF(A64=TRUE,C8,0)</f>
        <v>0.4</v>
      </c>
      <c r="J27" s="338">
        <f>+I27*J28</f>
        <v>9505866.1729765274</v>
      </c>
      <c r="K27" s="312">
        <f>IF(A64=TRUE,C9,0)</f>
        <v>3.179206262148785E-2</v>
      </c>
      <c r="L27" s="336">
        <f>+K27*I27</f>
        <v>1.2716825048595141E-2</v>
      </c>
      <c r="M27" s="308">
        <f>+K27*J27</f>
        <v>302211.0926427528</v>
      </c>
      <c r="O27" s="260"/>
      <c r="P27" s="260"/>
      <c r="Q27" s="260"/>
      <c r="S27" s="295">
        <v>2</v>
      </c>
      <c r="T27" s="296">
        <f ca="1">AL22/Investment*100</f>
        <v>159.44530992695502</v>
      </c>
      <c r="U27" s="307">
        <f ca="1">EXP(y_inter2-(slope*LN(+T27)))</f>
        <v>9.4017908935260976</v>
      </c>
      <c r="V27" s="298">
        <f ca="1">(+T27*U27/100)/100</f>
        <v>0.14990714628866919</v>
      </c>
      <c r="W27" s="298">
        <f>regDebt_weighted</f>
        <v>3.5860000000000003E-2</v>
      </c>
      <c r="X27" s="298">
        <f ca="1">+V27-W27</f>
        <v>0.11404714628866919</v>
      </c>
      <c r="Y27" s="298">
        <f ca="1">+((X27*(1-0.34))-Pfd_weighted)/Equity_percent</f>
        <v>0.20081719927477226</v>
      </c>
      <c r="Z27" s="298">
        <f>+Z26</f>
        <v>2.5000000000000001E-3</v>
      </c>
      <c r="AA27" s="298">
        <f ca="1">+Y27+Z27</f>
        <v>0.20331719927477226</v>
      </c>
      <c r="AB27" s="298">
        <f ca="1">AA27*equityP</f>
        <v>0.12199031956486335</v>
      </c>
      <c r="AC27" s="298">
        <f ca="1">+AB27/(1-taxrate)</f>
        <v>0.15441812603147259</v>
      </c>
      <c r="AD27" s="298">
        <f>debtP*Debt_Rate</f>
        <v>1.2716825048595141E-2</v>
      </c>
      <c r="AE27" s="298">
        <f ca="1">+AD27+AC27</f>
        <v>0.16713495108006773</v>
      </c>
      <c r="AF27" s="298">
        <f ca="1">+AE27/(T27/100)</f>
        <v>0.10482274527650608</v>
      </c>
      <c r="AG27" s="298">
        <f ca="1">1-AF27</f>
        <v>0.89517725472349396</v>
      </c>
      <c r="AH27" s="299">
        <f ca="1">expenses/(AG27)</f>
        <v>37856208.335486837</v>
      </c>
      <c r="AI27" s="525">
        <f ca="1">+AH27-Revenue</f>
        <v>1433415.0510756895</v>
      </c>
      <c r="AJ27" s="300">
        <f ca="1">+AI27/$J$49</f>
        <v>1638478.9412894286</v>
      </c>
      <c r="AK27" s="300">
        <f ca="1">+AJ27*$J$47</f>
        <v>35508.573546915912</v>
      </c>
      <c r="AL27" s="299">
        <f t="shared" ref="AL27:AL29" ca="1" si="14">ROUND(+AK27+AH27,5)</f>
        <v>37891716.909029998</v>
      </c>
    </row>
    <row r="28" spans="1:38" ht="16.5" thickBot="1">
      <c r="A28" s="260"/>
      <c r="B28" s="260"/>
      <c r="C28" s="260"/>
      <c r="D28" s="260"/>
      <c r="E28" s="260"/>
      <c r="F28" s="301">
        <f t="shared" si="7"/>
        <v>22</v>
      </c>
      <c r="H28" s="293" t="s">
        <v>13</v>
      </c>
      <c r="I28" s="336">
        <f>SUM(I26:I27)</f>
        <v>1</v>
      </c>
      <c r="J28" s="339">
        <f>IF(A64=TRUE,C7,0)</f>
        <v>23764665.432441317</v>
      </c>
      <c r="K28" s="340"/>
      <c r="L28" s="341">
        <f ca="1">SUM(L26:L27)</f>
        <v>0.1328348298111206</v>
      </c>
      <c r="M28" s="339">
        <f ca="1">SUM(M26:M27)</f>
        <v>3156775.2882365631</v>
      </c>
      <c r="O28" s="260"/>
      <c r="P28" s="260"/>
      <c r="Q28" s="260"/>
      <c r="S28" s="302">
        <v>3</v>
      </c>
      <c r="T28" s="296">
        <f ca="1">AL23/Investment*100</f>
        <v>159.21840201224734</v>
      </c>
      <c r="U28" s="297">
        <f ca="1">EXP(y_inter3-(slope*LN(T28)))</f>
        <v>9.3194519283512385</v>
      </c>
      <c r="V28" s="298">
        <f ca="1">(+T28*U28/100)/100</f>
        <v>0.14838282436620409</v>
      </c>
      <c r="W28" s="298">
        <f>regDebt_weighted</f>
        <v>3.5860000000000003E-2</v>
      </c>
      <c r="X28" s="298">
        <f ca="1">+V28-W28</f>
        <v>0.11252282436620409</v>
      </c>
      <c r="Y28" s="298">
        <f ca="1">+((X28*(1-0.34))-Pfd_weighted)/Equity_percent</f>
        <v>0.19789262814446129</v>
      </c>
      <c r="Z28" s="298">
        <f>+Z27</f>
        <v>2.5000000000000001E-3</v>
      </c>
      <c r="AA28" s="298">
        <f t="shared" ref="AA28:AA29" ca="1" si="15">+Y28+Z28</f>
        <v>0.20039262814446129</v>
      </c>
      <c r="AB28" s="298">
        <f ca="1">AA28*equityP</f>
        <v>0.12023557688667677</v>
      </c>
      <c r="AC28" s="298">
        <f ca="1">+AB28/(1-taxrate)</f>
        <v>0.15219693276794527</v>
      </c>
      <c r="AD28" s="298">
        <f>debtP*Debt_Rate</f>
        <v>1.2716825048595141E-2</v>
      </c>
      <c r="AE28" s="298">
        <f ca="1">+AD28+AC28</f>
        <v>0.16491375781654041</v>
      </c>
      <c r="AF28" s="298">
        <f ca="1">+AE28/(T28/100)</f>
        <v>0.10357707132612409</v>
      </c>
      <c r="AG28" s="298">
        <f ca="1">1-AF28</f>
        <v>0.89642292867387585</v>
      </c>
      <c r="AH28" s="299">
        <f ca="1">expenses/(AG28)</f>
        <v>37803603.152067989</v>
      </c>
      <c r="AI28" s="525">
        <f ca="1">+AH28-Revenue</f>
        <v>1380809.8676568419</v>
      </c>
      <c r="AJ28" s="300">
        <f ca="1">+AI28/$J$49</f>
        <v>1578348.077468955</v>
      </c>
      <c r="AK28" s="300">
        <f ca="1">+AJ28*$J$47</f>
        <v>34205.437359685719</v>
      </c>
      <c r="AL28" s="299">
        <f t="shared" ca="1" si="14"/>
        <v>37837808.589429997</v>
      </c>
    </row>
    <row r="29" spans="1:38" ht="16.5" thickTop="1">
      <c r="A29" s="260"/>
      <c r="B29" s="260"/>
      <c r="C29" s="260"/>
      <c r="D29" s="260"/>
      <c r="E29" s="260"/>
      <c r="F29" s="301">
        <f t="shared" si="7"/>
        <v>23</v>
      </c>
      <c r="G29" s="273"/>
      <c r="H29" s="273"/>
      <c r="I29" s="273"/>
      <c r="J29" s="273"/>
      <c r="K29" s="273"/>
      <c r="L29" s="273"/>
      <c r="M29" s="273"/>
      <c r="N29" s="273"/>
      <c r="O29" s="260"/>
      <c r="P29" s="260"/>
      <c r="Q29" s="260"/>
      <c r="S29" s="303">
        <v>4</v>
      </c>
      <c r="T29" s="296">
        <f ca="1">AL24/Investment*100</f>
        <v>159.0733540041532</v>
      </c>
      <c r="U29" s="309">
        <f ca="1">EXP(y_inter4-(slope*LN(T29)))</f>
        <v>9.2666962866497986</v>
      </c>
      <c r="V29" s="298">
        <f ca="1">(+T29*U29/100)/100</f>
        <v>0.14740844588552154</v>
      </c>
      <c r="W29" s="298">
        <f>regDebt_weighted</f>
        <v>3.5860000000000003E-2</v>
      </c>
      <c r="X29" s="298">
        <f ca="1">+V29-W29</f>
        <v>0.11154844588552154</v>
      </c>
      <c r="Y29" s="298">
        <f ca="1">+((X29*(1-0.34))-Pfd_weighted)/Equity_percent</f>
        <v>0.19602318105943087</v>
      </c>
      <c r="Z29" s="298">
        <f>+Z28</f>
        <v>2.5000000000000001E-3</v>
      </c>
      <c r="AA29" s="298">
        <f t="shared" ca="1" si="15"/>
        <v>0.19852318105943087</v>
      </c>
      <c r="AB29" s="298">
        <f ca="1">AA29*equityP</f>
        <v>0.11911390863565852</v>
      </c>
      <c r="AC29" s="298">
        <f ca="1">+AB29/(1-taxrate)</f>
        <v>0.15077709953880825</v>
      </c>
      <c r="AD29" s="298">
        <f>debtP*Debt_Rate</f>
        <v>1.2716825048595141E-2</v>
      </c>
      <c r="AE29" s="298">
        <f ca="1">+AD29+AC29</f>
        <v>0.16349392458740339</v>
      </c>
      <c r="AF29" s="298">
        <f ca="1">+AE29/(T29/100)</f>
        <v>0.10277895101346436</v>
      </c>
      <c r="AG29" s="298">
        <f ca="1">1-AF29</f>
        <v>0.89722104898653565</v>
      </c>
      <c r="AH29" s="299">
        <f ca="1">expenses/(AG29)</f>
        <v>37769975.069443896</v>
      </c>
      <c r="AI29" s="525">
        <f ca="1">+AH29-Revenue</f>
        <v>1347181.7850327492</v>
      </c>
      <c r="AJ29" s="300">
        <f ca="1">+AI29/$J$49</f>
        <v>1539909.1723003727</v>
      </c>
      <c r="AK29" s="300">
        <f ca="1">+AJ29*$J$47</f>
        <v>33372.402123866705</v>
      </c>
      <c r="AL29" s="299">
        <f t="shared" ca="1" si="14"/>
        <v>37803347.47157</v>
      </c>
    </row>
    <row r="30" spans="1:38" ht="15.75">
      <c r="A30" s="260"/>
      <c r="B30" s="260"/>
      <c r="C30" s="260"/>
      <c r="D30" s="342"/>
      <c r="E30" s="260"/>
      <c r="F30" s="301">
        <f t="shared" si="7"/>
        <v>24</v>
      </c>
      <c r="G30" s="273"/>
      <c r="H30" s="273"/>
      <c r="I30" s="273"/>
      <c r="J30" s="343" t="s">
        <v>608</v>
      </c>
      <c r="K30" s="343" t="s">
        <v>609</v>
      </c>
      <c r="L30" s="273"/>
      <c r="M30" s="273"/>
      <c r="N30" s="273"/>
      <c r="O30" s="260"/>
      <c r="P30" s="260"/>
      <c r="Q30" s="260"/>
      <c r="S30" s="276" t="s">
        <v>610</v>
      </c>
      <c r="X30" s="333"/>
      <c r="Y30" s="334"/>
      <c r="AA30" s="334"/>
      <c r="AB30" s="335"/>
      <c r="AC30" s="335"/>
      <c r="AD30" s="334"/>
      <c r="AF30" s="334"/>
      <c r="AG30" s="334"/>
      <c r="AH30" s="335"/>
      <c r="AI30" s="333"/>
      <c r="AK30" s="335"/>
    </row>
    <row r="31" spans="1:38" ht="15.75">
      <c r="A31" s="260"/>
      <c r="B31" s="260"/>
      <c r="C31" s="260"/>
      <c r="D31" s="342"/>
      <c r="E31" s="260"/>
      <c r="F31" s="301">
        <f t="shared" si="7"/>
        <v>25</v>
      </c>
      <c r="G31" s="273"/>
      <c r="H31" s="344" t="s">
        <v>611</v>
      </c>
      <c r="I31" s="345"/>
      <c r="J31" s="346" t="s">
        <v>612</v>
      </c>
      <c r="K31" s="346" t="s">
        <v>612</v>
      </c>
      <c r="L31" s="1556"/>
      <c r="M31" s="1556"/>
      <c r="N31" s="1556"/>
      <c r="O31" s="260"/>
      <c r="P31" s="260"/>
      <c r="Q31" s="260"/>
      <c r="S31" s="305">
        <v>1</v>
      </c>
      <c r="T31" s="306">
        <f ca="1">AL26/Investment*100</f>
        <v>159.78269832065209</v>
      </c>
      <c r="U31" s="289">
        <f ca="1">EXP(y_inter1-(slope*LN(+T31)))</f>
        <v>9.5237155862352196</v>
      </c>
      <c r="V31" s="290">
        <f ca="1">(+T31*U31/100)/100</f>
        <v>0.15217249744071143</v>
      </c>
      <c r="W31" s="290">
        <f>regDebt_weighted</f>
        <v>3.5860000000000003E-2</v>
      </c>
      <c r="X31" s="290">
        <f ca="1">+V31-W31</f>
        <v>0.11631249744071143</v>
      </c>
      <c r="Y31" s="290">
        <f ca="1">+((X31*(1-0.34))-Pfd_weighted)/Equity_percent</f>
        <v>0.20516351253159751</v>
      </c>
      <c r="Z31" s="290">
        <f>+Z29</f>
        <v>2.5000000000000001E-3</v>
      </c>
      <c r="AA31" s="290">
        <f ca="1">+Y31+Z31</f>
        <v>0.20766351253159751</v>
      </c>
      <c r="AB31" s="290">
        <f ca="1">AA31*equityP</f>
        <v>0.1245981075189585</v>
      </c>
      <c r="AC31" s="290">
        <f ca="1">+AB31/(1-taxrate)</f>
        <v>0.15771912344171962</v>
      </c>
      <c r="AD31" s="290">
        <f>debtP*Debt_Rate</f>
        <v>1.2716825048595141E-2</v>
      </c>
      <c r="AE31" s="290">
        <f ca="1">+AD31+AC31</f>
        <v>0.17043594849031476</v>
      </c>
      <c r="AF31" s="290">
        <f ca="1">+AE31/(T31/100)</f>
        <v>0.10666733650240637</v>
      </c>
      <c r="AG31" s="290">
        <f ca="1">1-AF31</f>
        <v>0.89333266349759366</v>
      </c>
      <c r="AH31" s="291">
        <f ca="1">expenses/(AG31)</f>
        <v>37934375.442315884</v>
      </c>
      <c r="AI31" s="529">
        <f ca="1">+AH31-Revenue</f>
        <v>1511582.1579047367</v>
      </c>
      <c r="AJ31" s="292">
        <f ca="1">+AI31/$J$49</f>
        <v>1727828.6089553307</v>
      </c>
      <c r="AK31" s="292">
        <f ca="1">+AJ31*$J$47</f>
        <v>37444.929984436181</v>
      </c>
      <c r="AL31" s="291">
        <f ca="1">ROUND(+AK31+AH31,5)</f>
        <v>37971820.372299999</v>
      </c>
    </row>
    <row r="32" spans="1:38" ht="15.75">
      <c r="A32" s="260"/>
      <c r="B32" s="260"/>
      <c r="C32" s="260"/>
      <c r="D32" s="347"/>
      <c r="E32" s="260"/>
      <c r="F32" s="301">
        <f t="shared" si="7"/>
        <v>26</v>
      </c>
      <c r="G32" s="273"/>
      <c r="H32" s="282"/>
      <c r="I32" s="282"/>
      <c r="J32" s="282"/>
      <c r="K32" s="282"/>
      <c r="L32" s="273"/>
      <c r="M32" s="273"/>
      <c r="N32" s="273"/>
      <c r="O32" s="260"/>
      <c r="P32" s="260"/>
      <c r="Q32" s="260"/>
      <c r="S32" s="295">
        <v>2</v>
      </c>
      <c r="T32" s="296">
        <f ca="1">AL27/Investment*100</f>
        <v>159.44561482150615</v>
      </c>
      <c r="U32" s="307">
        <f ca="1">EXP(y_inter2-(slope*LN(+T32)))</f>
        <v>9.4017786023249563</v>
      </c>
      <c r="V32" s="298">
        <f ca="1">(+T32*U32/100)/100</f>
        <v>0.14990723696633834</v>
      </c>
      <c r="W32" s="298">
        <f>regDebt_weighted</f>
        <v>3.5860000000000003E-2</v>
      </c>
      <c r="X32" s="298">
        <f ca="1">+V32-W32</f>
        <v>0.11404723696633834</v>
      </c>
      <c r="Y32" s="298">
        <f ca="1">+((X32*(1-0.34))-Pfd_weighted)/Equity_percent</f>
        <v>0.20081737324937007</v>
      </c>
      <c r="Z32" s="298">
        <f>+Z31</f>
        <v>2.5000000000000001E-3</v>
      </c>
      <c r="AA32" s="298">
        <f ca="1">+Y32+Z32</f>
        <v>0.20331737324937008</v>
      </c>
      <c r="AB32" s="298">
        <f ca="1">AA32*equityP</f>
        <v>0.12199042394962203</v>
      </c>
      <c r="AC32" s="298">
        <f ca="1">+AB32/(1-taxrate)</f>
        <v>0.15441825816407853</v>
      </c>
      <c r="AD32" s="298">
        <f>debtP*Debt_Rate</f>
        <v>1.2716825048595141E-2</v>
      </c>
      <c r="AE32" s="298">
        <f ca="1">+AD32+AC32</f>
        <v>0.16713508321267367</v>
      </c>
      <c r="AF32" s="298">
        <f ca="1">+AE32/(T32/100)</f>
        <v>0.10482262770272836</v>
      </c>
      <c r="AG32" s="298">
        <f ca="1">1-AF32</f>
        <v>0.89517737229727168</v>
      </c>
      <c r="AH32" s="299">
        <f ca="1">expenses/(AG32)</f>
        <v>37856203.363402463</v>
      </c>
      <c r="AI32" s="525">
        <f ca="1">+AH32-Revenue</f>
        <v>1433410.0789913163</v>
      </c>
      <c r="AJ32" s="300">
        <f ca="1">+AI32/$J$49</f>
        <v>1638473.2579002848</v>
      </c>
      <c r="AK32" s="300">
        <f ca="1">+AJ32*$J$47</f>
        <v>35508.45037838666</v>
      </c>
      <c r="AL32" s="299">
        <f t="shared" ref="AL32:AL34" ca="1" si="16">ROUND(+AK32+AH32,5)</f>
        <v>37891711.813780002</v>
      </c>
    </row>
    <row r="33" spans="1:49" ht="15.75">
      <c r="A33" s="260"/>
      <c r="B33" s="260"/>
      <c r="C33" s="260"/>
      <c r="D33" s="260"/>
      <c r="E33" s="260"/>
      <c r="F33" s="301">
        <f t="shared" si="7"/>
        <v>27</v>
      </c>
      <c r="G33" s="273"/>
      <c r="H33" s="282" t="s">
        <v>613</v>
      </c>
      <c r="I33" s="282"/>
      <c r="J33" s="348">
        <f ca="1">+K9/J28</f>
        <v>0.16476493234293116</v>
      </c>
      <c r="K33" s="348">
        <f ca="1">+(M14+M11)/J28</f>
        <v>0.1328348298111206</v>
      </c>
      <c r="L33" s="293"/>
      <c r="M33" s="293"/>
      <c r="N33" s="294"/>
      <c r="O33" s="260"/>
      <c r="P33" s="260"/>
      <c r="Q33" s="260"/>
      <c r="S33" s="302">
        <v>3</v>
      </c>
      <c r="T33" s="296">
        <f ca="1">AL28/Investment*100</f>
        <v>159.21877249648685</v>
      </c>
      <c r="U33" s="297">
        <f ca="1">EXP(y_inter3-(slope*LN(T33)))</f>
        <v>9.3194371027429312</v>
      </c>
      <c r="V33" s="298">
        <f ca="1">(+T33*U33/100)/100</f>
        <v>0.14838293358569454</v>
      </c>
      <c r="W33" s="298">
        <f>regDebt_weighted</f>
        <v>3.5860000000000003E-2</v>
      </c>
      <c r="X33" s="298">
        <f ca="1">+V33-W33</f>
        <v>0.11252293358569454</v>
      </c>
      <c r="Y33" s="298">
        <f ca="1">+((X33*(1-0.34))-Pfd_weighted)/Equity_percent</f>
        <v>0.1978928376934837</v>
      </c>
      <c r="Z33" s="298">
        <f>+Z32</f>
        <v>2.5000000000000001E-3</v>
      </c>
      <c r="AA33" s="298">
        <f t="shared" ref="AA33:AA34" ca="1" si="17">+Y33+Z33</f>
        <v>0.20039283769348371</v>
      </c>
      <c r="AB33" s="298">
        <f ca="1">AA33*equityP</f>
        <v>0.12023570261609022</v>
      </c>
      <c r="AC33" s="298">
        <f ca="1">+AB33/(1-taxrate)</f>
        <v>0.15219709191910155</v>
      </c>
      <c r="AD33" s="298">
        <f>debtP*Debt_Rate</f>
        <v>1.2716825048595141E-2</v>
      </c>
      <c r="AE33" s="298">
        <f ca="1">+AD33+AC33</f>
        <v>0.16491391696769669</v>
      </c>
      <c r="AF33" s="298">
        <f ca="1">+AE33/(T33/100)</f>
        <v>0.10357693027141979</v>
      </c>
      <c r="AG33" s="298">
        <f ca="1">1-AF33</f>
        <v>0.89642306972858021</v>
      </c>
      <c r="AH33" s="299">
        <f ca="1">expenses/(AG33)</f>
        <v>37803597.20356416</v>
      </c>
      <c r="AI33" s="525">
        <f ca="1">+AH33-Revenue</f>
        <v>1380803.9191530123</v>
      </c>
      <c r="AJ33" s="300">
        <f ca="1">+AI33/$J$49</f>
        <v>1578341.2779741054</v>
      </c>
      <c r="AK33" s="300">
        <f ca="1">+AJ33*$J$47</f>
        <v>34205.290003282855</v>
      </c>
      <c r="AL33" s="299">
        <f t="shared" ca="1" si="16"/>
        <v>37837802.49357</v>
      </c>
    </row>
    <row r="34" spans="1:49" ht="15.75">
      <c r="A34" s="260"/>
      <c r="B34" s="260"/>
      <c r="C34" s="260"/>
      <c r="D34" s="260"/>
      <c r="E34" s="260"/>
      <c r="F34" s="301">
        <f t="shared" si="7"/>
        <v>28</v>
      </c>
      <c r="G34" s="273"/>
      <c r="H34" s="282" t="s">
        <v>614</v>
      </c>
      <c r="I34" s="282"/>
      <c r="J34" s="348">
        <f ca="1">+(M9-M11)/J26</f>
        <v>0.25341351215722668</v>
      </c>
      <c r="K34" s="348">
        <f ca="1">+M14/J26</f>
        <v>0.20019667460420912</v>
      </c>
      <c r="L34" s="293"/>
      <c r="M34" s="293"/>
      <c r="N34" s="294"/>
      <c r="O34" s="349"/>
      <c r="P34" s="349"/>
      <c r="Q34" s="260"/>
      <c r="S34" s="303">
        <v>4</v>
      </c>
      <c r="T34" s="296">
        <f ca="1">AL29/Investment*100</f>
        <v>159.07376259530409</v>
      </c>
      <c r="U34" s="309">
        <f ca="1">EXP(y_inter4-(slope*LN(T34)))</f>
        <v>9.2666800138593484</v>
      </c>
      <c r="V34" s="298">
        <f ca="1">(+T34*U34/100)/100</f>
        <v>0.14740856565713112</v>
      </c>
      <c r="W34" s="298">
        <f>regDebt_weighted</f>
        <v>3.5860000000000003E-2</v>
      </c>
      <c r="X34" s="298">
        <f ca="1">+V34-W34</f>
        <v>0.11154856565713112</v>
      </c>
      <c r="Y34" s="298">
        <f ca="1">+((X34*(1-0.34))-Pfd_weighted)/Equity_percent</f>
        <v>0.19602341085379807</v>
      </c>
      <c r="Z34" s="298">
        <f>+Z33</f>
        <v>2.5000000000000001E-3</v>
      </c>
      <c r="AA34" s="298">
        <f t="shared" ca="1" si="17"/>
        <v>0.19852341085379807</v>
      </c>
      <c r="AB34" s="298">
        <f ca="1">AA34*equityP</f>
        <v>0.11911404651227883</v>
      </c>
      <c r="AC34" s="298">
        <f ca="1">+AB34/(1-taxrate)</f>
        <v>0.15077727406617572</v>
      </c>
      <c r="AD34" s="298">
        <f>debtP*Debt_Rate</f>
        <v>1.2716825048595141E-2</v>
      </c>
      <c r="AE34" s="298">
        <f ca="1">+AD34+AC34</f>
        <v>0.16349409911477086</v>
      </c>
      <c r="AF34" s="298">
        <f ca="1">+AE34/(T34/100)</f>
        <v>0.10277879673388531</v>
      </c>
      <c r="AG34" s="298">
        <f ca="1">1-AF34</f>
        <v>0.89722120326611465</v>
      </c>
      <c r="AH34" s="299">
        <f ca="1">expenses/(AG34)</f>
        <v>37769968.574795946</v>
      </c>
      <c r="AI34" s="525">
        <f ca="1">+AH34-Revenue</f>
        <v>1347175.2903847992</v>
      </c>
      <c r="AJ34" s="300">
        <f ca="1">+AI34/$J$49</f>
        <v>1539901.748530203</v>
      </c>
      <c r="AK34" s="300">
        <f ca="1">+AJ34*$J$47</f>
        <v>33372.241238375638</v>
      </c>
      <c r="AL34" s="299">
        <f t="shared" ca="1" si="16"/>
        <v>37803340.816030003</v>
      </c>
    </row>
    <row r="35" spans="1:49" ht="15.75">
      <c r="A35" s="260"/>
      <c r="B35" s="260"/>
      <c r="C35" s="260"/>
      <c r="D35" s="260"/>
      <c r="E35" s="260"/>
      <c r="F35" s="301">
        <f t="shared" si="7"/>
        <v>29</v>
      </c>
      <c r="G35" s="273"/>
      <c r="H35" s="351" t="s">
        <v>164</v>
      </c>
      <c r="I35" s="282"/>
      <c r="J35" s="348">
        <f ca="1">+K8/K7</f>
        <v>0.89642299999999997</v>
      </c>
      <c r="K35" s="348">
        <f ca="1">+M8/M7</f>
        <v>0.89651663357150702</v>
      </c>
      <c r="L35" s="293"/>
      <c r="M35" s="293"/>
      <c r="N35" s="294"/>
      <c r="O35" s="260"/>
      <c r="P35" s="260"/>
      <c r="Q35" s="260"/>
      <c r="S35" s="276" t="s">
        <v>615</v>
      </c>
      <c r="Y35" s="334"/>
      <c r="Z35" s="334"/>
      <c r="AA35" s="334"/>
      <c r="AB35" s="352"/>
      <c r="AC35" s="335"/>
      <c r="AD35" s="334"/>
      <c r="AF35" s="334"/>
      <c r="AG35" s="334"/>
      <c r="AH35" s="335"/>
      <c r="AI35" s="333"/>
      <c r="AK35" s="335"/>
    </row>
    <row r="36" spans="1:49" ht="15.75">
      <c r="A36" s="260"/>
      <c r="B36" s="260"/>
      <c r="C36" s="260"/>
      <c r="D36" s="260"/>
      <c r="E36" s="260"/>
      <c r="F36" s="301">
        <f t="shared" si="7"/>
        <v>30</v>
      </c>
      <c r="G36" s="273"/>
      <c r="H36" s="282" t="s">
        <v>616</v>
      </c>
      <c r="I36" s="282"/>
      <c r="J36" s="348">
        <f ca="1">+K9/K7</f>
        <v>0.103577</v>
      </c>
      <c r="K36" s="348">
        <f ca="1">+J36</f>
        <v>0.103577</v>
      </c>
      <c r="L36" s="273"/>
      <c r="M36" s="273"/>
      <c r="N36" s="294"/>
      <c r="O36" s="260"/>
      <c r="P36" s="260"/>
      <c r="Q36" s="260"/>
      <c r="S36" s="305">
        <v>1</v>
      </c>
      <c r="T36" s="306">
        <f ca="1">AL31/Investment*100</f>
        <v>159.78268442384379</v>
      </c>
      <c r="U36" s="289">
        <f ca="1">EXP(y_inter1-(slope*LN(+T36)))</f>
        <v>9.5237161525244343</v>
      </c>
      <c r="V36" s="290">
        <f ca="1">(+T36*U36/100)/100</f>
        <v>0.15217249325410756</v>
      </c>
      <c r="W36" s="290">
        <f>regDebt_weighted</f>
        <v>3.5860000000000003E-2</v>
      </c>
      <c r="X36" s="290">
        <f ca="1">+V36-W36</f>
        <v>0.11631249325410756</v>
      </c>
      <c r="Y36" s="290">
        <f ca="1">+((X36*(1-0.34))-Pfd_weighted)/Equity_percent</f>
        <v>0.20516350449915985</v>
      </c>
      <c r="Z36" s="290">
        <f>+Z34</f>
        <v>2.5000000000000001E-3</v>
      </c>
      <c r="AA36" s="290">
        <f ca="1">+Y36+Z36</f>
        <v>0.20766350449915985</v>
      </c>
      <c r="AB36" s="290">
        <f ca="1">AA36*equityP</f>
        <v>0.12459810269949591</v>
      </c>
      <c r="AC36" s="290">
        <f ca="1">+AB36/(1-taxrate)</f>
        <v>0.15771911734113406</v>
      </c>
      <c r="AD36" s="290">
        <f>debtP*Debt_Rate</f>
        <v>1.2716825048595141E-2</v>
      </c>
      <c r="AE36" s="290">
        <f ca="1">+AD36+AC36</f>
        <v>0.1704359423897292</v>
      </c>
      <c r="AF36" s="290">
        <f ca="1">+AE36/(T36/100)</f>
        <v>0.10666734196155217</v>
      </c>
      <c r="AG36" s="290">
        <f ca="1">1-AF36</f>
        <v>0.89333265803844786</v>
      </c>
      <c r="AH36" s="291">
        <f ca="1">expenses/(AG36)</f>
        <v>37934375.674132422</v>
      </c>
      <c r="AI36" s="529">
        <f ca="1">+AH36-Revenue</f>
        <v>1511582.3897212744</v>
      </c>
      <c r="AJ36" s="292">
        <f ca="1">+AI36/$J$49</f>
        <v>1727828.8739354666</v>
      </c>
      <c r="AK36" s="292">
        <f ca="1">+AJ36*$J$47</f>
        <v>37444.935726998017</v>
      </c>
      <c r="AL36" s="291">
        <f ca="1">ROUND(+AK36+AH36,5)</f>
        <v>37971820.609860003</v>
      </c>
    </row>
    <row r="37" spans="1:49" ht="15.75">
      <c r="A37" s="260"/>
      <c r="B37" s="260"/>
      <c r="C37" s="260"/>
      <c r="D37" s="271"/>
      <c r="E37" s="260"/>
      <c r="F37" s="301">
        <f t="shared" si="7"/>
        <v>31</v>
      </c>
      <c r="G37" s="273"/>
      <c r="H37" s="282" t="s">
        <v>617</v>
      </c>
      <c r="I37" s="353"/>
      <c r="J37" s="354">
        <f ca="1">+T39/100</f>
        <v>1.5907373458927132</v>
      </c>
      <c r="K37" s="354">
        <f ca="1">+J37</f>
        <v>1.5907373458927132</v>
      </c>
      <c r="L37" s="273"/>
      <c r="M37" s="273"/>
      <c r="N37" s="273"/>
      <c r="O37" s="260"/>
      <c r="P37" s="260"/>
      <c r="Q37" s="260"/>
      <c r="S37" s="295">
        <v>2</v>
      </c>
      <c r="T37" s="296">
        <f ca="1">AL32/Investment*100</f>
        <v>159.44559338106126</v>
      </c>
      <c r="U37" s="307">
        <f ca="1">EXP(y_inter2-(slope*LN(+T37)))</f>
        <v>9.4017794666514174</v>
      </c>
      <c r="V37" s="298">
        <f ca="1">(+T37*U37/100)/100</f>
        <v>0.14990723058981131</v>
      </c>
      <c r="W37" s="298">
        <f>regDebt_weighted</f>
        <v>3.5860000000000003E-2</v>
      </c>
      <c r="X37" s="298">
        <f ca="1">+V37-W37</f>
        <v>0.11404723058981131</v>
      </c>
      <c r="Y37" s="298">
        <f ca="1">+((X37*(1-0.34))-Pfd_weighted)/Equity_percent</f>
        <v>0.20081736101533562</v>
      </c>
      <c r="Z37" s="298">
        <f>+Z36</f>
        <v>2.5000000000000001E-3</v>
      </c>
      <c r="AA37" s="298">
        <f ca="1">+Y37+Z37</f>
        <v>0.20331736101533562</v>
      </c>
      <c r="AB37" s="298">
        <f ca="1">AA37*equityP</f>
        <v>0.12199041660920137</v>
      </c>
      <c r="AC37" s="298">
        <f ca="1">+AB37/(1-taxrate)</f>
        <v>0.15441824887240679</v>
      </c>
      <c r="AD37" s="298">
        <f>debtP*Debt_Rate</f>
        <v>1.2716825048595141E-2</v>
      </c>
      <c r="AE37" s="298">
        <f ca="1">+AD37+AC37</f>
        <v>0.16713507392100194</v>
      </c>
      <c r="AF37" s="298">
        <f ca="1">+AE37/(T37/100)</f>
        <v>0.10482263597060565</v>
      </c>
      <c r="AG37" s="298">
        <f ca="1">1-AF37</f>
        <v>0.8951773640293943</v>
      </c>
      <c r="AH37" s="299">
        <f ca="1">expenses/(AG37)</f>
        <v>37856203.713043168</v>
      </c>
      <c r="AI37" s="525">
        <f ca="1">+AH37-Revenue</f>
        <v>1433410.428632021</v>
      </c>
      <c r="AJ37" s="300">
        <f ca="1">+AI37/$J$49</f>
        <v>1638473.6575604747</v>
      </c>
      <c r="AK37" s="300">
        <f ca="1">+AJ37*$J$47</f>
        <v>35508.459039690075</v>
      </c>
      <c r="AL37" s="299">
        <f t="shared" ref="AL37:AL39" ca="1" si="18">ROUND(+AK37+AH37,5)</f>
        <v>37891712.172080003</v>
      </c>
    </row>
    <row r="38" spans="1:49" ht="15.75">
      <c r="A38" s="260"/>
      <c r="B38" s="260"/>
      <c r="C38" s="260"/>
      <c r="D38" s="271"/>
      <c r="E38" s="260"/>
      <c r="F38" s="301">
        <f t="shared" si="7"/>
        <v>32</v>
      </c>
      <c r="G38" s="273"/>
      <c r="H38" s="282" t="s">
        <v>333</v>
      </c>
      <c r="I38" s="273"/>
      <c r="J38" s="348">
        <f>+C10</f>
        <v>0.21</v>
      </c>
      <c r="K38" s="348">
        <f>+J38</f>
        <v>0.21</v>
      </c>
      <c r="L38" s="273"/>
      <c r="M38" s="273"/>
      <c r="N38" s="273"/>
      <c r="O38" s="260"/>
      <c r="P38" s="260"/>
      <c r="Q38" s="260"/>
      <c r="R38" s="355"/>
      <c r="S38" s="302">
        <v>3</v>
      </c>
      <c r="T38" s="296">
        <f ca="1">AL33/Investment*100</f>
        <v>159.21874684554717</v>
      </c>
      <c r="U38" s="297">
        <f ca="1">EXP(y_inter3-(slope*LN(T38)))</f>
        <v>9.3194381292105906</v>
      </c>
      <c r="V38" s="298">
        <f ca="1">(+T38*U38/100)/100</f>
        <v>0.14838292602375205</v>
      </c>
      <c r="W38" s="298">
        <f>regDebt_weighted</f>
        <v>3.5860000000000003E-2</v>
      </c>
      <c r="X38" s="298">
        <f ca="1">+V38-W38</f>
        <v>0.11252292602375205</v>
      </c>
      <c r="Y38" s="298">
        <f ca="1">+((X38*(1-0.34))-Pfd_weighted)/Equity_percent</f>
        <v>0.19789282318510568</v>
      </c>
      <c r="Z38" s="298">
        <f>+Z37</f>
        <v>2.5000000000000001E-3</v>
      </c>
      <c r="AA38" s="298">
        <f t="shared" ref="AA38:AA39" ca="1" si="19">+Y38+Z38</f>
        <v>0.20039282318510568</v>
      </c>
      <c r="AB38" s="298">
        <f ca="1">AA38*equityP</f>
        <v>0.1202356939110634</v>
      </c>
      <c r="AC38" s="298">
        <f ca="1">+AB38/(1-taxrate)</f>
        <v>0.15219708090008024</v>
      </c>
      <c r="AD38" s="298">
        <f>debtP*Debt_Rate</f>
        <v>1.2716825048595141E-2</v>
      </c>
      <c r="AE38" s="298">
        <f ca="1">+AD38+AC38</f>
        <v>0.16491390594867539</v>
      </c>
      <c r="AF38" s="298">
        <f ca="1">+AE38/(T38/100)</f>
        <v>0.10357694003750255</v>
      </c>
      <c r="AG38" s="298">
        <f ca="1">1-AF38</f>
        <v>0.89642305996249749</v>
      </c>
      <c r="AH38" s="299">
        <f ca="1">expenses/(AG38)</f>
        <v>37803597.615415521</v>
      </c>
      <c r="AI38" s="525">
        <f ca="1">+AH38-Revenue</f>
        <v>1380804.3310043737</v>
      </c>
      <c r="AJ38" s="300">
        <f ca="1">+AI38/$J$49</f>
        <v>1578341.7487447883</v>
      </c>
      <c r="AK38" s="300">
        <f ca="1">+AJ38*$J$47</f>
        <v>34205.300205669351</v>
      </c>
      <c r="AL38" s="299">
        <f t="shared" ca="1" si="18"/>
        <v>37837802.915619999</v>
      </c>
    </row>
    <row r="39" spans="1:49" ht="15.75">
      <c r="A39" s="260"/>
      <c r="B39" s="260"/>
      <c r="C39" s="260"/>
      <c r="D39" s="347"/>
      <c r="E39" s="260"/>
      <c r="F39" s="301">
        <f t="shared" si="7"/>
        <v>33</v>
      </c>
      <c r="G39" s="273"/>
      <c r="H39" s="273"/>
      <c r="I39" s="273"/>
      <c r="J39" s="273"/>
      <c r="K39" s="273"/>
      <c r="L39" s="273"/>
      <c r="M39" s="273"/>
      <c r="N39" s="273"/>
      <c r="O39" s="260"/>
      <c r="P39" s="260"/>
      <c r="Q39" s="260"/>
      <c r="S39" s="303">
        <v>4</v>
      </c>
      <c r="T39" s="296">
        <f ca="1">AL34/Investment*100</f>
        <v>159.07373458927131</v>
      </c>
      <c r="U39" s="309">
        <f ca="1">EXP(y_inter4-(slope*LN(T39)))</f>
        <v>9.2666811292417677</v>
      </c>
      <c r="V39" s="298">
        <f ca="1">(+T39*U39/100)/100</f>
        <v>0.14740855744764139</v>
      </c>
      <c r="W39" s="298">
        <f>regDebt_weighted</f>
        <v>3.5860000000000003E-2</v>
      </c>
      <c r="X39" s="298">
        <f ca="1">+V39-W39</f>
        <v>0.11154855744764139</v>
      </c>
      <c r="Y39" s="298">
        <f ca="1">+((X39*(1-0.34))-Pfd_weighted)/Equity_percent</f>
        <v>0.1960233951030329</v>
      </c>
      <c r="Z39" s="298">
        <f>+Z38</f>
        <v>2.5000000000000001E-3</v>
      </c>
      <c r="AA39" s="298">
        <f t="shared" ca="1" si="19"/>
        <v>0.19852339510303291</v>
      </c>
      <c r="AB39" s="298">
        <f ca="1">AA39*equityP</f>
        <v>0.11911403706181974</v>
      </c>
      <c r="AC39" s="298">
        <f ca="1">+AB39/(1-taxrate)</f>
        <v>0.15077726210356929</v>
      </c>
      <c r="AD39" s="298">
        <f>debtP*Debt_Rate</f>
        <v>1.2716825048595141E-2</v>
      </c>
      <c r="AE39" s="298">
        <f ca="1">+AD39+AC39</f>
        <v>0.16349408715216443</v>
      </c>
      <c r="AF39" s="298">
        <f ca="1">+AE39/(T39/100)</f>
        <v>0.10277880730863991</v>
      </c>
      <c r="AG39" s="298">
        <f ca="1">1-AF39</f>
        <v>0.89722119269136014</v>
      </c>
      <c r="AH39" s="299">
        <f ca="1">expenses/(AG39)</f>
        <v>37769969.019957237</v>
      </c>
      <c r="AI39" s="525">
        <f ca="1">+AH39-Revenue</f>
        <v>1347175.7355460897</v>
      </c>
      <c r="AJ39" s="300">
        <f ca="1">+AI39/$J$49</f>
        <v>1539902.2573761225</v>
      </c>
      <c r="AK39" s="300">
        <f ca="1">+AJ39*$J$47</f>
        <v>33372.25226591606</v>
      </c>
      <c r="AL39" s="299">
        <f t="shared" ca="1" si="18"/>
        <v>37803341.272220001</v>
      </c>
    </row>
    <row r="40" spans="1:49" ht="15.75">
      <c r="A40" s="260"/>
      <c r="B40" s="260"/>
      <c r="C40" s="260"/>
      <c r="D40" s="260"/>
      <c r="E40" s="260"/>
      <c r="F40" s="301">
        <f t="shared" si="7"/>
        <v>34</v>
      </c>
      <c r="G40" s="353"/>
      <c r="H40" s="273"/>
      <c r="I40" s="273"/>
      <c r="J40" s="273"/>
      <c r="K40" s="273"/>
      <c r="L40" s="273"/>
      <c r="M40" s="273"/>
      <c r="N40" s="273"/>
      <c r="O40" s="260"/>
      <c r="P40" s="260"/>
      <c r="Q40" s="260"/>
      <c r="Y40" s="334"/>
      <c r="Z40" s="334"/>
      <c r="AA40" s="334"/>
      <c r="AB40" s="352"/>
      <c r="AC40" s="335"/>
      <c r="AD40" s="334"/>
      <c r="AF40" s="334"/>
      <c r="AG40" s="334"/>
      <c r="AH40" s="335"/>
      <c r="AI40" s="333"/>
      <c r="AK40" s="335"/>
    </row>
    <row r="41" spans="1:49" ht="15.75">
      <c r="A41" s="260"/>
      <c r="B41" s="260"/>
      <c r="C41" s="260"/>
      <c r="D41" s="260"/>
      <c r="E41" s="260"/>
      <c r="F41" s="301">
        <f t="shared" si="7"/>
        <v>35</v>
      </c>
      <c r="G41" s="273"/>
      <c r="H41" s="344" t="s">
        <v>618</v>
      </c>
      <c r="I41" s="356"/>
      <c r="J41" s="273"/>
      <c r="K41" s="273"/>
      <c r="L41" s="273"/>
      <c r="M41" s="273"/>
      <c r="N41" s="273"/>
      <c r="O41" s="260"/>
      <c r="P41" s="260"/>
      <c r="Q41" s="260"/>
      <c r="S41" s="357" t="s">
        <v>619</v>
      </c>
      <c r="T41" s="358"/>
      <c r="U41" s="316"/>
      <c r="V41" s="316"/>
      <c r="W41" s="317"/>
      <c r="Y41" s="359"/>
      <c r="Z41" s="359"/>
      <c r="AA41" s="359"/>
      <c r="AB41" s="352"/>
      <c r="AC41" s="335"/>
      <c r="AD41" s="334"/>
      <c r="AF41" s="334"/>
      <c r="AG41" s="334"/>
      <c r="AH41" s="335"/>
      <c r="AI41" s="333"/>
      <c r="AK41" s="335"/>
    </row>
    <row r="42" spans="1:49" ht="15.75">
      <c r="A42" s="260"/>
      <c r="B42" s="260"/>
      <c r="C42" s="260"/>
      <c r="D42" s="260"/>
      <c r="E42" s="260"/>
      <c r="F42" s="301">
        <f t="shared" si="7"/>
        <v>36</v>
      </c>
      <c r="G42" s="273"/>
      <c r="H42" s="273"/>
      <c r="I42" s="273"/>
      <c r="J42" s="360" t="s">
        <v>342</v>
      </c>
      <c r="K42" s="361" t="s">
        <v>286</v>
      </c>
      <c r="L42" s="273"/>
      <c r="M42" s="273"/>
      <c r="N42" s="273"/>
      <c r="O42" s="260"/>
      <c r="P42" s="260"/>
      <c r="Q42" s="260"/>
      <c r="S42" s="362" t="s">
        <v>620</v>
      </c>
      <c r="T42" s="363"/>
      <c r="U42" s="324"/>
      <c r="V42" s="324"/>
      <c r="W42" s="378"/>
      <c r="Y42" s="334"/>
      <c r="Z42" s="334"/>
      <c r="AA42" s="334"/>
      <c r="AB42" s="352"/>
      <c r="AC42" s="335"/>
      <c r="AD42" s="334"/>
      <c r="AF42" s="334"/>
      <c r="AG42" s="334"/>
      <c r="AH42" s="335"/>
      <c r="AK42" s="335"/>
    </row>
    <row r="43" spans="1:49" ht="15.75">
      <c r="A43" s="260"/>
      <c r="B43" s="260"/>
      <c r="C43" s="260"/>
      <c r="D43" s="260"/>
      <c r="E43" s="260"/>
      <c r="F43" s="301">
        <f t="shared" si="7"/>
        <v>37</v>
      </c>
      <c r="G43" s="273"/>
      <c r="H43" s="282" t="s">
        <v>622</v>
      </c>
      <c r="I43" s="364"/>
      <c r="J43" s="365">
        <f>IF(A64=TRUE,C11,0)</f>
        <v>1.4999999999999999E-2</v>
      </c>
      <c r="K43" s="366">
        <f ca="1">+J43*($J$7/$J$49)</f>
        <v>23675.169588250912</v>
      </c>
      <c r="L43" s="273"/>
      <c r="M43" s="273"/>
      <c r="N43" s="273"/>
      <c r="O43" s="260"/>
      <c r="P43" s="260"/>
      <c r="Q43" s="260"/>
      <c r="S43" s="302">
        <v>0</v>
      </c>
      <c r="T43" s="367">
        <v>1</v>
      </c>
      <c r="U43" s="324"/>
      <c r="V43" s="368" t="s">
        <v>616</v>
      </c>
      <c r="W43" s="369">
        <f ca="1">VLOOKUP(S48,S36:AH39,14)</f>
        <v>0.10357694003750255</v>
      </c>
      <c r="AD43" s="334"/>
      <c r="AF43" s="334"/>
      <c r="AK43" s="335"/>
      <c r="AO43" s="334"/>
      <c r="AP43" s="334"/>
      <c r="AQ43" s="334"/>
      <c r="AR43" s="334"/>
      <c r="AS43" s="334"/>
      <c r="AT43" s="334"/>
      <c r="AU43" s="334"/>
      <c r="AV43" s="334"/>
      <c r="AW43" s="334"/>
    </row>
    <row r="44" spans="1:49" ht="15.75">
      <c r="A44" s="260"/>
      <c r="B44" s="260"/>
      <c r="C44" s="260"/>
      <c r="D44" s="260"/>
      <c r="E44" s="260"/>
      <c r="F44" s="301">
        <f t="shared" si="7"/>
        <v>38</v>
      </c>
      <c r="G44" s="273"/>
      <c r="H44" s="282" t="s">
        <v>623</v>
      </c>
      <c r="I44" s="364"/>
      <c r="J44" s="365">
        <f>IF(A64=TRUE,C12,0)</f>
        <v>5.1000000000000004E-3</v>
      </c>
      <c r="K44" s="366">
        <f ca="1">+J44*($J$7/$J$49)</f>
        <v>8049.5576600053109</v>
      </c>
      <c r="L44" s="273"/>
      <c r="M44" s="273"/>
      <c r="N44" s="273"/>
      <c r="O44" s="260"/>
      <c r="P44" s="260"/>
      <c r="Q44" s="260"/>
      <c r="S44" s="302">
        <v>50</v>
      </c>
      <c r="T44" s="367">
        <v>2</v>
      </c>
      <c r="U44" s="324"/>
      <c r="V44" s="368" t="s">
        <v>164</v>
      </c>
      <c r="W44" s="369">
        <f ca="1">ROUND(1-W43,6)</f>
        <v>0.89642299999999997</v>
      </c>
      <c r="AB44" s="370"/>
      <c r="AC44" s="276"/>
      <c r="AD44" s="276"/>
      <c r="AF44" s="334"/>
      <c r="AI44" s="333"/>
      <c r="AK44" s="335"/>
      <c r="AO44" s="334"/>
      <c r="AP44" s="334"/>
      <c r="AQ44" s="334"/>
      <c r="AR44" s="334"/>
      <c r="AS44" s="334"/>
      <c r="AT44" s="334"/>
      <c r="AU44" s="334"/>
      <c r="AV44" s="334"/>
      <c r="AW44" s="334"/>
    </row>
    <row r="45" spans="1:49" ht="15.75">
      <c r="A45" s="260"/>
      <c r="B45" s="260"/>
      <c r="C45" s="260"/>
      <c r="D45" s="260"/>
      <c r="E45" s="260"/>
      <c r="F45" s="301">
        <f t="shared" si="7"/>
        <v>39</v>
      </c>
      <c r="G45" s="273"/>
      <c r="H45" s="282" t="s">
        <v>624</v>
      </c>
      <c r="I45" s="364"/>
      <c r="J45" s="365">
        <f>IF(A64=TRUE,C13,0)</f>
        <v>0</v>
      </c>
      <c r="K45" s="366">
        <f ca="1">+J45*($J$7/$J$49)</f>
        <v>0</v>
      </c>
      <c r="L45" s="273"/>
      <c r="M45" s="273"/>
      <c r="N45" s="273"/>
      <c r="O45" s="260"/>
      <c r="P45" s="260"/>
      <c r="Q45" s="260"/>
      <c r="S45" s="302">
        <v>125</v>
      </c>
      <c r="T45" s="367">
        <v>3</v>
      </c>
      <c r="U45" s="324"/>
      <c r="V45" s="324" t="s">
        <v>625</v>
      </c>
      <c r="W45" s="371">
        <f ca="1">+M7/Revenue-1</f>
        <v>3.8849634939224664E-2</v>
      </c>
      <c r="X45" s="372"/>
      <c r="Y45" s="334"/>
      <c r="Z45" s="334"/>
      <c r="AA45" s="334"/>
      <c r="AB45" s="370"/>
      <c r="AC45" s="335"/>
      <c r="AD45" s="334"/>
      <c r="AF45" s="334"/>
      <c r="AG45" s="334"/>
      <c r="AH45" s="335"/>
      <c r="AI45" s="333"/>
      <c r="AK45" s="335"/>
      <c r="AO45" s="334"/>
      <c r="AP45" s="334"/>
      <c r="AQ45" s="334"/>
      <c r="AR45" s="334"/>
      <c r="AS45" s="334"/>
      <c r="AT45" s="334"/>
      <c r="AU45" s="334"/>
      <c r="AV45" s="334"/>
      <c r="AW45" s="334"/>
    </row>
    <row r="46" spans="1:49" ht="15.75">
      <c r="A46" s="260"/>
      <c r="B46" s="260"/>
      <c r="C46" s="260"/>
      <c r="D46" s="260"/>
      <c r="E46" s="260"/>
      <c r="F46" s="301">
        <f t="shared" si="7"/>
        <v>40</v>
      </c>
      <c r="G46" s="273"/>
      <c r="H46" s="282" t="s">
        <v>626</v>
      </c>
      <c r="I46" s="364"/>
      <c r="J46" s="365">
        <f>IF(A64=TRUE,C14,0)</f>
        <v>1.5716691634570774E-3</v>
      </c>
      <c r="K46" s="366">
        <f ca="1">+J46*($J$7/$J$49)</f>
        <v>2480.6355987647171</v>
      </c>
      <c r="L46" s="273"/>
      <c r="M46" s="273"/>
      <c r="N46" s="273"/>
      <c r="O46" s="260"/>
      <c r="P46" s="260"/>
      <c r="Q46" s="260"/>
      <c r="S46" s="303">
        <v>401</v>
      </c>
      <c r="T46" s="373">
        <v>4</v>
      </c>
      <c r="U46" s="326"/>
      <c r="V46" s="326"/>
      <c r="W46" s="327"/>
      <c r="Y46" s="334"/>
      <c r="Z46" s="334"/>
      <c r="AA46" s="334"/>
      <c r="AB46" s="352"/>
      <c r="AC46" s="335"/>
      <c r="AD46" s="334"/>
      <c r="AF46" s="334"/>
      <c r="AG46" s="334"/>
      <c r="AH46" s="335"/>
      <c r="AI46" s="333"/>
      <c r="AK46" s="335"/>
      <c r="AO46" s="334"/>
      <c r="AP46" s="334"/>
      <c r="AQ46" s="334"/>
      <c r="AR46" s="334"/>
      <c r="AS46" s="334"/>
      <c r="AT46" s="334"/>
      <c r="AU46" s="334"/>
      <c r="AV46" s="334"/>
      <c r="AW46" s="334"/>
    </row>
    <row r="47" spans="1:49" ht="16.5" thickBot="1">
      <c r="A47" s="260"/>
      <c r="B47" s="260"/>
      <c r="C47" s="260"/>
      <c r="D47" s="260"/>
      <c r="E47" s="260"/>
      <c r="F47" s="301">
        <f t="shared" si="7"/>
        <v>41</v>
      </c>
      <c r="G47" s="273"/>
      <c r="H47" s="282" t="s">
        <v>627</v>
      </c>
      <c r="I47" s="353"/>
      <c r="J47" s="374">
        <f>SUM(J43:J46)</f>
        <v>2.1671669163457079E-2</v>
      </c>
      <c r="K47" s="339">
        <f ca="1">+K43+K44+K45+K46</f>
        <v>34205.362847020937</v>
      </c>
      <c r="L47" s="273"/>
      <c r="M47" s="273"/>
      <c r="N47" s="273"/>
      <c r="O47" s="260"/>
      <c r="P47" s="260"/>
      <c r="Q47" s="260"/>
      <c r="S47" s="306">
        <f ca="1">VLOOKUP(S48,S36:T39,2)</f>
        <v>159.21874684554717</v>
      </c>
      <c r="T47" s="375" t="s">
        <v>628</v>
      </c>
      <c r="U47" s="317"/>
      <c r="Y47" s="269" t="s">
        <v>629</v>
      </c>
      <c r="AF47" s="334"/>
      <c r="AI47" s="333"/>
      <c r="AK47" s="335"/>
    </row>
    <row r="48" spans="1:49" ht="16.5" thickTop="1">
      <c r="A48" s="260"/>
      <c r="B48" s="260"/>
      <c r="C48" s="260"/>
      <c r="D48" s="260"/>
      <c r="E48" s="260"/>
      <c r="F48" s="301">
        <f t="shared" si="7"/>
        <v>42</v>
      </c>
      <c r="G48" s="273"/>
      <c r="H48" s="273"/>
      <c r="I48" s="273"/>
      <c r="J48" s="376"/>
      <c r="K48" s="273"/>
      <c r="L48" s="273"/>
      <c r="M48" s="273"/>
      <c r="N48" s="273"/>
      <c r="O48" s="260"/>
      <c r="P48" s="260"/>
      <c r="Q48" s="260"/>
      <c r="S48" s="302">
        <f ca="1">VLOOKUP(T36,S43:T46,2)</f>
        <v>3</v>
      </c>
      <c r="T48" s="377" t="s">
        <v>630</v>
      </c>
      <c r="U48" s="378"/>
      <c r="Y48" s="269" t="s">
        <v>631</v>
      </c>
      <c r="AD48" s="276"/>
      <c r="AF48" s="334"/>
      <c r="AK48" s="335"/>
    </row>
    <row r="49" spans="1:49" ht="15.75">
      <c r="A49" s="260"/>
      <c r="B49" s="260"/>
      <c r="C49" s="260"/>
      <c r="D49" s="260"/>
      <c r="E49" s="260"/>
      <c r="F49" s="301">
        <f t="shared" si="7"/>
        <v>43</v>
      </c>
      <c r="G49" s="278"/>
      <c r="H49" s="379" t="s">
        <v>632</v>
      </c>
      <c r="I49" s="380"/>
      <c r="J49" s="381">
        <f ca="1">((K35)-J47)</f>
        <v>0.87484496440804993</v>
      </c>
      <c r="K49" s="380"/>
      <c r="L49" s="380"/>
      <c r="M49" s="380"/>
      <c r="N49" s="380"/>
      <c r="O49" s="260"/>
      <c r="P49" s="260"/>
      <c r="Q49" s="260"/>
      <c r="S49" s="302"/>
      <c r="T49" s="377"/>
      <c r="U49" s="378"/>
      <c r="Y49" s="269" t="s">
        <v>633</v>
      </c>
      <c r="AD49" s="334"/>
      <c r="AF49" s="334"/>
      <c r="AG49" s="334"/>
      <c r="AH49" s="335"/>
      <c r="AK49" s="335"/>
    </row>
    <row r="50" spans="1:49">
      <c r="A50" s="260"/>
      <c r="B50" s="260"/>
      <c r="C50" s="260"/>
      <c r="D50" s="260"/>
      <c r="E50" s="260"/>
      <c r="F50" s="260"/>
      <c r="G50" s="260"/>
      <c r="H50" s="260"/>
      <c r="I50" s="260"/>
      <c r="J50" s="260"/>
      <c r="K50" s="382"/>
      <c r="L50" s="260"/>
      <c r="M50" s="260"/>
      <c r="N50" s="383"/>
      <c r="O50" s="260"/>
      <c r="P50" s="260"/>
      <c r="Q50" s="260"/>
      <c r="S50" s="384">
        <f ca="1">+W44</f>
        <v>0.89642299999999997</v>
      </c>
      <c r="T50" s="385" t="s">
        <v>164</v>
      </c>
      <c r="U50" s="386"/>
      <c r="Y50" s="269" t="s">
        <v>634</v>
      </c>
      <c r="AD50" s="334"/>
      <c r="AF50" s="334"/>
      <c r="AG50" s="334"/>
      <c r="AH50" s="335"/>
      <c r="AI50" s="334"/>
      <c r="AK50" s="335"/>
      <c r="AO50" s="334"/>
      <c r="AP50" s="334"/>
      <c r="AQ50" s="334"/>
      <c r="AR50" s="334"/>
      <c r="AS50" s="334"/>
      <c r="AT50" s="334"/>
      <c r="AU50" s="334"/>
      <c r="AV50" s="334"/>
      <c r="AW50" s="334"/>
    </row>
    <row r="51" spans="1:49">
      <c r="A51" s="260"/>
      <c r="B51" s="260"/>
      <c r="C51" s="260"/>
      <c r="D51" s="260"/>
      <c r="E51" s="260"/>
      <c r="F51" s="260"/>
      <c r="G51" s="260"/>
      <c r="H51" s="260"/>
      <c r="I51" s="260"/>
      <c r="J51" s="260"/>
      <c r="K51" s="260"/>
      <c r="L51" s="260"/>
      <c r="M51" s="260"/>
      <c r="N51" s="260"/>
      <c r="O51" s="260"/>
      <c r="P51" s="260"/>
      <c r="Q51" s="260"/>
      <c r="S51" s="269"/>
      <c r="AC51" s="335"/>
      <c r="AD51" s="334"/>
      <c r="AF51" s="334"/>
      <c r="AG51" s="334"/>
      <c r="AH51" s="335"/>
      <c r="AI51" s="333"/>
      <c r="AK51" s="335"/>
      <c r="AO51" s="334"/>
      <c r="AP51" s="334"/>
      <c r="AQ51" s="334"/>
      <c r="AR51" s="334"/>
      <c r="AS51" s="334"/>
      <c r="AT51" s="334"/>
      <c r="AU51" s="334"/>
      <c r="AV51" s="334"/>
      <c r="AW51" s="334"/>
    </row>
    <row r="52" spans="1:49">
      <c r="A52" s="260"/>
      <c r="B52" s="260"/>
      <c r="C52" s="260"/>
      <c r="D52" s="260"/>
      <c r="E52" s="260"/>
      <c r="F52" s="260"/>
      <c r="G52" s="260"/>
      <c r="H52" s="260"/>
      <c r="I52" s="260"/>
      <c r="J52" s="387"/>
      <c r="K52" s="387"/>
      <c r="L52" s="387"/>
      <c r="M52" s="387"/>
      <c r="N52" s="260"/>
      <c r="O52" s="260"/>
      <c r="P52" s="260"/>
      <c r="Q52" s="260"/>
      <c r="S52" s="269"/>
      <c r="AC52" s="335"/>
      <c r="AD52" s="334"/>
      <c r="AF52" s="334"/>
      <c r="AG52" s="334"/>
      <c r="AH52" s="335"/>
      <c r="AI52" s="333"/>
      <c r="AK52" s="335"/>
      <c r="AO52" s="334"/>
      <c r="AP52" s="334"/>
      <c r="AQ52" s="334"/>
      <c r="AR52" s="334"/>
      <c r="AS52" s="334"/>
      <c r="AT52" s="334"/>
      <c r="AU52" s="334"/>
      <c r="AV52" s="334"/>
      <c r="AW52" s="334"/>
    </row>
    <row r="53" spans="1:49" ht="15.75">
      <c r="A53" s="260"/>
      <c r="B53" s="260"/>
      <c r="C53" s="260"/>
      <c r="D53" s="260"/>
      <c r="E53" s="260"/>
      <c r="F53" s="260"/>
      <c r="G53" s="260"/>
      <c r="H53" s="260"/>
      <c r="I53" s="260"/>
      <c r="J53" s="260"/>
      <c r="K53" s="387"/>
      <c r="L53" s="387"/>
      <c r="M53" s="387"/>
      <c r="N53" s="260"/>
      <c r="O53" s="260"/>
      <c r="P53" s="260"/>
      <c r="Q53" s="260"/>
      <c r="S53" s="269"/>
      <c r="T53" s="269" t="s">
        <v>635</v>
      </c>
      <c r="U53" s="334"/>
      <c r="V53" s="388"/>
      <c r="X53" s="389" t="s">
        <v>636</v>
      </c>
      <c r="Y53" s="390"/>
      <c r="Z53" s="390"/>
      <c r="AA53" s="390"/>
      <c r="AB53" s="390"/>
      <c r="AC53" s="390"/>
      <c r="AF53" s="334"/>
      <c r="AI53" s="333"/>
      <c r="AK53" s="335"/>
      <c r="AO53" s="334"/>
      <c r="AP53" s="334"/>
      <c r="AQ53" s="334"/>
      <c r="AR53" s="334"/>
      <c r="AS53" s="334"/>
      <c r="AT53" s="334"/>
      <c r="AU53" s="334"/>
      <c r="AV53" s="334"/>
      <c r="AW53" s="334"/>
    </row>
    <row r="54" spans="1:49">
      <c r="A54" s="260"/>
      <c r="B54" s="260"/>
      <c r="C54" s="260"/>
      <c r="D54" s="260"/>
      <c r="E54" s="260"/>
      <c r="F54" s="260"/>
      <c r="G54" s="260"/>
      <c r="H54" s="260"/>
      <c r="I54" s="260"/>
      <c r="J54" s="260"/>
      <c r="K54" s="260"/>
      <c r="L54" s="391"/>
      <c r="M54" s="391"/>
      <c r="N54" s="260"/>
      <c r="O54" s="260"/>
      <c r="P54" s="260"/>
      <c r="Q54" s="260"/>
      <c r="S54" s="392"/>
      <c r="T54" s="393" t="s">
        <v>602</v>
      </c>
      <c r="U54" s="393" t="s">
        <v>353</v>
      </c>
      <c r="V54" s="394" t="s">
        <v>605</v>
      </c>
      <c r="X54" s="395" t="s">
        <v>637</v>
      </c>
      <c r="Y54" s="396">
        <v>5.7225999999999999</v>
      </c>
      <c r="Z54" s="397" t="s">
        <v>638</v>
      </c>
      <c r="AA54" s="398">
        <v>5.6985000000000001</v>
      </c>
      <c r="AD54" s="276"/>
      <c r="AF54" s="334"/>
      <c r="AK54" s="335"/>
    </row>
    <row r="55" spans="1:49">
      <c r="A55" s="260"/>
      <c r="B55" s="260"/>
      <c r="C55" s="260"/>
      <c r="D55" s="260"/>
      <c r="E55" s="260"/>
      <c r="F55" s="260"/>
      <c r="G55" s="260"/>
      <c r="H55" s="260"/>
      <c r="I55" s="260"/>
      <c r="J55" s="391"/>
      <c r="K55" s="260"/>
      <c r="L55" s="391"/>
      <c r="M55" s="391"/>
      <c r="N55" s="260"/>
      <c r="O55" s="260"/>
      <c r="P55" s="260"/>
      <c r="Q55" s="260"/>
      <c r="S55" s="270" t="s">
        <v>575</v>
      </c>
      <c r="T55" s="399">
        <v>0.56200000000000006</v>
      </c>
      <c r="U55" s="399">
        <v>6.3799999999999996E-2</v>
      </c>
      <c r="V55" s="400">
        <f>ROUND(+T55*U55,5)</f>
        <v>3.5860000000000003E-2</v>
      </c>
      <c r="X55" s="401" t="s">
        <v>639</v>
      </c>
      <c r="Y55" s="402">
        <v>5.7082699999999997</v>
      </c>
      <c r="Z55" s="403" t="s">
        <v>640</v>
      </c>
      <c r="AA55" s="404">
        <v>5.6921999999999997</v>
      </c>
      <c r="AD55" s="334"/>
      <c r="AF55" s="334"/>
      <c r="AG55" s="334"/>
      <c r="AH55" s="335"/>
      <c r="AK55" s="335"/>
    </row>
    <row r="56" spans="1:49">
      <c r="A56" s="260"/>
      <c r="B56" s="260"/>
      <c r="C56" s="260"/>
      <c r="D56" s="260"/>
      <c r="E56" s="387"/>
      <c r="F56" s="260"/>
      <c r="G56" s="260"/>
      <c r="H56" s="260"/>
      <c r="I56" s="260"/>
      <c r="J56" s="391"/>
      <c r="K56" s="260"/>
      <c r="L56" s="391"/>
      <c r="M56" s="391"/>
      <c r="N56" s="260"/>
      <c r="O56" s="260"/>
      <c r="P56" s="260"/>
      <c r="Q56" s="260"/>
      <c r="S56" s="270" t="s">
        <v>641</v>
      </c>
      <c r="T56" s="399">
        <v>9.4E-2</v>
      </c>
      <c r="U56" s="399">
        <v>6.59E-2</v>
      </c>
      <c r="V56" s="400">
        <f>ROUND(+T56*U56,5)</f>
        <v>6.1900000000000002E-3</v>
      </c>
      <c r="X56" s="270"/>
      <c r="Y56" s="324"/>
      <c r="Z56" s="405"/>
      <c r="AA56" s="406"/>
      <c r="AD56" s="334"/>
      <c r="AF56" s="334"/>
      <c r="AG56" s="334"/>
      <c r="AH56" s="335"/>
      <c r="AI56" s="333"/>
      <c r="AK56" s="335"/>
      <c r="AO56" s="334"/>
    </row>
    <row r="57" spans="1:49" ht="15.75">
      <c r="A57" s="260"/>
      <c r="B57" s="260"/>
      <c r="C57" s="260"/>
      <c r="D57" s="260"/>
      <c r="E57" s="387"/>
      <c r="F57" s="387"/>
      <c r="G57" s="387"/>
      <c r="H57" s="407"/>
      <c r="I57" s="387"/>
      <c r="J57" s="391"/>
      <c r="K57" s="260"/>
      <c r="L57" s="260"/>
      <c r="M57" s="260"/>
      <c r="N57" s="260"/>
      <c r="O57" s="260"/>
      <c r="P57" s="260"/>
      <c r="Q57" s="260"/>
      <c r="S57" s="270" t="s">
        <v>573</v>
      </c>
      <c r="T57" s="408">
        <v>0.34399999999999997</v>
      </c>
      <c r="U57" s="409"/>
      <c r="V57" s="410"/>
      <c r="X57" s="325"/>
      <c r="Y57" s="411" t="s">
        <v>642</v>
      </c>
      <c r="Z57" s="412">
        <v>0.68367</v>
      </c>
      <c r="AA57" s="413"/>
      <c r="AD57" s="334"/>
      <c r="AF57" s="334"/>
      <c r="AG57" s="334"/>
      <c r="AH57" s="335"/>
      <c r="AI57" s="333"/>
      <c r="AK57" s="335"/>
    </row>
    <row r="58" spans="1:49" ht="15.75">
      <c r="A58" s="260"/>
      <c r="B58" s="260"/>
      <c r="C58" s="260"/>
      <c r="D58" s="260"/>
      <c r="E58" s="260"/>
      <c r="F58" s="260"/>
      <c r="G58" s="260"/>
      <c r="H58" s="260"/>
      <c r="I58" s="260"/>
      <c r="J58" s="260"/>
      <c r="K58" s="260"/>
      <c r="L58" s="260"/>
      <c r="M58" s="260"/>
      <c r="N58" s="260"/>
      <c r="O58" s="260"/>
      <c r="P58" s="260"/>
      <c r="Q58" s="260"/>
      <c r="S58" s="325"/>
      <c r="T58" s="408">
        <f>SUM(T55:T57)</f>
        <v>1</v>
      </c>
      <c r="U58" s="414"/>
      <c r="V58" s="415"/>
      <c r="Y58" s="334"/>
      <c r="Z58" s="334"/>
      <c r="AA58" s="334"/>
      <c r="AB58" s="352"/>
      <c r="AC58" s="335"/>
      <c r="AD58" s="334"/>
      <c r="AF58" s="334"/>
      <c r="AG58" s="334"/>
      <c r="AH58" s="335"/>
      <c r="AI58" s="333"/>
      <c r="AK58" s="335"/>
    </row>
    <row r="59" spans="1:49">
      <c r="A59" s="260"/>
      <c r="B59" s="260"/>
      <c r="C59" s="260"/>
      <c r="D59" s="260"/>
      <c r="E59" s="260"/>
      <c r="F59" s="260"/>
      <c r="G59" s="260"/>
      <c r="H59" s="260"/>
      <c r="I59" s="260"/>
      <c r="J59" s="260"/>
      <c r="K59" s="260"/>
      <c r="L59" s="260"/>
      <c r="M59" s="260"/>
      <c r="N59" s="260"/>
      <c r="O59" s="260"/>
      <c r="P59" s="260"/>
      <c r="Q59" s="260"/>
      <c r="Y59" s="416"/>
      <c r="Z59" s="416"/>
      <c r="AA59" s="416"/>
      <c r="AF59" s="334"/>
      <c r="AI59" s="333"/>
      <c r="AK59" s="335"/>
      <c r="AO59" s="333"/>
      <c r="AP59" s="333"/>
      <c r="AQ59" s="333"/>
      <c r="AR59" s="333"/>
      <c r="AS59" s="333"/>
      <c r="AT59" s="333"/>
      <c r="AU59" s="333"/>
      <c r="AV59" s="333"/>
      <c r="AW59" s="333"/>
    </row>
    <row r="60" spans="1:49">
      <c r="A60" s="260"/>
      <c r="B60" s="260"/>
      <c r="C60" s="260"/>
      <c r="D60" s="260"/>
      <c r="E60" s="387"/>
      <c r="F60" s="260"/>
      <c r="G60" s="260"/>
      <c r="H60" s="260"/>
      <c r="I60" s="260"/>
      <c r="J60" s="260"/>
      <c r="K60" s="260"/>
      <c r="L60" s="260"/>
      <c r="M60" s="260"/>
      <c r="N60" s="260"/>
      <c r="O60" s="260"/>
      <c r="P60" s="260"/>
      <c r="Q60" s="260"/>
      <c r="S60" s="269"/>
      <c r="T60" s="417"/>
      <c r="X60" s="392"/>
      <c r="Y60" s="418" t="s">
        <v>611</v>
      </c>
      <c r="Z60" s="418" t="s">
        <v>643</v>
      </c>
      <c r="AA60" s="419" t="s">
        <v>558</v>
      </c>
      <c r="AF60" s="334"/>
      <c r="AK60" s="335"/>
      <c r="AO60" s="333"/>
      <c r="AP60" s="333"/>
      <c r="AQ60" s="333"/>
      <c r="AR60" s="333"/>
      <c r="AS60" s="333"/>
      <c r="AT60" s="333"/>
      <c r="AU60" s="333"/>
      <c r="AV60" s="333"/>
      <c r="AW60" s="333"/>
    </row>
    <row r="61" spans="1:49">
      <c r="A61" s="260"/>
      <c r="B61" s="260"/>
      <c r="C61" s="260"/>
      <c r="D61" s="260"/>
      <c r="E61" s="260"/>
      <c r="F61" s="387"/>
      <c r="G61" s="387"/>
      <c r="H61" s="387"/>
      <c r="I61" s="387"/>
      <c r="J61" s="387"/>
      <c r="K61" s="387"/>
      <c r="L61" s="387"/>
      <c r="M61" s="387"/>
      <c r="N61" s="387"/>
      <c r="O61" s="260"/>
      <c r="P61" s="260"/>
      <c r="Q61" s="260"/>
      <c r="S61" s="269"/>
      <c r="X61" s="270"/>
      <c r="Y61" s="420"/>
      <c r="Z61" s="420"/>
      <c r="AA61" s="421"/>
      <c r="AF61" s="334"/>
      <c r="AG61" s="334"/>
      <c r="AH61" s="335"/>
      <c r="AK61" s="335"/>
      <c r="AO61" s="333"/>
      <c r="AP61" s="333"/>
      <c r="AQ61" s="333"/>
      <c r="AR61" s="333"/>
      <c r="AS61" s="333"/>
      <c r="AT61" s="333"/>
      <c r="AU61" s="333"/>
      <c r="AV61" s="333"/>
      <c r="AW61" s="333"/>
    </row>
    <row r="62" spans="1:49">
      <c r="A62" s="260"/>
      <c r="B62" s="260"/>
      <c r="C62" s="260"/>
      <c r="D62" s="260"/>
      <c r="E62" s="260"/>
      <c r="F62" s="260"/>
      <c r="G62" s="260"/>
      <c r="H62" s="260"/>
      <c r="I62" s="260"/>
      <c r="J62" s="260"/>
      <c r="K62" s="260"/>
      <c r="L62" s="260"/>
      <c r="M62" s="260"/>
      <c r="N62" s="260"/>
      <c r="O62" s="260"/>
      <c r="P62" s="260"/>
      <c r="Q62" s="260"/>
      <c r="S62" s="269"/>
      <c r="T62" s="417"/>
      <c r="X62" s="270"/>
      <c r="Y62" s="368" t="s">
        <v>613</v>
      </c>
      <c r="Z62" s="369">
        <f t="shared" ref="Z62:AA67" ca="1" si="20">+J33</f>
        <v>0.16476493234293116</v>
      </c>
      <c r="AA62" s="369">
        <f t="shared" ca="1" si="20"/>
        <v>0.1328348298111206</v>
      </c>
      <c r="AF62" s="334"/>
      <c r="AG62" s="334"/>
      <c r="AH62" s="335"/>
      <c r="AI62" s="333"/>
      <c r="AK62" s="335"/>
      <c r="AO62" s="333"/>
      <c r="AP62" s="333"/>
      <c r="AQ62" s="333"/>
      <c r="AR62" s="333"/>
      <c r="AS62" s="333"/>
      <c r="AT62" s="333"/>
      <c r="AU62" s="333"/>
      <c r="AV62" s="333"/>
      <c r="AW62" s="333"/>
    </row>
    <row r="63" spans="1:49">
      <c r="A63" s="260"/>
      <c r="B63" s="260"/>
      <c r="C63" s="260"/>
      <c r="D63" s="260"/>
      <c r="E63" s="260"/>
      <c r="F63" s="260"/>
      <c r="G63" s="260"/>
      <c r="H63" s="260"/>
      <c r="I63" s="260"/>
      <c r="J63" s="260"/>
      <c r="K63" s="260"/>
      <c r="L63" s="260"/>
      <c r="M63" s="260"/>
      <c r="N63" s="260"/>
      <c r="O63" s="260"/>
      <c r="P63" s="260"/>
      <c r="Q63" s="260"/>
      <c r="S63" s="269"/>
      <c r="X63" s="270"/>
      <c r="Y63" s="368" t="s">
        <v>614</v>
      </c>
      <c r="Z63" s="369">
        <f t="shared" ca="1" si="20"/>
        <v>0.25341351215722668</v>
      </c>
      <c r="AA63" s="369">
        <f t="shared" ca="1" si="20"/>
        <v>0.20019667460420912</v>
      </c>
      <c r="AF63" s="334"/>
      <c r="AG63" s="334"/>
      <c r="AH63" s="335"/>
      <c r="AI63" s="333"/>
      <c r="AK63" s="335"/>
    </row>
    <row r="64" spans="1:49">
      <c r="A64" s="269" t="b">
        <v>1</v>
      </c>
      <c r="B64" s="260"/>
      <c r="C64" s="260"/>
      <c r="F64" s="260"/>
      <c r="G64" s="260"/>
      <c r="H64" s="260"/>
      <c r="I64" s="260"/>
      <c r="J64" s="260"/>
      <c r="K64" s="260"/>
      <c r="L64" s="260"/>
      <c r="M64" s="260"/>
      <c r="N64" s="260"/>
      <c r="S64" s="269"/>
      <c r="T64" s="417"/>
      <c r="X64" s="270"/>
      <c r="Y64" s="368" t="s">
        <v>164</v>
      </c>
      <c r="Z64" s="369">
        <f t="shared" ca="1" si="20"/>
        <v>0.89642299999999997</v>
      </c>
      <c r="AA64" s="369">
        <f t="shared" ca="1" si="20"/>
        <v>0.89651663357150702</v>
      </c>
      <c r="AF64" s="334"/>
      <c r="AG64" s="334"/>
      <c r="AH64" s="335"/>
      <c r="AI64" s="333"/>
      <c r="AK64" s="335"/>
    </row>
    <row r="65" spans="8:41">
      <c r="H65" s="333"/>
      <c r="I65" s="333"/>
      <c r="J65" s="333"/>
      <c r="K65" s="333"/>
      <c r="L65" s="333"/>
      <c r="M65" s="333"/>
      <c r="N65" s="333"/>
      <c r="O65" s="333"/>
      <c r="P65" s="333"/>
      <c r="S65" s="269"/>
      <c r="X65" s="270"/>
      <c r="Y65" s="368" t="s">
        <v>616</v>
      </c>
      <c r="Z65" s="369">
        <f t="shared" ca="1" si="20"/>
        <v>0.103577</v>
      </c>
      <c r="AA65" s="369">
        <f t="shared" ca="1" si="20"/>
        <v>0.103577</v>
      </c>
      <c r="AF65" s="334"/>
      <c r="AI65" s="333"/>
      <c r="AK65" s="335"/>
      <c r="AO65" s="333"/>
    </row>
    <row r="66" spans="8:41">
      <c r="H66" s="333"/>
      <c r="I66" s="333"/>
      <c r="J66" s="333"/>
      <c r="K66" s="333"/>
      <c r="L66" s="333"/>
      <c r="M66" s="333"/>
      <c r="N66" s="333"/>
      <c r="O66" s="333"/>
      <c r="P66" s="333"/>
      <c r="S66" s="269"/>
      <c r="T66" s="417"/>
      <c r="X66" s="270"/>
      <c r="Y66" s="368" t="s">
        <v>617</v>
      </c>
      <c r="Z66" s="369">
        <f t="shared" ca="1" si="20"/>
        <v>1.5907373458927132</v>
      </c>
      <c r="AA66" s="369">
        <f t="shared" ca="1" si="20"/>
        <v>1.5907373458927132</v>
      </c>
      <c r="AF66" s="334"/>
      <c r="AK66" s="335"/>
    </row>
    <row r="67" spans="8:41">
      <c r="O67" s="333"/>
      <c r="P67" s="333"/>
      <c r="X67" s="325"/>
      <c r="Y67" s="422" t="s">
        <v>333</v>
      </c>
      <c r="Z67" s="423">
        <f t="shared" si="20"/>
        <v>0.21</v>
      </c>
      <c r="AA67" s="423">
        <f t="shared" si="20"/>
        <v>0.21</v>
      </c>
      <c r="AF67" s="334"/>
      <c r="AG67" s="334"/>
      <c r="AH67" s="335"/>
      <c r="AK67" s="335"/>
    </row>
    <row r="68" spans="8:41">
      <c r="O68" s="333"/>
      <c r="P68" s="333"/>
      <c r="X68" s="368"/>
      <c r="AF68" s="334"/>
      <c r="AG68" s="334"/>
      <c r="AH68" s="335"/>
      <c r="AI68" s="333"/>
      <c r="AK68" s="335"/>
    </row>
    <row r="69" spans="8:41">
      <c r="O69" s="333"/>
      <c r="P69" s="333"/>
      <c r="Y69" s="334"/>
      <c r="Z69" s="334"/>
      <c r="AA69" s="334"/>
      <c r="AB69" s="352"/>
      <c r="AC69" s="335"/>
      <c r="AD69" s="334"/>
      <c r="AF69" s="334"/>
      <c r="AG69" s="334"/>
      <c r="AH69" s="335"/>
      <c r="AI69" s="333"/>
      <c r="AK69" s="335"/>
    </row>
    <row r="70" spans="8:41">
      <c r="Y70" s="334"/>
      <c r="Z70" s="334"/>
      <c r="AA70" s="334"/>
      <c r="AB70" s="352"/>
      <c r="AC70" s="335"/>
      <c r="AD70" s="334"/>
      <c r="AF70" s="334"/>
      <c r="AG70" s="334"/>
      <c r="AH70" s="335"/>
      <c r="AI70" s="333"/>
      <c r="AK70" s="335"/>
    </row>
    <row r="71" spans="8:41">
      <c r="AF71" s="334"/>
      <c r="AI71" s="333"/>
      <c r="AK71" s="335"/>
    </row>
    <row r="72" spans="8:41">
      <c r="AB72" s="276"/>
      <c r="AC72" s="276"/>
      <c r="AD72" s="276"/>
      <c r="AF72" s="334"/>
      <c r="AK72" s="335"/>
    </row>
    <row r="73" spans="8:41">
      <c r="Y73" s="334"/>
      <c r="Z73" s="334"/>
      <c r="AA73" s="334"/>
      <c r="AB73" s="352"/>
      <c r="AC73" s="335"/>
      <c r="AD73" s="334"/>
      <c r="AF73" s="334"/>
      <c r="AG73" s="334"/>
      <c r="AH73" s="335"/>
      <c r="AK73" s="335"/>
    </row>
    <row r="74" spans="8:41">
      <c r="Y74" s="334"/>
      <c r="Z74" s="334"/>
      <c r="AA74" s="334"/>
      <c r="AB74" s="352"/>
      <c r="AC74" s="335"/>
      <c r="AD74" s="334"/>
      <c r="AF74" s="334"/>
      <c r="AG74" s="334"/>
      <c r="AH74" s="335"/>
      <c r="AI74" s="333"/>
      <c r="AK74" s="335"/>
    </row>
    <row r="75" spans="8:41">
      <c r="Y75" s="334"/>
      <c r="Z75" s="334"/>
      <c r="AA75" s="334"/>
      <c r="AB75" s="352"/>
      <c r="AC75" s="335"/>
      <c r="AD75" s="334"/>
      <c r="AF75" s="334"/>
      <c r="AG75" s="334"/>
      <c r="AH75" s="335"/>
      <c r="AI75" s="333"/>
      <c r="AK75" s="335"/>
    </row>
    <row r="76" spans="8:41">
      <c r="Y76" s="334"/>
      <c r="Z76" s="334"/>
      <c r="AA76" s="334"/>
      <c r="AB76" s="352"/>
      <c r="AC76" s="335"/>
      <c r="AD76" s="334"/>
      <c r="AF76" s="334"/>
      <c r="AG76" s="334"/>
      <c r="AH76" s="335"/>
      <c r="AI76" s="333"/>
      <c r="AK76" s="335"/>
    </row>
    <row r="77" spans="8:41">
      <c r="AF77" s="334"/>
      <c r="AI77" s="333"/>
      <c r="AK77" s="335"/>
    </row>
    <row r="79" spans="8:41">
      <c r="Y79" s="334"/>
      <c r="Z79" s="334"/>
      <c r="AA79" s="334"/>
      <c r="AB79" s="352"/>
      <c r="AC79" s="335"/>
      <c r="AD79" s="334"/>
      <c r="AG79" s="334"/>
      <c r="AH79" s="335"/>
    </row>
    <row r="80" spans="8:41">
      <c r="Y80" s="334"/>
      <c r="Z80" s="334"/>
      <c r="AA80" s="334"/>
      <c r="AB80" s="352"/>
      <c r="AC80" s="335"/>
      <c r="AD80" s="334"/>
      <c r="AG80" s="334"/>
      <c r="AH80" s="335"/>
      <c r="AI80" s="333"/>
    </row>
    <row r="81" spans="25:35">
      <c r="Y81" s="334"/>
      <c r="Z81" s="334"/>
      <c r="AA81" s="334"/>
      <c r="AB81" s="352"/>
      <c r="AC81" s="335"/>
      <c r="AD81" s="334"/>
      <c r="AG81" s="334"/>
      <c r="AH81" s="335"/>
      <c r="AI81" s="333"/>
    </row>
    <row r="82" spans="25:35">
      <c r="Y82" s="334"/>
      <c r="Z82" s="334"/>
      <c r="AA82" s="334"/>
      <c r="AB82" s="352"/>
      <c r="AC82" s="335"/>
      <c r="AD82" s="334"/>
      <c r="AG82" s="334"/>
      <c r="AH82" s="335"/>
      <c r="AI82" s="333"/>
    </row>
    <row r="83" spans="25:35">
      <c r="AI83" s="333"/>
    </row>
    <row r="85" spans="25:35">
      <c r="Y85" s="334"/>
      <c r="Z85" s="334"/>
      <c r="AA85" s="334"/>
      <c r="AB85" s="352"/>
      <c r="AC85" s="335"/>
      <c r="AD85" s="334"/>
      <c r="AG85" s="334"/>
      <c r="AH85" s="335"/>
    </row>
    <row r="86" spans="25:35">
      <c r="Y86" s="334"/>
      <c r="Z86" s="334"/>
      <c r="AA86" s="334"/>
      <c r="AB86" s="352"/>
      <c r="AC86" s="335"/>
      <c r="AD86" s="334"/>
      <c r="AG86" s="334"/>
      <c r="AH86" s="335"/>
      <c r="AI86" s="333"/>
    </row>
    <row r="87" spans="25:35">
      <c r="Y87" s="334"/>
      <c r="Z87" s="334"/>
      <c r="AA87" s="334"/>
      <c r="AB87" s="352"/>
      <c r="AC87" s="335"/>
      <c r="AD87" s="334"/>
      <c r="AG87" s="334"/>
      <c r="AH87" s="335"/>
      <c r="AI87" s="333"/>
    </row>
    <row r="88" spans="25:35">
      <c r="Y88" s="334"/>
      <c r="Z88" s="334"/>
      <c r="AA88" s="334"/>
      <c r="AB88" s="352"/>
      <c r="AC88" s="335"/>
      <c r="AD88" s="334"/>
      <c r="AG88" s="334"/>
      <c r="AH88" s="335"/>
      <c r="AI88" s="333"/>
    </row>
    <row r="89" spans="25:35">
      <c r="AI89" s="333"/>
    </row>
    <row r="91" spans="25:35">
      <c r="Y91" s="334"/>
      <c r="Z91" s="334"/>
      <c r="AA91" s="334"/>
      <c r="AB91" s="352"/>
      <c r="AC91" s="335"/>
      <c r="AD91" s="334"/>
      <c r="AG91" s="334"/>
      <c r="AH91" s="335"/>
    </row>
    <row r="92" spans="25:35">
      <c r="Y92" s="334"/>
      <c r="Z92" s="334"/>
      <c r="AA92" s="334"/>
      <c r="AB92" s="352"/>
      <c r="AC92" s="335"/>
      <c r="AD92" s="334"/>
      <c r="AG92" s="334"/>
      <c r="AH92" s="335"/>
      <c r="AI92" s="333"/>
    </row>
    <row r="93" spans="25:35">
      <c r="Y93" s="334"/>
      <c r="Z93" s="334"/>
      <c r="AA93" s="334"/>
      <c r="AB93" s="352"/>
      <c r="AC93" s="335"/>
      <c r="AD93" s="334"/>
      <c r="AG93" s="334"/>
      <c r="AH93" s="335"/>
      <c r="AI93" s="333"/>
    </row>
    <row r="94" spans="25:35">
      <c r="Y94" s="334"/>
      <c r="Z94" s="334"/>
      <c r="AA94" s="334"/>
      <c r="AB94" s="352"/>
      <c r="AC94" s="335"/>
      <c r="AD94" s="334"/>
      <c r="AG94" s="334"/>
      <c r="AH94" s="335"/>
      <c r="AI94" s="333"/>
    </row>
    <row r="95" spans="25:35">
      <c r="AI95" s="333"/>
    </row>
    <row r="97" spans="25:35">
      <c r="Y97" s="334"/>
      <c r="Z97" s="334"/>
      <c r="AA97" s="334"/>
      <c r="AB97" s="352"/>
      <c r="AC97" s="335"/>
      <c r="AD97" s="334"/>
      <c r="AG97" s="334"/>
      <c r="AH97" s="335"/>
    </row>
    <row r="98" spans="25:35">
      <c r="Y98" s="334"/>
      <c r="Z98" s="334"/>
      <c r="AA98" s="334"/>
      <c r="AB98" s="352"/>
      <c r="AC98" s="335"/>
      <c r="AD98" s="334"/>
      <c r="AG98" s="334"/>
      <c r="AH98" s="335"/>
      <c r="AI98" s="333"/>
    </row>
    <row r="99" spans="25:35">
      <c r="Y99" s="334"/>
      <c r="Z99" s="334"/>
      <c r="AA99" s="334"/>
      <c r="AB99" s="352"/>
      <c r="AC99" s="335"/>
      <c r="AD99" s="334"/>
      <c r="AG99" s="334"/>
      <c r="AH99" s="335"/>
      <c r="AI99" s="333"/>
    </row>
    <row r="100" spans="25:35">
      <c r="Y100" s="334"/>
      <c r="Z100" s="334"/>
      <c r="AA100" s="334"/>
      <c r="AB100" s="352"/>
      <c r="AC100" s="335"/>
      <c r="AD100" s="334"/>
      <c r="AG100" s="334"/>
      <c r="AH100" s="335"/>
      <c r="AI100" s="333"/>
    </row>
    <row r="101" spans="25:35">
      <c r="AI101" s="333"/>
    </row>
    <row r="103" spans="25:35">
      <c r="Y103" s="334"/>
      <c r="Z103" s="334"/>
      <c r="AA103" s="334"/>
      <c r="AB103" s="352"/>
      <c r="AC103" s="335"/>
      <c r="AD103" s="334"/>
      <c r="AG103" s="334"/>
      <c r="AH103" s="335"/>
    </row>
    <row r="104" spans="25:35">
      <c r="Y104" s="334"/>
      <c r="Z104" s="334"/>
      <c r="AA104" s="334"/>
      <c r="AB104" s="352"/>
      <c r="AC104" s="335"/>
      <c r="AD104" s="334"/>
      <c r="AG104" s="334"/>
      <c r="AH104" s="335"/>
      <c r="AI104" s="333"/>
    </row>
    <row r="105" spans="25:35">
      <c r="Y105" s="334"/>
      <c r="Z105" s="334"/>
      <c r="AA105" s="334"/>
      <c r="AB105" s="352"/>
      <c r="AC105" s="335"/>
      <c r="AD105" s="334"/>
      <c r="AG105" s="334"/>
      <c r="AH105" s="335"/>
      <c r="AI105" s="333"/>
    </row>
    <row r="106" spans="25:35">
      <c r="Y106" s="334"/>
      <c r="Z106" s="334"/>
      <c r="AA106" s="334"/>
      <c r="AB106" s="352"/>
      <c r="AC106" s="335"/>
      <c r="AD106" s="334"/>
      <c r="AG106" s="334"/>
      <c r="AH106" s="335"/>
      <c r="AI106" s="333"/>
    </row>
    <row r="107" spans="25:35">
      <c r="AI107" s="333"/>
    </row>
    <row r="109" spans="25:35">
      <c r="Y109" s="334"/>
      <c r="Z109" s="334"/>
      <c r="AA109" s="334"/>
      <c r="AB109" s="352"/>
      <c r="AC109" s="335"/>
      <c r="AD109" s="334"/>
      <c r="AG109" s="334"/>
      <c r="AH109" s="335"/>
    </row>
    <row r="110" spans="25:35">
      <c r="Y110" s="334"/>
      <c r="Z110" s="334"/>
      <c r="AA110" s="334"/>
      <c r="AB110" s="352"/>
      <c r="AC110" s="335"/>
      <c r="AD110" s="334"/>
      <c r="AG110" s="334"/>
      <c r="AH110" s="335"/>
    </row>
    <row r="111" spans="25:35">
      <c r="Y111" s="334"/>
      <c r="Z111" s="334"/>
      <c r="AA111" s="334"/>
      <c r="AB111" s="352"/>
      <c r="AC111" s="335"/>
      <c r="AD111" s="334"/>
      <c r="AG111" s="334"/>
      <c r="AH111" s="335"/>
    </row>
    <row r="112" spans="25:35">
      <c r="Y112" s="334"/>
      <c r="Z112" s="334"/>
      <c r="AA112" s="334"/>
      <c r="AB112" s="352"/>
      <c r="AC112" s="335"/>
      <c r="AD112" s="334"/>
      <c r="AG112" s="334"/>
      <c r="AH112" s="335"/>
    </row>
  </sheetData>
  <customSheetViews>
    <customSheetView guid="{76FC386D-C488-46EF-BB9C-D1C49FEBAB90}" scale="120" showPageBreaks="1" showGridLines="0" outlineSymbols="0" printArea="1" hiddenColumns="1" topLeftCell="A4">
      <selection activeCell="C28" sqref="C28"/>
      <pageMargins left="0.25" right="0.25" top="0.3" bottom="0.44" header="0.23" footer="0.21"/>
      <pageSetup scale="91" orientation="portrait" horizontalDpi="4294967292" r:id="rId1"/>
      <headerFooter alignWithMargins="0"/>
    </customSheetView>
    <customSheetView guid="{16F8EA47-9864-4C0F-89A1-62B7CCC013F9}" scale="120" showGridLines="0" outlineSymbols="0" hiddenColumns="1" topLeftCell="A4">
      <selection activeCell="C28" sqref="C28"/>
      <pageMargins left="0.25" right="0.25" top="0.3" bottom="0.44" header="0.23" footer="0.21"/>
      <pageSetup scale="91" orientation="portrait" horizontalDpi="4294967292" r:id="rId2"/>
      <headerFooter alignWithMargins="0"/>
    </customSheetView>
  </customSheetViews>
  <mergeCells count="5">
    <mergeCell ref="B2:C2"/>
    <mergeCell ref="AI2:AL2"/>
    <mergeCell ref="B18:C18"/>
    <mergeCell ref="B19:C19"/>
    <mergeCell ref="L31:N31"/>
  </mergeCells>
  <pageMargins left="0.25" right="0.25" top="0.3" bottom="0.44" header="0.23" footer="0.21"/>
  <pageSetup scale="52" orientation="landscape" r:id="rId3"/>
  <headerFooter alignWithMargins="0"/>
  <drawing r:id="rId4"/>
  <legacyDrawing r:id="rId5"/>
  <controls>
    <mc:AlternateContent xmlns:mc="http://schemas.openxmlformats.org/markup-compatibility/2006">
      <mc:Choice Requires="x14">
        <control shapeId="264193" r:id="rId6" name="DataCompleted">
          <controlPr defaultSize="0" autoFill="0" autoLine="0" autoPict="0" linkedCell="A64" r:id="rId7">
            <anchor moveWithCells="1">
              <from>
                <xdr:col>1</xdr:col>
                <xdr:colOff>276225</xdr:colOff>
                <xdr:row>3</xdr:row>
                <xdr:rowOff>238125</xdr:rowOff>
              </from>
              <to>
                <xdr:col>1</xdr:col>
                <xdr:colOff>333375</xdr:colOff>
                <xdr:row>4</xdr:row>
                <xdr:rowOff>47625</xdr:rowOff>
              </to>
            </anchor>
          </controlPr>
        </control>
      </mc:Choice>
      <mc:Fallback>
        <control shapeId="264193" r:id="rId6" name="DataCompleted"/>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8" tint="0.59999389629810485"/>
  </sheetPr>
  <dimension ref="A1:AV112"/>
  <sheetViews>
    <sheetView showGridLines="0" showOutlineSymbols="0" view="pageBreakPreview" zoomScale="60" zoomScaleNormal="80" workbookViewId="0">
      <selection activeCell="AP280" sqref="AP280"/>
    </sheetView>
  </sheetViews>
  <sheetFormatPr defaultColWidth="16.7109375" defaultRowHeight="15"/>
  <cols>
    <col min="1" max="1" width="7.42578125" style="269" customWidth="1"/>
    <col min="2" max="2" width="33.5703125" style="310" bestFit="1" customWidth="1"/>
    <col min="3" max="3" width="21.28515625" style="310" customWidth="1"/>
    <col min="4" max="4" width="21.28515625" style="310" hidden="1" customWidth="1"/>
    <col min="5" max="5" width="22.85546875" style="310" customWidth="1"/>
    <col min="6" max="6" width="5.7109375" style="269" customWidth="1"/>
    <col min="7" max="7" width="8.5703125" style="269" customWidth="1"/>
    <col min="8" max="8" width="15" style="269" customWidth="1"/>
    <col min="9" max="9" width="17.7109375" style="269" customWidth="1"/>
    <col min="10" max="10" width="15.85546875" style="269" customWidth="1"/>
    <col min="11" max="11" width="15.140625" style="269" bestFit="1" customWidth="1"/>
    <col min="12" max="13" width="20.28515625" style="269" customWidth="1"/>
    <col min="14" max="14" width="2.42578125" style="269" customWidth="1"/>
    <col min="15" max="15" width="6.28515625" style="310" customWidth="1"/>
    <col min="16" max="16" width="40.42578125" style="310" customWidth="1"/>
    <col min="17" max="17" width="16.7109375" style="270"/>
    <col min="18" max="18" width="13.85546875" style="276" customWidth="1"/>
    <col min="19" max="19" width="16.7109375" style="269"/>
    <col min="20" max="20" width="13.42578125" style="269" customWidth="1"/>
    <col min="21" max="21" width="15.7109375" style="269" customWidth="1"/>
    <col min="22" max="22" width="16.7109375" style="269"/>
    <col min="23" max="26" width="17.7109375" style="269" customWidth="1"/>
    <col min="27" max="27" width="16" style="269" customWidth="1"/>
    <col min="28" max="28" width="16.7109375" style="269"/>
    <col min="29" max="29" width="15.85546875" style="269" customWidth="1"/>
    <col min="30" max="31" width="16.7109375" style="269"/>
    <col min="32" max="32" width="16.42578125" style="269" customWidth="1"/>
    <col min="33" max="33" width="17.28515625" style="269" customWidth="1"/>
    <col min="34" max="34" width="20.7109375" style="269" customWidth="1"/>
    <col min="35" max="35" width="18.140625" style="269" customWidth="1"/>
    <col min="36" max="36" width="16.42578125" style="269" customWidth="1"/>
    <col min="37" max="37" width="16.7109375" style="269"/>
    <col min="38" max="38" width="13.85546875" style="269" customWidth="1"/>
    <col min="39" max="39" width="16.42578125" style="269" customWidth="1"/>
    <col min="40" max="51" width="15.140625" style="269" customWidth="1"/>
    <col min="52" max="16384" width="16.7109375" style="269"/>
  </cols>
  <sheetData>
    <row r="1" spans="1:37" s="264" customFormat="1" ht="15.75" thickBot="1">
      <c r="A1" s="260"/>
      <c r="B1" s="261"/>
      <c r="C1" s="261"/>
      <c r="D1" s="261"/>
      <c r="E1" s="261"/>
      <c r="F1" s="261"/>
      <c r="G1" s="261"/>
      <c r="H1" s="261"/>
      <c r="I1" s="546"/>
      <c r="J1" s="546"/>
      <c r="K1" s="546"/>
      <c r="L1" s="546"/>
      <c r="M1" s="546"/>
      <c r="N1" s="546"/>
      <c r="O1" s="261"/>
      <c r="P1" s="261"/>
      <c r="Q1" s="262"/>
      <c r="R1" s="263"/>
    </row>
    <row r="2" spans="1:37" ht="19.5" thickBot="1">
      <c r="A2" s="260"/>
      <c r="B2" s="1550" t="s">
        <v>546</v>
      </c>
      <c r="C2" s="1550"/>
      <c r="D2" s="260"/>
      <c r="E2" s="260"/>
      <c r="F2" s="265" t="s">
        <v>547</v>
      </c>
      <c r="G2" s="266"/>
      <c r="H2" s="266"/>
      <c r="I2" s="267" t="s">
        <v>908</v>
      </c>
      <c r="J2" s="266"/>
      <c r="K2" s="266"/>
      <c r="L2" s="266"/>
      <c r="M2" s="268" t="s">
        <v>547</v>
      </c>
      <c r="O2" s="260"/>
      <c r="P2" s="261"/>
      <c r="R2" s="513" t="s">
        <v>548</v>
      </c>
      <c r="S2" s="514"/>
      <c r="T2" s="515"/>
      <c r="AH2" s="1551" t="s">
        <v>909</v>
      </c>
      <c r="AI2" s="1552"/>
      <c r="AJ2" s="1552"/>
      <c r="AK2" s="1553"/>
    </row>
    <row r="3" spans="1:37" ht="16.5" thickBot="1">
      <c r="A3" s="260"/>
      <c r="B3" s="260"/>
      <c r="C3" s="260"/>
      <c r="D3" s="260"/>
      <c r="E3" s="260"/>
      <c r="F3" s="272"/>
      <c r="G3" s="273"/>
      <c r="H3" s="274"/>
      <c r="I3" s="274"/>
      <c r="J3" s="274"/>
      <c r="K3" s="275" t="s">
        <v>910</v>
      </c>
      <c r="L3" s="274"/>
      <c r="M3" s="275" t="s">
        <v>549</v>
      </c>
      <c r="O3" s="260"/>
      <c r="P3" s="261"/>
      <c r="R3" s="269"/>
      <c r="T3" s="269" t="s">
        <v>550</v>
      </c>
      <c r="V3" s="276" t="s">
        <v>550</v>
      </c>
      <c r="W3" s="276" t="s">
        <v>550</v>
      </c>
      <c r="X3" s="276" t="s">
        <v>550</v>
      </c>
      <c r="Y3" s="276"/>
      <c r="Z3" s="276" t="s">
        <v>551</v>
      </c>
      <c r="AA3" s="276" t="s">
        <v>552</v>
      </c>
      <c r="AB3" s="276" t="s">
        <v>552</v>
      </c>
      <c r="AC3" s="276" t="s">
        <v>552</v>
      </c>
      <c r="AD3" s="276" t="s">
        <v>552</v>
      </c>
      <c r="AE3" s="276" t="s">
        <v>552</v>
      </c>
      <c r="AF3" s="276" t="s">
        <v>552</v>
      </c>
      <c r="AG3" s="276" t="s">
        <v>553</v>
      </c>
      <c r="AH3" s="276" t="s">
        <v>166</v>
      </c>
      <c r="AI3" s="276" t="s">
        <v>911</v>
      </c>
      <c r="AJ3" s="276"/>
    </row>
    <row r="4" spans="1:37" ht="19.5" thickBot="1">
      <c r="A4" s="260"/>
      <c r="B4" s="547" t="s">
        <v>554</v>
      </c>
      <c r="C4" s="267"/>
      <c r="D4" s="277"/>
      <c r="E4" s="260"/>
      <c r="F4" s="278"/>
      <c r="G4" s="273"/>
      <c r="H4" s="274" t="s">
        <v>320</v>
      </c>
      <c r="I4" s="274" t="s">
        <v>321</v>
      </c>
      <c r="J4" s="274" t="s">
        <v>322</v>
      </c>
      <c r="K4" s="274" t="s">
        <v>323</v>
      </c>
      <c r="L4" s="274" t="s">
        <v>555</v>
      </c>
      <c r="M4" s="274" t="s">
        <v>556</v>
      </c>
      <c r="O4" s="279"/>
      <c r="P4" s="261"/>
      <c r="R4" s="269"/>
      <c r="T4" s="276" t="s">
        <v>557</v>
      </c>
      <c r="V4" s="276" t="s">
        <v>407</v>
      </c>
      <c r="W4" s="276" t="s">
        <v>551</v>
      </c>
      <c r="X4" s="276" t="s">
        <v>558</v>
      </c>
      <c r="Y4" s="276" t="s">
        <v>559</v>
      </c>
      <c r="Z4" s="276" t="s">
        <v>558</v>
      </c>
      <c r="AA4" s="276" t="s">
        <v>560</v>
      </c>
      <c r="AB4" s="276" t="s">
        <v>560</v>
      </c>
      <c r="AC4" s="276" t="s">
        <v>560</v>
      </c>
      <c r="AD4" s="276" t="s">
        <v>551</v>
      </c>
      <c r="AE4" s="276" t="s">
        <v>557</v>
      </c>
      <c r="AF4" s="276" t="s">
        <v>557</v>
      </c>
      <c r="AG4" s="276" t="s">
        <v>561</v>
      </c>
      <c r="AH4" s="276" t="s">
        <v>912</v>
      </c>
      <c r="AI4" s="276" t="s">
        <v>913</v>
      </c>
      <c r="AJ4" s="276" t="s">
        <v>562</v>
      </c>
      <c r="AK4" s="276" t="s">
        <v>914</v>
      </c>
    </row>
    <row r="5" spans="1:37" ht="15.75">
      <c r="A5" s="260"/>
      <c r="B5" s="280" t="s">
        <v>563</v>
      </c>
      <c r="C5" s="536">
        <f>'Reg by LOB'!E26</f>
        <v>30830203.822087344</v>
      </c>
      <c r="D5" s="277"/>
      <c r="E5" s="260"/>
      <c r="F5" s="281" t="s">
        <v>564</v>
      </c>
      <c r="G5" s="282"/>
      <c r="H5" s="282"/>
      <c r="I5" s="274" t="s">
        <v>565</v>
      </c>
      <c r="J5" s="274" t="s">
        <v>166</v>
      </c>
      <c r="K5" s="283" t="s">
        <v>915</v>
      </c>
      <c r="L5" s="516" t="s">
        <v>566</v>
      </c>
      <c r="M5" s="283" t="s">
        <v>166</v>
      </c>
      <c r="O5" s="271"/>
      <c r="P5" s="261"/>
      <c r="R5" s="284"/>
      <c r="T5" s="276" t="s">
        <v>567</v>
      </c>
      <c r="U5" s="276" t="s">
        <v>568</v>
      </c>
      <c r="V5" s="276" t="s">
        <v>569</v>
      </c>
      <c r="W5" s="276" t="s">
        <v>570</v>
      </c>
      <c r="X5" s="276" t="s">
        <v>571</v>
      </c>
      <c r="Y5" s="276" t="s">
        <v>572</v>
      </c>
      <c r="Z5" s="276" t="s">
        <v>571</v>
      </c>
      <c r="AA5" s="276" t="s">
        <v>573</v>
      </c>
      <c r="AB5" s="276" t="s">
        <v>574</v>
      </c>
      <c r="AC5" s="276" t="s">
        <v>575</v>
      </c>
      <c r="AD5" s="276" t="s">
        <v>576</v>
      </c>
      <c r="AE5" s="276" t="s">
        <v>567</v>
      </c>
      <c r="AF5" s="276" t="s">
        <v>164</v>
      </c>
      <c r="AG5" s="276" t="s">
        <v>286</v>
      </c>
      <c r="AH5" s="276" t="s">
        <v>621</v>
      </c>
      <c r="AI5" s="276" t="s">
        <v>621</v>
      </c>
      <c r="AJ5" s="276" t="s">
        <v>286</v>
      </c>
      <c r="AK5" s="276" t="s">
        <v>553</v>
      </c>
    </row>
    <row r="6" spans="1:37" ht="15.75">
      <c r="A6" s="260"/>
      <c r="B6" s="280" t="s">
        <v>577</v>
      </c>
      <c r="C6" s="1081">
        <f>'Reg by LOB'!E291</f>
        <v>27779927.301933575</v>
      </c>
      <c r="D6" s="277"/>
      <c r="E6" s="260"/>
      <c r="F6" s="285" t="s">
        <v>578</v>
      </c>
      <c r="G6" s="282"/>
      <c r="H6" s="282"/>
      <c r="I6" s="286"/>
      <c r="J6" s="287" t="s">
        <v>579</v>
      </c>
      <c r="K6" s="288"/>
      <c r="L6" s="287" t="s">
        <v>580</v>
      </c>
      <c r="M6" s="287" t="s">
        <v>581</v>
      </c>
      <c r="O6" s="271"/>
      <c r="P6" s="261"/>
      <c r="R6" s="517">
        <v>1</v>
      </c>
      <c r="S6" s="518">
        <f>Revenue/Investment*100</f>
        <v>180.33117575949865</v>
      </c>
      <c r="T6" s="519">
        <f>EXP(y_inter1-(slope*LN(+S6)))</f>
        <v>8.767699740996175</v>
      </c>
      <c r="U6" s="520">
        <f>(+S6*T6/100)/100</f>
        <v>0.1581089603000092</v>
      </c>
      <c r="V6" s="520">
        <f>regDebt_weighted</f>
        <v>3.5860000000000003E-2</v>
      </c>
      <c r="W6" s="520">
        <f>+U6-V6</f>
        <v>0.1222489603000092</v>
      </c>
      <c r="X6" s="520">
        <f>+((W6*(1-0.34))-Pfd_weighted)/Equity_percent</f>
        <v>0.21655323778490135</v>
      </c>
      <c r="Y6" s="520">
        <f>+C15</f>
        <v>2.5000000000000001E-3</v>
      </c>
      <c r="Z6" s="520">
        <f>+X6+Y6</f>
        <v>0.21905323778490135</v>
      </c>
      <c r="AA6" s="520">
        <f>Z6*equityP</f>
        <v>0.1314319426709408</v>
      </c>
      <c r="AB6" s="520">
        <f>+AA6/(1-taxrate)</f>
        <v>0.16636954768473519</v>
      </c>
      <c r="AC6" s="520">
        <f>debtP*Debt_Rate</f>
        <v>1.2716825048595141E-2</v>
      </c>
      <c r="AD6" s="520">
        <f>AC6+AB6</f>
        <v>0.17908637273333033</v>
      </c>
      <c r="AE6" s="520">
        <f>AD6/(S6/100)</f>
        <v>9.9309712798729563E-2</v>
      </c>
      <c r="AF6" s="520">
        <f>1-AE6</f>
        <v>0.90069028720127042</v>
      </c>
      <c r="AG6" s="521">
        <f>expenses/(AF6)</f>
        <v>30842929.80249026</v>
      </c>
      <c r="AH6" s="522">
        <f>+AG6-Revenue</f>
        <v>12725.98040291667</v>
      </c>
      <c r="AI6" s="523">
        <f ca="1">+AH6/$J$49</f>
        <v>14430.304204610489</v>
      </c>
      <c r="AJ6" s="523">
        <f ca="1">+AI6*$J$47</f>
        <v>312.72877865036219</v>
      </c>
      <c r="AK6" s="521">
        <f ca="1">ROUND(+AJ6+AG6,5)</f>
        <v>30843242.531270001</v>
      </c>
    </row>
    <row r="7" spans="1:37" ht="15.75">
      <c r="A7" s="260"/>
      <c r="B7" s="280" t="s">
        <v>582</v>
      </c>
      <c r="C7" s="537">
        <f>Deprec!Z81</f>
        <v>17096435.872632749</v>
      </c>
      <c r="D7" s="277"/>
      <c r="E7" s="260"/>
      <c r="F7" s="524">
        <v>1</v>
      </c>
      <c r="G7" s="282"/>
      <c r="H7" s="293" t="s">
        <v>563</v>
      </c>
      <c r="I7" s="294">
        <f>IF(A64=TRUE,C5,0)</f>
        <v>30830203.822087344</v>
      </c>
      <c r="J7" s="294">
        <f ca="1">(+$I8/($R50))-I7</f>
        <v>-85605.664406791329</v>
      </c>
      <c r="K7" s="294">
        <f ca="1">+I7+J7</f>
        <v>30744598.157680552</v>
      </c>
      <c r="L7" s="294">
        <f ca="1">((+J7/J49*K35)-J7)</f>
        <v>-2103.6772042610537</v>
      </c>
      <c r="M7" s="294">
        <f ca="1">IFERROR(+K7+L7,0.00001)</f>
        <v>30742494.48047629</v>
      </c>
      <c r="O7" s="271"/>
      <c r="P7" s="261"/>
      <c r="R7" s="295">
        <v>2</v>
      </c>
      <c r="S7" s="296">
        <f>Revenue/Investment*100</f>
        <v>180.33117575949865</v>
      </c>
      <c r="T7" s="297">
        <f>EXP(y_inter1-(slope*LN(+S7)))</f>
        <v>8.767699740996175</v>
      </c>
      <c r="U7" s="298">
        <f t="shared" ref="U7:U9" si="0">(+S7*T7/100)/100</f>
        <v>0.1581089603000092</v>
      </c>
      <c r="V7" s="298">
        <f>regDebt_weighted</f>
        <v>3.5860000000000003E-2</v>
      </c>
      <c r="W7" s="298">
        <f t="shared" ref="W7:W9" si="1">+U7-V7</f>
        <v>0.1222489603000092</v>
      </c>
      <c r="X7" s="298">
        <f>+((W7*(1-0.34))-Pfd_weighted)/Equity_percent</f>
        <v>0.21655323778490135</v>
      </c>
      <c r="Y7" s="298">
        <f>+Y6</f>
        <v>2.5000000000000001E-3</v>
      </c>
      <c r="Z7" s="298">
        <f>+X7+Y7</f>
        <v>0.21905323778490135</v>
      </c>
      <c r="AA7" s="298">
        <f>Z7*equityP</f>
        <v>0.1314319426709408</v>
      </c>
      <c r="AB7" s="298">
        <f>+AA7/(1-taxrate)</f>
        <v>0.16636954768473519</v>
      </c>
      <c r="AC7" s="298">
        <f>debtP*Debt_Rate</f>
        <v>1.2716825048595141E-2</v>
      </c>
      <c r="AD7" s="298">
        <f t="shared" ref="AD7:AD9" si="2">AC7+AB7</f>
        <v>0.17908637273333033</v>
      </c>
      <c r="AE7" s="298">
        <f t="shared" ref="AE7:AE9" si="3">AD7/(S7/100)</f>
        <v>9.9309712798729563E-2</v>
      </c>
      <c r="AF7" s="298">
        <f t="shared" ref="AF7:AF9" si="4">1-AE7</f>
        <v>0.90069028720127042</v>
      </c>
      <c r="AG7" s="299">
        <f>expenses/(AF7)</f>
        <v>30842929.80249026</v>
      </c>
      <c r="AH7" s="525">
        <f>+AG7-Revenue</f>
        <v>12725.98040291667</v>
      </c>
      <c r="AI7" s="300">
        <f ca="1">+AH7/$J$49</f>
        <v>14430.304204610489</v>
      </c>
      <c r="AJ7" s="300">
        <f ca="1">+AI7*$J$47</f>
        <v>312.72877865036219</v>
      </c>
      <c r="AK7" s="299">
        <f t="shared" ref="AK7:AK9" ca="1" si="5">ROUND(+AJ7+AG7,5)</f>
        <v>30843242.531270001</v>
      </c>
    </row>
    <row r="8" spans="1:37" ht="15.75">
      <c r="A8" s="260"/>
      <c r="B8" s="280" t="s">
        <v>583</v>
      </c>
      <c r="C8" s="538">
        <v>0.4</v>
      </c>
      <c r="D8" s="277"/>
      <c r="E8" s="260"/>
      <c r="F8" s="301">
        <f>+F7+1</f>
        <v>2</v>
      </c>
      <c r="G8" s="282"/>
      <c r="H8" s="293" t="s">
        <v>577</v>
      </c>
      <c r="I8" s="294">
        <f>IF(A64=TRUE,C6,0)</f>
        <v>27779927.301933575</v>
      </c>
      <c r="J8" s="273"/>
      <c r="K8" s="294">
        <f>+I8</f>
        <v>27779927.301933575</v>
      </c>
      <c r="L8" s="294">
        <f ca="1">+L7</f>
        <v>-2103.6772042610537</v>
      </c>
      <c r="M8" s="294">
        <f ca="1">IFERROR(+K8+L8,0.00001)</f>
        <v>27777823.624729313</v>
      </c>
      <c r="O8" s="271"/>
      <c r="P8" s="261"/>
      <c r="R8" s="302">
        <v>3</v>
      </c>
      <c r="S8" s="296">
        <f>Revenue/Investment*100</f>
        <v>180.33117575949865</v>
      </c>
      <c r="T8" s="297">
        <f>EXP(y_inter1-(slope*LN(+S8)))</f>
        <v>8.767699740996175</v>
      </c>
      <c r="U8" s="298">
        <f t="shared" si="0"/>
        <v>0.1581089603000092</v>
      </c>
      <c r="V8" s="298">
        <f>regDebt_weighted</f>
        <v>3.5860000000000003E-2</v>
      </c>
      <c r="W8" s="298">
        <f t="shared" si="1"/>
        <v>0.1222489603000092</v>
      </c>
      <c r="X8" s="298">
        <f>+((W8*(1-0.34))-Pfd_weighted)/Equity_percent</f>
        <v>0.21655323778490135</v>
      </c>
      <c r="Y8" s="298">
        <f>+Y7</f>
        <v>2.5000000000000001E-3</v>
      </c>
      <c r="Z8" s="298">
        <f t="shared" ref="Z8:Z9" si="6">+X8+Y8</f>
        <v>0.21905323778490135</v>
      </c>
      <c r="AA8" s="298">
        <f>Z8*equityP</f>
        <v>0.1314319426709408</v>
      </c>
      <c r="AB8" s="298">
        <f>+AA8/(1-taxrate)</f>
        <v>0.16636954768473519</v>
      </c>
      <c r="AC8" s="298">
        <f>debtP*Debt_Rate</f>
        <v>1.2716825048595141E-2</v>
      </c>
      <c r="AD8" s="298">
        <f t="shared" si="2"/>
        <v>0.17908637273333033</v>
      </c>
      <c r="AE8" s="298">
        <f t="shared" si="3"/>
        <v>9.9309712798729563E-2</v>
      </c>
      <c r="AF8" s="298">
        <f t="shared" si="4"/>
        <v>0.90069028720127042</v>
      </c>
      <c r="AG8" s="299">
        <f>expenses/(AF8)</f>
        <v>30842929.80249026</v>
      </c>
      <c r="AH8" s="525">
        <f>+AG8-Revenue</f>
        <v>12725.98040291667</v>
      </c>
      <c r="AI8" s="300">
        <f ca="1">+AH8/$J$49</f>
        <v>14430.304204610489</v>
      </c>
      <c r="AJ8" s="300">
        <f ca="1">+AI8*$J$47</f>
        <v>312.72877865036219</v>
      </c>
      <c r="AK8" s="299">
        <f t="shared" ca="1" si="5"/>
        <v>30843242.531270001</v>
      </c>
    </row>
    <row r="9" spans="1:37" ht="15.75">
      <c r="A9" s="260"/>
      <c r="B9" s="280" t="s">
        <v>584</v>
      </c>
      <c r="C9" s="538">
        <f>'Corporate BS'!B57</f>
        <v>3.179206262148785E-2</v>
      </c>
      <c r="D9" s="277"/>
      <c r="E9" s="260"/>
      <c r="F9" s="301">
        <f t="shared" ref="F9:F49" si="7">+F8+1</f>
        <v>3</v>
      </c>
      <c r="G9" s="282"/>
      <c r="H9" s="293" t="s">
        <v>585</v>
      </c>
      <c r="I9" s="526">
        <f>+I7-I8</f>
        <v>3050276.5201537684</v>
      </c>
      <c r="J9" s="273"/>
      <c r="K9" s="526">
        <f ca="1">+K7-K8</f>
        <v>2964670.855746977</v>
      </c>
      <c r="L9" s="282"/>
      <c r="M9" s="527">
        <f ca="1">+M7-M8</f>
        <v>2964670.855746977</v>
      </c>
      <c r="O9" s="271"/>
      <c r="P9" s="261"/>
      <c r="R9" s="303">
        <v>4</v>
      </c>
      <c r="S9" s="296">
        <f>Revenue/Investment*100</f>
        <v>180.33117575949865</v>
      </c>
      <c r="T9" s="297">
        <f>EXP(y_inter1-(slope*LN(+S9)))</f>
        <v>8.767699740996175</v>
      </c>
      <c r="U9" s="298">
        <f t="shared" si="0"/>
        <v>0.1581089603000092</v>
      </c>
      <c r="V9" s="298">
        <f>regDebt_weighted</f>
        <v>3.5860000000000003E-2</v>
      </c>
      <c r="W9" s="298">
        <f t="shared" si="1"/>
        <v>0.1222489603000092</v>
      </c>
      <c r="X9" s="298">
        <f>+((W9*(1-0.34))-Pfd_weighted)/Equity_percent</f>
        <v>0.21655323778490135</v>
      </c>
      <c r="Y9" s="298">
        <f>+Y8</f>
        <v>2.5000000000000001E-3</v>
      </c>
      <c r="Z9" s="298">
        <f t="shared" si="6"/>
        <v>0.21905323778490135</v>
      </c>
      <c r="AA9" s="298">
        <f>Z9*equityP</f>
        <v>0.1314319426709408</v>
      </c>
      <c r="AB9" s="298">
        <f>+AA9/(1-taxrate)</f>
        <v>0.16636954768473519</v>
      </c>
      <c r="AC9" s="298">
        <f>debtP*Debt_Rate</f>
        <v>1.2716825048595141E-2</v>
      </c>
      <c r="AD9" s="298">
        <f t="shared" si="2"/>
        <v>0.17908637273333033</v>
      </c>
      <c r="AE9" s="298">
        <f t="shared" si="3"/>
        <v>9.9309712798729563E-2</v>
      </c>
      <c r="AF9" s="298">
        <f t="shared" si="4"/>
        <v>0.90069028720127042</v>
      </c>
      <c r="AG9" s="299">
        <f>expenses/(AF9)</f>
        <v>30842929.80249026</v>
      </c>
      <c r="AH9" s="525">
        <f>+AG9-Revenue</f>
        <v>12725.98040291667</v>
      </c>
      <c r="AI9" s="300">
        <f ca="1">+AH9/$J$49</f>
        <v>14430.304204610489</v>
      </c>
      <c r="AJ9" s="300">
        <f ca="1">+AI9*$J$47</f>
        <v>312.72877865036219</v>
      </c>
      <c r="AK9" s="299">
        <f t="shared" ca="1" si="5"/>
        <v>30843242.531270001</v>
      </c>
    </row>
    <row r="10" spans="1:37" ht="15.75">
      <c r="A10" s="260"/>
      <c r="B10" s="304" t="s">
        <v>916</v>
      </c>
      <c r="C10" s="538">
        <v>0.21</v>
      </c>
      <c r="D10" s="277"/>
      <c r="E10" s="1069"/>
      <c r="F10" s="301">
        <f t="shared" si="7"/>
        <v>4</v>
      </c>
      <c r="G10" s="282"/>
      <c r="H10" s="282"/>
      <c r="I10" s="273"/>
      <c r="J10" s="273"/>
      <c r="K10" s="294"/>
      <c r="L10" s="282"/>
      <c r="M10" s="282"/>
      <c r="O10" s="271"/>
      <c r="P10" s="260"/>
      <c r="R10" s="276" t="s">
        <v>586</v>
      </c>
    </row>
    <row r="11" spans="1:37" ht="15.75">
      <c r="A11" s="260"/>
      <c r="B11" s="280" t="s">
        <v>587</v>
      </c>
      <c r="C11" s="539">
        <v>1.4999999999999999E-2</v>
      </c>
      <c r="D11" s="277"/>
      <c r="E11" s="260"/>
      <c r="F11" s="301">
        <f t="shared" si="7"/>
        <v>5</v>
      </c>
      <c r="G11" s="282"/>
      <c r="H11" s="293" t="s">
        <v>141</v>
      </c>
      <c r="I11" s="294">
        <f>+K11</f>
        <v>217412.38394679665</v>
      </c>
      <c r="J11" s="273"/>
      <c r="K11" s="294">
        <f>+M27</f>
        <v>217412.38394679665</v>
      </c>
      <c r="L11" s="282"/>
      <c r="M11" s="294">
        <f>+K11</f>
        <v>217412.38394679665</v>
      </c>
      <c r="O11" s="271"/>
      <c r="P11" s="260"/>
      <c r="R11" s="517">
        <v>1</v>
      </c>
      <c r="S11" s="518">
        <f ca="1">IF((AK6/Investment*100)&gt;0,(AK6/Investment*100),0)</f>
        <v>180.40744141673736</v>
      </c>
      <c r="T11" s="519">
        <f ca="1">EXP(y_inter1-(slope*LN(S11)))</f>
        <v>8.7651655706527176</v>
      </c>
      <c r="U11" s="520">
        <f ca="1">(+S11*T11/100)/100</f>
        <v>0.15813010941955333</v>
      </c>
      <c r="V11" s="520">
        <f>regDebt_weighted</f>
        <v>3.5860000000000003E-2</v>
      </c>
      <c r="W11" s="520">
        <f ca="1">+U11-V11</f>
        <v>0.12227010941955332</v>
      </c>
      <c r="X11" s="520">
        <f ca="1">+((W11*(1-0.34))-Pfd_weighted)/Equity_percent</f>
        <v>0.21659381458402674</v>
      </c>
      <c r="Y11" s="520">
        <f>+Y9</f>
        <v>2.5000000000000001E-3</v>
      </c>
      <c r="Z11" s="520">
        <f ca="1">+X11+Y11</f>
        <v>0.21909381458402674</v>
      </c>
      <c r="AA11" s="520">
        <f ca="1">Z11*equityP</f>
        <v>0.13145628875041604</v>
      </c>
      <c r="AB11" s="520">
        <f ca="1">+AA11/(1-taxrate)</f>
        <v>0.16640036550685575</v>
      </c>
      <c r="AC11" s="520">
        <f>debtP*Debt_Rate</f>
        <v>1.2716825048595141E-2</v>
      </c>
      <c r="AD11" s="520">
        <f ca="1">+AC11+AB11</f>
        <v>0.17911719055545089</v>
      </c>
      <c r="AE11" s="520">
        <f ca="1">+AD11/(S11/100)</f>
        <v>9.9284812837456077E-2</v>
      </c>
      <c r="AF11" s="520">
        <f ca="1">1-AE11</f>
        <v>0.90071518716254395</v>
      </c>
      <c r="AG11" s="521">
        <f ca="1">expenses/(AF11)</f>
        <v>30842077.160313699</v>
      </c>
      <c r="AH11" s="522">
        <f ca="1">+AG11-Revenue</f>
        <v>11873.338226355612</v>
      </c>
      <c r="AI11" s="523">
        <f ca="1">+AH11/$J$49</f>
        <v>13463.472133846233</v>
      </c>
      <c r="AJ11" s="523">
        <f ca="1">+AI11*$J$47</f>
        <v>291.7759138761391</v>
      </c>
      <c r="AK11" s="521">
        <f ca="1">ROUND(+AJ11+AG11,5)</f>
        <v>30842368.93623</v>
      </c>
    </row>
    <row r="12" spans="1:37" ht="15.75">
      <c r="A12" s="260"/>
      <c r="B12" s="280" t="s">
        <v>75</v>
      </c>
      <c r="C12" s="539">
        <v>5.1000000000000004E-3</v>
      </c>
      <c r="D12" s="277"/>
      <c r="E12" s="260"/>
      <c r="F12" s="301">
        <f t="shared" si="7"/>
        <v>6</v>
      </c>
      <c r="G12" s="282"/>
      <c r="H12" s="293" t="s">
        <v>588</v>
      </c>
      <c r="I12" s="294">
        <f ca="1">IF(I14&lt;0,0,+J38*I14)</f>
        <v>491654.10628385458</v>
      </c>
      <c r="J12" s="294">
        <f ca="1">+K12-I12</f>
        <v>85270.172794183251</v>
      </c>
      <c r="K12" s="294">
        <f ca="1">+(K9-K11)*taxrate</f>
        <v>576924.27907803783</v>
      </c>
      <c r="L12" s="282"/>
      <c r="M12" s="294">
        <f ca="1">+K12</f>
        <v>576924.27907803783</v>
      </c>
      <c r="O12" s="271"/>
      <c r="P12" s="260"/>
      <c r="R12" s="295">
        <v>2</v>
      </c>
      <c r="S12" s="296">
        <f ca="1">IF((AK7/Investment*100)&gt;0,(AK7/Investment*100),0)</f>
        <v>180.40744141673736</v>
      </c>
      <c r="T12" s="307">
        <f ca="1">EXP(y_inter2-(slope*LN(+S12)))</f>
        <v>8.6404564231337861</v>
      </c>
      <c r="U12" s="298">
        <f ca="1">(+S12*T12/100)/100</f>
        <v>0.15588026359703805</v>
      </c>
      <c r="V12" s="298">
        <f>regDebt_weighted</f>
        <v>3.5860000000000003E-2</v>
      </c>
      <c r="W12" s="298">
        <f ca="1">+U12-V12</f>
        <v>0.12002026359703805</v>
      </c>
      <c r="X12" s="298">
        <f ca="1">+((W12*(1-0.34))-Pfd_weighted)/Equity_percent</f>
        <v>0.21227724992454972</v>
      </c>
      <c r="Y12" s="298">
        <f>+Y11</f>
        <v>2.5000000000000001E-3</v>
      </c>
      <c r="Z12" s="298">
        <f ca="1">+X12+Y12</f>
        <v>0.21477724992454972</v>
      </c>
      <c r="AA12" s="298">
        <f ca="1">Z12*equityP</f>
        <v>0.12886634995472981</v>
      </c>
      <c r="AB12" s="298">
        <f ca="1">+AA12/(1-taxrate)</f>
        <v>0.1631219619680124</v>
      </c>
      <c r="AC12" s="298">
        <f>debtP*Debt_Rate</f>
        <v>1.2716825048595141E-2</v>
      </c>
      <c r="AD12" s="298">
        <f ca="1">+AC12+AB12</f>
        <v>0.17583878701660755</v>
      </c>
      <c r="AE12" s="298">
        <f ca="1">+AD12/(S12/100)</f>
        <v>9.7467590935134268E-2</v>
      </c>
      <c r="AF12" s="298">
        <f ca="1">1-AE12</f>
        <v>0.90253240906486576</v>
      </c>
      <c r="AG12" s="299">
        <f ca="1">expenses/(AF12)</f>
        <v>30779977.564148623</v>
      </c>
      <c r="AH12" s="525">
        <f ca="1">+AG12-Revenue</f>
        <v>-50226.257938720286</v>
      </c>
      <c r="AI12" s="300">
        <f ca="1">+AH12/$J$49</f>
        <v>-56952.79720443808</v>
      </c>
      <c r="AJ12" s="300">
        <f ca="1">+AI12*$J$47</f>
        <v>-1234.2621789480452</v>
      </c>
      <c r="AK12" s="299">
        <f t="shared" ref="AK12:AK14" ca="1" si="8">ROUND(+AJ12+AG12,5)</f>
        <v>30778743.301970001</v>
      </c>
    </row>
    <row r="13" spans="1:37" ht="15.75">
      <c r="A13" s="260"/>
      <c r="B13" s="280" t="s">
        <v>589</v>
      </c>
      <c r="C13" s="539">
        <v>0</v>
      </c>
      <c r="D13" s="277"/>
      <c r="E13" s="260"/>
      <c r="F13" s="301">
        <f t="shared" si="7"/>
        <v>7</v>
      </c>
      <c r="G13" s="282"/>
      <c r="H13" s="282"/>
      <c r="I13" s="273"/>
      <c r="J13" s="273"/>
      <c r="K13" s="294"/>
      <c r="L13" s="282"/>
      <c r="M13" s="282"/>
      <c r="O13" s="271"/>
      <c r="P13" s="260"/>
      <c r="R13" s="302">
        <v>3</v>
      </c>
      <c r="S13" s="296">
        <f ca="1">IF((AK8/Investment*100)&gt;0,(AK8/Investment*100),0)</f>
        <v>180.40744141673736</v>
      </c>
      <c r="T13" s="297">
        <f ca="1">EXP(y_inter3-(slope*LN(S13)))</f>
        <v>8.5564502024863547</v>
      </c>
      <c r="U13" s="298">
        <f ca="1">(+S13*T13/100)/100</f>
        <v>0.15436472886402874</v>
      </c>
      <c r="V13" s="298">
        <f>regDebt_weighted</f>
        <v>3.5860000000000003E-2</v>
      </c>
      <c r="W13" s="298">
        <f ca="1">+U13-V13</f>
        <v>0.11850472886402874</v>
      </c>
      <c r="X13" s="298">
        <f ca="1">+((W13*(1-0.34))-Pfd_weighted)/Equity_percent</f>
        <v>0.20936953793679933</v>
      </c>
      <c r="Y13" s="298">
        <f>+Y12</f>
        <v>2.5000000000000001E-3</v>
      </c>
      <c r="Z13" s="298">
        <f t="shared" ref="Z13:Z14" ca="1" si="9">+X13+Y13</f>
        <v>0.21186953793679933</v>
      </c>
      <c r="AA13" s="298">
        <f ca="1">Z13*equityP</f>
        <v>0.12712172276207959</v>
      </c>
      <c r="AB13" s="298">
        <f ca="1">+AA13/(1-taxrate)</f>
        <v>0.16091357311655644</v>
      </c>
      <c r="AC13" s="298">
        <f>debtP*Debt_Rate</f>
        <v>1.2716825048595141E-2</v>
      </c>
      <c r="AD13" s="298">
        <f ca="1">+AC13+AB13</f>
        <v>0.17363039816515158</v>
      </c>
      <c r="AE13" s="298">
        <f ca="1">+AD13/(S13/100)</f>
        <v>9.6243479094672735E-2</v>
      </c>
      <c r="AF13" s="298">
        <f ca="1">1-AE13</f>
        <v>0.90375652090532732</v>
      </c>
      <c r="AG13" s="299">
        <f ca="1">expenses/(AF13)</f>
        <v>30738286.982544109</v>
      </c>
      <c r="AH13" s="525">
        <f ca="1">+AG13-Revenue</f>
        <v>-91916.839543234557</v>
      </c>
      <c r="AI13" s="300">
        <f ca="1">+AH13/$J$49</f>
        <v>-104226.77971681068</v>
      </c>
      <c r="AJ13" s="300">
        <f ca="1">+AI13*$J$47</f>
        <v>-2258.7682879952395</v>
      </c>
      <c r="AK13" s="299">
        <f t="shared" ca="1" si="8"/>
        <v>30736028.214260001</v>
      </c>
    </row>
    <row r="14" spans="1:37" ht="16.5" thickBot="1">
      <c r="A14" s="260"/>
      <c r="B14" s="318" t="s">
        <v>118</v>
      </c>
      <c r="C14" s="539">
        <f>+'Restating Adj'!B85</f>
        <v>1.5716691634570774E-3</v>
      </c>
      <c r="D14" s="277"/>
      <c r="E14" s="260"/>
      <c r="F14" s="301">
        <f t="shared" si="7"/>
        <v>8</v>
      </c>
      <c r="G14" s="282"/>
      <c r="H14" s="282" t="s">
        <v>287</v>
      </c>
      <c r="I14" s="528">
        <f ca="1">+I9-SUM(I11:I13)</f>
        <v>2341210.0299231173</v>
      </c>
      <c r="J14" s="273"/>
      <c r="K14" s="528">
        <f ca="1">+K9-SUM(K11:K13)</f>
        <v>2170334.1927221427</v>
      </c>
      <c r="L14" s="282"/>
      <c r="M14" s="528">
        <f ca="1">+M9-SUM(M11:M13)</f>
        <v>2170334.1927221427</v>
      </c>
      <c r="O14" s="271"/>
      <c r="P14" s="260"/>
      <c r="R14" s="303">
        <v>4</v>
      </c>
      <c r="S14" s="296">
        <f ca="1">IF((AK9/Investment*100)&gt;0,(AK9/Investment*100),0)</f>
        <v>180.40744141673736</v>
      </c>
      <c r="T14" s="309">
        <f ca="1">EXP(y_inter4-(slope*LN(S14)))</f>
        <v>8.5027140129400873</v>
      </c>
      <c r="U14" s="298">
        <f ca="1">(+S14*T14/100)/100</f>
        <v>0.15339528801727606</v>
      </c>
      <c r="V14" s="298">
        <f>regDebt_weighted</f>
        <v>3.5860000000000003E-2</v>
      </c>
      <c r="W14" s="298">
        <f ca="1">+U14-V14</f>
        <v>0.11753528801727606</v>
      </c>
      <c r="X14" s="298">
        <f ca="1">+((W14*(1-0.34))-Pfd_weighted)/Equity_percent</f>
        <v>0.20750956421919245</v>
      </c>
      <c r="Y14" s="298">
        <f>+Y13</f>
        <v>2.5000000000000001E-3</v>
      </c>
      <c r="Z14" s="298">
        <f t="shared" ca="1" si="9"/>
        <v>0.21000956421919245</v>
      </c>
      <c r="AA14" s="298">
        <f ca="1">Z14*equityP</f>
        <v>0.12600573853151548</v>
      </c>
      <c r="AB14" s="298">
        <f ca="1">+AA14/(1-taxrate)</f>
        <v>0.15950093485001959</v>
      </c>
      <c r="AC14" s="298">
        <f>debtP*Debt_Rate</f>
        <v>1.2716825048595141E-2</v>
      </c>
      <c r="AD14" s="298">
        <f ca="1">+AC14+AB14</f>
        <v>0.17221775989861474</v>
      </c>
      <c r="AE14" s="298">
        <f ca="1">+AD14/(S14/100)</f>
        <v>9.5460452488096315E-2</v>
      </c>
      <c r="AF14" s="298">
        <f ca="1">1-AE14</f>
        <v>0.90453954751190369</v>
      </c>
      <c r="AG14" s="299">
        <f ca="1">expenses/(AF14)</f>
        <v>30711677.978422489</v>
      </c>
      <c r="AH14" s="525">
        <f ca="1">+AG14-Revenue</f>
        <v>-118525.84366485476</v>
      </c>
      <c r="AI14" s="300">
        <f ca="1">+AH14/$J$49</f>
        <v>-134399.38818387309</v>
      </c>
      <c r="AJ14" s="300">
        <f ca="1">+AI14*$J$47</f>
        <v>-2912.6590764919401</v>
      </c>
      <c r="AK14" s="299">
        <f t="shared" ca="1" si="8"/>
        <v>30708765.31935</v>
      </c>
    </row>
    <row r="15" spans="1:37" ht="16.5" thickTop="1">
      <c r="A15" s="260"/>
      <c r="B15" s="318" t="s">
        <v>593</v>
      </c>
      <c r="C15" s="540">
        <v>2.5000000000000001E-3</v>
      </c>
      <c r="D15" s="260"/>
      <c r="E15" s="260"/>
      <c r="F15" s="301">
        <f t="shared" si="7"/>
        <v>9</v>
      </c>
      <c r="G15" s="273"/>
      <c r="H15" s="273"/>
      <c r="I15" s="273"/>
      <c r="J15" s="273"/>
      <c r="K15" s="311"/>
      <c r="L15" s="273"/>
      <c r="M15" s="273"/>
      <c r="O15" s="271"/>
      <c r="P15" s="260"/>
      <c r="R15" s="276" t="s">
        <v>590</v>
      </c>
    </row>
    <row r="16" spans="1:37" ht="15.75">
      <c r="A16" s="260"/>
      <c r="B16" s="260"/>
      <c r="C16" s="260"/>
      <c r="D16" s="277" t="s">
        <v>917</v>
      </c>
      <c r="E16" s="260"/>
      <c r="F16" s="301">
        <f t="shared" si="7"/>
        <v>10</v>
      </c>
      <c r="G16" s="273"/>
      <c r="H16" s="293" t="s">
        <v>591</v>
      </c>
      <c r="I16" s="312">
        <f>+I8/I7</f>
        <v>0.90106207089138701</v>
      </c>
      <c r="J16" s="313"/>
      <c r="K16" s="312">
        <f ca="1">+K8/K7</f>
        <v>0.90357100000000001</v>
      </c>
      <c r="L16" s="314"/>
      <c r="M16" s="312">
        <f ca="1">+M8/M7</f>
        <v>0.90356440146294059</v>
      </c>
      <c r="O16" s="271"/>
      <c r="P16" s="260"/>
      <c r="R16" s="305">
        <v>1</v>
      </c>
      <c r="S16" s="306">
        <f ca="1">AK11/Investment*100</f>
        <v>180.40233160878378</v>
      </c>
      <c r="T16" s="289">
        <f ca="1">EXP(y_inter1-(slope*LN(+S16)))</f>
        <v>8.7653353039833615</v>
      </c>
      <c r="U16" s="290">
        <f ca="1">(+S16*T16/100)/100</f>
        <v>0.15812869261713861</v>
      </c>
      <c r="V16" s="290">
        <f>regDebt_weighted</f>
        <v>3.5860000000000003E-2</v>
      </c>
      <c r="W16" s="290">
        <f ca="1">+U16-V16</f>
        <v>0.1222686926171386</v>
      </c>
      <c r="X16" s="290">
        <f ca="1">+((W16*(1-0.34))-Pfd_weighted)/Equity_percent</f>
        <v>0.21659109630032403</v>
      </c>
      <c r="Y16" s="290">
        <f>+Y14</f>
        <v>2.5000000000000001E-3</v>
      </c>
      <c r="Z16" s="290">
        <f ca="1">+X16+Y16</f>
        <v>0.21909109630032403</v>
      </c>
      <c r="AA16" s="290">
        <f ca="1">Z16*equityP</f>
        <v>0.13145465778019441</v>
      </c>
      <c r="AB16" s="290">
        <f ca="1">+AA16/(1-taxrate)</f>
        <v>0.16639830098758784</v>
      </c>
      <c r="AC16" s="290">
        <f>debtP*Debt_Rate</f>
        <v>1.2716825048595141E-2</v>
      </c>
      <c r="AD16" s="290">
        <f ca="1">+AC16+AB16</f>
        <v>0.17911512603618299</v>
      </c>
      <c r="AE16" s="290">
        <f ca="1">+AD16/(S16/100)</f>
        <v>9.9286480634079494E-2</v>
      </c>
      <c r="AF16" s="290">
        <f ca="1">1-AE16</f>
        <v>0.90071351936592048</v>
      </c>
      <c r="AG16" s="291">
        <f ca="1">expenses/(AF16)</f>
        <v>30842134.268718362</v>
      </c>
      <c r="AH16" s="529">
        <f ca="1">+AG16-Revenue</f>
        <v>11930.446631018072</v>
      </c>
      <c r="AI16" s="292">
        <f ca="1">+AH16/$J$49</f>
        <v>13528.228767585071</v>
      </c>
      <c r="AJ16" s="292">
        <f ca="1">+AI16*$J$47</f>
        <v>293.17929821866636</v>
      </c>
      <c r="AK16" s="291">
        <f ca="1">ROUND(+AJ16+AG16,5)</f>
        <v>30842427.44802</v>
      </c>
    </row>
    <row r="17" spans="1:37" ht="15.75">
      <c r="A17" s="260"/>
      <c r="B17" s="548" t="s">
        <v>918</v>
      </c>
      <c r="C17" s="322"/>
      <c r="D17" s="260" t="s">
        <v>919</v>
      </c>
      <c r="E17" s="260"/>
      <c r="F17" s="301">
        <f t="shared" si="7"/>
        <v>11</v>
      </c>
      <c r="G17" s="273"/>
      <c r="H17" s="273"/>
      <c r="I17" s="273"/>
      <c r="K17" s="273"/>
      <c r="L17" s="293"/>
      <c r="M17" s="293"/>
      <c r="N17" s="312"/>
      <c r="O17" s="260"/>
      <c r="P17" s="260"/>
      <c r="R17" s="295">
        <v>2</v>
      </c>
      <c r="S17" s="296">
        <f ca="1">AK12/Investment*100</f>
        <v>180.03017430808083</v>
      </c>
      <c r="T17" s="307">
        <f ca="1">EXP(y_inter2-(slope*LN(+S17)))</f>
        <v>8.6528313605673404</v>
      </c>
      <c r="U17" s="298">
        <f ca="1">(+S17*T17/100)/100</f>
        <v>0.15577707381013664</v>
      </c>
      <c r="V17" s="298">
        <f>regDebt_weighted</f>
        <v>3.5860000000000003E-2</v>
      </c>
      <c r="W17" s="298">
        <f ca="1">+U17-V17</f>
        <v>0.11991707381013664</v>
      </c>
      <c r="X17" s="298">
        <f ca="1">+((W17*(1-0.34))-Pfd_weighted)/Equity_percent</f>
        <v>0.21207926951944819</v>
      </c>
      <c r="Y17" s="298">
        <f>+Y16</f>
        <v>2.5000000000000001E-3</v>
      </c>
      <c r="Z17" s="298">
        <f ca="1">+X17+Y17</f>
        <v>0.2145792695194482</v>
      </c>
      <c r="AA17" s="298">
        <f ca="1">Z17*equityP</f>
        <v>0.1287475617116689</v>
      </c>
      <c r="AB17" s="298">
        <f ca="1">+AA17/(1-taxrate)</f>
        <v>0.16297159710337836</v>
      </c>
      <c r="AC17" s="298">
        <f>debtP*Debt_Rate</f>
        <v>1.2716825048595141E-2</v>
      </c>
      <c r="AD17" s="298">
        <f ca="1">+AC17+AB17</f>
        <v>0.1756884221519735</v>
      </c>
      <c r="AE17" s="298">
        <f ca="1">+AD17/(S17/100)</f>
        <v>9.7588319750956068E-2</v>
      </c>
      <c r="AF17" s="298">
        <f ca="1">1-AE17</f>
        <v>0.90241168024904395</v>
      </c>
      <c r="AG17" s="299">
        <f ca="1">expenses/(AF17)</f>
        <v>30784095.452163234</v>
      </c>
      <c r="AH17" s="525">
        <f ca="1">+AG17-Revenue</f>
        <v>-46108.369924109429</v>
      </c>
      <c r="AI17" s="300">
        <f ca="1">+AH17/$J$49</f>
        <v>-52283.422048262677</v>
      </c>
      <c r="AJ17" s="300">
        <f ca="1">+AI17*$J$47</f>
        <v>-1133.0690253633461</v>
      </c>
      <c r="AK17" s="299">
        <f t="shared" ref="AK17:AK19" ca="1" si="10">ROUND(+AJ17+AG17,5)</f>
        <v>30782962.383140001</v>
      </c>
    </row>
    <row r="18" spans="1:37" ht="15.75">
      <c r="A18" s="260"/>
      <c r="B18" s="1554"/>
      <c r="C18" s="1554"/>
      <c r="D18" s="260"/>
      <c r="E18" s="260"/>
      <c r="F18" s="301">
        <f t="shared" si="7"/>
        <v>12</v>
      </c>
      <c r="G18" s="273"/>
      <c r="H18" s="315" t="s">
        <v>592</v>
      </c>
      <c r="I18" s="316"/>
      <c r="J18" s="559"/>
      <c r="K18" s="316"/>
      <c r="L18" s="316"/>
      <c r="M18" s="317"/>
      <c r="O18" s="260"/>
      <c r="P18" s="260"/>
      <c r="R18" s="302">
        <v>3</v>
      </c>
      <c r="S18" s="296">
        <f ca="1">AK13/Investment*100</f>
        <v>179.78032639809408</v>
      </c>
      <c r="T18" s="297">
        <f ca="1">EXP(y_inter3-(slope*LN(S18)))</f>
        <v>8.5768443652186388</v>
      </c>
      <c r="U18" s="298">
        <f ca="1">(+S18*T18/100)/100</f>
        <v>0.15419478794446609</v>
      </c>
      <c r="V18" s="298">
        <f>regDebt_weighted</f>
        <v>3.5860000000000003E-2</v>
      </c>
      <c r="W18" s="298">
        <f ca="1">+U18-V18</f>
        <v>0.11833478794446609</v>
      </c>
      <c r="X18" s="298">
        <f ca="1">+((W18*(1-0.34))-Pfd_weighted)/Equity_percent</f>
        <v>0.2090434884981035</v>
      </c>
      <c r="Y18" s="298">
        <f>+Y17</f>
        <v>2.5000000000000001E-3</v>
      </c>
      <c r="Z18" s="298">
        <f t="shared" ref="Z18:Z19" ca="1" si="11">+X18+Y18</f>
        <v>0.2115434884981035</v>
      </c>
      <c r="AA18" s="298">
        <f ca="1">Z18*equityP</f>
        <v>0.1269260930988621</v>
      </c>
      <c r="AB18" s="298">
        <f ca="1">+AA18/(1-taxrate)</f>
        <v>0.16066594063147102</v>
      </c>
      <c r="AC18" s="298">
        <f>debtP*Debt_Rate</f>
        <v>1.2716825048595141E-2</v>
      </c>
      <c r="AD18" s="298">
        <f ca="1">+AC18+AB18</f>
        <v>0.17338276568006616</v>
      </c>
      <c r="AE18" s="298">
        <f ca="1">+AD18/(S18/100)</f>
        <v>9.6441456723211444E-2</v>
      </c>
      <c r="AF18" s="298">
        <f ca="1">1-AE18</f>
        <v>0.90355854327678853</v>
      </c>
      <c r="AG18" s="299">
        <f ca="1">expenses/(AF18)</f>
        <v>30745022.011732236</v>
      </c>
      <c r="AH18" s="525">
        <f ca="1">+AG18-Revenue</f>
        <v>-85181.810355108231</v>
      </c>
      <c r="AI18" s="300">
        <f ca="1">+AH18/$J$49</f>
        <v>-96589.763397870018</v>
      </c>
      <c r="AJ18" s="300">
        <f ca="1">+AI18*$J$47</f>
        <v>-2093.2613969352351</v>
      </c>
      <c r="AK18" s="299">
        <f t="shared" ca="1" si="10"/>
        <v>30742928.75034</v>
      </c>
    </row>
    <row r="19" spans="1:37" ht="15.75">
      <c r="A19" s="260"/>
      <c r="B19" s="1555" t="s">
        <v>920</v>
      </c>
      <c r="C19" s="1555"/>
      <c r="D19" s="260"/>
      <c r="E19" s="260"/>
      <c r="F19" s="301">
        <f t="shared" si="7"/>
        <v>13</v>
      </c>
      <c r="G19" s="273"/>
      <c r="H19" s="278"/>
      <c r="I19" s="319" t="s">
        <v>594</v>
      </c>
      <c r="J19" s="308">
        <f>+Revenue</f>
        <v>30830203.822087344</v>
      </c>
      <c r="K19" s="320"/>
      <c r="L19" s="319" t="s">
        <v>921</v>
      </c>
      <c r="M19" s="321">
        <f ca="1">+J7</f>
        <v>-85605.664406791329</v>
      </c>
      <c r="O19" s="260"/>
      <c r="P19" s="260"/>
      <c r="R19" s="303">
        <v>4</v>
      </c>
      <c r="S19" s="296">
        <f ca="1">AK14/Investment*100</f>
        <v>179.62086102698919</v>
      </c>
      <c r="T19" s="309">
        <f ca="1">EXP(y_inter4-(slope*LN(S19)))</f>
        <v>8.5281524313576913</v>
      </c>
      <c r="U19" s="298">
        <f ca="1">(+S19*T19/100)/100</f>
        <v>0.15318340826898796</v>
      </c>
      <c r="V19" s="298">
        <f>regDebt_weighted</f>
        <v>3.5860000000000003E-2</v>
      </c>
      <c r="W19" s="298">
        <f ca="1">+U19-V19</f>
        <v>0.11732340826898796</v>
      </c>
      <c r="X19" s="298">
        <f ca="1">+((W19*(1-0.34))-Pfd_weighted)/Equity_percent</f>
        <v>0.20710305074863966</v>
      </c>
      <c r="Y19" s="298">
        <f>+Y18</f>
        <v>2.5000000000000001E-3</v>
      </c>
      <c r="Z19" s="298">
        <f t="shared" ca="1" si="11"/>
        <v>0.20960305074863966</v>
      </c>
      <c r="AA19" s="298">
        <f ca="1">Z19*equityP</f>
        <v>0.12576183044918379</v>
      </c>
      <c r="AB19" s="298">
        <f ca="1">+AA19/(1-taxrate)</f>
        <v>0.15919219044200481</v>
      </c>
      <c r="AC19" s="298">
        <f>debtP*Debt_Rate</f>
        <v>1.2716825048595141E-2</v>
      </c>
      <c r="AD19" s="298">
        <f ca="1">+AC19+AB19</f>
        <v>0.17190901549059995</v>
      </c>
      <c r="AE19" s="298">
        <f ca="1">+AD19/(S19/100)</f>
        <v>9.5706598057543835E-2</v>
      </c>
      <c r="AF19" s="298">
        <f ca="1">1-AE19</f>
        <v>0.90429340194245622</v>
      </c>
      <c r="AG19" s="299">
        <f ca="1">expenses/(AF19)</f>
        <v>30720037.592070501</v>
      </c>
      <c r="AH19" s="525">
        <f ca="1">+AG19-Revenue</f>
        <v>-110166.23001684248</v>
      </c>
      <c r="AI19" s="300">
        <f ca="1">+AH19/$J$49</f>
        <v>-124920.21533003284</v>
      </c>
      <c r="AJ19" s="300">
        <f ca="1">+AI19*$J$47</f>
        <v>-2707.2295784602907</v>
      </c>
      <c r="AK19" s="299">
        <f t="shared" ca="1" si="10"/>
        <v>30717330.362489998</v>
      </c>
    </row>
    <row r="20" spans="1:37" ht="15.75">
      <c r="A20" s="260"/>
      <c r="B20" s="350"/>
      <c r="C20" s="260"/>
      <c r="D20" s="260"/>
      <c r="E20" s="260"/>
      <c r="F20" s="301">
        <f t="shared" si="7"/>
        <v>14</v>
      </c>
      <c r="G20" s="273"/>
      <c r="H20" s="278"/>
      <c r="I20" s="319" t="s">
        <v>595</v>
      </c>
      <c r="J20" s="308">
        <f ca="1">+J21-J19</f>
        <v>-87709.341611053795</v>
      </c>
      <c r="K20" s="549"/>
      <c r="L20" s="319" t="s">
        <v>922</v>
      </c>
      <c r="M20" s="321">
        <f ca="1">+L8</f>
        <v>-2103.6772042610537</v>
      </c>
      <c r="O20" s="260"/>
      <c r="P20" s="260"/>
      <c r="R20" s="276" t="s">
        <v>596</v>
      </c>
    </row>
    <row r="21" spans="1:37" ht="16.5" thickBot="1">
      <c r="A21" s="260"/>
      <c r="B21" s="350"/>
      <c r="C21" s="350"/>
      <c r="D21" s="260"/>
      <c r="E21" s="260"/>
      <c r="F21" s="301">
        <f t="shared" si="7"/>
        <v>15</v>
      </c>
      <c r="G21" s="273"/>
      <c r="H21" s="278"/>
      <c r="I21" s="323" t="s">
        <v>592</v>
      </c>
      <c r="J21" s="550">
        <f ca="1">+M7</f>
        <v>30742494.48047629</v>
      </c>
      <c r="K21" s="324"/>
      <c r="L21" s="323" t="s">
        <v>595</v>
      </c>
      <c r="M21" s="530">
        <f ca="1">+M19+M20</f>
        <v>-87709.341611052383</v>
      </c>
      <c r="O21" s="260"/>
      <c r="P21" s="260"/>
      <c r="R21" s="305">
        <v>1</v>
      </c>
      <c r="S21" s="306">
        <f ca="1">AK16/Investment*100</f>
        <v>180.40267385432804</v>
      </c>
      <c r="T21" s="289">
        <f ca="1">EXP(y_inter1-(slope*LN(+S21)))</f>
        <v>8.7653239353039432</v>
      </c>
      <c r="U21" s="290">
        <f ca="1">(+S21*T21/100)/100</f>
        <v>0.15812878751281723</v>
      </c>
      <c r="V21" s="290">
        <f>regDebt_weighted</f>
        <v>3.5860000000000003E-2</v>
      </c>
      <c r="W21" s="290">
        <f ca="1">+U21-V21</f>
        <v>0.12226878751281722</v>
      </c>
      <c r="X21" s="290">
        <f ca="1">+((W21*(1-0.34))-Pfd_weighted)/Equity_percent</f>
        <v>0.21659127836761441</v>
      </c>
      <c r="Y21" s="290">
        <f>+Y19</f>
        <v>2.5000000000000001E-3</v>
      </c>
      <c r="Z21" s="290">
        <f ca="1">+X21+Y21</f>
        <v>0.21909127836761441</v>
      </c>
      <c r="AA21" s="290">
        <f ca="1">Z21*equityP</f>
        <v>0.13145476702056863</v>
      </c>
      <c r="AB21" s="290">
        <f ca="1">+AA21/(1-taxrate)</f>
        <v>0.16639843926654257</v>
      </c>
      <c r="AC21" s="290">
        <f>debtP*Debt_Rate</f>
        <v>1.2716825048595141E-2</v>
      </c>
      <c r="AD21" s="290">
        <f ca="1">+AC21+AB21</f>
        <v>0.17911526431513772</v>
      </c>
      <c r="AE21" s="290">
        <f ca="1">+AD21/(S21/100)</f>
        <v>9.9286368925867535E-2</v>
      </c>
      <c r="AF21" s="290">
        <f ca="1">1-AE21</f>
        <v>0.90071363107413249</v>
      </c>
      <c r="AG21" s="291">
        <f ca="1">expenses/(AF21)</f>
        <v>30842130.443618402</v>
      </c>
      <c r="AH21" s="529">
        <f ca="1">+AG21-Revenue</f>
        <v>11926.621531058103</v>
      </c>
      <c r="AI21" s="292">
        <f ca="1">+AH21/$J$49</f>
        <v>13523.891392051886</v>
      </c>
      <c r="AJ21" s="292">
        <f ca="1">+AI21*$J$47</f>
        <v>293.08530005107349</v>
      </c>
      <c r="AK21" s="291">
        <f ca="1">ROUND(+AJ21+AG21,5)</f>
        <v>30842423.528919999</v>
      </c>
    </row>
    <row r="22" spans="1:37" ht="21" customHeight="1" thickTop="1">
      <c r="A22" s="260"/>
      <c r="B22" s="350"/>
      <c r="C22" s="260"/>
      <c r="D22" s="260"/>
      <c r="E22" s="260"/>
      <c r="F22" s="301">
        <f t="shared" si="7"/>
        <v>16</v>
      </c>
      <c r="G22" s="273"/>
      <c r="H22" s="325"/>
      <c r="I22" s="326"/>
      <c r="J22" s="531" t="s">
        <v>923</v>
      </c>
      <c r="K22" s="532">
        <f ca="1">+(J21/J19)-1</f>
        <v>-2.8449160478212221E-3</v>
      </c>
      <c r="L22" s="326"/>
      <c r="M22" s="327"/>
      <c r="O22" s="260"/>
      <c r="P22" s="260"/>
      <c r="R22" s="295">
        <v>2</v>
      </c>
      <c r="S22" s="296">
        <f ca="1">AK17/Investment*100</f>
        <v>180.05485244100535</v>
      </c>
      <c r="T22" s="307">
        <f ca="1">EXP(y_inter2-(slope*LN(+S22)))</f>
        <v>8.6520205458054917</v>
      </c>
      <c r="U22" s="298">
        <f ca="1">(+S22*T22/100)/100</f>
        <v>0.15578382826915546</v>
      </c>
      <c r="V22" s="298">
        <f>regDebt_weighted</f>
        <v>3.5860000000000003E-2</v>
      </c>
      <c r="W22" s="298">
        <f ca="1">+U22-V22</f>
        <v>0.11992382826915546</v>
      </c>
      <c r="X22" s="298">
        <f ca="1">+((W22*(1-0.34))-Pfd_weighted)/Equity_percent</f>
        <v>0.2120922286559378</v>
      </c>
      <c r="Y22" s="298">
        <f>+Y21</f>
        <v>2.5000000000000001E-3</v>
      </c>
      <c r="Z22" s="298">
        <f ca="1">+X22+Y22</f>
        <v>0.2145922286559378</v>
      </c>
      <c r="AA22" s="298">
        <f ca="1">Z22*equityP</f>
        <v>0.12875533719356266</v>
      </c>
      <c r="AB22" s="298">
        <f ca="1">+AA22/(1-taxrate)</f>
        <v>0.16298143948552235</v>
      </c>
      <c r="AC22" s="298">
        <f>debtP*Debt_Rate</f>
        <v>1.2716825048595141E-2</v>
      </c>
      <c r="AD22" s="298">
        <f ca="1">+AC22+AB22</f>
        <v>0.17569826453411749</v>
      </c>
      <c r="AE22" s="298">
        <f ca="1">+AD22/(S22/100)</f>
        <v>9.7580410720496807E-2</v>
      </c>
      <c r="AF22" s="298">
        <f ca="1">1-AE22</f>
        <v>0.90241958927950316</v>
      </c>
      <c r="AG22" s="299">
        <f ca="1">expenses/(AF22)</f>
        <v>30783825.652669203</v>
      </c>
      <c r="AH22" s="525">
        <f ca="1">+AG22-Revenue</f>
        <v>-46378.169418141246</v>
      </c>
      <c r="AI22" s="300">
        <f ca="1">+AH22/$J$49</f>
        <v>-52589.354373306713</v>
      </c>
      <c r="AJ22" s="300">
        <f ca="1">+AI22*$J$47</f>
        <v>-1139.6990894981077</v>
      </c>
      <c r="AK22" s="299">
        <f t="shared" ref="AK22:AK24" ca="1" si="12">ROUND(+AJ22+AG22,5)</f>
        <v>30782685.95358</v>
      </c>
    </row>
    <row r="23" spans="1:37" ht="15.75">
      <c r="A23" s="260"/>
      <c r="B23" s="533" t="s">
        <v>924</v>
      </c>
      <c r="C23" s="534"/>
      <c r="D23" s="534"/>
      <c r="E23" s="534"/>
      <c r="F23" s="301">
        <f t="shared" si="7"/>
        <v>17</v>
      </c>
      <c r="H23" s="273"/>
      <c r="I23" s="273"/>
      <c r="J23" s="273"/>
      <c r="K23" s="273"/>
      <c r="L23" s="273"/>
      <c r="M23" s="273"/>
      <c r="N23" s="273"/>
      <c r="O23" s="260"/>
      <c r="P23" s="260"/>
      <c r="R23" s="302">
        <v>3</v>
      </c>
      <c r="S23" s="296">
        <f ca="1">AK18/Investment*100</f>
        <v>179.82068882293754</v>
      </c>
      <c r="T23" s="297">
        <f ca="1">EXP(y_inter3-(slope*LN(S23)))</f>
        <v>8.5755281495259794</v>
      </c>
      <c r="U23" s="298">
        <f ca="1">(+S23*T23/100)/100</f>
        <v>0.15420573788682523</v>
      </c>
      <c r="V23" s="298">
        <f>regDebt_weighted</f>
        <v>3.5860000000000003E-2</v>
      </c>
      <c r="W23" s="298">
        <f ca="1">+U23-V23</f>
        <v>0.11834573788682523</v>
      </c>
      <c r="X23" s="298">
        <f ca="1">+((W23*(1-0.34))-Pfd_weighted)/Equity_percent</f>
        <v>0.20906449710844374</v>
      </c>
      <c r="Y23" s="298">
        <f>+Y22</f>
        <v>2.5000000000000001E-3</v>
      </c>
      <c r="Z23" s="298">
        <f t="shared" ref="Z23:Z24" ca="1" si="13">+X23+Y23</f>
        <v>0.21156449710844374</v>
      </c>
      <c r="AA23" s="298">
        <f ca="1">Z23*equityP</f>
        <v>0.12693869826506624</v>
      </c>
      <c r="AB23" s="298">
        <f ca="1">+AA23/(1-taxrate)</f>
        <v>0.16068189653805851</v>
      </c>
      <c r="AC23" s="298">
        <f>debtP*Debt_Rate</f>
        <v>1.2716825048595141E-2</v>
      </c>
      <c r="AD23" s="298">
        <f ca="1">+AC23+AB23</f>
        <v>0.17339872158665365</v>
      </c>
      <c r="AE23" s="298">
        <f ca="1">+AD23/(S23/100)</f>
        <v>9.6428682773756172E-2</v>
      </c>
      <c r="AF23" s="298">
        <f ca="1">1-AE23</f>
        <v>0.90357131722624384</v>
      </c>
      <c r="AG23" s="299">
        <f ca="1">expenses/(AF23)</f>
        <v>30744587.363852546</v>
      </c>
      <c r="AH23" s="525">
        <f ca="1">+AG23-Revenue</f>
        <v>-85616.458234798163</v>
      </c>
      <c r="AI23" s="300">
        <f ca="1">+AH23/$J$49</f>
        <v>-97082.621388157131</v>
      </c>
      <c r="AJ23" s="300">
        <f ca="1">+AI23*$J$47</f>
        <v>-2103.9424522453037</v>
      </c>
      <c r="AK23" s="299">
        <f t="shared" ca="1" si="12"/>
        <v>30742483.421399999</v>
      </c>
    </row>
    <row r="24" spans="1:37" ht="15.75">
      <c r="A24" s="260"/>
      <c r="B24" s="535" t="s">
        <v>597</v>
      </c>
      <c r="C24" s="534"/>
      <c r="D24" s="534"/>
      <c r="E24" s="534"/>
      <c r="F24" s="301">
        <f t="shared" si="7"/>
        <v>18</v>
      </c>
      <c r="H24" s="328" t="s">
        <v>598</v>
      </c>
      <c r="K24" s="329" t="s">
        <v>599</v>
      </c>
      <c r="L24" s="329"/>
      <c r="M24" s="329"/>
      <c r="N24" s="329"/>
      <c r="O24" s="260"/>
      <c r="P24" s="260"/>
      <c r="R24" s="303">
        <v>4</v>
      </c>
      <c r="S24" s="296">
        <f ca="1">AK19/Investment*100</f>
        <v>179.67095944050538</v>
      </c>
      <c r="T24" s="309">
        <f ca="1">EXP(y_inter4-(slope*LN(S24)))</f>
        <v>8.5265266328570437</v>
      </c>
      <c r="U24" s="298">
        <f ca="1">(+S24*T24/100)/100</f>
        <v>0.15319692208204469</v>
      </c>
      <c r="V24" s="298">
        <f>regDebt_weighted</f>
        <v>3.5860000000000003E-2</v>
      </c>
      <c r="W24" s="298">
        <f ca="1">+U24-V24</f>
        <v>0.11733692208204469</v>
      </c>
      <c r="X24" s="298">
        <f ca="1">+((W24*(1-0.34))-Pfd_weighted)/Equity_percent</f>
        <v>0.20712897841322528</v>
      </c>
      <c r="Y24" s="298">
        <f>+Y23</f>
        <v>2.5000000000000001E-3</v>
      </c>
      <c r="Z24" s="298">
        <f t="shared" ca="1" si="13"/>
        <v>0.20962897841322528</v>
      </c>
      <c r="AA24" s="298">
        <f ca="1">Z24*equityP</f>
        <v>0.12577738704793517</v>
      </c>
      <c r="AB24" s="298">
        <f ca="1">+AA24/(1-taxrate)</f>
        <v>0.15921188233915845</v>
      </c>
      <c r="AC24" s="298">
        <f>debtP*Debt_Rate</f>
        <v>1.2716825048595141E-2</v>
      </c>
      <c r="AD24" s="298">
        <f ca="1">+AC24+AB24</f>
        <v>0.17192870738775359</v>
      </c>
      <c r="AE24" s="298">
        <f ca="1">+AD24/(S24/100)</f>
        <v>9.5690871759765109E-2</v>
      </c>
      <c r="AF24" s="298">
        <f ca="1">1-AE24</f>
        <v>0.90430912824023491</v>
      </c>
      <c r="AG24" s="299">
        <f ca="1">expenses/(AF24)</f>
        <v>30719503.358318061</v>
      </c>
      <c r="AH24" s="525">
        <f ca="1">+AG24-Revenue</f>
        <v>-110700.46376928315</v>
      </c>
      <c r="AI24" s="300">
        <f ca="1">+AH24/$J$49</f>
        <v>-125525.9962066341</v>
      </c>
      <c r="AJ24" s="300">
        <f ca="1">+AI24*$J$47</f>
        <v>-2720.3578612035426</v>
      </c>
      <c r="AK24" s="299">
        <f t="shared" ca="1" si="12"/>
        <v>30716783.000459999</v>
      </c>
    </row>
    <row r="25" spans="1:37" ht="15.75">
      <c r="A25" s="260"/>
      <c r="B25" s="535" t="s">
        <v>600</v>
      </c>
      <c r="C25" s="534"/>
      <c r="D25" s="534"/>
      <c r="E25" s="534"/>
      <c r="F25" s="301">
        <f t="shared" si="7"/>
        <v>19</v>
      </c>
      <c r="H25" s="330" t="s">
        <v>601</v>
      </c>
      <c r="I25" s="331" t="s">
        <v>602</v>
      </c>
      <c r="J25" s="332" t="s">
        <v>603</v>
      </c>
      <c r="K25" s="330" t="s">
        <v>604</v>
      </c>
      <c r="L25" s="332" t="s">
        <v>605</v>
      </c>
      <c r="M25" s="332" t="s">
        <v>603</v>
      </c>
      <c r="O25" s="260"/>
      <c r="P25" s="260"/>
      <c r="R25" s="276" t="s">
        <v>606</v>
      </c>
      <c r="W25" s="333"/>
      <c r="X25" s="334"/>
      <c r="Y25" s="334"/>
      <c r="Z25" s="334"/>
      <c r="AA25" s="335"/>
      <c r="AB25" s="335"/>
      <c r="AC25" s="334"/>
      <c r="AE25" s="334"/>
      <c r="AF25" s="334"/>
      <c r="AG25" s="335"/>
      <c r="AH25" s="333"/>
    </row>
    <row r="26" spans="1:37" ht="15.75">
      <c r="A26" s="260"/>
      <c r="B26" s="535" t="s">
        <v>925</v>
      </c>
      <c r="C26" s="534"/>
      <c r="D26" s="534"/>
      <c r="E26" s="534"/>
      <c r="F26" s="301">
        <f t="shared" si="7"/>
        <v>20</v>
      </c>
      <c r="H26" s="293" t="s">
        <v>573</v>
      </c>
      <c r="I26" s="336">
        <f>1-I27</f>
        <v>0.6</v>
      </c>
      <c r="J26" s="337">
        <f>+I26*J28</f>
        <v>10257861.52357965</v>
      </c>
      <c r="K26" s="312">
        <f ca="1">+K34</f>
        <v>0.21157764586051547</v>
      </c>
      <c r="L26" s="336">
        <f ca="1">+K26*I26</f>
        <v>0.12694658751630927</v>
      </c>
      <c r="M26" s="294">
        <f ca="1">+J26*K26</f>
        <v>2170334.1927221427</v>
      </c>
      <c r="O26" s="260"/>
      <c r="P26" s="260"/>
      <c r="R26" s="305">
        <v>1</v>
      </c>
      <c r="S26" s="306">
        <f ca="1">AK21/Investment*100</f>
        <v>180.40265093083667</v>
      </c>
      <c r="T26" s="289">
        <f ca="1">EXP(y_inter1-(slope*LN(+S26)))</f>
        <v>8.7653246967731295</v>
      </c>
      <c r="U26" s="290">
        <f ca="1">(+S26*T26/100)/100</f>
        <v>0.15812878115674048</v>
      </c>
      <c r="V26" s="290">
        <f>regDebt_weighted</f>
        <v>3.5860000000000003E-2</v>
      </c>
      <c r="W26" s="290">
        <f ca="1">+U26-V26</f>
        <v>0.12226878115674047</v>
      </c>
      <c r="X26" s="290">
        <f ca="1">+((W26*(1-0.34))-Pfd_weighted)/Equity_percent</f>
        <v>0.21659126617281604</v>
      </c>
      <c r="Y26" s="290">
        <f>+Y24</f>
        <v>2.5000000000000001E-3</v>
      </c>
      <c r="Z26" s="290">
        <f ca="1">+X26+Y26</f>
        <v>0.21909126617281605</v>
      </c>
      <c r="AA26" s="290">
        <f ca="1">Z26*equityP</f>
        <v>0.13145475970368961</v>
      </c>
      <c r="AB26" s="290">
        <f ca="1">+AA26/(1-taxrate)</f>
        <v>0.16639843000467039</v>
      </c>
      <c r="AC26" s="290">
        <f>debtP*Debt_Rate</f>
        <v>1.2716825048595141E-2</v>
      </c>
      <c r="AD26" s="290">
        <f ca="1">+AC26+AB26</f>
        <v>0.17911525505326553</v>
      </c>
      <c r="AE26" s="290">
        <f ca="1">+AD26/(S26/100)</f>
        <v>9.9286376408035878E-2</v>
      </c>
      <c r="AF26" s="290">
        <f ca="1">1-AE26</f>
        <v>0.90071362359196416</v>
      </c>
      <c r="AG26" s="291">
        <f ca="1">expenses/(AF26)</f>
        <v>30842130.699821934</v>
      </c>
      <c r="AH26" s="529">
        <f ca="1">+AG26-Revenue</f>
        <v>11926.877734590322</v>
      </c>
      <c r="AI26" s="292">
        <f ca="1">+AH26/$J$49</f>
        <v>13524.181907579268</v>
      </c>
      <c r="AJ26" s="292">
        <f ca="1">+AI26*$J$47</f>
        <v>293.09159600746978</v>
      </c>
      <c r="AK26" s="291">
        <f ca="1">ROUND(+AJ26+AG26,5)</f>
        <v>30842423.791420002</v>
      </c>
    </row>
    <row r="27" spans="1:37" ht="15.75">
      <c r="A27" s="260"/>
      <c r="B27" s="535" t="s">
        <v>607</v>
      </c>
      <c r="C27" s="534"/>
      <c r="D27" s="534"/>
      <c r="E27" s="534"/>
      <c r="F27" s="301">
        <f t="shared" si="7"/>
        <v>21</v>
      </c>
      <c r="H27" s="293" t="s">
        <v>575</v>
      </c>
      <c r="I27" s="336">
        <f>IF(A64=TRUE,C8,0)</f>
        <v>0.4</v>
      </c>
      <c r="J27" s="338">
        <f>+I27*J28</f>
        <v>6838574.3490530998</v>
      </c>
      <c r="K27" s="312">
        <f>IF(A64=TRUE,C9,0)</f>
        <v>3.179206262148785E-2</v>
      </c>
      <c r="L27" s="336">
        <f>+K27*I27</f>
        <v>1.2716825048595141E-2</v>
      </c>
      <c r="M27" s="308">
        <f>+K27*J27</f>
        <v>217412.38394679665</v>
      </c>
      <c r="O27" s="260"/>
      <c r="P27" s="260"/>
      <c r="R27" s="295">
        <v>2</v>
      </c>
      <c r="S27" s="296">
        <f ca="1">AK22/Investment*100</f>
        <v>180.0532355568661</v>
      </c>
      <c r="T27" s="307">
        <f ca="1">EXP(y_inter2-(slope*LN(+S27)))</f>
        <v>8.6520736637693538</v>
      </c>
      <c r="U27" s="298">
        <f ca="1">(+S27*T27/100)/100</f>
        <v>0.1557833857438021</v>
      </c>
      <c r="V27" s="298">
        <f>regDebt_weighted</f>
        <v>3.5860000000000003E-2</v>
      </c>
      <c r="W27" s="298">
        <f ca="1">+U27-V27</f>
        <v>0.1199233857438021</v>
      </c>
      <c r="X27" s="298">
        <f ca="1">+((W27*(1-0.34))-Pfd_weighted)/Equity_percent</f>
        <v>0.21209137962473654</v>
      </c>
      <c r="Y27" s="298">
        <f>+Y26</f>
        <v>2.5000000000000001E-3</v>
      </c>
      <c r="Z27" s="298">
        <f ca="1">+X27+Y27</f>
        <v>0.21459137962473654</v>
      </c>
      <c r="AA27" s="298">
        <f ca="1">Z27*equityP</f>
        <v>0.12875482777484193</v>
      </c>
      <c r="AB27" s="298">
        <f ca="1">+AA27/(1-taxrate)</f>
        <v>0.16298079465169862</v>
      </c>
      <c r="AC27" s="298">
        <f>debtP*Debt_Rate</f>
        <v>1.2716825048595141E-2</v>
      </c>
      <c r="AD27" s="298">
        <f ca="1">+AC27+AB27</f>
        <v>0.17569761970029377</v>
      </c>
      <c r="AE27" s="298">
        <f ca="1">+AD27/(S27/100)</f>
        <v>9.7580928860788674E-2</v>
      </c>
      <c r="AF27" s="298">
        <f ca="1">1-AE27</f>
        <v>0.90241907113921127</v>
      </c>
      <c r="AG27" s="299">
        <f ca="1">expenses/(AF27)</f>
        <v>30783843.327761538</v>
      </c>
      <c r="AH27" s="525">
        <f ca="1">+AG27-Revenue</f>
        <v>-46360.494325805455</v>
      </c>
      <c r="AI27" s="300">
        <f ca="1">+AH27/$J$49</f>
        <v>-52569.312148568446</v>
      </c>
      <c r="AJ27" s="300">
        <f ca="1">+AI27*$J$47</f>
        <v>-1139.2647410342804</v>
      </c>
      <c r="AK27" s="299">
        <f t="shared" ref="AK27:AK29" ca="1" si="14">ROUND(+AJ27+AG27,5)</f>
        <v>30782704.063019998</v>
      </c>
    </row>
    <row r="28" spans="1:37" ht="16.5" thickBot="1">
      <c r="A28" s="260"/>
      <c r="B28" s="260"/>
      <c r="C28" s="260"/>
      <c r="D28" s="260"/>
      <c r="E28" s="260"/>
      <c r="F28" s="301">
        <f t="shared" si="7"/>
        <v>22</v>
      </c>
      <c r="H28" s="293" t="s">
        <v>13</v>
      </c>
      <c r="I28" s="336">
        <f>SUM(I26:I27)</f>
        <v>1</v>
      </c>
      <c r="J28" s="339">
        <f>IF(A64=TRUE,C7,0)</f>
        <v>17096435.872632749</v>
      </c>
      <c r="K28" s="340"/>
      <c r="L28" s="341">
        <f ca="1">SUM(L26:L27)</f>
        <v>0.13966341256490442</v>
      </c>
      <c r="M28" s="339">
        <f ca="1">SUM(M26:M27)</f>
        <v>2387746.5766689396</v>
      </c>
      <c r="O28" s="260"/>
      <c r="P28" s="260"/>
      <c r="R28" s="302">
        <v>3</v>
      </c>
      <c r="S28" s="296">
        <f ca="1">AK23/Investment*100</f>
        <v>179.81808401721474</v>
      </c>
      <c r="T28" s="297">
        <f ca="1">EXP(y_inter3-(slope*LN(S28)))</f>
        <v>8.5756130770331005</v>
      </c>
      <c r="U28" s="298">
        <f ca="1">(+S28*T28/100)/100</f>
        <v>0.15420503127850638</v>
      </c>
      <c r="V28" s="298">
        <f>regDebt_weighted</f>
        <v>3.5860000000000003E-2</v>
      </c>
      <c r="W28" s="298">
        <f ca="1">+U28-V28</f>
        <v>0.11834503127850637</v>
      </c>
      <c r="X28" s="298">
        <f ca="1">+((W28*(1-0.34))-Pfd_weighted)/Equity_percent</f>
        <v>0.20906314140643664</v>
      </c>
      <c r="Y28" s="298">
        <f>+Y27</f>
        <v>2.5000000000000001E-3</v>
      </c>
      <c r="Z28" s="298">
        <f t="shared" ref="Z28:Z29" ca="1" si="15">+X28+Y28</f>
        <v>0.21156314140643664</v>
      </c>
      <c r="AA28" s="298">
        <f ca="1">Z28*equityP</f>
        <v>0.12693788484386198</v>
      </c>
      <c r="AB28" s="298">
        <f ca="1">+AA28/(1-taxrate)</f>
        <v>0.16068086689096453</v>
      </c>
      <c r="AC28" s="298">
        <f>debtP*Debt_Rate</f>
        <v>1.2716825048595141E-2</v>
      </c>
      <c r="AD28" s="298">
        <f ca="1">+AC28+AB28</f>
        <v>0.17339769193955967</v>
      </c>
      <c r="AE28" s="298">
        <f ca="1">+AD28/(S28/100)</f>
        <v>9.6429507013854943E-2</v>
      </c>
      <c r="AF28" s="298">
        <f ca="1">1-AE28</f>
        <v>0.903570492986145</v>
      </c>
      <c r="AG28" s="299">
        <f ca="1">expenses/(AF28)</f>
        <v>30744615.409170453</v>
      </c>
      <c r="AH28" s="525">
        <f ca="1">+AG28-Revenue</f>
        <v>-85588.412916891277</v>
      </c>
      <c r="AI28" s="300">
        <f ca="1">+AH28/$J$49</f>
        <v>-97050.820107933672</v>
      </c>
      <c r="AJ28" s="300">
        <f ca="1">+AI28*$J$47</f>
        <v>-2103.2532654213264</v>
      </c>
      <c r="AK28" s="299">
        <f t="shared" ca="1" si="14"/>
        <v>30742512.15591</v>
      </c>
    </row>
    <row r="29" spans="1:37" ht="16.5" thickTop="1">
      <c r="A29" s="260"/>
      <c r="B29" s="260"/>
      <c r="C29" s="260"/>
      <c r="D29" s="260"/>
      <c r="E29" s="260"/>
      <c r="F29" s="301">
        <f t="shared" si="7"/>
        <v>23</v>
      </c>
      <c r="G29" s="273"/>
      <c r="H29" s="273"/>
      <c r="I29" s="273"/>
      <c r="J29" s="273"/>
      <c r="K29" s="273"/>
      <c r="L29" s="273"/>
      <c r="M29" s="273"/>
      <c r="N29" s="273"/>
      <c r="O29" s="260"/>
      <c r="P29" s="260"/>
      <c r="R29" s="303">
        <v>4</v>
      </c>
      <c r="S29" s="296">
        <f ca="1">AK24/Investment*100</f>
        <v>179.66775782565375</v>
      </c>
      <c r="T29" s="309">
        <f ca="1">EXP(y_inter4-(slope*LN(S29)))</f>
        <v>8.5266305091374086</v>
      </c>
      <c r="U29" s="298">
        <f ca="1">(+S29*T29/100)/100</f>
        <v>0.15319605853845308</v>
      </c>
      <c r="V29" s="298">
        <f>regDebt_weighted</f>
        <v>3.5860000000000003E-2</v>
      </c>
      <c r="W29" s="298">
        <f ca="1">+U29-V29</f>
        <v>0.11733605853845308</v>
      </c>
      <c r="X29" s="298">
        <f ca="1">+((W29*(1-0.34))-Pfd_weighted)/Equity_percent</f>
        <v>0.20712732161447392</v>
      </c>
      <c r="Y29" s="298">
        <f>+Y28</f>
        <v>2.5000000000000001E-3</v>
      </c>
      <c r="Z29" s="298">
        <f t="shared" ca="1" si="15"/>
        <v>0.20962732161447392</v>
      </c>
      <c r="AA29" s="298">
        <f ca="1">Z29*equityP</f>
        <v>0.12577639296868434</v>
      </c>
      <c r="AB29" s="298">
        <f ca="1">+AA29/(1-taxrate)</f>
        <v>0.15921062401099284</v>
      </c>
      <c r="AC29" s="298">
        <f>debtP*Debt_Rate</f>
        <v>1.2716825048595141E-2</v>
      </c>
      <c r="AD29" s="298">
        <f ca="1">+AC29+AB29</f>
        <v>0.17192744905958798</v>
      </c>
      <c r="AE29" s="298">
        <f ca="1">+AD29/(S29/100)</f>
        <v>9.5691876572770035E-2</v>
      </c>
      <c r="AF29" s="298">
        <f ca="1">1-AE29</f>
        <v>0.90430812342722999</v>
      </c>
      <c r="AG29" s="299">
        <f ca="1">expenses/(AF29)</f>
        <v>30719537.491989627</v>
      </c>
      <c r="AH29" s="525">
        <f ca="1">+AG29-Revenue</f>
        <v>-110666.3300977163</v>
      </c>
      <c r="AI29" s="300">
        <f ca="1">+AH29/$J$49</f>
        <v>-125487.29119148124</v>
      </c>
      <c r="AJ29" s="300">
        <f ca="1">+AI29*$J$47</f>
        <v>-2719.5190589201829</v>
      </c>
      <c r="AK29" s="299">
        <f t="shared" ca="1" si="14"/>
        <v>30716817.972929999</v>
      </c>
    </row>
    <row r="30" spans="1:37" ht="15.75">
      <c r="A30" s="260"/>
      <c r="B30" s="260"/>
      <c r="C30" s="260"/>
      <c r="D30" s="342"/>
      <c r="E30" s="260"/>
      <c r="F30" s="301">
        <f t="shared" si="7"/>
        <v>24</v>
      </c>
      <c r="G30" s="273"/>
      <c r="H30" s="273"/>
      <c r="I30" s="273"/>
      <c r="J30" s="343" t="s">
        <v>608</v>
      </c>
      <c r="K30" s="343" t="s">
        <v>609</v>
      </c>
      <c r="L30" s="273"/>
      <c r="M30" s="273"/>
      <c r="N30" s="273"/>
      <c r="O30" s="260"/>
      <c r="P30" s="260"/>
      <c r="R30" s="276" t="s">
        <v>610</v>
      </c>
      <c r="W30" s="333"/>
      <c r="X30" s="334"/>
      <c r="Z30" s="334"/>
      <c r="AA30" s="335"/>
      <c r="AB30" s="335"/>
      <c r="AC30" s="334"/>
      <c r="AE30" s="334"/>
      <c r="AF30" s="334"/>
      <c r="AG30" s="335"/>
      <c r="AH30" s="333"/>
      <c r="AJ30" s="335"/>
    </row>
    <row r="31" spans="1:37" ht="15.75">
      <c r="A31" s="260"/>
      <c r="B31" s="260"/>
      <c r="C31" s="260"/>
      <c r="D31" s="342"/>
      <c r="E31" s="260"/>
      <c r="F31" s="301">
        <f t="shared" si="7"/>
        <v>25</v>
      </c>
      <c r="G31" s="273"/>
      <c r="H31" s="344" t="s">
        <v>611</v>
      </c>
      <c r="I31" s="345"/>
      <c r="J31" s="346" t="s">
        <v>612</v>
      </c>
      <c r="K31" s="346" t="s">
        <v>612</v>
      </c>
      <c r="L31" s="1556"/>
      <c r="M31" s="1556"/>
      <c r="N31" s="1556"/>
      <c r="O31" s="260"/>
      <c r="P31" s="260"/>
      <c r="R31" s="305">
        <v>1</v>
      </c>
      <c r="S31" s="306">
        <f ca="1">AK26/Investment*100</f>
        <v>180.40265246624443</v>
      </c>
      <c r="T31" s="289">
        <f ca="1">EXP(y_inter1-(slope*LN(+S31)))</f>
        <v>8.765324645770173</v>
      </c>
      <c r="U31" s="290">
        <f ca="1">(+S31*T31/100)/100</f>
        <v>0.15812878158246835</v>
      </c>
      <c r="V31" s="290">
        <f>regDebt_weighted</f>
        <v>3.5860000000000003E-2</v>
      </c>
      <c r="W31" s="290">
        <f ca="1">+U31-V31</f>
        <v>0.12226878158246834</v>
      </c>
      <c r="X31" s="290">
        <f ca="1">+((W31*(1-0.34))-Pfd_weighted)/Equity_percent</f>
        <v>0.2165912669896195</v>
      </c>
      <c r="Y31" s="290">
        <f>+Y29</f>
        <v>2.5000000000000001E-3</v>
      </c>
      <c r="Z31" s="290">
        <f ca="1">+X31+Y31</f>
        <v>0.2190912669896195</v>
      </c>
      <c r="AA31" s="290">
        <f ca="1">Z31*equityP</f>
        <v>0.1314547601937717</v>
      </c>
      <c r="AB31" s="290">
        <f ca="1">+AA31/(1-taxrate)</f>
        <v>0.16639843062502746</v>
      </c>
      <c r="AC31" s="290">
        <f>debtP*Debt_Rate</f>
        <v>1.2716825048595141E-2</v>
      </c>
      <c r="AD31" s="290">
        <f ca="1">+AC31+AB31</f>
        <v>0.1791152556736226</v>
      </c>
      <c r="AE31" s="290">
        <f ca="1">+AD31/(S31/100)</f>
        <v>9.9286375906882676E-2</v>
      </c>
      <c r="AF31" s="290">
        <f ca="1">1-AE31</f>
        <v>0.90071362409311728</v>
      </c>
      <c r="AG31" s="291">
        <f ca="1">expenses/(AF31)</f>
        <v>30842130.682661507</v>
      </c>
      <c r="AH31" s="529">
        <f ca="1">+AG31-Revenue</f>
        <v>11926.860574163496</v>
      </c>
      <c r="AI31" s="292">
        <f ca="1">+AH31/$J$49</f>
        <v>13524.162448946492</v>
      </c>
      <c r="AJ31" s="292">
        <f ca="1">+AI31*$J$47</f>
        <v>293.09117430641788</v>
      </c>
      <c r="AK31" s="291">
        <f ca="1">ROUND(+AJ31+AG31,5)</f>
        <v>30842423.773839999</v>
      </c>
    </row>
    <row r="32" spans="1:37" ht="15.75">
      <c r="A32" s="260"/>
      <c r="B32" s="260"/>
      <c r="C32" s="260"/>
      <c r="D32" s="347"/>
      <c r="E32" s="260"/>
      <c r="F32" s="301">
        <f t="shared" si="7"/>
        <v>26</v>
      </c>
      <c r="G32" s="273"/>
      <c r="H32" s="282"/>
      <c r="I32" s="282"/>
      <c r="J32" s="282"/>
      <c r="K32" s="282"/>
      <c r="L32" s="273"/>
      <c r="M32" s="273"/>
      <c r="N32" s="273"/>
      <c r="O32" s="260"/>
      <c r="P32" s="260"/>
      <c r="R32" s="295">
        <v>2</v>
      </c>
      <c r="S32" s="296">
        <f ca="1">AK27/Investment*100</f>
        <v>180.05334148210181</v>
      </c>
      <c r="T32" s="307">
        <f ca="1">EXP(y_inter2-(slope*LN(+S32)))</f>
        <v>8.652070183883291</v>
      </c>
      <c r="U32" s="298">
        <f ca="1">(+S32*T32/100)/100</f>
        <v>0.15578341473458499</v>
      </c>
      <c r="V32" s="298">
        <f>regDebt_weighted</f>
        <v>3.5860000000000003E-2</v>
      </c>
      <c r="W32" s="298">
        <f ca="1">+U32-V32</f>
        <v>0.11992341473458498</v>
      </c>
      <c r="X32" s="298">
        <f ca="1">+((W32*(1-0.34))-Pfd_weighted)/Equity_percent</f>
        <v>0.21209143524658747</v>
      </c>
      <c r="Y32" s="298">
        <f>+Y31</f>
        <v>2.5000000000000001E-3</v>
      </c>
      <c r="Z32" s="298">
        <f ca="1">+X32+Y32</f>
        <v>0.21459143524658747</v>
      </c>
      <c r="AA32" s="298">
        <f ca="1">Z32*equityP</f>
        <v>0.12875486114795248</v>
      </c>
      <c r="AB32" s="298">
        <f ca="1">+AA32/(1-taxrate)</f>
        <v>0.16298083689614237</v>
      </c>
      <c r="AC32" s="298">
        <f>debtP*Debt_Rate</f>
        <v>1.2716825048595141E-2</v>
      </c>
      <c r="AD32" s="298">
        <f ca="1">+AC32+AB32</f>
        <v>0.17569766194473752</v>
      </c>
      <c r="AE32" s="298">
        <f ca="1">+AD32/(S32/100)</f>
        <v>9.7580894916189445E-2</v>
      </c>
      <c r="AF32" s="298">
        <f ca="1">1-AE32</f>
        <v>0.90241910508381051</v>
      </c>
      <c r="AG32" s="299">
        <f ca="1">expenses/(AF32)</f>
        <v>30783842.169823706</v>
      </c>
      <c r="AH32" s="525">
        <f ca="1">+AG32-Revenue</f>
        <v>-46361.652263637632</v>
      </c>
      <c r="AI32" s="300">
        <f ca="1">+AH32/$J$49</f>
        <v>-52570.62516294056</v>
      </c>
      <c r="AJ32" s="300">
        <f ca="1">+AI32*$J$47</f>
        <v>-1139.2931962473597</v>
      </c>
      <c r="AK32" s="299">
        <f t="shared" ref="AK32:AK34" ca="1" si="16">ROUND(+AJ32+AG32,5)</f>
        <v>30782702.876630001</v>
      </c>
    </row>
    <row r="33" spans="1:48" ht="15.75">
      <c r="A33" s="260"/>
      <c r="B33" s="260"/>
      <c r="C33" s="260"/>
      <c r="D33" s="260"/>
      <c r="E33" s="260"/>
      <c r="F33" s="301">
        <f t="shared" si="7"/>
        <v>27</v>
      </c>
      <c r="G33" s="273"/>
      <c r="H33" s="282" t="s">
        <v>613</v>
      </c>
      <c r="I33" s="282"/>
      <c r="J33" s="348">
        <f ca="1">+K9/J28</f>
        <v>0.17340870798063218</v>
      </c>
      <c r="K33" s="348">
        <f ca="1">+(M14+M11)/J28</f>
        <v>0.13966341256490442</v>
      </c>
      <c r="L33" s="293"/>
      <c r="M33" s="293"/>
      <c r="N33" s="294"/>
      <c r="O33" s="260"/>
      <c r="P33" s="260"/>
      <c r="R33" s="302">
        <v>3</v>
      </c>
      <c r="S33" s="296">
        <f ca="1">AK28/Investment*100</f>
        <v>179.81825209031618</v>
      </c>
      <c r="T33" s="297">
        <f ca="1">EXP(y_inter3-(slope*LN(S33)))</f>
        <v>8.5756075970880019</v>
      </c>
      <c r="U33" s="298">
        <f ca="1">(+S33*T33/100)/100</f>
        <v>0.1542050768720801</v>
      </c>
      <c r="V33" s="298">
        <f>regDebt_weighted</f>
        <v>3.5860000000000003E-2</v>
      </c>
      <c r="W33" s="298">
        <f ca="1">+U33-V33</f>
        <v>0.1183450768720801</v>
      </c>
      <c r="X33" s="298">
        <f ca="1">+((W33*(1-0.34))-Pfd_weighted)/Equity_percent</f>
        <v>0.20906322888247925</v>
      </c>
      <c r="Y33" s="298">
        <f>+Y32</f>
        <v>2.5000000000000001E-3</v>
      </c>
      <c r="Z33" s="298">
        <f t="shared" ref="Z33:Z34" ca="1" si="17">+X33+Y33</f>
        <v>0.21156322888247925</v>
      </c>
      <c r="AA33" s="298">
        <f ca="1">Z33*equityP</f>
        <v>0.12693793732948755</v>
      </c>
      <c r="AB33" s="298">
        <f ca="1">+AA33/(1-taxrate)</f>
        <v>0.16068093332846525</v>
      </c>
      <c r="AC33" s="298">
        <f>debtP*Debt_Rate</f>
        <v>1.2716825048595141E-2</v>
      </c>
      <c r="AD33" s="298">
        <f ca="1">+AC33+AB33</f>
        <v>0.1733977583770604</v>
      </c>
      <c r="AE33" s="298">
        <f ca="1">+AD33/(S33/100)</f>
        <v>9.6429453829842027E-2</v>
      </c>
      <c r="AF33" s="298">
        <f ca="1">1-AE33</f>
        <v>0.90357054617015797</v>
      </c>
      <c r="AG33" s="299">
        <f ca="1">expenses/(AF33)</f>
        <v>30744613.599547472</v>
      </c>
      <c r="AH33" s="525">
        <f ca="1">+AG33-Revenue</f>
        <v>-85590.222539871931</v>
      </c>
      <c r="AI33" s="300">
        <f ca="1">+AH33/$J$49</f>
        <v>-97052.872084227813</v>
      </c>
      <c r="AJ33" s="300">
        <f ca="1">+AI33*$J$47</f>
        <v>-2103.2977351727041</v>
      </c>
      <c r="AK33" s="299">
        <f t="shared" ca="1" si="16"/>
        <v>30742510.30181</v>
      </c>
    </row>
    <row r="34" spans="1:48" ht="15.75">
      <c r="A34" s="260"/>
      <c r="B34" s="260"/>
      <c r="C34" s="260"/>
      <c r="D34" s="260"/>
      <c r="E34" s="260"/>
      <c r="F34" s="301">
        <f t="shared" si="7"/>
        <v>28</v>
      </c>
      <c r="G34" s="273"/>
      <c r="H34" s="282" t="s">
        <v>614</v>
      </c>
      <c r="I34" s="282"/>
      <c r="J34" s="348">
        <f ca="1">+(M9-M11)/J26</f>
        <v>0.26781980488672841</v>
      </c>
      <c r="K34" s="348">
        <f ca="1">+M14/J26</f>
        <v>0.21157764586051547</v>
      </c>
      <c r="L34" s="293"/>
      <c r="M34" s="293"/>
      <c r="N34" s="294"/>
      <c r="O34" s="349"/>
      <c r="P34" s="260"/>
      <c r="R34" s="303">
        <v>4</v>
      </c>
      <c r="S34" s="296">
        <f ca="1">AK29/Investment*100</f>
        <v>179.66796238565829</v>
      </c>
      <c r="T34" s="309">
        <f ca="1">EXP(y_inter4-(slope*LN(S34)))</f>
        <v>8.5266238721021121</v>
      </c>
      <c r="U34" s="298">
        <f ca="1">(+S34*T34/100)/100</f>
        <v>0.15319611371294983</v>
      </c>
      <c r="V34" s="298">
        <f>regDebt_weighted</f>
        <v>3.5860000000000003E-2</v>
      </c>
      <c r="W34" s="298">
        <f ca="1">+U34-V34</f>
        <v>0.11733611371294983</v>
      </c>
      <c r="X34" s="298">
        <f ca="1">+((W34*(1-0.34))-Pfd_weighted)/Equity_percent</f>
        <v>0.20712742747252</v>
      </c>
      <c r="Y34" s="298">
        <f>+Y33</f>
        <v>2.5000000000000001E-3</v>
      </c>
      <c r="Z34" s="298">
        <f t="shared" ca="1" si="17"/>
        <v>0.20962742747252</v>
      </c>
      <c r="AA34" s="298">
        <f ca="1">Z34*equityP</f>
        <v>0.12577645648351199</v>
      </c>
      <c r="AB34" s="298">
        <f ca="1">+AA34/(1-taxrate)</f>
        <v>0.15921070440950885</v>
      </c>
      <c r="AC34" s="298">
        <f>debtP*Debt_Rate</f>
        <v>1.2716825048595141E-2</v>
      </c>
      <c r="AD34" s="298">
        <f ca="1">+AC34+AB34</f>
        <v>0.17192752945810399</v>
      </c>
      <c r="AE34" s="298">
        <f ca="1">+AD34/(S34/100)</f>
        <v>9.5691812371679605E-2</v>
      </c>
      <c r="AF34" s="298">
        <f ca="1">1-AE34</f>
        <v>0.90430818762832044</v>
      </c>
      <c r="AG34" s="299">
        <f ca="1">expenses/(AF34)</f>
        <v>30719535.311065212</v>
      </c>
      <c r="AH34" s="525">
        <f ca="1">+AG34-Revenue</f>
        <v>-110668.51102213189</v>
      </c>
      <c r="AI34" s="300">
        <f ca="1">+AH34/$J$49</f>
        <v>-125489.76419566385</v>
      </c>
      <c r="AJ34" s="300">
        <f ca="1">+AI34*$J$47</f>
        <v>-2719.5726530486686</v>
      </c>
      <c r="AK34" s="299">
        <f t="shared" ca="1" si="16"/>
        <v>30716815.73841</v>
      </c>
    </row>
    <row r="35" spans="1:48" ht="15.75">
      <c r="A35" s="260"/>
      <c r="B35" s="260"/>
      <c r="C35" s="260"/>
      <c r="D35" s="260"/>
      <c r="E35" s="260"/>
      <c r="F35" s="301">
        <f t="shared" si="7"/>
        <v>29</v>
      </c>
      <c r="G35" s="273"/>
      <c r="H35" s="351" t="s">
        <v>164</v>
      </c>
      <c r="I35" s="282"/>
      <c r="J35" s="348">
        <f ca="1">+K8/K7</f>
        <v>0.90357100000000001</v>
      </c>
      <c r="K35" s="348">
        <f ca="1">+M8/M7</f>
        <v>0.90356440146294059</v>
      </c>
      <c r="L35" s="293"/>
      <c r="M35" s="293"/>
      <c r="N35" s="294"/>
      <c r="O35" s="260"/>
      <c r="P35" s="260"/>
      <c r="R35" s="276" t="s">
        <v>615</v>
      </c>
      <c r="X35" s="334"/>
      <c r="Y35" s="334"/>
      <c r="Z35" s="334"/>
      <c r="AA35" s="352"/>
      <c r="AB35" s="335"/>
      <c r="AC35" s="334"/>
      <c r="AE35" s="334"/>
      <c r="AF35" s="334"/>
      <c r="AG35" s="335"/>
      <c r="AH35" s="333"/>
      <c r="AJ35" s="335"/>
    </row>
    <row r="36" spans="1:48" ht="15.75">
      <c r="A36" s="260"/>
      <c r="B36" s="260"/>
      <c r="C36" s="260"/>
      <c r="D36" s="260"/>
      <c r="E36" s="260"/>
      <c r="F36" s="301">
        <f t="shared" si="7"/>
        <v>30</v>
      </c>
      <c r="G36" s="273"/>
      <c r="H36" s="282" t="s">
        <v>616</v>
      </c>
      <c r="I36" s="282"/>
      <c r="J36" s="348">
        <f ca="1">+K9/K7</f>
        <v>9.6428999999999973E-2</v>
      </c>
      <c r="K36" s="348">
        <f ca="1">+J36</f>
        <v>9.6428999999999973E-2</v>
      </c>
      <c r="L36" s="273"/>
      <c r="M36" s="273"/>
      <c r="N36" s="294"/>
      <c r="O36" s="260"/>
      <c r="P36" s="260"/>
      <c r="R36" s="305">
        <v>1</v>
      </c>
      <c r="S36" s="306">
        <f ca="1">AK31/Investment*100</f>
        <v>180.40265236341597</v>
      </c>
      <c r="T36" s="289">
        <f ca="1">EXP(y_inter1-(slope*LN(+S36)))</f>
        <v>8.7653246491859171</v>
      </c>
      <c r="U36" s="290">
        <f ca="1">(+S36*T36/100)/100</f>
        <v>0.15812878155395682</v>
      </c>
      <c r="V36" s="290">
        <f>regDebt_weighted</f>
        <v>3.5860000000000003E-2</v>
      </c>
      <c r="W36" s="290">
        <f ca="1">+U36-V36</f>
        <v>0.12226878155395682</v>
      </c>
      <c r="X36" s="290">
        <f ca="1">+((W36*(1-0.34))-Pfd_weighted)/Equity_percent</f>
        <v>0.21659126693491712</v>
      </c>
      <c r="Y36" s="290">
        <f>+Y34</f>
        <v>2.5000000000000001E-3</v>
      </c>
      <c r="Z36" s="290">
        <f ca="1">+X36+Y36</f>
        <v>0.21909126693491712</v>
      </c>
      <c r="AA36" s="290">
        <f ca="1">Z36*equityP</f>
        <v>0.13145476016095026</v>
      </c>
      <c r="AB36" s="290">
        <f ca="1">+AA36/(1-taxrate)</f>
        <v>0.16639843058348133</v>
      </c>
      <c r="AC36" s="290">
        <f>debtP*Debt_Rate</f>
        <v>1.2716825048595141E-2</v>
      </c>
      <c r="AD36" s="290">
        <f ca="1">+AC36+AB36</f>
        <v>0.17911525563207648</v>
      </c>
      <c r="AE36" s="290">
        <f ca="1">+AD36/(S36/100)</f>
        <v>9.9286375940445676E-2</v>
      </c>
      <c r="AF36" s="290">
        <f ca="1">1-AE36</f>
        <v>0.90071362405955435</v>
      </c>
      <c r="AG36" s="291">
        <f ca="1">expenses/(AF36)</f>
        <v>30842130.683810767</v>
      </c>
      <c r="AH36" s="529">
        <f ca="1">+AG36-Revenue</f>
        <v>11926.861723423004</v>
      </c>
      <c r="AI36" s="292">
        <f ca="1">+AH36/$J$49</f>
        <v>13524.163752120297</v>
      </c>
      <c r="AJ36" s="292">
        <f ca="1">+AI36*$J$47</f>
        <v>293.09120254836944</v>
      </c>
      <c r="AK36" s="291">
        <f ca="1">ROUND(+AJ36+AG36,5)</f>
        <v>30842423.775010001</v>
      </c>
    </row>
    <row r="37" spans="1:48" ht="15.75">
      <c r="A37" s="260"/>
      <c r="B37" s="260"/>
      <c r="C37" s="260"/>
      <c r="D37" s="271"/>
      <c r="E37" s="260"/>
      <c r="F37" s="301">
        <f t="shared" si="7"/>
        <v>31</v>
      </c>
      <c r="G37" s="273"/>
      <c r="H37" s="282" t="s">
        <v>617</v>
      </c>
      <c r="I37" s="353"/>
      <c r="J37" s="354">
        <f ca="1">+S39/100</f>
        <v>1.7966794931556569</v>
      </c>
      <c r="K37" s="354">
        <f ca="1">+J37</f>
        <v>1.7966794931556569</v>
      </c>
      <c r="L37" s="273"/>
      <c r="M37" s="273"/>
      <c r="N37" s="273"/>
      <c r="O37" s="260"/>
      <c r="P37" s="260"/>
      <c r="R37" s="295">
        <v>2</v>
      </c>
      <c r="S37" s="296">
        <f ca="1">AK32/Investment*100</f>
        <v>180.05333454270226</v>
      </c>
      <c r="T37" s="307">
        <f ca="1">EXP(y_inter2-(slope*LN(+S37)))</f>
        <v>8.6520704118583147</v>
      </c>
      <c r="U37" s="298">
        <f ca="1">(+S37*T37/100)/100</f>
        <v>0.15578341283533409</v>
      </c>
      <c r="V37" s="298">
        <f>regDebt_weighted</f>
        <v>3.5860000000000003E-2</v>
      </c>
      <c r="W37" s="298">
        <f ca="1">+U37-V37</f>
        <v>0.11992341283533409</v>
      </c>
      <c r="X37" s="298">
        <f ca="1">+((W37*(1-0.34))-Pfd_weighted)/Equity_percent</f>
        <v>0.21209143160267585</v>
      </c>
      <c r="Y37" s="298">
        <f>+Y36</f>
        <v>2.5000000000000001E-3</v>
      </c>
      <c r="Z37" s="298">
        <f ca="1">+X37+Y37</f>
        <v>0.21459143160267585</v>
      </c>
      <c r="AA37" s="298">
        <f ca="1">Z37*equityP</f>
        <v>0.12875485896160552</v>
      </c>
      <c r="AB37" s="298">
        <f ca="1">+AA37/(1-taxrate)</f>
        <v>0.16298083412861458</v>
      </c>
      <c r="AC37" s="298">
        <f>debtP*Debt_Rate</f>
        <v>1.2716825048595141E-2</v>
      </c>
      <c r="AD37" s="298">
        <f ca="1">+AC37+AB37</f>
        <v>0.17569765917720973</v>
      </c>
      <c r="AE37" s="298">
        <f ca="1">+AD37/(S37/100)</f>
        <v>9.7580897139975198E-2</v>
      </c>
      <c r="AF37" s="298">
        <f ca="1">1-AE37</f>
        <v>0.9024191028600248</v>
      </c>
      <c r="AG37" s="299">
        <f ca="1">expenses/(AF37)</f>
        <v>30783842.245682769</v>
      </c>
      <c r="AH37" s="525">
        <f ca="1">+AG37-Revenue</f>
        <v>-46361.576404575258</v>
      </c>
      <c r="AI37" s="300">
        <f ca="1">+AH37/$J$49</f>
        <v>-52570.539144471877</v>
      </c>
      <c r="AJ37" s="300">
        <f ca="1">+AI37*$J$47</f>
        <v>-1139.2913320835644</v>
      </c>
      <c r="AK37" s="299">
        <f t="shared" ref="AK37:AK39" ca="1" si="18">ROUND(+AJ37+AG37,5)</f>
        <v>30782702.954349998</v>
      </c>
    </row>
    <row r="38" spans="1:48" ht="15.75">
      <c r="A38" s="260"/>
      <c r="B38" s="260"/>
      <c r="C38" s="260"/>
      <c r="D38" s="271"/>
      <c r="E38" s="260"/>
      <c r="F38" s="301">
        <f t="shared" si="7"/>
        <v>32</v>
      </c>
      <c r="G38" s="273"/>
      <c r="H38" s="282" t="s">
        <v>333</v>
      </c>
      <c r="I38" s="273"/>
      <c r="J38" s="348">
        <f>+C10</f>
        <v>0.21</v>
      </c>
      <c r="K38" s="348">
        <f>+J38</f>
        <v>0.21</v>
      </c>
      <c r="L38" s="273"/>
      <c r="M38" s="273"/>
      <c r="N38" s="273"/>
      <c r="O38" s="260"/>
      <c r="P38" s="260"/>
      <c r="Q38" s="355"/>
      <c r="R38" s="302">
        <v>3</v>
      </c>
      <c r="S38" s="296">
        <f ca="1">AK33/Investment*100</f>
        <v>179.8182412453657</v>
      </c>
      <c r="T38" s="297">
        <f ca="1">EXP(y_inter3-(slope*LN(S38)))</f>
        <v>8.5756079506822989</v>
      </c>
      <c r="U38" s="298">
        <f ca="1">(+S38*T38/100)/100</f>
        <v>0.15420507393014657</v>
      </c>
      <c r="V38" s="298">
        <f>regDebt_weighted</f>
        <v>3.5860000000000003E-2</v>
      </c>
      <c r="W38" s="298">
        <f ca="1">+U38-V38</f>
        <v>0.11834507393014657</v>
      </c>
      <c r="X38" s="298">
        <f ca="1">+((W38*(1-0.34))-Pfd_weighted)/Equity_percent</f>
        <v>0.20906322323807192</v>
      </c>
      <c r="Y38" s="298">
        <f>+Y37</f>
        <v>2.5000000000000001E-3</v>
      </c>
      <c r="Z38" s="298">
        <f t="shared" ref="Z38:Z39" ca="1" si="19">+X38+Y38</f>
        <v>0.21156322323807192</v>
      </c>
      <c r="AA38" s="298">
        <f ca="1">Z38*equityP</f>
        <v>0.12693793394284314</v>
      </c>
      <c r="AB38" s="298">
        <f ca="1">+AA38/(1-taxrate)</f>
        <v>0.16068092904157358</v>
      </c>
      <c r="AC38" s="298">
        <f>debtP*Debt_Rate</f>
        <v>1.2716825048595141E-2</v>
      </c>
      <c r="AD38" s="298">
        <f ca="1">+AC38+AB38</f>
        <v>0.17339775409016872</v>
      </c>
      <c r="AE38" s="298">
        <f ca="1">+AD38/(S38/100)</f>
        <v>9.6429457261548848E-2</v>
      </c>
      <c r="AF38" s="298">
        <f ca="1">1-AE38</f>
        <v>0.90357054273845117</v>
      </c>
      <c r="AG38" s="299">
        <f ca="1">expenses/(AF38)</f>
        <v>30744613.716313671</v>
      </c>
      <c r="AH38" s="525">
        <f ca="1">+AG38-Revenue</f>
        <v>-85590.105773672462</v>
      </c>
      <c r="AI38" s="300">
        <f ca="1">+AH38/$J$49</f>
        <v>-97052.739680143743</v>
      </c>
      <c r="AJ38" s="300">
        <f ca="1">+AI38*$J$47</f>
        <v>-2103.2948657551983</v>
      </c>
      <c r="AK38" s="299">
        <f t="shared" ca="1" si="18"/>
        <v>30742510.42145</v>
      </c>
    </row>
    <row r="39" spans="1:48" ht="15.75">
      <c r="A39" s="260"/>
      <c r="B39" s="260"/>
      <c r="C39" s="260"/>
      <c r="D39" s="347"/>
      <c r="E39" s="260"/>
      <c r="F39" s="301">
        <f t="shared" si="7"/>
        <v>33</v>
      </c>
      <c r="G39" s="273"/>
      <c r="H39" s="273"/>
      <c r="I39" s="273"/>
      <c r="J39" s="273"/>
      <c r="K39" s="273"/>
      <c r="L39" s="273"/>
      <c r="M39" s="273"/>
      <c r="N39" s="273"/>
      <c r="O39" s="260"/>
      <c r="P39" s="260"/>
      <c r="R39" s="303">
        <v>4</v>
      </c>
      <c r="S39" s="296">
        <f ca="1">AK34/Investment*100</f>
        <v>179.66794931556569</v>
      </c>
      <c r="T39" s="309">
        <f ca="1">EXP(y_inter4-(slope*LN(S39)))</f>
        <v>8.5266242961663785</v>
      </c>
      <c r="U39" s="298">
        <f ca="1">(+S39*T39/100)/100</f>
        <v>0.1531961101876492</v>
      </c>
      <c r="V39" s="298">
        <f>regDebt_weighted</f>
        <v>3.5860000000000003E-2</v>
      </c>
      <c r="W39" s="298">
        <f ca="1">+U39-V39</f>
        <v>0.1173361101876492</v>
      </c>
      <c r="X39" s="298">
        <f ca="1">+((W39*(1-0.34))-Pfd_weighted)/Equity_percent</f>
        <v>0.20712742070886181</v>
      </c>
      <c r="Y39" s="298">
        <f>+Y38</f>
        <v>2.5000000000000001E-3</v>
      </c>
      <c r="Z39" s="298">
        <f t="shared" ca="1" si="19"/>
        <v>0.20962742070886181</v>
      </c>
      <c r="AA39" s="298">
        <f ca="1">Z39*equityP</f>
        <v>0.12577645242531707</v>
      </c>
      <c r="AB39" s="298">
        <f ca="1">+AA39/(1-taxrate)</f>
        <v>0.15921069927255324</v>
      </c>
      <c r="AC39" s="298">
        <f>debtP*Debt_Rate</f>
        <v>1.2716825048595141E-2</v>
      </c>
      <c r="AD39" s="298">
        <f ca="1">+AC39+AB39</f>
        <v>0.17192752432114838</v>
      </c>
      <c r="AE39" s="298">
        <f ca="1">+AD39/(S39/100)</f>
        <v>9.5691816473720548E-2</v>
      </c>
      <c r="AF39" s="298">
        <f ca="1">1-AE39</f>
        <v>0.9043081835262794</v>
      </c>
      <c r="AG39" s="299">
        <f ca="1">expenses/(AF39)</f>
        <v>30719535.450412393</v>
      </c>
      <c r="AH39" s="525">
        <f ca="1">+AG39-Revenue</f>
        <v>-110668.37167495117</v>
      </c>
      <c r="AI39" s="300">
        <f ca="1">+AH39/$J$49</f>
        <v>-125489.60618644615</v>
      </c>
      <c r="AJ39" s="300">
        <f ca="1">+AI39*$J$47</f>
        <v>-2719.5692287251777</v>
      </c>
      <c r="AK39" s="299">
        <f t="shared" ca="1" si="18"/>
        <v>30716815.88118</v>
      </c>
    </row>
    <row r="40" spans="1:48" ht="15.75">
      <c r="A40" s="260"/>
      <c r="B40" s="260"/>
      <c r="C40" s="260"/>
      <c r="D40" s="260"/>
      <c r="E40" s="260"/>
      <c r="F40" s="301">
        <f t="shared" si="7"/>
        <v>34</v>
      </c>
      <c r="G40" s="353"/>
      <c r="H40" s="273"/>
      <c r="I40" s="273"/>
      <c r="J40" s="273"/>
      <c r="K40" s="273"/>
      <c r="L40" s="273"/>
      <c r="M40" s="273"/>
      <c r="N40" s="273"/>
      <c r="O40" s="260"/>
      <c r="P40" s="260"/>
      <c r="X40" s="334"/>
      <c r="Y40" s="334"/>
      <c r="Z40" s="334"/>
      <c r="AA40" s="352"/>
      <c r="AB40" s="335"/>
      <c r="AC40" s="334"/>
      <c r="AE40" s="334"/>
      <c r="AF40" s="334"/>
      <c r="AG40" s="335"/>
      <c r="AH40" s="333"/>
      <c r="AJ40" s="335"/>
    </row>
    <row r="41" spans="1:48" ht="15.75">
      <c r="A41" s="260"/>
      <c r="B41" s="260"/>
      <c r="C41" s="260"/>
      <c r="D41" s="260"/>
      <c r="E41" s="260"/>
      <c r="F41" s="301">
        <f t="shared" si="7"/>
        <v>35</v>
      </c>
      <c r="G41" s="273"/>
      <c r="H41" s="344" t="s">
        <v>618</v>
      </c>
      <c r="I41" s="356"/>
      <c r="J41" s="273"/>
      <c r="K41" s="273"/>
      <c r="L41" s="273"/>
      <c r="M41" s="273"/>
      <c r="N41" s="273"/>
      <c r="O41" s="260"/>
      <c r="P41" s="260"/>
      <c r="R41" s="357" t="s">
        <v>619</v>
      </c>
      <c r="S41" s="358"/>
      <c r="T41" s="316"/>
      <c r="U41" s="316"/>
      <c r="V41" s="317"/>
      <c r="X41" s="359"/>
      <c r="Y41" s="359"/>
      <c r="Z41" s="359"/>
      <c r="AA41" s="352"/>
      <c r="AB41" s="335"/>
      <c r="AC41" s="334"/>
      <c r="AE41" s="334"/>
      <c r="AF41" s="334"/>
      <c r="AG41" s="335"/>
      <c r="AH41" s="333"/>
      <c r="AJ41" s="335"/>
    </row>
    <row r="42" spans="1:48" ht="15.75">
      <c r="A42" s="260"/>
      <c r="B42" s="260"/>
      <c r="C42" s="260"/>
      <c r="D42" s="260"/>
      <c r="E42" s="260"/>
      <c r="F42" s="301">
        <f t="shared" si="7"/>
        <v>36</v>
      </c>
      <c r="G42" s="273"/>
      <c r="H42" s="273"/>
      <c r="I42" s="273"/>
      <c r="J42" s="360" t="s">
        <v>342</v>
      </c>
      <c r="K42" s="361" t="s">
        <v>286</v>
      </c>
      <c r="L42" s="273"/>
      <c r="M42" s="273"/>
      <c r="N42" s="273"/>
      <c r="O42" s="260"/>
      <c r="P42" s="260"/>
      <c r="R42" s="362" t="s">
        <v>620</v>
      </c>
      <c r="S42" s="363"/>
      <c r="T42" s="324"/>
      <c r="U42" s="324"/>
      <c r="V42" s="378"/>
      <c r="X42" s="334"/>
      <c r="Y42" s="334"/>
      <c r="Z42" s="334"/>
      <c r="AA42" s="352"/>
      <c r="AB42" s="335"/>
      <c r="AC42" s="334"/>
      <c r="AE42" s="334"/>
      <c r="AF42" s="334"/>
      <c r="AG42" s="335"/>
      <c r="AJ42" s="335"/>
    </row>
    <row r="43" spans="1:48" ht="15.75">
      <c r="A43" s="260"/>
      <c r="B43" s="260"/>
      <c r="C43" s="260"/>
      <c r="D43" s="260"/>
      <c r="E43" s="260"/>
      <c r="F43" s="301">
        <f t="shared" si="7"/>
        <v>37</v>
      </c>
      <c r="G43" s="273"/>
      <c r="H43" s="282" t="s">
        <v>622</v>
      </c>
      <c r="I43" s="364"/>
      <c r="J43" s="365">
        <f>IF(A64=TRUE,C11,0)</f>
        <v>1.4999999999999999E-2</v>
      </c>
      <c r="K43" s="366">
        <f ca="1">+J43*($J$7/$J$49)</f>
        <v>-1456.0557299907596</v>
      </c>
      <c r="L43" s="273"/>
      <c r="M43" s="273"/>
      <c r="N43" s="273"/>
      <c r="O43" s="260"/>
      <c r="P43" s="260"/>
      <c r="R43" s="302">
        <v>0</v>
      </c>
      <c r="S43" s="367">
        <v>1</v>
      </c>
      <c r="T43" s="324"/>
      <c r="U43" s="368" t="s">
        <v>616</v>
      </c>
      <c r="V43" s="369">
        <f ca="1">VLOOKUP(R48,R36:AG39,14)</f>
        <v>9.6429457261548848E-2</v>
      </c>
      <c r="AC43" s="334"/>
      <c r="AE43" s="334"/>
      <c r="AJ43" s="335"/>
      <c r="AN43" s="334"/>
      <c r="AO43" s="334"/>
      <c r="AP43" s="334"/>
      <c r="AQ43" s="334"/>
      <c r="AR43" s="334"/>
      <c r="AS43" s="334"/>
      <c r="AT43" s="334"/>
      <c r="AU43" s="334"/>
      <c r="AV43" s="334"/>
    </row>
    <row r="44" spans="1:48" ht="15.75">
      <c r="A44" s="260"/>
      <c r="B44" s="260"/>
      <c r="C44" s="260"/>
      <c r="D44" s="260"/>
      <c r="E44" s="260"/>
      <c r="F44" s="301">
        <f t="shared" si="7"/>
        <v>38</v>
      </c>
      <c r="G44" s="273"/>
      <c r="H44" s="282" t="s">
        <v>623</v>
      </c>
      <c r="I44" s="364"/>
      <c r="J44" s="365">
        <f>IF(A64=TRUE,C12,0)</f>
        <v>5.1000000000000004E-3</v>
      </c>
      <c r="K44" s="366">
        <f ca="1">+J44*($J$7/$J$49)</f>
        <v>-495.0589481968583</v>
      </c>
      <c r="L44" s="273"/>
      <c r="M44" s="273"/>
      <c r="N44" s="273"/>
      <c r="O44" s="260"/>
      <c r="P44" s="260"/>
      <c r="R44" s="302">
        <v>50</v>
      </c>
      <c r="S44" s="367">
        <v>2</v>
      </c>
      <c r="T44" s="324"/>
      <c r="U44" s="368" t="s">
        <v>164</v>
      </c>
      <c r="V44" s="369">
        <f ca="1">ROUND(1-V43,6)</f>
        <v>0.90357100000000001</v>
      </c>
      <c r="AA44" s="370"/>
      <c r="AB44" s="276"/>
      <c r="AC44" s="276"/>
      <c r="AE44" s="334"/>
      <c r="AH44" s="333"/>
      <c r="AJ44" s="335"/>
      <c r="AN44" s="334"/>
      <c r="AO44" s="334"/>
      <c r="AP44" s="334"/>
      <c r="AQ44" s="334"/>
      <c r="AR44" s="334"/>
      <c r="AS44" s="334"/>
      <c r="AT44" s="334"/>
      <c r="AU44" s="334"/>
      <c r="AV44" s="334"/>
    </row>
    <row r="45" spans="1:48" ht="15.75">
      <c r="A45" s="260"/>
      <c r="B45" s="260"/>
      <c r="C45" s="260"/>
      <c r="D45" s="260"/>
      <c r="E45" s="260"/>
      <c r="F45" s="301">
        <f t="shared" si="7"/>
        <v>39</v>
      </c>
      <c r="G45" s="273"/>
      <c r="H45" s="282" t="s">
        <v>624</v>
      </c>
      <c r="I45" s="364"/>
      <c r="J45" s="365">
        <f>IF(A64=TRUE,C13,0)</f>
        <v>0</v>
      </c>
      <c r="K45" s="366">
        <f ca="1">+J45*($J$7/$J$49)</f>
        <v>0</v>
      </c>
      <c r="L45" s="273"/>
      <c r="M45" s="273"/>
      <c r="N45" s="273"/>
      <c r="O45" s="260"/>
      <c r="P45" s="260"/>
      <c r="R45" s="302">
        <v>125</v>
      </c>
      <c r="S45" s="367">
        <v>3</v>
      </c>
      <c r="T45" s="324"/>
      <c r="U45" s="324" t="s">
        <v>625</v>
      </c>
      <c r="V45" s="371">
        <f ca="1">+M7/Revenue-1</f>
        <v>-2.8449160478212221E-3</v>
      </c>
      <c r="W45" s="372"/>
      <c r="X45" s="334"/>
      <c r="Y45" s="334"/>
      <c r="Z45" s="334"/>
      <c r="AA45" s="370"/>
      <c r="AB45" s="335"/>
      <c r="AC45" s="334"/>
      <c r="AE45" s="334"/>
      <c r="AF45" s="334"/>
      <c r="AG45" s="335"/>
      <c r="AH45" s="333"/>
      <c r="AJ45" s="335"/>
      <c r="AN45" s="334"/>
      <c r="AO45" s="334"/>
      <c r="AP45" s="334"/>
      <c r="AQ45" s="334"/>
      <c r="AR45" s="334"/>
      <c r="AS45" s="334"/>
      <c r="AT45" s="334"/>
      <c r="AU45" s="334"/>
      <c r="AV45" s="334"/>
    </row>
    <row r="46" spans="1:48" ht="15.75">
      <c r="A46" s="260"/>
      <c r="B46" s="260"/>
      <c r="C46" s="260"/>
      <c r="D46" s="260"/>
      <c r="E46" s="260"/>
      <c r="F46" s="301">
        <f t="shared" si="7"/>
        <v>40</v>
      </c>
      <c r="G46" s="273"/>
      <c r="H46" s="282" t="s">
        <v>626</v>
      </c>
      <c r="I46" s="364"/>
      <c r="J46" s="365">
        <f>IF(A64=TRUE,C14,0)</f>
        <v>1.5716691634570774E-3</v>
      </c>
      <c r="K46" s="366">
        <f ca="1">+J46*($J$7/$J$49)</f>
        <v>-152.56252607343075</v>
      </c>
      <c r="L46" s="273"/>
      <c r="M46" s="273"/>
      <c r="N46" s="273"/>
      <c r="O46" s="260"/>
      <c r="P46" s="260"/>
      <c r="R46" s="303">
        <v>401</v>
      </c>
      <c r="S46" s="373">
        <v>4</v>
      </c>
      <c r="T46" s="326"/>
      <c r="U46" s="326"/>
      <c r="V46" s="327"/>
      <c r="X46" s="334"/>
      <c r="Y46" s="334"/>
      <c r="Z46" s="334"/>
      <c r="AA46" s="352"/>
      <c r="AB46" s="335"/>
      <c r="AC46" s="334"/>
      <c r="AE46" s="334"/>
      <c r="AF46" s="334"/>
      <c r="AG46" s="335"/>
      <c r="AH46" s="333"/>
      <c r="AJ46" s="335"/>
      <c r="AN46" s="334"/>
      <c r="AO46" s="334"/>
      <c r="AP46" s="334"/>
      <c r="AQ46" s="334"/>
      <c r="AR46" s="334"/>
      <c r="AS46" s="334"/>
      <c r="AT46" s="334"/>
      <c r="AU46" s="334"/>
      <c r="AV46" s="334"/>
    </row>
    <row r="47" spans="1:48" ht="16.5" thickBot="1">
      <c r="A47" s="260"/>
      <c r="B47" s="260"/>
      <c r="C47" s="260"/>
      <c r="D47" s="260"/>
      <c r="E47" s="260"/>
      <c r="F47" s="301">
        <f t="shared" si="7"/>
        <v>41</v>
      </c>
      <c r="G47" s="273"/>
      <c r="H47" s="282" t="s">
        <v>627</v>
      </c>
      <c r="I47" s="353"/>
      <c r="J47" s="374">
        <f>SUM(J43:J46)</f>
        <v>2.1671669163457079E-2</v>
      </c>
      <c r="K47" s="339">
        <f ca="1">+K43+K44+K45+K46</f>
        <v>-2103.6772042610487</v>
      </c>
      <c r="L47" s="273"/>
      <c r="M47" s="273"/>
      <c r="N47" s="273"/>
      <c r="O47" s="260"/>
      <c r="P47" s="260"/>
      <c r="R47" s="306">
        <f ca="1">VLOOKUP(R48,R36:S39,2)</f>
        <v>179.8182412453657</v>
      </c>
      <c r="S47" s="375" t="s">
        <v>628</v>
      </c>
      <c r="T47" s="317"/>
      <c r="X47" s="269" t="s">
        <v>629</v>
      </c>
      <c r="AE47" s="334"/>
      <c r="AH47" s="333"/>
      <c r="AJ47" s="335"/>
    </row>
    <row r="48" spans="1:48" ht="16.5" thickTop="1">
      <c r="A48" s="260"/>
      <c r="B48" s="260"/>
      <c r="C48" s="260"/>
      <c r="D48" s="260"/>
      <c r="E48" s="260"/>
      <c r="F48" s="301">
        <f t="shared" si="7"/>
        <v>42</v>
      </c>
      <c r="G48" s="273"/>
      <c r="H48" s="273"/>
      <c r="I48" s="273"/>
      <c r="J48" s="376"/>
      <c r="K48" s="273"/>
      <c r="L48" s="273"/>
      <c r="M48" s="273"/>
      <c r="N48" s="273"/>
      <c r="O48" s="260"/>
      <c r="P48" s="260"/>
      <c r="R48" s="302">
        <f ca="1">VLOOKUP(S36,R43:S46,2)</f>
        <v>3</v>
      </c>
      <c r="S48" s="377" t="s">
        <v>630</v>
      </c>
      <c r="T48" s="378"/>
      <c r="X48" s="269" t="s">
        <v>631</v>
      </c>
      <c r="AC48" s="276"/>
      <c r="AE48" s="334"/>
      <c r="AJ48" s="335"/>
    </row>
    <row r="49" spans="1:48" ht="15.75">
      <c r="A49" s="260"/>
      <c r="B49" s="260"/>
      <c r="C49" s="260"/>
      <c r="D49" s="260"/>
      <c r="E49" s="260"/>
      <c r="F49" s="301">
        <f t="shared" si="7"/>
        <v>43</v>
      </c>
      <c r="G49" s="278"/>
      <c r="H49" s="379" t="s">
        <v>632</v>
      </c>
      <c r="I49" s="380"/>
      <c r="J49" s="381">
        <f ca="1">((K35)-J47)</f>
        <v>0.88189273229948351</v>
      </c>
      <c r="K49" s="380"/>
      <c r="L49" s="380"/>
      <c r="M49" s="380"/>
      <c r="N49" s="380"/>
      <c r="O49" s="260"/>
      <c r="P49" s="260"/>
      <c r="R49" s="302"/>
      <c r="S49" s="377"/>
      <c r="T49" s="378"/>
      <c r="X49" s="269" t="s">
        <v>633</v>
      </c>
      <c r="AC49" s="334"/>
      <c r="AE49" s="334"/>
      <c r="AF49" s="334"/>
      <c r="AG49" s="335"/>
      <c r="AJ49" s="335"/>
    </row>
    <row r="50" spans="1:48">
      <c r="A50" s="260"/>
      <c r="B50" s="260"/>
      <c r="C50" s="260"/>
      <c r="D50" s="260"/>
      <c r="E50" s="260"/>
      <c r="F50" s="260"/>
      <c r="G50" s="260"/>
      <c r="H50" s="260"/>
      <c r="I50" s="260"/>
      <c r="J50" s="260"/>
      <c r="K50" s="382"/>
      <c r="L50" s="260"/>
      <c r="M50" s="260"/>
      <c r="N50" s="383"/>
      <c r="O50" s="260"/>
      <c r="P50" s="260"/>
      <c r="R50" s="384">
        <f ca="1">+V44</f>
        <v>0.90357100000000001</v>
      </c>
      <c r="S50" s="385" t="s">
        <v>164</v>
      </c>
      <c r="T50" s="386"/>
      <c r="X50" s="269" t="s">
        <v>634</v>
      </c>
      <c r="AC50" s="334"/>
      <c r="AE50" s="334"/>
      <c r="AF50" s="334"/>
      <c r="AG50" s="335"/>
      <c r="AH50" s="334"/>
      <c r="AJ50" s="335"/>
      <c r="AN50" s="334"/>
      <c r="AO50" s="334"/>
      <c r="AP50" s="334"/>
      <c r="AQ50" s="334"/>
      <c r="AR50" s="334"/>
      <c r="AS50" s="334"/>
      <c r="AT50" s="334"/>
      <c r="AU50" s="334"/>
      <c r="AV50" s="334"/>
    </row>
    <row r="51" spans="1:48">
      <c r="A51" s="260"/>
      <c r="B51" s="260"/>
      <c r="C51" s="260"/>
      <c r="D51" s="260"/>
      <c r="E51" s="260"/>
      <c r="F51" s="260"/>
      <c r="G51" s="260"/>
      <c r="H51" s="260"/>
      <c r="I51" s="260"/>
      <c r="J51" s="260"/>
      <c r="K51" s="260"/>
      <c r="L51" s="260"/>
      <c r="M51" s="260"/>
      <c r="N51" s="260"/>
      <c r="O51" s="260"/>
      <c r="P51" s="260"/>
      <c r="R51" s="269"/>
      <c r="AB51" s="335"/>
      <c r="AC51" s="334"/>
      <c r="AE51" s="334"/>
      <c r="AF51" s="334"/>
      <c r="AG51" s="335"/>
      <c r="AH51" s="333"/>
      <c r="AJ51" s="335"/>
      <c r="AN51" s="334"/>
      <c r="AO51" s="334"/>
      <c r="AP51" s="334"/>
      <c r="AQ51" s="334"/>
      <c r="AR51" s="334"/>
      <c r="AS51" s="334"/>
      <c r="AT51" s="334"/>
      <c r="AU51" s="334"/>
      <c r="AV51" s="334"/>
    </row>
    <row r="52" spans="1:48">
      <c r="A52" s="260"/>
      <c r="B52" s="260"/>
      <c r="C52" s="260"/>
      <c r="D52" s="260"/>
      <c r="E52" s="260"/>
      <c r="F52" s="260"/>
      <c r="G52" s="260"/>
      <c r="H52" s="260"/>
      <c r="I52" s="260"/>
      <c r="J52" s="387"/>
      <c r="K52" s="387"/>
      <c r="L52" s="387"/>
      <c r="M52" s="387"/>
      <c r="N52" s="260"/>
      <c r="O52" s="260"/>
      <c r="P52" s="260"/>
      <c r="R52" s="269"/>
      <c r="AB52" s="335"/>
      <c r="AC52" s="334"/>
      <c r="AE52" s="334"/>
      <c r="AF52" s="334"/>
      <c r="AG52" s="335"/>
      <c r="AH52" s="333"/>
      <c r="AJ52" s="335"/>
      <c r="AN52" s="334"/>
      <c r="AO52" s="334"/>
      <c r="AP52" s="334"/>
      <c r="AQ52" s="334"/>
      <c r="AR52" s="334"/>
      <c r="AS52" s="334"/>
      <c r="AT52" s="334"/>
      <c r="AU52" s="334"/>
      <c r="AV52" s="334"/>
    </row>
    <row r="53" spans="1:48" ht="15.75">
      <c r="A53" s="260"/>
      <c r="B53" s="260"/>
      <c r="C53" s="260"/>
      <c r="D53" s="260"/>
      <c r="E53" s="260"/>
      <c r="F53" s="260"/>
      <c r="G53" s="260"/>
      <c r="H53" s="260"/>
      <c r="I53" s="260"/>
      <c r="J53" s="260"/>
      <c r="K53" s="387"/>
      <c r="L53" s="387"/>
      <c r="M53" s="387"/>
      <c r="N53" s="260"/>
      <c r="O53" s="260"/>
      <c r="P53" s="260"/>
      <c r="R53" s="269"/>
      <c r="S53" s="269" t="s">
        <v>635</v>
      </c>
      <c r="T53" s="334"/>
      <c r="U53" s="388"/>
      <c r="W53" s="389" t="s">
        <v>636</v>
      </c>
      <c r="X53" s="390"/>
      <c r="Y53" s="390"/>
      <c r="Z53" s="390"/>
      <c r="AA53" s="390"/>
      <c r="AB53" s="390"/>
      <c r="AE53" s="334"/>
      <c r="AH53" s="333"/>
      <c r="AJ53" s="335"/>
      <c r="AN53" s="334"/>
      <c r="AO53" s="334"/>
      <c r="AP53" s="334"/>
      <c r="AQ53" s="334"/>
      <c r="AR53" s="334"/>
      <c r="AS53" s="334"/>
      <c r="AT53" s="334"/>
      <c r="AU53" s="334"/>
      <c r="AV53" s="334"/>
    </row>
    <row r="54" spans="1:48">
      <c r="A54" s="260"/>
      <c r="B54" s="260"/>
      <c r="C54" s="260"/>
      <c r="D54" s="260"/>
      <c r="E54" s="260"/>
      <c r="F54" s="260"/>
      <c r="G54" s="260"/>
      <c r="H54" s="260"/>
      <c r="I54" s="260"/>
      <c r="J54" s="260"/>
      <c r="K54" s="260"/>
      <c r="L54" s="391"/>
      <c r="M54" s="391"/>
      <c r="N54" s="260"/>
      <c r="O54" s="260"/>
      <c r="P54" s="260"/>
      <c r="R54" s="392"/>
      <c r="S54" s="393" t="s">
        <v>602</v>
      </c>
      <c r="T54" s="393" t="s">
        <v>353</v>
      </c>
      <c r="U54" s="394" t="s">
        <v>605</v>
      </c>
      <c r="W54" s="395" t="s">
        <v>637</v>
      </c>
      <c r="X54" s="396">
        <v>5.7225999999999999</v>
      </c>
      <c r="Y54" s="397" t="s">
        <v>638</v>
      </c>
      <c r="Z54" s="398">
        <v>5.6985000000000001</v>
      </c>
      <c r="AC54" s="276"/>
      <c r="AE54" s="334"/>
      <c r="AJ54" s="335"/>
    </row>
    <row r="55" spans="1:48">
      <c r="A55" s="260"/>
      <c r="B55" s="260"/>
      <c r="C55" s="260"/>
      <c r="D55" s="260"/>
      <c r="E55" s="260"/>
      <c r="F55" s="260"/>
      <c r="G55" s="260"/>
      <c r="H55" s="260"/>
      <c r="I55" s="260"/>
      <c r="J55" s="391"/>
      <c r="K55" s="260"/>
      <c r="L55" s="391"/>
      <c r="M55" s="391"/>
      <c r="N55" s="260"/>
      <c r="O55" s="260"/>
      <c r="P55" s="260"/>
      <c r="R55" s="270" t="s">
        <v>575</v>
      </c>
      <c r="S55" s="399">
        <v>0.56200000000000006</v>
      </c>
      <c r="T55" s="399">
        <v>6.3799999999999996E-2</v>
      </c>
      <c r="U55" s="400">
        <f>ROUND(+S55*T55,5)</f>
        <v>3.5860000000000003E-2</v>
      </c>
      <c r="W55" s="401" t="s">
        <v>639</v>
      </c>
      <c r="X55" s="402">
        <v>5.7082699999999997</v>
      </c>
      <c r="Y55" s="403" t="s">
        <v>640</v>
      </c>
      <c r="Z55" s="404">
        <v>5.6921999999999997</v>
      </c>
      <c r="AC55" s="334"/>
      <c r="AE55" s="334"/>
      <c r="AF55" s="334"/>
      <c r="AG55" s="335"/>
      <c r="AJ55" s="335"/>
    </row>
    <row r="56" spans="1:48">
      <c r="A56" s="260"/>
      <c r="B56" s="260"/>
      <c r="C56" s="260"/>
      <c r="D56" s="260"/>
      <c r="E56" s="387"/>
      <c r="F56" s="260"/>
      <c r="G56" s="260"/>
      <c r="H56" s="260"/>
      <c r="I56" s="260"/>
      <c r="J56" s="391"/>
      <c r="K56" s="260"/>
      <c r="L56" s="391"/>
      <c r="M56" s="391"/>
      <c r="N56" s="260"/>
      <c r="O56" s="260"/>
      <c r="P56" s="260"/>
      <c r="R56" s="270" t="s">
        <v>641</v>
      </c>
      <c r="S56" s="399">
        <v>9.4E-2</v>
      </c>
      <c r="T56" s="399">
        <v>6.59E-2</v>
      </c>
      <c r="U56" s="400">
        <f>ROUND(+S56*T56,5)</f>
        <v>6.1900000000000002E-3</v>
      </c>
      <c r="W56" s="270"/>
      <c r="X56" s="324"/>
      <c r="Y56" s="405"/>
      <c r="Z56" s="406"/>
      <c r="AC56" s="334"/>
      <c r="AE56" s="334"/>
      <c r="AF56" s="334"/>
      <c r="AG56" s="335"/>
      <c r="AH56" s="333"/>
      <c r="AJ56" s="335"/>
      <c r="AN56" s="334"/>
    </row>
    <row r="57" spans="1:48" ht="15.75">
      <c r="A57" s="260"/>
      <c r="B57" s="260"/>
      <c r="C57" s="260"/>
      <c r="D57" s="260"/>
      <c r="E57" s="387"/>
      <c r="F57" s="387"/>
      <c r="G57" s="387"/>
      <c r="H57" s="407"/>
      <c r="I57" s="387"/>
      <c r="J57" s="391"/>
      <c r="K57" s="260"/>
      <c r="L57" s="260"/>
      <c r="M57" s="260"/>
      <c r="N57" s="260"/>
      <c r="O57" s="260"/>
      <c r="P57" s="260"/>
      <c r="R57" s="270" t="s">
        <v>573</v>
      </c>
      <c r="S57" s="408">
        <v>0.34399999999999997</v>
      </c>
      <c r="T57" s="409"/>
      <c r="U57" s="410"/>
      <c r="W57" s="325"/>
      <c r="X57" s="411" t="s">
        <v>642</v>
      </c>
      <c r="Y57" s="412">
        <v>0.68367</v>
      </c>
      <c r="Z57" s="413"/>
      <c r="AC57" s="334"/>
      <c r="AE57" s="334"/>
      <c r="AF57" s="334"/>
      <c r="AG57" s="335"/>
      <c r="AH57" s="333"/>
      <c r="AJ57" s="335"/>
    </row>
    <row r="58" spans="1:48" ht="15.75">
      <c r="A58" s="260"/>
      <c r="B58" s="260"/>
      <c r="C58" s="260"/>
      <c r="D58" s="260"/>
      <c r="E58" s="260"/>
      <c r="F58" s="260"/>
      <c r="G58" s="260"/>
      <c r="H58" s="260"/>
      <c r="I58" s="260"/>
      <c r="J58" s="260"/>
      <c r="K58" s="260"/>
      <c r="L58" s="260"/>
      <c r="M58" s="260"/>
      <c r="N58" s="260"/>
      <c r="O58" s="260"/>
      <c r="P58" s="260"/>
      <c r="R58" s="325"/>
      <c r="S58" s="408">
        <f>SUM(S55:S57)</f>
        <v>1</v>
      </c>
      <c r="T58" s="414"/>
      <c r="U58" s="415"/>
      <c r="X58" s="334"/>
      <c r="Y58" s="334"/>
      <c r="Z58" s="334"/>
      <c r="AA58" s="352"/>
      <c r="AB58" s="335"/>
      <c r="AC58" s="334"/>
      <c r="AE58" s="334"/>
      <c r="AF58" s="334"/>
      <c r="AG58" s="335"/>
      <c r="AH58" s="333"/>
      <c r="AJ58" s="335"/>
    </row>
    <row r="59" spans="1:48">
      <c r="A59" s="260"/>
      <c r="B59" s="260"/>
      <c r="C59" s="260"/>
      <c r="D59" s="260"/>
      <c r="E59" s="260"/>
      <c r="F59" s="260"/>
      <c r="G59" s="260"/>
      <c r="H59" s="260"/>
      <c r="I59" s="260"/>
      <c r="J59" s="260"/>
      <c r="K59" s="260"/>
      <c r="L59" s="260"/>
      <c r="M59" s="260"/>
      <c r="N59" s="260"/>
      <c r="O59" s="260"/>
      <c r="P59" s="260"/>
      <c r="X59" s="416"/>
      <c r="Y59" s="416"/>
      <c r="Z59" s="416"/>
      <c r="AE59" s="334"/>
      <c r="AH59" s="333"/>
      <c r="AJ59" s="335"/>
      <c r="AN59" s="333"/>
      <c r="AO59" s="333"/>
      <c r="AP59" s="333"/>
      <c r="AQ59" s="333"/>
      <c r="AR59" s="333"/>
      <c r="AS59" s="333"/>
      <c r="AT59" s="333"/>
      <c r="AU59" s="333"/>
      <c r="AV59" s="333"/>
    </row>
    <row r="60" spans="1:48">
      <c r="A60" s="260"/>
      <c r="B60" s="260"/>
      <c r="C60" s="260"/>
      <c r="D60" s="260"/>
      <c r="E60" s="387"/>
      <c r="F60" s="260"/>
      <c r="G60" s="260"/>
      <c r="H60" s="260"/>
      <c r="I60" s="260"/>
      <c r="J60" s="260"/>
      <c r="K60" s="260"/>
      <c r="L60" s="260"/>
      <c r="M60" s="260"/>
      <c r="N60" s="260"/>
      <c r="O60" s="260"/>
      <c r="P60" s="260"/>
      <c r="R60" s="269"/>
      <c r="S60" s="417"/>
      <c r="W60" s="392"/>
      <c r="X60" s="418" t="s">
        <v>611</v>
      </c>
      <c r="Y60" s="418" t="s">
        <v>643</v>
      </c>
      <c r="Z60" s="419" t="s">
        <v>558</v>
      </c>
      <c r="AE60" s="334"/>
      <c r="AJ60" s="335"/>
      <c r="AN60" s="333"/>
      <c r="AO60" s="333"/>
      <c r="AP60" s="333"/>
      <c r="AQ60" s="333"/>
      <c r="AR60" s="333"/>
      <c r="AS60" s="333"/>
      <c r="AT60" s="333"/>
      <c r="AU60" s="333"/>
      <c r="AV60" s="333"/>
    </row>
    <row r="61" spans="1:48">
      <c r="A61" s="260"/>
      <c r="B61" s="260"/>
      <c r="C61" s="260"/>
      <c r="D61" s="260"/>
      <c r="E61" s="260"/>
      <c r="F61" s="387"/>
      <c r="G61" s="387"/>
      <c r="H61" s="387"/>
      <c r="I61" s="387"/>
      <c r="J61" s="387"/>
      <c r="K61" s="387"/>
      <c r="L61" s="387"/>
      <c r="M61" s="387"/>
      <c r="N61" s="387"/>
      <c r="O61" s="260"/>
      <c r="P61" s="260"/>
      <c r="R61" s="269"/>
      <c r="W61" s="270"/>
      <c r="X61" s="420"/>
      <c r="Y61" s="420"/>
      <c r="Z61" s="421"/>
      <c r="AE61" s="334"/>
      <c r="AF61" s="334"/>
      <c r="AG61" s="335"/>
      <c r="AJ61" s="335"/>
      <c r="AN61" s="333"/>
      <c r="AO61" s="333"/>
      <c r="AP61" s="333"/>
      <c r="AQ61" s="333"/>
      <c r="AR61" s="333"/>
      <c r="AS61" s="333"/>
      <c r="AT61" s="333"/>
      <c r="AU61" s="333"/>
      <c r="AV61" s="333"/>
    </row>
    <row r="62" spans="1:48">
      <c r="A62" s="260"/>
      <c r="B62" s="260"/>
      <c r="C62" s="260"/>
      <c r="D62" s="260"/>
      <c r="E62" s="260"/>
      <c r="F62" s="260"/>
      <c r="G62" s="260"/>
      <c r="H62" s="260"/>
      <c r="I62" s="260"/>
      <c r="J62" s="260"/>
      <c r="K62" s="260"/>
      <c r="L62" s="260"/>
      <c r="M62" s="260"/>
      <c r="N62" s="260"/>
      <c r="O62" s="260"/>
      <c r="P62" s="260"/>
      <c r="R62" s="269"/>
      <c r="S62" s="417"/>
      <c r="W62" s="270"/>
      <c r="X62" s="368" t="s">
        <v>613</v>
      </c>
      <c r="Y62" s="369">
        <f t="shared" ref="Y62:Z67" ca="1" si="20">+J33</f>
        <v>0.17340870798063218</v>
      </c>
      <c r="Z62" s="369">
        <f t="shared" ca="1" si="20"/>
        <v>0.13966341256490442</v>
      </c>
      <c r="AE62" s="334"/>
      <c r="AF62" s="334"/>
      <c r="AG62" s="335"/>
      <c r="AH62" s="333"/>
      <c r="AJ62" s="335"/>
      <c r="AN62" s="333"/>
      <c r="AO62" s="333"/>
      <c r="AP62" s="333"/>
      <c r="AQ62" s="333"/>
      <c r="AR62" s="333"/>
      <c r="AS62" s="333"/>
      <c r="AT62" s="333"/>
      <c r="AU62" s="333"/>
      <c r="AV62" s="333"/>
    </row>
    <row r="63" spans="1:48">
      <c r="A63" s="260"/>
      <c r="B63" s="260"/>
      <c r="C63" s="260"/>
      <c r="D63" s="260"/>
      <c r="E63" s="260"/>
      <c r="F63" s="260"/>
      <c r="G63" s="260"/>
      <c r="H63" s="260"/>
      <c r="I63" s="260"/>
      <c r="J63" s="260"/>
      <c r="K63" s="260"/>
      <c r="L63" s="260"/>
      <c r="M63" s="260"/>
      <c r="N63" s="260"/>
      <c r="O63" s="260"/>
      <c r="P63" s="260"/>
      <c r="R63" s="269"/>
      <c r="W63" s="270"/>
      <c r="X63" s="368" t="s">
        <v>614</v>
      </c>
      <c r="Y63" s="369">
        <f t="shared" ca="1" si="20"/>
        <v>0.26781980488672841</v>
      </c>
      <c r="Z63" s="369">
        <f t="shared" ca="1" si="20"/>
        <v>0.21157764586051547</v>
      </c>
      <c r="AE63" s="334"/>
      <c r="AF63" s="334"/>
      <c r="AG63" s="335"/>
      <c r="AH63" s="333"/>
      <c r="AJ63" s="335"/>
    </row>
    <row r="64" spans="1:48">
      <c r="A64" s="269" t="b">
        <v>1</v>
      </c>
      <c r="B64" s="260"/>
      <c r="C64" s="260"/>
      <c r="F64" s="260"/>
      <c r="G64" s="260"/>
      <c r="H64" s="260"/>
      <c r="I64" s="260"/>
      <c r="J64" s="260"/>
      <c r="K64" s="260"/>
      <c r="L64" s="260"/>
      <c r="M64" s="260"/>
      <c r="N64" s="260"/>
      <c r="R64" s="269"/>
      <c r="S64" s="417"/>
      <c r="W64" s="270"/>
      <c r="X64" s="368" t="s">
        <v>164</v>
      </c>
      <c r="Y64" s="369">
        <f t="shared" ca="1" si="20"/>
        <v>0.90357100000000001</v>
      </c>
      <c r="Z64" s="369">
        <f t="shared" ca="1" si="20"/>
        <v>0.90356440146294059</v>
      </c>
      <c r="AE64" s="334"/>
      <c r="AF64" s="334"/>
      <c r="AG64" s="335"/>
      <c r="AH64" s="333"/>
      <c r="AJ64" s="335"/>
    </row>
    <row r="65" spans="8:40">
      <c r="H65" s="333"/>
      <c r="I65" s="333"/>
      <c r="J65" s="333"/>
      <c r="K65" s="333"/>
      <c r="L65" s="333"/>
      <c r="M65" s="333"/>
      <c r="N65" s="333"/>
      <c r="O65" s="333"/>
      <c r="R65" s="269"/>
      <c r="W65" s="270"/>
      <c r="X65" s="368" t="s">
        <v>616</v>
      </c>
      <c r="Y65" s="369">
        <f t="shared" ca="1" si="20"/>
        <v>9.6428999999999973E-2</v>
      </c>
      <c r="Z65" s="369">
        <f t="shared" ca="1" si="20"/>
        <v>9.6428999999999973E-2</v>
      </c>
      <c r="AE65" s="334"/>
      <c r="AH65" s="333"/>
      <c r="AJ65" s="335"/>
      <c r="AN65" s="333"/>
    </row>
    <row r="66" spans="8:40">
      <c r="H66" s="333"/>
      <c r="I66" s="333"/>
      <c r="J66" s="333"/>
      <c r="K66" s="333"/>
      <c r="L66" s="333"/>
      <c r="M66" s="333"/>
      <c r="N66" s="333"/>
      <c r="O66" s="333"/>
      <c r="R66" s="269"/>
      <c r="S66" s="417"/>
      <c r="W66" s="270"/>
      <c r="X66" s="368" t="s">
        <v>617</v>
      </c>
      <c r="Y66" s="369">
        <f t="shared" ca="1" si="20"/>
        <v>1.7966794931556569</v>
      </c>
      <c r="Z66" s="369">
        <f t="shared" ca="1" si="20"/>
        <v>1.7966794931556569</v>
      </c>
      <c r="AE66" s="334"/>
      <c r="AJ66" s="335"/>
    </row>
    <row r="67" spans="8:40">
      <c r="O67" s="333"/>
      <c r="W67" s="325"/>
      <c r="X67" s="422" t="s">
        <v>333</v>
      </c>
      <c r="Y67" s="423">
        <f t="shared" si="20"/>
        <v>0.21</v>
      </c>
      <c r="Z67" s="423">
        <f t="shared" si="20"/>
        <v>0.21</v>
      </c>
      <c r="AE67" s="334"/>
      <c r="AF67" s="334"/>
      <c r="AG67" s="335"/>
      <c r="AJ67" s="335"/>
    </row>
    <row r="68" spans="8:40">
      <c r="O68" s="333"/>
      <c r="W68" s="368"/>
      <c r="AE68" s="334"/>
      <c r="AF68" s="334"/>
      <c r="AG68" s="335"/>
      <c r="AH68" s="333"/>
      <c r="AJ68" s="335"/>
    </row>
    <row r="69" spans="8:40">
      <c r="O69" s="333"/>
      <c r="X69" s="334"/>
      <c r="Y69" s="334"/>
      <c r="Z69" s="334"/>
      <c r="AA69" s="352"/>
      <c r="AB69" s="335"/>
      <c r="AC69" s="334"/>
      <c r="AE69" s="334"/>
      <c r="AF69" s="334"/>
      <c r="AG69" s="335"/>
      <c r="AH69" s="333"/>
      <c r="AJ69" s="335"/>
    </row>
    <row r="70" spans="8:40">
      <c r="X70" s="334"/>
      <c r="Y70" s="334"/>
      <c r="Z70" s="334"/>
      <c r="AA70" s="352"/>
      <c r="AB70" s="335"/>
      <c r="AC70" s="334"/>
      <c r="AE70" s="334"/>
      <c r="AF70" s="334"/>
      <c r="AG70" s="335"/>
      <c r="AH70" s="333"/>
      <c r="AJ70" s="335"/>
    </row>
    <row r="71" spans="8:40">
      <c r="AE71" s="334"/>
      <c r="AH71" s="333"/>
      <c r="AJ71" s="335"/>
    </row>
    <row r="72" spans="8:40">
      <c r="AA72" s="276"/>
      <c r="AB72" s="276"/>
      <c r="AC72" s="276"/>
      <c r="AE72" s="334"/>
      <c r="AJ72" s="335"/>
    </row>
    <row r="73" spans="8:40">
      <c r="X73" s="334"/>
      <c r="Y73" s="334"/>
      <c r="Z73" s="334"/>
      <c r="AA73" s="352"/>
      <c r="AB73" s="335"/>
      <c r="AC73" s="334"/>
      <c r="AE73" s="334"/>
      <c r="AF73" s="334"/>
      <c r="AG73" s="335"/>
      <c r="AJ73" s="335"/>
    </row>
    <row r="74" spans="8:40">
      <c r="X74" s="334"/>
      <c r="Y74" s="334"/>
      <c r="Z74" s="334"/>
      <c r="AA74" s="352"/>
      <c r="AB74" s="335"/>
      <c r="AC74" s="334"/>
      <c r="AE74" s="334"/>
      <c r="AF74" s="334"/>
      <c r="AG74" s="335"/>
      <c r="AH74" s="333"/>
      <c r="AJ74" s="335"/>
    </row>
    <row r="75" spans="8:40">
      <c r="X75" s="334"/>
      <c r="Y75" s="334"/>
      <c r="Z75" s="334"/>
      <c r="AA75" s="352"/>
      <c r="AB75" s="335"/>
      <c r="AC75" s="334"/>
      <c r="AE75" s="334"/>
      <c r="AF75" s="334"/>
      <c r="AG75" s="335"/>
      <c r="AH75" s="333"/>
      <c r="AJ75" s="335"/>
    </row>
    <row r="76" spans="8:40">
      <c r="X76" s="334"/>
      <c r="Y76" s="334"/>
      <c r="Z76" s="334"/>
      <c r="AA76" s="352"/>
      <c r="AB76" s="335"/>
      <c r="AC76" s="334"/>
      <c r="AE76" s="334"/>
      <c r="AF76" s="334"/>
      <c r="AG76" s="335"/>
      <c r="AH76" s="333"/>
      <c r="AJ76" s="335"/>
    </row>
    <row r="77" spans="8:40">
      <c r="AE77" s="334"/>
      <c r="AH77" s="333"/>
      <c r="AJ77" s="335"/>
    </row>
    <row r="79" spans="8:40">
      <c r="X79" s="334"/>
      <c r="Y79" s="334"/>
      <c r="Z79" s="334"/>
      <c r="AA79" s="352"/>
      <c r="AB79" s="335"/>
      <c r="AC79" s="334"/>
      <c r="AF79" s="334"/>
      <c r="AG79" s="335"/>
    </row>
    <row r="80" spans="8:40">
      <c r="X80" s="334"/>
      <c r="Y80" s="334"/>
      <c r="Z80" s="334"/>
      <c r="AA80" s="352"/>
      <c r="AB80" s="335"/>
      <c r="AC80" s="334"/>
      <c r="AF80" s="334"/>
      <c r="AG80" s="335"/>
      <c r="AH80" s="333"/>
    </row>
    <row r="81" spans="24:34">
      <c r="X81" s="334"/>
      <c r="Y81" s="334"/>
      <c r="Z81" s="334"/>
      <c r="AA81" s="352"/>
      <c r="AB81" s="335"/>
      <c r="AC81" s="334"/>
      <c r="AF81" s="334"/>
      <c r="AG81" s="335"/>
      <c r="AH81" s="333"/>
    </row>
    <row r="82" spans="24:34">
      <c r="X82" s="334"/>
      <c r="Y82" s="334"/>
      <c r="Z82" s="334"/>
      <c r="AA82" s="352"/>
      <c r="AB82" s="335"/>
      <c r="AC82" s="334"/>
      <c r="AF82" s="334"/>
      <c r="AG82" s="335"/>
      <c r="AH82" s="333"/>
    </row>
    <row r="83" spans="24:34">
      <c r="AH83" s="333"/>
    </row>
    <row r="85" spans="24:34">
      <c r="X85" s="334"/>
      <c r="Y85" s="334"/>
      <c r="Z85" s="334"/>
      <c r="AA85" s="352"/>
      <c r="AB85" s="335"/>
      <c r="AC85" s="334"/>
      <c r="AF85" s="334"/>
      <c r="AG85" s="335"/>
    </row>
    <row r="86" spans="24:34">
      <c r="X86" s="334"/>
      <c r="Y86" s="334"/>
      <c r="Z86" s="334"/>
      <c r="AA86" s="352"/>
      <c r="AB86" s="335"/>
      <c r="AC86" s="334"/>
      <c r="AF86" s="334"/>
      <c r="AG86" s="335"/>
      <c r="AH86" s="333"/>
    </row>
    <row r="87" spans="24:34">
      <c r="X87" s="334"/>
      <c r="Y87" s="334"/>
      <c r="Z87" s="334"/>
      <c r="AA87" s="352"/>
      <c r="AB87" s="335"/>
      <c r="AC87" s="334"/>
      <c r="AF87" s="334"/>
      <c r="AG87" s="335"/>
      <c r="AH87" s="333"/>
    </row>
    <row r="88" spans="24:34">
      <c r="X88" s="334"/>
      <c r="Y88" s="334"/>
      <c r="Z88" s="334"/>
      <c r="AA88" s="352"/>
      <c r="AB88" s="335"/>
      <c r="AC88" s="334"/>
      <c r="AF88" s="334"/>
      <c r="AG88" s="335"/>
      <c r="AH88" s="333"/>
    </row>
    <row r="89" spans="24:34">
      <c r="AH89" s="333"/>
    </row>
    <row r="91" spans="24:34">
      <c r="X91" s="334"/>
      <c r="Y91" s="334"/>
      <c r="Z91" s="334"/>
      <c r="AA91" s="352"/>
      <c r="AB91" s="335"/>
      <c r="AC91" s="334"/>
      <c r="AF91" s="334"/>
      <c r="AG91" s="335"/>
    </row>
    <row r="92" spans="24:34">
      <c r="X92" s="334"/>
      <c r="Y92" s="334"/>
      <c r="Z92" s="334"/>
      <c r="AA92" s="352"/>
      <c r="AB92" s="335"/>
      <c r="AC92" s="334"/>
      <c r="AF92" s="334"/>
      <c r="AG92" s="335"/>
      <c r="AH92" s="333"/>
    </row>
    <row r="93" spans="24:34">
      <c r="X93" s="334"/>
      <c r="Y93" s="334"/>
      <c r="Z93" s="334"/>
      <c r="AA93" s="352"/>
      <c r="AB93" s="335"/>
      <c r="AC93" s="334"/>
      <c r="AF93" s="334"/>
      <c r="AG93" s="335"/>
      <c r="AH93" s="333"/>
    </row>
    <row r="94" spans="24:34">
      <c r="X94" s="334"/>
      <c r="Y94" s="334"/>
      <c r="Z94" s="334"/>
      <c r="AA94" s="352"/>
      <c r="AB94" s="335"/>
      <c r="AC94" s="334"/>
      <c r="AF94" s="334"/>
      <c r="AG94" s="335"/>
      <c r="AH94" s="333"/>
    </row>
    <row r="95" spans="24:34">
      <c r="AH95" s="333"/>
    </row>
    <row r="97" spans="24:34">
      <c r="X97" s="334"/>
      <c r="Y97" s="334"/>
      <c r="Z97" s="334"/>
      <c r="AA97" s="352"/>
      <c r="AB97" s="335"/>
      <c r="AC97" s="334"/>
      <c r="AF97" s="334"/>
      <c r="AG97" s="335"/>
    </row>
    <row r="98" spans="24:34">
      <c r="X98" s="334"/>
      <c r="Y98" s="334"/>
      <c r="Z98" s="334"/>
      <c r="AA98" s="352"/>
      <c r="AB98" s="335"/>
      <c r="AC98" s="334"/>
      <c r="AF98" s="334"/>
      <c r="AG98" s="335"/>
      <c r="AH98" s="333"/>
    </row>
    <row r="99" spans="24:34">
      <c r="X99" s="334"/>
      <c r="Y99" s="334"/>
      <c r="Z99" s="334"/>
      <c r="AA99" s="352"/>
      <c r="AB99" s="335"/>
      <c r="AC99" s="334"/>
      <c r="AF99" s="334"/>
      <c r="AG99" s="335"/>
      <c r="AH99" s="333"/>
    </row>
    <row r="100" spans="24:34">
      <c r="X100" s="334"/>
      <c r="Y100" s="334"/>
      <c r="Z100" s="334"/>
      <c r="AA100" s="352"/>
      <c r="AB100" s="335"/>
      <c r="AC100" s="334"/>
      <c r="AF100" s="334"/>
      <c r="AG100" s="335"/>
      <c r="AH100" s="333"/>
    </row>
    <row r="101" spans="24:34">
      <c r="AH101" s="333"/>
    </row>
    <row r="103" spans="24:34">
      <c r="X103" s="334"/>
      <c r="Y103" s="334"/>
      <c r="Z103" s="334"/>
      <c r="AA103" s="352"/>
      <c r="AB103" s="335"/>
      <c r="AC103" s="334"/>
      <c r="AF103" s="334"/>
      <c r="AG103" s="335"/>
    </row>
    <row r="104" spans="24:34">
      <c r="X104" s="334"/>
      <c r="Y104" s="334"/>
      <c r="Z104" s="334"/>
      <c r="AA104" s="352"/>
      <c r="AB104" s="335"/>
      <c r="AC104" s="334"/>
      <c r="AF104" s="334"/>
      <c r="AG104" s="335"/>
      <c r="AH104" s="333"/>
    </row>
    <row r="105" spans="24:34">
      <c r="X105" s="334"/>
      <c r="Y105" s="334"/>
      <c r="Z105" s="334"/>
      <c r="AA105" s="352"/>
      <c r="AB105" s="335"/>
      <c r="AC105" s="334"/>
      <c r="AF105" s="334"/>
      <c r="AG105" s="335"/>
      <c r="AH105" s="333"/>
    </row>
    <row r="106" spans="24:34">
      <c r="X106" s="334"/>
      <c r="Y106" s="334"/>
      <c r="Z106" s="334"/>
      <c r="AA106" s="352"/>
      <c r="AB106" s="335"/>
      <c r="AC106" s="334"/>
      <c r="AF106" s="334"/>
      <c r="AG106" s="335"/>
      <c r="AH106" s="333"/>
    </row>
    <row r="107" spans="24:34">
      <c r="AH107" s="333"/>
    </row>
    <row r="109" spans="24:34">
      <c r="X109" s="334"/>
      <c r="Y109" s="334"/>
      <c r="Z109" s="334"/>
      <c r="AA109" s="352"/>
      <c r="AB109" s="335"/>
      <c r="AC109" s="334"/>
      <c r="AF109" s="334"/>
      <c r="AG109" s="335"/>
    </row>
    <row r="110" spans="24:34">
      <c r="X110" s="334"/>
      <c r="Y110" s="334"/>
      <c r="Z110" s="334"/>
      <c r="AA110" s="352"/>
      <c r="AB110" s="335"/>
      <c r="AC110" s="334"/>
      <c r="AF110" s="334"/>
      <c r="AG110" s="335"/>
    </row>
    <row r="111" spans="24:34">
      <c r="X111" s="334"/>
      <c r="Y111" s="334"/>
      <c r="Z111" s="334"/>
      <c r="AA111" s="352"/>
      <c r="AB111" s="335"/>
      <c r="AC111" s="334"/>
      <c r="AF111" s="334"/>
      <c r="AG111" s="335"/>
    </row>
    <row r="112" spans="24:34">
      <c r="X112" s="334"/>
      <c r="Y112" s="334"/>
      <c r="Z112" s="334"/>
      <c r="AA112" s="352"/>
      <c r="AB112" s="335"/>
      <c r="AC112" s="334"/>
      <c r="AF112" s="334"/>
      <c r="AG112" s="335"/>
    </row>
  </sheetData>
  <customSheetViews>
    <customSheetView guid="{76FC386D-C488-46EF-BB9C-D1C49FEBAB90}" scale="80" showPageBreaks="1" showGridLines="0" outlineSymbols="0" printArea="1" hiddenColumns="1" topLeftCell="C1">
      <selection activeCell="J18" sqref="J18"/>
      <pageMargins left="0.25" right="0.25" top="0.3" bottom="0.44" header="0.23" footer="0.21"/>
      <pageSetup scale="91" orientation="portrait" horizontalDpi="4294967292" r:id="rId1"/>
      <headerFooter alignWithMargins="0"/>
    </customSheetView>
    <customSheetView guid="{16F8EA47-9864-4C0F-89A1-62B7CCC013F9}" scale="80" showGridLines="0" outlineSymbols="0" hiddenColumns="1" topLeftCell="C1">
      <selection activeCell="J18" sqref="J18"/>
      <pageMargins left="0.25" right="0.25" top="0.3" bottom="0.44" header="0.23" footer="0.21"/>
      <pageSetup scale="91" orientation="portrait" horizontalDpi="4294967292" r:id="rId2"/>
      <headerFooter alignWithMargins="0"/>
    </customSheetView>
  </customSheetViews>
  <mergeCells count="5">
    <mergeCell ref="B2:C2"/>
    <mergeCell ref="AH2:AK2"/>
    <mergeCell ref="B18:C18"/>
    <mergeCell ref="B19:C19"/>
    <mergeCell ref="L31:N31"/>
  </mergeCells>
  <pageMargins left="0.25" right="0.25" top="0.3" bottom="0.44" header="0.23" footer="0.21"/>
  <pageSetup scale="67" orientation="landscape" r:id="rId3"/>
  <headerFooter alignWithMargins="0"/>
  <drawing r:id="rId4"/>
  <legacyDrawing r:id="rId5"/>
  <controls>
    <mc:AlternateContent xmlns:mc="http://schemas.openxmlformats.org/markup-compatibility/2006">
      <mc:Choice Requires="x14">
        <control shapeId="266241" r:id="rId6" name="DataCompleted">
          <controlPr defaultSize="0" autoFill="0" autoLine="0" autoPict="0" linkedCell="A64" r:id="rId7">
            <anchor moveWithCells="1">
              <from>
                <xdr:col>1</xdr:col>
                <xdr:colOff>781050</xdr:colOff>
                <xdr:row>6</xdr:row>
                <xdr:rowOff>171450</xdr:rowOff>
              </from>
              <to>
                <xdr:col>1</xdr:col>
                <xdr:colOff>885825</xdr:colOff>
                <xdr:row>7</xdr:row>
                <xdr:rowOff>76200</xdr:rowOff>
              </to>
            </anchor>
          </controlPr>
        </control>
      </mc:Choice>
      <mc:Fallback>
        <control shapeId="266241" r:id="rId6" name="DataCompleted"/>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8" tint="0.59999389629810485"/>
  </sheetPr>
  <dimension ref="A1:AV112"/>
  <sheetViews>
    <sheetView showGridLines="0" showOutlineSymbols="0" view="pageBreakPreview" zoomScale="60" zoomScaleNormal="80" workbookViewId="0">
      <selection activeCell="AP280" sqref="AP280"/>
    </sheetView>
  </sheetViews>
  <sheetFormatPr defaultColWidth="16.7109375" defaultRowHeight="15"/>
  <cols>
    <col min="1" max="1" width="7.42578125" style="269" customWidth="1"/>
    <col min="2" max="2" width="33.5703125" style="310" bestFit="1" customWidth="1"/>
    <col min="3" max="3" width="21.28515625" style="310" customWidth="1"/>
    <col min="4" max="4" width="21.28515625" style="310" hidden="1" customWidth="1"/>
    <col min="5" max="5" width="7.28515625" style="310" customWidth="1"/>
    <col min="6" max="6" width="5.7109375" style="269" customWidth="1"/>
    <col min="7" max="7" width="8.5703125" style="269" customWidth="1"/>
    <col min="8" max="8" width="15" style="269" customWidth="1"/>
    <col min="9" max="9" width="17.7109375" style="269" customWidth="1"/>
    <col min="10" max="10" width="15.85546875" style="269" customWidth="1"/>
    <col min="11" max="11" width="15.140625" style="269" bestFit="1" customWidth="1"/>
    <col min="12" max="13" width="20.28515625" style="269" customWidth="1"/>
    <col min="14" max="14" width="2.42578125" style="269" customWidth="1"/>
    <col min="15" max="15" width="6.28515625" style="310" customWidth="1"/>
    <col min="16" max="16" width="40.42578125" style="310" customWidth="1"/>
    <col min="17" max="17" width="16.7109375" style="270"/>
    <col min="18" max="18" width="13.85546875" style="276" customWidth="1"/>
    <col min="19" max="19" width="16.7109375" style="269"/>
    <col min="20" max="20" width="13.42578125" style="269" customWidth="1"/>
    <col min="21" max="21" width="15.7109375" style="269" customWidth="1"/>
    <col min="22" max="22" width="16.7109375" style="269"/>
    <col min="23" max="26" width="17.7109375" style="269" customWidth="1"/>
    <col min="27" max="27" width="16" style="269" customWidth="1"/>
    <col min="28" max="28" width="16.7109375" style="269"/>
    <col min="29" max="29" width="15.85546875" style="269" customWidth="1"/>
    <col min="30" max="31" width="16.7109375" style="269"/>
    <col min="32" max="32" width="16.42578125" style="269" customWidth="1"/>
    <col min="33" max="33" width="17.28515625" style="269" customWidth="1"/>
    <col min="34" max="34" width="20.7109375" style="269" customWidth="1"/>
    <col min="35" max="35" width="18.140625" style="269" customWidth="1"/>
    <col min="36" max="36" width="16.42578125" style="269" customWidth="1"/>
    <col min="37" max="37" width="16.7109375" style="269"/>
    <col min="38" max="38" width="13.85546875" style="269" customWidth="1"/>
    <col min="39" max="39" width="16.42578125" style="269" customWidth="1"/>
    <col min="40" max="51" width="15.140625" style="269" customWidth="1"/>
    <col min="52" max="16384" width="16.7109375" style="269"/>
  </cols>
  <sheetData>
    <row r="1" spans="1:37" s="264" customFormat="1" ht="15.75" thickBot="1">
      <c r="A1" s="260"/>
      <c r="B1" s="261"/>
      <c r="C1" s="261"/>
      <c r="D1" s="261"/>
      <c r="E1" s="261"/>
      <c r="F1" s="261"/>
      <c r="G1" s="261"/>
      <c r="H1" s="261"/>
      <c r="I1" s="546"/>
      <c r="J1" s="546"/>
      <c r="K1" s="546"/>
      <c r="L1" s="546"/>
      <c r="M1" s="546"/>
      <c r="N1" s="546"/>
      <c r="O1" s="261"/>
      <c r="P1" s="261"/>
      <c r="Q1" s="262"/>
      <c r="R1" s="263"/>
    </row>
    <row r="2" spans="1:37" ht="19.5" thickBot="1">
      <c r="A2" s="260"/>
      <c r="B2" s="1550" t="s">
        <v>546</v>
      </c>
      <c r="C2" s="1550"/>
      <c r="D2" s="260"/>
      <c r="E2" s="260"/>
      <c r="F2" s="265" t="s">
        <v>547</v>
      </c>
      <c r="G2" s="266"/>
      <c r="H2" s="266"/>
      <c r="I2" s="267" t="s">
        <v>908</v>
      </c>
      <c r="J2" s="266"/>
      <c r="K2" s="266"/>
      <c r="L2" s="266"/>
      <c r="M2" s="268" t="s">
        <v>547</v>
      </c>
      <c r="O2" s="260"/>
      <c r="P2" s="261"/>
      <c r="R2" s="513" t="s">
        <v>548</v>
      </c>
      <c r="S2" s="514"/>
      <c r="T2" s="515"/>
      <c r="AH2" s="1551" t="s">
        <v>909</v>
      </c>
      <c r="AI2" s="1552"/>
      <c r="AJ2" s="1552"/>
      <c r="AK2" s="1553"/>
    </row>
    <row r="3" spans="1:37" ht="16.5" thickBot="1">
      <c r="A3" s="260"/>
      <c r="B3" s="260"/>
      <c r="C3" s="260"/>
      <c r="D3" s="260"/>
      <c r="E3" s="260"/>
      <c r="F3" s="272"/>
      <c r="G3" s="273"/>
      <c r="H3" s="274"/>
      <c r="I3" s="274"/>
      <c r="J3" s="274"/>
      <c r="K3" s="275" t="s">
        <v>910</v>
      </c>
      <c r="L3" s="274"/>
      <c r="M3" s="275" t="s">
        <v>549</v>
      </c>
      <c r="O3" s="260"/>
      <c r="P3" s="261"/>
      <c r="R3" s="269"/>
      <c r="T3" s="269" t="s">
        <v>550</v>
      </c>
      <c r="V3" s="276" t="s">
        <v>550</v>
      </c>
      <c r="W3" s="276" t="s">
        <v>550</v>
      </c>
      <c r="X3" s="276" t="s">
        <v>550</v>
      </c>
      <c r="Y3" s="276"/>
      <c r="Z3" s="276" t="s">
        <v>551</v>
      </c>
      <c r="AA3" s="276" t="s">
        <v>552</v>
      </c>
      <c r="AB3" s="276" t="s">
        <v>552</v>
      </c>
      <c r="AC3" s="276" t="s">
        <v>552</v>
      </c>
      <c r="AD3" s="276" t="s">
        <v>552</v>
      </c>
      <c r="AE3" s="276" t="s">
        <v>552</v>
      </c>
      <c r="AF3" s="276" t="s">
        <v>552</v>
      </c>
      <c r="AG3" s="276" t="s">
        <v>553</v>
      </c>
      <c r="AH3" s="276" t="s">
        <v>166</v>
      </c>
      <c r="AI3" s="276" t="s">
        <v>911</v>
      </c>
      <c r="AJ3" s="276"/>
    </row>
    <row r="4" spans="1:37" ht="19.5" thickBot="1">
      <c r="A4" s="260"/>
      <c r="B4" s="547" t="s">
        <v>554</v>
      </c>
      <c r="C4" s="267"/>
      <c r="D4" s="277"/>
      <c r="E4" s="260"/>
      <c r="F4" s="278"/>
      <c r="G4" s="273"/>
      <c r="H4" s="274" t="s">
        <v>320</v>
      </c>
      <c r="I4" s="274" t="s">
        <v>321</v>
      </c>
      <c r="J4" s="274" t="s">
        <v>322</v>
      </c>
      <c r="K4" s="274" t="s">
        <v>323</v>
      </c>
      <c r="L4" s="274" t="s">
        <v>555</v>
      </c>
      <c r="M4" s="274" t="s">
        <v>556</v>
      </c>
      <c r="O4" s="279"/>
      <c r="P4" s="261"/>
      <c r="R4" s="269"/>
      <c r="T4" s="276" t="s">
        <v>557</v>
      </c>
      <c r="V4" s="276" t="s">
        <v>407</v>
      </c>
      <c r="W4" s="276" t="s">
        <v>551</v>
      </c>
      <c r="X4" s="276" t="s">
        <v>558</v>
      </c>
      <c r="Y4" s="276" t="s">
        <v>559</v>
      </c>
      <c r="Z4" s="276" t="s">
        <v>558</v>
      </c>
      <c r="AA4" s="276" t="s">
        <v>560</v>
      </c>
      <c r="AB4" s="276" t="s">
        <v>560</v>
      </c>
      <c r="AC4" s="276" t="s">
        <v>560</v>
      </c>
      <c r="AD4" s="276" t="s">
        <v>551</v>
      </c>
      <c r="AE4" s="276" t="s">
        <v>557</v>
      </c>
      <c r="AF4" s="276" t="s">
        <v>557</v>
      </c>
      <c r="AG4" s="276" t="s">
        <v>561</v>
      </c>
      <c r="AH4" s="276" t="s">
        <v>912</v>
      </c>
      <c r="AI4" s="276" t="s">
        <v>913</v>
      </c>
      <c r="AJ4" s="276" t="s">
        <v>562</v>
      </c>
      <c r="AK4" s="276" t="s">
        <v>914</v>
      </c>
    </row>
    <row r="5" spans="1:37" ht="15.75">
      <c r="A5" s="260"/>
      <c r="B5" s="280" t="s">
        <v>563</v>
      </c>
      <c r="C5" s="536">
        <f>'Reg by LOB'!F26</f>
        <v>3775920.1667661155</v>
      </c>
      <c r="D5" s="277"/>
      <c r="E5" s="260"/>
      <c r="F5" s="281" t="s">
        <v>564</v>
      </c>
      <c r="G5" s="282"/>
      <c r="H5" s="282"/>
      <c r="I5" s="274" t="s">
        <v>565</v>
      </c>
      <c r="J5" s="274" t="s">
        <v>166</v>
      </c>
      <c r="K5" s="283" t="s">
        <v>915</v>
      </c>
      <c r="L5" s="516" t="s">
        <v>566</v>
      </c>
      <c r="M5" s="283" t="s">
        <v>166</v>
      </c>
      <c r="O5" s="271"/>
      <c r="P5" s="261"/>
      <c r="R5" s="284"/>
      <c r="T5" s="276" t="s">
        <v>567</v>
      </c>
      <c r="U5" s="276" t="s">
        <v>568</v>
      </c>
      <c r="V5" s="276" t="s">
        <v>569</v>
      </c>
      <c r="W5" s="276" t="s">
        <v>570</v>
      </c>
      <c r="X5" s="276" t="s">
        <v>571</v>
      </c>
      <c r="Y5" s="276" t="s">
        <v>572</v>
      </c>
      <c r="Z5" s="276" t="s">
        <v>571</v>
      </c>
      <c r="AA5" s="276" t="s">
        <v>573</v>
      </c>
      <c r="AB5" s="276" t="s">
        <v>574</v>
      </c>
      <c r="AC5" s="276" t="s">
        <v>575</v>
      </c>
      <c r="AD5" s="276" t="s">
        <v>576</v>
      </c>
      <c r="AE5" s="276" t="s">
        <v>567</v>
      </c>
      <c r="AF5" s="276" t="s">
        <v>164</v>
      </c>
      <c r="AG5" s="276" t="s">
        <v>286</v>
      </c>
      <c r="AH5" s="276" t="s">
        <v>621</v>
      </c>
      <c r="AI5" s="276" t="s">
        <v>621</v>
      </c>
      <c r="AJ5" s="276" t="s">
        <v>286</v>
      </c>
      <c r="AK5" s="276" t="s">
        <v>553</v>
      </c>
    </row>
    <row r="6" spans="1:37" ht="15.75">
      <c r="A6" s="260"/>
      <c r="B6" s="280" t="s">
        <v>577</v>
      </c>
      <c r="C6" s="1081">
        <f>'Reg by LOB'!F291</f>
        <v>4294306.2633177461</v>
      </c>
      <c r="D6" s="277"/>
      <c r="E6" s="260"/>
      <c r="F6" s="285" t="s">
        <v>578</v>
      </c>
      <c r="G6" s="282"/>
      <c r="H6" s="282"/>
      <c r="I6" s="286"/>
      <c r="J6" s="287" t="s">
        <v>579</v>
      </c>
      <c r="K6" s="288"/>
      <c r="L6" s="287" t="s">
        <v>580</v>
      </c>
      <c r="M6" s="287" t="s">
        <v>581</v>
      </c>
      <c r="O6" s="271"/>
      <c r="P6" s="261"/>
      <c r="R6" s="517">
        <v>1</v>
      </c>
      <c r="S6" s="518">
        <f>Revenue/Investment*100</f>
        <v>75.812887935262125</v>
      </c>
      <c r="T6" s="519">
        <f>EXP(y_inter1-(slope*LN(+S6)))</f>
        <v>15.855125267691495</v>
      </c>
      <c r="U6" s="520">
        <f>(+S6*T6/100)/100</f>
        <v>0.12020228351190383</v>
      </c>
      <c r="V6" s="520">
        <f>regDebt_weighted</f>
        <v>3.5860000000000003E-2</v>
      </c>
      <c r="W6" s="520">
        <f>+U6-V6</f>
        <v>8.4342283511903829E-2</v>
      </c>
      <c r="X6" s="520">
        <f>+((W6*(1-0.34))-Pfd_weighted)/Equity_percent</f>
        <v>0.1438253113891178</v>
      </c>
      <c r="Y6" s="520">
        <f>+C15</f>
        <v>2.5000000000000001E-3</v>
      </c>
      <c r="Z6" s="520">
        <f>+X6+Y6</f>
        <v>0.14632531138911781</v>
      </c>
      <c r="AA6" s="520">
        <f>Z6*equityP</f>
        <v>8.7795186833470679E-2</v>
      </c>
      <c r="AB6" s="520">
        <f>+AA6/(1-taxrate)</f>
        <v>0.11113314789046921</v>
      </c>
      <c r="AC6" s="520">
        <f>debtP*Debt_Rate</f>
        <v>1.2716825048595141E-2</v>
      </c>
      <c r="AD6" s="520">
        <f>AC6+AB6</f>
        <v>0.12384997293906436</v>
      </c>
      <c r="AE6" s="520">
        <f>AD6/(S6/100)</f>
        <v>0.16336268979071458</v>
      </c>
      <c r="AF6" s="520">
        <f>1-AE6</f>
        <v>0.83663731020928545</v>
      </c>
      <c r="AG6" s="521">
        <f>expenses/(AF6)</f>
        <v>5132817.0653105611</v>
      </c>
      <c r="AH6" s="522">
        <f>+AG6-Revenue</f>
        <v>1356896.8985444456</v>
      </c>
      <c r="AI6" s="523">
        <f ca="1">+AH6/$J$49</f>
        <v>1610760.7680997474</v>
      </c>
      <c r="AJ6" s="523">
        <f ca="1">+AI6*$J$47</f>
        <v>34907.874467733731</v>
      </c>
      <c r="AK6" s="521">
        <f ca="1">ROUND(+AJ6+AG6,5)</f>
        <v>5167724.9397799997</v>
      </c>
    </row>
    <row r="7" spans="1:37" ht="15.75">
      <c r="A7" s="260"/>
      <c r="B7" s="280" t="s">
        <v>582</v>
      </c>
      <c r="C7" s="537">
        <f>Deprec!AA81</f>
        <v>4980578.1966655012</v>
      </c>
      <c r="D7" s="277"/>
      <c r="E7" s="260"/>
      <c r="F7" s="524">
        <v>1</v>
      </c>
      <c r="G7" s="282"/>
      <c r="H7" s="293" t="s">
        <v>563</v>
      </c>
      <c r="I7" s="294">
        <f>IF(A64=TRUE,C5,0)</f>
        <v>3775920.1667661155</v>
      </c>
      <c r="J7" s="294">
        <f ca="1">(+$I8/($R50))-I7</f>
        <v>1198809.7565420251</v>
      </c>
      <c r="K7" s="294">
        <f ca="1">+I7+J7</f>
        <v>4974729.9233081406</v>
      </c>
      <c r="L7" s="294">
        <f ca="1">((+J7/J49*K35)-J7)</f>
        <v>30840.884474681923</v>
      </c>
      <c r="M7" s="294">
        <f ca="1">IFERROR(+K7+L7,0.00001)</f>
        <v>5005570.8077828223</v>
      </c>
      <c r="O7" s="271"/>
      <c r="P7" s="261"/>
      <c r="R7" s="295">
        <v>2</v>
      </c>
      <c r="S7" s="296">
        <f>Revenue/Investment*100</f>
        <v>75.812887935262125</v>
      </c>
      <c r="T7" s="297">
        <f>EXP(y_inter1-(slope*LN(+S7)))</f>
        <v>15.855125267691495</v>
      </c>
      <c r="U7" s="298">
        <f t="shared" ref="U7:U9" si="0">(+S7*T7/100)/100</f>
        <v>0.12020228351190383</v>
      </c>
      <c r="V7" s="298">
        <f>regDebt_weighted</f>
        <v>3.5860000000000003E-2</v>
      </c>
      <c r="W7" s="298">
        <f t="shared" ref="W7:W9" si="1">+U7-V7</f>
        <v>8.4342283511903829E-2</v>
      </c>
      <c r="X7" s="298">
        <f>+((W7*(1-0.34))-Pfd_weighted)/Equity_percent</f>
        <v>0.1438253113891178</v>
      </c>
      <c r="Y7" s="298">
        <f>+Y6</f>
        <v>2.5000000000000001E-3</v>
      </c>
      <c r="Z7" s="298">
        <f>+X7+Y7</f>
        <v>0.14632531138911781</v>
      </c>
      <c r="AA7" s="298">
        <f>Z7*equityP</f>
        <v>8.7795186833470679E-2</v>
      </c>
      <c r="AB7" s="298">
        <f>+AA7/(1-taxrate)</f>
        <v>0.11113314789046921</v>
      </c>
      <c r="AC7" s="298">
        <f>debtP*Debt_Rate</f>
        <v>1.2716825048595141E-2</v>
      </c>
      <c r="AD7" s="298">
        <f t="shared" ref="AD7:AD9" si="2">AC7+AB7</f>
        <v>0.12384997293906436</v>
      </c>
      <c r="AE7" s="298">
        <f t="shared" ref="AE7:AE9" si="3">AD7/(S7/100)</f>
        <v>0.16336268979071458</v>
      </c>
      <c r="AF7" s="298">
        <f t="shared" ref="AF7:AF9" si="4">1-AE7</f>
        <v>0.83663731020928545</v>
      </c>
      <c r="AG7" s="299">
        <f>expenses/(AF7)</f>
        <v>5132817.0653105611</v>
      </c>
      <c r="AH7" s="525">
        <f>+AG7-Revenue</f>
        <v>1356896.8985444456</v>
      </c>
      <c r="AI7" s="300">
        <f ca="1">+AH7/$J$49</f>
        <v>1610760.7680997474</v>
      </c>
      <c r="AJ7" s="300">
        <f ca="1">+AI7*$J$47</f>
        <v>34907.874467733731</v>
      </c>
      <c r="AK7" s="299">
        <f t="shared" ref="AK7:AK9" ca="1" si="5">ROUND(+AJ7+AG7,5)</f>
        <v>5167724.9397799997</v>
      </c>
    </row>
    <row r="8" spans="1:37" ht="15.75">
      <c r="A8" s="260"/>
      <c r="B8" s="280" t="s">
        <v>583</v>
      </c>
      <c r="C8" s="538">
        <v>0.4</v>
      </c>
      <c r="D8" s="277"/>
      <c r="E8" s="260"/>
      <c r="F8" s="301">
        <f>+F7+1</f>
        <v>2</v>
      </c>
      <c r="G8" s="282"/>
      <c r="H8" s="293" t="s">
        <v>577</v>
      </c>
      <c r="I8" s="294">
        <f>IF(A64=TRUE,C6,0)</f>
        <v>4294306.2633177461</v>
      </c>
      <c r="J8" s="273"/>
      <c r="K8" s="294">
        <f>+I8</f>
        <v>4294306.2633177461</v>
      </c>
      <c r="L8" s="294">
        <f ca="1">+L7</f>
        <v>30840.884474681923</v>
      </c>
      <c r="M8" s="294">
        <f ca="1">IFERROR(+K8+L8,0.00001)</f>
        <v>4325147.1477924278</v>
      </c>
      <c r="O8" s="271"/>
      <c r="P8" s="261"/>
      <c r="R8" s="302">
        <v>3</v>
      </c>
      <c r="S8" s="296">
        <f>Revenue/Investment*100</f>
        <v>75.812887935262125</v>
      </c>
      <c r="T8" s="297">
        <f>EXP(y_inter1-(slope*LN(+S8)))</f>
        <v>15.855125267691495</v>
      </c>
      <c r="U8" s="298">
        <f t="shared" si="0"/>
        <v>0.12020228351190383</v>
      </c>
      <c r="V8" s="298">
        <f>regDebt_weighted</f>
        <v>3.5860000000000003E-2</v>
      </c>
      <c r="W8" s="298">
        <f t="shared" si="1"/>
        <v>8.4342283511903829E-2</v>
      </c>
      <c r="X8" s="298">
        <f>+((W8*(1-0.34))-Pfd_weighted)/Equity_percent</f>
        <v>0.1438253113891178</v>
      </c>
      <c r="Y8" s="298">
        <f>+Y7</f>
        <v>2.5000000000000001E-3</v>
      </c>
      <c r="Z8" s="298">
        <f t="shared" ref="Z8:Z9" si="6">+X8+Y8</f>
        <v>0.14632531138911781</v>
      </c>
      <c r="AA8" s="298">
        <f>Z8*equityP</f>
        <v>8.7795186833470679E-2</v>
      </c>
      <c r="AB8" s="298">
        <f>+AA8/(1-taxrate)</f>
        <v>0.11113314789046921</v>
      </c>
      <c r="AC8" s="298">
        <f>debtP*Debt_Rate</f>
        <v>1.2716825048595141E-2</v>
      </c>
      <c r="AD8" s="298">
        <f t="shared" si="2"/>
        <v>0.12384997293906436</v>
      </c>
      <c r="AE8" s="298">
        <f t="shared" si="3"/>
        <v>0.16336268979071458</v>
      </c>
      <c r="AF8" s="298">
        <f t="shared" si="4"/>
        <v>0.83663731020928545</v>
      </c>
      <c r="AG8" s="299">
        <f>expenses/(AF8)</f>
        <v>5132817.0653105611</v>
      </c>
      <c r="AH8" s="525">
        <f>+AG8-Revenue</f>
        <v>1356896.8985444456</v>
      </c>
      <c r="AI8" s="300">
        <f ca="1">+AH8/$J$49</f>
        <v>1610760.7680997474</v>
      </c>
      <c r="AJ8" s="300">
        <f ca="1">+AI8*$J$47</f>
        <v>34907.874467733731</v>
      </c>
      <c r="AK8" s="299">
        <f t="shared" ca="1" si="5"/>
        <v>5167724.9397799997</v>
      </c>
    </row>
    <row r="9" spans="1:37" ht="15.75">
      <c r="A9" s="260"/>
      <c r="B9" s="280" t="s">
        <v>584</v>
      </c>
      <c r="C9" s="538">
        <f>'LG MSW'!C9</f>
        <v>3.179206262148785E-2</v>
      </c>
      <c r="D9" s="277"/>
      <c r="E9" s="260"/>
      <c r="F9" s="301">
        <f t="shared" ref="F9:F49" si="7">+F8+1</f>
        <v>3</v>
      </c>
      <c r="G9" s="282"/>
      <c r="H9" s="293" t="s">
        <v>585</v>
      </c>
      <c r="I9" s="526">
        <f>+I7-I8</f>
        <v>-518386.09655163065</v>
      </c>
      <c r="J9" s="273"/>
      <c r="K9" s="526">
        <f ca="1">+K7-K8</f>
        <v>680423.65999039449</v>
      </c>
      <c r="L9" s="282"/>
      <c r="M9" s="527">
        <f ca="1">+M7-M8</f>
        <v>680423.65999039449</v>
      </c>
      <c r="O9" s="271"/>
      <c r="P9" s="261"/>
      <c r="R9" s="303">
        <v>4</v>
      </c>
      <c r="S9" s="296">
        <f>Revenue/Investment*100</f>
        <v>75.812887935262125</v>
      </c>
      <c r="T9" s="297">
        <f>EXP(y_inter1-(slope*LN(+S9)))</f>
        <v>15.855125267691495</v>
      </c>
      <c r="U9" s="298">
        <f t="shared" si="0"/>
        <v>0.12020228351190383</v>
      </c>
      <c r="V9" s="298">
        <f>regDebt_weighted</f>
        <v>3.5860000000000003E-2</v>
      </c>
      <c r="W9" s="298">
        <f t="shared" si="1"/>
        <v>8.4342283511903829E-2</v>
      </c>
      <c r="X9" s="298">
        <f>+((W9*(1-0.34))-Pfd_weighted)/Equity_percent</f>
        <v>0.1438253113891178</v>
      </c>
      <c r="Y9" s="298">
        <f>+Y8</f>
        <v>2.5000000000000001E-3</v>
      </c>
      <c r="Z9" s="298">
        <f t="shared" si="6"/>
        <v>0.14632531138911781</v>
      </c>
      <c r="AA9" s="298">
        <f>Z9*equityP</f>
        <v>8.7795186833470679E-2</v>
      </c>
      <c r="AB9" s="298">
        <f>+AA9/(1-taxrate)</f>
        <v>0.11113314789046921</v>
      </c>
      <c r="AC9" s="298">
        <f>debtP*Debt_Rate</f>
        <v>1.2716825048595141E-2</v>
      </c>
      <c r="AD9" s="298">
        <f t="shared" si="2"/>
        <v>0.12384997293906436</v>
      </c>
      <c r="AE9" s="298">
        <f t="shared" si="3"/>
        <v>0.16336268979071458</v>
      </c>
      <c r="AF9" s="298">
        <f t="shared" si="4"/>
        <v>0.83663731020928545</v>
      </c>
      <c r="AG9" s="299">
        <f>expenses/(AF9)</f>
        <v>5132817.0653105611</v>
      </c>
      <c r="AH9" s="525">
        <f>+AG9-Revenue</f>
        <v>1356896.8985444456</v>
      </c>
      <c r="AI9" s="300">
        <f ca="1">+AH9/$J$49</f>
        <v>1610760.7680997474</v>
      </c>
      <c r="AJ9" s="300">
        <f ca="1">+AI9*$J$47</f>
        <v>34907.874467733731</v>
      </c>
      <c r="AK9" s="299">
        <f t="shared" ca="1" si="5"/>
        <v>5167724.9397799997</v>
      </c>
    </row>
    <row r="10" spans="1:37" ht="15.75">
      <c r="A10" s="260"/>
      <c r="B10" s="304" t="s">
        <v>916</v>
      </c>
      <c r="C10" s="538">
        <v>0.21</v>
      </c>
      <c r="D10" s="277"/>
      <c r="E10" s="260"/>
      <c r="F10" s="301">
        <f t="shared" si="7"/>
        <v>4</v>
      </c>
      <c r="G10" s="282"/>
      <c r="H10" s="282"/>
      <c r="I10" s="273"/>
      <c r="J10" s="273"/>
      <c r="K10" s="294"/>
      <c r="L10" s="282"/>
      <c r="M10" s="282"/>
      <c r="O10" s="271"/>
      <c r="P10" s="260"/>
      <c r="R10" s="276" t="s">
        <v>586</v>
      </c>
    </row>
    <row r="11" spans="1:37" ht="15.75">
      <c r="A11" s="260"/>
      <c r="B11" s="280" t="s">
        <v>587</v>
      </c>
      <c r="C11" s="539">
        <v>1.4999999999999999E-2</v>
      </c>
      <c r="D11" s="277"/>
      <c r="E11" s="260"/>
      <c r="F11" s="301">
        <f t="shared" si="7"/>
        <v>5</v>
      </c>
      <c r="G11" s="282"/>
      <c r="H11" s="293" t="s">
        <v>141</v>
      </c>
      <c r="I11" s="294">
        <f>+K11</f>
        <v>63337.141567842664</v>
      </c>
      <c r="J11" s="273"/>
      <c r="K11" s="294">
        <f>+M27</f>
        <v>63337.141567842664</v>
      </c>
      <c r="L11" s="282"/>
      <c r="M11" s="294">
        <f>+K11</f>
        <v>63337.141567842664</v>
      </c>
      <c r="O11" s="271"/>
      <c r="P11" s="260"/>
      <c r="R11" s="517">
        <v>1</v>
      </c>
      <c r="S11" s="518">
        <f ca="1">IF((AK6/Investment*100)&gt;0,(AK6/Investment*100),0)</f>
        <v>103.75753046583614</v>
      </c>
      <c r="T11" s="519">
        <f ca="1">EXP(y_inter1-(slope*LN(S11)))</f>
        <v>12.793856171024665</v>
      </c>
      <c r="U11" s="520">
        <f ca="1">(+S11*T11/100)/100</f>
        <v>0.13274589214406174</v>
      </c>
      <c r="V11" s="520">
        <f>regDebt_weighted</f>
        <v>3.5860000000000003E-2</v>
      </c>
      <c r="W11" s="520">
        <f ca="1">+U11-V11</f>
        <v>9.6885892144061736E-2</v>
      </c>
      <c r="X11" s="520">
        <f ca="1">+((W11*(1-0.34))-Pfd_weighted)/Equity_percent</f>
        <v>0.16789153725314168</v>
      </c>
      <c r="Y11" s="520">
        <f>+Y9</f>
        <v>2.5000000000000001E-3</v>
      </c>
      <c r="Z11" s="520">
        <f ca="1">+X11+Y11</f>
        <v>0.17039153725314168</v>
      </c>
      <c r="AA11" s="520">
        <f ca="1">Z11*equityP</f>
        <v>0.10223492235188501</v>
      </c>
      <c r="AB11" s="520">
        <f ca="1">+AA11/(1-taxrate)</f>
        <v>0.12941129411631014</v>
      </c>
      <c r="AC11" s="520">
        <f>debtP*Debt_Rate</f>
        <v>1.2716825048595141E-2</v>
      </c>
      <c r="AD11" s="520">
        <f ca="1">+AC11+AB11</f>
        <v>0.14212811916490528</v>
      </c>
      <c r="AE11" s="520">
        <f ca="1">+AD11/(S11/100)</f>
        <v>0.13698101576511912</v>
      </c>
      <c r="AF11" s="520">
        <f ca="1">1-AE11</f>
        <v>0.86301898423488088</v>
      </c>
      <c r="AG11" s="521">
        <f ca="1">expenses/(AF11)</f>
        <v>4975911.7027129028</v>
      </c>
      <c r="AH11" s="522">
        <f ca="1">+AG11-Revenue</f>
        <v>1199991.5359467873</v>
      </c>
      <c r="AI11" s="523">
        <f ca="1">+AH11/$J$49</f>
        <v>1424499.7466117577</v>
      </c>
      <c r="AJ11" s="523">
        <f ca="1">+AI11*$J$47</f>
        <v>30871.287231998453</v>
      </c>
      <c r="AK11" s="521">
        <f ca="1">ROUND(+AJ11+AG11,5)</f>
        <v>5006782.9899399998</v>
      </c>
    </row>
    <row r="12" spans="1:37" ht="15.75">
      <c r="A12" s="260"/>
      <c r="B12" s="280" t="s">
        <v>75</v>
      </c>
      <c r="C12" s="539">
        <v>5.1000000000000004E-3</v>
      </c>
      <c r="D12" s="277"/>
      <c r="E12" s="260"/>
      <c r="F12" s="301">
        <f t="shared" si="7"/>
        <v>6</v>
      </c>
      <c r="G12" s="282"/>
      <c r="H12" s="293" t="s">
        <v>588</v>
      </c>
      <c r="I12" s="294">
        <f ca="1">IF(I14&lt;0,0,+J38*I14)</f>
        <v>0</v>
      </c>
      <c r="J12" s="294">
        <f ca="1">+K12-I12</f>
        <v>129588.16886873587</v>
      </c>
      <c r="K12" s="294">
        <f ca="1">+(K9-K11)*taxrate</f>
        <v>129588.16886873587</v>
      </c>
      <c r="L12" s="282"/>
      <c r="M12" s="294">
        <f ca="1">+K12</f>
        <v>129588.16886873587</v>
      </c>
      <c r="O12" s="271"/>
      <c r="P12" s="260"/>
      <c r="R12" s="295">
        <v>2</v>
      </c>
      <c r="S12" s="296">
        <f ca="1">IF((AK7/Investment*100)&gt;0,(AK7/Investment*100),0)</f>
        <v>103.75753046583614</v>
      </c>
      <c r="T12" s="307">
        <f ca="1">EXP(y_inter2-(slope*LN(+S12)))</f>
        <v>12.61182756201466</v>
      </c>
      <c r="U12" s="298">
        <f ca="1">(+S12*T12/100)/100</f>
        <v>0.13085720824956082</v>
      </c>
      <c r="V12" s="298">
        <f>regDebt_weighted</f>
        <v>3.5860000000000003E-2</v>
      </c>
      <c r="W12" s="298">
        <f ca="1">+U12-V12</f>
        <v>9.4997208249560816E-2</v>
      </c>
      <c r="X12" s="298">
        <f ca="1">+((W12*(1-0.34))-Pfd_weighted)/Equity_percent</f>
        <v>0.16426789954857599</v>
      </c>
      <c r="Y12" s="298">
        <f>+Y11</f>
        <v>2.5000000000000001E-3</v>
      </c>
      <c r="Z12" s="298">
        <f ca="1">+X12+Y12</f>
        <v>0.16676789954857599</v>
      </c>
      <c r="AA12" s="298">
        <f ca="1">Z12*equityP</f>
        <v>0.10006073972914559</v>
      </c>
      <c r="AB12" s="298">
        <f ca="1">+AA12/(1-taxrate)</f>
        <v>0.12665916421410833</v>
      </c>
      <c r="AC12" s="298">
        <f>debtP*Debt_Rate</f>
        <v>1.2716825048595141E-2</v>
      </c>
      <c r="AD12" s="298">
        <f ca="1">+AC12+AB12</f>
        <v>0.13937598926270348</v>
      </c>
      <c r="AE12" s="298">
        <f ca="1">+AD12/(S12/100)</f>
        <v>0.13432855296088153</v>
      </c>
      <c r="AF12" s="298">
        <f ca="1">1-AE12</f>
        <v>0.86567144703911847</v>
      </c>
      <c r="AG12" s="299">
        <f ca="1">expenses/(AF12)</f>
        <v>4960665.2477746475</v>
      </c>
      <c r="AH12" s="525">
        <f ca="1">+AG12-Revenue</f>
        <v>1184745.0810085321</v>
      </c>
      <c r="AI12" s="300">
        <f ca="1">+AH12/$J$49</f>
        <v>1406400.8096228926</v>
      </c>
      <c r="AJ12" s="300">
        <f ca="1">+AI12*$J$47</f>
        <v>30479.053057365512</v>
      </c>
      <c r="AK12" s="299">
        <f t="shared" ref="AK12:AK14" ca="1" si="8">ROUND(+AJ12+AG12,5)</f>
        <v>4991144.3008300001</v>
      </c>
    </row>
    <row r="13" spans="1:37" ht="15.75">
      <c r="A13" s="260"/>
      <c r="B13" s="280" t="s">
        <v>589</v>
      </c>
      <c r="C13" s="539">
        <v>0</v>
      </c>
      <c r="D13" s="277"/>
      <c r="E13" s="260"/>
      <c r="F13" s="301">
        <f t="shared" si="7"/>
        <v>7</v>
      </c>
      <c r="G13" s="282"/>
      <c r="H13" s="282"/>
      <c r="I13" s="273"/>
      <c r="J13" s="273"/>
      <c r="K13" s="294"/>
      <c r="L13" s="282"/>
      <c r="M13" s="282"/>
      <c r="O13" s="271"/>
      <c r="P13" s="260"/>
      <c r="R13" s="302">
        <v>3</v>
      </c>
      <c r="S13" s="296">
        <f ca="1">IF((AK8/Investment*100)&gt;0,(AK8/Investment*100),0)</f>
        <v>103.75753046583614</v>
      </c>
      <c r="T13" s="297">
        <f ca="1">EXP(y_inter3-(slope*LN(S13)))</f>
        <v>12.48920996902439</v>
      </c>
      <c r="U13" s="298">
        <f ca="1">(+S13*T13/100)/100</f>
        <v>0.12958495838552728</v>
      </c>
      <c r="V13" s="298">
        <f>regDebt_weighted</f>
        <v>3.5860000000000003E-2</v>
      </c>
      <c r="W13" s="298">
        <f ca="1">+U13-V13</f>
        <v>9.3724958385527274E-2</v>
      </c>
      <c r="X13" s="298">
        <f ca="1">+((W13*(1-0.34))-Pfd_weighted)/Equity_percent</f>
        <v>0.16182695504199998</v>
      </c>
      <c r="Y13" s="298">
        <f>+Y12</f>
        <v>2.5000000000000001E-3</v>
      </c>
      <c r="Z13" s="298">
        <f t="shared" ref="Z13:Z14" ca="1" si="9">+X13+Y13</f>
        <v>0.16432695504199998</v>
      </c>
      <c r="AA13" s="298">
        <f ca="1">Z13*equityP</f>
        <v>9.859617302519999E-2</v>
      </c>
      <c r="AB13" s="298">
        <f ca="1">+AA13/(1-taxrate)</f>
        <v>0.12480528231037973</v>
      </c>
      <c r="AC13" s="298">
        <f>debtP*Debt_Rate</f>
        <v>1.2716825048595141E-2</v>
      </c>
      <c r="AD13" s="298">
        <f ca="1">+AC13+AB13</f>
        <v>0.13752210735897485</v>
      </c>
      <c r="AE13" s="298">
        <f ca="1">+AD13/(S13/100)</f>
        <v>0.13254180852372566</v>
      </c>
      <c r="AF13" s="298">
        <f ca="1">1-AE13</f>
        <v>0.86745819147627434</v>
      </c>
      <c r="AG13" s="299">
        <f ca="1">expenses/(AF13)</f>
        <v>4950447.5322430553</v>
      </c>
      <c r="AH13" s="525">
        <f ca="1">+AG13-Revenue</f>
        <v>1174527.3654769398</v>
      </c>
      <c r="AI13" s="300">
        <f ca="1">+AH13/$J$49</f>
        <v>1394271.4464151596</v>
      </c>
      <c r="AJ13" s="300">
        <f ca="1">+AI13*$J$47</f>
        <v>30216.189510764114</v>
      </c>
      <c r="AK13" s="299">
        <f t="shared" ca="1" si="8"/>
        <v>4980663.7217499996</v>
      </c>
    </row>
    <row r="14" spans="1:37" ht="16.5" thickBot="1">
      <c r="A14" s="260"/>
      <c r="B14" s="318" t="s">
        <v>118</v>
      </c>
      <c r="C14" s="539">
        <f>+'Restating Adj'!B85</f>
        <v>1.5716691634570774E-3</v>
      </c>
      <c r="D14" s="277"/>
      <c r="E14" s="260"/>
      <c r="F14" s="301">
        <f t="shared" si="7"/>
        <v>8</v>
      </c>
      <c r="G14" s="282"/>
      <c r="H14" s="282" t="s">
        <v>287</v>
      </c>
      <c r="I14" s="528">
        <f ca="1">+I9-SUM(I11:I13)</f>
        <v>-581723.23811947333</v>
      </c>
      <c r="J14" s="273"/>
      <c r="K14" s="528">
        <f ca="1">+K9-SUM(K11:K13)</f>
        <v>487498.34955381596</v>
      </c>
      <c r="L14" s="282"/>
      <c r="M14" s="528">
        <f ca="1">+M9-SUM(M11:M13)</f>
        <v>487498.34955381596</v>
      </c>
      <c r="O14" s="271"/>
      <c r="P14" s="260"/>
      <c r="R14" s="303">
        <v>4</v>
      </c>
      <c r="S14" s="296">
        <f ca="1">IF((AK9/Investment*100)&gt;0,(AK9/Investment*100),0)</f>
        <v>103.75753046583614</v>
      </c>
      <c r="T14" s="309">
        <f ca="1">EXP(y_inter4-(slope*LN(S14)))</f>
        <v>12.410775274928513</v>
      </c>
      <c r="U14" s="298">
        <f ca="1">(+S14*T14/100)/100</f>
        <v>0.12877113936930412</v>
      </c>
      <c r="V14" s="298">
        <f>regDebt_weighted</f>
        <v>3.5860000000000003E-2</v>
      </c>
      <c r="W14" s="298">
        <f ca="1">+U14-V14</f>
        <v>9.2911139369304119E-2</v>
      </c>
      <c r="X14" s="298">
        <f ca="1">+((W14*(1-0.34))-Pfd_weighted)/Equity_percent</f>
        <v>0.16026555809226953</v>
      </c>
      <c r="Y14" s="298">
        <f>+Y13</f>
        <v>2.5000000000000001E-3</v>
      </c>
      <c r="Z14" s="298">
        <f t="shared" ca="1" si="9"/>
        <v>0.16276555809226953</v>
      </c>
      <c r="AA14" s="298">
        <f ca="1">Z14*equityP</f>
        <v>9.7659334855361712E-2</v>
      </c>
      <c r="AB14" s="298">
        <f ca="1">+AA14/(1-taxrate)</f>
        <v>0.12361941120931862</v>
      </c>
      <c r="AC14" s="298">
        <f>debtP*Debt_Rate</f>
        <v>1.2716825048595141E-2</v>
      </c>
      <c r="AD14" s="298">
        <f ca="1">+AC14+AB14</f>
        <v>0.13633623625791375</v>
      </c>
      <c r="AE14" s="298">
        <f ca="1">+AD14/(S14/100)</f>
        <v>0.13139888319027088</v>
      </c>
      <c r="AF14" s="298">
        <f ca="1">1-AE14</f>
        <v>0.86860111680972918</v>
      </c>
      <c r="AG14" s="299">
        <f ca="1">expenses/(AF14)</f>
        <v>4943933.6194848949</v>
      </c>
      <c r="AH14" s="525">
        <f ca="1">+AG14-Revenue</f>
        <v>1168013.4527187794</v>
      </c>
      <c r="AI14" s="300">
        <f ca="1">+AH14/$J$49</f>
        <v>1386538.8359795955</v>
      </c>
      <c r="AJ14" s="300">
        <f ca="1">+AI14*$J$47</f>
        <v>30048.610935634671</v>
      </c>
      <c r="AK14" s="299">
        <f t="shared" ca="1" si="8"/>
        <v>4973982.2304199999</v>
      </c>
    </row>
    <row r="15" spans="1:37" ht="16.5" thickTop="1">
      <c r="A15" s="260"/>
      <c r="B15" s="318" t="s">
        <v>593</v>
      </c>
      <c r="C15" s="540">
        <v>2.5000000000000001E-3</v>
      </c>
      <c r="D15" s="260"/>
      <c r="E15" s="260"/>
      <c r="F15" s="301">
        <f t="shared" si="7"/>
        <v>9</v>
      </c>
      <c r="G15" s="273"/>
      <c r="H15" s="273"/>
      <c r="I15" s="273"/>
      <c r="J15" s="273"/>
      <c r="K15" s="311"/>
      <c r="L15" s="273"/>
      <c r="M15" s="273"/>
      <c r="O15" s="271"/>
      <c r="P15" s="260"/>
      <c r="R15" s="276" t="s">
        <v>590</v>
      </c>
    </row>
    <row r="16" spans="1:37" ht="15.75">
      <c r="A16" s="260"/>
      <c r="B16" s="260"/>
      <c r="C16" s="260"/>
      <c r="D16" s="277" t="s">
        <v>917</v>
      </c>
      <c r="E16" s="260"/>
      <c r="F16" s="301">
        <f t="shared" si="7"/>
        <v>10</v>
      </c>
      <c r="G16" s="273"/>
      <c r="H16" s="293" t="s">
        <v>591</v>
      </c>
      <c r="I16" s="312">
        <f>+I8/I7</f>
        <v>1.1372873561030825</v>
      </c>
      <c r="J16" s="313"/>
      <c r="K16" s="312">
        <f ca="1">+K8/K7</f>
        <v>0.86322399999999999</v>
      </c>
      <c r="L16" s="314"/>
      <c r="M16" s="312">
        <f ca="1">+M8/M7</f>
        <v>0.86406671963715909</v>
      </c>
      <c r="O16" s="271"/>
      <c r="P16" s="260"/>
      <c r="R16" s="305">
        <v>1</v>
      </c>
      <c r="S16" s="306">
        <f ca="1">AK11/Investment*100</f>
        <v>100.52613958138521</v>
      </c>
      <c r="T16" s="289">
        <f ca="1">EXP(y_inter1-(slope*LN(+S16)))</f>
        <v>13.073609681451362</v>
      </c>
      <c r="U16" s="290">
        <f ca="1">(+S16*T16/100)/100</f>
        <v>0.13142395116701289</v>
      </c>
      <c r="V16" s="290">
        <f>regDebt_weighted</f>
        <v>3.5860000000000003E-2</v>
      </c>
      <c r="W16" s="290">
        <f ca="1">+U16-V16</f>
        <v>9.5563951167012884E-2</v>
      </c>
      <c r="X16" s="290">
        <f ca="1">+((W16*(1-0.34))-Pfd_weighted)/Equity_percent</f>
        <v>0.1653552551460131</v>
      </c>
      <c r="Y16" s="290">
        <f>+Y14</f>
        <v>2.5000000000000001E-3</v>
      </c>
      <c r="Z16" s="290">
        <f ca="1">+X16+Y16</f>
        <v>0.1678552551460131</v>
      </c>
      <c r="AA16" s="290">
        <f ca="1">Z16*equityP</f>
        <v>0.10071315308760785</v>
      </c>
      <c r="AB16" s="290">
        <f ca="1">+AA16/(1-taxrate)</f>
        <v>0.12748500390836437</v>
      </c>
      <c r="AC16" s="290">
        <f>debtP*Debt_Rate</f>
        <v>1.2716825048595141E-2</v>
      </c>
      <c r="AD16" s="290">
        <f ca="1">+AC16+AB16</f>
        <v>0.14020182895695951</v>
      </c>
      <c r="AE16" s="290">
        <f ca="1">+AD16/(S16/100)</f>
        <v>0.13946803243494013</v>
      </c>
      <c r="AF16" s="290">
        <f ca="1">1-AE16</f>
        <v>0.8605319675650599</v>
      </c>
      <c r="AG16" s="291">
        <f ca="1">expenses/(AF16)</f>
        <v>4990292.5459803771</v>
      </c>
      <c r="AH16" s="529">
        <f ca="1">+AG16-Revenue</f>
        <v>1214372.3792142617</v>
      </c>
      <c r="AI16" s="292">
        <f ca="1">+AH16/$J$49</f>
        <v>1441571.1233481092</v>
      </c>
      <c r="AJ16" s="292">
        <f ca="1">+AI16*$J$47</f>
        <v>31241.252460793399</v>
      </c>
      <c r="AK16" s="291">
        <f ca="1">ROUND(+AJ16+AG16,5)</f>
        <v>5021533.79844</v>
      </c>
    </row>
    <row r="17" spans="1:37" ht="15.75">
      <c r="A17" s="260"/>
      <c r="B17" s="548" t="s">
        <v>918</v>
      </c>
      <c r="C17" s="322"/>
      <c r="D17" s="260" t="s">
        <v>919</v>
      </c>
      <c r="E17" s="260"/>
      <c r="F17" s="301">
        <f t="shared" si="7"/>
        <v>11</v>
      </c>
      <c r="G17" s="273"/>
      <c r="H17" s="273"/>
      <c r="I17" s="273"/>
      <c r="K17" s="273"/>
      <c r="L17" s="293"/>
      <c r="M17" s="293"/>
      <c r="N17" s="312"/>
      <c r="O17" s="260"/>
      <c r="P17" s="260"/>
      <c r="R17" s="295">
        <v>2</v>
      </c>
      <c r="S17" s="296">
        <f ca="1">AK12/Investment*100</f>
        <v>100.21214613539394</v>
      </c>
      <c r="T17" s="307">
        <f ca="1">EXP(y_inter2-(slope*LN(+S17)))</f>
        <v>12.915194103621545</v>
      </c>
      <c r="U17" s="298">
        <f ca="1">(+S17*T17/100)/100</f>
        <v>0.12942593188791005</v>
      </c>
      <c r="V17" s="298">
        <f>regDebt_weighted</f>
        <v>3.5860000000000003E-2</v>
      </c>
      <c r="W17" s="298">
        <f ca="1">+U17-V17</f>
        <v>9.3565931887910042E-2</v>
      </c>
      <c r="X17" s="298">
        <f ca="1">+((W17*(1-0.34))-Pfd_weighted)/Equity_percent</f>
        <v>0.16152184606401343</v>
      </c>
      <c r="Y17" s="298">
        <f>+Y16</f>
        <v>2.5000000000000001E-3</v>
      </c>
      <c r="Z17" s="298">
        <f ca="1">+X17+Y17</f>
        <v>0.16402184606401343</v>
      </c>
      <c r="AA17" s="298">
        <f ca="1">Z17*equityP</f>
        <v>9.8413107638408062E-2</v>
      </c>
      <c r="AB17" s="298">
        <f ca="1">+AA17/(1-taxrate)</f>
        <v>0.12457355397266842</v>
      </c>
      <c r="AC17" s="298">
        <f>debtP*Debt_Rate</f>
        <v>1.2716825048595141E-2</v>
      </c>
      <c r="AD17" s="298">
        <f ca="1">+AC17+AB17</f>
        <v>0.13729037902126356</v>
      </c>
      <c r="AE17" s="298">
        <f ca="1">+AD17/(S17/100)</f>
        <v>0.13699973936869311</v>
      </c>
      <c r="AF17" s="298">
        <f ca="1">1-AE17</f>
        <v>0.86300026063130686</v>
      </c>
      <c r="AG17" s="299">
        <f ca="1">expenses/(AF17)</f>
        <v>4976019.6598044485</v>
      </c>
      <c r="AH17" s="525">
        <f ca="1">+AG17-Revenue</f>
        <v>1200099.493038333</v>
      </c>
      <c r="AI17" s="300">
        <f ca="1">+AH17/$J$49</f>
        <v>1424627.9015569761</v>
      </c>
      <c r="AJ17" s="300">
        <f ca="1">+AI17*$J$47</f>
        <v>30874.064563572887</v>
      </c>
      <c r="AK17" s="299">
        <f t="shared" ref="AK17:AK19" ca="1" si="10">ROUND(+AJ17+AG17,5)</f>
        <v>5006893.72437</v>
      </c>
    </row>
    <row r="18" spans="1:37" ht="15.75">
      <c r="A18" s="260"/>
      <c r="B18" s="1554"/>
      <c r="C18" s="1554"/>
      <c r="D18" s="260"/>
      <c r="E18" s="260"/>
      <c r="F18" s="301">
        <f t="shared" si="7"/>
        <v>12</v>
      </c>
      <c r="G18" s="273"/>
      <c r="H18" s="315" t="s">
        <v>592</v>
      </c>
      <c r="I18" s="316"/>
      <c r="J18" s="559"/>
      <c r="K18" s="316"/>
      <c r="L18" s="316"/>
      <c r="M18" s="317"/>
      <c r="O18" s="260"/>
      <c r="P18" s="260"/>
      <c r="R18" s="302">
        <v>3</v>
      </c>
      <c r="S18" s="296">
        <f ca="1">AK13/Investment*100</f>
        <v>100.0017171718046</v>
      </c>
      <c r="T18" s="297">
        <f ca="1">EXP(y_inter3-(slope*LN(S18)))</f>
        <v>12.808020282296425</v>
      </c>
      <c r="U18" s="298">
        <f ca="1">(+S18*T18/100)/100</f>
        <v>0.12808240218009442</v>
      </c>
      <c r="V18" s="298">
        <f>regDebt_weighted</f>
        <v>3.5860000000000003E-2</v>
      </c>
      <c r="W18" s="298">
        <f ca="1">+U18-V18</f>
        <v>9.222240218009442E-2</v>
      </c>
      <c r="X18" s="298">
        <f ca="1">+((W18*(1-0.34))-Pfd_weighted)/Equity_percent</f>
        <v>0.158944143717623</v>
      </c>
      <c r="Y18" s="298">
        <f>+Y17</f>
        <v>2.5000000000000001E-3</v>
      </c>
      <c r="Z18" s="298">
        <f t="shared" ref="Z18:Z19" ca="1" si="11">+X18+Y18</f>
        <v>0.161444143717623</v>
      </c>
      <c r="AA18" s="298">
        <f ca="1">Z18*equityP</f>
        <v>9.6866486230573798E-2</v>
      </c>
      <c r="AB18" s="298">
        <f ca="1">+AA18/(1-taxrate)</f>
        <v>0.1226158053551567</v>
      </c>
      <c r="AC18" s="298">
        <f>debtP*Debt_Rate</f>
        <v>1.2716825048595141E-2</v>
      </c>
      <c r="AD18" s="298">
        <f ca="1">+AC18+AB18</f>
        <v>0.13533263040375185</v>
      </c>
      <c r="AE18" s="298">
        <f ca="1">+AD18/(S18/100)</f>
        <v>0.1353303065498847</v>
      </c>
      <c r="AF18" s="298">
        <f ca="1">1-AE18</f>
        <v>0.86466969345011524</v>
      </c>
      <c r="AG18" s="299">
        <f ca="1">expenses/(AF18)</f>
        <v>4966412.3720851727</v>
      </c>
      <c r="AH18" s="525">
        <f ca="1">+AG18-Revenue</f>
        <v>1190492.2053190572</v>
      </c>
      <c r="AI18" s="300">
        <f ca="1">+AH18/$J$49</f>
        <v>1413223.1720136658</v>
      </c>
      <c r="AJ18" s="300">
        <f ca="1">+AI18*$J$47</f>
        <v>30626.905038011559</v>
      </c>
      <c r="AK18" s="299">
        <f t="shared" ca="1" si="10"/>
        <v>4997039.2771199998</v>
      </c>
    </row>
    <row r="19" spans="1:37" ht="15.75">
      <c r="A19" s="260"/>
      <c r="B19" s="1555" t="s">
        <v>920</v>
      </c>
      <c r="C19" s="1555"/>
      <c r="D19" s="260"/>
      <c r="E19" s="260"/>
      <c r="F19" s="301">
        <f t="shared" si="7"/>
        <v>13</v>
      </c>
      <c r="G19" s="273"/>
      <c r="H19" s="278"/>
      <c r="I19" s="319" t="s">
        <v>594</v>
      </c>
      <c r="J19" s="308">
        <f>+Revenue</f>
        <v>3775920.1667661155</v>
      </c>
      <c r="K19" s="320"/>
      <c r="L19" s="319" t="s">
        <v>921</v>
      </c>
      <c r="M19" s="321">
        <f ca="1">+J7</f>
        <v>1198809.7565420251</v>
      </c>
      <c r="O19" s="260"/>
      <c r="P19" s="260"/>
      <c r="R19" s="303">
        <v>4</v>
      </c>
      <c r="S19" s="296">
        <f ca="1">AK14/Investment*100</f>
        <v>99.867566254658598</v>
      </c>
      <c r="T19" s="309">
        <f ca="1">EXP(y_inter4-(slope*LN(S19)))</f>
        <v>12.739269492173065</v>
      </c>
      <c r="U19" s="298">
        <f ca="1">(+S19*T19/100)/100</f>
        <v>0.12722398400455445</v>
      </c>
      <c r="V19" s="298">
        <f>regDebt_weighted</f>
        <v>3.5860000000000003E-2</v>
      </c>
      <c r="W19" s="298">
        <f ca="1">+U19-V19</f>
        <v>9.1363984004554449E-2</v>
      </c>
      <c r="X19" s="298">
        <f ca="1">+((W19*(1-0.34))-Pfd_weighted)/Equity_percent</f>
        <v>0.15729717861338932</v>
      </c>
      <c r="Y19" s="298">
        <f>+Y18</f>
        <v>2.5000000000000001E-3</v>
      </c>
      <c r="Z19" s="298">
        <f t="shared" ca="1" si="11"/>
        <v>0.15979717861338932</v>
      </c>
      <c r="AA19" s="298">
        <f ca="1">Z19*equityP</f>
        <v>9.5878307168033597E-2</v>
      </c>
      <c r="AB19" s="298">
        <f ca="1">+AA19/(1-taxrate)</f>
        <v>0.121364945782321</v>
      </c>
      <c r="AC19" s="298">
        <f>debtP*Debt_Rate</f>
        <v>1.2716825048595141E-2</v>
      </c>
      <c r="AD19" s="298">
        <f ca="1">+AC19+AB19</f>
        <v>0.13408177083091613</v>
      </c>
      <c r="AE19" s="298">
        <f ca="1">+AD19/(S19/100)</f>
        <v>0.13425957581564826</v>
      </c>
      <c r="AF19" s="298">
        <f ca="1">1-AE19</f>
        <v>0.86574042418435171</v>
      </c>
      <c r="AG19" s="299">
        <f ca="1">expenses/(AF19)</f>
        <v>4960270.0109141627</v>
      </c>
      <c r="AH19" s="525">
        <f ca="1">+AG19-Revenue</f>
        <v>1184349.8441480473</v>
      </c>
      <c r="AI19" s="300">
        <f ca="1">+AH19/$J$49</f>
        <v>1405931.6273072292</v>
      </c>
      <c r="AJ19" s="300">
        <f ca="1">+AI19*$J$47</f>
        <v>30468.88509344311</v>
      </c>
      <c r="AK19" s="299">
        <f t="shared" ca="1" si="10"/>
        <v>4990738.8960100003</v>
      </c>
    </row>
    <row r="20" spans="1:37" ht="15.75">
      <c r="A20" s="260"/>
      <c r="B20" s="350"/>
      <c r="C20" s="260"/>
      <c r="D20" s="260"/>
      <c r="E20" s="260"/>
      <c r="F20" s="301">
        <f t="shared" si="7"/>
        <v>14</v>
      </c>
      <c r="G20" s="273"/>
      <c r="H20" s="278"/>
      <c r="I20" s="319" t="s">
        <v>595</v>
      </c>
      <c r="J20" s="308">
        <f ca="1">+J21-J19</f>
        <v>1229650.6410167068</v>
      </c>
      <c r="K20" s="549"/>
      <c r="L20" s="319" t="s">
        <v>922</v>
      </c>
      <c r="M20" s="321">
        <f ca="1">+L8</f>
        <v>30840.884474681923</v>
      </c>
      <c r="O20" s="260"/>
      <c r="P20" s="260"/>
      <c r="R20" s="276" t="s">
        <v>596</v>
      </c>
    </row>
    <row r="21" spans="1:37" ht="16.5" thickBot="1">
      <c r="A21" s="260"/>
      <c r="B21" s="350"/>
      <c r="C21" s="350"/>
      <c r="D21" s="260"/>
      <c r="E21" s="260"/>
      <c r="F21" s="301">
        <f t="shared" si="7"/>
        <v>15</v>
      </c>
      <c r="G21" s="273"/>
      <c r="H21" s="278"/>
      <c r="I21" s="323" t="s">
        <v>592</v>
      </c>
      <c r="J21" s="550">
        <f ca="1">+M7</f>
        <v>5005570.8077828223</v>
      </c>
      <c r="K21" s="324"/>
      <c r="L21" s="323" t="s">
        <v>595</v>
      </c>
      <c r="M21" s="530">
        <f ca="1">+M19+M20</f>
        <v>1229650.6410167071</v>
      </c>
      <c r="O21" s="260"/>
      <c r="P21" s="260"/>
      <c r="R21" s="305">
        <v>1</v>
      </c>
      <c r="S21" s="306">
        <f ca="1">AK16/Investment*100</f>
        <v>100.82230616922989</v>
      </c>
      <c r="T21" s="289">
        <f ca="1">EXP(y_inter1-(slope*LN(+S21)))</f>
        <v>13.047341895764671</v>
      </c>
      <c r="U21" s="290">
        <f ca="1">(+S21*T21/100)/100</f>
        <v>0.1315463099309406</v>
      </c>
      <c r="V21" s="290">
        <f>regDebt_weighted</f>
        <v>3.5860000000000003E-2</v>
      </c>
      <c r="W21" s="290">
        <f ca="1">+U21-V21</f>
        <v>9.56863099309406E-2</v>
      </c>
      <c r="X21" s="290">
        <f ca="1">+((W21*(1-0.34))-Pfd_weighted)/Equity_percent</f>
        <v>0.16559001323959535</v>
      </c>
      <c r="Y21" s="290">
        <f>+Y19</f>
        <v>2.5000000000000001E-3</v>
      </c>
      <c r="Z21" s="290">
        <f ca="1">+X21+Y21</f>
        <v>0.16809001323959535</v>
      </c>
      <c r="AA21" s="290">
        <f ca="1">Z21*equityP</f>
        <v>0.10085400794375721</v>
      </c>
      <c r="AB21" s="290">
        <f ca="1">+AA21/(1-taxrate)</f>
        <v>0.12766330119462937</v>
      </c>
      <c r="AC21" s="290">
        <f>debtP*Debt_Rate</f>
        <v>1.2716825048595141E-2</v>
      </c>
      <c r="AD21" s="290">
        <f ca="1">+AC21+AB21</f>
        <v>0.14038012624322452</v>
      </c>
      <c r="AE21" s="290">
        <f ca="1">+AD21/(S21/100)</f>
        <v>0.13923518671314358</v>
      </c>
      <c r="AF21" s="290">
        <f ca="1">1-AE21</f>
        <v>0.86076481328685639</v>
      </c>
      <c r="AG21" s="291">
        <f ca="1">expenses/(AF21)</f>
        <v>4988942.6205978477</v>
      </c>
      <c r="AH21" s="529">
        <f ca="1">+AG21-Revenue</f>
        <v>1213022.4538317323</v>
      </c>
      <c r="AI21" s="292">
        <f ca="1">+AH21/$J$49</f>
        <v>1439968.6384073794</v>
      </c>
      <c r="AJ21" s="292">
        <f ca="1">+AI21*$J$47</f>
        <v>31206.523937318481</v>
      </c>
      <c r="AK21" s="291">
        <f ca="1">ROUND(+AJ21+AG21,5)</f>
        <v>5020149.1445399998</v>
      </c>
    </row>
    <row r="22" spans="1:37" ht="21" customHeight="1" thickTop="1">
      <c r="A22" s="260"/>
      <c r="B22" s="350"/>
      <c r="C22" s="260"/>
      <c r="D22" s="260"/>
      <c r="E22" s="260"/>
      <c r="F22" s="301">
        <f t="shared" si="7"/>
        <v>16</v>
      </c>
      <c r="G22" s="273"/>
      <c r="H22" s="325"/>
      <c r="I22" s="326"/>
      <c r="J22" s="531" t="s">
        <v>923</v>
      </c>
      <c r="K22" s="532">
        <f ca="1">+(J21/J19)-1</f>
        <v>0.32565588961321712</v>
      </c>
      <c r="L22" s="326"/>
      <c r="M22" s="327"/>
      <c r="O22" s="260"/>
      <c r="P22" s="260"/>
      <c r="R22" s="295">
        <v>2</v>
      </c>
      <c r="S22" s="296">
        <f ca="1">AK17/Investment*100</f>
        <v>100.52836290618059</v>
      </c>
      <c r="T22" s="307">
        <f ca="1">EXP(y_inter2-(slope*LN(+S22)))</f>
        <v>12.887405926203416</v>
      </c>
      <c r="U22" s="298">
        <f ca="1">(+S22*T22/100)/100</f>
        <v>0.12955498198686394</v>
      </c>
      <c r="V22" s="298">
        <f>regDebt_weighted</f>
        <v>3.5860000000000003E-2</v>
      </c>
      <c r="W22" s="298">
        <f ca="1">+U22-V22</f>
        <v>9.3694981986863934E-2</v>
      </c>
      <c r="X22" s="298">
        <f ca="1">+((W22*(1-0.34))-Pfd_weighted)/Equity_percent</f>
        <v>0.16176944218409942</v>
      </c>
      <c r="Y22" s="298">
        <f>+Y21</f>
        <v>2.5000000000000001E-3</v>
      </c>
      <c r="Z22" s="298">
        <f ca="1">+X22+Y22</f>
        <v>0.16426944218409942</v>
      </c>
      <c r="AA22" s="298">
        <f ca="1">Z22*equityP</f>
        <v>9.8561665310459651E-2</v>
      </c>
      <c r="AB22" s="298">
        <f ca="1">+AA22/(1-taxrate)</f>
        <v>0.12476160165880967</v>
      </c>
      <c r="AC22" s="298">
        <f>debtP*Debt_Rate</f>
        <v>1.2716825048595141E-2</v>
      </c>
      <c r="AD22" s="298">
        <f ca="1">+AC22+AB22</f>
        <v>0.13747842670740482</v>
      </c>
      <c r="AE22" s="298">
        <f ca="1">+AD22/(S22/100)</f>
        <v>0.13675585947391619</v>
      </c>
      <c r="AF22" s="298">
        <f ca="1">1-AE22</f>
        <v>0.86324414052608378</v>
      </c>
      <c r="AG22" s="299">
        <f ca="1">expenses/(AF22)</f>
        <v>4974613.8568640416</v>
      </c>
      <c r="AH22" s="525">
        <f ca="1">+AG22-Revenue</f>
        <v>1198693.6900979262</v>
      </c>
      <c r="AI22" s="300">
        <f ca="1">+AH22/$J$49</f>
        <v>1422959.0848425184</v>
      </c>
      <c r="AJ22" s="300">
        <f ca="1">+AI22*$J$47</f>
        <v>30837.898519842711</v>
      </c>
      <c r="AK22" s="299">
        <f t="shared" ref="AK22:AK24" ca="1" si="12">ROUND(+AJ22+AG22,5)</f>
        <v>5005451.75538</v>
      </c>
    </row>
    <row r="23" spans="1:37" ht="15.75">
      <c r="A23" s="260"/>
      <c r="B23" s="533" t="s">
        <v>924</v>
      </c>
      <c r="C23" s="534"/>
      <c r="D23" s="534"/>
      <c r="E23" s="534"/>
      <c r="F23" s="301">
        <f t="shared" si="7"/>
        <v>17</v>
      </c>
      <c r="H23" s="273"/>
      <c r="I23" s="273"/>
      <c r="J23" s="273"/>
      <c r="K23" s="273"/>
      <c r="L23" s="273"/>
      <c r="M23" s="273"/>
      <c r="N23" s="273"/>
      <c r="O23" s="260"/>
      <c r="P23" s="260"/>
      <c r="R23" s="302">
        <v>3</v>
      </c>
      <c r="S23" s="296">
        <f ca="1">AK18/Investment*100</f>
        <v>100.33050541130986</v>
      </c>
      <c r="T23" s="297">
        <f ca="1">EXP(y_inter3-(slope*LN(S23)))</f>
        <v>12.77931001924561</v>
      </c>
      <c r="U23" s="298">
        <f ca="1">(+S23*T23/100)/100</f>
        <v>0.12821546330387279</v>
      </c>
      <c r="V23" s="298">
        <f>regDebt_weighted</f>
        <v>3.5860000000000003E-2</v>
      </c>
      <c r="W23" s="298">
        <f ca="1">+U23-V23</f>
        <v>9.2355463303872787E-2</v>
      </c>
      <c r="X23" s="298">
        <f ca="1">+((W23*(1-0.34))-Pfd_weighted)/Equity_percent</f>
        <v>0.15919943540859313</v>
      </c>
      <c r="Y23" s="298">
        <f>+Y22</f>
        <v>2.5000000000000001E-3</v>
      </c>
      <c r="Z23" s="298">
        <f t="shared" ref="Z23:Z24" ca="1" si="13">+X23+Y23</f>
        <v>0.16169943540859313</v>
      </c>
      <c r="AA23" s="298">
        <f ca="1">Z23*equityP</f>
        <v>9.7019661245155875E-2</v>
      </c>
      <c r="AB23" s="298">
        <f ca="1">+AA23/(1-taxrate)</f>
        <v>0.12280969777867831</v>
      </c>
      <c r="AC23" s="298">
        <f>debtP*Debt_Rate</f>
        <v>1.2716825048595141E-2</v>
      </c>
      <c r="AD23" s="298">
        <f ca="1">+AC23+AB23</f>
        <v>0.13552652282727345</v>
      </c>
      <c r="AE23" s="298">
        <f ca="1">+AD23/(S23/100)</f>
        <v>0.1350800758669318</v>
      </c>
      <c r="AF23" s="298">
        <f ca="1">1-AE23</f>
        <v>0.86491992413306817</v>
      </c>
      <c r="AG23" s="299">
        <f ca="1">expenses/(AF23)</f>
        <v>4964975.5353040816</v>
      </c>
      <c r="AH23" s="525">
        <f ca="1">+AG23-Revenue</f>
        <v>1189055.3685379662</v>
      </c>
      <c r="AI23" s="300">
        <f ca="1">+AH23/$J$49</f>
        <v>1411517.5152908692</v>
      </c>
      <c r="AJ23" s="300">
        <f ca="1">+AI23*$J$47</f>
        <v>30589.940609808684</v>
      </c>
      <c r="AK23" s="299">
        <f t="shared" ca="1" si="12"/>
        <v>4995565.4759099996</v>
      </c>
    </row>
    <row r="24" spans="1:37" ht="15.75">
      <c r="A24" s="260"/>
      <c r="B24" s="535" t="s">
        <v>597</v>
      </c>
      <c r="C24" s="534"/>
      <c r="D24" s="534"/>
      <c r="E24" s="534"/>
      <c r="F24" s="301">
        <f t="shared" si="7"/>
        <v>18</v>
      </c>
      <c r="H24" s="328" t="s">
        <v>598</v>
      </c>
      <c r="K24" s="329" t="s">
        <v>599</v>
      </c>
      <c r="L24" s="329"/>
      <c r="M24" s="329"/>
      <c r="N24" s="329"/>
      <c r="O24" s="260"/>
      <c r="P24" s="260"/>
      <c r="R24" s="303">
        <v>4</v>
      </c>
      <c r="S24" s="296">
        <f ca="1">AK19/Investment*100</f>
        <v>100.2040064214091</v>
      </c>
      <c r="T24" s="309">
        <f ca="1">EXP(y_inter4-(slope*LN(S24)))</f>
        <v>12.710011487062593</v>
      </c>
      <c r="U24" s="298">
        <f ca="1">(+S24*T24/100)/100</f>
        <v>0.12735940726658035</v>
      </c>
      <c r="V24" s="298">
        <f>regDebt_weighted</f>
        <v>3.5860000000000003E-2</v>
      </c>
      <c r="W24" s="298">
        <f ca="1">+U24-V24</f>
        <v>9.1499407266580346E-2</v>
      </c>
      <c r="X24" s="298">
        <f ca="1">+((W24*(1-0.34))-Pfd_weighted)/Equity_percent</f>
        <v>0.15755700231378786</v>
      </c>
      <c r="Y24" s="298">
        <f>+Y23</f>
        <v>2.5000000000000001E-3</v>
      </c>
      <c r="Z24" s="298">
        <f t="shared" ca="1" si="13"/>
        <v>0.16005700231378786</v>
      </c>
      <c r="AA24" s="298">
        <f ca="1">Z24*equityP</f>
        <v>9.6034201388272719E-2</v>
      </c>
      <c r="AB24" s="298">
        <f ca="1">+AA24/(1-taxrate)</f>
        <v>0.12156228023831989</v>
      </c>
      <c r="AC24" s="298">
        <f>debtP*Debt_Rate</f>
        <v>1.2716825048595141E-2</v>
      </c>
      <c r="AD24" s="298">
        <f ca="1">+AC24+AB24</f>
        <v>0.13427910528691503</v>
      </c>
      <c r="AE24" s="298">
        <f ca="1">+AD24/(S24/100)</f>
        <v>0.1340057250028534</v>
      </c>
      <c r="AF24" s="298">
        <f ca="1">1-AE24</f>
        <v>0.86599427499714654</v>
      </c>
      <c r="AG24" s="299">
        <f ca="1">expenses/(AF24)</f>
        <v>4958815.9960201764</v>
      </c>
      <c r="AH24" s="525">
        <f ca="1">+AG24-Revenue</f>
        <v>1182895.829254061</v>
      </c>
      <c r="AI24" s="300">
        <f ca="1">+AH24/$J$49</f>
        <v>1404205.5785927114</v>
      </c>
      <c r="AJ24" s="300">
        <f ca="1">+AI24*$J$47</f>
        <v>30431.478736742069</v>
      </c>
      <c r="AK24" s="299">
        <f t="shared" ca="1" si="12"/>
        <v>4989247.4747599997</v>
      </c>
    </row>
    <row r="25" spans="1:37" ht="15.75">
      <c r="A25" s="260"/>
      <c r="B25" s="535" t="s">
        <v>600</v>
      </c>
      <c r="C25" s="534"/>
      <c r="D25" s="534"/>
      <c r="E25" s="534"/>
      <c r="F25" s="301">
        <f t="shared" si="7"/>
        <v>19</v>
      </c>
      <c r="H25" s="330" t="s">
        <v>601</v>
      </c>
      <c r="I25" s="331" t="s">
        <v>602</v>
      </c>
      <c r="J25" s="332" t="s">
        <v>603</v>
      </c>
      <c r="K25" s="330" t="s">
        <v>604</v>
      </c>
      <c r="L25" s="332" t="s">
        <v>605</v>
      </c>
      <c r="M25" s="332" t="s">
        <v>603</v>
      </c>
      <c r="O25" s="260"/>
      <c r="P25" s="260"/>
      <c r="R25" s="276" t="s">
        <v>606</v>
      </c>
      <c r="W25" s="333"/>
      <c r="X25" s="334"/>
      <c r="Y25" s="334"/>
      <c r="Z25" s="334"/>
      <c r="AA25" s="335"/>
      <c r="AB25" s="335"/>
      <c r="AC25" s="334"/>
      <c r="AE25" s="334"/>
      <c r="AF25" s="334"/>
      <c r="AG25" s="335"/>
      <c r="AH25" s="333"/>
    </row>
    <row r="26" spans="1:37" ht="15.75">
      <c r="A26" s="260"/>
      <c r="B26" s="535" t="s">
        <v>925</v>
      </c>
      <c r="C26" s="534"/>
      <c r="D26" s="534"/>
      <c r="E26" s="534"/>
      <c r="F26" s="301">
        <f t="shared" si="7"/>
        <v>20</v>
      </c>
      <c r="H26" s="293" t="s">
        <v>573</v>
      </c>
      <c r="I26" s="336">
        <f>1-I27</f>
        <v>0.6</v>
      </c>
      <c r="J26" s="337">
        <f>+I26*J28</f>
        <v>2988346.9179993006</v>
      </c>
      <c r="K26" s="312">
        <f ca="1">+K34</f>
        <v>0.1631331177172014</v>
      </c>
      <c r="L26" s="336">
        <f ca="1">+K26*I26</f>
        <v>9.7879870630320845E-2</v>
      </c>
      <c r="M26" s="294">
        <f ca="1">+J26*K26</f>
        <v>487498.3495538159</v>
      </c>
      <c r="O26" s="260"/>
      <c r="P26" s="260"/>
      <c r="R26" s="305">
        <v>1</v>
      </c>
      <c r="S26" s="306">
        <f ca="1">AK21/Investment*100</f>
        <v>100.79450510185728</v>
      </c>
      <c r="T26" s="289">
        <f ca="1">EXP(y_inter1-(slope*LN(+S26)))</f>
        <v>13.049802117410245</v>
      </c>
      <c r="U26" s="290">
        <f ca="1">(+S26*T26/100)/100</f>
        <v>0.13153483461015347</v>
      </c>
      <c r="V26" s="290">
        <f>regDebt_weighted</f>
        <v>3.5860000000000003E-2</v>
      </c>
      <c r="W26" s="290">
        <f ca="1">+U26-V26</f>
        <v>9.567483461015347E-2</v>
      </c>
      <c r="X26" s="290">
        <f ca="1">+((W26*(1-0.34))-Pfd_weighted)/Equity_percent</f>
        <v>0.16556799663575955</v>
      </c>
      <c r="Y26" s="290">
        <f>+Y24</f>
        <v>2.5000000000000001E-3</v>
      </c>
      <c r="Z26" s="290">
        <f ca="1">+X26+Y26</f>
        <v>0.16806799663575955</v>
      </c>
      <c r="AA26" s="290">
        <f ca="1">Z26*equityP</f>
        <v>0.10084079798145573</v>
      </c>
      <c r="AB26" s="290">
        <f ca="1">+AA26/(1-taxrate)</f>
        <v>0.12764657972336169</v>
      </c>
      <c r="AC26" s="290">
        <f>debtP*Debt_Rate</f>
        <v>1.2716825048595141E-2</v>
      </c>
      <c r="AD26" s="290">
        <f ca="1">+AC26+AB26</f>
        <v>0.14036340477195683</v>
      </c>
      <c r="AE26" s="290">
        <f ca="1">+AD26/(S26/100)</f>
        <v>0.13925700079593967</v>
      </c>
      <c r="AF26" s="290">
        <f ca="1">1-AE26</f>
        <v>0.86074299920406028</v>
      </c>
      <c r="AG26" s="291">
        <f ca="1">expenses/(AF26)</f>
        <v>4989069.0569528239</v>
      </c>
      <c r="AH26" s="529">
        <f ca="1">+AG26-Revenue</f>
        <v>1213148.8901867084</v>
      </c>
      <c r="AI26" s="292">
        <f ca="1">+AH26/$J$49</f>
        <v>1440118.7299290532</v>
      </c>
      <c r="AJ26" s="292">
        <f ca="1">+AI26*$J$47</f>
        <v>31209.776671120435</v>
      </c>
      <c r="AK26" s="291">
        <f ca="1">ROUND(+AJ26+AG26,5)</f>
        <v>5020278.8336199997</v>
      </c>
    </row>
    <row r="27" spans="1:37" ht="15.75">
      <c r="A27" s="260"/>
      <c r="B27" s="535" t="s">
        <v>607</v>
      </c>
      <c r="C27" s="534"/>
      <c r="D27" s="534"/>
      <c r="E27" s="534"/>
      <c r="F27" s="301">
        <f t="shared" si="7"/>
        <v>21</v>
      </c>
      <c r="H27" s="293" t="s">
        <v>575</v>
      </c>
      <c r="I27" s="336">
        <f>IF(A64=TRUE,C8,0)</f>
        <v>0.4</v>
      </c>
      <c r="J27" s="338">
        <f>+I27*J28</f>
        <v>1992231.2786662006</v>
      </c>
      <c r="K27" s="312">
        <f>IF(A64=TRUE,C9,0)</f>
        <v>3.179206262148785E-2</v>
      </c>
      <c r="L27" s="336">
        <f>+K27*I27</f>
        <v>1.2716825048595141E-2</v>
      </c>
      <c r="M27" s="308">
        <f>+K27*J27</f>
        <v>63337.141567842664</v>
      </c>
      <c r="O27" s="260"/>
      <c r="P27" s="260"/>
      <c r="R27" s="295">
        <v>2</v>
      </c>
      <c r="S27" s="296">
        <f ca="1">AK22/Investment*100</f>
        <v>100.49941106699522</v>
      </c>
      <c r="T27" s="307">
        <f ca="1">EXP(y_inter2-(slope*LN(+S27)))</f>
        <v>12.889944003743933</v>
      </c>
      <c r="U27" s="298">
        <f ca="1">(+S27*T27/100)/100</f>
        <v>0.12954317810628116</v>
      </c>
      <c r="V27" s="298">
        <f>regDebt_weighted</f>
        <v>3.5860000000000003E-2</v>
      </c>
      <c r="W27" s="298">
        <f ca="1">+U27-V27</f>
        <v>9.3683178106281156E-2</v>
      </c>
      <c r="X27" s="298">
        <f ca="1">+((W27*(1-0.34))-Pfd_weighted)/Equity_percent</f>
        <v>0.16174679520391153</v>
      </c>
      <c r="Y27" s="298">
        <f>+Y26</f>
        <v>2.5000000000000001E-3</v>
      </c>
      <c r="Z27" s="298">
        <f ca="1">+X27+Y27</f>
        <v>0.16424679520391153</v>
      </c>
      <c r="AA27" s="298">
        <f ca="1">Z27*equityP</f>
        <v>9.8548077122346908E-2</v>
      </c>
      <c r="AB27" s="298">
        <f ca="1">+AA27/(1-taxrate)</f>
        <v>0.12474440142069228</v>
      </c>
      <c r="AC27" s="298">
        <f>debtP*Debt_Rate</f>
        <v>1.2716825048595141E-2</v>
      </c>
      <c r="AD27" s="298">
        <f ca="1">+AC27+AB27</f>
        <v>0.13746122646928741</v>
      </c>
      <c r="AE27" s="298">
        <f ca="1">+AD27/(S27/100)</f>
        <v>0.13677814129443264</v>
      </c>
      <c r="AF27" s="298">
        <f ca="1">1-AE27</f>
        <v>0.86322185870556734</v>
      </c>
      <c r="AG27" s="299">
        <f ca="1">expenses/(AF27)</f>
        <v>4974742.2635441776</v>
      </c>
      <c r="AH27" s="525">
        <f ca="1">+AG27-Revenue</f>
        <v>1198822.0967780622</v>
      </c>
      <c r="AI27" s="300">
        <f ca="1">+AH27/$J$49</f>
        <v>1423111.5153204324</v>
      </c>
      <c r="AJ27" s="300">
        <f ca="1">+AI27*$J$47</f>
        <v>30841.201942730491</v>
      </c>
      <c r="AK27" s="299">
        <f t="shared" ref="AK27:AK29" ca="1" si="14">ROUND(+AJ27+AG27,5)</f>
        <v>5005583.4654900003</v>
      </c>
    </row>
    <row r="28" spans="1:37" ht="16.5" thickBot="1">
      <c r="A28" s="260"/>
      <c r="B28" s="260"/>
      <c r="C28" s="260"/>
      <c r="D28" s="260"/>
      <c r="E28" s="260"/>
      <c r="F28" s="301">
        <f t="shared" si="7"/>
        <v>22</v>
      </c>
      <c r="H28" s="293" t="s">
        <v>13</v>
      </c>
      <c r="I28" s="336">
        <f>SUM(I26:I27)</f>
        <v>1</v>
      </c>
      <c r="J28" s="339">
        <f>IF(A64=TRUE,C7,0)</f>
        <v>4980578.1966655012</v>
      </c>
      <c r="K28" s="340"/>
      <c r="L28" s="341">
        <f ca="1">SUM(L26:L27)</f>
        <v>0.11059669567891599</v>
      </c>
      <c r="M28" s="339">
        <f ca="1">SUM(M26:M27)</f>
        <v>550835.49112165859</v>
      </c>
      <c r="O28" s="260"/>
      <c r="P28" s="260"/>
      <c r="R28" s="302">
        <v>3</v>
      </c>
      <c r="S28" s="296">
        <f ca="1">AK23/Investment*100</f>
        <v>100.3009144451247</v>
      </c>
      <c r="T28" s="297">
        <f ca="1">EXP(y_inter3-(slope*LN(S28)))</f>
        <v>12.781887455418858</v>
      </c>
      <c r="U28" s="298">
        <f ca="1">(+S28*T28/100)/100</f>
        <v>0.12820350001131794</v>
      </c>
      <c r="V28" s="298">
        <f>regDebt_weighted</f>
        <v>3.5860000000000003E-2</v>
      </c>
      <c r="W28" s="298">
        <f ca="1">+U28-V28</f>
        <v>9.2343500011317942E-2</v>
      </c>
      <c r="X28" s="298">
        <f ca="1">+((W28*(1-0.34))-Pfd_weighted)/Equity_percent</f>
        <v>0.15917648257985417</v>
      </c>
      <c r="Y28" s="298">
        <f>+Y27</f>
        <v>2.5000000000000001E-3</v>
      </c>
      <c r="Z28" s="298">
        <f t="shared" ref="Z28:Z29" ca="1" si="15">+X28+Y28</f>
        <v>0.16167648257985417</v>
      </c>
      <c r="AA28" s="298">
        <f ca="1">Z28*equityP</f>
        <v>9.7005889547912505E-2</v>
      </c>
      <c r="AB28" s="298">
        <f ca="1">+AA28/(1-taxrate)</f>
        <v>0.12279226525052216</v>
      </c>
      <c r="AC28" s="298">
        <f>debtP*Debt_Rate</f>
        <v>1.2716825048595141E-2</v>
      </c>
      <c r="AD28" s="298">
        <f ca="1">+AC28+AB28</f>
        <v>0.13550909029911729</v>
      </c>
      <c r="AE28" s="298">
        <f ca="1">+AD28/(S28/100)</f>
        <v>0.13510254721880449</v>
      </c>
      <c r="AF28" s="298">
        <f ca="1">1-AE28</f>
        <v>0.86489745278119545</v>
      </c>
      <c r="AG28" s="299">
        <f ca="1">expenses/(AF28)</f>
        <v>4965104.5329233194</v>
      </c>
      <c r="AH28" s="525">
        <f ca="1">+AG28-Revenue</f>
        <v>1189184.3661572039</v>
      </c>
      <c r="AI28" s="300">
        <f ca="1">+AH28/$J$49</f>
        <v>1411670.6472675649</v>
      </c>
      <c r="AJ28" s="300">
        <f ca="1">+AI28*$J$47</f>
        <v>30593.25923534598</v>
      </c>
      <c r="AK28" s="299">
        <f t="shared" ca="1" si="14"/>
        <v>4995697.7921599997</v>
      </c>
    </row>
    <row r="29" spans="1:37" ht="16.5" thickTop="1">
      <c r="A29" s="260"/>
      <c r="B29" s="260"/>
      <c r="C29" s="260"/>
      <c r="D29" s="260"/>
      <c r="E29" s="260"/>
      <c r="F29" s="301">
        <f t="shared" si="7"/>
        <v>23</v>
      </c>
      <c r="G29" s="273"/>
      <c r="H29" s="273"/>
      <c r="I29" s="273"/>
      <c r="J29" s="273"/>
      <c r="K29" s="273"/>
      <c r="L29" s="273"/>
      <c r="M29" s="273"/>
      <c r="N29" s="273"/>
      <c r="O29" s="260"/>
      <c r="P29" s="260"/>
      <c r="R29" s="303">
        <v>4</v>
      </c>
      <c r="S29" s="296">
        <f ca="1">AK24/Investment*100</f>
        <v>100.17406168023429</v>
      </c>
      <c r="T29" s="309">
        <f ca="1">EXP(y_inter4-(slope*LN(S29)))</f>
        <v>12.712608877369899</v>
      </c>
      <c r="U29" s="298">
        <f ca="1">(+S29*T29/100)/100</f>
        <v>0.12734736657983464</v>
      </c>
      <c r="V29" s="298">
        <f>regDebt_weighted</f>
        <v>3.5860000000000003E-2</v>
      </c>
      <c r="W29" s="298">
        <f ca="1">+U29-V29</f>
        <v>9.1487366579834639E-2</v>
      </c>
      <c r="X29" s="298">
        <f ca="1">+((W29*(1-0.34))-Pfd_weighted)/Equity_percent</f>
        <v>0.15753390099619435</v>
      </c>
      <c r="Y29" s="298">
        <f>+Y28</f>
        <v>2.5000000000000001E-3</v>
      </c>
      <c r="Z29" s="298">
        <f t="shared" ca="1" si="15"/>
        <v>0.16003390099619436</v>
      </c>
      <c r="AA29" s="298">
        <f ca="1">Z29*equityP</f>
        <v>9.6020340597716608E-2</v>
      </c>
      <c r="AB29" s="298">
        <f ca="1">+AA29/(1-taxrate)</f>
        <v>0.12154473493381848</v>
      </c>
      <c r="AC29" s="298">
        <f>debtP*Debt_Rate</f>
        <v>1.2716825048595141E-2</v>
      </c>
      <c r="AD29" s="298">
        <f ca="1">+AC29+AB29</f>
        <v>0.13426155998241363</v>
      </c>
      <c r="AE29" s="298">
        <f ca="1">+AD29/(S29/100)</f>
        <v>0.13402826812692301</v>
      </c>
      <c r="AF29" s="298">
        <f ca="1">1-AE29</f>
        <v>0.86597173187307697</v>
      </c>
      <c r="AG29" s="299">
        <f ca="1">expenses/(AF29)</f>
        <v>4958945.0847653653</v>
      </c>
      <c r="AH29" s="525">
        <f ca="1">+AG29-Revenue</f>
        <v>1183024.9179992499</v>
      </c>
      <c r="AI29" s="300">
        <f ca="1">+AH29/$J$49</f>
        <v>1404358.8187442487</v>
      </c>
      <c r="AJ29" s="300">
        <f ca="1">+AI29*$J$47</f>
        <v>30434.799706608745</v>
      </c>
      <c r="AK29" s="299">
        <f t="shared" ca="1" si="14"/>
        <v>4989379.8844699999</v>
      </c>
    </row>
    <row r="30" spans="1:37" ht="15.75">
      <c r="A30" s="260"/>
      <c r="B30" s="260"/>
      <c r="C30" s="260"/>
      <c r="D30" s="342"/>
      <c r="E30" s="260"/>
      <c r="F30" s="301">
        <f t="shared" si="7"/>
        <v>24</v>
      </c>
      <c r="G30" s="273"/>
      <c r="H30" s="273"/>
      <c r="I30" s="273"/>
      <c r="J30" s="343" t="s">
        <v>608</v>
      </c>
      <c r="K30" s="343" t="s">
        <v>609</v>
      </c>
      <c r="L30" s="273"/>
      <c r="M30" s="273"/>
      <c r="N30" s="273"/>
      <c r="O30" s="260"/>
      <c r="P30" s="260"/>
      <c r="R30" s="276" t="s">
        <v>610</v>
      </c>
      <c r="W30" s="333"/>
      <c r="X30" s="334"/>
      <c r="Z30" s="334"/>
      <c r="AA30" s="335"/>
      <c r="AB30" s="335"/>
      <c r="AC30" s="334"/>
      <c r="AE30" s="334"/>
      <c r="AF30" s="334"/>
      <c r="AG30" s="335"/>
      <c r="AH30" s="333"/>
      <c r="AJ30" s="335"/>
    </row>
    <row r="31" spans="1:37" ht="15.75">
      <c r="A31" s="260"/>
      <c r="B31" s="260"/>
      <c r="C31" s="260"/>
      <c r="D31" s="342"/>
      <c r="E31" s="260"/>
      <c r="F31" s="301">
        <f t="shared" si="7"/>
        <v>25</v>
      </c>
      <c r="G31" s="273"/>
      <c r="H31" s="344" t="s">
        <v>611</v>
      </c>
      <c r="I31" s="345"/>
      <c r="J31" s="346" t="s">
        <v>612</v>
      </c>
      <c r="K31" s="346" t="s">
        <v>612</v>
      </c>
      <c r="L31" s="1556"/>
      <c r="M31" s="1556"/>
      <c r="N31" s="1556"/>
      <c r="O31" s="260"/>
      <c r="P31" s="260"/>
      <c r="R31" s="305">
        <v>1</v>
      </c>
      <c r="S31" s="306">
        <f ca="1">AK26/Investment*100</f>
        <v>100.79710899792875</v>
      </c>
      <c r="T31" s="289">
        <f ca="1">EXP(y_inter1-(slope*LN(+S31)))</f>
        <v>13.049571640303148</v>
      </c>
      <c r="U31" s="290">
        <f ca="1">(+S31*T31/100)/100</f>
        <v>0.13153590950039162</v>
      </c>
      <c r="V31" s="290">
        <f>regDebt_weighted</f>
        <v>3.5860000000000003E-2</v>
      </c>
      <c r="W31" s="290">
        <f ca="1">+U31-V31</f>
        <v>9.567590950039162E-2</v>
      </c>
      <c r="X31" s="290">
        <f ca="1">+((W31*(1-0.34))-Pfd_weighted)/Equity_percent</f>
        <v>0.16557005892516996</v>
      </c>
      <c r="Y31" s="290">
        <f>+Y29</f>
        <v>2.5000000000000001E-3</v>
      </c>
      <c r="Z31" s="290">
        <f ca="1">+X31+Y31</f>
        <v>0.16807005892516996</v>
      </c>
      <c r="AA31" s="290">
        <f ca="1">Z31*equityP</f>
        <v>0.10084203535510197</v>
      </c>
      <c r="AB31" s="290">
        <f ca="1">+AA31/(1-taxrate)</f>
        <v>0.12764814601911642</v>
      </c>
      <c r="AC31" s="290">
        <f>debtP*Debt_Rate</f>
        <v>1.2716825048595141E-2</v>
      </c>
      <c r="AD31" s="290">
        <f ca="1">+AC31+AB31</f>
        <v>0.14036497106771156</v>
      </c>
      <c r="AE31" s="290">
        <f ca="1">+AD31/(S31/100)</f>
        <v>0.13925495727322484</v>
      </c>
      <c r="AF31" s="290">
        <f ca="1">1-AE31</f>
        <v>0.8607450427267751</v>
      </c>
      <c r="AG31" s="291">
        <f ca="1">expenses/(AF31)</f>
        <v>4989057.2122422094</v>
      </c>
      <c r="AH31" s="529">
        <f ca="1">+AG31-Revenue</f>
        <v>1213137.0454760939</v>
      </c>
      <c r="AI31" s="292">
        <f ca="1">+AH31/$J$49</f>
        <v>1440104.6691738199</v>
      </c>
      <c r="AJ31" s="292">
        <f ca="1">+AI31*$J$47</f>
        <v>31209.47195108483</v>
      </c>
      <c r="AK31" s="291">
        <f ca="1">ROUND(+AJ31+AG31,5)</f>
        <v>5020266.6841900004</v>
      </c>
    </row>
    <row r="32" spans="1:37" ht="15.75">
      <c r="A32" s="260"/>
      <c r="B32" s="260"/>
      <c r="C32" s="260"/>
      <c r="D32" s="347"/>
      <c r="E32" s="260"/>
      <c r="F32" s="301">
        <f t="shared" si="7"/>
        <v>26</v>
      </c>
      <c r="G32" s="273"/>
      <c r="H32" s="282"/>
      <c r="I32" s="282"/>
      <c r="J32" s="282"/>
      <c r="K32" s="282"/>
      <c r="L32" s="273"/>
      <c r="M32" s="273"/>
      <c r="N32" s="273"/>
      <c r="O32" s="260"/>
      <c r="P32" s="260"/>
      <c r="R32" s="295">
        <v>2</v>
      </c>
      <c r="S32" s="296">
        <f ca="1">AK27/Investment*100</f>
        <v>100.50205554128715</v>
      </c>
      <c r="T32" s="307">
        <f ca="1">EXP(y_inter2-(slope*LN(+S32)))</f>
        <v>12.889712123490522</v>
      </c>
      <c r="U32" s="298">
        <f ca="1">(+S32*T32/100)/100</f>
        <v>0.12954425637462469</v>
      </c>
      <c r="V32" s="298">
        <f>regDebt_weighted</f>
        <v>3.5860000000000003E-2</v>
      </c>
      <c r="W32" s="298">
        <f ca="1">+U32-V32</f>
        <v>9.3684256374624686E-2</v>
      </c>
      <c r="X32" s="298">
        <f ca="1">+((W32*(1-0.34))-Pfd_weighted)/Equity_percent</f>
        <v>0.16174886397457061</v>
      </c>
      <c r="Y32" s="298">
        <f>+Y31</f>
        <v>2.5000000000000001E-3</v>
      </c>
      <c r="Z32" s="298">
        <f ca="1">+X32+Y32</f>
        <v>0.16424886397457061</v>
      </c>
      <c r="AA32" s="298">
        <f ca="1">Z32*equityP</f>
        <v>9.854931838474236E-2</v>
      </c>
      <c r="AB32" s="298">
        <f ca="1">+AA32/(1-taxrate)</f>
        <v>0.12474597263891438</v>
      </c>
      <c r="AC32" s="298">
        <f>debtP*Debt_Rate</f>
        <v>1.2716825048595141E-2</v>
      </c>
      <c r="AD32" s="298">
        <f ca="1">+AC32+AB32</f>
        <v>0.13746279768750952</v>
      </c>
      <c r="AE32" s="298">
        <f ca="1">+AD32/(S32/100)</f>
        <v>0.13677610566983733</v>
      </c>
      <c r="AF32" s="298">
        <f ca="1">1-AE32</f>
        <v>0.86322389433016267</v>
      </c>
      <c r="AG32" s="299">
        <f ca="1">expenses/(AF32)</f>
        <v>4974730.5322798165</v>
      </c>
      <c r="AH32" s="525">
        <f ca="1">+AG32-Revenue</f>
        <v>1198810.365513701</v>
      </c>
      <c r="AI32" s="300">
        <f ca="1">+AH32/$J$49</f>
        <v>1423097.5892362816</v>
      </c>
      <c r="AJ32" s="300">
        <f ca="1">+AI32*$J$47</f>
        <v>30840.900141242033</v>
      </c>
      <c r="AK32" s="299">
        <f t="shared" ref="AK32:AK34" ca="1" si="16">ROUND(+AJ32+AG32,5)</f>
        <v>5005571.4324200004</v>
      </c>
    </row>
    <row r="33" spans="1:48" ht="15.75">
      <c r="A33" s="260"/>
      <c r="B33" s="260"/>
      <c r="C33" s="260"/>
      <c r="D33" s="260"/>
      <c r="E33" s="260"/>
      <c r="F33" s="301">
        <f t="shared" si="7"/>
        <v>27</v>
      </c>
      <c r="G33" s="273"/>
      <c r="H33" s="282" t="s">
        <v>613</v>
      </c>
      <c r="I33" s="282"/>
      <c r="J33" s="348">
        <f ca="1">+K9/J28</f>
        <v>0.1366153954667228</v>
      </c>
      <c r="K33" s="348">
        <f ca="1">+(M14+M11)/J28</f>
        <v>0.11059669567891599</v>
      </c>
      <c r="L33" s="293"/>
      <c r="M33" s="293"/>
      <c r="N33" s="294"/>
      <c r="O33" s="260"/>
      <c r="P33" s="260"/>
      <c r="R33" s="302">
        <v>3</v>
      </c>
      <c r="S33" s="296">
        <f ca="1">AK28/Investment*100</f>
        <v>100.30357108948959</v>
      </c>
      <c r="T33" s="297">
        <f ca="1">EXP(y_inter3-(slope*LN(S33)))</f>
        <v>12.781656003728322</v>
      </c>
      <c r="U33" s="298">
        <f ca="1">(+S33*T33/100)/100</f>
        <v>0.12820457416113651</v>
      </c>
      <c r="V33" s="298">
        <f>regDebt_weighted</f>
        <v>3.5860000000000003E-2</v>
      </c>
      <c r="W33" s="298">
        <f ca="1">+U33-V33</f>
        <v>9.2344574161136506E-2</v>
      </c>
      <c r="X33" s="298">
        <f ca="1">+((W33*(1-0.34))-Pfd_weighted)/Equity_percent</f>
        <v>0.15917854344869212</v>
      </c>
      <c r="Y33" s="298">
        <f>+Y32</f>
        <v>2.5000000000000001E-3</v>
      </c>
      <c r="Z33" s="298">
        <f t="shared" ref="Z33:Z34" ca="1" si="17">+X33+Y33</f>
        <v>0.16167854344869212</v>
      </c>
      <c r="AA33" s="298">
        <f ca="1">Z33*equityP</f>
        <v>9.7007126069215271E-2</v>
      </c>
      <c r="AB33" s="298">
        <f ca="1">+AA33/(1-taxrate)</f>
        <v>0.1227938304673611</v>
      </c>
      <c r="AC33" s="298">
        <f>debtP*Debt_Rate</f>
        <v>1.2716825048595141E-2</v>
      </c>
      <c r="AD33" s="298">
        <f ca="1">+AC33+AB33</f>
        <v>0.13551065551595623</v>
      </c>
      <c r="AE33" s="298">
        <f ca="1">+AD33/(S33/100)</f>
        <v>0.13510052936705047</v>
      </c>
      <c r="AF33" s="298">
        <f ca="1">1-AE33</f>
        <v>0.86489947063294959</v>
      </c>
      <c r="AG33" s="299">
        <f ca="1">expenses/(AF33)</f>
        <v>4965092.9490974164</v>
      </c>
      <c r="AH33" s="525">
        <f ca="1">+AG33-Revenue</f>
        <v>1189172.7823313009</v>
      </c>
      <c r="AI33" s="300">
        <f ca="1">+AH33/$J$49</f>
        <v>1411656.8962063538</v>
      </c>
      <c r="AJ33" s="300">
        <f ca="1">+AI33*$J$47</f>
        <v>30592.961226896768</v>
      </c>
      <c r="AK33" s="299">
        <f t="shared" ca="1" si="16"/>
        <v>4995685.9103199998</v>
      </c>
    </row>
    <row r="34" spans="1:48" ht="15.75">
      <c r="A34" s="260"/>
      <c r="B34" s="260"/>
      <c r="C34" s="260"/>
      <c r="D34" s="260"/>
      <c r="E34" s="260"/>
      <c r="F34" s="301">
        <f t="shared" si="7"/>
        <v>28</v>
      </c>
      <c r="G34" s="273"/>
      <c r="H34" s="282" t="s">
        <v>614</v>
      </c>
      <c r="I34" s="282"/>
      <c r="J34" s="348">
        <f ca="1">+(M9-M11)/J26</f>
        <v>0.20649761736354608</v>
      </c>
      <c r="K34" s="348">
        <f ca="1">+M14/J26</f>
        <v>0.1631331177172014</v>
      </c>
      <c r="L34" s="293"/>
      <c r="M34" s="293"/>
      <c r="N34" s="294"/>
      <c r="O34" s="349"/>
      <c r="P34" s="260"/>
      <c r="R34" s="303">
        <v>4</v>
      </c>
      <c r="S34" s="296">
        <f ca="1">AK29/Investment*100</f>
        <v>100.17672020108812</v>
      </c>
      <c r="T34" s="309">
        <f ca="1">EXP(y_inter4-(slope*LN(S34)))</f>
        <v>12.71237822586415</v>
      </c>
      <c r="U34" s="298">
        <f ca="1">(+S34*T34/100)/100</f>
        <v>0.12734843566227977</v>
      </c>
      <c r="V34" s="298">
        <f>regDebt_weighted</f>
        <v>3.5860000000000003E-2</v>
      </c>
      <c r="W34" s="298">
        <f ca="1">+U34-V34</f>
        <v>9.1488435662279766E-2</v>
      </c>
      <c r="X34" s="298">
        <f ca="1">+((W34*(1-0.34))-Pfd_weighted)/Equity_percent</f>
        <v>0.15753595214274604</v>
      </c>
      <c r="Y34" s="298">
        <f>+Y33</f>
        <v>2.5000000000000001E-3</v>
      </c>
      <c r="Z34" s="298">
        <f t="shared" ca="1" si="17"/>
        <v>0.16003595214274605</v>
      </c>
      <c r="AA34" s="298">
        <f ca="1">Z34*equityP</f>
        <v>9.6021571285647631E-2</v>
      </c>
      <c r="AB34" s="298">
        <f ca="1">+AA34/(1-taxrate)</f>
        <v>0.12154629276664257</v>
      </c>
      <c r="AC34" s="298">
        <f>debtP*Debt_Rate</f>
        <v>1.2716825048595141E-2</v>
      </c>
      <c r="AD34" s="298">
        <f ca="1">+AC34+AB34</f>
        <v>0.1342631178152377</v>
      </c>
      <c r="AE34" s="298">
        <f ca="1">+AD34/(S34/100)</f>
        <v>0.13402626632787218</v>
      </c>
      <c r="AF34" s="298">
        <f ca="1">1-AE34</f>
        <v>0.86597373367212782</v>
      </c>
      <c r="AG34" s="299">
        <f ca="1">expenses/(AF34)</f>
        <v>4958933.6215867745</v>
      </c>
      <c r="AH34" s="525">
        <f ca="1">+AG34-Revenue</f>
        <v>1183013.454820659</v>
      </c>
      <c r="AI34" s="300">
        <f ca="1">+AH34/$J$49</f>
        <v>1404345.2109024357</v>
      </c>
      <c r="AJ34" s="300">
        <f ca="1">+AI34*$J$47</f>
        <v>30434.504801962943</v>
      </c>
      <c r="AK34" s="299">
        <f t="shared" ca="1" si="16"/>
        <v>4989368.1263899999</v>
      </c>
    </row>
    <row r="35" spans="1:48" ht="15.75">
      <c r="A35" s="260"/>
      <c r="B35" s="260"/>
      <c r="C35" s="260"/>
      <c r="D35" s="260"/>
      <c r="E35" s="260"/>
      <c r="F35" s="301">
        <f t="shared" si="7"/>
        <v>29</v>
      </c>
      <c r="G35" s="273"/>
      <c r="H35" s="351" t="s">
        <v>164</v>
      </c>
      <c r="I35" s="282"/>
      <c r="J35" s="348">
        <f ca="1">+K8/K7</f>
        <v>0.86322399999999999</v>
      </c>
      <c r="K35" s="348">
        <f ca="1">+M8/M7</f>
        <v>0.86406671963715909</v>
      </c>
      <c r="L35" s="293"/>
      <c r="M35" s="293"/>
      <c r="N35" s="294"/>
      <c r="O35" s="260"/>
      <c r="P35" s="260"/>
      <c r="R35" s="276" t="s">
        <v>615</v>
      </c>
      <c r="X35" s="334"/>
      <c r="Y35" s="334"/>
      <c r="Z35" s="334"/>
      <c r="AA35" s="352"/>
      <c r="AB35" s="335"/>
      <c r="AC35" s="334"/>
      <c r="AE35" s="334"/>
      <c r="AF35" s="334"/>
      <c r="AG35" s="335"/>
      <c r="AH35" s="333"/>
      <c r="AJ35" s="335"/>
    </row>
    <row r="36" spans="1:48" ht="15.75">
      <c r="A36" s="260"/>
      <c r="B36" s="260"/>
      <c r="C36" s="260"/>
      <c r="D36" s="260"/>
      <c r="E36" s="260"/>
      <c r="F36" s="301">
        <f t="shared" si="7"/>
        <v>30</v>
      </c>
      <c r="G36" s="273"/>
      <c r="H36" s="282" t="s">
        <v>616</v>
      </c>
      <c r="I36" s="282"/>
      <c r="J36" s="348">
        <f ca="1">+K9/K7</f>
        <v>0.13677600000000004</v>
      </c>
      <c r="K36" s="348">
        <f ca="1">+J36</f>
        <v>0.13677600000000004</v>
      </c>
      <c r="L36" s="273"/>
      <c r="M36" s="273"/>
      <c r="N36" s="294"/>
      <c r="O36" s="260"/>
      <c r="P36" s="260"/>
      <c r="R36" s="305">
        <v>1</v>
      </c>
      <c r="S36" s="306">
        <f ca="1">AK31/Investment*100</f>
        <v>100.79686506179284</v>
      </c>
      <c r="T36" s="289">
        <f ca="1">EXP(y_inter1-(slope*LN(+S36)))</f>
        <v>13.049593231251963</v>
      </c>
      <c r="U36" s="290">
        <f ca="1">(+S36*T36/100)/100</f>
        <v>0.13153580880417895</v>
      </c>
      <c r="V36" s="290">
        <f>regDebt_weighted</f>
        <v>3.5860000000000003E-2</v>
      </c>
      <c r="W36" s="290">
        <f ca="1">+U36-V36</f>
        <v>9.5675808804178947E-2</v>
      </c>
      <c r="X36" s="290">
        <f ca="1">+((W36*(1-0.34))-Pfd_weighted)/Equity_percent</f>
        <v>0.165569865728948</v>
      </c>
      <c r="Y36" s="290">
        <f>+Y34</f>
        <v>2.5000000000000001E-3</v>
      </c>
      <c r="Z36" s="290">
        <f ca="1">+X36+Y36</f>
        <v>0.168069865728948</v>
      </c>
      <c r="AA36" s="290">
        <f ca="1">Z36*equityP</f>
        <v>0.1008419194373688</v>
      </c>
      <c r="AB36" s="290">
        <f ca="1">+AA36/(1-taxrate)</f>
        <v>0.12764799928780859</v>
      </c>
      <c r="AC36" s="290">
        <f>debtP*Debt_Rate</f>
        <v>1.2716825048595141E-2</v>
      </c>
      <c r="AD36" s="290">
        <f ca="1">+AC36+AB36</f>
        <v>0.14036482433640374</v>
      </c>
      <c r="AE36" s="290">
        <f ca="1">+AD36/(S36/100)</f>
        <v>0.13925514870958935</v>
      </c>
      <c r="AF36" s="290">
        <f ca="1">1-AE36</f>
        <v>0.86074485129041067</v>
      </c>
      <c r="AG36" s="291">
        <f ca="1">expenses/(AF36)</f>
        <v>4989058.321847423</v>
      </c>
      <c r="AH36" s="529">
        <f ca="1">+AG36-Revenue</f>
        <v>1213138.1550813075</v>
      </c>
      <c r="AI36" s="292">
        <f ca="1">+AH36/$J$49</f>
        <v>1440105.9863767319</v>
      </c>
      <c r="AJ36" s="292">
        <f ca="1">+AI36*$J$47</f>
        <v>31209.50049707056</v>
      </c>
      <c r="AK36" s="291">
        <f ca="1">ROUND(+AJ36+AG36,5)</f>
        <v>5020267.8223400004</v>
      </c>
    </row>
    <row r="37" spans="1:48" ht="15.75">
      <c r="A37" s="260"/>
      <c r="B37" s="260"/>
      <c r="C37" s="260"/>
      <c r="D37" s="271"/>
      <c r="E37" s="260"/>
      <c r="F37" s="301">
        <f t="shared" si="7"/>
        <v>31</v>
      </c>
      <c r="G37" s="273"/>
      <c r="H37" s="282" t="s">
        <v>617</v>
      </c>
      <c r="I37" s="353"/>
      <c r="J37" s="354">
        <f ca="1">+S39/100</f>
        <v>1.0017648412247364</v>
      </c>
      <c r="K37" s="354">
        <f ca="1">+J37</f>
        <v>1.0017648412247364</v>
      </c>
      <c r="L37" s="273"/>
      <c r="M37" s="273"/>
      <c r="N37" s="273"/>
      <c r="O37" s="260"/>
      <c r="P37" s="260"/>
      <c r="R37" s="295">
        <v>2</v>
      </c>
      <c r="S37" s="296">
        <f ca="1">AK32/Investment*100</f>
        <v>100.50181394142616</v>
      </c>
      <c r="T37" s="307">
        <f ca="1">EXP(y_inter2-(slope*LN(+S37)))</f>
        <v>12.889733307704562</v>
      </c>
      <c r="U37" s="298">
        <f ca="1">(+S37*T37/100)/100</f>
        <v>0.12954415786455276</v>
      </c>
      <c r="V37" s="298">
        <f>regDebt_weighted</f>
        <v>3.5860000000000003E-2</v>
      </c>
      <c r="W37" s="298">
        <f ca="1">+U37-V37</f>
        <v>9.3684157864552753E-2</v>
      </c>
      <c r="X37" s="298">
        <f ca="1">+((W37*(1-0.34))-Pfd_weighted)/Equity_percent</f>
        <v>0.16174867497268841</v>
      </c>
      <c r="Y37" s="298">
        <f>+Y36</f>
        <v>2.5000000000000001E-3</v>
      </c>
      <c r="Z37" s="298">
        <f ca="1">+X37+Y37</f>
        <v>0.16424867497268841</v>
      </c>
      <c r="AA37" s="298">
        <f ca="1">Z37*equityP</f>
        <v>9.854920498361304E-2</v>
      </c>
      <c r="AB37" s="298">
        <f ca="1">+AA37/(1-taxrate)</f>
        <v>0.12474582909318106</v>
      </c>
      <c r="AC37" s="298">
        <f>debtP*Debt_Rate</f>
        <v>1.2716825048595141E-2</v>
      </c>
      <c r="AD37" s="298">
        <f ca="1">+AC37+AB37</f>
        <v>0.13746265414177619</v>
      </c>
      <c r="AE37" s="298">
        <f ca="1">+AD37/(S37/100)</f>
        <v>0.13677629164175217</v>
      </c>
      <c r="AF37" s="298">
        <f ca="1">1-AE37</f>
        <v>0.8632237083582478</v>
      </c>
      <c r="AG37" s="299">
        <f ca="1">expenses/(AF37)</f>
        <v>4974731.6040299945</v>
      </c>
      <c r="AH37" s="525">
        <f ca="1">+AG37-Revenue</f>
        <v>1198811.437263879</v>
      </c>
      <c r="AI37" s="300">
        <f ca="1">+AH37/$J$49</f>
        <v>1423098.8615018027</v>
      </c>
      <c r="AJ37" s="300">
        <f ca="1">+AI37*$J$47</f>
        <v>30840.927713359495</v>
      </c>
      <c r="AK37" s="299">
        <f t="shared" ref="AK37:AK39" ca="1" si="18">ROUND(+AJ37+AG37,5)</f>
        <v>5005572.5317399995</v>
      </c>
    </row>
    <row r="38" spans="1:48" ht="15.75">
      <c r="A38" s="260"/>
      <c r="B38" s="260"/>
      <c r="C38" s="260"/>
      <c r="D38" s="271"/>
      <c r="E38" s="260"/>
      <c r="F38" s="301">
        <f t="shared" si="7"/>
        <v>32</v>
      </c>
      <c r="G38" s="273"/>
      <c r="H38" s="282" t="s">
        <v>333</v>
      </c>
      <c r="I38" s="273"/>
      <c r="J38" s="348">
        <f>+C10</f>
        <v>0.21</v>
      </c>
      <c r="K38" s="348">
        <f>+J38</f>
        <v>0.21</v>
      </c>
      <c r="L38" s="273"/>
      <c r="M38" s="273"/>
      <c r="N38" s="273"/>
      <c r="O38" s="260"/>
      <c r="P38" s="260"/>
      <c r="Q38" s="355"/>
      <c r="R38" s="302">
        <v>3</v>
      </c>
      <c r="S38" s="296">
        <f ca="1">AK33/Investment*100</f>
        <v>100.30333252602304</v>
      </c>
      <c r="T38" s="297">
        <f ca="1">EXP(y_inter3-(slope*LN(S38)))</f>
        <v>12.781676787389756</v>
      </c>
      <c r="U38" s="298">
        <f ca="1">(+S38*T38/100)/100</f>
        <v>0.12820447770457047</v>
      </c>
      <c r="V38" s="298">
        <f>regDebt_weighted</f>
        <v>3.5860000000000003E-2</v>
      </c>
      <c r="W38" s="298">
        <f ca="1">+U38-V38</f>
        <v>9.2344477704570466E-2</v>
      </c>
      <c r="X38" s="298">
        <f ca="1">+((W38*(1-0.34))-Pfd_weighted)/Equity_percent</f>
        <v>0.15917835838667588</v>
      </c>
      <c r="Y38" s="298">
        <f>+Y37</f>
        <v>2.5000000000000001E-3</v>
      </c>
      <c r="Z38" s="298">
        <f t="shared" ref="Z38:Z39" ca="1" si="19">+X38+Y38</f>
        <v>0.16167835838667588</v>
      </c>
      <c r="AA38" s="298">
        <f ca="1">Z38*equityP</f>
        <v>9.7007015032005525E-2</v>
      </c>
      <c r="AB38" s="298">
        <f ca="1">+AA38/(1-taxrate)</f>
        <v>0.12279368991393104</v>
      </c>
      <c r="AC38" s="298">
        <f>debtP*Debt_Rate</f>
        <v>1.2716825048595141E-2</v>
      </c>
      <c r="AD38" s="298">
        <f ca="1">+AC38+AB38</f>
        <v>0.13551051496252617</v>
      </c>
      <c r="AE38" s="298">
        <f ca="1">+AD38/(S38/100)</f>
        <v>0.13510071056449582</v>
      </c>
      <c r="AF38" s="298">
        <f ca="1">1-AE38</f>
        <v>0.8648992894355042</v>
      </c>
      <c r="AG38" s="299">
        <f ca="1">expenses/(AF38)</f>
        <v>4965093.9892903836</v>
      </c>
      <c r="AH38" s="525">
        <f ca="1">+AG38-Revenue</f>
        <v>1189173.8225242682</v>
      </c>
      <c r="AI38" s="300">
        <f ca="1">+AH38/$J$49</f>
        <v>1411658.1310105785</v>
      </c>
      <c r="AJ38" s="300">
        <f ca="1">+AI38*$J$47</f>
        <v>30592.987987165408</v>
      </c>
      <c r="AK38" s="299">
        <f t="shared" ca="1" si="18"/>
        <v>4995686.9772800002</v>
      </c>
    </row>
    <row r="39" spans="1:48" ht="15.75">
      <c r="A39" s="260"/>
      <c r="B39" s="260"/>
      <c r="C39" s="260"/>
      <c r="D39" s="347"/>
      <c r="E39" s="260"/>
      <c r="F39" s="301">
        <f t="shared" si="7"/>
        <v>33</v>
      </c>
      <c r="G39" s="273"/>
      <c r="H39" s="273"/>
      <c r="I39" s="273"/>
      <c r="J39" s="273"/>
      <c r="K39" s="273"/>
      <c r="L39" s="273"/>
      <c r="M39" s="273"/>
      <c r="N39" s="273"/>
      <c r="O39" s="260"/>
      <c r="P39" s="260"/>
      <c r="R39" s="303">
        <v>4</v>
      </c>
      <c r="S39" s="296">
        <f ca="1">AK34/Investment*100</f>
        <v>100.17648412247364</v>
      </c>
      <c r="T39" s="309">
        <f ca="1">EXP(y_inter4-(slope*LN(S39)))</f>
        <v>12.712398707471186</v>
      </c>
      <c r="U39" s="298">
        <f ca="1">(+S39*T39/100)/100</f>
        <v>0.12734834072775414</v>
      </c>
      <c r="V39" s="298">
        <f>regDebt_weighted</f>
        <v>3.5860000000000003E-2</v>
      </c>
      <c r="W39" s="298">
        <f ca="1">+U39-V39</f>
        <v>9.1488340727754136E-2</v>
      </c>
      <c r="X39" s="298">
        <f ca="1">+((W39*(1-0.34))-Pfd_weighted)/Equity_percent</f>
        <v>0.15753577000092361</v>
      </c>
      <c r="Y39" s="298">
        <f>+Y38</f>
        <v>2.5000000000000001E-3</v>
      </c>
      <c r="Z39" s="298">
        <f t="shared" ca="1" si="19"/>
        <v>0.16003577000092362</v>
      </c>
      <c r="AA39" s="298">
        <f ca="1">Z39*equityP</f>
        <v>9.602146200055417E-2</v>
      </c>
      <c r="AB39" s="298">
        <f ca="1">+AA39/(1-taxrate)</f>
        <v>0.12154615443108122</v>
      </c>
      <c r="AC39" s="298">
        <f>debtP*Debt_Rate</f>
        <v>1.2716825048595141E-2</v>
      </c>
      <c r="AD39" s="298">
        <f ca="1">+AC39+AB39</f>
        <v>0.13426297947967636</v>
      </c>
      <c r="AE39" s="298">
        <f ca="1">+AD39/(S39/100)</f>
        <v>0.13402644408594866</v>
      </c>
      <c r="AF39" s="298">
        <f ca="1">1-AE39</f>
        <v>0.86597355591405134</v>
      </c>
      <c r="AG39" s="299">
        <f ca="1">expenses/(AF39)</f>
        <v>4958934.6395052737</v>
      </c>
      <c r="AH39" s="525">
        <f ca="1">+AG39-Revenue</f>
        <v>1183014.4727391582</v>
      </c>
      <c r="AI39" s="300">
        <f ca="1">+AH39/$J$49</f>
        <v>1404346.4192648288</v>
      </c>
      <c r="AJ39" s="300">
        <f ca="1">+AI39*$J$47</f>
        <v>30434.530989192957</v>
      </c>
      <c r="AK39" s="299">
        <f t="shared" ca="1" si="18"/>
        <v>4989369.1704900004</v>
      </c>
    </row>
    <row r="40" spans="1:48" ht="15.75">
      <c r="A40" s="260"/>
      <c r="B40" s="260"/>
      <c r="C40" s="260"/>
      <c r="D40" s="260"/>
      <c r="E40" s="260"/>
      <c r="F40" s="301">
        <f t="shared" si="7"/>
        <v>34</v>
      </c>
      <c r="G40" s="353"/>
      <c r="H40" s="273"/>
      <c r="I40" s="273"/>
      <c r="J40" s="273"/>
      <c r="K40" s="273"/>
      <c r="L40" s="273"/>
      <c r="M40" s="273"/>
      <c r="N40" s="273"/>
      <c r="O40" s="260"/>
      <c r="P40" s="260"/>
      <c r="X40" s="334"/>
      <c r="Y40" s="334"/>
      <c r="Z40" s="334"/>
      <c r="AA40" s="352"/>
      <c r="AB40" s="335"/>
      <c r="AC40" s="334"/>
      <c r="AE40" s="334"/>
      <c r="AF40" s="334"/>
      <c r="AG40" s="335"/>
      <c r="AH40" s="333"/>
      <c r="AJ40" s="335"/>
    </row>
    <row r="41" spans="1:48" ht="15.75">
      <c r="A41" s="260"/>
      <c r="B41" s="260"/>
      <c r="C41" s="260"/>
      <c r="D41" s="260"/>
      <c r="E41" s="260"/>
      <c r="F41" s="301">
        <f t="shared" si="7"/>
        <v>35</v>
      </c>
      <c r="G41" s="273"/>
      <c r="H41" s="344" t="s">
        <v>618</v>
      </c>
      <c r="I41" s="356"/>
      <c r="J41" s="273"/>
      <c r="K41" s="273"/>
      <c r="L41" s="273"/>
      <c r="M41" s="273"/>
      <c r="N41" s="273"/>
      <c r="O41" s="260"/>
      <c r="P41" s="260"/>
      <c r="R41" s="357" t="s">
        <v>619</v>
      </c>
      <c r="S41" s="358"/>
      <c r="T41" s="316"/>
      <c r="U41" s="316"/>
      <c r="V41" s="317"/>
      <c r="X41" s="359"/>
      <c r="Y41" s="359"/>
      <c r="Z41" s="359"/>
      <c r="AA41" s="352"/>
      <c r="AB41" s="335"/>
      <c r="AC41" s="334"/>
      <c r="AE41" s="334"/>
      <c r="AF41" s="334"/>
      <c r="AG41" s="335"/>
      <c r="AH41" s="333"/>
      <c r="AJ41" s="335"/>
    </row>
    <row r="42" spans="1:48" ht="15.75">
      <c r="A42" s="260"/>
      <c r="B42" s="260"/>
      <c r="C42" s="260"/>
      <c r="D42" s="260"/>
      <c r="E42" s="260"/>
      <c r="F42" s="301">
        <f t="shared" si="7"/>
        <v>36</v>
      </c>
      <c r="G42" s="273"/>
      <c r="H42" s="273"/>
      <c r="I42" s="273"/>
      <c r="J42" s="360" t="s">
        <v>342</v>
      </c>
      <c r="K42" s="361" t="s">
        <v>286</v>
      </c>
      <c r="L42" s="273"/>
      <c r="M42" s="273"/>
      <c r="N42" s="273"/>
      <c r="O42" s="260"/>
      <c r="P42" s="260"/>
      <c r="R42" s="362" t="s">
        <v>620</v>
      </c>
      <c r="S42" s="363"/>
      <c r="T42" s="324"/>
      <c r="U42" s="324"/>
      <c r="V42" s="378"/>
      <c r="X42" s="334"/>
      <c r="Y42" s="334"/>
      <c r="Z42" s="334"/>
      <c r="AA42" s="352"/>
      <c r="AB42" s="335"/>
      <c r="AC42" s="334"/>
      <c r="AE42" s="334"/>
      <c r="AF42" s="334"/>
      <c r="AG42" s="335"/>
      <c r="AJ42" s="335"/>
    </row>
    <row r="43" spans="1:48" ht="15.75">
      <c r="A43" s="260"/>
      <c r="B43" s="260"/>
      <c r="C43" s="260"/>
      <c r="D43" s="260"/>
      <c r="E43" s="260"/>
      <c r="F43" s="301">
        <f t="shared" si="7"/>
        <v>37</v>
      </c>
      <c r="G43" s="273"/>
      <c r="H43" s="282" t="s">
        <v>622</v>
      </c>
      <c r="I43" s="364"/>
      <c r="J43" s="365">
        <f>IF(A64=TRUE,C11,0)</f>
        <v>1.4999999999999999E-2</v>
      </c>
      <c r="K43" s="366">
        <f ca="1">+J43*($J$7/$J$49)</f>
        <v>21346.452994967764</v>
      </c>
      <c r="L43" s="273"/>
      <c r="M43" s="273"/>
      <c r="N43" s="273"/>
      <c r="O43" s="260"/>
      <c r="P43" s="260"/>
      <c r="R43" s="302">
        <v>0</v>
      </c>
      <c r="S43" s="367">
        <v>1</v>
      </c>
      <c r="T43" s="324"/>
      <c r="U43" s="368" t="s">
        <v>616</v>
      </c>
      <c r="V43" s="369">
        <f ca="1">VLOOKUP(R48,R36:AG39,14)</f>
        <v>0.13677629164175217</v>
      </c>
      <c r="AC43" s="334"/>
      <c r="AE43" s="334"/>
      <c r="AJ43" s="335"/>
      <c r="AN43" s="334"/>
      <c r="AO43" s="334"/>
      <c r="AP43" s="334"/>
      <c r="AQ43" s="334"/>
      <c r="AR43" s="334"/>
      <c r="AS43" s="334"/>
      <c r="AT43" s="334"/>
      <c r="AU43" s="334"/>
      <c r="AV43" s="334"/>
    </row>
    <row r="44" spans="1:48" ht="15.75">
      <c r="A44" s="260"/>
      <c r="B44" s="260"/>
      <c r="C44" s="260"/>
      <c r="D44" s="260"/>
      <c r="E44" s="260"/>
      <c r="F44" s="301">
        <f t="shared" si="7"/>
        <v>38</v>
      </c>
      <c r="G44" s="273"/>
      <c r="H44" s="282" t="s">
        <v>623</v>
      </c>
      <c r="I44" s="364"/>
      <c r="J44" s="365">
        <f>IF(A64=TRUE,C12,0)</f>
        <v>5.1000000000000004E-3</v>
      </c>
      <c r="K44" s="366">
        <f ca="1">+J44*($J$7/$J$49)</f>
        <v>7257.7940182890407</v>
      </c>
      <c r="L44" s="273"/>
      <c r="M44" s="273"/>
      <c r="N44" s="273"/>
      <c r="O44" s="260"/>
      <c r="P44" s="260"/>
      <c r="R44" s="302">
        <v>50</v>
      </c>
      <c r="S44" s="367">
        <v>2</v>
      </c>
      <c r="T44" s="324"/>
      <c r="U44" s="368" t="s">
        <v>164</v>
      </c>
      <c r="V44" s="369">
        <f ca="1">ROUND(1-V43,6)</f>
        <v>0.86322399999999999</v>
      </c>
      <c r="AA44" s="370"/>
      <c r="AB44" s="276"/>
      <c r="AC44" s="276"/>
      <c r="AE44" s="334"/>
      <c r="AH44" s="333"/>
      <c r="AJ44" s="335"/>
      <c r="AN44" s="334"/>
      <c r="AO44" s="334"/>
      <c r="AP44" s="334"/>
      <c r="AQ44" s="334"/>
      <c r="AR44" s="334"/>
      <c r="AS44" s="334"/>
      <c r="AT44" s="334"/>
      <c r="AU44" s="334"/>
      <c r="AV44" s="334"/>
    </row>
    <row r="45" spans="1:48" ht="15.75">
      <c r="A45" s="260"/>
      <c r="B45" s="260"/>
      <c r="C45" s="260"/>
      <c r="D45" s="260"/>
      <c r="E45" s="260"/>
      <c r="F45" s="301">
        <f t="shared" si="7"/>
        <v>39</v>
      </c>
      <c r="G45" s="273"/>
      <c r="H45" s="282" t="s">
        <v>624</v>
      </c>
      <c r="I45" s="364"/>
      <c r="J45" s="365">
        <f>IF(A64=TRUE,C13,0)</f>
        <v>0</v>
      </c>
      <c r="K45" s="366">
        <f ca="1">+J45*($J$7/$J$49)</f>
        <v>0</v>
      </c>
      <c r="L45" s="273"/>
      <c r="M45" s="273"/>
      <c r="N45" s="273"/>
      <c r="O45" s="260"/>
      <c r="P45" s="260"/>
      <c r="R45" s="302">
        <v>125</v>
      </c>
      <c r="S45" s="367">
        <v>3</v>
      </c>
      <c r="T45" s="324"/>
      <c r="U45" s="324" t="s">
        <v>625</v>
      </c>
      <c r="V45" s="371">
        <f ca="1">+M7/Revenue-1</f>
        <v>0.32565588961321712</v>
      </c>
      <c r="W45" s="372"/>
      <c r="X45" s="334"/>
      <c r="Y45" s="334"/>
      <c r="Z45" s="334"/>
      <c r="AA45" s="370"/>
      <c r="AB45" s="335"/>
      <c r="AC45" s="334"/>
      <c r="AE45" s="334"/>
      <c r="AF45" s="334"/>
      <c r="AG45" s="335"/>
      <c r="AH45" s="333"/>
      <c r="AJ45" s="335"/>
      <c r="AN45" s="334"/>
      <c r="AO45" s="334"/>
      <c r="AP45" s="334"/>
      <c r="AQ45" s="334"/>
      <c r="AR45" s="334"/>
      <c r="AS45" s="334"/>
      <c r="AT45" s="334"/>
      <c r="AU45" s="334"/>
      <c r="AV45" s="334"/>
    </row>
    <row r="46" spans="1:48" ht="15.75">
      <c r="A46" s="260"/>
      <c r="B46" s="260"/>
      <c r="C46" s="260"/>
      <c r="D46" s="260"/>
      <c r="E46" s="260"/>
      <c r="F46" s="301">
        <f t="shared" si="7"/>
        <v>40</v>
      </c>
      <c r="G46" s="273"/>
      <c r="H46" s="282" t="s">
        <v>626</v>
      </c>
      <c r="I46" s="364"/>
      <c r="J46" s="365">
        <f>IF(A64=TRUE,C14,0)</f>
        <v>1.5716691634570774E-3</v>
      </c>
      <c r="K46" s="366">
        <f ca="1">+J46*($J$7/$J$49)</f>
        <v>2236.6374614251208</v>
      </c>
      <c r="L46" s="273"/>
      <c r="M46" s="273"/>
      <c r="N46" s="273"/>
      <c r="O46" s="260"/>
      <c r="P46" s="260"/>
      <c r="R46" s="303">
        <v>401</v>
      </c>
      <c r="S46" s="373">
        <v>4</v>
      </c>
      <c r="T46" s="326"/>
      <c r="U46" s="326"/>
      <c r="V46" s="327"/>
      <c r="X46" s="334"/>
      <c r="Y46" s="334"/>
      <c r="Z46" s="334"/>
      <c r="AA46" s="352"/>
      <c r="AB46" s="335"/>
      <c r="AC46" s="334"/>
      <c r="AE46" s="334"/>
      <c r="AF46" s="334"/>
      <c r="AG46" s="335"/>
      <c r="AH46" s="333"/>
      <c r="AJ46" s="335"/>
      <c r="AN46" s="334"/>
      <c r="AO46" s="334"/>
      <c r="AP46" s="334"/>
      <c r="AQ46" s="334"/>
      <c r="AR46" s="334"/>
      <c r="AS46" s="334"/>
      <c r="AT46" s="334"/>
      <c r="AU46" s="334"/>
      <c r="AV46" s="334"/>
    </row>
    <row r="47" spans="1:48" ht="16.5" thickBot="1">
      <c r="A47" s="260"/>
      <c r="B47" s="260"/>
      <c r="C47" s="260"/>
      <c r="D47" s="260"/>
      <c r="E47" s="260"/>
      <c r="F47" s="301">
        <f t="shared" si="7"/>
        <v>41</v>
      </c>
      <c r="G47" s="273"/>
      <c r="H47" s="282" t="s">
        <v>627</v>
      </c>
      <c r="I47" s="353"/>
      <c r="J47" s="374">
        <f>SUM(J43:J46)</f>
        <v>2.1671669163457079E-2</v>
      </c>
      <c r="K47" s="339">
        <f ca="1">+K43+K44+K45+K46</f>
        <v>30840.884474681927</v>
      </c>
      <c r="L47" s="273"/>
      <c r="M47" s="273"/>
      <c r="N47" s="273"/>
      <c r="O47" s="260"/>
      <c r="P47" s="260"/>
      <c r="R47" s="306">
        <f ca="1">VLOOKUP(R48,R36:S39,2)</f>
        <v>100.50181394142616</v>
      </c>
      <c r="S47" s="375" t="s">
        <v>628</v>
      </c>
      <c r="T47" s="317"/>
      <c r="X47" s="269" t="s">
        <v>629</v>
      </c>
      <c r="AE47" s="334"/>
      <c r="AH47" s="333"/>
      <c r="AJ47" s="335"/>
    </row>
    <row r="48" spans="1:48" ht="16.5" thickTop="1">
      <c r="A48" s="260"/>
      <c r="B48" s="260"/>
      <c r="C48" s="260"/>
      <c r="D48" s="260"/>
      <c r="E48" s="260"/>
      <c r="F48" s="301">
        <f t="shared" si="7"/>
        <v>42</v>
      </c>
      <c r="G48" s="273"/>
      <c r="H48" s="273"/>
      <c r="I48" s="273"/>
      <c r="J48" s="376"/>
      <c r="K48" s="273"/>
      <c r="L48" s="273"/>
      <c r="M48" s="273"/>
      <c r="N48" s="273"/>
      <c r="O48" s="260"/>
      <c r="P48" s="260"/>
      <c r="R48" s="302">
        <f ca="1">VLOOKUP(S36,R43:S46,2)</f>
        <v>2</v>
      </c>
      <c r="S48" s="377" t="s">
        <v>630</v>
      </c>
      <c r="T48" s="378"/>
      <c r="X48" s="269" t="s">
        <v>631</v>
      </c>
      <c r="AC48" s="276"/>
      <c r="AE48" s="334"/>
      <c r="AJ48" s="335"/>
    </row>
    <row r="49" spans="1:48" ht="15.75">
      <c r="A49" s="260"/>
      <c r="B49" s="260"/>
      <c r="C49" s="260"/>
      <c r="D49" s="260"/>
      <c r="E49" s="260"/>
      <c r="F49" s="301">
        <f t="shared" si="7"/>
        <v>43</v>
      </c>
      <c r="G49" s="278"/>
      <c r="H49" s="379" t="s">
        <v>632</v>
      </c>
      <c r="I49" s="380"/>
      <c r="J49" s="381">
        <f ca="1">((K35)-J47)</f>
        <v>0.842395050473702</v>
      </c>
      <c r="K49" s="380"/>
      <c r="L49" s="380"/>
      <c r="M49" s="380"/>
      <c r="N49" s="380"/>
      <c r="O49" s="260"/>
      <c r="P49" s="260"/>
      <c r="R49" s="302"/>
      <c r="S49" s="377"/>
      <c r="T49" s="378"/>
      <c r="X49" s="269" t="s">
        <v>633</v>
      </c>
      <c r="AC49" s="334"/>
      <c r="AE49" s="334"/>
      <c r="AF49" s="334"/>
      <c r="AG49" s="335"/>
      <c r="AJ49" s="335"/>
    </row>
    <row r="50" spans="1:48">
      <c r="A50" s="260"/>
      <c r="B50" s="260"/>
      <c r="C50" s="260"/>
      <c r="D50" s="260"/>
      <c r="E50" s="260"/>
      <c r="F50" s="260"/>
      <c r="G50" s="260"/>
      <c r="H50" s="260"/>
      <c r="I50" s="260"/>
      <c r="J50" s="260"/>
      <c r="K50" s="382"/>
      <c r="L50" s="260"/>
      <c r="M50" s="260"/>
      <c r="N50" s="383"/>
      <c r="O50" s="260"/>
      <c r="P50" s="260"/>
      <c r="R50" s="384">
        <f ca="1">+V44</f>
        <v>0.86322399999999999</v>
      </c>
      <c r="S50" s="385" t="s">
        <v>164</v>
      </c>
      <c r="T50" s="386"/>
      <c r="X50" s="269" t="s">
        <v>634</v>
      </c>
      <c r="AC50" s="334"/>
      <c r="AE50" s="334"/>
      <c r="AF50" s="334"/>
      <c r="AG50" s="335"/>
      <c r="AH50" s="334"/>
      <c r="AJ50" s="335"/>
      <c r="AN50" s="334"/>
      <c r="AO50" s="334"/>
      <c r="AP50" s="334"/>
      <c r="AQ50" s="334"/>
      <c r="AR50" s="334"/>
      <c r="AS50" s="334"/>
      <c r="AT50" s="334"/>
      <c r="AU50" s="334"/>
      <c r="AV50" s="334"/>
    </row>
    <row r="51" spans="1:48">
      <c r="A51" s="260"/>
      <c r="B51" s="260"/>
      <c r="C51" s="260"/>
      <c r="D51" s="260"/>
      <c r="E51" s="260"/>
      <c r="F51" s="260"/>
      <c r="G51" s="260"/>
      <c r="H51" s="260"/>
      <c r="I51" s="260"/>
      <c r="J51" s="260"/>
      <c r="K51" s="260"/>
      <c r="L51" s="260"/>
      <c r="M51" s="260"/>
      <c r="N51" s="260"/>
      <c r="O51" s="260"/>
      <c r="P51" s="260"/>
      <c r="R51" s="269"/>
      <c r="AB51" s="335"/>
      <c r="AC51" s="334"/>
      <c r="AE51" s="334"/>
      <c r="AF51" s="334"/>
      <c r="AG51" s="335"/>
      <c r="AH51" s="333"/>
      <c r="AJ51" s="335"/>
      <c r="AN51" s="334"/>
      <c r="AO51" s="334"/>
      <c r="AP51" s="334"/>
      <c r="AQ51" s="334"/>
      <c r="AR51" s="334"/>
      <c r="AS51" s="334"/>
      <c r="AT51" s="334"/>
      <c r="AU51" s="334"/>
      <c r="AV51" s="334"/>
    </row>
    <row r="52" spans="1:48">
      <c r="A52" s="260"/>
      <c r="B52" s="260"/>
      <c r="C52" s="260"/>
      <c r="D52" s="260"/>
      <c r="E52" s="260"/>
      <c r="F52" s="260"/>
      <c r="G52" s="260"/>
      <c r="H52" s="260"/>
      <c r="I52" s="260"/>
      <c r="J52" s="387"/>
      <c r="K52" s="387"/>
      <c r="L52" s="387"/>
      <c r="M52" s="387"/>
      <c r="N52" s="260"/>
      <c r="O52" s="260"/>
      <c r="P52" s="260"/>
      <c r="R52" s="269"/>
      <c r="AB52" s="335"/>
      <c r="AC52" s="334"/>
      <c r="AE52" s="334"/>
      <c r="AF52" s="334"/>
      <c r="AG52" s="335"/>
      <c r="AH52" s="333"/>
      <c r="AJ52" s="335"/>
      <c r="AN52" s="334"/>
      <c r="AO52" s="334"/>
      <c r="AP52" s="334"/>
      <c r="AQ52" s="334"/>
      <c r="AR52" s="334"/>
      <c r="AS52" s="334"/>
      <c r="AT52" s="334"/>
      <c r="AU52" s="334"/>
      <c r="AV52" s="334"/>
    </row>
    <row r="53" spans="1:48" ht="15.75">
      <c r="A53" s="260"/>
      <c r="B53" s="260"/>
      <c r="C53" s="260"/>
      <c r="D53" s="260"/>
      <c r="E53" s="260"/>
      <c r="F53" s="260"/>
      <c r="G53" s="260"/>
      <c r="H53" s="260"/>
      <c r="I53" s="260"/>
      <c r="J53" s="260"/>
      <c r="K53" s="387"/>
      <c r="L53" s="387"/>
      <c r="M53" s="387"/>
      <c r="N53" s="260"/>
      <c r="O53" s="260"/>
      <c r="P53" s="260"/>
      <c r="R53" s="269"/>
      <c r="S53" s="269" t="s">
        <v>635</v>
      </c>
      <c r="T53" s="334"/>
      <c r="U53" s="388"/>
      <c r="W53" s="389" t="s">
        <v>636</v>
      </c>
      <c r="X53" s="390"/>
      <c r="Y53" s="390"/>
      <c r="Z53" s="390"/>
      <c r="AA53" s="390"/>
      <c r="AB53" s="390"/>
      <c r="AE53" s="334"/>
      <c r="AH53" s="333"/>
      <c r="AJ53" s="335"/>
      <c r="AN53" s="334"/>
      <c r="AO53" s="334"/>
      <c r="AP53" s="334"/>
      <c r="AQ53" s="334"/>
      <c r="AR53" s="334"/>
      <c r="AS53" s="334"/>
      <c r="AT53" s="334"/>
      <c r="AU53" s="334"/>
      <c r="AV53" s="334"/>
    </row>
    <row r="54" spans="1:48">
      <c r="A54" s="260"/>
      <c r="B54" s="260"/>
      <c r="C54" s="260"/>
      <c r="D54" s="260"/>
      <c r="E54" s="260"/>
      <c r="F54" s="260"/>
      <c r="G54" s="260"/>
      <c r="H54" s="260"/>
      <c r="I54" s="260"/>
      <c r="J54" s="260"/>
      <c r="K54" s="260"/>
      <c r="L54" s="391"/>
      <c r="M54" s="391"/>
      <c r="N54" s="260"/>
      <c r="O54" s="260"/>
      <c r="P54" s="260"/>
      <c r="R54" s="392"/>
      <c r="S54" s="393" t="s">
        <v>602</v>
      </c>
      <c r="T54" s="393" t="s">
        <v>353</v>
      </c>
      <c r="U54" s="394" t="s">
        <v>605</v>
      </c>
      <c r="W54" s="395" t="s">
        <v>637</v>
      </c>
      <c r="X54" s="396">
        <v>5.7225999999999999</v>
      </c>
      <c r="Y54" s="397" t="s">
        <v>638</v>
      </c>
      <c r="Z54" s="398">
        <v>5.6985000000000001</v>
      </c>
      <c r="AC54" s="276"/>
      <c r="AE54" s="334"/>
      <c r="AJ54" s="335"/>
    </row>
    <row r="55" spans="1:48">
      <c r="A55" s="260"/>
      <c r="B55" s="260"/>
      <c r="C55" s="260"/>
      <c r="D55" s="260"/>
      <c r="E55" s="260"/>
      <c r="F55" s="260"/>
      <c r="G55" s="260"/>
      <c r="H55" s="260"/>
      <c r="I55" s="260"/>
      <c r="J55" s="391"/>
      <c r="K55" s="260"/>
      <c r="L55" s="391"/>
      <c r="M55" s="391"/>
      <c r="N55" s="260"/>
      <c r="O55" s="260"/>
      <c r="P55" s="260"/>
      <c r="R55" s="270" t="s">
        <v>575</v>
      </c>
      <c r="S55" s="399">
        <v>0.56200000000000006</v>
      </c>
      <c r="T55" s="399">
        <v>6.3799999999999996E-2</v>
      </c>
      <c r="U55" s="400">
        <f>ROUND(+S55*T55,5)</f>
        <v>3.5860000000000003E-2</v>
      </c>
      <c r="W55" s="401" t="s">
        <v>639</v>
      </c>
      <c r="X55" s="402">
        <v>5.7082699999999997</v>
      </c>
      <c r="Y55" s="403" t="s">
        <v>640</v>
      </c>
      <c r="Z55" s="404">
        <v>5.6921999999999997</v>
      </c>
      <c r="AC55" s="334"/>
      <c r="AE55" s="334"/>
      <c r="AF55" s="334"/>
      <c r="AG55" s="335"/>
      <c r="AJ55" s="335"/>
    </row>
    <row r="56" spans="1:48">
      <c r="A56" s="260"/>
      <c r="B56" s="260"/>
      <c r="C56" s="260"/>
      <c r="D56" s="260"/>
      <c r="E56" s="387"/>
      <c r="F56" s="260"/>
      <c r="G56" s="260"/>
      <c r="H56" s="260"/>
      <c r="I56" s="260"/>
      <c r="J56" s="391"/>
      <c r="K56" s="260"/>
      <c r="L56" s="391"/>
      <c r="M56" s="391"/>
      <c r="N56" s="260"/>
      <c r="O56" s="260"/>
      <c r="P56" s="260"/>
      <c r="R56" s="270" t="s">
        <v>641</v>
      </c>
      <c r="S56" s="399">
        <v>9.4E-2</v>
      </c>
      <c r="T56" s="399">
        <v>6.59E-2</v>
      </c>
      <c r="U56" s="400">
        <f>ROUND(+S56*T56,5)</f>
        <v>6.1900000000000002E-3</v>
      </c>
      <c r="W56" s="270"/>
      <c r="X56" s="324"/>
      <c r="Y56" s="405"/>
      <c r="Z56" s="406"/>
      <c r="AC56" s="334"/>
      <c r="AE56" s="334"/>
      <c r="AF56" s="334"/>
      <c r="AG56" s="335"/>
      <c r="AH56" s="333"/>
      <c r="AJ56" s="335"/>
      <c r="AN56" s="334"/>
    </row>
    <row r="57" spans="1:48" ht="15.75">
      <c r="A57" s="260"/>
      <c r="B57" s="260"/>
      <c r="C57" s="260"/>
      <c r="D57" s="260"/>
      <c r="E57" s="387"/>
      <c r="F57" s="387"/>
      <c r="G57" s="387"/>
      <c r="H57" s="407"/>
      <c r="I57" s="387"/>
      <c r="J57" s="391"/>
      <c r="K57" s="260"/>
      <c r="L57" s="260"/>
      <c r="M57" s="260"/>
      <c r="N57" s="260"/>
      <c r="O57" s="260"/>
      <c r="P57" s="260"/>
      <c r="R57" s="270" t="s">
        <v>573</v>
      </c>
      <c r="S57" s="408">
        <v>0.34399999999999997</v>
      </c>
      <c r="T57" s="409"/>
      <c r="U57" s="410"/>
      <c r="W57" s="325"/>
      <c r="X57" s="411" t="s">
        <v>642</v>
      </c>
      <c r="Y57" s="412">
        <v>0.68367</v>
      </c>
      <c r="Z57" s="413"/>
      <c r="AC57" s="334"/>
      <c r="AE57" s="334"/>
      <c r="AF57" s="334"/>
      <c r="AG57" s="335"/>
      <c r="AH57" s="333"/>
      <c r="AJ57" s="335"/>
    </row>
    <row r="58" spans="1:48" ht="15.75">
      <c r="A58" s="260"/>
      <c r="B58" s="260"/>
      <c r="C58" s="260"/>
      <c r="D58" s="260"/>
      <c r="E58" s="260"/>
      <c r="F58" s="260"/>
      <c r="G58" s="260"/>
      <c r="H58" s="260"/>
      <c r="I58" s="260"/>
      <c r="J58" s="260"/>
      <c r="K58" s="260"/>
      <c r="L58" s="260"/>
      <c r="M58" s="260"/>
      <c r="N58" s="260"/>
      <c r="O58" s="260"/>
      <c r="P58" s="260"/>
      <c r="R58" s="325"/>
      <c r="S58" s="408">
        <f>SUM(S55:S57)</f>
        <v>1</v>
      </c>
      <c r="T58" s="414"/>
      <c r="U58" s="415"/>
      <c r="X58" s="334"/>
      <c r="Y58" s="334"/>
      <c r="Z58" s="334"/>
      <c r="AA58" s="352"/>
      <c r="AB58" s="335"/>
      <c r="AC58" s="334"/>
      <c r="AE58" s="334"/>
      <c r="AF58" s="334"/>
      <c r="AG58" s="335"/>
      <c r="AH58" s="333"/>
      <c r="AJ58" s="335"/>
    </row>
    <row r="59" spans="1:48">
      <c r="A59" s="260"/>
      <c r="B59" s="260"/>
      <c r="C59" s="260"/>
      <c r="D59" s="260"/>
      <c r="E59" s="260"/>
      <c r="F59" s="260"/>
      <c r="G59" s="260"/>
      <c r="H59" s="260"/>
      <c r="I59" s="260"/>
      <c r="J59" s="260"/>
      <c r="K59" s="260"/>
      <c r="L59" s="260"/>
      <c r="M59" s="260"/>
      <c r="N59" s="260"/>
      <c r="O59" s="260"/>
      <c r="P59" s="260"/>
      <c r="X59" s="416"/>
      <c r="Y59" s="416"/>
      <c r="Z59" s="416"/>
      <c r="AE59" s="334"/>
      <c r="AH59" s="333"/>
      <c r="AJ59" s="335"/>
      <c r="AN59" s="333"/>
      <c r="AO59" s="333"/>
      <c r="AP59" s="333"/>
      <c r="AQ59" s="333"/>
      <c r="AR59" s="333"/>
      <c r="AS59" s="333"/>
      <c r="AT59" s="333"/>
      <c r="AU59" s="333"/>
      <c r="AV59" s="333"/>
    </row>
    <row r="60" spans="1:48">
      <c r="A60" s="260"/>
      <c r="B60" s="260"/>
      <c r="C60" s="260"/>
      <c r="D60" s="260"/>
      <c r="E60" s="387"/>
      <c r="F60" s="260"/>
      <c r="G60" s="260"/>
      <c r="H60" s="260"/>
      <c r="I60" s="260"/>
      <c r="J60" s="260"/>
      <c r="K60" s="260"/>
      <c r="L60" s="260"/>
      <c r="M60" s="260"/>
      <c r="N60" s="260"/>
      <c r="O60" s="260"/>
      <c r="P60" s="260"/>
      <c r="R60" s="269"/>
      <c r="S60" s="417"/>
      <c r="W60" s="392"/>
      <c r="X60" s="418" t="s">
        <v>611</v>
      </c>
      <c r="Y60" s="418" t="s">
        <v>643</v>
      </c>
      <c r="Z60" s="419" t="s">
        <v>558</v>
      </c>
      <c r="AE60" s="334"/>
      <c r="AJ60" s="335"/>
      <c r="AN60" s="333"/>
      <c r="AO60" s="333"/>
      <c r="AP60" s="333"/>
      <c r="AQ60" s="333"/>
      <c r="AR60" s="333"/>
      <c r="AS60" s="333"/>
      <c r="AT60" s="333"/>
      <c r="AU60" s="333"/>
      <c r="AV60" s="333"/>
    </row>
    <row r="61" spans="1:48">
      <c r="A61" s="260"/>
      <c r="B61" s="260"/>
      <c r="C61" s="260"/>
      <c r="D61" s="260"/>
      <c r="E61" s="260"/>
      <c r="F61" s="387"/>
      <c r="G61" s="387"/>
      <c r="H61" s="387"/>
      <c r="I61" s="387"/>
      <c r="J61" s="387"/>
      <c r="K61" s="387"/>
      <c r="L61" s="387"/>
      <c r="M61" s="387"/>
      <c r="N61" s="387"/>
      <c r="O61" s="260"/>
      <c r="P61" s="260"/>
      <c r="R61" s="269"/>
      <c r="W61" s="270"/>
      <c r="X61" s="420"/>
      <c r="Y61" s="420"/>
      <c r="Z61" s="421"/>
      <c r="AE61" s="334"/>
      <c r="AF61" s="334"/>
      <c r="AG61" s="335"/>
      <c r="AJ61" s="335"/>
      <c r="AN61" s="333"/>
      <c r="AO61" s="333"/>
      <c r="AP61" s="333"/>
      <c r="AQ61" s="333"/>
      <c r="AR61" s="333"/>
      <c r="AS61" s="333"/>
      <c r="AT61" s="333"/>
      <c r="AU61" s="333"/>
      <c r="AV61" s="333"/>
    </row>
    <row r="62" spans="1:48">
      <c r="A62" s="260"/>
      <c r="B62" s="260"/>
      <c r="C62" s="260"/>
      <c r="D62" s="260"/>
      <c r="E62" s="260"/>
      <c r="F62" s="260"/>
      <c r="G62" s="260"/>
      <c r="H62" s="260"/>
      <c r="I62" s="260"/>
      <c r="J62" s="260"/>
      <c r="K62" s="260"/>
      <c r="L62" s="260"/>
      <c r="M62" s="260"/>
      <c r="N62" s="260"/>
      <c r="O62" s="260"/>
      <c r="P62" s="260"/>
      <c r="R62" s="269"/>
      <c r="S62" s="417"/>
      <c r="W62" s="270"/>
      <c r="X62" s="368" t="s">
        <v>613</v>
      </c>
      <c r="Y62" s="369">
        <f t="shared" ref="Y62:Z67" ca="1" si="20">+J33</f>
        <v>0.1366153954667228</v>
      </c>
      <c r="Z62" s="369">
        <f t="shared" ca="1" si="20"/>
        <v>0.11059669567891599</v>
      </c>
      <c r="AE62" s="334"/>
      <c r="AF62" s="334"/>
      <c r="AG62" s="335"/>
      <c r="AH62" s="333"/>
      <c r="AJ62" s="335"/>
      <c r="AN62" s="333"/>
      <c r="AO62" s="333"/>
      <c r="AP62" s="333"/>
      <c r="AQ62" s="333"/>
      <c r="AR62" s="333"/>
      <c r="AS62" s="333"/>
      <c r="AT62" s="333"/>
      <c r="AU62" s="333"/>
      <c r="AV62" s="333"/>
    </row>
    <row r="63" spans="1:48">
      <c r="A63" s="260"/>
      <c r="B63" s="260"/>
      <c r="C63" s="260"/>
      <c r="D63" s="260"/>
      <c r="E63" s="260"/>
      <c r="F63" s="260"/>
      <c r="G63" s="260"/>
      <c r="H63" s="260"/>
      <c r="I63" s="260"/>
      <c r="J63" s="260"/>
      <c r="K63" s="260"/>
      <c r="L63" s="260"/>
      <c r="M63" s="260"/>
      <c r="N63" s="260"/>
      <c r="O63" s="260"/>
      <c r="P63" s="260"/>
      <c r="R63" s="269"/>
      <c r="W63" s="270"/>
      <c r="X63" s="368" t="s">
        <v>614</v>
      </c>
      <c r="Y63" s="369">
        <f t="shared" ca="1" si="20"/>
        <v>0.20649761736354608</v>
      </c>
      <c r="Z63" s="369">
        <f t="shared" ca="1" si="20"/>
        <v>0.1631331177172014</v>
      </c>
      <c r="AE63" s="334"/>
      <c r="AF63" s="334"/>
      <c r="AG63" s="335"/>
      <c r="AH63" s="333"/>
      <c r="AJ63" s="335"/>
    </row>
    <row r="64" spans="1:48">
      <c r="A64" s="269" t="b">
        <v>1</v>
      </c>
      <c r="B64" s="260"/>
      <c r="C64" s="260"/>
      <c r="F64" s="260"/>
      <c r="G64" s="260"/>
      <c r="H64" s="260"/>
      <c r="I64" s="260"/>
      <c r="J64" s="260"/>
      <c r="K64" s="260"/>
      <c r="L64" s="260"/>
      <c r="M64" s="260"/>
      <c r="N64" s="260"/>
      <c r="R64" s="269"/>
      <c r="S64" s="417"/>
      <c r="W64" s="270"/>
      <c r="X64" s="368" t="s">
        <v>164</v>
      </c>
      <c r="Y64" s="369">
        <f t="shared" ca="1" si="20"/>
        <v>0.86322399999999999</v>
      </c>
      <c r="Z64" s="369">
        <f t="shared" ca="1" si="20"/>
        <v>0.86406671963715909</v>
      </c>
      <c r="AE64" s="334"/>
      <c r="AF64" s="334"/>
      <c r="AG64" s="335"/>
      <c r="AH64" s="333"/>
      <c r="AJ64" s="335"/>
    </row>
    <row r="65" spans="8:40">
      <c r="H65" s="333"/>
      <c r="I65" s="333"/>
      <c r="J65" s="333"/>
      <c r="K65" s="333"/>
      <c r="L65" s="333"/>
      <c r="M65" s="333"/>
      <c r="N65" s="333"/>
      <c r="O65" s="333"/>
      <c r="R65" s="269"/>
      <c r="W65" s="270"/>
      <c r="X65" s="368" t="s">
        <v>616</v>
      </c>
      <c r="Y65" s="369">
        <f t="shared" ca="1" si="20"/>
        <v>0.13677600000000004</v>
      </c>
      <c r="Z65" s="369">
        <f t="shared" ca="1" si="20"/>
        <v>0.13677600000000004</v>
      </c>
      <c r="AE65" s="334"/>
      <c r="AH65" s="333"/>
      <c r="AJ65" s="335"/>
      <c r="AN65" s="333"/>
    </row>
    <row r="66" spans="8:40">
      <c r="H66" s="333"/>
      <c r="I66" s="333"/>
      <c r="J66" s="333"/>
      <c r="K66" s="333"/>
      <c r="L66" s="333"/>
      <c r="M66" s="333"/>
      <c r="N66" s="333"/>
      <c r="O66" s="333"/>
      <c r="R66" s="269"/>
      <c r="S66" s="417"/>
      <c r="W66" s="270"/>
      <c r="X66" s="368" t="s">
        <v>617</v>
      </c>
      <c r="Y66" s="369">
        <f t="shared" ca="1" si="20"/>
        <v>1.0017648412247364</v>
      </c>
      <c r="Z66" s="369">
        <f t="shared" ca="1" si="20"/>
        <v>1.0017648412247364</v>
      </c>
      <c r="AE66" s="334"/>
      <c r="AJ66" s="335"/>
    </row>
    <row r="67" spans="8:40">
      <c r="O67" s="333"/>
      <c r="W67" s="325"/>
      <c r="X67" s="422" t="s">
        <v>333</v>
      </c>
      <c r="Y67" s="423">
        <f t="shared" si="20"/>
        <v>0.21</v>
      </c>
      <c r="Z67" s="423">
        <f t="shared" si="20"/>
        <v>0.21</v>
      </c>
      <c r="AE67" s="334"/>
      <c r="AF67" s="334"/>
      <c r="AG67" s="335"/>
      <c r="AJ67" s="335"/>
    </row>
    <row r="68" spans="8:40">
      <c r="O68" s="333"/>
      <c r="W68" s="368"/>
      <c r="AE68" s="334"/>
      <c r="AF68" s="334"/>
      <c r="AG68" s="335"/>
      <c r="AH68" s="333"/>
      <c r="AJ68" s="335"/>
    </row>
    <row r="69" spans="8:40">
      <c r="O69" s="333"/>
      <c r="X69" s="334"/>
      <c r="Y69" s="334"/>
      <c r="Z69" s="334"/>
      <c r="AA69" s="352"/>
      <c r="AB69" s="335"/>
      <c r="AC69" s="334"/>
      <c r="AE69" s="334"/>
      <c r="AF69" s="334"/>
      <c r="AG69" s="335"/>
      <c r="AH69" s="333"/>
      <c r="AJ69" s="335"/>
    </row>
    <row r="70" spans="8:40">
      <c r="X70" s="334"/>
      <c r="Y70" s="334"/>
      <c r="Z70" s="334"/>
      <c r="AA70" s="352"/>
      <c r="AB70" s="335"/>
      <c r="AC70" s="334"/>
      <c r="AE70" s="334"/>
      <c r="AF70" s="334"/>
      <c r="AG70" s="335"/>
      <c r="AH70" s="333"/>
      <c r="AJ70" s="335"/>
    </row>
    <row r="71" spans="8:40">
      <c r="AE71" s="334"/>
      <c r="AH71" s="333"/>
      <c r="AJ71" s="335"/>
    </row>
    <row r="72" spans="8:40">
      <c r="AA72" s="276"/>
      <c r="AB72" s="276"/>
      <c r="AC72" s="276"/>
      <c r="AE72" s="334"/>
      <c r="AJ72" s="335"/>
    </row>
    <row r="73" spans="8:40">
      <c r="X73" s="334"/>
      <c r="Y73" s="334"/>
      <c r="Z73" s="334"/>
      <c r="AA73" s="352"/>
      <c r="AB73" s="335"/>
      <c r="AC73" s="334"/>
      <c r="AE73" s="334"/>
      <c r="AF73" s="334"/>
      <c r="AG73" s="335"/>
      <c r="AJ73" s="335"/>
    </row>
    <row r="74" spans="8:40">
      <c r="X74" s="334"/>
      <c r="Y74" s="334"/>
      <c r="Z74" s="334"/>
      <c r="AA74" s="352"/>
      <c r="AB74" s="335"/>
      <c r="AC74" s="334"/>
      <c r="AE74" s="334"/>
      <c r="AF74" s="334"/>
      <c r="AG74" s="335"/>
      <c r="AH74" s="333"/>
      <c r="AJ74" s="335"/>
    </row>
    <row r="75" spans="8:40">
      <c r="X75" s="334"/>
      <c r="Y75" s="334"/>
      <c r="Z75" s="334"/>
      <c r="AA75" s="352"/>
      <c r="AB75" s="335"/>
      <c r="AC75" s="334"/>
      <c r="AE75" s="334"/>
      <c r="AF75" s="334"/>
      <c r="AG75" s="335"/>
      <c r="AH75" s="333"/>
      <c r="AJ75" s="335"/>
    </row>
    <row r="76" spans="8:40">
      <c r="X76" s="334"/>
      <c r="Y76" s="334"/>
      <c r="Z76" s="334"/>
      <c r="AA76" s="352"/>
      <c r="AB76" s="335"/>
      <c r="AC76" s="334"/>
      <c r="AE76" s="334"/>
      <c r="AF76" s="334"/>
      <c r="AG76" s="335"/>
      <c r="AH76" s="333"/>
      <c r="AJ76" s="335"/>
    </row>
    <row r="77" spans="8:40">
      <c r="AE77" s="334"/>
      <c r="AH77" s="333"/>
      <c r="AJ77" s="335"/>
    </row>
    <row r="79" spans="8:40">
      <c r="X79" s="334"/>
      <c r="Y79" s="334"/>
      <c r="Z79" s="334"/>
      <c r="AA79" s="352"/>
      <c r="AB79" s="335"/>
      <c r="AC79" s="334"/>
      <c r="AF79" s="334"/>
      <c r="AG79" s="335"/>
    </row>
    <row r="80" spans="8:40">
      <c r="X80" s="334"/>
      <c r="Y80" s="334"/>
      <c r="Z80" s="334"/>
      <c r="AA80" s="352"/>
      <c r="AB80" s="335"/>
      <c r="AC80" s="334"/>
      <c r="AF80" s="334"/>
      <c r="AG80" s="335"/>
      <c r="AH80" s="333"/>
    </row>
    <row r="81" spans="24:34">
      <c r="X81" s="334"/>
      <c r="Y81" s="334"/>
      <c r="Z81" s="334"/>
      <c r="AA81" s="352"/>
      <c r="AB81" s="335"/>
      <c r="AC81" s="334"/>
      <c r="AF81" s="334"/>
      <c r="AG81" s="335"/>
      <c r="AH81" s="333"/>
    </row>
    <row r="82" spans="24:34">
      <c r="X82" s="334"/>
      <c r="Y82" s="334"/>
      <c r="Z82" s="334"/>
      <c r="AA82" s="352"/>
      <c r="AB82" s="335"/>
      <c r="AC82" s="334"/>
      <c r="AF82" s="334"/>
      <c r="AG82" s="335"/>
      <c r="AH82" s="333"/>
    </row>
    <row r="83" spans="24:34">
      <c r="AH83" s="333"/>
    </row>
    <row r="85" spans="24:34">
      <c r="X85" s="334"/>
      <c r="Y85" s="334"/>
      <c r="Z85" s="334"/>
      <c r="AA85" s="352"/>
      <c r="AB85" s="335"/>
      <c r="AC85" s="334"/>
      <c r="AF85" s="334"/>
      <c r="AG85" s="335"/>
    </row>
    <row r="86" spans="24:34">
      <c r="X86" s="334"/>
      <c r="Y86" s="334"/>
      <c r="Z86" s="334"/>
      <c r="AA86" s="352"/>
      <c r="AB86" s="335"/>
      <c r="AC86" s="334"/>
      <c r="AF86" s="334"/>
      <c r="AG86" s="335"/>
      <c r="AH86" s="333"/>
    </row>
    <row r="87" spans="24:34">
      <c r="X87" s="334"/>
      <c r="Y87" s="334"/>
      <c r="Z87" s="334"/>
      <c r="AA87" s="352"/>
      <c r="AB87" s="335"/>
      <c r="AC87" s="334"/>
      <c r="AF87" s="334"/>
      <c r="AG87" s="335"/>
      <c r="AH87" s="333"/>
    </row>
    <row r="88" spans="24:34">
      <c r="X88" s="334"/>
      <c r="Y88" s="334"/>
      <c r="Z88" s="334"/>
      <c r="AA88" s="352"/>
      <c r="AB88" s="335"/>
      <c r="AC88" s="334"/>
      <c r="AF88" s="334"/>
      <c r="AG88" s="335"/>
      <c r="AH88" s="333"/>
    </row>
    <row r="89" spans="24:34">
      <c r="AH89" s="333"/>
    </row>
    <row r="91" spans="24:34">
      <c r="X91" s="334"/>
      <c r="Y91" s="334"/>
      <c r="Z91" s="334"/>
      <c r="AA91" s="352"/>
      <c r="AB91" s="335"/>
      <c r="AC91" s="334"/>
      <c r="AF91" s="334"/>
      <c r="AG91" s="335"/>
    </row>
    <row r="92" spans="24:34">
      <c r="X92" s="334"/>
      <c r="Y92" s="334"/>
      <c r="Z92" s="334"/>
      <c r="AA92" s="352"/>
      <c r="AB92" s="335"/>
      <c r="AC92" s="334"/>
      <c r="AF92" s="334"/>
      <c r="AG92" s="335"/>
      <c r="AH92" s="333"/>
    </row>
    <row r="93" spans="24:34">
      <c r="X93" s="334"/>
      <c r="Y93" s="334"/>
      <c r="Z93" s="334"/>
      <c r="AA93" s="352"/>
      <c r="AB93" s="335"/>
      <c r="AC93" s="334"/>
      <c r="AF93" s="334"/>
      <c r="AG93" s="335"/>
      <c r="AH93" s="333"/>
    </row>
    <row r="94" spans="24:34">
      <c r="X94" s="334"/>
      <c r="Y94" s="334"/>
      <c r="Z94" s="334"/>
      <c r="AA94" s="352"/>
      <c r="AB94" s="335"/>
      <c r="AC94" s="334"/>
      <c r="AF94" s="334"/>
      <c r="AG94" s="335"/>
      <c r="AH94" s="333"/>
    </row>
    <row r="95" spans="24:34">
      <c r="AH95" s="333"/>
    </row>
    <row r="97" spans="24:34">
      <c r="X97" s="334"/>
      <c r="Y97" s="334"/>
      <c r="Z97" s="334"/>
      <c r="AA97" s="352"/>
      <c r="AB97" s="335"/>
      <c r="AC97" s="334"/>
      <c r="AF97" s="334"/>
      <c r="AG97" s="335"/>
    </row>
    <row r="98" spans="24:34">
      <c r="X98" s="334"/>
      <c r="Y98" s="334"/>
      <c r="Z98" s="334"/>
      <c r="AA98" s="352"/>
      <c r="AB98" s="335"/>
      <c r="AC98" s="334"/>
      <c r="AF98" s="334"/>
      <c r="AG98" s="335"/>
      <c r="AH98" s="333"/>
    </row>
    <row r="99" spans="24:34">
      <c r="X99" s="334"/>
      <c r="Y99" s="334"/>
      <c r="Z99" s="334"/>
      <c r="AA99" s="352"/>
      <c r="AB99" s="335"/>
      <c r="AC99" s="334"/>
      <c r="AF99" s="334"/>
      <c r="AG99" s="335"/>
      <c r="AH99" s="333"/>
    </row>
    <row r="100" spans="24:34">
      <c r="X100" s="334"/>
      <c r="Y100" s="334"/>
      <c r="Z100" s="334"/>
      <c r="AA100" s="352"/>
      <c r="AB100" s="335"/>
      <c r="AC100" s="334"/>
      <c r="AF100" s="334"/>
      <c r="AG100" s="335"/>
      <c r="AH100" s="333"/>
    </row>
    <row r="101" spans="24:34">
      <c r="AH101" s="333"/>
    </row>
    <row r="103" spans="24:34">
      <c r="X103" s="334"/>
      <c r="Y103" s="334"/>
      <c r="Z103" s="334"/>
      <c r="AA103" s="352"/>
      <c r="AB103" s="335"/>
      <c r="AC103" s="334"/>
      <c r="AF103" s="334"/>
      <c r="AG103" s="335"/>
    </row>
    <row r="104" spans="24:34">
      <c r="X104" s="334"/>
      <c r="Y104" s="334"/>
      <c r="Z104" s="334"/>
      <c r="AA104" s="352"/>
      <c r="AB104" s="335"/>
      <c r="AC104" s="334"/>
      <c r="AF104" s="334"/>
      <c r="AG104" s="335"/>
      <c r="AH104" s="333"/>
    </row>
    <row r="105" spans="24:34">
      <c r="X105" s="334"/>
      <c r="Y105" s="334"/>
      <c r="Z105" s="334"/>
      <c r="AA105" s="352"/>
      <c r="AB105" s="335"/>
      <c r="AC105" s="334"/>
      <c r="AF105" s="334"/>
      <c r="AG105" s="335"/>
      <c r="AH105" s="333"/>
    </row>
    <row r="106" spans="24:34">
      <c r="X106" s="334"/>
      <c r="Y106" s="334"/>
      <c r="Z106" s="334"/>
      <c r="AA106" s="352"/>
      <c r="AB106" s="335"/>
      <c r="AC106" s="334"/>
      <c r="AF106" s="334"/>
      <c r="AG106" s="335"/>
      <c r="AH106" s="333"/>
    </row>
    <row r="107" spans="24:34">
      <c r="AH107" s="333"/>
    </row>
    <row r="109" spans="24:34">
      <c r="X109" s="334"/>
      <c r="Y109" s="334"/>
      <c r="Z109" s="334"/>
      <c r="AA109" s="352"/>
      <c r="AB109" s="335"/>
      <c r="AC109" s="334"/>
      <c r="AF109" s="334"/>
      <c r="AG109" s="335"/>
    </row>
    <row r="110" spans="24:34">
      <c r="X110" s="334"/>
      <c r="Y110" s="334"/>
      <c r="Z110" s="334"/>
      <c r="AA110" s="352"/>
      <c r="AB110" s="335"/>
      <c r="AC110" s="334"/>
      <c r="AF110" s="334"/>
      <c r="AG110" s="335"/>
    </row>
    <row r="111" spans="24:34">
      <c r="X111" s="334"/>
      <c r="Y111" s="334"/>
      <c r="Z111" s="334"/>
      <c r="AA111" s="352"/>
      <c r="AB111" s="335"/>
      <c r="AC111" s="334"/>
      <c r="AF111" s="334"/>
      <c r="AG111" s="335"/>
    </row>
    <row r="112" spans="24:34">
      <c r="X112" s="334"/>
      <c r="Y112" s="334"/>
      <c r="Z112" s="334"/>
      <c r="AA112" s="352"/>
      <c r="AB112" s="335"/>
      <c r="AC112" s="334"/>
      <c r="AF112" s="334"/>
      <c r="AG112" s="335"/>
    </row>
  </sheetData>
  <mergeCells count="5">
    <mergeCell ref="B2:C2"/>
    <mergeCell ref="AH2:AK2"/>
    <mergeCell ref="B18:C18"/>
    <mergeCell ref="B19:C19"/>
    <mergeCell ref="L31:N31"/>
  </mergeCells>
  <pageMargins left="0.25" right="0.25" top="0.3" bottom="0.44" header="0.23" footer="0.21"/>
  <pageSetup scale="72" orientation="landscape" r:id="rId1"/>
  <headerFooter alignWithMargins="0"/>
  <drawing r:id="rId2"/>
  <legacyDrawing r:id="rId3"/>
  <controls>
    <mc:AlternateContent xmlns:mc="http://schemas.openxmlformats.org/markup-compatibility/2006">
      <mc:Choice Requires="x14">
        <control shapeId="998401" r:id="rId4" name="DataCompleted">
          <controlPr defaultSize="0" autoFill="0" autoLine="0" autoPict="0" linkedCell="A64" r:id="rId5">
            <anchor moveWithCells="1">
              <from>
                <xdr:col>1</xdr:col>
                <xdr:colOff>981075</xdr:colOff>
                <xdr:row>7</xdr:row>
                <xdr:rowOff>200025</xdr:rowOff>
              </from>
              <to>
                <xdr:col>1</xdr:col>
                <xdr:colOff>1095375</xdr:colOff>
                <xdr:row>8</xdr:row>
                <xdr:rowOff>114300</xdr:rowOff>
              </to>
            </anchor>
          </controlPr>
        </control>
      </mc:Choice>
      <mc:Fallback>
        <control shapeId="998401" r:id="rId4" name="DataCompleted"/>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8" tint="0.59999389629810485"/>
  </sheetPr>
  <dimension ref="A1:AV112"/>
  <sheetViews>
    <sheetView showGridLines="0" showOutlineSymbols="0" view="pageBreakPreview" zoomScale="60" zoomScaleNormal="80" workbookViewId="0">
      <selection activeCell="AP280" sqref="AP280"/>
    </sheetView>
  </sheetViews>
  <sheetFormatPr defaultColWidth="16.7109375" defaultRowHeight="15"/>
  <cols>
    <col min="1" max="1" width="7.42578125" style="269" customWidth="1"/>
    <col min="2" max="2" width="33.5703125" style="310" bestFit="1" customWidth="1"/>
    <col min="3" max="3" width="21.28515625" style="310" customWidth="1"/>
    <col min="4" max="4" width="21.28515625" style="310" hidden="1" customWidth="1"/>
    <col min="5" max="5" width="7.28515625" style="310" customWidth="1"/>
    <col min="6" max="6" width="5.7109375" style="269" customWidth="1"/>
    <col min="7" max="7" width="8.5703125" style="269" customWidth="1"/>
    <col min="8" max="8" width="15" style="269" customWidth="1"/>
    <col min="9" max="9" width="17.7109375" style="269" customWidth="1"/>
    <col min="10" max="10" width="15.85546875" style="269" customWidth="1"/>
    <col min="11" max="11" width="15.140625" style="269" bestFit="1" customWidth="1"/>
    <col min="12" max="13" width="20.28515625" style="269" customWidth="1"/>
    <col min="14" max="14" width="2.42578125" style="269" customWidth="1"/>
    <col min="15" max="15" width="6.28515625" style="310" customWidth="1"/>
    <col min="16" max="16" width="40.42578125" style="310" customWidth="1"/>
    <col min="17" max="17" width="16.7109375" style="270"/>
    <col min="18" max="18" width="13.85546875" style="276" customWidth="1"/>
    <col min="19" max="19" width="16.7109375" style="269"/>
    <col min="20" max="20" width="13.42578125" style="269" customWidth="1"/>
    <col min="21" max="21" width="15.7109375" style="269" customWidth="1"/>
    <col min="22" max="22" width="16.7109375" style="269"/>
    <col min="23" max="26" width="17.7109375" style="269" customWidth="1"/>
    <col min="27" max="27" width="16" style="269" customWidth="1"/>
    <col min="28" max="28" width="16.7109375" style="269"/>
    <col min="29" max="29" width="15.85546875" style="269" customWidth="1"/>
    <col min="30" max="31" width="16.7109375" style="269"/>
    <col min="32" max="32" width="16.42578125" style="269" customWidth="1"/>
    <col min="33" max="33" width="17.28515625" style="269" customWidth="1"/>
    <col min="34" max="34" width="20.7109375" style="269" customWidth="1"/>
    <col min="35" max="35" width="18.140625" style="269" customWidth="1"/>
    <col min="36" max="36" width="16.42578125" style="269" customWidth="1"/>
    <col min="37" max="37" width="16.7109375" style="269"/>
    <col min="38" max="38" width="13.85546875" style="269" customWidth="1"/>
    <col min="39" max="39" width="16.42578125" style="269" customWidth="1"/>
    <col min="40" max="51" width="15.140625" style="269" customWidth="1"/>
    <col min="52" max="16384" width="16.7109375" style="269"/>
  </cols>
  <sheetData>
    <row r="1" spans="1:37" s="264" customFormat="1" ht="15.75" thickBot="1">
      <c r="A1" s="260"/>
      <c r="B1" s="261"/>
      <c r="C1" s="261"/>
      <c r="D1" s="261"/>
      <c r="E1" s="261"/>
      <c r="F1" s="261"/>
      <c r="G1" s="261"/>
      <c r="H1" s="261"/>
      <c r="I1" s="546"/>
      <c r="J1" s="546"/>
      <c r="K1" s="546"/>
      <c r="L1" s="546"/>
      <c r="M1" s="546"/>
      <c r="N1" s="546"/>
      <c r="O1" s="261"/>
      <c r="P1" s="261"/>
      <c r="Q1" s="262"/>
      <c r="R1" s="263"/>
    </row>
    <row r="2" spans="1:37" ht="19.5" thickBot="1">
      <c r="A2" s="260"/>
      <c r="B2" s="1550" t="s">
        <v>546</v>
      </c>
      <c r="C2" s="1550"/>
      <c r="D2" s="260"/>
      <c r="E2" s="260"/>
      <c r="F2" s="265" t="s">
        <v>547</v>
      </c>
      <c r="G2" s="266"/>
      <c r="H2" s="266"/>
      <c r="I2" s="267" t="s">
        <v>908</v>
      </c>
      <c r="J2" s="266"/>
      <c r="K2" s="266"/>
      <c r="L2" s="266"/>
      <c r="M2" s="268" t="s">
        <v>547</v>
      </c>
      <c r="O2" s="260"/>
      <c r="P2" s="261"/>
      <c r="R2" s="513" t="s">
        <v>548</v>
      </c>
      <c r="S2" s="514"/>
      <c r="T2" s="515"/>
      <c r="AH2" s="1551" t="s">
        <v>909</v>
      </c>
      <c r="AI2" s="1552"/>
      <c r="AJ2" s="1552"/>
      <c r="AK2" s="1553"/>
    </row>
    <row r="3" spans="1:37" ht="16.5" thickBot="1">
      <c r="A3" s="260"/>
      <c r="B3" s="260"/>
      <c r="C3" s="260"/>
      <c r="D3" s="260"/>
      <c r="E3" s="260"/>
      <c r="F3" s="272"/>
      <c r="G3" s="273"/>
      <c r="H3" s="274"/>
      <c r="I3" s="274"/>
      <c r="J3" s="274"/>
      <c r="K3" s="275" t="s">
        <v>910</v>
      </c>
      <c r="L3" s="274"/>
      <c r="M3" s="275" t="s">
        <v>549</v>
      </c>
      <c r="O3" s="260"/>
      <c r="P3" s="261"/>
      <c r="R3" s="269"/>
      <c r="T3" s="269" t="s">
        <v>550</v>
      </c>
      <c r="V3" s="276" t="s">
        <v>550</v>
      </c>
      <c r="W3" s="276" t="s">
        <v>550</v>
      </c>
      <c r="X3" s="276" t="s">
        <v>550</v>
      </c>
      <c r="Y3" s="276"/>
      <c r="Z3" s="276" t="s">
        <v>551</v>
      </c>
      <c r="AA3" s="276" t="s">
        <v>552</v>
      </c>
      <c r="AB3" s="276" t="s">
        <v>552</v>
      </c>
      <c r="AC3" s="276" t="s">
        <v>552</v>
      </c>
      <c r="AD3" s="276" t="s">
        <v>552</v>
      </c>
      <c r="AE3" s="276" t="s">
        <v>552</v>
      </c>
      <c r="AF3" s="276" t="s">
        <v>552</v>
      </c>
      <c r="AG3" s="276" t="s">
        <v>553</v>
      </c>
      <c r="AH3" s="276" t="s">
        <v>166</v>
      </c>
      <c r="AI3" s="276" t="s">
        <v>911</v>
      </c>
      <c r="AJ3" s="276"/>
    </row>
    <row r="4" spans="1:37" ht="19.5" thickBot="1">
      <c r="A4" s="260"/>
      <c r="B4" s="547" t="s">
        <v>554</v>
      </c>
      <c r="C4" s="267"/>
      <c r="D4" s="277"/>
      <c r="E4" s="260"/>
      <c r="F4" s="278"/>
      <c r="G4" s="273"/>
      <c r="H4" s="274" t="s">
        <v>320</v>
      </c>
      <c r="I4" s="274" t="s">
        <v>321</v>
      </c>
      <c r="J4" s="274" t="s">
        <v>322</v>
      </c>
      <c r="K4" s="274" t="s">
        <v>323</v>
      </c>
      <c r="L4" s="274" t="s">
        <v>555</v>
      </c>
      <c r="M4" s="274" t="s">
        <v>556</v>
      </c>
      <c r="O4" s="279"/>
      <c r="P4" s="261"/>
      <c r="R4" s="269"/>
      <c r="T4" s="276" t="s">
        <v>557</v>
      </c>
      <c r="V4" s="276" t="s">
        <v>407</v>
      </c>
      <c r="W4" s="276" t="s">
        <v>551</v>
      </c>
      <c r="X4" s="276" t="s">
        <v>558</v>
      </c>
      <c r="Y4" s="276" t="s">
        <v>559</v>
      </c>
      <c r="Z4" s="276" t="s">
        <v>558</v>
      </c>
      <c r="AA4" s="276" t="s">
        <v>560</v>
      </c>
      <c r="AB4" s="276" t="s">
        <v>560</v>
      </c>
      <c r="AC4" s="276" t="s">
        <v>560</v>
      </c>
      <c r="AD4" s="276" t="s">
        <v>551</v>
      </c>
      <c r="AE4" s="276" t="s">
        <v>557</v>
      </c>
      <c r="AF4" s="276" t="s">
        <v>557</v>
      </c>
      <c r="AG4" s="276" t="s">
        <v>561</v>
      </c>
      <c r="AH4" s="276" t="s">
        <v>912</v>
      </c>
      <c r="AI4" s="276" t="s">
        <v>913</v>
      </c>
      <c r="AJ4" s="276" t="s">
        <v>562</v>
      </c>
      <c r="AK4" s="276" t="s">
        <v>914</v>
      </c>
    </row>
    <row r="5" spans="1:37" ht="15.75">
      <c r="A5" s="260"/>
      <c r="B5" s="280" t="s">
        <v>563</v>
      </c>
      <c r="C5" s="536">
        <f>'Reg by LOB'!G26</f>
        <v>1816669.2955576978</v>
      </c>
      <c r="D5" s="277"/>
      <c r="E5" s="260"/>
      <c r="F5" s="281" t="s">
        <v>564</v>
      </c>
      <c r="G5" s="282"/>
      <c r="H5" s="282"/>
      <c r="I5" s="274" t="s">
        <v>565</v>
      </c>
      <c r="J5" s="274" t="s">
        <v>166</v>
      </c>
      <c r="K5" s="283" t="s">
        <v>915</v>
      </c>
      <c r="L5" s="516" t="s">
        <v>566</v>
      </c>
      <c r="M5" s="283" t="s">
        <v>166</v>
      </c>
      <c r="O5" s="271"/>
      <c r="P5" s="261"/>
      <c r="R5" s="284"/>
      <c r="T5" s="276" t="s">
        <v>567</v>
      </c>
      <c r="U5" s="276" t="s">
        <v>568</v>
      </c>
      <c r="V5" s="276" t="s">
        <v>569</v>
      </c>
      <c r="W5" s="276" t="s">
        <v>570</v>
      </c>
      <c r="X5" s="276" t="s">
        <v>571</v>
      </c>
      <c r="Y5" s="276" t="s">
        <v>572</v>
      </c>
      <c r="Z5" s="276" t="s">
        <v>571</v>
      </c>
      <c r="AA5" s="276" t="s">
        <v>573</v>
      </c>
      <c r="AB5" s="276" t="s">
        <v>574</v>
      </c>
      <c r="AC5" s="276" t="s">
        <v>575</v>
      </c>
      <c r="AD5" s="276" t="s">
        <v>576</v>
      </c>
      <c r="AE5" s="276" t="s">
        <v>567</v>
      </c>
      <c r="AF5" s="276" t="s">
        <v>164</v>
      </c>
      <c r="AG5" s="276" t="s">
        <v>286</v>
      </c>
      <c r="AH5" s="276" t="s">
        <v>621</v>
      </c>
      <c r="AI5" s="276" t="s">
        <v>621</v>
      </c>
      <c r="AJ5" s="276" t="s">
        <v>286</v>
      </c>
      <c r="AK5" s="276" t="s">
        <v>553</v>
      </c>
    </row>
    <row r="6" spans="1:37" ht="15.75">
      <c r="A6" s="260"/>
      <c r="B6" s="280" t="s">
        <v>577</v>
      </c>
      <c r="C6" s="1081">
        <f>'Reg by LOB'!G291</f>
        <v>1813783.0867504259</v>
      </c>
      <c r="D6" s="277"/>
      <c r="E6" s="260"/>
      <c r="F6" s="285" t="s">
        <v>578</v>
      </c>
      <c r="G6" s="282"/>
      <c r="H6" s="282"/>
      <c r="I6" s="286"/>
      <c r="J6" s="287" t="s">
        <v>579</v>
      </c>
      <c r="K6" s="288"/>
      <c r="L6" s="287" t="s">
        <v>580</v>
      </c>
      <c r="M6" s="287" t="s">
        <v>581</v>
      </c>
      <c r="O6" s="271"/>
      <c r="P6" s="261"/>
      <c r="R6" s="517">
        <v>1</v>
      </c>
      <c r="S6" s="518">
        <f>Revenue/Investment*100</f>
        <v>107.64482139097437</v>
      </c>
      <c r="T6" s="519">
        <f>EXP(y_inter1-(slope*LN(+S6)))</f>
        <v>12.476157569134926</v>
      </c>
      <c r="U6" s="520">
        <f>(+S6*T6/100)/100</f>
        <v>0.1342993753175182</v>
      </c>
      <c r="V6" s="520">
        <f>regDebt_weighted</f>
        <v>3.5860000000000003E-2</v>
      </c>
      <c r="W6" s="520">
        <f>+U6-V6</f>
        <v>9.8439375317518202E-2</v>
      </c>
      <c r="X6" s="520">
        <f>+((W6*(1-0.34))-Pfd_weighted)/Equity_percent</f>
        <v>0.17087205729523838</v>
      </c>
      <c r="Y6" s="520">
        <f>+C15</f>
        <v>2.5000000000000001E-3</v>
      </c>
      <c r="Z6" s="520">
        <f>+X6+Y6</f>
        <v>0.17337205729523839</v>
      </c>
      <c r="AA6" s="520">
        <f>Z6*equityP</f>
        <v>0.10402323437714303</v>
      </c>
      <c r="AB6" s="520">
        <f>+AA6/(1-taxrate)</f>
        <v>0.13167498022423169</v>
      </c>
      <c r="AC6" s="520">
        <f>debtP*Debt_Rate</f>
        <v>1.2716825048595141E-2</v>
      </c>
      <c r="AD6" s="520">
        <f>AC6+AB6</f>
        <v>0.14439180527282683</v>
      </c>
      <c r="AE6" s="520">
        <f>AD6/(S6/100)</f>
        <v>0.13413725194302153</v>
      </c>
      <c r="AF6" s="520">
        <f>1-AE6</f>
        <v>0.86586274805697849</v>
      </c>
      <c r="AG6" s="521">
        <f>expenses/(AF6)</f>
        <v>2094769.743611916</v>
      </c>
      <c r="AH6" s="522">
        <f>+AG6-Revenue</f>
        <v>278100.4480542182</v>
      </c>
      <c r="AI6" s="523">
        <f ca="1">+AH6/$J$49</f>
        <v>324622.2327812147</v>
      </c>
      <c r="AJ6" s="523">
        <f ca="1">+AI6*$J$47</f>
        <v>7035.1056319372365</v>
      </c>
      <c r="AK6" s="521">
        <f ca="1">ROUND(+AJ6+AG6,5)</f>
        <v>2101804.8492399999</v>
      </c>
    </row>
    <row r="7" spans="1:37" ht="15.75">
      <c r="A7" s="260"/>
      <c r="B7" s="280" t="s">
        <v>582</v>
      </c>
      <c r="C7" s="537">
        <f>Deprec!AB81</f>
        <v>1687651.3631430659</v>
      </c>
      <c r="D7" s="277"/>
      <c r="E7" s="260"/>
      <c r="F7" s="524">
        <v>1</v>
      </c>
      <c r="G7" s="282"/>
      <c r="H7" s="293" t="s">
        <v>563</v>
      </c>
      <c r="I7" s="294">
        <f>IF(A64=TRUE,C5,0)</f>
        <v>1816669.2955576978</v>
      </c>
      <c r="J7" s="294">
        <f ca="1">(+$I8/($R50))-I7</f>
        <v>249166.40502024256</v>
      </c>
      <c r="K7" s="294">
        <f ca="1">+I7+J7</f>
        <v>2065835.7005779403</v>
      </c>
      <c r="L7" s="294">
        <f ca="1">((+J7/J49*K35)-J7)</f>
        <v>6303.1612912242417</v>
      </c>
      <c r="M7" s="294">
        <f ca="1">IFERROR(+K7+L7,0.00001)</f>
        <v>2072138.8618691645</v>
      </c>
      <c r="O7" s="271"/>
      <c r="P7" s="261"/>
      <c r="R7" s="295">
        <v>2</v>
      </c>
      <c r="S7" s="296">
        <f>Revenue/Investment*100</f>
        <v>107.64482139097437</v>
      </c>
      <c r="T7" s="297">
        <f>EXP(y_inter1-(slope*LN(+S7)))</f>
        <v>12.476157569134926</v>
      </c>
      <c r="U7" s="298">
        <f t="shared" ref="U7:U9" si="0">(+S7*T7/100)/100</f>
        <v>0.1342993753175182</v>
      </c>
      <c r="V7" s="298">
        <f>regDebt_weighted</f>
        <v>3.5860000000000003E-2</v>
      </c>
      <c r="W7" s="298">
        <f t="shared" ref="W7:W9" si="1">+U7-V7</f>
        <v>9.8439375317518202E-2</v>
      </c>
      <c r="X7" s="298">
        <f>+((W7*(1-0.34))-Pfd_weighted)/Equity_percent</f>
        <v>0.17087205729523838</v>
      </c>
      <c r="Y7" s="298">
        <f>+Y6</f>
        <v>2.5000000000000001E-3</v>
      </c>
      <c r="Z7" s="298">
        <f>+X7+Y7</f>
        <v>0.17337205729523839</v>
      </c>
      <c r="AA7" s="298">
        <f>Z7*equityP</f>
        <v>0.10402323437714303</v>
      </c>
      <c r="AB7" s="298">
        <f>+AA7/(1-taxrate)</f>
        <v>0.13167498022423169</v>
      </c>
      <c r="AC7" s="298">
        <f>debtP*Debt_Rate</f>
        <v>1.2716825048595141E-2</v>
      </c>
      <c r="AD7" s="298">
        <f t="shared" ref="AD7:AD9" si="2">AC7+AB7</f>
        <v>0.14439180527282683</v>
      </c>
      <c r="AE7" s="298">
        <f t="shared" ref="AE7:AE9" si="3">AD7/(S7/100)</f>
        <v>0.13413725194302153</v>
      </c>
      <c r="AF7" s="298">
        <f t="shared" ref="AF7:AF9" si="4">1-AE7</f>
        <v>0.86586274805697849</v>
      </c>
      <c r="AG7" s="299">
        <f>expenses/(AF7)</f>
        <v>2094769.743611916</v>
      </c>
      <c r="AH7" s="525">
        <f>+AG7-Revenue</f>
        <v>278100.4480542182</v>
      </c>
      <c r="AI7" s="300">
        <f ca="1">+AH7/$J$49</f>
        <v>324622.2327812147</v>
      </c>
      <c r="AJ7" s="300">
        <f ca="1">+AI7*$J$47</f>
        <v>7035.1056319372365</v>
      </c>
      <c r="AK7" s="299">
        <f t="shared" ref="AK7:AK9" ca="1" si="5">ROUND(+AJ7+AG7,5)</f>
        <v>2101804.8492399999</v>
      </c>
    </row>
    <row r="8" spans="1:37" ht="15.75">
      <c r="A8" s="260"/>
      <c r="B8" s="280" t="s">
        <v>583</v>
      </c>
      <c r="C8" s="538">
        <v>0.4</v>
      </c>
      <c r="D8" s="277"/>
      <c r="E8" s="260"/>
      <c r="F8" s="301">
        <f>+F7+1</f>
        <v>2</v>
      </c>
      <c r="G8" s="282"/>
      <c r="H8" s="293" t="s">
        <v>577</v>
      </c>
      <c r="I8" s="294">
        <f>IF(A64=TRUE,C6,0)</f>
        <v>1813783.0867504259</v>
      </c>
      <c r="J8" s="273"/>
      <c r="K8" s="294">
        <f>+I8</f>
        <v>1813783.0867504259</v>
      </c>
      <c r="L8" s="294">
        <f ca="1">+L7</f>
        <v>6303.1612912242417</v>
      </c>
      <c r="M8" s="294">
        <f ca="1">IFERROR(+K8+L8,0.00001)</f>
        <v>1820086.24804165</v>
      </c>
      <c r="O8" s="271"/>
      <c r="P8" s="261"/>
      <c r="R8" s="302">
        <v>3</v>
      </c>
      <c r="S8" s="296">
        <f>Revenue/Investment*100</f>
        <v>107.64482139097437</v>
      </c>
      <c r="T8" s="297">
        <f>EXP(y_inter1-(slope*LN(+S8)))</f>
        <v>12.476157569134926</v>
      </c>
      <c r="U8" s="298">
        <f t="shared" si="0"/>
        <v>0.1342993753175182</v>
      </c>
      <c r="V8" s="298">
        <f>regDebt_weighted</f>
        <v>3.5860000000000003E-2</v>
      </c>
      <c r="W8" s="298">
        <f t="shared" si="1"/>
        <v>9.8439375317518202E-2</v>
      </c>
      <c r="X8" s="298">
        <f>+((W8*(1-0.34))-Pfd_weighted)/Equity_percent</f>
        <v>0.17087205729523838</v>
      </c>
      <c r="Y8" s="298">
        <f>+Y7</f>
        <v>2.5000000000000001E-3</v>
      </c>
      <c r="Z8" s="298">
        <f t="shared" ref="Z8:Z9" si="6">+X8+Y8</f>
        <v>0.17337205729523839</v>
      </c>
      <c r="AA8" s="298">
        <f>Z8*equityP</f>
        <v>0.10402323437714303</v>
      </c>
      <c r="AB8" s="298">
        <f>+AA8/(1-taxrate)</f>
        <v>0.13167498022423169</v>
      </c>
      <c r="AC8" s="298">
        <f>debtP*Debt_Rate</f>
        <v>1.2716825048595141E-2</v>
      </c>
      <c r="AD8" s="298">
        <f t="shared" si="2"/>
        <v>0.14439180527282683</v>
      </c>
      <c r="AE8" s="298">
        <f t="shared" si="3"/>
        <v>0.13413725194302153</v>
      </c>
      <c r="AF8" s="298">
        <f t="shared" si="4"/>
        <v>0.86586274805697849</v>
      </c>
      <c r="AG8" s="299">
        <f>expenses/(AF8)</f>
        <v>2094769.743611916</v>
      </c>
      <c r="AH8" s="525">
        <f>+AG8-Revenue</f>
        <v>278100.4480542182</v>
      </c>
      <c r="AI8" s="300">
        <f ca="1">+AH8/$J$49</f>
        <v>324622.2327812147</v>
      </c>
      <c r="AJ8" s="300">
        <f ca="1">+AI8*$J$47</f>
        <v>7035.1056319372365</v>
      </c>
      <c r="AK8" s="299">
        <f t="shared" ca="1" si="5"/>
        <v>2101804.8492399999</v>
      </c>
    </row>
    <row r="9" spans="1:37" ht="15.75">
      <c r="A9" s="260"/>
      <c r="B9" s="280" t="s">
        <v>584</v>
      </c>
      <c r="C9" s="538">
        <f>'LG MSW'!C9</f>
        <v>3.179206262148785E-2</v>
      </c>
      <c r="D9" s="277"/>
      <c r="E9" s="260"/>
      <c r="F9" s="301">
        <f t="shared" ref="F9:F49" si="7">+F8+1</f>
        <v>3</v>
      </c>
      <c r="G9" s="282"/>
      <c r="H9" s="293" t="s">
        <v>585</v>
      </c>
      <c r="I9" s="526">
        <f>+I7-I8</f>
        <v>2886.2088072719052</v>
      </c>
      <c r="J9" s="273"/>
      <c r="K9" s="526">
        <f ca="1">+K7-K8</f>
        <v>252052.61382751446</v>
      </c>
      <c r="L9" s="282"/>
      <c r="M9" s="527">
        <f ca="1">+M7-M8</f>
        <v>252052.61382751446</v>
      </c>
      <c r="O9" s="271"/>
      <c r="P9" s="261"/>
      <c r="R9" s="303">
        <v>4</v>
      </c>
      <c r="S9" s="296">
        <f>Revenue/Investment*100</f>
        <v>107.64482139097437</v>
      </c>
      <c r="T9" s="297">
        <f>EXP(y_inter1-(slope*LN(+S9)))</f>
        <v>12.476157569134926</v>
      </c>
      <c r="U9" s="298">
        <f t="shared" si="0"/>
        <v>0.1342993753175182</v>
      </c>
      <c r="V9" s="298">
        <f>regDebt_weighted</f>
        <v>3.5860000000000003E-2</v>
      </c>
      <c r="W9" s="298">
        <f t="shared" si="1"/>
        <v>9.8439375317518202E-2</v>
      </c>
      <c r="X9" s="298">
        <f>+((W9*(1-0.34))-Pfd_weighted)/Equity_percent</f>
        <v>0.17087205729523838</v>
      </c>
      <c r="Y9" s="298">
        <f>+Y8</f>
        <v>2.5000000000000001E-3</v>
      </c>
      <c r="Z9" s="298">
        <f t="shared" si="6"/>
        <v>0.17337205729523839</v>
      </c>
      <c r="AA9" s="298">
        <f>Z9*equityP</f>
        <v>0.10402323437714303</v>
      </c>
      <c r="AB9" s="298">
        <f>+AA9/(1-taxrate)</f>
        <v>0.13167498022423169</v>
      </c>
      <c r="AC9" s="298">
        <f>debtP*Debt_Rate</f>
        <v>1.2716825048595141E-2</v>
      </c>
      <c r="AD9" s="298">
        <f t="shared" si="2"/>
        <v>0.14439180527282683</v>
      </c>
      <c r="AE9" s="298">
        <f t="shared" si="3"/>
        <v>0.13413725194302153</v>
      </c>
      <c r="AF9" s="298">
        <f t="shared" si="4"/>
        <v>0.86586274805697849</v>
      </c>
      <c r="AG9" s="299">
        <f>expenses/(AF9)</f>
        <v>2094769.743611916</v>
      </c>
      <c r="AH9" s="525">
        <f>+AG9-Revenue</f>
        <v>278100.4480542182</v>
      </c>
      <c r="AI9" s="300">
        <f ca="1">+AH9/$J$49</f>
        <v>324622.2327812147</v>
      </c>
      <c r="AJ9" s="300">
        <f ca="1">+AI9*$J$47</f>
        <v>7035.1056319372365</v>
      </c>
      <c r="AK9" s="299">
        <f t="shared" ca="1" si="5"/>
        <v>2101804.8492399999</v>
      </c>
    </row>
    <row r="10" spans="1:37" ht="15.75">
      <c r="A10" s="260"/>
      <c r="B10" s="304" t="s">
        <v>916</v>
      </c>
      <c r="C10" s="538">
        <v>0.21</v>
      </c>
      <c r="D10" s="277"/>
      <c r="E10" s="260"/>
      <c r="F10" s="301">
        <f t="shared" si="7"/>
        <v>4</v>
      </c>
      <c r="G10" s="282"/>
      <c r="H10" s="282"/>
      <c r="I10" s="273"/>
      <c r="J10" s="273"/>
      <c r="K10" s="294"/>
      <c r="L10" s="282"/>
      <c r="M10" s="282"/>
      <c r="O10" s="271"/>
      <c r="P10" s="260"/>
      <c r="R10" s="276" t="s">
        <v>586</v>
      </c>
    </row>
    <row r="11" spans="1:37" ht="15.75">
      <c r="A11" s="260"/>
      <c r="B11" s="280" t="s">
        <v>587</v>
      </c>
      <c r="C11" s="539">
        <v>1.4999999999999999E-2</v>
      </c>
      <c r="D11" s="277"/>
      <c r="E11" s="260"/>
      <c r="F11" s="301">
        <f t="shared" si="7"/>
        <v>5</v>
      </c>
      <c r="G11" s="282"/>
      <c r="H11" s="293" t="s">
        <v>141</v>
      </c>
      <c r="I11" s="294">
        <f>+K11</f>
        <v>21461.567128113475</v>
      </c>
      <c r="J11" s="273"/>
      <c r="K11" s="294">
        <f>+M27</f>
        <v>21461.567128113475</v>
      </c>
      <c r="L11" s="282"/>
      <c r="M11" s="294">
        <f>+K11</f>
        <v>21461.567128113475</v>
      </c>
      <c r="O11" s="271"/>
      <c r="P11" s="260"/>
      <c r="R11" s="517">
        <v>1</v>
      </c>
      <c r="S11" s="518">
        <f ca="1">IF((AK6/Investment*100)&gt;0,(AK6/Investment*100),0)</f>
        <v>124.54022762886396</v>
      </c>
      <c r="T11" s="519">
        <f ca="1">EXP(y_inter1-(slope*LN(S11)))</f>
        <v>11.292581931283602</v>
      </c>
      <c r="U11" s="520">
        <f ca="1">(+S11*T11/100)/100</f>
        <v>0.14063807242396559</v>
      </c>
      <c r="V11" s="520">
        <f>regDebt_weighted</f>
        <v>3.5860000000000003E-2</v>
      </c>
      <c r="W11" s="520">
        <f ca="1">+U11-V11</f>
        <v>0.10477807242396558</v>
      </c>
      <c r="X11" s="520">
        <f ca="1">+((W11*(1-0.34))-Pfd_weighted)/Equity_percent</f>
        <v>0.18303351104598045</v>
      </c>
      <c r="Y11" s="520">
        <f>+Y9</f>
        <v>2.5000000000000001E-3</v>
      </c>
      <c r="Z11" s="520">
        <f ca="1">+X11+Y11</f>
        <v>0.18553351104598045</v>
      </c>
      <c r="AA11" s="520">
        <f ca="1">Z11*equityP</f>
        <v>0.11132010662758828</v>
      </c>
      <c r="AB11" s="520">
        <f ca="1">+AA11/(1-taxrate)</f>
        <v>0.14091152737669402</v>
      </c>
      <c r="AC11" s="520">
        <f>debtP*Debt_Rate</f>
        <v>1.2716825048595141E-2</v>
      </c>
      <c r="AD11" s="520">
        <f ca="1">+AC11+AB11</f>
        <v>0.15362835242528916</v>
      </c>
      <c r="AE11" s="520">
        <f ca="1">+AD11/(S11/100)</f>
        <v>0.12335640888910951</v>
      </c>
      <c r="AF11" s="520">
        <f ca="1">1-AE11</f>
        <v>0.87664359111089052</v>
      </c>
      <c r="AG11" s="521">
        <f ca="1">expenses/(AF11)</f>
        <v>2069008.5516418181</v>
      </c>
      <c r="AH11" s="522">
        <f ca="1">+AG11-Revenue</f>
        <v>252339.25608412037</v>
      </c>
      <c r="AI11" s="523">
        <f ca="1">+AH11/$J$49</f>
        <v>294551.6028525341</v>
      </c>
      <c r="AJ11" s="523">
        <f ca="1">+AI11*$J$47</f>
        <v>6383.4248885861189</v>
      </c>
      <c r="AK11" s="521">
        <f ca="1">ROUND(+AJ11+AG11,5)</f>
        <v>2075391.9765300001</v>
      </c>
    </row>
    <row r="12" spans="1:37" ht="15.75">
      <c r="A12" s="260"/>
      <c r="B12" s="280" t="s">
        <v>75</v>
      </c>
      <c r="C12" s="539">
        <v>5.1000000000000004E-3</v>
      </c>
      <c r="D12" s="277"/>
      <c r="E12" s="260"/>
      <c r="F12" s="301">
        <f t="shared" si="7"/>
        <v>6</v>
      </c>
      <c r="G12" s="282"/>
      <c r="H12" s="293" t="s">
        <v>588</v>
      </c>
      <c r="I12" s="294">
        <f ca="1">IF(I14&lt;0,0,+J38*I14)</f>
        <v>0</v>
      </c>
      <c r="J12" s="294">
        <f ca="1">+K12-I12</f>
        <v>48424.119806874209</v>
      </c>
      <c r="K12" s="294">
        <f ca="1">+(K9-K11)*taxrate</f>
        <v>48424.119806874209</v>
      </c>
      <c r="L12" s="282"/>
      <c r="M12" s="294">
        <f ca="1">+K12</f>
        <v>48424.119806874209</v>
      </c>
      <c r="O12" s="271"/>
      <c r="P12" s="260"/>
      <c r="R12" s="295">
        <v>2</v>
      </c>
      <c r="S12" s="296">
        <f ca="1">IF((AK7/Investment*100)&gt;0,(AK7/Investment*100),0)</f>
        <v>124.54022762886396</v>
      </c>
      <c r="T12" s="307">
        <f ca="1">EXP(y_inter2-(slope*LN(+S12)))</f>
        <v>11.13191317327939</v>
      </c>
      <c r="U12" s="298">
        <f ca="1">(+S12*T12/100)/100</f>
        <v>0.13863710005449645</v>
      </c>
      <c r="V12" s="298">
        <f>regDebt_weighted</f>
        <v>3.5860000000000003E-2</v>
      </c>
      <c r="W12" s="298">
        <f ca="1">+U12-V12</f>
        <v>0.10277710005449645</v>
      </c>
      <c r="X12" s="298">
        <f ca="1">+((W12*(1-0.34))-Pfd_weighted)/Equity_percent</f>
        <v>0.17919443615106873</v>
      </c>
      <c r="Y12" s="298">
        <f>+Y11</f>
        <v>2.5000000000000001E-3</v>
      </c>
      <c r="Z12" s="298">
        <f ca="1">+X12+Y12</f>
        <v>0.18169443615106873</v>
      </c>
      <c r="AA12" s="298">
        <f ca="1">Z12*equityP</f>
        <v>0.10901666169064124</v>
      </c>
      <c r="AB12" s="298">
        <f ca="1">+AA12/(1-taxrate)</f>
        <v>0.13799577429195092</v>
      </c>
      <c r="AC12" s="298">
        <f>debtP*Debt_Rate</f>
        <v>1.2716825048595141E-2</v>
      </c>
      <c r="AD12" s="298">
        <f ca="1">+AC12+AB12</f>
        <v>0.15071259934054607</v>
      </c>
      <c r="AE12" s="298">
        <f ca="1">+AD12/(S12/100)</f>
        <v>0.12101519501769104</v>
      </c>
      <c r="AF12" s="298">
        <f ca="1">1-AE12</f>
        <v>0.87898480498230902</v>
      </c>
      <c r="AG12" s="299">
        <f ca="1">expenses/(AF12)</f>
        <v>2063497.6582865175</v>
      </c>
      <c r="AH12" s="525">
        <f ca="1">+AG12-Revenue</f>
        <v>246828.36272881972</v>
      </c>
      <c r="AI12" s="300">
        <f ca="1">+AH12/$J$49</f>
        <v>288118.82463109057</v>
      </c>
      <c r="AJ12" s="300">
        <f ca="1">+AI12*$J$47</f>
        <v>6244.0158471691029</v>
      </c>
      <c r="AK12" s="299">
        <f t="shared" ref="AK12:AK14" ca="1" si="8">ROUND(+AJ12+AG12,5)</f>
        <v>2069741.6741299999</v>
      </c>
    </row>
    <row r="13" spans="1:37" ht="15.75">
      <c r="A13" s="260"/>
      <c r="B13" s="280" t="s">
        <v>589</v>
      </c>
      <c r="C13" s="539">
        <v>0</v>
      </c>
      <c r="D13" s="277"/>
      <c r="E13" s="260"/>
      <c r="F13" s="301">
        <f t="shared" si="7"/>
        <v>7</v>
      </c>
      <c r="G13" s="282"/>
      <c r="H13" s="282"/>
      <c r="I13" s="273"/>
      <c r="J13" s="273"/>
      <c r="K13" s="294"/>
      <c r="L13" s="282"/>
      <c r="M13" s="282"/>
      <c r="O13" s="271"/>
      <c r="P13" s="260"/>
      <c r="R13" s="302">
        <v>3</v>
      </c>
      <c r="S13" s="296">
        <f ca="1">IF((AK8/Investment*100)&gt;0,(AK8/Investment*100),0)</f>
        <v>124.54022762886396</v>
      </c>
      <c r="T13" s="297">
        <f ca="1">EXP(y_inter3-(slope*LN(S13)))</f>
        <v>11.023683942268072</v>
      </c>
      <c r="U13" s="298">
        <f ca="1">(+S13*T13/100)/100</f>
        <v>0.13728921074787181</v>
      </c>
      <c r="V13" s="298">
        <f>regDebt_weighted</f>
        <v>3.5860000000000003E-2</v>
      </c>
      <c r="W13" s="298">
        <f ca="1">+U13-V13</f>
        <v>0.10142921074787181</v>
      </c>
      <c r="X13" s="298">
        <f ca="1">+((W13*(1-0.34))-Pfd_weighted)/Equity_percent</f>
        <v>0.17660836945812614</v>
      </c>
      <c r="Y13" s="298">
        <f>+Y12</f>
        <v>2.5000000000000001E-3</v>
      </c>
      <c r="Z13" s="298">
        <f t="shared" ref="Z13:Z14" ca="1" si="9">+X13+Y13</f>
        <v>0.17910836945812614</v>
      </c>
      <c r="AA13" s="298">
        <f ca="1">Z13*equityP</f>
        <v>0.10746502167487568</v>
      </c>
      <c r="AB13" s="298">
        <f ca="1">+AA13/(1-taxrate)</f>
        <v>0.13603167300617175</v>
      </c>
      <c r="AC13" s="298">
        <f>debtP*Debt_Rate</f>
        <v>1.2716825048595141E-2</v>
      </c>
      <c r="AD13" s="298">
        <f ca="1">+AC13+AB13</f>
        <v>0.14874849805476689</v>
      </c>
      <c r="AE13" s="298">
        <f ca="1">+AD13/(S13/100)</f>
        <v>0.11943811319989295</v>
      </c>
      <c r="AF13" s="298">
        <f ca="1">1-AE13</f>
        <v>0.88056188680010705</v>
      </c>
      <c r="AG13" s="299">
        <f ca="1">expenses/(AF13)</f>
        <v>2059801.9445760611</v>
      </c>
      <c r="AH13" s="525">
        <f ca="1">+AG13-Revenue</f>
        <v>243132.64901836333</v>
      </c>
      <c r="AI13" s="300">
        <f ca="1">+AH13/$J$49</f>
        <v>283804.87675792997</v>
      </c>
      <c r="AJ13" s="300">
        <f ca="1">+AI13*$J$47</f>
        <v>6150.5253960735672</v>
      </c>
      <c r="AK13" s="299">
        <f t="shared" ca="1" si="8"/>
        <v>2065952.46997</v>
      </c>
    </row>
    <row r="14" spans="1:37" ht="16.5" thickBot="1">
      <c r="A14" s="260"/>
      <c r="B14" s="318" t="s">
        <v>118</v>
      </c>
      <c r="C14" s="539">
        <f>+'Restating Adj'!B85</f>
        <v>1.5716691634570774E-3</v>
      </c>
      <c r="D14" s="277"/>
      <c r="E14" s="260"/>
      <c r="F14" s="301">
        <f t="shared" si="7"/>
        <v>8</v>
      </c>
      <c r="G14" s="282"/>
      <c r="H14" s="282" t="s">
        <v>287</v>
      </c>
      <c r="I14" s="528">
        <f ca="1">+I9-SUM(I11:I13)</f>
        <v>-18575.358320841569</v>
      </c>
      <c r="J14" s="273"/>
      <c r="K14" s="528">
        <f ca="1">+K9-SUM(K11:K13)</f>
        <v>182166.9268925268</v>
      </c>
      <c r="L14" s="282"/>
      <c r="M14" s="528">
        <f ca="1">+M9-SUM(M11:M13)</f>
        <v>182166.9268925268</v>
      </c>
      <c r="O14" s="271"/>
      <c r="P14" s="260"/>
      <c r="R14" s="303">
        <v>4</v>
      </c>
      <c r="S14" s="296">
        <f ca="1">IF((AK9/Investment*100)&gt;0,(AK9/Investment*100),0)</f>
        <v>124.54022762886396</v>
      </c>
      <c r="T14" s="309">
        <f ca="1">EXP(y_inter4-(slope*LN(S14)))</f>
        <v>10.954453039755752</v>
      </c>
      <c r="U14" s="298">
        <f ca="1">(+S14*T14/100)/100</f>
        <v>0.13642700751208819</v>
      </c>
      <c r="V14" s="298">
        <f>regDebt_weighted</f>
        <v>3.5860000000000003E-2</v>
      </c>
      <c r="W14" s="298">
        <f ca="1">+U14-V14</f>
        <v>0.10056700751208819</v>
      </c>
      <c r="X14" s="298">
        <f ca="1">+((W14*(1-0.34))-Pfd_weighted)/Equity_percent</f>
        <v>0.17495414231970405</v>
      </c>
      <c r="Y14" s="298">
        <f>+Y13</f>
        <v>2.5000000000000001E-3</v>
      </c>
      <c r="Z14" s="298">
        <f t="shared" ca="1" si="9"/>
        <v>0.17745414231970405</v>
      </c>
      <c r="AA14" s="298">
        <f ca="1">Z14*equityP</f>
        <v>0.10647248539182243</v>
      </c>
      <c r="AB14" s="298">
        <f ca="1">+AA14/(1-taxrate)</f>
        <v>0.13477529796433219</v>
      </c>
      <c r="AC14" s="298">
        <f>debtP*Debt_Rate</f>
        <v>1.2716825048595141E-2</v>
      </c>
      <c r="AD14" s="298">
        <f ca="1">+AC14+AB14</f>
        <v>0.14749212301292733</v>
      </c>
      <c r="AE14" s="298">
        <f ca="1">+AD14/(S14/100)</f>
        <v>0.11842930258041695</v>
      </c>
      <c r="AF14" s="298">
        <f ca="1">1-AE14</f>
        <v>0.88157069741958305</v>
      </c>
      <c r="AG14" s="299">
        <f ca="1">expenses/(AF14)</f>
        <v>2057444.8448201504</v>
      </c>
      <c r="AH14" s="525">
        <f ca="1">+AG14-Revenue</f>
        <v>240775.54926245264</v>
      </c>
      <c r="AI14" s="300">
        <f ca="1">+AH14/$J$49</f>
        <v>281053.47167748003</v>
      </c>
      <c r="AJ14" s="300">
        <f ca="1">+AI14*$J$47</f>
        <v>6090.8978554354017</v>
      </c>
      <c r="AK14" s="299">
        <f t="shared" ca="1" si="8"/>
        <v>2063535.7426799999</v>
      </c>
    </row>
    <row r="15" spans="1:37" ht="16.5" thickTop="1">
      <c r="A15" s="260"/>
      <c r="B15" s="318" t="s">
        <v>593</v>
      </c>
      <c r="C15" s="540">
        <v>2.5000000000000001E-3</v>
      </c>
      <c r="D15" s="260"/>
      <c r="E15" s="260"/>
      <c r="F15" s="301">
        <f t="shared" si="7"/>
        <v>9</v>
      </c>
      <c r="G15" s="273"/>
      <c r="H15" s="273"/>
      <c r="I15" s="273"/>
      <c r="J15" s="273"/>
      <c r="K15" s="311"/>
      <c r="L15" s="273"/>
      <c r="M15" s="273"/>
      <c r="O15" s="271"/>
      <c r="P15" s="260"/>
      <c r="R15" s="276" t="s">
        <v>590</v>
      </c>
    </row>
    <row r="16" spans="1:37" ht="15.75">
      <c r="A16" s="260"/>
      <c r="B16" s="260"/>
      <c r="C16" s="260"/>
      <c r="D16" s="277" t="s">
        <v>917</v>
      </c>
      <c r="E16" s="260"/>
      <c r="F16" s="301">
        <f t="shared" si="7"/>
        <v>10</v>
      </c>
      <c r="G16" s="273"/>
      <c r="H16" s="293" t="s">
        <v>591</v>
      </c>
      <c r="I16" s="312">
        <f>+I8/I7</f>
        <v>0.99841126350606046</v>
      </c>
      <c r="J16" s="313"/>
      <c r="K16" s="312">
        <f ca="1">+K8/K7</f>
        <v>0.87799000000000005</v>
      </c>
      <c r="L16" s="314"/>
      <c r="M16" s="312">
        <f ca="1">+M8/M7</f>
        <v>0.87836113763140788</v>
      </c>
      <c r="O16" s="271"/>
      <c r="P16" s="260"/>
      <c r="R16" s="305">
        <v>1</v>
      </c>
      <c r="S16" s="306">
        <f ca="1">AK11/Investment*100</f>
        <v>122.9751607384602</v>
      </c>
      <c r="T16" s="289">
        <f ca="1">EXP(y_inter1-(slope*LN(+S16)))</f>
        <v>11.390640388081453</v>
      </c>
      <c r="U16" s="290">
        <f ca="1">(+S16*T16/100)/100</f>
        <v>0.14007658326383135</v>
      </c>
      <c r="V16" s="290">
        <f>regDebt_weighted</f>
        <v>3.5860000000000003E-2</v>
      </c>
      <c r="W16" s="290">
        <f ca="1">+U16-V16</f>
        <v>0.10421658326383135</v>
      </c>
      <c r="X16" s="290">
        <f ca="1">+((W16*(1-0.34))-Pfd_weighted)/Equity_percent</f>
        <v>0.18195623533176941</v>
      </c>
      <c r="Y16" s="290">
        <f>+Y14</f>
        <v>2.5000000000000001E-3</v>
      </c>
      <c r="Z16" s="290">
        <f ca="1">+X16+Y16</f>
        <v>0.18445623533176941</v>
      </c>
      <c r="AA16" s="290">
        <f ca="1">Z16*equityP</f>
        <v>0.11067374119906165</v>
      </c>
      <c r="AB16" s="290">
        <f ca="1">+AA16/(1-taxrate)</f>
        <v>0.14009334328995146</v>
      </c>
      <c r="AC16" s="290">
        <f>debtP*Debt_Rate</f>
        <v>1.2716825048595141E-2</v>
      </c>
      <c r="AD16" s="290">
        <f ca="1">+AC16+AB16</f>
        <v>0.1528101683385466</v>
      </c>
      <c r="AE16" s="290">
        <f ca="1">+AD16/(S16/100)</f>
        <v>0.12426100313342024</v>
      </c>
      <c r="AF16" s="290">
        <f ca="1">1-AE16</f>
        <v>0.87573899686657974</v>
      </c>
      <c r="AG16" s="291">
        <f ca="1">expenses/(AF16)</f>
        <v>2071145.7331924189</v>
      </c>
      <c r="AH16" s="529">
        <f ca="1">+AG16-Revenue</f>
        <v>254476.43763472117</v>
      </c>
      <c r="AI16" s="292">
        <f ca="1">+AH16/$J$49</f>
        <v>297046.30090738798</v>
      </c>
      <c r="AJ16" s="292">
        <f ca="1">+AI16*$J$47</f>
        <v>6437.4891594936325</v>
      </c>
      <c r="AK16" s="291">
        <f ca="1">ROUND(+AJ16+AG16,5)</f>
        <v>2077583.2223499999</v>
      </c>
    </row>
    <row r="17" spans="1:37" ht="15.75">
      <c r="A17" s="260"/>
      <c r="B17" s="548" t="s">
        <v>918</v>
      </c>
      <c r="C17" s="322"/>
      <c r="D17" s="260" t="s">
        <v>919</v>
      </c>
      <c r="E17" s="260"/>
      <c r="F17" s="301">
        <f t="shared" si="7"/>
        <v>11</v>
      </c>
      <c r="G17" s="273"/>
      <c r="H17" s="273"/>
      <c r="I17" s="273"/>
      <c r="K17" s="273"/>
      <c r="L17" s="293"/>
      <c r="M17" s="293"/>
      <c r="N17" s="312"/>
      <c r="O17" s="260"/>
      <c r="P17" s="260"/>
      <c r="R17" s="295">
        <v>2</v>
      </c>
      <c r="S17" s="296">
        <f ca="1">AK12/Investment*100</f>
        <v>122.64035803433551</v>
      </c>
      <c r="T17" s="307">
        <f ca="1">EXP(y_inter2-(slope*LN(+S17)))</f>
        <v>11.249524321549394</v>
      </c>
      <c r="U17" s="298">
        <f ca="1">(+S17*T17/100)/100</f>
        <v>0.13796456905107829</v>
      </c>
      <c r="V17" s="298">
        <f>regDebt_weighted</f>
        <v>3.5860000000000003E-2</v>
      </c>
      <c r="W17" s="298">
        <f ca="1">+U17-V17</f>
        <v>0.10210456905107829</v>
      </c>
      <c r="X17" s="298">
        <f ca="1">+((W17*(1-0.34))-Pfd_weighted)/Equity_percent</f>
        <v>0.17790411503985948</v>
      </c>
      <c r="Y17" s="298">
        <f>+Y16</f>
        <v>2.5000000000000001E-3</v>
      </c>
      <c r="Z17" s="298">
        <f ca="1">+X17+Y17</f>
        <v>0.18040411503985948</v>
      </c>
      <c r="AA17" s="298">
        <f ca="1">Z17*equityP</f>
        <v>0.10824246902391568</v>
      </c>
      <c r="AB17" s="298">
        <f ca="1">+AA17/(1-taxrate)</f>
        <v>0.1370157835745768</v>
      </c>
      <c r="AC17" s="298">
        <f>debtP*Debt_Rate</f>
        <v>1.2716825048595141E-2</v>
      </c>
      <c r="AD17" s="298">
        <f ca="1">+AC17+AB17</f>
        <v>0.14973260862317195</v>
      </c>
      <c r="AE17" s="298">
        <f ca="1">+AD17/(S17/100)</f>
        <v>0.12209081172223213</v>
      </c>
      <c r="AF17" s="298">
        <f ca="1">1-AE17</f>
        <v>0.87790918827776787</v>
      </c>
      <c r="AG17" s="299">
        <f ca="1">expenses/(AF17)</f>
        <v>2066025.8611811569</v>
      </c>
      <c r="AH17" s="525">
        <f ca="1">+AG17-Revenue</f>
        <v>249356.56562345917</v>
      </c>
      <c r="AI17" s="300">
        <f ca="1">+AH17/$J$49</f>
        <v>291069.9556858014</v>
      </c>
      <c r="AJ17" s="300">
        <f ca="1">+AI17*$J$47</f>
        <v>6307.9717830448008</v>
      </c>
      <c r="AK17" s="299">
        <f t="shared" ref="AK17:AK19" ca="1" si="10">ROUND(+AJ17+AG17,5)</f>
        <v>2072333.83296</v>
      </c>
    </row>
    <row r="18" spans="1:37" ht="15.75">
      <c r="A18" s="260"/>
      <c r="B18" s="1554"/>
      <c r="C18" s="1554"/>
      <c r="D18" s="260"/>
      <c r="E18" s="260"/>
      <c r="F18" s="301">
        <f t="shared" si="7"/>
        <v>12</v>
      </c>
      <c r="G18" s="273"/>
      <c r="H18" s="315" t="s">
        <v>592</v>
      </c>
      <c r="I18" s="316"/>
      <c r="J18" s="559"/>
      <c r="K18" s="316"/>
      <c r="L18" s="316"/>
      <c r="M18" s="317"/>
      <c r="O18" s="260"/>
      <c r="P18" s="260"/>
      <c r="R18" s="302">
        <v>3</v>
      </c>
      <c r="S18" s="296">
        <f ca="1">AK13/Investment*100</f>
        <v>122.41583274180454</v>
      </c>
      <c r="T18" s="297">
        <f ca="1">EXP(y_inter3-(slope*LN(S18)))</f>
        <v>11.154116575080044</v>
      </c>
      <c r="U18" s="298">
        <f ca="1">(+S18*T18/100)/100</f>
        <v>0.13654404690375885</v>
      </c>
      <c r="V18" s="298">
        <f>regDebt_weighted</f>
        <v>3.5860000000000003E-2</v>
      </c>
      <c r="W18" s="298">
        <f ca="1">+U18-V18</f>
        <v>0.10068404690375884</v>
      </c>
      <c r="X18" s="298">
        <f ca="1">+((W18*(1-0.34))-Pfd_weighted)/Equity_percent</f>
        <v>0.17517869464093264</v>
      </c>
      <c r="Y18" s="298">
        <f>+Y17</f>
        <v>2.5000000000000001E-3</v>
      </c>
      <c r="Z18" s="298">
        <f t="shared" ref="Z18:Z19" ca="1" si="11">+X18+Y18</f>
        <v>0.17767869464093264</v>
      </c>
      <c r="AA18" s="298">
        <f ca="1">Z18*equityP</f>
        <v>0.10660721678455957</v>
      </c>
      <c r="AB18" s="298">
        <f ca="1">+AA18/(1-taxrate)</f>
        <v>0.13494584403108806</v>
      </c>
      <c r="AC18" s="298">
        <f>debtP*Debt_Rate</f>
        <v>1.2716825048595141E-2</v>
      </c>
      <c r="AD18" s="298">
        <f ca="1">+AC18+AB18</f>
        <v>0.1476626690796832</v>
      </c>
      <c r="AE18" s="298">
        <f ca="1">+AD18/(S18/100)</f>
        <v>0.12062383253245391</v>
      </c>
      <c r="AF18" s="298">
        <f ca="1">1-AE18</f>
        <v>0.8793761674675461</v>
      </c>
      <c r="AG18" s="299">
        <f ca="1">expenses/(AF18)</f>
        <v>2062579.3077538284</v>
      </c>
      <c r="AH18" s="525">
        <f ca="1">+AG18-Revenue</f>
        <v>245910.01219613058</v>
      </c>
      <c r="AI18" s="300">
        <f ca="1">+AH18/$J$49</f>
        <v>287046.84865088918</v>
      </c>
      <c r="AJ18" s="300">
        <f ca="1">+AI18*$J$47</f>
        <v>6220.784338375006</v>
      </c>
      <c r="AK18" s="299">
        <f t="shared" ca="1" si="10"/>
        <v>2068800.0920899999</v>
      </c>
    </row>
    <row r="19" spans="1:37" ht="15.75">
      <c r="A19" s="260"/>
      <c r="B19" s="1555" t="s">
        <v>920</v>
      </c>
      <c r="C19" s="1555"/>
      <c r="D19" s="260"/>
      <c r="E19" s="260"/>
      <c r="F19" s="301">
        <f t="shared" si="7"/>
        <v>13</v>
      </c>
      <c r="G19" s="273"/>
      <c r="H19" s="278"/>
      <c r="I19" s="319" t="s">
        <v>594</v>
      </c>
      <c r="J19" s="308">
        <f>+Revenue</f>
        <v>1816669.2955576978</v>
      </c>
      <c r="K19" s="320"/>
      <c r="L19" s="319" t="s">
        <v>921</v>
      </c>
      <c r="M19" s="321">
        <f ca="1">+J7</f>
        <v>249166.40502024256</v>
      </c>
      <c r="O19" s="260"/>
      <c r="P19" s="260"/>
      <c r="R19" s="303">
        <v>4</v>
      </c>
      <c r="S19" s="296">
        <f ca="1">AK14/Investment*100</f>
        <v>122.2726321173877</v>
      </c>
      <c r="T19" s="309">
        <f ca="1">EXP(y_inter4-(slope*LN(S19)))</f>
        <v>11.092939742528898</v>
      </c>
      <c r="U19" s="298">
        <f ca="1">(+S19*T19/100)/100</f>
        <v>0.13563629402385854</v>
      </c>
      <c r="V19" s="298">
        <f>regDebt_weighted</f>
        <v>3.5860000000000003E-2</v>
      </c>
      <c r="W19" s="298">
        <f ca="1">+U19-V19</f>
        <v>9.9776294023858542E-2</v>
      </c>
      <c r="X19" s="298">
        <f ca="1">+((W19*(1-0.34))-Pfd_weighted)/Equity_percent</f>
        <v>0.17343707574344952</v>
      </c>
      <c r="Y19" s="298">
        <f>+Y18</f>
        <v>2.5000000000000001E-3</v>
      </c>
      <c r="Z19" s="298">
        <f t="shared" ca="1" si="11"/>
        <v>0.17593707574344952</v>
      </c>
      <c r="AA19" s="298">
        <f ca="1">Z19*equityP</f>
        <v>0.10556224544606971</v>
      </c>
      <c r="AB19" s="298">
        <f ca="1">+AA19/(1-taxrate)</f>
        <v>0.13362309550135407</v>
      </c>
      <c r="AC19" s="298">
        <f>debtP*Debt_Rate</f>
        <v>1.2716825048595141E-2</v>
      </c>
      <c r="AD19" s="298">
        <f ca="1">+AC19+AB19</f>
        <v>0.14633992054994921</v>
      </c>
      <c r="AE19" s="298">
        <f ca="1">+AD19/(S19/100)</f>
        <v>0.11968329953791763</v>
      </c>
      <c r="AF19" s="298">
        <f ca="1">1-AE19</f>
        <v>0.88031670046208232</v>
      </c>
      <c r="AG19" s="299">
        <f ca="1">expenses/(AF19)</f>
        <v>2060375.6418552126</v>
      </c>
      <c r="AH19" s="525">
        <f ca="1">+AG19-Revenue</f>
        <v>243706.34629751486</v>
      </c>
      <c r="AI19" s="300">
        <f ca="1">+AH19/$J$49</f>
        <v>284474.54447332455</v>
      </c>
      <c r="AJ19" s="300">
        <f ca="1">+AI19*$J$47</f>
        <v>6165.0382132510467</v>
      </c>
      <c r="AK19" s="299">
        <f t="shared" ca="1" si="10"/>
        <v>2066540.68007</v>
      </c>
    </row>
    <row r="20" spans="1:37" ht="15.75">
      <c r="A20" s="260"/>
      <c r="B20" s="350"/>
      <c r="C20" s="260"/>
      <c r="D20" s="260"/>
      <c r="E20" s="260"/>
      <c r="F20" s="301">
        <f t="shared" si="7"/>
        <v>14</v>
      </c>
      <c r="G20" s="273"/>
      <c r="H20" s="278"/>
      <c r="I20" s="319" t="s">
        <v>595</v>
      </c>
      <c r="J20" s="308">
        <f ca="1">+J21-J19</f>
        <v>255469.56631146674</v>
      </c>
      <c r="K20" s="549"/>
      <c r="L20" s="319" t="s">
        <v>922</v>
      </c>
      <c r="M20" s="321">
        <f ca="1">+L8</f>
        <v>6303.1612912242417</v>
      </c>
      <c r="O20" s="260"/>
      <c r="P20" s="260"/>
      <c r="R20" s="276" t="s">
        <v>596</v>
      </c>
    </row>
    <row r="21" spans="1:37" ht="16.5" thickBot="1">
      <c r="A21" s="260"/>
      <c r="B21" s="350"/>
      <c r="C21" s="350"/>
      <c r="D21" s="260"/>
      <c r="E21" s="260"/>
      <c r="F21" s="301">
        <f t="shared" si="7"/>
        <v>15</v>
      </c>
      <c r="G21" s="273"/>
      <c r="H21" s="278"/>
      <c r="I21" s="323" t="s">
        <v>592</v>
      </c>
      <c r="J21" s="550">
        <f ca="1">+M7</f>
        <v>2072138.8618691645</v>
      </c>
      <c r="K21" s="324"/>
      <c r="L21" s="323" t="s">
        <v>595</v>
      </c>
      <c r="M21" s="530">
        <f ca="1">+M19+M20</f>
        <v>255469.5663114668</v>
      </c>
      <c r="O21" s="260"/>
      <c r="P21" s="260"/>
      <c r="R21" s="305">
        <v>1</v>
      </c>
      <c r="S21" s="306">
        <f ca="1">AK16/Investment*100</f>
        <v>123.10500069639552</v>
      </c>
      <c r="T21" s="289">
        <f ca="1">EXP(y_inter1-(slope*LN(+S21)))</f>
        <v>11.38242553480508</v>
      </c>
      <c r="U21" s="290">
        <f ca="1">(+S21*T21/100)/100</f>
        <v>0.14012335033888496</v>
      </c>
      <c r="V21" s="290">
        <f>regDebt_weighted</f>
        <v>3.5860000000000003E-2</v>
      </c>
      <c r="W21" s="290">
        <f ca="1">+U21-V21</f>
        <v>0.10426335033888495</v>
      </c>
      <c r="X21" s="290">
        <f ca="1">+((W21*(1-0.34))-Pfd_weighted)/Equity_percent</f>
        <v>0.18204596285948857</v>
      </c>
      <c r="Y21" s="290">
        <f>+Y19</f>
        <v>2.5000000000000001E-3</v>
      </c>
      <c r="Z21" s="290">
        <f ca="1">+X21+Y21</f>
        <v>0.18454596285948857</v>
      </c>
      <c r="AA21" s="290">
        <f ca="1">Z21*equityP</f>
        <v>0.11072757771569314</v>
      </c>
      <c r="AB21" s="290">
        <f ca="1">+AA21/(1-taxrate)</f>
        <v>0.14016149077935838</v>
      </c>
      <c r="AC21" s="290">
        <f>debtP*Debt_Rate</f>
        <v>1.2716825048595141E-2</v>
      </c>
      <c r="AD21" s="290">
        <f ca="1">+AC21+AB21</f>
        <v>0.15287831582795353</v>
      </c>
      <c r="AE21" s="290">
        <f ca="1">+AD21/(S21/100)</f>
        <v>0.12418530113572369</v>
      </c>
      <c r="AF21" s="290">
        <f ca="1">1-AE21</f>
        <v>0.87581469886427632</v>
      </c>
      <c r="AG21" s="291">
        <f ca="1">expenses/(AF21)</f>
        <v>2070966.7114544569</v>
      </c>
      <c r="AH21" s="529">
        <f ca="1">+AG21-Revenue</f>
        <v>254297.41589675914</v>
      </c>
      <c r="AI21" s="292">
        <f ca="1">+AH21/$J$49</f>
        <v>296837.33167810331</v>
      </c>
      <c r="AJ21" s="292">
        <f ca="1">+AI21*$J$47</f>
        <v>6432.9604474912321</v>
      </c>
      <c r="AK21" s="291">
        <f ca="1">ROUND(+AJ21+AG21,5)</f>
        <v>2077399.6719</v>
      </c>
    </row>
    <row r="22" spans="1:37" ht="21" customHeight="1" thickTop="1">
      <c r="A22" s="260"/>
      <c r="B22" s="350"/>
      <c r="C22" s="260"/>
      <c r="D22" s="260"/>
      <c r="E22" s="260"/>
      <c r="F22" s="301">
        <f t="shared" si="7"/>
        <v>16</v>
      </c>
      <c r="G22" s="273"/>
      <c r="H22" s="325"/>
      <c r="I22" s="326"/>
      <c r="J22" s="531" t="s">
        <v>923</v>
      </c>
      <c r="K22" s="532">
        <f ca="1">+(J21/J19)-1</f>
        <v>0.14062524584753344</v>
      </c>
      <c r="L22" s="326"/>
      <c r="M22" s="327"/>
      <c r="O22" s="260"/>
      <c r="P22" s="260"/>
      <c r="R22" s="295">
        <v>2</v>
      </c>
      <c r="S22" s="296">
        <f ca="1">AK17/Investment*100</f>
        <v>122.79395366946555</v>
      </c>
      <c r="T22" s="307">
        <f ca="1">EXP(y_inter2-(slope*LN(+S22)))</f>
        <v>11.23990225109516</v>
      </c>
      <c r="U22" s="298">
        <f ca="1">(+S22*T22/100)/100</f>
        <v>0.13801920362703007</v>
      </c>
      <c r="V22" s="298">
        <f>regDebt_weighted</f>
        <v>3.5860000000000003E-2</v>
      </c>
      <c r="W22" s="298">
        <f ca="1">+U22-V22</f>
        <v>0.10215920362703007</v>
      </c>
      <c r="X22" s="298">
        <f ca="1">+((W22*(1-0.34))-Pfd_weighted)/Equity_percent</f>
        <v>0.17800893719139488</v>
      </c>
      <c r="Y22" s="298">
        <f>+Y21</f>
        <v>2.5000000000000001E-3</v>
      </c>
      <c r="Z22" s="298">
        <f ca="1">+X22+Y22</f>
        <v>0.18050893719139488</v>
      </c>
      <c r="AA22" s="298">
        <f ca="1">Z22*equityP</f>
        <v>0.10830536231483692</v>
      </c>
      <c r="AB22" s="298">
        <f ca="1">+AA22/(1-taxrate)</f>
        <v>0.1370953953352366</v>
      </c>
      <c r="AC22" s="298">
        <f>debtP*Debt_Rate</f>
        <v>1.2716825048595141E-2</v>
      </c>
      <c r="AD22" s="298">
        <f ca="1">+AC22+AB22</f>
        <v>0.14981222038383174</v>
      </c>
      <c r="AE22" s="298">
        <f ca="1">+AD22/(S22/100)</f>
        <v>0.12200292922165651</v>
      </c>
      <c r="AF22" s="298">
        <f ca="1">1-AE22</f>
        <v>0.87799707077834355</v>
      </c>
      <c r="AG22" s="299">
        <f ca="1">expenses/(AF22)</f>
        <v>2065819.0637726262</v>
      </c>
      <c r="AH22" s="525">
        <f ca="1">+AG22-Revenue</f>
        <v>249149.76821492845</v>
      </c>
      <c r="AI22" s="300">
        <f ca="1">+AH22/$J$49</f>
        <v>290828.56435773877</v>
      </c>
      <c r="AJ22" s="300">
        <f ca="1">+AI22*$J$47</f>
        <v>6302.7404300440994</v>
      </c>
      <c r="AK22" s="299">
        <f t="shared" ref="AK22:AK24" ca="1" si="12">ROUND(+AJ22+AG22,5)</f>
        <v>2072121.8041999999</v>
      </c>
    </row>
    <row r="23" spans="1:37" ht="15.75">
      <c r="A23" s="260"/>
      <c r="B23" s="533" t="s">
        <v>924</v>
      </c>
      <c r="C23" s="534"/>
      <c r="D23" s="534"/>
      <c r="E23" s="534"/>
      <c r="F23" s="301">
        <f t="shared" si="7"/>
        <v>17</v>
      </c>
      <c r="H23" s="273"/>
      <c r="I23" s="273"/>
      <c r="J23" s="273"/>
      <c r="K23" s="273"/>
      <c r="L23" s="273"/>
      <c r="M23" s="273"/>
      <c r="N23" s="273"/>
      <c r="O23" s="260"/>
      <c r="P23" s="260"/>
      <c r="R23" s="302">
        <v>3</v>
      </c>
      <c r="S23" s="296">
        <f ca="1">AK18/Investment*100</f>
        <v>122.58456558451067</v>
      </c>
      <c r="T23" s="297">
        <f ca="1">EXP(y_inter3-(slope*LN(S23)))</f>
        <v>11.143617763795028</v>
      </c>
      <c r="U23" s="298">
        <f ca="1">(+S23*T23/100)/100</f>
        <v>0.13660355426146498</v>
      </c>
      <c r="V23" s="298">
        <f>regDebt_weighted</f>
        <v>3.5860000000000003E-2</v>
      </c>
      <c r="W23" s="298">
        <f ca="1">+U23-V23</f>
        <v>0.10074355426146497</v>
      </c>
      <c r="X23" s="298">
        <f ca="1">+((W23*(1-0.34))-Pfd_weighted)/Equity_percent</f>
        <v>0.17529286573420605</v>
      </c>
      <c r="Y23" s="298">
        <f>+Y22</f>
        <v>2.5000000000000001E-3</v>
      </c>
      <c r="Z23" s="298">
        <f t="shared" ref="Z23:Z24" ca="1" si="13">+X23+Y23</f>
        <v>0.17779286573420605</v>
      </c>
      <c r="AA23" s="298">
        <f ca="1">Z23*equityP</f>
        <v>0.10667571944052363</v>
      </c>
      <c r="AB23" s="298">
        <f ca="1">+AA23/(1-taxrate)</f>
        <v>0.13503255625382737</v>
      </c>
      <c r="AC23" s="298">
        <f>debtP*Debt_Rate</f>
        <v>1.2716825048595141E-2</v>
      </c>
      <c r="AD23" s="298">
        <f ca="1">+AC23+AB23</f>
        <v>0.14774938130242252</v>
      </c>
      <c r="AE23" s="298">
        <f ca="1">+AD23/(S23/100)</f>
        <v>0.12052853521805161</v>
      </c>
      <c r="AF23" s="298">
        <f ca="1">1-AE23</f>
        <v>0.87947146478194838</v>
      </c>
      <c r="AG23" s="299">
        <f ca="1">expenses/(AF23)</f>
        <v>2062355.8118512984</v>
      </c>
      <c r="AH23" s="525">
        <f ca="1">+AG23-Revenue</f>
        <v>245686.51629360067</v>
      </c>
      <c r="AI23" s="300">
        <f ca="1">+AH23/$J$49</f>
        <v>286785.96543619345</v>
      </c>
      <c r="AJ23" s="300">
        <f ca="1">+AI23*$J$47</f>
        <v>6215.1305636558209</v>
      </c>
      <c r="AK23" s="299">
        <f t="shared" ca="1" si="12"/>
        <v>2068570.9424099999</v>
      </c>
    </row>
    <row r="24" spans="1:37" ht="15.75">
      <c r="A24" s="260"/>
      <c r="B24" s="535" t="s">
        <v>597</v>
      </c>
      <c r="C24" s="534"/>
      <c r="D24" s="534"/>
      <c r="E24" s="534"/>
      <c r="F24" s="301">
        <f t="shared" si="7"/>
        <v>18</v>
      </c>
      <c r="H24" s="328" t="s">
        <v>598</v>
      </c>
      <c r="K24" s="329" t="s">
        <v>599</v>
      </c>
      <c r="L24" s="329"/>
      <c r="M24" s="329"/>
      <c r="N24" s="329"/>
      <c r="O24" s="260"/>
      <c r="P24" s="260"/>
      <c r="R24" s="303">
        <v>4</v>
      </c>
      <c r="S24" s="296">
        <f ca="1">AK19/Investment*100</f>
        <v>122.45068651035214</v>
      </c>
      <c r="T24" s="309">
        <f ca="1">EXP(y_inter4-(slope*LN(S24)))</f>
        <v>11.081909512237942</v>
      </c>
      <c r="U24" s="298">
        <f ca="1">(+S24*T24/100)/100</f>
        <v>0.13569874276191377</v>
      </c>
      <c r="V24" s="298">
        <f>regDebt_weighted</f>
        <v>3.5860000000000003E-2</v>
      </c>
      <c r="W24" s="298">
        <f ca="1">+U24-V24</f>
        <v>9.9838742761913762E-2</v>
      </c>
      <c r="X24" s="298">
        <f ca="1">+((W24*(1-0.34))-Pfd_weighted)/Equity_percent</f>
        <v>0.17355689018274151</v>
      </c>
      <c r="Y24" s="298">
        <f>+Y23</f>
        <v>2.5000000000000001E-3</v>
      </c>
      <c r="Z24" s="298">
        <f t="shared" ca="1" si="13"/>
        <v>0.17605689018274151</v>
      </c>
      <c r="AA24" s="298">
        <f ca="1">Z24*equityP</f>
        <v>0.10563413410964491</v>
      </c>
      <c r="AB24" s="298">
        <f ca="1">+AA24/(1-taxrate)</f>
        <v>0.13371409380967708</v>
      </c>
      <c r="AC24" s="298">
        <f>debtP*Debt_Rate</f>
        <v>1.2716825048595141E-2</v>
      </c>
      <c r="AD24" s="298">
        <f ca="1">+AC24+AB24</f>
        <v>0.14643091885827222</v>
      </c>
      <c r="AE24" s="298">
        <f ca="1">+AD24/(S24/100)</f>
        <v>0.11958358342555538</v>
      </c>
      <c r="AF24" s="298">
        <f ca="1">1-AE24</f>
        <v>0.88041641657444458</v>
      </c>
      <c r="AG24" s="299">
        <f ca="1">expenses/(AF24)</f>
        <v>2060142.2833612729</v>
      </c>
      <c r="AH24" s="525">
        <f ca="1">+AG24-Revenue</f>
        <v>243472.98780357512</v>
      </c>
      <c r="AI24" s="300">
        <f ca="1">+AH24/$J$49</f>
        <v>284202.14881243586</v>
      </c>
      <c r="AJ24" s="300">
        <f ca="1">+AI24*$J$47</f>
        <v>6159.1349446067061</v>
      </c>
      <c r="AK24" s="299">
        <f t="shared" ca="1" si="12"/>
        <v>2066301.4183100001</v>
      </c>
    </row>
    <row r="25" spans="1:37" ht="15.75">
      <c r="A25" s="260"/>
      <c r="B25" s="535" t="s">
        <v>600</v>
      </c>
      <c r="C25" s="534"/>
      <c r="D25" s="534"/>
      <c r="E25" s="534"/>
      <c r="F25" s="301">
        <f t="shared" si="7"/>
        <v>19</v>
      </c>
      <c r="H25" s="330" t="s">
        <v>601</v>
      </c>
      <c r="I25" s="331" t="s">
        <v>602</v>
      </c>
      <c r="J25" s="332" t="s">
        <v>603</v>
      </c>
      <c r="K25" s="330" t="s">
        <v>604</v>
      </c>
      <c r="L25" s="332" t="s">
        <v>605</v>
      </c>
      <c r="M25" s="332" t="s">
        <v>603</v>
      </c>
      <c r="O25" s="260"/>
      <c r="P25" s="260"/>
      <c r="R25" s="276" t="s">
        <v>606</v>
      </c>
      <c r="W25" s="333"/>
      <c r="X25" s="334"/>
      <c r="Y25" s="334"/>
      <c r="Z25" s="334"/>
      <c r="AA25" s="335"/>
      <c r="AB25" s="335"/>
      <c r="AC25" s="334"/>
      <c r="AE25" s="334"/>
      <c r="AF25" s="334"/>
      <c r="AG25" s="335"/>
      <c r="AH25" s="333"/>
    </row>
    <row r="26" spans="1:37" ht="15.75">
      <c r="A26" s="260"/>
      <c r="B26" s="535" t="s">
        <v>925</v>
      </c>
      <c r="C26" s="534"/>
      <c r="D26" s="534"/>
      <c r="E26" s="534"/>
      <c r="F26" s="301">
        <f t="shared" si="7"/>
        <v>20</v>
      </c>
      <c r="H26" s="293" t="s">
        <v>573</v>
      </c>
      <c r="I26" s="336">
        <f>1-I27</f>
        <v>0.6</v>
      </c>
      <c r="J26" s="337">
        <f>+I26*J28</f>
        <v>1012590.8178858395</v>
      </c>
      <c r="K26" s="312">
        <f ca="1">+K34</f>
        <v>0.17990181589130752</v>
      </c>
      <c r="L26" s="336">
        <f ca="1">+K26*I26</f>
        <v>0.10794108953478451</v>
      </c>
      <c r="M26" s="294">
        <f ca="1">+J26*K26</f>
        <v>182166.9268925268</v>
      </c>
      <c r="O26" s="260"/>
      <c r="P26" s="260"/>
      <c r="R26" s="305">
        <v>1</v>
      </c>
      <c r="S26" s="306">
        <f ca="1">AK21/Investment*100</f>
        <v>123.09412460824079</v>
      </c>
      <c r="T26" s="289">
        <f ca="1">EXP(y_inter1-(slope*LN(+S26)))</f>
        <v>11.383113094906227</v>
      </c>
      <c r="U26" s="290">
        <f ca="1">(+S26*T26/100)/100</f>
        <v>0.14011943417340844</v>
      </c>
      <c r="V26" s="290">
        <f>regDebt_weighted</f>
        <v>3.5860000000000003E-2</v>
      </c>
      <c r="W26" s="290">
        <f ca="1">+U26-V26</f>
        <v>0.10425943417340844</v>
      </c>
      <c r="X26" s="290">
        <f ca="1">+((W26*(1-0.34))-Pfd_weighted)/Equity_percent</f>
        <v>0.18203844928619059</v>
      </c>
      <c r="Y26" s="290">
        <f>+Y24</f>
        <v>2.5000000000000001E-3</v>
      </c>
      <c r="Z26" s="290">
        <f ca="1">+X26+Y26</f>
        <v>0.18453844928619059</v>
      </c>
      <c r="AA26" s="290">
        <f ca="1">Z26*equityP</f>
        <v>0.11072306957171435</v>
      </c>
      <c r="AB26" s="290">
        <f ca="1">+AA26/(1-taxrate)</f>
        <v>0.14015578426799283</v>
      </c>
      <c r="AC26" s="290">
        <f>debtP*Debt_Rate</f>
        <v>1.2716825048595141E-2</v>
      </c>
      <c r="AD26" s="290">
        <f ca="1">+AC26+AB26</f>
        <v>0.15287260931658797</v>
      </c>
      <c r="AE26" s="290">
        <f ca="1">+AD26/(S26/100)</f>
        <v>0.12419163774316617</v>
      </c>
      <c r="AF26" s="290">
        <f ca="1">1-AE26</f>
        <v>0.87580836225683378</v>
      </c>
      <c r="AG26" s="291">
        <f ca="1">expenses/(AF26)</f>
        <v>2070981.6952153372</v>
      </c>
      <c r="AH26" s="529">
        <f ca="1">+AG26-Revenue</f>
        <v>254312.39965763944</v>
      </c>
      <c r="AI26" s="292">
        <f ca="1">+AH26/$J$49</f>
        <v>296854.8219840214</v>
      </c>
      <c r="AJ26" s="292">
        <f ca="1">+AI26*$J$47</f>
        <v>6433.3394916146572</v>
      </c>
      <c r="AK26" s="291">
        <f ca="1">ROUND(+AJ26+AG26,5)</f>
        <v>2077415.03471</v>
      </c>
    </row>
    <row r="27" spans="1:37" ht="15.75">
      <c r="A27" s="260"/>
      <c r="B27" s="535" t="s">
        <v>607</v>
      </c>
      <c r="C27" s="534"/>
      <c r="D27" s="534"/>
      <c r="E27" s="534"/>
      <c r="F27" s="301">
        <f t="shared" si="7"/>
        <v>21</v>
      </c>
      <c r="H27" s="293" t="s">
        <v>575</v>
      </c>
      <c r="I27" s="336">
        <f>IF(A64=TRUE,C8,0)</f>
        <v>0.4</v>
      </c>
      <c r="J27" s="338">
        <f>+I27*J28</f>
        <v>675060.54525722645</v>
      </c>
      <c r="K27" s="312">
        <f>IF(A64=TRUE,C9,0)</f>
        <v>3.179206262148785E-2</v>
      </c>
      <c r="L27" s="336">
        <f>+K27*I27</f>
        <v>1.2716825048595141E-2</v>
      </c>
      <c r="M27" s="308">
        <f>+K27*J27</f>
        <v>21461.567128113475</v>
      </c>
      <c r="O27" s="260"/>
      <c r="P27" s="260"/>
      <c r="R27" s="295">
        <v>2</v>
      </c>
      <c r="S27" s="296">
        <f ca="1">AK22/Investment*100</f>
        <v>122.78139012911409</v>
      </c>
      <c r="T27" s="307">
        <f ca="1">EXP(y_inter2-(slope*LN(+S27)))</f>
        <v>11.240688538867348</v>
      </c>
      <c r="U27" s="298">
        <f ca="1">(+S27*T27/100)/100</f>
        <v>0.13801473648105334</v>
      </c>
      <c r="V27" s="298">
        <f>regDebt_weighted</f>
        <v>3.5860000000000003E-2</v>
      </c>
      <c r="W27" s="298">
        <f ca="1">+U27-V27</f>
        <v>0.10215473648105333</v>
      </c>
      <c r="X27" s="298">
        <f ca="1">+((W27*(1-0.34))-Pfd_weighted)/Equity_percent</f>
        <v>0.1780003665043465</v>
      </c>
      <c r="Y27" s="298">
        <f>+Y26</f>
        <v>2.5000000000000001E-3</v>
      </c>
      <c r="Z27" s="298">
        <f ca="1">+X27+Y27</f>
        <v>0.1805003665043465</v>
      </c>
      <c r="AA27" s="298">
        <f ca="1">Z27*equityP</f>
        <v>0.10830021990260789</v>
      </c>
      <c r="AB27" s="298">
        <f ca="1">+AA27/(1-taxrate)</f>
        <v>0.13708888595266822</v>
      </c>
      <c r="AC27" s="298">
        <f>debtP*Debt_Rate</f>
        <v>1.2716825048595141E-2</v>
      </c>
      <c r="AD27" s="298">
        <f ca="1">+AC27+AB27</f>
        <v>0.14980571100126336</v>
      </c>
      <c r="AE27" s="298">
        <f ca="1">+AD27/(S27/100)</f>
        <v>0.12201011150283533</v>
      </c>
      <c r="AF27" s="298">
        <f ca="1">1-AE27</f>
        <v>0.87798988849716464</v>
      </c>
      <c r="AG27" s="299">
        <f ca="1">expenses/(AF27)</f>
        <v>2065835.9629346498</v>
      </c>
      <c r="AH27" s="525">
        <f ca="1">+AG27-Revenue</f>
        <v>249166.66737695201</v>
      </c>
      <c r="AI27" s="300">
        <f ca="1">+AH27/$J$49</f>
        <v>290848.29048096726</v>
      </c>
      <c r="AJ27" s="300">
        <f ca="1">+AI27*$J$47</f>
        <v>6303.1679280605849</v>
      </c>
      <c r="AK27" s="299">
        <f t="shared" ref="AK27:AK29" ca="1" si="14">ROUND(+AJ27+AG27,5)</f>
        <v>2072139.1308599999</v>
      </c>
    </row>
    <row r="28" spans="1:37" ht="16.5" thickBot="1">
      <c r="A28" s="260"/>
      <c r="B28" s="260"/>
      <c r="C28" s="260"/>
      <c r="D28" s="260"/>
      <c r="E28" s="260"/>
      <c r="F28" s="301">
        <f t="shared" si="7"/>
        <v>22</v>
      </c>
      <c r="H28" s="293" t="s">
        <v>13</v>
      </c>
      <c r="I28" s="336">
        <f>SUM(I26:I27)</f>
        <v>1</v>
      </c>
      <c r="J28" s="339">
        <f>IF(A64=TRUE,C7,0)</f>
        <v>1687651.3631430659</v>
      </c>
      <c r="K28" s="340"/>
      <c r="L28" s="341">
        <f ca="1">SUM(L26:L27)</f>
        <v>0.12065791458337966</v>
      </c>
      <c r="M28" s="339">
        <f ca="1">SUM(M26:M27)</f>
        <v>203628.49402064027</v>
      </c>
      <c r="O28" s="260"/>
      <c r="P28" s="260"/>
      <c r="R28" s="302">
        <v>3</v>
      </c>
      <c r="S28" s="296">
        <f ca="1">AK23/Investment*100</f>
        <v>122.57098756211786</v>
      </c>
      <c r="T28" s="297">
        <f ca="1">EXP(y_inter3-(slope*LN(S28)))</f>
        <v>11.144461708429548</v>
      </c>
      <c r="U28" s="298">
        <f ca="1">(+S28*T28/100)/100</f>
        <v>0.13659876774504168</v>
      </c>
      <c r="V28" s="298">
        <f>regDebt_weighted</f>
        <v>3.5860000000000003E-2</v>
      </c>
      <c r="W28" s="298">
        <f ca="1">+U28-V28</f>
        <v>0.10073876774504167</v>
      </c>
      <c r="X28" s="298">
        <f ca="1">+((W28*(1-0.34))-Pfd_weighted)/Equity_percent</f>
        <v>0.17528368230153343</v>
      </c>
      <c r="Y28" s="298">
        <f>+Y27</f>
        <v>2.5000000000000001E-3</v>
      </c>
      <c r="Z28" s="298">
        <f t="shared" ref="Z28:Z29" ca="1" si="15">+X28+Y28</f>
        <v>0.17778368230153344</v>
      </c>
      <c r="AA28" s="298">
        <f ca="1">Z28*equityP</f>
        <v>0.10667020938092006</v>
      </c>
      <c r="AB28" s="298">
        <f ca="1">+AA28/(1-taxrate)</f>
        <v>0.13502558149483551</v>
      </c>
      <c r="AC28" s="298">
        <f>debtP*Debt_Rate</f>
        <v>1.2716825048595141E-2</v>
      </c>
      <c r="AD28" s="298">
        <f ca="1">+AC28+AB28</f>
        <v>0.14774240654343065</v>
      </c>
      <c r="AE28" s="298">
        <f ca="1">+AD28/(S28/100)</f>
        <v>0.12053619660081155</v>
      </c>
      <c r="AF28" s="298">
        <f ca="1">1-AE28</f>
        <v>0.87946380339918839</v>
      </c>
      <c r="AG28" s="299">
        <f ca="1">expenses/(AF28)</f>
        <v>2062373.7779087995</v>
      </c>
      <c r="AH28" s="525">
        <f ca="1">+AG28-Revenue</f>
        <v>245704.4823511017</v>
      </c>
      <c r="AI28" s="300">
        <f ca="1">+AH28/$J$49</f>
        <v>286806.93692955514</v>
      </c>
      <c r="AJ28" s="300">
        <f ca="1">+AI28*$J$47</f>
        <v>6215.5850509218199</v>
      </c>
      <c r="AK28" s="299">
        <f t="shared" ca="1" si="14"/>
        <v>2068589.3629600001</v>
      </c>
    </row>
    <row r="29" spans="1:37" ht="16.5" thickTop="1">
      <c r="A29" s="260"/>
      <c r="B29" s="260"/>
      <c r="C29" s="260"/>
      <c r="D29" s="260"/>
      <c r="E29" s="260"/>
      <c r="F29" s="301">
        <f t="shared" si="7"/>
        <v>23</v>
      </c>
      <c r="G29" s="273"/>
      <c r="H29" s="273"/>
      <c r="I29" s="273"/>
      <c r="J29" s="273"/>
      <c r="K29" s="273"/>
      <c r="L29" s="273"/>
      <c r="M29" s="273"/>
      <c r="N29" s="273"/>
      <c r="O29" s="260"/>
      <c r="P29" s="260"/>
      <c r="R29" s="303">
        <v>4</v>
      </c>
      <c r="S29" s="296">
        <f ca="1">AK24/Investment*100</f>
        <v>122.43650930733348</v>
      </c>
      <c r="T29" s="309">
        <f ca="1">EXP(y_inter4-(slope*LN(S29)))</f>
        <v>11.082786781249258</v>
      </c>
      <c r="U29" s="298">
        <f ca="1">(+S29*T29/100)/100</f>
        <v>0.13569377268936172</v>
      </c>
      <c r="V29" s="298">
        <f>regDebt_weighted</f>
        <v>3.5860000000000003E-2</v>
      </c>
      <c r="W29" s="298">
        <f ca="1">+U29-V29</f>
        <v>9.9833772689361722E-2</v>
      </c>
      <c r="X29" s="298">
        <f ca="1">+((W29*(1-0.34))-Pfd_weighted)/Equity_percent</f>
        <v>0.17354735457842654</v>
      </c>
      <c r="Y29" s="298">
        <f>+Y28</f>
        <v>2.5000000000000001E-3</v>
      </c>
      <c r="Z29" s="298">
        <f t="shared" ca="1" si="15"/>
        <v>0.17604735457842655</v>
      </c>
      <c r="AA29" s="298">
        <f ca="1">Z29*equityP</f>
        <v>0.10562841274705592</v>
      </c>
      <c r="AB29" s="298">
        <f ca="1">+AA29/(1-taxrate)</f>
        <v>0.13370685157855181</v>
      </c>
      <c r="AC29" s="298">
        <f>debtP*Debt_Rate</f>
        <v>1.2716825048595141E-2</v>
      </c>
      <c r="AD29" s="298">
        <f ca="1">+AC29+AB29</f>
        <v>0.14642367662714695</v>
      </c>
      <c r="AE29" s="298">
        <f ca="1">+AD29/(S29/100)</f>
        <v>0.11959151519062193</v>
      </c>
      <c r="AF29" s="298">
        <f ca="1">1-AE29</f>
        <v>0.88040848480937806</v>
      </c>
      <c r="AG29" s="299">
        <f ca="1">expenses/(AF29)</f>
        <v>2060160.843569264</v>
      </c>
      <c r="AH29" s="525">
        <f ca="1">+AG29-Revenue</f>
        <v>243491.54801156628</v>
      </c>
      <c r="AI29" s="300">
        <f ca="1">+AH29/$J$49</f>
        <v>284223.81384822103</v>
      </c>
      <c r="AJ29" s="300">
        <f ca="1">+AI29*$J$47</f>
        <v>6159.6044620946568</v>
      </c>
      <c r="AK29" s="299">
        <f t="shared" ca="1" si="14"/>
        <v>2066320.4480300001</v>
      </c>
    </row>
    <row r="30" spans="1:37" ht="15.75">
      <c r="A30" s="260"/>
      <c r="B30" s="260"/>
      <c r="C30" s="260"/>
      <c r="D30" s="342"/>
      <c r="E30" s="260"/>
      <c r="F30" s="301">
        <f t="shared" si="7"/>
        <v>24</v>
      </c>
      <c r="G30" s="273"/>
      <c r="H30" s="273"/>
      <c r="I30" s="273"/>
      <c r="J30" s="343" t="s">
        <v>608</v>
      </c>
      <c r="K30" s="343" t="s">
        <v>609</v>
      </c>
      <c r="L30" s="273"/>
      <c r="M30" s="273"/>
      <c r="N30" s="273"/>
      <c r="O30" s="260"/>
      <c r="P30" s="260"/>
      <c r="R30" s="276" t="s">
        <v>610</v>
      </c>
      <c r="W30" s="333"/>
      <c r="X30" s="334"/>
      <c r="Z30" s="334"/>
      <c r="AA30" s="335"/>
      <c r="AB30" s="335"/>
      <c r="AC30" s="334"/>
      <c r="AE30" s="334"/>
      <c r="AF30" s="334"/>
      <c r="AG30" s="335"/>
      <c r="AH30" s="333"/>
      <c r="AJ30" s="335"/>
    </row>
    <row r="31" spans="1:37" ht="15.75">
      <c r="A31" s="260"/>
      <c r="B31" s="260"/>
      <c r="C31" s="260"/>
      <c r="D31" s="342"/>
      <c r="E31" s="260"/>
      <c r="F31" s="301">
        <f t="shared" si="7"/>
        <v>25</v>
      </c>
      <c r="G31" s="273"/>
      <c r="H31" s="344" t="s">
        <v>611</v>
      </c>
      <c r="I31" s="345"/>
      <c r="J31" s="346" t="s">
        <v>612</v>
      </c>
      <c r="K31" s="346" t="s">
        <v>612</v>
      </c>
      <c r="L31" s="1556"/>
      <c r="M31" s="1556"/>
      <c r="N31" s="1556"/>
      <c r="O31" s="260"/>
      <c r="P31" s="260"/>
      <c r="R31" s="305">
        <v>1</v>
      </c>
      <c r="S31" s="306">
        <f ca="1">AK26/Investment*100</f>
        <v>123.09503491533003</v>
      </c>
      <c r="T31" s="289">
        <f ca="1">EXP(y_inter1-(slope*LN(+S31)))</f>
        <v>11.383055543562129</v>
      </c>
      <c r="U31" s="290">
        <f ca="1">(+S31*T31/100)/100</f>
        <v>0.14011976195779213</v>
      </c>
      <c r="V31" s="290">
        <f>regDebt_weighted</f>
        <v>3.5860000000000003E-2</v>
      </c>
      <c r="W31" s="290">
        <f ca="1">+U31-V31</f>
        <v>0.10425976195779213</v>
      </c>
      <c r="X31" s="290">
        <f ca="1">+((W31*(1-0.34))-Pfd_weighted)/Equity_percent</f>
        <v>0.1820390781748337</v>
      </c>
      <c r="Y31" s="290">
        <f>+Y29</f>
        <v>2.5000000000000001E-3</v>
      </c>
      <c r="Z31" s="290">
        <f ca="1">+X31+Y31</f>
        <v>0.1845390781748337</v>
      </c>
      <c r="AA31" s="290">
        <f ca="1">Z31*equityP</f>
        <v>0.11072344690490021</v>
      </c>
      <c r="AB31" s="290">
        <f ca="1">+AA31/(1-taxrate)</f>
        <v>0.14015626190493696</v>
      </c>
      <c r="AC31" s="290">
        <f>debtP*Debt_Rate</f>
        <v>1.2716825048595141E-2</v>
      </c>
      <c r="AD31" s="290">
        <f ca="1">+AC31+AB31</f>
        <v>0.15287308695353211</v>
      </c>
      <c r="AE31" s="290">
        <f ca="1">+AD31/(S31/100)</f>
        <v>0.12419110734944321</v>
      </c>
      <c r="AF31" s="290">
        <f ca="1">1-AE31</f>
        <v>0.87580889265055684</v>
      </c>
      <c r="AG31" s="291">
        <f ca="1">expenses/(AF31)</f>
        <v>2070980.4410197006</v>
      </c>
      <c r="AH31" s="529">
        <f ca="1">+AG31-Revenue</f>
        <v>254311.14546200284</v>
      </c>
      <c r="AI31" s="292">
        <f ca="1">+AH31/$J$49</f>
        <v>296853.35798138945</v>
      </c>
      <c r="AJ31" s="292">
        <f ca="1">+AI31*$J$47</f>
        <v>6433.3077642339631</v>
      </c>
      <c r="AK31" s="291">
        <f ca="1">ROUND(+AJ31+AG31,5)</f>
        <v>2077413.74878</v>
      </c>
    </row>
    <row r="32" spans="1:37" ht="15.75">
      <c r="A32" s="260"/>
      <c r="B32" s="260"/>
      <c r="C32" s="260"/>
      <c r="D32" s="347"/>
      <c r="E32" s="260"/>
      <c r="F32" s="301">
        <f t="shared" si="7"/>
        <v>26</v>
      </c>
      <c r="G32" s="273"/>
      <c r="H32" s="282"/>
      <c r="I32" s="282"/>
      <c r="J32" s="282"/>
      <c r="K32" s="282"/>
      <c r="L32" s="273"/>
      <c r="M32" s="273"/>
      <c r="N32" s="273"/>
      <c r="O32" s="260"/>
      <c r="P32" s="260"/>
      <c r="R32" s="295">
        <v>2</v>
      </c>
      <c r="S32" s="296">
        <f ca="1">AK27/Investment*100</f>
        <v>122.78241680206199</v>
      </c>
      <c r="T32" s="307">
        <f ca="1">EXP(y_inter2-(slope*LN(+S32)))</f>
        <v>11.240624279572852</v>
      </c>
      <c r="U32" s="298">
        <f ca="1">(+S32*T32/100)/100</f>
        <v>0.13801510154098917</v>
      </c>
      <c r="V32" s="298">
        <f>regDebt_weighted</f>
        <v>3.5860000000000003E-2</v>
      </c>
      <c r="W32" s="298">
        <f ca="1">+U32-V32</f>
        <v>0.10215510154098917</v>
      </c>
      <c r="X32" s="298">
        <f ca="1">+((W32*(1-0.34))-Pfd_weighted)/Equity_percent</f>
        <v>0.17800106691003734</v>
      </c>
      <c r="Y32" s="298">
        <f>+Y31</f>
        <v>2.5000000000000001E-3</v>
      </c>
      <c r="Z32" s="298">
        <f ca="1">+X32+Y32</f>
        <v>0.18050106691003734</v>
      </c>
      <c r="AA32" s="298">
        <f ca="1">Z32*equityP</f>
        <v>0.10830064014602241</v>
      </c>
      <c r="AB32" s="298">
        <f ca="1">+AA32/(1-taxrate)</f>
        <v>0.13708941790635748</v>
      </c>
      <c r="AC32" s="298">
        <f>debtP*Debt_Rate</f>
        <v>1.2716825048595141E-2</v>
      </c>
      <c r="AD32" s="298">
        <f ca="1">+AC32+AB32</f>
        <v>0.14980624295495262</v>
      </c>
      <c r="AE32" s="298">
        <f ca="1">+AD32/(S32/100)</f>
        <v>0.12200952453677129</v>
      </c>
      <c r="AF32" s="298">
        <f ca="1">1-AE32</f>
        <v>0.87799047546322873</v>
      </c>
      <c r="AG32" s="299">
        <f ca="1">expenses/(AF32)</f>
        <v>2065834.5818540594</v>
      </c>
      <c r="AH32" s="525">
        <f ca="1">+AG32-Revenue</f>
        <v>249165.28629636159</v>
      </c>
      <c r="AI32" s="300">
        <f ca="1">+AH32/$J$49</f>
        <v>290846.67836754548</v>
      </c>
      <c r="AJ32" s="300">
        <f ca="1">+AI32*$J$47</f>
        <v>6303.1329908718544</v>
      </c>
      <c r="AK32" s="299">
        <f t="shared" ref="AK32:AK34" ca="1" si="16">ROUND(+AJ32+AG32,5)</f>
        <v>2072137.71484</v>
      </c>
    </row>
    <row r="33" spans="1:48" ht="15.75">
      <c r="A33" s="260"/>
      <c r="B33" s="260"/>
      <c r="C33" s="260"/>
      <c r="D33" s="260"/>
      <c r="E33" s="260"/>
      <c r="F33" s="301">
        <f t="shared" si="7"/>
        <v>27</v>
      </c>
      <c r="G33" s="273"/>
      <c r="H33" s="282" t="s">
        <v>613</v>
      </c>
      <c r="I33" s="282"/>
      <c r="J33" s="348">
        <f ca="1">+K9/J28</f>
        <v>0.14935111559895525</v>
      </c>
      <c r="K33" s="348">
        <f ca="1">+(M14+M11)/J28</f>
        <v>0.12065791458337964</v>
      </c>
      <c r="L33" s="293"/>
      <c r="M33" s="293"/>
      <c r="N33" s="294"/>
      <c r="O33" s="260"/>
      <c r="P33" s="260"/>
      <c r="R33" s="302">
        <v>3</v>
      </c>
      <c r="S33" s="296">
        <f ca="1">AK28/Investment*100</f>
        <v>122.57207905236298</v>
      </c>
      <c r="T33" s="297">
        <f ca="1">EXP(y_inter3-(slope*LN(S33)))</f>
        <v>11.144393860822142</v>
      </c>
      <c r="U33" s="298">
        <f ca="1">(+S33*T33/100)/100</f>
        <v>0.13659915252993604</v>
      </c>
      <c r="V33" s="298">
        <f>regDebt_weighted</f>
        <v>3.5860000000000003E-2</v>
      </c>
      <c r="W33" s="298">
        <f ca="1">+U33-V33</f>
        <v>0.10073915252993604</v>
      </c>
      <c r="X33" s="298">
        <f ca="1">+((W33*(1-0.34))-Pfd_weighted)/Equity_percent</f>
        <v>0.17528442055162147</v>
      </c>
      <c r="Y33" s="298">
        <f>+Y32</f>
        <v>2.5000000000000001E-3</v>
      </c>
      <c r="Z33" s="298">
        <f t="shared" ref="Z33:Z34" ca="1" si="17">+X33+Y33</f>
        <v>0.17778442055162147</v>
      </c>
      <c r="AA33" s="298">
        <f ca="1">Z33*equityP</f>
        <v>0.10667065233097288</v>
      </c>
      <c r="AB33" s="298">
        <f ca="1">+AA33/(1-taxrate)</f>
        <v>0.1350261421911049</v>
      </c>
      <c r="AC33" s="298">
        <f>debtP*Debt_Rate</f>
        <v>1.2716825048595141E-2</v>
      </c>
      <c r="AD33" s="298">
        <f ca="1">+AC33+AB33</f>
        <v>0.14774296723970004</v>
      </c>
      <c r="AE33" s="298">
        <f ca="1">+AD33/(S33/100)</f>
        <v>0.12053558068194635</v>
      </c>
      <c r="AF33" s="298">
        <f ca="1">1-AE33</f>
        <v>0.87946441931805364</v>
      </c>
      <c r="AG33" s="299">
        <f ca="1">expenses/(AF33)</f>
        <v>2062372.3335582505</v>
      </c>
      <c r="AH33" s="525">
        <f ca="1">+AG33-Revenue</f>
        <v>245703.03800055268</v>
      </c>
      <c r="AI33" s="300">
        <f ca="1">+AH33/$J$49</f>
        <v>286805.25096211635</v>
      </c>
      <c r="AJ33" s="300">
        <f ca="1">+AI33*$J$47</f>
        <v>6215.5485131932655</v>
      </c>
      <c r="AK33" s="299">
        <f t="shared" ca="1" si="16"/>
        <v>2068587.8820700001</v>
      </c>
    </row>
    <row r="34" spans="1:48" ht="15.75">
      <c r="A34" s="260"/>
      <c r="B34" s="260"/>
      <c r="C34" s="260"/>
      <c r="D34" s="260"/>
      <c r="E34" s="260"/>
      <c r="F34" s="301">
        <f t="shared" si="7"/>
        <v>28</v>
      </c>
      <c r="G34" s="273"/>
      <c r="H34" s="282" t="s">
        <v>614</v>
      </c>
      <c r="I34" s="282"/>
      <c r="J34" s="348">
        <f ca="1">+(M9-M11)/J26</f>
        <v>0.22772381758393356</v>
      </c>
      <c r="K34" s="348">
        <f ca="1">+M14/J26</f>
        <v>0.17990181589130752</v>
      </c>
      <c r="L34" s="293"/>
      <c r="M34" s="293"/>
      <c r="N34" s="294"/>
      <c r="O34" s="349"/>
      <c r="P34" s="260"/>
      <c r="R34" s="303">
        <v>4</v>
      </c>
      <c r="S34" s="296">
        <f ca="1">AK29/Investment*100</f>
        <v>122.43763689330387</v>
      </c>
      <c r="T34" s="309">
        <f ca="1">EXP(y_inter4-(slope*LN(S34)))</f>
        <v>11.082717001266383</v>
      </c>
      <c r="U34" s="298">
        <f ca="1">(+S34*T34/100)/100</f>
        <v>0.1356941679992299</v>
      </c>
      <c r="V34" s="298">
        <f>regDebt_weighted</f>
        <v>3.5860000000000003E-2</v>
      </c>
      <c r="W34" s="298">
        <f ca="1">+U34-V34</f>
        <v>9.9834167999229895E-2</v>
      </c>
      <c r="X34" s="298">
        <f ca="1">+((W34*(1-0.34))-Pfd_weighted)/Equity_percent</f>
        <v>0.17354811302177828</v>
      </c>
      <c r="Y34" s="298">
        <f>+Y33</f>
        <v>2.5000000000000001E-3</v>
      </c>
      <c r="Z34" s="298">
        <f t="shared" ca="1" si="17"/>
        <v>0.17604811302177828</v>
      </c>
      <c r="AA34" s="298">
        <f ca="1">Z34*equityP</f>
        <v>0.10562886781306696</v>
      </c>
      <c r="AB34" s="298">
        <f ca="1">+AA34/(1-taxrate)</f>
        <v>0.13370742761147716</v>
      </c>
      <c r="AC34" s="298">
        <f>debtP*Debt_Rate</f>
        <v>1.2716825048595141E-2</v>
      </c>
      <c r="AD34" s="298">
        <f ca="1">+AC34+AB34</f>
        <v>0.14642425266007231</v>
      </c>
      <c r="AE34" s="298">
        <f ca="1">+AD34/(S34/100)</f>
        <v>0.11959088428639893</v>
      </c>
      <c r="AF34" s="298">
        <f ca="1">1-AE34</f>
        <v>0.88040911571360103</v>
      </c>
      <c r="AG34" s="299">
        <f ca="1">expenses/(AF34)</f>
        <v>2060159.3672508649</v>
      </c>
      <c r="AH34" s="525">
        <f ca="1">+AG34-Revenue</f>
        <v>243490.07169316709</v>
      </c>
      <c r="AI34" s="300">
        <f ca="1">+AH34/$J$49</f>
        <v>284222.09056521882</v>
      </c>
      <c r="AJ34" s="300">
        <f ca="1">+AI34*$J$47</f>
        <v>6159.5671156755579</v>
      </c>
      <c r="AK34" s="299">
        <f t="shared" ca="1" si="16"/>
        <v>2066318.9343699999</v>
      </c>
    </row>
    <row r="35" spans="1:48" ht="15.75">
      <c r="A35" s="260"/>
      <c r="B35" s="260"/>
      <c r="C35" s="260"/>
      <c r="D35" s="260"/>
      <c r="E35" s="260"/>
      <c r="F35" s="301">
        <f t="shared" si="7"/>
        <v>29</v>
      </c>
      <c r="G35" s="273"/>
      <c r="H35" s="351" t="s">
        <v>164</v>
      </c>
      <c r="I35" s="282"/>
      <c r="J35" s="348">
        <f ca="1">+K8/K7</f>
        <v>0.87799000000000005</v>
      </c>
      <c r="K35" s="348">
        <f ca="1">+M8/M7</f>
        <v>0.87836113763140788</v>
      </c>
      <c r="L35" s="293"/>
      <c r="M35" s="293"/>
      <c r="N35" s="294"/>
      <c r="O35" s="260"/>
      <c r="P35" s="260"/>
      <c r="R35" s="276" t="s">
        <v>615</v>
      </c>
      <c r="X35" s="334"/>
      <c r="Y35" s="334"/>
      <c r="Z35" s="334"/>
      <c r="AA35" s="352"/>
      <c r="AB35" s="335"/>
      <c r="AC35" s="334"/>
      <c r="AE35" s="334"/>
      <c r="AF35" s="334"/>
      <c r="AG35" s="335"/>
      <c r="AH35" s="333"/>
      <c r="AJ35" s="335"/>
    </row>
    <row r="36" spans="1:48" ht="15.75">
      <c r="A36" s="260"/>
      <c r="B36" s="260"/>
      <c r="C36" s="260"/>
      <c r="D36" s="260"/>
      <c r="E36" s="260"/>
      <c r="F36" s="301">
        <f t="shared" si="7"/>
        <v>30</v>
      </c>
      <c r="G36" s="273"/>
      <c r="H36" s="282" t="s">
        <v>616</v>
      </c>
      <c r="I36" s="282"/>
      <c r="J36" s="348">
        <f ca="1">+K9/K7</f>
        <v>0.12200999999999998</v>
      </c>
      <c r="K36" s="348">
        <f ca="1">+J36</f>
        <v>0.12200999999999998</v>
      </c>
      <c r="L36" s="273"/>
      <c r="M36" s="273"/>
      <c r="N36" s="294"/>
      <c r="O36" s="260"/>
      <c r="P36" s="260"/>
      <c r="R36" s="305">
        <v>1</v>
      </c>
      <c r="S36" s="306">
        <f ca="1">AK31/Investment*100</f>
        <v>123.09495871890532</v>
      </c>
      <c r="T36" s="289">
        <f ca="1">EXP(y_inter1-(slope*LN(+S36)))</f>
        <v>11.383060360817421</v>
      </c>
      <c r="U36" s="290">
        <f ca="1">(+S36*T36/100)/100</f>
        <v>0.14011973452096277</v>
      </c>
      <c r="V36" s="290">
        <f>regDebt_weighted</f>
        <v>3.5860000000000003E-2</v>
      </c>
      <c r="W36" s="290">
        <f ca="1">+U36-V36</f>
        <v>0.10425973452096277</v>
      </c>
      <c r="X36" s="290">
        <f ca="1">+((W36*(1-0.34))-Pfd_weighted)/Equity_percent</f>
        <v>0.18203902553440532</v>
      </c>
      <c r="Y36" s="290">
        <f>+Y34</f>
        <v>2.5000000000000001E-3</v>
      </c>
      <c r="Z36" s="290">
        <f ca="1">+X36+Y36</f>
        <v>0.18453902553440532</v>
      </c>
      <c r="AA36" s="290">
        <f ca="1">Z36*equityP</f>
        <v>0.11072341532064318</v>
      </c>
      <c r="AB36" s="290">
        <f ca="1">+AA36/(1-taxrate)</f>
        <v>0.14015622192486479</v>
      </c>
      <c r="AC36" s="290">
        <f>debtP*Debt_Rate</f>
        <v>1.2716825048595141E-2</v>
      </c>
      <c r="AD36" s="290">
        <f ca="1">+AC36+AB36</f>
        <v>0.15287304697345994</v>
      </c>
      <c r="AE36" s="290">
        <f ca="1">+AD36/(S36/100)</f>
        <v>0.12419115174534048</v>
      </c>
      <c r="AF36" s="290">
        <f ca="1">1-AE36</f>
        <v>0.87580884825465954</v>
      </c>
      <c r="AG36" s="291">
        <f ca="1">expenses/(AF36)</f>
        <v>2070980.546000411</v>
      </c>
      <c r="AH36" s="529">
        <f ca="1">+AG36-Revenue</f>
        <v>254311.25044271327</v>
      </c>
      <c r="AI36" s="292">
        <f ca="1">+AH36/$J$49</f>
        <v>296853.48052370414</v>
      </c>
      <c r="AJ36" s="292">
        <f ca="1">+AI36*$J$47</f>
        <v>6433.3104199304653</v>
      </c>
      <c r="AK36" s="291">
        <f ca="1">ROUND(+AJ36+AG36,5)</f>
        <v>2077413.8564200001</v>
      </c>
    </row>
    <row r="37" spans="1:48" ht="15.75">
      <c r="A37" s="260"/>
      <c r="B37" s="260"/>
      <c r="C37" s="260"/>
      <c r="D37" s="271"/>
      <c r="E37" s="260"/>
      <c r="F37" s="301">
        <f t="shared" si="7"/>
        <v>31</v>
      </c>
      <c r="G37" s="273"/>
      <c r="H37" s="282" t="s">
        <v>617</v>
      </c>
      <c r="I37" s="353"/>
      <c r="J37" s="354">
        <f ca="1">+S39/100</f>
        <v>1.2243754720297841</v>
      </c>
      <c r="K37" s="354">
        <f ca="1">+J37</f>
        <v>1.2243754720297841</v>
      </c>
      <c r="L37" s="273"/>
      <c r="M37" s="273"/>
      <c r="N37" s="273"/>
      <c r="O37" s="260"/>
      <c r="P37" s="260"/>
      <c r="R37" s="295">
        <v>2</v>
      </c>
      <c r="S37" s="296">
        <f ca="1">AK32/Investment*100</f>
        <v>122.78233289729168</v>
      </c>
      <c r="T37" s="307">
        <f ca="1">EXP(y_inter2-(slope*LN(+S37)))</f>
        <v>11.24062953112497</v>
      </c>
      <c r="U37" s="298">
        <f ca="1">(+S37*T37/100)/100</f>
        <v>0.13801507170657137</v>
      </c>
      <c r="V37" s="298">
        <f>regDebt_weighted</f>
        <v>3.5860000000000003E-2</v>
      </c>
      <c r="W37" s="298">
        <f ca="1">+U37-V37</f>
        <v>0.10215507170657137</v>
      </c>
      <c r="X37" s="298">
        <f ca="1">+((W37*(1-0.34))-Pfd_weighted)/Equity_percent</f>
        <v>0.17800100966958457</v>
      </c>
      <c r="Y37" s="298">
        <f>+Y36</f>
        <v>2.5000000000000001E-3</v>
      </c>
      <c r="Z37" s="298">
        <f ca="1">+X37+Y37</f>
        <v>0.18050100966958457</v>
      </c>
      <c r="AA37" s="298">
        <f ca="1">Z37*equityP</f>
        <v>0.10830060580175074</v>
      </c>
      <c r="AB37" s="298">
        <f ca="1">+AA37/(1-taxrate)</f>
        <v>0.13708937443259586</v>
      </c>
      <c r="AC37" s="298">
        <f>debtP*Debt_Rate</f>
        <v>1.2716825048595141E-2</v>
      </c>
      <c r="AD37" s="298">
        <f ca="1">+AC37+AB37</f>
        <v>0.149806199481191</v>
      </c>
      <c r="AE37" s="298">
        <f ca="1">+AD37/(S37/100)</f>
        <v>0.1220095725062538</v>
      </c>
      <c r="AF37" s="298">
        <f ca="1">1-AE37</f>
        <v>0.87799042749374623</v>
      </c>
      <c r="AG37" s="299">
        <f ca="1">expenses/(AF37)</f>
        <v>2065834.6947220506</v>
      </c>
      <c r="AH37" s="525">
        <f ca="1">+AG37-Revenue</f>
        <v>249165.3991643528</v>
      </c>
      <c r="AI37" s="300">
        <f ca="1">+AH37/$J$49</f>
        <v>290846.81011655764</v>
      </c>
      <c r="AJ37" s="300">
        <f ca="1">+AI37*$J$47</f>
        <v>6303.1358460928586</v>
      </c>
      <c r="AK37" s="299">
        <f t="shared" ref="AK37:AK39" ca="1" si="18">ROUND(+AJ37+AG37,5)</f>
        <v>2072137.83057</v>
      </c>
    </row>
    <row r="38" spans="1:48" ht="15.75">
      <c r="A38" s="260"/>
      <c r="B38" s="260"/>
      <c r="C38" s="260"/>
      <c r="D38" s="271"/>
      <c r="E38" s="260"/>
      <c r="F38" s="301">
        <f t="shared" si="7"/>
        <v>32</v>
      </c>
      <c r="G38" s="273"/>
      <c r="H38" s="282" t="s">
        <v>333</v>
      </c>
      <c r="I38" s="273"/>
      <c r="J38" s="348">
        <f>+C10</f>
        <v>0.21</v>
      </c>
      <c r="K38" s="348">
        <f>+J38</f>
        <v>0.21</v>
      </c>
      <c r="L38" s="273"/>
      <c r="M38" s="273"/>
      <c r="N38" s="273"/>
      <c r="O38" s="260"/>
      <c r="P38" s="260"/>
      <c r="Q38" s="355"/>
      <c r="R38" s="302">
        <v>3</v>
      </c>
      <c r="S38" s="296">
        <f ca="1">AK33/Investment*100</f>
        <v>122.57199130378929</v>
      </c>
      <c r="T38" s="297">
        <f ca="1">EXP(y_inter3-(slope*LN(S38)))</f>
        <v>11.144399315282005</v>
      </c>
      <c r="U38" s="298">
        <f ca="1">(+S38*T38/100)/100</f>
        <v>0.13659912159587009</v>
      </c>
      <c r="V38" s="298">
        <f>regDebt_weighted</f>
        <v>3.5860000000000003E-2</v>
      </c>
      <c r="W38" s="298">
        <f ca="1">+U38-V38</f>
        <v>0.10073912159587009</v>
      </c>
      <c r="X38" s="298">
        <f ca="1">+((W38*(1-0.34))-Pfd_weighted)/Equity_percent</f>
        <v>0.17528436120137866</v>
      </c>
      <c r="Y38" s="298">
        <f>+Y37</f>
        <v>2.5000000000000001E-3</v>
      </c>
      <c r="Z38" s="298">
        <f t="shared" ref="Z38:Z39" ca="1" si="19">+X38+Y38</f>
        <v>0.17778436120137867</v>
      </c>
      <c r="AA38" s="298">
        <f ca="1">Z38*equityP</f>
        <v>0.1066706167208272</v>
      </c>
      <c r="AB38" s="298">
        <f ca="1">+AA38/(1-taxrate)</f>
        <v>0.13502609711497113</v>
      </c>
      <c r="AC38" s="298">
        <f>debtP*Debt_Rate</f>
        <v>1.2716825048595141E-2</v>
      </c>
      <c r="AD38" s="298">
        <f ca="1">+AC38+AB38</f>
        <v>0.14774292216356627</v>
      </c>
      <c r="AE38" s="298">
        <f ca="1">+AD38/(S38/100)</f>
        <v>0.12053563019743388</v>
      </c>
      <c r="AF38" s="298">
        <f ca="1">1-AE38</f>
        <v>0.87946436980256615</v>
      </c>
      <c r="AG38" s="299">
        <f ca="1">expenses/(AF38)</f>
        <v>2062372.4496736666</v>
      </c>
      <c r="AH38" s="525">
        <f ca="1">+AG38-Revenue</f>
        <v>245703.15411596885</v>
      </c>
      <c r="AI38" s="300">
        <f ca="1">+AH38/$J$49</f>
        <v>286805.38650179608</v>
      </c>
      <c r="AJ38" s="300">
        <f ca="1">+AI38*$J$47</f>
        <v>6215.5514505643632</v>
      </c>
      <c r="AK38" s="299">
        <f t="shared" ca="1" si="18"/>
        <v>2068588.0011199999</v>
      </c>
    </row>
    <row r="39" spans="1:48" ht="15.75">
      <c r="A39" s="260"/>
      <c r="B39" s="260"/>
      <c r="C39" s="260"/>
      <c r="D39" s="347"/>
      <c r="E39" s="260"/>
      <c r="F39" s="301">
        <f t="shared" si="7"/>
        <v>33</v>
      </c>
      <c r="G39" s="273"/>
      <c r="H39" s="273"/>
      <c r="I39" s="273"/>
      <c r="J39" s="273"/>
      <c r="K39" s="273"/>
      <c r="L39" s="273"/>
      <c r="M39" s="273"/>
      <c r="N39" s="273"/>
      <c r="O39" s="260"/>
      <c r="P39" s="260"/>
      <c r="R39" s="303">
        <v>4</v>
      </c>
      <c r="S39" s="296">
        <f ca="1">AK34/Investment*100</f>
        <v>122.43754720297841</v>
      </c>
      <c r="T39" s="309">
        <f ca="1">EXP(y_inter4-(slope*LN(S39)))</f>
        <v>11.082722551658886</v>
      </c>
      <c r="U39" s="298">
        <f ca="1">(+S39*T39/100)/100</f>
        <v>0.13569413655562482</v>
      </c>
      <c r="V39" s="298">
        <f>regDebt_weighted</f>
        <v>3.5860000000000003E-2</v>
      </c>
      <c r="W39" s="298">
        <f ca="1">+U39-V39</f>
        <v>9.9834136555624814E-2</v>
      </c>
      <c r="X39" s="298">
        <f ca="1">+((W39*(1-0.34))-Pfd_weighted)/Equity_percent</f>
        <v>0.17354805269393131</v>
      </c>
      <c r="Y39" s="298">
        <f>+Y38</f>
        <v>2.5000000000000001E-3</v>
      </c>
      <c r="Z39" s="298">
        <f t="shared" ca="1" si="19"/>
        <v>0.17604805269393131</v>
      </c>
      <c r="AA39" s="298">
        <f ca="1">Z39*equityP</f>
        <v>0.10562883161635879</v>
      </c>
      <c r="AB39" s="298">
        <f ca="1">+AA39/(1-taxrate)</f>
        <v>0.13370738179285921</v>
      </c>
      <c r="AC39" s="298">
        <f>debtP*Debt_Rate</f>
        <v>1.2716825048595141E-2</v>
      </c>
      <c r="AD39" s="298">
        <f ca="1">+AC39+AB39</f>
        <v>0.14642420684145435</v>
      </c>
      <c r="AE39" s="298">
        <f ca="1">+AD39/(S39/100)</f>
        <v>0.11959093446939979</v>
      </c>
      <c r="AF39" s="298">
        <f ca="1">1-AE39</f>
        <v>0.88040906553060017</v>
      </c>
      <c r="AG39" s="299">
        <f ca="1">expenses/(AF39)</f>
        <v>2060159.4846792098</v>
      </c>
      <c r="AH39" s="525">
        <f ca="1">+AG39-Revenue</f>
        <v>243490.189121512</v>
      </c>
      <c r="AI39" s="300">
        <f ca="1">+AH39/$J$49</f>
        <v>284222.22763745941</v>
      </c>
      <c r="AJ39" s="300">
        <f ca="1">+AI39*$J$47</f>
        <v>6159.5700862598069</v>
      </c>
      <c r="AK39" s="299">
        <f t="shared" ca="1" si="18"/>
        <v>2066319.05477</v>
      </c>
    </row>
    <row r="40" spans="1:48" ht="15.75">
      <c r="A40" s="260"/>
      <c r="B40" s="260"/>
      <c r="C40" s="260"/>
      <c r="D40" s="260"/>
      <c r="E40" s="260"/>
      <c r="F40" s="301">
        <f t="shared" si="7"/>
        <v>34</v>
      </c>
      <c r="G40" s="353"/>
      <c r="H40" s="273"/>
      <c r="I40" s="273"/>
      <c r="J40" s="273"/>
      <c r="K40" s="273"/>
      <c r="L40" s="273"/>
      <c r="M40" s="273"/>
      <c r="N40" s="273"/>
      <c r="O40" s="260"/>
      <c r="P40" s="260"/>
      <c r="X40" s="334"/>
      <c r="Y40" s="334"/>
      <c r="Z40" s="334"/>
      <c r="AA40" s="352"/>
      <c r="AB40" s="335"/>
      <c r="AC40" s="334"/>
      <c r="AE40" s="334"/>
      <c r="AF40" s="334"/>
      <c r="AG40" s="335"/>
      <c r="AH40" s="333"/>
      <c r="AJ40" s="335"/>
    </row>
    <row r="41" spans="1:48" ht="15.75">
      <c r="A41" s="260"/>
      <c r="B41" s="260"/>
      <c r="C41" s="260"/>
      <c r="D41" s="260"/>
      <c r="E41" s="260"/>
      <c r="F41" s="301">
        <f t="shared" si="7"/>
        <v>35</v>
      </c>
      <c r="G41" s="273"/>
      <c r="H41" s="344" t="s">
        <v>618</v>
      </c>
      <c r="I41" s="356"/>
      <c r="J41" s="273"/>
      <c r="K41" s="273"/>
      <c r="L41" s="273"/>
      <c r="M41" s="273"/>
      <c r="N41" s="273"/>
      <c r="O41" s="260"/>
      <c r="P41" s="260"/>
      <c r="R41" s="357" t="s">
        <v>619</v>
      </c>
      <c r="S41" s="358"/>
      <c r="T41" s="316"/>
      <c r="U41" s="316"/>
      <c r="V41" s="317"/>
      <c r="X41" s="359"/>
      <c r="Y41" s="359"/>
      <c r="Z41" s="359"/>
      <c r="AA41" s="352"/>
      <c r="AB41" s="335"/>
      <c r="AC41" s="334"/>
      <c r="AE41" s="334"/>
      <c r="AF41" s="334"/>
      <c r="AG41" s="335"/>
      <c r="AH41" s="333"/>
      <c r="AJ41" s="335"/>
    </row>
    <row r="42" spans="1:48" ht="15.75">
      <c r="A42" s="260"/>
      <c r="B42" s="260"/>
      <c r="C42" s="260"/>
      <c r="D42" s="260"/>
      <c r="E42" s="260"/>
      <c r="F42" s="301">
        <f t="shared" si="7"/>
        <v>36</v>
      </c>
      <c r="G42" s="273"/>
      <c r="H42" s="273"/>
      <c r="I42" s="273"/>
      <c r="J42" s="360" t="s">
        <v>342</v>
      </c>
      <c r="K42" s="361" t="s">
        <v>286</v>
      </c>
      <c r="L42" s="273"/>
      <c r="M42" s="273"/>
      <c r="N42" s="273"/>
      <c r="O42" s="260"/>
      <c r="P42" s="260"/>
      <c r="R42" s="362" t="s">
        <v>620</v>
      </c>
      <c r="S42" s="363"/>
      <c r="T42" s="324"/>
      <c r="U42" s="324"/>
      <c r="V42" s="378"/>
      <c r="X42" s="334"/>
      <c r="Y42" s="334"/>
      <c r="Z42" s="334"/>
      <c r="AA42" s="352"/>
      <c r="AB42" s="335"/>
      <c r="AC42" s="334"/>
      <c r="AE42" s="334"/>
      <c r="AF42" s="334"/>
      <c r="AG42" s="335"/>
      <c r="AJ42" s="335"/>
    </row>
    <row r="43" spans="1:48" ht="15.75">
      <c r="A43" s="260"/>
      <c r="B43" s="260"/>
      <c r="C43" s="260"/>
      <c r="D43" s="260"/>
      <c r="E43" s="260"/>
      <c r="F43" s="301">
        <f t="shared" si="7"/>
        <v>37</v>
      </c>
      <c r="G43" s="273"/>
      <c r="H43" s="282" t="s">
        <v>622</v>
      </c>
      <c r="I43" s="364"/>
      <c r="J43" s="365">
        <f>IF(A64=TRUE,C11,0)</f>
        <v>1.4999999999999999E-2</v>
      </c>
      <c r="K43" s="366">
        <f ca="1">+J43*($J$7/$J$49)</f>
        <v>4362.7197635422554</v>
      </c>
      <c r="L43" s="273"/>
      <c r="M43" s="273"/>
      <c r="N43" s="273"/>
      <c r="O43" s="260"/>
      <c r="P43" s="260"/>
      <c r="R43" s="302">
        <v>0</v>
      </c>
      <c r="S43" s="367">
        <v>1</v>
      </c>
      <c r="T43" s="324"/>
      <c r="U43" s="368" t="s">
        <v>616</v>
      </c>
      <c r="V43" s="369">
        <f ca="1">VLOOKUP(R48,R36:AG39,14)</f>
        <v>0.1220095725062538</v>
      </c>
      <c r="AC43" s="334"/>
      <c r="AE43" s="334"/>
      <c r="AJ43" s="335"/>
      <c r="AN43" s="334"/>
      <c r="AO43" s="334"/>
      <c r="AP43" s="334"/>
      <c r="AQ43" s="334"/>
      <c r="AR43" s="334"/>
      <c r="AS43" s="334"/>
      <c r="AT43" s="334"/>
      <c r="AU43" s="334"/>
      <c r="AV43" s="334"/>
    </row>
    <row r="44" spans="1:48" ht="15.75">
      <c r="A44" s="260"/>
      <c r="B44" s="260"/>
      <c r="C44" s="260"/>
      <c r="D44" s="260"/>
      <c r="E44" s="260"/>
      <c r="F44" s="301">
        <f t="shared" si="7"/>
        <v>38</v>
      </c>
      <c r="G44" s="273"/>
      <c r="H44" s="282" t="s">
        <v>623</v>
      </c>
      <c r="I44" s="364"/>
      <c r="J44" s="365">
        <f>IF(A64=TRUE,C12,0)</f>
        <v>5.1000000000000004E-3</v>
      </c>
      <c r="K44" s="366">
        <f ca="1">+J44*($J$7/$J$49)</f>
        <v>1483.3247196043669</v>
      </c>
      <c r="L44" s="273"/>
      <c r="M44" s="273"/>
      <c r="N44" s="273"/>
      <c r="O44" s="260"/>
      <c r="P44" s="260"/>
      <c r="R44" s="302">
        <v>50</v>
      </c>
      <c r="S44" s="367">
        <v>2</v>
      </c>
      <c r="T44" s="324"/>
      <c r="U44" s="368" t="s">
        <v>164</v>
      </c>
      <c r="V44" s="369">
        <f ca="1">ROUND(1-V43,6)</f>
        <v>0.87799000000000005</v>
      </c>
      <c r="AA44" s="370"/>
      <c r="AB44" s="276"/>
      <c r="AC44" s="276"/>
      <c r="AE44" s="334"/>
      <c r="AH44" s="333"/>
      <c r="AJ44" s="335"/>
      <c r="AN44" s="334"/>
      <c r="AO44" s="334"/>
      <c r="AP44" s="334"/>
      <c r="AQ44" s="334"/>
      <c r="AR44" s="334"/>
      <c r="AS44" s="334"/>
      <c r="AT44" s="334"/>
      <c r="AU44" s="334"/>
      <c r="AV44" s="334"/>
    </row>
    <row r="45" spans="1:48" ht="15.75">
      <c r="A45" s="260"/>
      <c r="B45" s="260"/>
      <c r="C45" s="260"/>
      <c r="D45" s="260"/>
      <c r="E45" s="260"/>
      <c r="F45" s="301">
        <f t="shared" si="7"/>
        <v>39</v>
      </c>
      <c r="G45" s="273"/>
      <c r="H45" s="282" t="s">
        <v>624</v>
      </c>
      <c r="I45" s="364"/>
      <c r="J45" s="365">
        <f>IF(A64=TRUE,C13,0)</f>
        <v>0</v>
      </c>
      <c r="K45" s="366">
        <f ca="1">+J45*($J$7/$J$49)</f>
        <v>0</v>
      </c>
      <c r="L45" s="273"/>
      <c r="M45" s="273"/>
      <c r="N45" s="273"/>
      <c r="O45" s="260"/>
      <c r="P45" s="260"/>
      <c r="R45" s="302">
        <v>125</v>
      </c>
      <c r="S45" s="367">
        <v>3</v>
      </c>
      <c r="T45" s="324"/>
      <c r="U45" s="324" t="s">
        <v>625</v>
      </c>
      <c r="V45" s="371">
        <f ca="1">+M7/Revenue-1</f>
        <v>0.14062524584753344</v>
      </c>
      <c r="W45" s="372"/>
      <c r="X45" s="334"/>
      <c r="Y45" s="334"/>
      <c r="Z45" s="334"/>
      <c r="AA45" s="370"/>
      <c r="AB45" s="335"/>
      <c r="AC45" s="334"/>
      <c r="AE45" s="334"/>
      <c r="AF45" s="334"/>
      <c r="AG45" s="335"/>
      <c r="AH45" s="333"/>
      <c r="AJ45" s="335"/>
      <c r="AN45" s="334"/>
      <c r="AO45" s="334"/>
      <c r="AP45" s="334"/>
      <c r="AQ45" s="334"/>
      <c r="AR45" s="334"/>
      <c r="AS45" s="334"/>
      <c r="AT45" s="334"/>
      <c r="AU45" s="334"/>
      <c r="AV45" s="334"/>
    </row>
    <row r="46" spans="1:48" ht="15.75">
      <c r="A46" s="260"/>
      <c r="B46" s="260"/>
      <c r="C46" s="260"/>
      <c r="D46" s="260"/>
      <c r="E46" s="260"/>
      <c r="F46" s="301">
        <f t="shared" si="7"/>
        <v>40</v>
      </c>
      <c r="G46" s="273"/>
      <c r="H46" s="282" t="s">
        <v>626</v>
      </c>
      <c r="I46" s="364"/>
      <c r="J46" s="365">
        <f>IF(A64=TRUE,C14,0)</f>
        <v>1.5716691634570774E-3</v>
      </c>
      <c r="K46" s="366">
        <f ca="1">+J46*($J$7/$J$49)</f>
        <v>457.11680807760763</v>
      </c>
      <c r="L46" s="273"/>
      <c r="M46" s="273"/>
      <c r="N46" s="273"/>
      <c r="O46" s="260"/>
      <c r="P46" s="260"/>
      <c r="R46" s="303">
        <v>401</v>
      </c>
      <c r="S46" s="373">
        <v>4</v>
      </c>
      <c r="T46" s="326"/>
      <c r="U46" s="326"/>
      <c r="V46" s="327"/>
      <c r="X46" s="334"/>
      <c r="Y46" s="334"/>
      <c r="Z46" s="334"/>
      <c r="AA46" s="352"/>
      <c r="AB46" s="335"/>
      <c r="AC46" s="334"/>
      <c r="AE46" s="334"/>
      <c r="AF46" s="334"/>
      <c r="AG46" s="335"/>
      <c r="AH46" s="333"/>
      <c r="AJ46" s="335"/>
      <c r="AN46" s="334"/>
      <c r="AO46" s="334"/>
      <c r="AP46" s="334"/>
      <c r="AQ46" s="334"/>
      <c r="AR46" s="334"/>
      <c r="AS46" s="334"/>
      <c r="AT46" s="334"/>
      <c r="AU46" s="334"/>
      <c r="AV46" s="334"/>
    </row>
    <row r="47" spans="1:48" ht="16.5" thickBot="1">
      <c r="A47" s="260"/>
      <c r="B47" s="260"/>
      <c r="C47" s="260"/>
      <c r="D47" s="260"/>
      <c r="E47" s="260"/>
      <c r="F47" s="301">
        <f t="shared" si="7"/>
        <v>41</v>
      </c>
      <c r="G47" s="273"/>
      <c r="H47" s="282" t="s">
        <v>627</v>
      </c>
      <c r="I47" s="353"/>
      <c r="J47" s="374">
        <f>SUM(J43:J46)</f>
        <v>2.1671669163457079E-2</v>
      </c>
      <c r="K47" s="339">
        <f ca="1">+K43+K44+K45+K46</f>
        <v>6303.1612912242299</v>
      </c>
      <c r="L47" s="273"/>
      <c r="M47" s="273"/>
      <c r="N47" s="273"/>
      <c r="O47" s="260"/>
      <c r="P47" s="260"/>
      <c r="R47" s="306">
        <f ca="1">VLOOKUP(R48,R36:S39,2)</f>
        <v>122.78233289729168</v>
      </c>
      <c r="S47" s="375" t="s">
        <v>628</v>
      </c>
      <c r="T47" s="317"/>
      <c r="X47" s="269" t="s">
        <v>629</v>
      </c>
      <c r="AE47" s="334"/>
      <c r="AH47" s="333"/>
      <c r="AJ47" s="335"/>
    </row>
    <row r="48" spans="1:48" ht="16.5" thickTop="1">
      <c r="A48" s="260"/>
      <c r="B48" s="260"/>
      <c r="C48" s="260"/>
      <c r="D48" s="260"/>
      <c r="E48" s="260"/>
      <c r="F48" s="301">
        <f t="shared" si="7"/>
        <v>42</v>
      </c>
      <c r="G48" s="273"/>
      <c r="H48" s="273"/>
      <c r="I48" s="273"/>
      <c r="J48" s="376"/>
      <c r="K48" s="273"/>
      <c r="L48" s="273"/>
      <c r="M48" s="273"/>
      <c r="N48" s="273"/>
      <c r="O48" s="260"/>
      <c r="P48" s="260"/>
      <c r="R48" s="302">
        <f ca="1">VLOOKUP(S36,R43:S46,2)</f>
        <v>2</v>
      </c>
      <c r="S48" s="377" t="s">
        <v>630</v>
      </c>
      <c r="T48" s="378"/>
      <c r="X48" s="269" t="s">
        <v>631</v>
      </c>
      <c r="AC48" s="276"/>
      <c r="AE48" s="334"/>
      <c r="AJ48" s="335"/>
    </row>
    <row r="49" spans="1:48" ht="15.75">
      <c r="A49" s="260"/>
      <c r="B49" s="260"/>
      <c r="C49" s="260"/>
      <c r="D49" s="260"/>
      <c r="E49" s="260"/>
      <c r="F49" s="301">
        <f t="shared" si="7"/>
        <v>43</v>
      </c>
      <c r="G49" s="278"/>
      <c r="H49" s="379" t="s">
        <v>632</v>
      </c>
      <c r="I49" s="380"/>
      <c r="J49" s="381">
        <f ca="1">((K35)-J47)</f>
        <v>0.8566894684679508</v>
      </c>
      <c r="K49" s="380"/>
      <c r="L49" s="380"/>
      <c r="M49" s="380"/>
      <c r="N49" s="380"/>
      <c r="O49" s="260"/>
      <c r="P49" s="260"/>
      <c r="R49" s="302"/>
      <c r="S49" s="377"/>
      <c r="T49" s="378"/>
      <c r="X49" s="269" t="s">
        <v>633</v>
      </c>
      <c r="AC49" s="334"/>
      <c r="AE49" s="334"/>
      <c r="AF49" s="334"/>
      <c r="AG49" s="335"/>
      <c r="AJ49" s="335"/>
    </row>
    <row r="50" spans="1:48">
      <c r="A50" s="260"/>
      <c r="B50" s="260"/>
      <c r="C50" s="260"/>
      <c r="D50" s="260"/>
      <c r="E50" s="260"/>
      <c r="F50" s="260"/>
      <c r="G50" s="260"/>
      <c r="H50" s="260"/>
      <c r="I50" s="260"/>
      <c r="J50" s="260"/>
      <c r="K50" s="382"/>
      <c r="L50" s="260"/>
      <c r="M50" s="260"/>
      <c r="N50" s="383"/>
      <c r="O50" s="260"/>
      <c r="P50" s="260"/>
      <c r="R50" s="384">
        <f ca="1">+V44</f>
        <v>0.87799000000000005</v>
      </c>
      <c r="S50" s="385" t="s">
        <v>164</v>
      </c>
      <c r="T50" s="386"/>
      <c r="X50" s="269" t="s">
        <v>634</v>
      </c>
      <c r="AC50" s="334"/>
      <c r="AE50" s="334"/>
      <c r="AF50" s="334"/>
      <c r="AG50" s="335"/>
      <c r="AH50" s="334"/>
      <c r="AJ50" s="335"/>
      <c r="AN50" s="334"/>
      <c r="AO50" s="334"/>
      <c r="AP50" s="334"/>
      <c r="AQ50" s="334"/>
      <c r="AR50" s="334"/>
      <c r="AS50" s="334"/>
      <c r="AT50" s="334"/>
      <c r="AU50" s="334"/>
      <c r="AV50" s="334"/>
    </row>
    <row r="51" spans="1:48">
      <c r="A51" s="260"/>
      <c r="B51" s="260"/>
      <c r="C51" s="260"/>
      <c r="D51" s="260"/>
      <c r="E51" s="260"/>
      <c r="F51" s="260"/>
      <c r="G51" s="260"/>
      <c r="H51" s="260"/>
      <c r="I51" s="260"/>
      <c r="J51" s="260"/>
      <c r="K51" s="260"/>
      <c r="L51" s="260"/>
      <c r="M51" s="260"/>
      <c r="N51" s="260"/>
      <c r="O51" s="260"/>
      <c r="P51" s="260"/>
      <c r="R51" s="269"/>
      <c r="AB51" s="335"/>
      <c r="AC51" s="334"/>
      <c r="AE51" s="334"/>
      <c r="AF51" s="334"/>
      <c r="AG51" s="335"/>
      <c r="AH51" s="333"/>
      <c r="AJ51" s="335"/>
      <c r="AN51" s="334"/>
      <c r="AO51" s="334"/>
      <c r="AP51" s="334"/>
      <c r="AQ51" s="334"/>
      <c r="AR51" s="334"/>
      <c r="AS51" s="334"/>
      <c r="AT51" s="334"/>
      <c r="AU51" s="334"/>
      <c r="AV51" s="334"/>
    </row>
    <row r="52" spans="1:48">
      <c r="A52" s="260"/>
      <c r="B52" s="260"/>
      <c r="C52" s="260"/>
      <c r="D52" s="260"/>
      <c r="E52" s="260"/>
      <c r="F52" s="260"/>
      <c r="G52" s="260"/>
      <c r="H52" s="260"/>
      <c r="I52" s="260"/>
      <c r="J52" s="387"/>
      <c r="K52" s="387"/>
      <c r="L52" s="387"/>
      <c r="M52" s="387"/>
      <c r="N52" s="260"/>
      <c r="O52" s="260"/>
      <c r="P52" s="260"/>
      <c r="R52" s="269"/>
      <c r="AB52" s="335"/>
      <c r="AC52" s="334"/>
      <c r="AE52" s="334"/>
      <c r="AF52" s="334"/>
      <c r="AG52" s="335"/>
      <c r="AH52" s="333"/>
      <c r="AJ52" s="335"/>
      <c r="AN52" s="334"/>
      <c r="AO52" s="334"/>
      <c r="AP52" s="334"/>
      <c r="AQ52" s="334"/>
      <c r="AR52" s="334"/>
      <c r="AS52" s="334"/>
      <c r="AT52" s="334"/>
      <c r="AU52" s="334"/>
      <c r="AV52" s="334"/>
    </row>
    <row r="53" spans="1:48" ht="15.75">
      <c r="A53" s="260"/>
      <c r="B53" s="260"/>
      <c r="C53" s="260"/>
      <c r="D53" s="260"/>
      <c r="E53" s="260"/>
      <c r="F53" s="260"/>
      <c r="G53" s="260"/>
      <c r="H53" s="260"/>
      <c r="I53" s="260"/>
      <c r="J53" s="260"/>
      <c r="K53" s="387"/>
      <c r="L53" s="387"/>
      <c r="M53" s="387"/>
      <c r="N53" s="260"/>
      <c r="O53" s="260"/>
      <c r="P53" s="260"/>
      <c r="R53" s="269"/>
      <c r="S53" s="269" t="s">
        <v>635</v>
      </c>
      <c r="T53" s="334"/>
      <c r="U53" s="388"/>
      <c r="W53" s="389" t="s">
        <v>636</v>
      </c>
      <c r="X53" s="390"/>
      <c r="Y53" s="390"/>
      <c r="Z53" s="390"/>
      <c r="AA53" s="390"/>
      <c r="AB53" s="390"/>
      <c r="AE53" s="334"/>
      <c r="AH53" s="333"/>
      <c r="AJ53" s="335"/>
      <c r="AN53" s="334"/>
      <c r="AO53" s="334"/>
      <c r="AP53" s="334"/>
      <c r="AQ53" s="334"/>
      <c r="AR53" s="334"/>
      <c r="AS53" s="334"/>
      <c r="AT53" s="334"/>
      <c r="AU53" s="334"/>
      <c r="AV53" s="334"/>
    </row>
    <row r="54" spans="1:48">
      <c r="A54" s="260"/>
      <c r="B54" s="260"/>
      <c r="C54" s="260"/>
      <c r="D54" s="260"/>
      <c r="E54" s="260"/>
      <c r="F54" s="260"/>
      <c r="G54" s="260"/>
      <c r="H54" s="260"/>
      <c r="I54" s="260"/>
      <c r="J54" s="260"/>
      <c r="K54" s="260"/>
      <c r="L54" s="391"/>
      <c r="M54" s="391"/>
      <c r="N54" s="260"/>
      <c r="O54" s="260"/>
      <c r="P54" s="260"/>
      <c r="R54" s="392"/>
      <c r="S54" s="393" t="s">
        <v>602</v>
      </c>
      <c r="T54" s="393" t="s">
        <v>353</v>
      </c>
      <c r="U54" s="394" t="s">
        <v>605</v>
      </c>
      <c r="W54" s="395" t="s">
        <v>637</v>
      </c>
      <c r="X54" s="396">
        <v>5.7225999999999999</v>
      </c>
      <c r="Y54" s="397" t="s">
        <v>638</v>
      </c>
      <c r="Z54" s="398">
        <v>5.6985000000000001</v>
      </c>
      <c r="AC54" s="276"/>
      <c r="AE54" s="334"/>
      <c r="AJ54" s="335"/>
    </row>
    <row r="55" spans="1:48">
      <c r="A55" s="260"/>
      <c r="B55" s="260"/>
      <c r="C55" s="260"/>
      <c r="D55" s="260"/>
      <c r="E55" s="260"/>
      <c r="F55" s="260"/>
      <c r="G55" s="260"/>
      <c r="H55" s="260"/>
      <c r="I55" s="260"/>
      <c r="J55" s="391"/>
      <c r="K55" s="260"/>
      <c r="L55" s="391"/>
      <c r="M55" s="391"/>
      <c r="N55" s="260"/>
      <c r="O55" s="260"/>
      <c r="P55" s="260"/>
      <c r="R55" s="270" t="s">
        <v>575</v>
      </c>
      <c r="S55" s="399">
        <v>0.56200000000000006</v>
      </c>
      <c r="T55" s="399">
        <v>6.3799999999999996E-2</v>
      </c>
      <c r="U55" s="400">
        <f>ROUND(+S55*T55,5)</f>
        <v>3.5860000000000003E-2</v>
      </c>
      <c r="W55" s="401" t="s">
        <v>639</v>
      </c>
      <c r="X55" s="402">
        <v>5.7082699999999997</v>
      </c>
      <c r="Y55" s="403" t="s">
        <v>640</v>
      </c>
      <c r="Z55" s="404">
        <v>5.6921999999999997</v>
      </c>
      <c r="AC55" s="334"/>
      <c r="AE55" s="334"/>
      <c r="AF55" s="334"/>
      <c r="AG55" s="335"/>
      <c r="AJ55" s="335"/>
    </row>
    <row r="56" spans="1:48">
      <c r="A56" s="260"/>
      <c r="B56" s="260"/>
      <c r="C56" s="260"/>
      <c r="D56" s="260"/>
      <c r="E56" s="387"/>
      <c r="F56" s="260"/>
      <c r="G56" s="260"/>
      <c r="H56" s="260"/>
      <c r="I56" s="260"/>
      <c r="J56" s="391"/>
      <c r="K56" s="260"/>
      <c r="L56" s="391"/>
      <c r="M56" s="391"/>
      <c r="N56" s="260"/>
      <c r="O56" s="260"/>
      <c r="P56" s="260"/>
      <c r="R56" s="270" t="s">
        <v>641</v>
      </c>
      <c r="S56" s="399">
        <v>9.4E-2</v>
      </c>
      <c r="T56" s="399">
        <v>6.59E-2</v>
      </c>
      <c r="U56" s="400">
        <f>ROUND(+S56*T56,5)</f>
        <v>6.1900000000000002E-3</v>
      </c>
      <c r="W56" s="270"/>
      <c r="X56" s="324"/>
      <c r="Y56" s="405"/>
      <c r="Z56" s="406"/>
      <c r="AC56" s="334"/>
      <c r="AE56" s="334"/>
      <c r="AF56" s="334"/>
      <c r="AG56" s="335"/>
      <c r="AH56" s="333"/>
      <c r="AJ56" s="335"/>
      <c r="AN56" s="334"/>
    </row>
    <row r="57" spans="1:48" ht="15.75">
      <c r="A57" s="260"/>
      <c r="B57" s="260"/>
      <c r="C57" s="260"/>
      <c r="D57" s="260"/>
      <c r="E57" s="387"/>
      <c r="F57" s="387"/>
      <c r="G57" s="387"/>
      <c r="H57" s="407"/>
      <c r="I57" s="387"/>
      <c r="J57" s="391"/>
      <c r="K57" s="260"/>
      <c r="L57" s="260"/>
      <c r="M57" s="260"/>
      <c r="N57" s="260"/>
      <c r="O57" s="260"/>
      <c r="P57" s="260"/>
      <c r="R57" s="270" t="s">
        <v>573</v>
      </c>
      <c r="S57" s="408">
        <v>0.34399999999999997</v>
      </c>
      <c r="T57" s="409"/>
      <c r="U57" s="410"/>
      <c r="W57" s="325"/>
      <c r="X57" s="411" t="s">
        <v>642</v>
      </c>
      <c r="Y57" s="412">
        <v>0.68367</v>
      </c>
      <c r="Z57" s="413"/>
      <c r="AC57" s="334"/>
      <c r="AE57" s="334"/>
      <c r="AF57" s="334"/>
      <c r="AG57" s="335"/>
      <c r="AH57" s="333"/>
      <c r="AJ57" s="335"/>
    </row>
    <row r="58" spans="1:48" ht="15.75">
      <c r="A58" s="260"/>
      <c r="B58" s="260"/>
      <c r="C58" s="260"/>
      <c r="D58" s="260"/>
      <c r="E58" s="260"/>
      <c r="F58" s="260"/>
      <c r="G58" s="260"/>
      <c r="H58" s="260"/>
      <c r="I58" s="260"/>
      <c r="J58" s="260"/>
      <c r="K58" s="260"/>
      <c r="L58" s="260"/>
      <c r="M58" s="260"/>
      <c r="N58" s="260"/>
      <c r="O58" s="260"/>
      <c r="P58" s="260"/>
      <c r="R58" s="325"/>
      <c r="S58" s="408">
        <f>SUM(S55:S57)</f>
        <v>1</v>
      </c>
      <c r="T58" s="414"/>
      <c r="U58" s="415"/>
      <c r="X58" s="334"/>
      <c r="Y58" s="334"/>
      <c r="Z58" s="334"/>
      <c r="AA58" s="352"/>
      <c r="AB58" s="335"/>
      <c r="AC58" s="334"/>
      <c r="AE58" s="334"/>
      <c r="AF58" s="334"/>
      <c r="AG58" s="335"/>
      <c r="AH58" s="333"/>
      <c r="AJ58" s="335"/>
    </row>
    <row r="59" spans="1:48">
      <c r="A59" s="260"/>
      <c r="B59" s="260"/>
      <c r="C59" s="260"/>
      <c r="D59" s="260"/>
      <c r="E59" s="260"/>
      <c r="F59" s="260"/>
      <c r="G59" s="260"/>
      <c r="H59" s="260"/>
      <c r="I59" s="260"/>
      <c r="J59" s="260"/>
      <c r="K59" s="260"/>
      <c r="L59" s="260"/>
      <c r="M59" s="260"/>
      <c r="N59" s="260"/>
      <c r="O59" s="260"/>
      <c r="P59" s="260"/>
      <c r="X59" s="416"/>
      <c r="Y59" s="416"/>
      <c r="Z59" s="416"/>
      <c r="AE59" s="334"/>
      <c r="AH59" s="333"/>
      <c r="AJ59" s="335"/>
      <c r="AN59" s="333"/>
      <c r="AO59" s="333"/>
      <c r="AP59" s="333"/>
      <c r="AQ59" s="333"/>
      <c r="AR59" s="333"/>
      <c r="AS59" s="333"/>
      <c r="AT59" s="333"/>
      <c r="AU59" s="333"/>
      <c r="AV59" s="333"/>
    </row>
    <row r="60" spans="1:48">
      <c r="A60" s="260"/>
      <c r="B60" s="260"/>
      <c r="C60" s="260"/>
      <c r="D60" s="260"/>
      <c r="E60" s="387"/>
      <c r="F60" s="260"/>
      <c r="G60" s="260"/>
      <c r="H60" s="260"/>
      <c r="I60" s="260"/>
      <c r="J60" s="260"/>
      <c r="K60" s="260"/>
      <c r="L60" s="260"/>
      <c r="M60" s="260"/>
      <c r="N60" s="260"/>
      <c r="O60" s="260"/>
      <c r="P60" s="260"/>
      <c r="R60" s="269"/>
      <c r="S60" s="417"/>
      <c r="W60" s="392"/>
      <c r="X60" s="418" t="s">
        <v>611</v>
      </c>
      <c r="Y60" s="418" t="s">
        <v>643</v>
      </c>
      <c r="Z60" s="419" t="s">
        <v>558</v>
      </c>
      <c r="AE60" s="334"/>
      <c r="AJ60" s="335"/>
      <c r="AN60" s="333"/>
      <c r="AO60" s="333"/>
      <c r="AP60" s="333"/>
      <c r="AQ60" s="333"/>
      <c r="AR60" s="333"/>
      <c r="AS60" s="333"/>
      <c r="AT60" s="333"/>
      <c r="AU60" s="333"/>
      <c r="AV60" s="333"/>
    </row>
    <row r="61" spans="1:48">
      <c r="A61" s="260"/>
      <c r="B61" s="260"/>
      <c r="C61" s="260"/>
      <c r="D61" s="260"/>
      <c r="E61" s="260"/>
      <c r="F61" s="387"/>
      <c r="G61" s="387"/>
      <c r="H61" s="387"/>
      <c r="I61" s="387"/>
      <c r="J61" s="387"/>
      <c r="K61" s="387"/>
      <c r="L61" s="387"/>
      <c r="M61" s="387"/>
      <c r="N61" s="387"/>
      <c r="O61" s="260"/>
      <c r="P61" s="260"/>
      <c r="R61" s="269"/>
      <c r="W61" s="270"/>
      <c r="X61" s="420"/>
      <c r="Y61" s="420"/>
      <c r="Z61" s="421"/>
      <c r="AE61" s="334"/>
      <c r="AF61" s="334"/>
      <c r="AG61" s="335"/>
      <c r="AJ61" s="335"/>
      <c r="AN61" s="333"/>
      <c r="AO61" s="333"/>
      <c r="AP61" s="333"/>
      <c r="AQ61" s="333"/>
      <c r="AR61" s="333"/>
      <c r="AS61" s="333"/>
      <c r="AT61" s="333"/>
      <c r="AU61" s="333"/>
      <c r="AV61" s="333"/>
    </row>
    <row r="62" spans="1:48">
      <c r="A62" s="260"/>
      <c r="B62" s="260"/>
      <c r="C62" s="260"/>
      <c r="D62" s="260"/>
      <c r="E62" s="260"/>
      <c r="F62" s="260"/>
      <c r="G62" s="260"/>
      <c r="H62" s="260"/>
      <c r="I62" s="260"/>
      <c r="J62" s="260"/>
      <c r="K62" s="260"/>
      <c r="L62" s="260"/>
      <c r="M62" s="260"/>
      <c r="N62" s="260"/>
      <c r="O62" s="260"/>
      <c r="P62" s="260"/>
      <c r="R62" s="269"/>
      <c r="S62" s="417"/>
      <c r="W62" s="270"/>
      <c r="X62" s="368" t="s">
        <v>613</v>
      </c>
      <c r="Y62" s="369">
        <f t="shared" ref="Y62:Z67" ca="1" si="20">+J33</f>
        <v>0.14935111559895525</v>
      </c>
      <c r="Z62" s="369">
        <f t="shared" ca="1" si="20"/>
        <v>0.12065791458337964</v>
      </c>
      <c r="AE62" s="334"/>
      <c r="AF62" s="334"/>
      <c r="AG62" s="335"/>
      <c r="AH62" s="333"/>
      <c r="AJ62" s="335"/>
      <c r="AN62" s="333"/>
      <c r="AO62" s="333"/>
      <c r="AP62" s="333"/>
      <c r="AQ62" s="333"/>
      <c r="AR62" s="333"/>
      <c r="AS62" s="333"/>
      <c r="AT62" s="333"/>
      <c r="AU62" s="333"/>
      <c r="AV62" s="333"/>
    </row>
    <row r="63" spans="1:48">
      <c r="A63" s="260"/>
      <c r="B63" s="260"/>
      <c r="C63" s="260"/>
      <c r="D63" s="260"/>
      <c r="E63" s="260"/>
      <c r="F63" s="260"/>
      <c r="G63" s="260"/>
      <c r="H63" s="260"/>
      <c r="I63" s="260"/>
      <c r="J63" s="260"/>
      <c r="K63" s="260"/>
      <c r="L63" s="260"/>
      <c r="M63" s="260"/>
      <c r="N63" s="260"/>
      <c r="O63" s="260"/>
      <c r="P63" s="260"/>
      <c r="R63" s="269"/>
      <c r="W63" s="270"/>
      <c r="X63" s="368" t="s">
        <v>614</v>
      </c>
      <c r="Y63" s="369">
        <f t="shared" ca="1" si="20"/>
        <v>0.22772381758393356</v>
      </c>
      <c r="Z63" s="369">
        <f t="shared" ca="1" si="20"/>
        <v>0.17990181589130752</v>
      </c>
      <c r="AE63" s="334"/>
      <c r="AF63" s="334"/>
      <c r="AG63" s="335"/>
      <c r="AH63" s="333"/>
      <c r="AJ63" s="335"/>
    </row>
    <row r="64" spans="1:48">
      <c r="A64" s="269" t="b">
        <v>1</v>
      </c>
      <c r="B64" s="260"/>
      <c r="C64" s="260"/>
      <c r="F64" s="260"/>
      <c r="G64" s="260"/>
      <c r="H64" s="260"/>
      <c r="I64" s="260"/>
      <c r="J64" s="260"/>
      <c r="K64" s="260"/>
      <c r="L64" s="260"/>
      <c r="M64" s="260"/>
      <c r="N64" s="260"/>
      <c r="R64" s="269"/>
      <c r="S64" s="417"/>
      <c r="W64" s="270"/>
      <c r="X64" s="368" t="s">
        <v>164</v>
      </c>
      <c r="Y64" s="369">
        <f t="shared" ca="1" si="20"/>
        <v>0.87799000000000005</v>
      </c>
      <c r="Z64" s="369">
        <f t="shared" ca="1" si="20"/>
        <v>0.87836113763140788</v>
      </c>
      <c r="AE64" s="334"/>
      <c r="AF64" s="334"/>
      <c r="AG64" s="335"/>
      <c r="AH64" s="333"/>
      <c r="AJ64" s="335"/>
    </row>
    <row r="65" spans="8:40">
      <c r="H65" s="333"/>
      <c r="I65" s="333"/>
      <c r="J65" s="333"/>
      <c r="K65" s="333"/>
      <c r="L65" s="333"/>
      <c r="M65" s="333"/>
      <c r="N65" s="333"/>
      <c r="O65" s="333"/>
      <c r="R65" s="269"/>
      <c r="W65" s="270"/>
      <c r="X65" s="368" t="s">
        <v>616</v>
      </c>
      <c r="Y65" s="369">
        <f t="shared" ca="1" si="20"/>
        <v>0.12200999999999998</v>
      </c>
      <c r="Z65" s="369">
        <f t="shared" ca="1" si="20"/>
        <v>0.12200999999999998</v>
      </c>
      <c r="AE65" s="334"/>
      <c r="AH65" s="333"/>
      <c r="AJ65" s="335"/>
      <c r="AN65" s="333"/>
    </row>
    <row r="66" spans="8:40">
      <c r="H66" s="333"/>
      <c r="I66" s="333"/>
      <c r="J66" s="333"/>
      <c r="K66" s="333"/>
      <c r="L66" s="333"/>
      <c r="M66" s="333"/>
      <c r="N66" s="333"/>
      <c r="O66" s="333"/>
      <c r="R66" s="269"/>
      <c r="S66" s="417"/>
      <c r="W66" s="270"/>
      <c r="X66" s="368" t="s">
        <v>617</v>
      </c>
      <c r="Y66" s="369">
        <f t="shared" ca="1" si="20"/>
        <v>1.2243754720297841</v>
      </c>
      <c r="Z66" s="369">
        <f t="shared" ca="1" si="20"/>
        <v>1.2243754720297841</v>
      </c>
      <c r="AE66" s="334"/>
      <c r="AJ66" s="335"/>
    </row>
    <row r="67" spans="8:40">
      <c r="O67" s="333"/>
      <c r="W67" s="325"/>
      <c r="X67" s="422" t="s">
        <v>333</v>
      </c>
      <c r="Y67" s="423">
        <f t="shared" si="20"/>
        <v>0.21</v>
      </c>
      <c r="Z67" s="423">
        <f t="shared" si="20"/>
        <v>0.21</v>
      </c>
      <c r="AE67" s="334"/>
      <c r="AF67" s="334"/>
      <c r="AG67" s="335"/>
      <c r="AJ67" s="335"/>
    </row>
    <row r="68" spans="8:40">
      <c r="O68" s="333"/>
      <c r="W68" s="368"/>
      <c r="AE68" s="334"/>
      <c r="AF68" s="334"/>
      <c r="AG68" s="335"/>
      <c r="AH68" s="333"/>
      <c r="AJ68" s="335"/>
    </row>
    <row r="69" spans="8:40">
      <c r="O69" s="333"/>
      <c r="X69" s="334"/>
      <c r="Y69" s="334"/>
      <c r="Z69" s="334"/>
      <c r="AA69" s="352"/>
      <c r="AB69" s="335"/>
      <c r="AC69" s="334"/>
      <c r="AE69" s="334"/>
      <c r="AF69" s="334"/>
      <c r="AG69" s="335"/>
      <c r="AH69" s="333"/>
      <c r="AJ69" s="335"/>
    </row>
    <row r="70" spans="8:40">
      <c r="X70" s="334"/>
      <c r="Y70" s="334"/>
      <c r="Z70" s="334"/>
      <c r="AA70" s="352"/>
      <c r="AB70" s="335"/>
      <c r="AC70" s="334"/>
      <c r="AE70" s="334"/>
      <c r="AF70" s="334"/>
      <c r="AG70" s="335"/>
      <c r="AH70" s="333"/>
      <c r="AJ70" s="335"/>
    </row>
    <row r="71" spans="8:40">
      <c r="AE71" s="334"/>
      <c r="AH71" s="333"/>
      <c r="AJ71" s="335"/>
    </row>
    <row r="72" spans="8:40">
      <c r="AA72" s="276"/>
      <c r="AB72" s="276"/>
      <c r="AC72" s="276"/>
      <c r="AE72" s="334"/>
      <c r="AJ72" s="335"/>
    </row>
    <row r="73" spans="8:40">
      <c r="X73" s="334"/>
      <c r="Y73" s="334"/>
      <c r="Z73" s="334"/>
      <c r="AA73" s="352"/>
      <c r="AB73" s="335"/>
      <c r="AC73" s="334"/>
      <c r="AE73" s="334"/>
      <c r="AF73" s="334"/>
      <c r="AG73" s="335"/>
      <c r="AJ73" s="335"/>
    </row>
    <row r="74" spans="8:40">
      <c r="X74" s="334"/>
      <c r="Y74" s="334"/>
      <c r="Z74" s="334"/>
      <c r="AA74" s="352"/>
      <c r="AB74" s="335"/>
      <c r="AC74" s="334"/>
      <c r="AE74" s="334"/>
      <c r="AF74" s="334"/>
      <c r="AG74" s="335"/>
      <c r="AH74" s="333"/>
      <c r="AJ74" s="335"/>
    </row>
    <row r="75" spans="8:40">
      <c r="X75" s="334"/>
      <c r="Y75" s="334"/>
      <c r="Z75" s="334"/>
      <c r="AA75" s="352"/>
      <c r="AB75" s="335"/>
      <c r="AC75" s="334"/>
      <c r="AE75" s="334"/>
      <c r="AF75" s="334"/>
      <c r="AG75" s="335"/>
      <c r="AH75" s="333"/>
      <c r="AJ75" s="335"/>
    </row>
    <row r="76" spans="8:40">
      <c r="X76" s="334"/>
      <c r="Y76" s="334"/>
      <c r="Z76" s="334"/>
      <c r="AA76" s="352"/>
      <c r="AB76" s="335"/>
      <c r="AC76" s="334"/>
      <c r="AE76" s="334"/>
      <c r="AF76" s="334"/>
      <c r="AG76" s="335"/>
      <c r="AH76" s="333"/>
      <c r="AJ76" s="335"/>
    </row>
    <row r="77" spans="8:40">
      <c r="AE77" s="334"/>
      <c r="AH77" s="333"/>
      <c r="AJ77" s="335"/>
    </row>
    <row r="79" spans="8:40">
      <c r="X79" s="334"/>
      <c r="Y79" s="334"/>
      <c r="Z79" s="334"/>
      <c r="AA79" s="352"/>
      <c r="AB79" s="335"/>
      <c r="AC79" s="334"/>
      <c r="AF79" s="334"/>
      <c r="AG79" s="335"/>
    </row>
    <row r="80" spans="8:40">
      <c r="X80" s="334"/>
      <c r="Y80" s="334"/>
      <c r="Z80" s="334"/>
      <c r="AA80" s="352"/>
      <c r="AB80" s="335"/>
      <c r="AC80" s="334"/>
      <c r="AF80" s="334"/>
      <c r="AG80" s="335"/>
      <c r="AH80" s="333"/>
    </row>
    <row r="81" spans="24:34">
      <c r="X81" s="334"/>
      <c r="Y81" s="334"/>
      <c r="Z81" s="334"/>
      <c r="AA81" s="352"/>
      <c r="AB81" s="335"/>
      <c r="AC81" s="334"/>
      <c r="AF81" s="334"/>
      <c r="AG81" s="335"/>
      <c r="AH81" s="333"/>
    </row>
    <row r="82" spans="24:34">
      <c r="X82" s="334"/>
      <c r="Y82" s="334"/>
      <c r="Z82" s="334"/>
      <c r="AA82" s="352"/>
      <c r="AB82" s="335"/>
      <c r="AC82" s="334"/>
      <c r="AF82" s="334"/>
      <c r="AG82" s="335"/>
      <c r="AH82" s="333"/>
    </row>
    <row r="83" spans="24:34">
      <c r="AH83" s="333"/>
    </row>
    <row r="85" spans="24:34">
      <c r="X85" s="334"/>
      <c r="Y85" s="334"/>
      <c r="Z85" s="334"/>
      <c r="AA85" s="352"/>
      <c r="AB85" s="335"/>
      <c r="AC85" s="334"/>
      <c r="AF85" s="334"/>
      <c r="AG85" s="335"/>
    </row>
    <row r="86" spans="24:34">
      <c r="X86" s="334"/>
      <c r="Y86" s="334"/>
      <c r="Z86" s="334"/>
      <c r="AA86" s="352"/>
      <c r="AB86" s="335"/>
      <c r="AC86" s="334"/>
      <c r="AF86" s="334"/>
      <c r="AG86" s="335"/>
      <c r="AH86" s="333"/>
    </row>
    <row r="87" spans="24:34">
      <c r="X87" s="334"/>
      <c r="Y87" s="334"/>
      <c r="Z87" s="334"/>
      <c r="AA87" s="352"/>
      <c r="AB87" s="335"/>
      <c r="AC87" s="334"/>
      <c r="AF87" s="334"/>
      <c r="AG87" s="335"/>
      <c r="AH87" s="333"/>
    </row>
    <row r="88" spans="24:34">
      <c r="X88" s="334"/>
      <c r="Y88" s="334"/>
      <c r="Z88" s="334"/>
      <c r="AA88" s="352"/>
      <c r="AB88" s="335"/>
      <c r="AC88" s="334"/>
      <c r="AF88" s="334"/>
      <c r="AG88" s="335"/>
      <c r="AH88" s="333"/>
    </row>
    <row r="89" spans="24:34">
      <c r="AH89" s="333"/>
    </row>
    <row r="91" spans="24:34">
      <c r="X91" s="334"/>
      <c r="Y91" s="334"/>
      <c r="Z91" s="334"/>
      <c r="AA91" s="352"/>
      <c r="AB91" s="335"/>
      <c r="AC91" s="334"/>
      <c r="AF91" s="334"/>
      <c r="AG91" s="335"/>
    </row>
    <row r="92" spans="24:34">
      <c r="X92" s="334"/>
      <c r="Y92" s="334"/>
      <c r="Z92" s="334"/>
      <c r="AA92" s="352"/>
      <c r="AB92" s="335"/>
      <c r="AC92" s="334"/>
      <c r="AF92" s="334"/>
      <c r="AG92" s="335"/>
      <c r="AH92" s="333"/>
    </row>
    <row r="93" spans="24:34">
      <c r="X93" s="334"/>
      <c r="Y93" s="334"/>
      <c r="Z93" s="334"/>
      <c r="AA93" s="352"/>
      <c r="AB93" s="335"/>
      <c r="AC93" s="334"/>
      <c r="AF93" s="334"/>
      <c r="AG93" s="335"/>
      <c r="AH93" s="333"/>
    </row>
    <row r="94" spans="24:34">
      <c r="X94" s="334"/>
      <c r="Y94" s="334"/>
      <c r="Z94" s="334"/>
      <c r="AA94" s="352"/>
      <c r="AB94" s="335"/>
      <c r="AC94" s="334"/>
      <c r="AF94" s="334"/>
      <c r="AG94" s="335"/>
      <c r="AH94" s="333"/>
    </row>
    <row r="95" spans="24:34">
      <c r="AH95" s="333"/>
    </row>
    <row r="97" spans="24:34">
      <c r="X97" s="334"/>
      <c r="Y97" s="334"/>
      <c r="Z97" s="334"/>
      <c r="AA97" s="352"/>
      <c r="AB97" s="335"/>
      <c r="AC97" s="334"/>
      <c r="AF97" s="334"/>
      <c r="AG97" s="335"/>
    </row>
    <row r="98" spans="24:34">
      <c r="X98" s="334"/>
      <c r="Y98" s="334"/>
      <c r="Z98" s="334"/>
      <c r="AA98" s="352"/>
      <c r="AB98" s="335"/>
      <c r="AC98" s="334"/>
      <c r="AF98" s="334"/>
      <c r="AG98" s="335"/>
      <c r="AH98" s="333"/>
    </row>
    <row r="99" spans="24:34">
      <c r="X99" s="334"/>
      <c r="Y99" s="334"/>
      <c r="Z99" s="334"/>
      <c r="AA99" s="352"/>
      <c r="AB99" s="335"/>
      <c r="AC99" s="334"/>
      <c r="AF99" s="334"/>
      <c r="AG99" s="335"/>
      <c r="AH99" s="333"/>
    </row>
    <row r="100" spans="24:34">
      <c r="X100" s="334"/>
      <c r="Y100" s="334"/>
      <c r="Z100" s="334"/>
      <c r="AA100" s="352"/>
      <c r="AB100" s="335"/>
      <c r="AC100" s="334"/>
      <c r="AF100" s="334"/>
      <c r="AG100" s="335"/>
      <c r="AH100" s="333"/>
    </row>
    <row r="101" spans="24:34">
      <c r="AH101" s="333"/>
    </row>
    <row r="103" spans="24:34">
      <c r="X103" s="334"/>
      <c r="Y103" s="334"/>
      <c r="Z103" s="334"/>
      <c r="AA103" s="352"/>
      <c r="AB103" s="335"/>
      <c r="AC103" s="334"/>
      <c r="AF103" s="334"/>
      <c r="AG103" s="335"/>
    </row>
    <row r="104" spans="24:34">
      <c r="X104" s="334"/>
      <c r="Y104" s="334"/>
      <c r="Z104" s="334"/>
      <c r="AA104" s="352"/>
      <c r="AB104" s="335"/>
      <c r="AC104" s="334"/>
      <c r="AF104" s="334"/>
      <c r="AG104" s="335"/>
      <c r="AH104" s="333"/>
    </row>
    <row r="105" spans="24:34">
      <c r="X105" s="334"/>
      <c r="Y105" s="334"/>
      <c r="Z105" s="334"/>
      <c r="AA105" s="352"/>
      <c r="AB105" s="335"/>
      <c r="AC105" s="334"/>
      <c r="AF105" s="334"/>
      <c r="AG105" s="335"/>
      <c r="AH105" s="333"/>
    </row>
    <row r="106" spans="24:34">
      <c r="X106" s="334"/>
      <c r="Y106" s="334"/>
      <c r="Z106" s="334"/>
      <c r="AA106" s="352"/>
      <c r="AB106" s="335"/>
      <c r="AC106" s="334"/>
      <c r="AF106" s="334"/>
      <c r="AG106" s="335"/>
      <c r="AH106" s="333"/>
    </row>
    <row r="107" spans="24:34">
      <c r="AH107" s="333"/>
    </row>
    <row r="109" spans="24:34">
      <c r="X109" s="334"/>
      <c r="Y109" s="334"/>
      <c r="Z109" s="334"/>
      <c r="AA109" s="352"/>
      <c r="AB109" s="335"/>
      <c r="AC109" s="334"/>
      <c r="AF109" s="334"/>
      <c r="AG109" s="335"/>
    </row>
    <row r="110" spans="24:34">
      <c r="X110" s="334"/>
      <c r="Y110" s="334"/>
      <c r="Z110" s="334"/>
      <c r="AA110" s="352"/>
      <c r="AB110" s="335"/>
      <c r="AC110" s="334"/>
      <c r="AF110" s="334"/>
      <c r="AG110" s="335"/>
    </row>
    <row r="111" spans="24:34">
      <c r="X111" s="334"/>
      <c r="Y111" s="334"/>
      <c r="Z111" s="334"/>
      <c r="AA111" s="352"/>
      <c r="AB111" s="335"/>
      <c r="AC111" s="334"/>
      <c r="AF111" s="334"/>
      <c r="AG111" s="335"/>
    </row>
    <row r="112" spans="24:34">
      <c r="X112" s="334"/>
      <c r="Y112" s="334"/>
      <c r="Z112" s="334"/>
      <c r="AA112" s="352"/>
      <c r="AB112" s="335"/>
      <c r="AC112" s="334"/>
      <c r="AF112" s="334"/>
      <c r="AG112" s="335"/>
    </row>
  </sheetData>
  <mergeCells count="5">
    <mergeCell ref="B2:C2"/>
    <mergeCell ref="AH2:AK2"/>
    <mergeCell ref="B18:C18"/>
    <mergeCell ref="B19:C19"/>
    <mergeCell ref="L31:N31"/>
  </mergeCells>
  <pageMargins left="0.25" right="0.25" top="0.3" bottom="0.44" header="0.23" footer="0.21"/>
  <pageSetup scale="73" orientation="landscape" r:id="rId1"/>
  <headerFooter alignWithMargins="0"/>
  <drawing r:id="rId2"/>
  <legacyDrawing r:id="rId3"/>
  <controls>
    <mc:AlternateContent xmlns:mc="http://schemas.openxmlformats.org/markup-compatibility/2006">
      <mc:Choice Requires="x14">
        <control shapeId="999425" r:id="rId4" name="DataCompleted">
          <controlPr defaultSize="0" autoFill="0" autoLine="0" autoPict="0" linkedCell="A64" r:id="rId5">
            <anchor moveWithCells="1">
              <from>
                <xdr:col>1</xdr:col>
                <xdr:colOff>1019175</xdr:colOff>
                <xdr:row>8</xdr:row>
                <xdr:rowOff>66675</xdr:rowOff>
              </from>
              <to>
                <xdr:col>1</xdr:col>
                <xdr:colOff>1143000</xdr:colOff>
                <xdr:row>8</xdr:row>
                <xdr:rowOff>190500</xdr:rowOff>
              </to>
            </anchor>
          </controlPr>
        </control>
      </mc:Choice>
      <mc:Fallback>
        <control shapeId="999425" r:id="rId4" name="DataCompleted"/>
      </mc:Fallback>
    </mc:AlternateContent>
  </control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459"/>
  <sheetViews>
    <sheetView view="pageBreakPreview" zoomScale="60" zoomScaleNormal="80" workbookViewId="0">
      <pane ySplit="8" topLeftCell="A254" activePane="bottomLeft" state="frozen"/>
      <selection activeCell="AP280" sqref="AP280"/>
      <selection pane="bottomLeft" activeCell="AP280" sqref="AP280"/>
    </sheetView>
  </sheetViews>
  <sheetFormatPr defaultRowHeight="15"/>
  <cols>
    <col min="1" max="1" width="36.28515625" style="834" customWidth="1"/>
    <col min="2" max="5" width="16.42578125" style="834" customWidth="1"/>
    <col min="6" max="16384" width="9.140625" style="834"/>
  </cols>
  <sheetData>
    <row r="1" spans="1:5">
      <c r="A1" s="216" t="s">
        <v>2806</v>
      </c>
      <c r="D1" s="1557" t="s">
        <v>2807</v>
      </c>
      <c r="E1" s="1557"/>
    </row>
    <row r="2" spans="1:5">
      <c r="A2" s="216" t="s">
        <v>2977</v>
      </c>
      <c r="D2" s="216" t="s">
        <v>1720</v>
      </c>
      <c r="E2" s="1196">
        <f ca="1">'Reg - Price Out '!AR2</f>
        <v>1.1598626149779495E-2</v>
      </c>
    </row>
    <row r="3" spans="1:5">
      <c r="A3" s="216"/>
      <c r="D3" s="216" t="s">
        <v>2808</v>
      </c>
      <c r="E3" s="1196">
        <f ca="1">'Reg - Price Out '!$AR$3</f>
        <v>0.32695588961321714</v>
      </c>
    </row>
    <row r="4" spans="1:5">
      <c r="A4" s="216"/>
      <c r="D4" s="216" t="s">
        <v>1707</v>
      </c>
      <c r="E4" s="1196">
        <f ca="1">'Reg - Price Out '!$AR$3</f>
        <v>0.32695588961321714</v>
      </c>
    </row>
    <row r="5" spans="1:5">
      <c r="A5" s="216"/>
      <c r="D5" s="216" t="s">
        <v>5</v>
      </c>
      <c r="E5" s="1196">
        <f ca="1">'Reg - Price Out '!AR4</f>
        <v>0.14051524584753344</v>
      </c>
    </row>
    <row r="6" spans="1:5">
      <c r="A6" s="216"/>
      <c r="D6" s="216" t="s">
        <v>2980</v>
      </c>
      <c r="E6" s="1196">
        <f ca="1">'JBLM Housing - Price Out'!AS2</f>
        <v>-0.2227711883921219</v>
      </c>
    </row>
    <row r="7" spans="1:5" ht="15.75" thickBot="1"/>
    <row r="8" spans="1:5" s="1183" customFormat="1" ht="30.75" thickBot="1">
      <c r="A8" s="1180"/>
      <c r="B8" s="1181" t="s">
        <v>2809</v>
      </c>
      <c r="C8" s="1181" t="s">
        <v>2978</v>
      </c>
      <c r="D8" s="1181" t="s">
        <v>595</v>
      </c>
      <c r="E8" s="1182" t="s">
        <v>2979</v>
      </c>
    </row>
    <row r="9" spans="1:5" s="1078" customFormat="1"/>
    <row r="10" spans="1:5">
      <c r="A10" s="1184" t="s">
        <v>2810</v>
      </c>
      <c r="B10" s="1185"/>
      <c r="C10" s="1185"/>
      <c r="D10" s="1185"/>
      <c r="E10" s="1185"/>
    </row>
    <row r="11" spans="1:5">
      <c r="A11" s="1186" t="s">
        <v>2811</v>
      </c>
      <c r="B11" s="453">
        <v>21.5</v>
      </c>
      <c r="C11" s="453"/>
      <c r="D11" s="453">
        <f ca="1">+ROUND($E$2*B11,2)</f>
        <v>0.25</v>
      </c>
      <c r="E11" s="453">
        <f ca="1">+SUM(B11:D11)</f>
        <v>21.75</v>
      </c>
    </row>
    <row r="12" spans="1:5">
      <c r="B12" s="453"/>
      <c r="C12" s="453"/>
      <c r="D12" s="453"/>
      <c r="E12" s="453"/>
    </row>
    <row r="13" spans="1:5">
      <c r="A13" s="1184" t="s">
        <v>2812</v>
      </c>
      <c r="B13" s="1185"/>
      <c r="C13" s="1185"/>
      <c r="D13" s="1185"/>
      <c r="E13" s="1185"/>
    </row>
    <row r="14" spans="1:5">
      <c r="A14" s="1186" t="s">
        <v>2813</v>
      </c>
      <c r="B14" s="453">
        <v>12.65</v>
      </c>
      <c r="C14" s="453"/>
      <c r="D14" s="453">
        <f ca="1">+ROUND($E$2*B14,2)</f>
        <v>0.15</v>
      </c>
      <c r="E14" s="453">
        <f ca="1">+SUM(B14:D14)</f>
        <v>12.8</v>
      </c>
    </row>
    <row r="15" spans="1:5">
      <c r="B15" s="453"/>
      <c r="C15" s="453"/>
      <c r="D15" s="453"/>
      <c r="E15" s="453"/>
    </row>
    <row r="16" spans="1:5">
      <c r="A16" s="1184" t="s">
        <v>2814</v>
      </c>
      <c r="B16" s="1185"/>
      <c r="C16" s="1185"/>
      <c r="D16" s="1185"/>
      <c r="E16" s="1185"/>
    </row>
    <row r="17" spans="1:5">
      <c r="A17" s="1187" t="s">
        <v>2815</v>
      </c>
      <c r="B17" s="453"/>
      <c r="C17" s="453"/>
      <c r="D17" s="453"/>
      <c r="E17" s="453"/>
    </row>
    <row r="18" spans="1:5">
      <c r="A18" s="1188" t="s">
        <v>5</v>
      </c>
      <c r="B18" s="453">
        <v>13.7</v>
      </c>
      <c r="C18" s="453"/>
      <c r="D18" s="1189">
        <f ca="1">+ROUND($E$5*B18,2)</f>
        <v>1.93</v>
      </c>
      <c r="E18" s="453">
        <f t="shared" ref="E18:E21" ca="1" si="0">+SUM(B18:D18)</f>
        <v>15.629999999999999</v>
      </c>
    </row>
    <row r="19" spans="1:5">
      <c r="A19" s="1188" t="s">
        <v>926</v>
      </c>
      <c r="B19" s="453">
        <v>17.25</v>
      </c>
      <c r="C19" s="453"/>
      <c r="D19" s="1189">
        <f ca="1">+ROUND($E$2*B19,2)</f>
        <v>0.2</v>
      </c>
      <c r="E19" s="453">
        <f t="shared" ca="1" si="0"/>
        <v>17.45</v>
      </c>
    </row>
    <row r="20" spans="1:5">
      <c r="A20" s="1188" t="s">
        <v>6</v>
      </c>
      <c r="B20" s="453">
        <v>60</v>
      </c>
      <c r="C20" s="453"/>
      <c r="D20" s="1189">
        <f ca="1">+ROUND($E$2*B20,2)</f>
        <v>0.7</v>
      </c>
      <c r="E20" s="453">
        <f t="shared" ca="1" si="0"/>
        <v>60.7</v>
      </c>
    </row>
    <row r="21" spans="1:5">
      <c r="A21" s="1188" t="s">
        <v>4</v>
      </c>
      <c r="B21" s="453">
        <v>13.12</v>
      </c>
      <c r="C21" s="453"/>
      <c r="D21" s="1189">
        <f ca="1">+ROUND($E$3*B21,2)</f>
        <v>4.29</v>
      </c>
      <c r="E21" s="453">
        <f t="shared" ca="1" si="0"/>
        <v>17.41</v>
      </c>
    </row>
    <row r="22" spans="1:5">
      <c r="A22" s="1188" t="s">
        <v>2816</v>
      </c>
      <c r="B22" s="453"/>
      <c r="C22" s="453"/>
      <c r="D22" s="453"/>
      <c r="E22" s="453"/>
    </row>
    <row r="23" spans="1:5">
      <c r="A23" s="1188"/>
      <c r="B23" s="453"/>
      <c r="C23" s="453"/>
      <c r="D23" s="453"/>
      <c r="E23" s="453"/>
    </row>
    <row r="24" spans="1:5">
      <c r="B24" s="453"/>
      <c r="C24" s="453"/>
      <c r="D24" s="453"/>
      <c r="E24" s="453"/>
    </row>
    <row r="25" spans="1:5">
      <c r="A25" s="1184" t="s">
        <v>2817</v>
      </c>
      <c r="B25" s="1185"/>
      <c r="C25" s="1185"/>
      <c r="D25" s="1185"/>
      <c r="E25" s="1185"/>
    </row>
    <row r="26" spans="1:5">
      <c r="A26" s="1186" t="s">
        <v>2818</v>
      </c>
      <c r="B26" s="453">
        <v>7.74</v>
      </c>
      <c r="C26" s="453">
        <f>'[49]To Populate Tariff'!$G$2</f>
        <v>4.2355941326543523E-2</v>
      </c>
      <c r="D26" s="453">
        <f ca="1">+ROUND($E$2*B26,2)</f>
        <v>0.09</v>
      </c>
      <c r="E26" s="453">
        <f ca="1">+SUM(B26:D26)</f>
        <v>7.8723559413265436</v>
      </c>
    </row>
    <row r="27" spans="1:5">
      <c r="B27" s="453"/>
      <c r="C27" s="453"/>
      <c r="D27" s="453"/>
      <c r="E27" s="453"/>
    </row>
    <row r="28" spans="1:5">
      <c r="A28" s="1184" t="s">
        <v>2819</v>
      </c>
      <c r="B28" s="1185"/>
      <c r="C28" s="1185"/>
      <c r="D28" s="1185"/>
      <c r="E28" s="1185"/>
    </row>
    <row r="29" spans="1:5">
      <c r="A29" s="1187" t="s">
        <v>2820</v>
      </c>
      <c r="B29" s="453"/>
      <c r="C29" s="453"/>
      <c r="D29" s="453"/>
      <c r="E29" s="453"/>
    </row>
    <row r="30" spans="1:5">
      <c r="A30" s="1188" t="s">
        <v>2821</v>
      </c>
      <c r="B30" s="453">
        <v>89.75</v>
      </c>
      <c r="C30" s="453"/>
      <c r="D30" s="453">
        <f ca="1">+ROUND($E$2*B30,2)</f>
        <v>1.04</v>
      </c>
      <c r="E30" s="453">
        <f ca="1">+SUM(B30:D30)</f>
        <v>90.79</v>
      </c>
    </row>
    <row r="31" spans="1:5">
      <c r="A31" s="1188" t="s">
        <v>2822</v>
      </c>
      <c r="B31" s="453">
        <v>89.75</v>
      </c>
      <c r="C31" s="453"/>
      <c r="D31" s="453">
        <f ca="1">+ROUND($E$2*B31,2)</f>
        <v>1.04</v>
      </c>
      <c r="E31" s="453">
        <f ca="1">+SUM(B31:D31)</f>
        <v>90.79</v>
      </c>
    </row>
    <row r="32" spans="1:5">
      <c r="B32" s="453"/>
      <c r="C32" s="453"/>
      <c r="D32" s="453"/>
      <c r="E32" s="453"/>
    </row>
    <row r="33" spans="1:5">
      <c r="A33" s="1184" t="s">
        <v>2823</v>
      </c>
      <c r="B33" s="1185"/>
      <c r="C33" s="1185"/>
      <c r="D33" s="1185"/>
      <c r="E33" s="1185"/>
    </row>
    <row r="34" spans="1:5">
      <c r="A34" s="1187" t="s">
        <v>2824</v>
      </c>
      <c r="B34" s="453"/>
      <c r="C34" s="453"/>
      <c r="D34" s="453"/>
      <c r="E34" s="453"/>
    </row>
    <row r="35" spans="1:5">
      <c r="A35" s="1188" t="s">
        <v>2825</v>
      </c>
      <c r="B35" s="453">
        <v>6.35</v>
      </c>
      <c r="C35" s="453"/>
      <c r="D35" s="453">
        <f t="shared" ref="D35:D39" ca="1" si="1">+ROUND($E$2*B35,2)</f>
        <v>7.0000000000000007E-2</v>
      </c>
      <c r="E35" s="453">
        <f t="shared" ref="E35:E39" ca="1" si="2">+SUM(B35:D35)</f>
        <v>6.42</v>
      </c>
    </row>
    <row r="36" spans="1:5">
      <c r="A36" s="1188" t="s">
        <v>6</v>
      </c>
      <c r="B36" s="453">
        <v>60</v>
      </c>
      <c r="C36" s="453"/>
      <c r="D36" s="453">
        <f t="shared" ca="1" si="1"/>
        <v>0.7</v>
      </c>
      <c r="E36" s="453">
        <f t="shared" ca="1" si="2"/>
        <v>60.7</v>
      </c>
    </row>
    <row r="37" spans="1:5">
      <c r="A37" s="1188" t="s">
        <v>2826</v>
      </c>
      <c r="B37" s="453">
        <v>16.8</v>
      </c>
      <c r="C37" s="453"/>
      <c r="D37" s="453">
        <f t="shared" ca="1" si="1"/>
        <v>0.19</v>
      </c>
      <c r="E37" s="453">
        <f t="shared" ca="1" si="2"/>
        <v>16.990000000000002</v>
      </c>
    </row>
    <row r="38" spans="1:5">
      <c r="A38" s="1188" t="s">
        <v>2827</v>
      </c>
      <c r="B38" s="453">
        <v>7.4</v>
      </c>
      <c r="C38" s="453"/>
      <c r="D38" s="453">
        <f t="shared" ca="1" si="1"/>
        <v>0.09</v>
      </c>
      <c r="E38" s="453">
        <f t="shared" ca="1" si="2"/>
        <v>7.49</v>
      </c>
    </row>
    <row r="39" spans="1:5">
      <c r="A39" s="1188" t="s">
        <v>2828</v>
      </c>
      <c r="B39" s="453">
        <v>9.5</v>
      </c>
      <c r="C39" s="453"/>
      <c r="D39" s="453">
        <f t="shared" ca="1" si="1"/>
        <v>0.11</v>
      </c>
      <c r="E39" s="453">
        <f t="shared" ca="1" si="2"/>
        <v>9.61</v>
      </c>
    </row>
    <row r="40" spans="1:5">
      <c r="B40" s="453"/>
      <c r="C40" s="453"/>
      <c r="D40" s="453"/>
      <c r="E40" s="453"/>
    </row>
    <row r="41" spans="1:5">
      <c r="A41" s="1184" t="s">
        <v>2829</v>
      </c>
      <c r="B41" s="1185"/>
      <c r="C41" s="1185"/>
      <c r="D41" s="1185"/>
      <c r="E41" s="1185"/>
    </row>
    <row r="42" spans="1:5">
      <c r="A42" s="1187" t="s">
        <v>2830</v>
      </c>
      <c r="B42" s="453"/>
      <c r="C42" s="453"/>
      <c r="D42" s="453"/>
      <c r="E42" s="453"/>
    </row>
    <row r="43" spans="1:5">
      <c r="A43" s="1190" t="s">
        <v>3</v>
      </c>
      <c r="B43" s="453"/>
      <c r="C43" s="453"/>
      <c r="D43" s="453"/>
      <c r="E43" s="453"/>
    </row>
    <row r="44" spans="1:5">
      <c r="A44" s="1191" t="s">
        <v>2831</v>
      </c>
      <c r="B44" s="453">
        <v>2.06</v>
      </c>
      <c r="C44" s="453"/>
      <c r="D44" s="453">
        <f t="shared" ref="D44:D45" ca="1" si="3">+ROUND($E$2*B44,2)</f>
        <v>0.02</v>
      </c>
      <c r="E44" s="453">
        <f t="shared" ref="E44:E45" ca="1" si="4">+SUM(B44:D44)</f>
        <v>2.08</v>
      </c>
    </row>
    <row r="45" spans="1:5">
      <c r="A45" s="1191" t="s">
        <v>2832</v>
      </c>
      <c r="B45" s="453">
        <v>1.32</v>
      </c>
      <c r="C45" s="453"/>
      <c r="D45" s="453">
        <f t="shared" ca="1" si="3"/>
        <v>0.02</v>
      </c>
      <c r="E45" s="453">
        <f t="shared" ca="1" si="4"/>
        <v>1.34</v>
      </c>
    </row>
    <row r="46" spans="1:5">
      <c r="B46" s="453"/>
      <c r="C46" s="453"/>
      <c r="D46" s="453"/>
      <c r="E46" s="453"/>
    </row>
    <row r="47" spans="1:5">
      <c r="A47" s="1190" t="s">
        <v>300</v>
      </c>
      <c r="B47" s="453"/>
      <c r="C47" s="453"/>
      <c r="D47" s="453"/>
      <c r="E47" s="453"/>
    </row>
    <row r="48" spans="1:5">
      <c r="A48" s="1191" t="s">
        <v>2831</v>
      </c>
      <c r="B48" s="453">
        <v>0.48</v>
      </c>
      <c r="C48" s="453"/>
      <c r="D48" s="453">
        <f t="shared" ref="D48:D49" ca="1" si="5">+ROUND($E$2*B48,2)</f>
        <v>0.01</v>
      </c>
      <c r="E48" s="453">
        <f t="shared" ref="E48:E49" ca="1" si="6">+SUM(B48:D48)</f>
        <v>0.49</v>
      </c>
    </row>
    <row r="49" spans="1:5">
      <c r="A49" s="1191" t="s">
        <v>2832</v>
      </c>
      <c r="B49" s="453">
        <v>0.31</v>
      </c>
      <c r="C49" s="453"/>
      <c r="D49" s="453">
        <f t="shared" ca="1" si="5"/>
        <v>0</v>
      </c>
      <c r="E49" s="453">
        <f t="shared" ca="1" si="6"/>
        <v>0.31</v>
      </c>
    </row>
    <row r="50" spans="1:5">
      <c r="B50" s="453"/>
      <c r="C50" s="453"/>
      <c r="D50" s="453"/>
      <c r="E50" s="453"/>
    </row>
    <row r="51" spans="1:5">
      <c r="A51" s="1187" t="s">
        <v>2833</v>
      </c>
      <c r="B51" s="453"/>
      <c r="C51" s="453"/>
      <c r="D51" s="453"/>
      <c r="E51" s="453"/>
    </row>
    <row r="52" spans="1:5">
      <c r="A52" s="1190" t="s">
        <v>3</v>
      </c>
      <c r="B52" s="453"/>
      <c r="C52" s="453"/>
      <c r="D52" s="453"/>
      <c r="E52" s="453"/>
    </row>
    <row r="53" spans="1:5">
      <c r="A53" s="1191" t="s">
        <v>2834</v>
      </c>
      <c r="B53" s="453">
        <v>7.02</v>
      </c>
      <c r="C53" s="453"/>
      <c r="D53" s="453">
        <f ca="1">+ROUND($E$2*B53,2)</f>
        <v>0.08</v>
      </c>
      <c r="E53" s="453">
        <f ca="1">+SUM(B53:D53)</f>
        <v>7.1</v>
      </c>
    </row>
    <row r="54" spans="1:5">
      <c r="A54" s="1191" t="s">
        <v>2835</v>
      </c>
      <c r="B54" s="453">
        <v>1.43</v>
      </c>
      <c r="C54" s="453"/>
      <c r="D54" s="453">
        <f ca="1">+ROUND($E$2*B54,2)</f>
        <v>0.02</v>
      </c>
      <c r="E54" s="453">
        <f ca="1">+SUM(B54:D54)</f>
        <v>1.45</v>
      </c>
    </row>
    <row r="55" spans="1:5">
      <c r="A55" s="1191"/>
      <c r="B55" s="453"/>
      <c r="C55" s="453"/>
      <c r="D55" s="453"/>
      <c r="E55" s="453"/>
    </row>
    <row r="56" spans="1:5">
      <c r="A56" s="1190" t="s">
        <v>300</v>
      </c>
      <c r="B56" s="453"/>
      <c r="C56" s="453"/>
      <c r="D56" s="453"/>
      <c r="E56" s="453"/>
    </row>
    <row r="57" spans="1:5">
      <c r="A57" s="1191" t="s">
        <v>2836</v>
      </c>
      <c r="B57" s="453">
        <v>1.62</v>
      </c>
      <c r="C57" s="453"/>
      <c r="D57" s="453">
        <f ca="1">+ROUND($E$2*B57,2)</f>
        <v>0.02</v>
      </c>
      <c r="E57" s="453">
        <f ca="1">+SUM(B57:D57)</f>
        <v>1.6400000000000001</v>
      </c>
    </row>
    <row r="58" spans="1:5">
      <c r="A58" s="1191" t="s">
        <v>2835</v>
      </c>
      <c r="B58" s="453">
        <v>0.33</v>
      </c>
      <c r="C58" s="453"/>
      <c r="D58" s="453">
        <f ca="1">+ROUND($E$2*B58,2)</f>
        <v>0</v>
      </c>
      <c r="E58" s="453">
        <f ca="1">+SUM(B58:D58)</f>
        <v>0.33</v>
      </c>
    </row>
    <row r="59" spans="1:5">
      <c r="B59" s="453"/>
      <c r="C59" s="453"/>
      <c r="D59" s="453"/>
      <c r="E59" s="453"/>
    </row>
    <row r="60" spans="1:5">
      <c r="A60" s="1186" t="s">
        <v>2837</v>
      </c>
      <c r="B60" s="453">
        <v>3.4</v>
      </c>
      <c r="C60" s="453"/>
      <c r="D60" s="453">
        <f ca="1">+ROUND($E$2*B60,2)</f>
        <v>0.04</v>
      </c>
      <c r="E60" s="453">
        <f ca="1">+SUM(B60:D60)</f>
        <v>3.44</v>
      </c>
    </row>
    <row r="61" spans="1:5">
      <c r="B61" s="453"/>
      <c r="C61" s="453"/>
      <c r="D61" s="453"/>
      <c r="E61" s="453"/>
    </row>
    <row r="62" spans="1:5">
      <c r="A62" s="1184" t="s">
        <v>2838</v>
      </c>
      <c r="B62" s="1185"/>
      <c r="C62" s="1185"/>
      <c r="D62" s="1185"/>
      <c r="E62" s="1185"/>
    </row>
    <row r="63" spans="1:5">
      <c r="A63" s="1187" t="s">
        <v>2839</v>
      </c>
      <c r="B63" s="453"/>
      <c r="C63" s="453"/>
      <c r="D63" s="453"/>
      <c r="E63" s="453"/>
    </row>
    <row r="64" spans="1:5">
      <c r="A64" s="1190" t="s">
        <v>3</v>
      </c>
      <c r="B64" s="453"/>
      <c r="C64" s="453"/>
      <c r="D64" s="453"/>
      <c r="E64" s="453"/>
    </row>
    <row r="65" spans="1:5">
      <c r="A65" s="1191" t="s">
        <v>2840</v>
      </c>
      <c r="B65" s="453">
        <v>0.37</v>
      </c>
      <c r="C65" s="453"/>
      <c r="D65" s="453">
        <f t="shared" ref="D65:D67" ca="1" si="7">+ROUND($E$2*B65,2)</f>
        <v>0</v>
      </c>
      <c r="E65" s="453">
        <f t="shared" ref="E65:E67" ca="1" si="8">+SUM(B65:D65)</f>
        <v>0.37</v>
      </c>
    </row>
    <row r="66" spans="1:5">
      <c r="A66" s="1191" t="s">
        <v>2841</v>
      </c>
      <c r="B66" s="453">
        <v>0.69</v>
      </c>
      <c r="C66" s="453"/>
      <c r="D66" s="453">
        <f t="shared" ca="1" si="7"/>
        <v>0.01</v>
      </c>
      <c r="E66" s="453">
        <f t="shared" ca="1" si="8"/>
        <v>0.7</v>
      </c>
    </row>
    <row r="67" spans="1:5">
      <c r="A67" s="1191" t="s">
        <v>2842</v>
      </c>
      <c r="B67" s="453">
        <v>0.69</v>
      </c>
      <c r="C67" s="453"/>
      <c r="D67" s="453">
        <f t="shared" ca="1" si="7"/>
        <v>0.01</v>
      </c>
      <c r="E67" s="453">
        <f t="shared" ca="1" si="8"/>
        <v>0.7</v>
      </c>
    </row>
    <row r="68" spans="1:5">
      <c r="A68" s="1191" t="s">
        <v>2843</v>
      </c>
      <c r="B68" s="453">
        <v>4.8</v>
      </c>
      <c r="C68" s="453"/>
      <c r="D68" s="453">
        <f t="shared" ref="D68" ca="1" si="9">+ROUND($E$2*B68,2)</f>
        <v>0.06</v>
      </c>
      <c r="E68" s="453">
        <f t="shared" ref="E68" ca="1" si="10">+SUM(B68:D68)</f>
        <v>4.8599999999999994</v>
      </c>
    </row>
    <row r="69" spans="1:5">
      <c r="A69" s="1191"/>
      <c r="B69" s="453"/>
      <c r="C69" s="453"/>
      <c r="D69" s="453"/>
      <c r="E69" s="453"/>
    </row>
    <row r="70" spans="1:5">
      <c r="A70" s="1190" t="s">
        <v>300</v>
      </c>
      <c r="B70" s="453"/>
      <c r="C70" s="453"/>
      <c r="D70" s="453"/>
      <c r="E70" s="453"/>
    </row>
    <row r="71" spans="1:5">
      <c r="A71" s="1191" t="s">
        <v>2840</v>
      </c>
      <c r="B71" s="453">
        <v>0.08</v>
      </c>
      <c r="C71" s="453"/>
      <c r="D71" s="453">
        <f t="shared" ref="D71:D74" ca="1" si="11">+ROUND($E$2*B71,2)</f>
        <v>0</v>
      </c>
      <c r="E71" s="453">
        <f t="shared" ref="E71:E74" ca="1" si="12">+SUM(B71:D71)</f>
        <v>0.08</v>
      </c>
    </row>
    <row r="72" spans="1:5">
      <c r="A72" s="1191" t="s">
        <v>2841</v>
      </c>
      <c r="B72" s="453">
        <v>0.15</v>
      </c>
      <c r="C72" s="453"/>
      <c r="D72" s="453">
        <f t="shared" ca="1" si="11"/>
        <v>0</v>
      </c>
      <c r="E72" s="453">
        <f t="shared" ca="1" si="12"/>
        <v>0.15</v>
      </c>
    </row>
    <row r="73" spans="1:5">
      <c r="A73" s="1191" t="s">
        <v>2842</v>
      </c>
      <c r="B73" s="453">
        <v>0.15</v>
      </c>
      <c r="C73" s="453"/>
      <c r="D73" s="453">
        <f t="shared" ca="1" si="11"/>
        <v>0</v>
      </c>
      <c r="E73" s="453">
        <f t="shared" ca="1" si="12"/>
        <v>0.15</v>
      </c>
    </row>
    <row r="74" spans="1:5">
      <c r="A74" s="1191" t="s">
        <v>2843</v>
      </c>
      <c r="B74" s="453">
        <v>1.1000000000000001</v>
      </c>
      <c r="C74" s="453"/>
      <c r="D74" s="453">
        <f t="shared" ca="1" si="11"/>
        <v>0.01</v>
      </c>
      <c r="E74" s="453">
        <f t="shared" ca="1" si="12"/>
        <v>1.1100000000000001</v>
      </c>
    </row>
    <row r="75" spans="1:5">
      <c r="A75" s="1191"/>
      <c r="B75" s="453"/>
      <c r="C75" s="453"/>
      <c r="D75" s="453"/>
      <c r="E75" s="453"/>
    </row>
    <row r="76" spans="1:5">
      <c r="A76" s="1184" t="s">
        <v>2844</v>
      </c>
      <c r="B76" s="1185"/>
      <c r="C76" s="1185"/>
      <c r="D76" s="1185"/>
      <c r="E76" s="1185"/>
    </row>
    <row r="77" spans="1:5">
      <c r="A77" s="1187" t="s">
        <v>2845</v>
      </c>
      <c r="B77" s="453"/>
      <c r="C77" s="453"/>
      <c r="D77" s="453"/>
      <c r="E77" s="453"/>
    </row>
    <row r="78" spans="1:5">
      <c r="A78" s="1188" t="s">
        <v>2846</v>
      </c>
      <c r="B78" s="1189">
        <v>19.21</v>
      </c>
      <c r="C78" s="1189">
        <f>'[49]To Populate Tariff'!$G$22</f>
        <v>0.18354241241502223</v>
      </c>
      <c r="D78" s="453">
        <f t="shared" ref="D78:D80" ca="1" si="13">+ROUND($E$2*B78,2)</f>
        <v>0.22</v>
      </c>
      <c r="E78" s="453">
        <f t="shared" ref="E78:E80" ca="1" si="14">+SUM(B78:D78)</f>
        <v>19.613542412415022</v>
      </c>
    </row>
    <row r="79" spans="1:5">
      <c r="A79" s="1188" t="s">
        <v>2847</v>
      </c>
      <c r="B79" s="1189">
        <v>26.59</v>
      </c>
      <c r="C79" s="1189">
        <f>'[49]To Populate Tariff'!$G$27</f>
        <v>0.25372039363253052</v>
      </c>
      <c r="D79" s="453">
        <f t="shared" ca="1" si="13"/>
        <v>0.31</v>
      </c>
      <c r="E79" s="453">
        <f t="shared" ca="1" si="14"/>
        <v>27.153720393632529</v>
      </c>
    </row>
    <row r="80" spans="1:5">
      <c r="A80" s="1188" t="s">
        <v>2848</v>
      </c>
      <c r="B80" s="1189">
        <v>35.24</v>
      </c>
      <c r="C80" s="1189">
        <f>'[49]To Populate Tariff'!$G$33</f>
        <v>0.36708482483004445</v>
      </c>
      <c r="D80" s="453">
        <f t="shared" ca="1" si="13"/>
        <v>0.41</v>
      </c>
      <c r="E80" s="453">
        <f t="shared" ca="1" si="14"/>
        <v>36.017084824830043</v>
      </c>
    </row>
    <row r="81" spans="1:7">
      <c r="B81" s="453"/>
      <c r="C81" s="1189"/>
      <c r="D81" s="453"/>
      <c r="E81" s="453"/>
    </row>
    <row r="82" spans="1:7">
      <c r="A82" s="1187" t="s">
        <v>2849</v>
      </c>
      <c r="B82" s="453"/>
      <c r="C82" s="1189"/>
      <c r="D82" s="453"/>
      <c r="E82" s="453"/>
    </row>
    <row r="83" spans="1:7">
      <c r="A83" s="1188" t="s">
        <v>2846</v>
      </c>
      <c r="B83" s="1189">
        <v>20.21</v>
      </c>
      <c r="C83" s="1189">
        <f t="shared" ref="C83:D85" si="15">C78</f>
        <v>0.18354241241502223</v>
      </c>
      <c r="D83" s="453">
        <f t="shared" ca="1" si="15"/>
        <v>0.22</v>
      </c>
      <c r="E83" s="453">
        <f t="shared" ref="E83:E85" ca="1" si="16">+SUM(B83:D83)</f>
        <v>20.613542412415022</v>
      </c>
      <c r="G83" s="1192"/>
    </row>
    <row r="84" spans="1:7">
      <c r="A84" s="1188" t="s">
        <v>2847</v>
      </c>
      <c r="B84" s="1189">
        <v>28.59</v>
      </c>
      <c r="C84" s="1189">
        <f t="shared" si="15"/>
        <v>0.25372039363253052</v>
      </c>
      <c r="D84" s="453">
        <f t="shared" ca="1" si="15"/>
        <v>0.31</v>
      </c>
      <c r="E84" s="453">
        <f t="shared" ca="1" si="16"/>
        <v>29.153720393632529</v>
      </c>
    </row>
    <row r="85" spans="1:7">
      <c r="A85" s="1188" t="s">
        <v>2848</v>
      </c>
      <c r="B85" s="1189">
        <v>38.24</v>
      </c>
      <c r="C85" s="1189">
        <f t="shared" si="15"/>
        <v>0.36708482483004445</v>
      </c>
      <c r="D85" s="453">
        <f t="shared" ca="1" si="15"/>
        <v>0.41</v>
      </c>
      <c r="E85" s="453">
        <f t="shared" ca="1" si="16"/>
        <v>39.017084824830043</v>
      </c>
    </row>
    <row r="86" spans="1:7">
      <c r="B86" s="453"/>
      <c r="C86" s="1189"/>
      <c r="D86" s="453"/>
      <c r="E86" s="453"/>
    </row>
    <row r="87" spans="1:7">
      <c r="A87" s="1187" t="s">
        <v>2850</v>
      </c>
      <c r="B87" s="453"/>
      <c r="C87" s="1189"/>
      <c r="D87" s="453"/>
      <c r="E87" s="453"/>
    </row>
    <row r="88" spans="1:7">
      <c r="A88" s="1188" t="s">
        <v>2846</v>
      </c>
      <c r="B88" s="453">
        <v>12.78</v>
      </c>
      <c r="C88" s="1189">
        <f>'[49]To Populate Tariff'!$G$21</f>
        <v>9.1771206207511113E-2</v>
      </c>
      <c r="D88" s="453">
        <f t="shared" ref="D88:D90" ca="1" si="17">+ROUND($E$2*B88,2)</f>
        <v>0.15</v>
      </c>
      <c r="E88" s="453">
        <f t="shared" ref="E88:E90" ca="1" si="18">+SUM(B88:D88)</f>
        <v>13.021771206207511</v>
      </c>
    </row>
    <row r="89" spans="1:7">
      <c r="A89" s="1188" t="s">
        <v>2847</v>
      </c>
      <c r="B89" s="453">
        <v>16.579999999999998</v>
      </c>
      <c r="C89" s="1189">
        <f>'[49]To Populate Tariff'!$G$29</f>
        <v>0.12686019681626703</v>
      </c>
      <c r="D89" s="453">
        <f t="shared" ca="1" si="17"/>
        <v>0.19</v>
      </c>
      <c r="E89" s="453">
        <f t="shared" ca="1" si="18"/>
        <v>16.896860196816267</v>
      </c>
    </row>
    <row r="90" spans="1:7">
      <c r="A90" s="1188" t="s">
        <v>2848</v>
      </c>
      <c r="B90" s="453">
        <v>21.76</v>
      </c>
      <c r="C90" s="1189">
        <f>'[49]To Populate Tariff'!$G$35</f>
        <v>0.18354241241502223</v>
      </c>
      <c r="D90" s="453">
        <f t="shared" ca="1" si="17"/>
        <v>0.25</v>
      </c>
      <c r="E90" s="453">
        <f t="shared" ca="1" si="18"/>
        <v>22.193542412415024</v>
      </c>
    </row>
    <row r="91" spans="1:7">
      <c r="B91" s="453"/>
      <c r="C91" s="1189"/>
      <c r="D91" s="453"/>
      <c r="E91" s="453"/>
    </row>
    <row r="92" spans="1:7">
      <c r="A92" s="1187" t="s">
        <v>2851</v>
      </c>
      <c r="B92" s="453"/>
      <c r="C92" s="1189"/>
      <c r="D92" s="453"/>
      <c r="E92" s="453"/>
    </row>
    <row r="93" spans="1:7">
      <c r="A93" s="1188" t="s">
        <v>2846</v>
      </c>
      <c r="B93" s="453">
        <v>13.78</v>
      </c>
      <c r="C93" s="1189">
        <f>C88</f>
        <v>9.1771206207511113E-2</v>
      </c>
      <c r="D93" s="453">
        <f ca="1">D88</f>
        <v>0.15</v>
      </c>
      <c r="E93" s="453">
        <f t="shared" ref="E93:E95" ca="1" si="19">+SUM(B93:D93)</f>
        <v>14.021771206207511</v>
      </c>
      <c r="G93" s="1192"/>
    </row>
    <row r="94" spans="1:7">
      <c r="A94" s="1188" t="s">
        <v>2847</v>
      </c>
      <c r="B94" s="453">
        <v>18.579999999999998</v>
      </c>
      <c r="C94" s="1189">
        <f>'[49]To Populate Tariff'!$G$28</f>
        <v>0.12686019681626703</v>
      </c>
      <c r="D94" s="453">
        <f ca="1">D89</f>
        <v>0.19</v>
      </c>
      <c r="E94" s="453">
        <f t="shared" ca="1" si="19"/>
        <v>18.896860196816267</v>
      </c>
    </row>
    <row r="95" spans="1:7">
      <c r="A95" s="1188" t="s">
        <v>2848</v>
      </c>
      <c r="B95" s="453">
        <v>24.76</v>
      </c>
      <c r="C95" s="1189">
        <f>'[49]To Populate Tariff'!$G$34</f>
        <v>0.18354241241502223</v>
      </c>
      <c r="D95" s="453">
        <f ca="1">D90</f>
        <v>0.25</v>
      </c>
      <c r="E95" s="453">
        <f t="shared" ca="1" si="19"/>
        <v>25.193542412415024</v>
      </c>
    </row>
    <row r="96" spans="1:7">
      <c r="B96" s="453"/>
      <c r="C96" s="1189"/>
      <c r="D96" s="453"/>
      <c r="E96" s="453"/>
    </row>
    <row r="97" spans="1:7">
      <c r="A97" s="1187" t="s">
        <v>2852</v>
      </c>
      <c r="B97" s="453"/>
      <c r="C97" s="1189"/>
      <c r="D97" s="453"/>
      <c r="E97" s="453"/>
    </row>
    <row r="98" spans="1:7">
      <c r="A98" s="1188" t="s">
        <v>2846</v>
      </c>
      <c r="B98" s="453">
        <v>9.3699999999999992</v>
      </c>
      <c r="C98" s="1189">
        <f>'[49]To Populate Tariff'!$G$20</f>
        <v>4.2355941326544411E-2</v>
      </c>
      <c r="D98" s="453">
        <f t="shared" ref="D98:D100" ca="1" si="20">+ROUND($E$2*B98,2)</f>
        <v>0.11</v>
      </c>
      <c r="E98" s="453">
        <f t="shared" ref="E98:E100" ca="1" si="21">+SUM(B98:D98)</f>
        <v>9.5223559413265431</v>
      </c>
    </row>
    <row r="99" spans="1:7">
      <c r="A99" s="1188" t="s">
        <v>2847</v>
      </c>
      <c r="B99" s="453">
        <v>9.42</v>
      </c>
      <c r="C99" s="1189">
        <f>'[49]To Populate Tariff'!$G$25</f>
        <v>5.855086006904564E-2</v>
      </c>
      <c r="D99" s="453">
        <f t="shared" ca="1" si="20"/>
        <v>0.11</v>
      </c>
      <c r="E99" s="453">
        <f t="shared" ca="1" si="21"/>
        <v>9.588550860069045</v>
      </c>
    </row>
    <row r="100" spans="1:7">
      <c r="A100" s="1188" t="s">
        <v>2848</v>
      </c>
      <c r="B100" s="453">
        <v>12.92</v>
      </c>
      <c r="C100" s="1189">
        <f>'[49]To Populate Tariff'!$G$31</f>
        <v>8.4711882653087045E-2</v>
      </c>
      <c r="D100" s="453">
        <f t="shared" ca="1" si="20"/>
        <v>0.15</v>
      </c>
      <c r="E100" s="453">
        <f t="shared" ca="1" si="21"/>
        <v>13.154711882653087</v>
      </c>
    </row>
    <row r="101" spans="1:7">
      <c r="B101" s="453"/>
      <c r="C101" s="1189"/>
      <c r="D101" s="453"/>
      <c r="E101" s="453"/>
    </row>
    <row r="102" spans="1:7">
      <c r="A102" s="1187" t="s">
        <v>2853</v>
      </c>
      <c r="B102" s="453"/>
      <c r="C102" s="1189"/>
      <c r="D102" s="453"/>
      <c r="E102" s="453"/>
    </row>
    <row r="103" spans="1:7">
      <c r="A103" s="1188" t="s">
        <v>2846</v>
      </c>
      <c r="B103" s="453">
        <v>10.37</v>
      </c>
      <c r="C103" s="1189">
        <f>C98</f>
        <v>4.2355941326544411E-2</v>
      </c>
      <c r="D103" s="453">
        <f ca="1">D98</f>
        <v>0.11</v>
      </c>
      <c r="E103" s="453">
        <f t="shared" ref="E103:E105" ca="1" si="22">+SUM(B103:D103)</f>
        <v>10.522355941326543</v>
      </c>
      <c r="G103" s="1192"/>
    </row>
    <row r="104" spans="1:7">
      <c r="A104" s="1188" t="s">
        <v>2847</v>
      </c>
      <c r="B104" s="453">
        <v>11.42</v>
      </c>
      <c r="C104" s="1189">
        <f>'[49]To Populate Tariff'!$G$24</f>
        <v>5.855086006904564E-2</v>
      </c>
      <c r="D104" s="453">
        <f ca="1">D99</f>
        <v>0.11</v>
      </c>
      <c r="E104" s="453">
        <f t="shared" ca="1" si="22"/>
        <v>11.588550860069045</v>
      </c>
    </row>
    <row r="105" spans="1:7">
      <c r="A105" s="1188" t="s">
        <v>2848</v>
      </c>
      <c r="B105" s="453">
        <v>15.92</v>
      </c>
      <c r="C105" s="1189">
        <f>'[49]To Populate Tariff'!$G$30</f>
        <v>8.4711882653087045E-2</v>
      </c>
      <c r="D105" s="453">
        <f ca="1">D100</f>
        <v>0.15</v>
      </c>
      <c r="E105" s="453">
        <f t="shared" ca="1" si="22"/>
        <v>16.154711882653086</v>
      </c>
    </row>
    <row r="106" spans="1:7">
      <c r="B106" s="453"/>
      <c r="C106" s="1189"/>
      <c r="D106" s="453"/>
      <c r="E106" s="453"/>
    </row>
    <row r="107" spans="1:7">
      <c r="A107" s="1187" t="s">
        <v>4</v>
      </c>
      <c r="B107" s="453"/>
      <c r="C107" s="1189"/>
      <c r="D107" s="453"/>
      <c r="E107" s="453"/>
    </row>
    <row r="108" spans="1:7">
      <c r="A108" s="1188" t="s">
        <v>2854</v>
      </c>
      <c r="B108" s="453">
        <v>5.07</v>
      </c>
      <c r="C108" s="1189"/>
      <c r="D108" s="453">
        <f ca="1">+ROUND($E$3*B108,2)</f>
        <v>1.66</v>
      </c>
      <c r="E108" s="453">
        <f t="shared" ref="E108:E109" ca="1" si="23">+SUM(B108:D108)</f>
        <v>6.73</v>
      </c>
    </row>
    <row r="109" spans="1:7">
      <c r="A109" s="1188" t="s">
        <v>2855</v>
      </c>
      <c r="B109" s="453">
        <v>6.07</v>
      </c>
      <c r="C109" s="1189"/>
      <c r="D109" s="1197">
        <f ca="1">D108</f>
        <v>1.66</v>
      </c>
      <c r="E109" s="453">
        <f t="shared" ca="1" si="23"/>
        <v>7.73</v>
      </c>
    </row>
    <row r="110" spans="1:7">
      <c r="A110" s="1191"/>
      <c r="B110" s="453"/>
      <c r="C110" s="1189"/>
      <c r="D110" s="453"/>
      <c r="E110" s="453"/>
    </row>
    <row r="111" spans="1:7">
      <c r="A111" s="1187" t="s">
        <v>2856</v>
      </c>
      <c r="B111" s="453"/>
      <c r="C111" s="1189"/>
      <c r="D111" s="453"/>
      <c r="E111" s="453"/>
    </row>
    <row r="112" spans="1:7">
      <c r="A112" s="1188" t="s">
        <v>2857</v>
      </c>
      <c r="B112" s="453">
        <v>5.53</v>
      </c>
      <c r="C112" s="1189"/>
      <c r="D112" s="453">
        <f ca="1">+ROUND($E$5*B112,2)</f>
        <v>0.78</v>
      </c>
      <c r="E112" s="453">
        <f ca="1">+SUM(B112:D112)</f>
        <v>6.3100000000000005</v>
      </c>
    </row>
    <row r="113" spans="1:5">
      <c r="A113" s="1188" t="s">
        <v>2858</v>
      </c>
      <c r="B113" s="453">
        <v>3.8</v>
      </c>
      <c r="C113" s="1189"/>
      <c r="D113" s="453">
        <f ca="1">+ROUND($E$5*B113,2)</f>
        <v>0.53</v>
      </c>
      <c r="E113" s="453">
        <f ca="1">+SUM(B113:D113)</f>
        <v>4.33</v>
      </c>
    </row>
    <row r="114" spans="1:5">
      <c r="A114" s="1188"/>
      <c r="B114" s="453"/>
      <c r="C114" s="1189"/>
      <c r="D114" s="453"/>
      <c r="E114" s="453"/>
    </row>
    <row r="115" spans="1:5">
      <c r="B115" s="453"/>
      <c r="C115" s="1189"/>
      <c r="D115" s="453"/>
      <c r="E115" s="453"/>
    </row>
    <row r="116" spans="1:5">
      <c r="A116" s="1184" t="s">
        <v>2859</v>
      </c>
      <c r="B116" s="1185"/>
      <c r="C116" s="1185"/>
      <c r="D116" s="1185"/>
      <c r="E116" s="1185"/>
    </row>
    <row r="117" spans="1:5" s="1192" customFormat="1">
      <c r="A117" s="1187" t="s">
        <v>2860</v>
      </c>
      <c r="B117" s="1193"/>
      <c r="C117" s="1193"/>
      <c r="D117" s="1193"/>
      <c r="E117" s="1193"/>
    </row>
    <row r="118" spans="1:5" s="1192" customFormat="1">
      <c r="A118" s="1192" t="s">
        <v>2861</v>
      </c>
      <c r="B118" s="1194">
        <v>3.8</v>
      </c>
      <c r="C118" s="1193"/>
      <c r="D118" s="453">
        <f ca="1">+ROUND($E$2*B118,2)</f>
        <v>0.04</v>
      </c>
      <c r="E118" s="453">
        <f ca="1">+SUM(B118:D118)</f>
        <v>3.84</v>
      </c>
    </row>
    <row r="119" spans="1:5" s="1192" customFormat="1">
      <c r="B119" s="1193"/>
      <c r="C119" s="1193"/>
      <c r="D119" s="1193"/>
      <c r="E119" s="1193"/>
    </row>
    <row r="120" spans="1:5">
      <c r="A120" s="1187" t="s">
        <v>2862</v>
      </c>
      <c r="B120" s="453"/>
      <c r="C120" s="453"/>
      <c r="D120" s="453"/>
      <c r="E120" s="453"/>
    </row>
    <row r="121" spans="1:5">
      <c r="A121" s="1188" t="s">
        <v>2863</v>
      </c>
      <c r="B121" s="453">
        <v>4.3899999999999997</v>
      </c>
      <c r="C121" s="453">
        <f>'[49]To Populate Tariff'!$G$36</f>
        <v>4.2355941326543523E-2</v>
      </c>
      <c r="D121" s="453">
        <f t="shared" ref="D121:D125" ca="1" si="24">+ROUND($E$2*B121,2)</f>
        <v>0.05</v>
      </c>
      <c r="E121" s="453">
        <f t="shared" ref="E121:E125" ca="1" si="25">+SUM(B121:D121)</f>
        <v>4.482355941326543</v>
      </c>
    </row>
    <row r="122" spans="1:5">
      <c r="A122" s="1188" t="s">
        <v>2864</v>
      </c>
      <c r="B122" s="453">
        <v>9.32</v>
      </c>
      <c r="C122" s="453">
        <f>'[49]To Populate Tariff'!$G$37</f>
        <v>5.855086006904564E-2</v>
      </c>
      <c r="D122" s="453">
        <f t="shared" ca="1" si="24"/>
        <v>0.11</v>
      </c>
      <c r="E122" s="453">
        <f t="shared" ca="1" si="25"/>
        <v>9.4885508600690454</v>
      </c>
    </row>
    <row r="123" spans="1:5">
      <c r="A123" s="1188" t="s">
        <v>2865</v>
      </c>
      <c r="B123" s="453">
        <v>12.27</v>
      </c>
      <c r="C123" s="453">
        <f>'[49]To Populate Tariff'!$G$38</f>
        <v>8.4711882653087045E-2</v>
      </c>
      <c r="D123" s="453">
        <f t="shared" ca="1" si="24"/>
        <v>0.14000000000000001</v>
      </c>
      <c r="E123" s="453">
        <f t="shared" ca="1" si="25"/>
        <v>12.494711882653087</v>
      </c>
    </row>
    <row r="124" spans="1:5">
      <c r="A124" s="1188" t="s">
        <v>2866</v>
      </c>
      <c r="B124" s="453">
        <v>2</v>
      </c>
      <c r="C124" s="453"/>
      <c r="D124" s="453">
        <f t="shared" ca="1" si="24"/>
        <v>0.02</v>
      </c>
      <c r="E124" s="453">
        <f t="shared" ca="1" si="25"/>
        <v>2.02</v>
      </c>
    </row>
    <row r="125" spans="1:5">
      <c r="A125" s="1188" t="s">
        <v>2867</v>
      </c>
      <c r="B125" s="453">
        <v>5.09</v>
      </c>
      <c r="C125" s="453">
        <f>'[49]To Populate Tariff'!$G$39</f>
        <v>4.2355941326543523E-2</v>
      </c>
      <c r="D125" s="453">
        <f t="shared" ca="1" si="24"/>
        <v>0.06</v>
      </c>
      <c r="E125" s="453">
        <f t="shared" ca="1" si="25"/>
        <v>5.192355941326543</v>
      </c>
    </row>
    <row r="126" spans="1:5">
      <c r="A126" s="1188"/>
      <c r="B126" s="453"/>
      <c r="C126" s="453"/>
      <c r="D126" s="453"/>
      <c r="E126" s="453"/>
    </row>
    <row r="127" spans="1:5">
      <c r="A127" s="1187" t="s">
        <v>2868</v>
      </c>
      <c r="B127" s="453"/>
      <c r="C127" s="453"/>
      <c r="D127" s="453"/>
      <c r="E127" s="453"/>
    </row>
    <row r="128" spans="1:5">
      <c r="A128" s="1188" t="s">
        <v>2869</v>
      </c>
      <c r="B128" s="453">
        <v>7.89</v>
      </c>
      <c r="C128" s="453"/>
      <c r="D128" s="453">
        <f t="shared" ref="D128" ca="1" si="26">+ROUND($E$2*B128,2)</f>
        <v>0.09</v>
      </c>
      <c r="E128" s="453">
        <f t="shared" ref="E128" ca="1" si="27">+SUM(B128:D128)</f>
        <v>7.9799999999999995</v>
      </c>
    </row>
    <row r="129" spans="1:7">
      <c r="B129" s="453"/>
      <c r="C129" s="453"/>
      <c r="D129" s="453"/>
      <c r="E129" s="453"/>
    </row>
    <row r="130" spans="1:7">
      <c r="A130" s="1187" t="s">
        <v>2870</v>
      </c>
      <c r="B130" s="453"/>
      <c r="C130" s="453"/>
      <c r="D130" s="453"/>
      <c r="E130" s="453"/>
    </row>
    <row r="131" spans="1:7">
      <c r="A131" s="1188" t="s">
        <v>2871</v>
      </c>
      <c r="B131" s="453">
        <v>95</v>
      </c>
      <c r="C131" s="453"/>
      <c r="D131" s="453">
        <f t="shared" ref="D131" ca="1" si="28">+ROUND($E$2*B131,2)</f>
        <v>1.1000000000000001</v>
      </c>
      <c r="E131" s="453">
        <f t="shared" ref="E131" ca="1" si="29">+SUM(B131:D131)</f>
        <v>96.1</v>
      </c>
    </row>
    <row r="132" spans="1:7">
      <c r="B132" s="453"/>
      <c r="C132" s="453"/>
      <c r="D132" s="453"/>
      <c r="E132" s="453"/>
    </row>
    <row r="133" spans="1:7">
      <c r="A133" s="1184" t="s">
        <v>2872</v>
      </c>
      <c r="B133" s="1185"/>
      <c r="C133" s="1185"/>
      <c r="D133" s="1185"/>
      <c r="E133" s="1185"/>
    </row>
    <row r="134" spans="1:7">
      <c r="A134" s="1187" t="s">
        <v>2873</v>
      </c>
      <c r="B134" s="453"/>
      <c r="C134" s="453"/>
      <c r="D134" s="453"/>
      <c r="E134" s="453"/>
    </row>
    <row r="135" spans="1:7">
      <c r="A135" s="1188" t="s">
        <v>2874</v>
      </c>
      <c r="B135" s="453">
        <v>1.7</v>
      </c>
      <c r="C135" s="453"/>
      <c r="D135" s="453">
        <f ca="1">+ROUND($E$4*B135,2)</f>
        <v>0.56000000000000005</v>
      </c>
      <c r="E135" s="453">
        <f t="shared" ref="E135:E136" ca="1" si="30">+SUM(B135:D135)</f>
        <v>2.2599999999999998</v>
      </c>
    </row>
    <row r="136" spans="1:7">
      <c r="A136" s="1188" t="s">
        <v>2875</v>
      </c>
      <c r="B136" s="453">
        <v>2.4500000000000002</v>
      </c>
      <c r="C136" s="453"/>
      <c r="D136" s="453">
        <f ca="1">+ROUND($E$4*B136,2)</f>
        <v>0.8</v>
      </c>
      <c r="E136" s="453">
        <f t="shared" ca="1" si="30"/>
        <v>3.25</v>
      </c>
    </row>
    <row r="137" spans="1:7">
      <c r="A137" s="1188"/>
      <c r="B137" s="453"/>
      <c r="C137" s="453"/>
      <c r="D137" s="453"/>
      <c r="E137" s="453"/>
    </row>
    <row r="138" spans="1:7">
      <c r="A138" s="1184" t="s">
        <v>2876</v>
      </c>
      <c r="B138" s="1185"/>
      <c r="C138" s="1185"/>
      <c r="D138" s="1185"/>
      <c r="E138" s="1185"/>
      <c r="G138" s="834" t="s">
        <v>2877</v>
      </c>
    </row>
    <row r="139" spans="1:7">
      <c r="A139" s="1187" t="s">
        <v>2981</v>
      </c>
      <c r="B139" s="453"/>
      <c r="C139" s="453"/>
      <c r="D139" s="453"/>
      <c r="E139" s="453"/>
    </row>
    <row r="140" spans="1:7">
      <c r="A140" s="1190" t="s">
        <v>2878</v>
      </c>
      <c r="B140" s="453"/>
      <c r="C140" s="453"/>
      <c r="D140" s="453"/>
      <c r="E140" s="453"/>
    </row>
    <row r="141" spans="1:7">
      <c r="A141" s="1188" t="s">
        <v>2847</v>
      </c>
      <c r="B141" s="453">
        <v>22.1</v>
      </c>
      <c r="C141" s="453">
        <f>'[49]To Populate Tariff'!$G$100</f>
        <v>-2.228016064263727E-2</v>
      </c>
      <c r="D141" s="453">
        <f ca="1">+ROUND($E$6*B141,2)</f>
        <v>-4.92</v>
      </c>
      <c r="E141" s="453">
        <f t="shared" ref="E141:E148" ca="1" si="31">+SUM(B141:D141)</f>
        <v>17.157719839357362</v>
      </c>
    </row>
    <row r="142" spans="1:7">
      <c r="A142" s="1188" t="s">
        <v>2848</v>
      </c>
      <c r="B142" s="453">
        <v>28.88</v>
      </c>
      <c r="C142" s="453">
        <f>'[49]To Populate Tariff'!$G$101</f>
        <v>-3.2235126036155748E-2</v>
      </c>
      <c r="D142" s="453">
        <f ca="1">+ROUND($E$6*B142,2)</f>
        <v>-6.43</v>
      </c>
      <c r="E142" s="453">
        <f t="shared" ca="1" si="31"/>
        <v>22.417764873963844</v>
      </c>
    </row>
    <row r="143" spans="1:7">
      <c r="A143" s="1188"/>
      <c r="B143" s="453"/>
      <c r="C143" s="453"/>
      <c r="D143" s="453"/>
      <c r="E143" s="453"/>
    </row>
    <row r="144" spans="1:7">
      <c r="A144" s="1190" t="s">
        <v>2879</v>
      </c>
      <c r="B144" s="453"/>
      <c r="C144" s="453"/>
      <c r="D144" s="453"/>
      <c r="E144" s="453"/>
    </row>
    <row r="145" spans="1:5">
      <c r="A145" s="1188" t="s">
        <v>2848</v>
      </c>
      <c r="B145" s="453">
        <v>5.07</v>
      </c>
      <c r="C145" s="453"/>
      <c r="D145" s="453">
        <f ca="1">+ROUND($E$4*B145,2)</f>
        <v>1.66</v>
      </c>
      <c r="E145" s="453">
        <f t="shared" ca="1" si="31"/>
        <v>6.73</v>
      </c>
    </row>
    <row r="146" spans="1:5">
      <c r="A146" s="1188"/>
      <c r="B146" s="453"/>
      <c r="C146" s="453"/>
      <c r="D146" s="453"/>
      <c r="E146" s="453"/>
    </row>
    <row r="147" spans="1:5">
      <c r="A147" s="1190" t="s">
        <v>2880</v>
      </c>
      <c r="B147" s="453"/>
      <c r="C147" s="453"/>
      <c r="D147" s="453"/>
      <c r="E147" s="453"/>
    </row>
    <row r="148" spans="1:5">
      <c r="A148" s="1188" t="s">
        <v>2848</v>
      </c>
      <c r="B148" s="453">
        <v>5.53</v>
      </c>
      <c r="C148" s="453"/>
      <c r="D148" s="453">
        <f ca="1">+ROUND($E$5*B148,2)</f>
        <v>0.78</v>
      </c>
      <c r="E148" s="453">
        <f t="shared" ca="1" si="31"/>
        <v>6.3100000000000005</v>
      </c>
    </row>
    <row r="149" spans="1:5">
      <c r="A149" s="1188"/>
      <c r="B149" s="453"/>
      <c r="C149" s="453"/>
      <c r="D149" s="453"/>
      <c r="E149" s="453"/>
    </row>
    <row r="150" spans="1:5">
      <c r="A150" s="1184" t="s">
        <v>2881</v>
      </c>
      <c r="B150" s="1185"/>
      <c r="C150" s="1185"/>
      <c r="D150" s="1185"/>
      <c r="E150" s="1185"/>
    </row>
    <row r="151" spans="1:5">
      <c r="A151" s="1187" t="s">
        <v>2982</v>
      </c>
      <c r="B151" s="453"/>
      <c r="C151" s="453"/>
      <c r="D151" s="453"/>
      <c r="E151" s="453"/>
    </row>
    <row r="152" spans="1:5">
      <c r="A152" s="1188" t="s">
        <v>2882</v>
      </c>
      <c r="B152" s="453">
        <v>3.71</v>
      </c>
      <c r="C152" s="453">
        <f>'[49]To Populate Tariff'!$G$102</f>
        <v>-3.7194376195563983E-3</v>
      </c>
      <c r="D152" s="453">
        <f ca="1">+ROUND($E$6*B152,2)</f>
        <v>-0.83</v>
      </c>
      <c r="E152" s="453">
        <f t="shared" ref="E152:E154" ca="1" si="32">+SUM(B152:D152)</f>
        <v>2.8762805623804435</v>
      </c>
    </row>
    <row r="153" spans="1:5">
      <c r="A153" s="1188" t="s">
        <v>2864</v>
      </c>
      <c r="B153" s="453">
        <v>8.26</v>
      </c>
      <c r="C153" s="453">
        <f>'[49]To Populate Tariff'!$G$103</f>
        <v>-2.228016064263727E-2</v>
      </c>
      <c r="D153" s="453">
        <f t="shared" ref="D153:D154" ca="1" si="33">+ROUND($E$6*B153,2)</f>
        <v>-1.84</v>
      </c>
      <c r="E153" s="453">
        <f t="shared" ca="1" si="32"/>
        <v>6.3977198393573627</v>
      </c>
    </row>
    <row r="154" spans="1:5">
      <c r="A154" s="1188" t="s">
        <v>2865</v>
      </c>
      <c r="B154" s="453">
        <v>10.8</v>
      </c>
      <c r="C154" s="453">
        <f>'[49]To Populate Tariff'!$G$104</f>
        <v>-3.2235126036155748E-2</v>
      </c>
      <c r="D154" s="453">
        <f t="shared" ca="1" si="33"/>
        <v>-2.41</v>
      </c>
      <c r="E154" s="453">
        <f t="shared" ca="1" si="32"/>
        <v>8.3577648739638448</v>
      </c>
    </row>
    <row r="155" spans="1:5">
      <c r="B155" s="453"/>
      <c r="C155" s="453"/>
      <c r="D155" s="453"/>
      <c r="E155" s="453"/>
    </row>
    <row r="156" spans="1:5">
      <c r="A156" s="1184" t="s">
        <v>2883</v>
      </c>
      <c r="B156" s="1185"/>
      <c r="C156" s="1185"/>
      <c r="D156" s="1185"/>
      <c r="E156" s="1185"/>
    </row>
    <row r="157" spans="1:5">
      <c r="A157" s="1187" t="s">
        <v>2981</v>
      </c>
      <c r="B157" s="453"/>
      <c r="C157" s="453"/>
      <c r="D157" s="453"/>
      <c r="E157" s="453"/>
    </row>
    <row r="158" spans="1:5">
      <c r="A158" s="1190" t="s">
        <v>2884</v>
      </c>
      <c r="B158" s="453"/>
      <c r="C158" s="453"/>
      <c r="D158" s="453"/>
      <c r="E158" s="453"/>
    </row>
    <row r="159" spans="1:5">
      <c r="A159" s="1191" t="s">
        <v>2885</v>
      </c>
      <c r="B159" s="453">
        <v>27.83</v>
      </c>
      <c r="C159" s="453">
        <f>'[49]To Populate Tariff'!$G$105</f>
        <v>-1.9144164218303672E-2</v>
      </c>
      <c r="D159" s="453">
        <f ca="1">+ROUND($E$6*B159,2)</f>
        <v>-6.2</v>
      </c>
      <c r="E159" s="453">
        <f t="shared" ref="E159:E163" ca="1" si="34">+SUM(B159:D159)</f>
        <v>21.610855835781695</v>
      </c>
    </row>
    <row r="160" spans="1:5">
      <c r="A160" s="1191" t="s">
        <v>2886</v>
      </c>
      <c r="B160" s="453">
        <v>38.119999999999997</v>
      </c>
      <c r="C160" s="453">
        <f>'[49]To Populate Tariff'!$G$109</f>
        <v>-2.7348806026147088E-2</v>
      </c>
      <c r="D160" s="453">
        <f t="shared" ref="D160:D165" ca="1" si="35">+ROUND($E$6*B160,2)</f>
        <v>-8.49</v>
      </c>
      <c r="E160" s="453">
        <f t="shared" ca="1" si="34"/>
        <v>29.602651193973848</v>
      </c>
    </row>
    <row r="161" spans="1:5">
      <c r="A161" s="1191" t="s">
        <v>2887</v>
      </c>
      <c r="B161" s="453">
        <v>45.65</v>
      </c>
      <c r="C161" s="453">
        <f>'[49]To Populate Tariff'!$G$113</f>
        <v>-3.5444052609889809E-2</v>
      </c>
      <c r="D161" s="453">
        <f t="shared" ca="1" si="35"/>
        <v>-10.17</v>
      </c>
      <c r="E161" s="453">
        <f t="shared" ca="1" si="34"/>
        <v>35.444555947390107</v>
      </c>
    </row>
    <row r="162" spans="1:5">
      <c r="A162" s="1191" t="s">
        <v>2888</v>
      </c>
      <c r="B162" s="453">
        <v>60.83</v>
      </c>
      <c r="C162" s="453">
        <f>'[49]To Populate Tariff'!$G$117</f>
        <v>-5.1743941001475946E-2</v>
      </c>
      <c r="D162" s="453">
        <f t="shared" ca="1" si="35"/>
        <v>-13.55</v>
      </c>
      <c r="E162" s="453">
        <f t="shared" ca="1" si="34"/>
        <v>47.228256058998525</v>
      </c>
    </row>
    <row r="163" spans="1:5">
      <c r="A163" s="1191" t="s">
        <v>2889</v>
      </c>
      <c r="B163" s="453">
        <v>76.05</v>
      </c>
      <c r="C163" s="453">
        <f>'[49]To Populate Tariff'!$G$121</f>
        <v>-6.705927237612741E-2</v>
      </c>
      <c r="D163" s="453">
        <f t="shared" ca="1" si="35"/>
        <v>-16.940000000000001</v>
      </c>
      <c r="E163" s="453">
        <f t="shared" ca="1" si="34"/>
        <v>59.042940727623872</v>
      </c>
    </row>
    <row r="164" spans="1:5">
      <c r="A164" s="1191" t="s">
        <v>2890</v>
      </c>
      <c r="B164" s="453">
        <v>100.37</v>
      </c>
      <c r="C164" s="453">
        <f>'[49]To Populate Tariff'!$G$125</f>
        <v>-9.1891988247866152E-2</v>
      </c>
      <c r="D164" s="453">
        <f t="shared" ca="1" si="35"/>
        <v>-22.36</v>
      </c>
      <c r="E164" s="453">
        <f t="shared" ref="E164:E165" ca="1" si="36">+SUM(B164:D164)</f>
        <v>77.918108011752139</v>
      </c>
    </row>
    <row r="165" spans="1:5">
      <c r="A165" s="1191" t="s">
        <v>2891</v>
      </c>
      <c r="B165" s="453">
        <v>130.26</v>
      </c>
      <c r="C165" s="453">
        <f>'[49]To Populate Tariff'!$G$129</f>
        <v>-0.10720731962251762</v>
      </c>
      <c r="D165" s="453">
        <f t="shared" ca="1" si="35"/>
        <v>-29.02</v>
      </c>
      <c r="E165" s="453">
        <f t="shared" ca="1" si="36"/>
        <v>101.13279268037748</v>
      </c>
    </row>
    <row r="166" spans="1:5">
      <c r="A166" s="1191"/>
      <c r="B166" s="453"/>
      <c r="C166" s="453"/>
      <c r="D166" s="453"/>
      <c r="E166" s="453"/>
    </row>
    <row r="167" spans="1:5">
      <c r="A167" s="1190" t="s">
        <v>2892</v>
      </c>
      <c r="B167" s="453"/>
      <c r="C167" s="453"/>
      <c r="D167" s="453"/>
      <c r="E167" s="453"/>
    </row>
    <row r="168" spans="1:5">
      <c r="A168" s="1191" t="s">
        <v>2885</v>
      </c>
      <c r="B168" s="453">
        <v>14.69</v>
      </c>
      <c r="C168" s="453">
        <f>'[49]To Populate Tariff'!$G$106</f>
        <v>-1.9144164218305448E-2</v>
      </c>
      <c r="D168" s="453">
        <f t="shared" ref="D168:D174" ca="1" si="37">+ROUND($E$6*B168,2)</f>
        <v>-3.27</v>
      </c>
      <c r="E168" s="453">
        <f t="shared" ref="E168:E174" ca="1" si="38">+SUM(B168:D168)</f>
        <v>11.400855835781694</v>
      </c>
    </row>
    <row r="169" spans="1:5">
      <c r="A169" s="1191" t="s">
        <v>2886</v>
      </c>
      <c r="B169" s="453">
        <v>20.170000000000002</v>
      </c>
      <c r="C169" s="453">
        <f>'[49]To Populate Tariff'!$G$110</f>
        <v>-2.734880602615064E-2</v>
      </c>
      <c r="D169" s="453">
        <f t="shared" ca="1" si="37"/>
        <v>-4.49</v>
      </c>
      <c r="E169" s="453">
        <f t="shared" ca="1" si="38"/>
        <v>15.652651193973851</v>
      </c>
    </row>
    <row r="170" spans="1:5">
      <c r="A170" s="1191" t="s">
        <v>2887</v>
      </c>
      <c r="B170" s="453">
        <v>26.64</v>
      </c>
      <c r="C170" s="453">
        <f>'[49]To Populate Tariff'!$G$114</f>
        <v>-3.5444052609889809E-2</v>
      </c>
      <c r="D170" s="453">
        <f t="shared" ca="1" si="37"/>
        <v>-5.93</v>
      </c>
      <c r="E170" s="453">
        <f t="shared" ca="1" si="38"/>
        <v>20.674555947390111</v>
      </c>
    </row>
    <row r="171" spans="1:5">
      <c r="A171" s="1191" t="s">
        <v>2888</v>
      </c>
      <c r="B171" s="453">
        <v>37.08</v>
      </c>
      <c r="C171" s="453">
        <f>'[49]To Populate Tariff'!$G$118</f>
        <v>-5.1743941001475946E-2</v>
      </c>
      <c r="D171" s="453">
        <f t="shared" ca="1" si="37"/>
        <v>-8.26</v>
      </c>
      <c r="E171" s="453">
        <f t="shared" ca="1" si="38"/>
        <v>28.768256058998524</v>
      </c>
    </row>
    <row r="172" spans="1:5">
      <c r="A172" s="1191" t="s">
        <v>2889</v>
      </c>
      <c r="B172" s="453">
        <v>50.71</v>
      </c>
      <c r="C172" s="453">
        <f>'[49]To Populate Tariff'!$G$122</f>
        <v>-6.7059272376120305E-2</v>
      </c>
      <c r="D172" s="453">
        <f t="shared" ca="1" si="37"/>
        <v>-11.3</v>
      </c>
      <c r="E172" s="453">
        <f t="shared" ca="1" si="38"/>
        <v>39.342940727623883</v>
      </c>
    </row>
    <row r="173" spans="1:5">
      <c r="A173" s="1191" t="s">
        <v>2890</v>
      </c>
      <c r="B173" s="453">
        <v>68.69</v>
      </c>
      <c r="C173" s="453">
        <f>'[49]To Populate Tariff'!$G$126</f>
        <v>-9.1891988247866152E-2</v>
      </c>
      <c r="D173" s="453">
        <f t="shared" ca="1" si="37"/>
        <v>-15.3</v>
      </c>
      <c r="E173" s="453">
        <f t="shared" ca="1" si="38"/>
        <v>53.298108011752134</v>
      </c>
    </row>
    <row r="174" spans="1:5">
      <c r="A174" s="1191" t="s">
        <v>2891</v>
      </c>
      <c r="B174" s="453">
        <v>92.24</v>
      </c>
      <c r="C174" s="453">
        <f>'[49]To Populate Tariff'!$G$130</f>
        <v>-0.10720731962250341</v>
      </c>
      <c r="D174" s="453">
        <f t="shared" ca="1" si="37"/>
        <v>-20.55</v>
      </c>
      <c r="E174" s="453">
        <f t="shared" ca="1" si="38"/>
        <v>71.582792680377494</v>
      </c>
    </row>
    <row r="175" spans="1:5">
      <c r="A175" s="1191"/>
      <c r="B175" s="453"/>
      <c r="C175" s="453"/>
      <c r="D175" s="453"/>
      <c r="E175" s="453"/>
    </row>
    <row r="176" spans="1:5">
      <c r="A176" s="1190" t="s">
        <v>2893</v>
      </c>
      <c r="B176" s="453"/>
      <c r="C176" s="453"/>
      <c r="D176" s="453"/>
      <c r="E176" s="453"/>
    </row>
    <row r="177" spans="1:5">
      <c r="A177" s="1191" t="s">
        <v>2885</v>
      </c>
      <c r="B177" s="453">
        <v>34.69</v>
      </c>
      <c r="C177" s="453">
        <f>'[49]To Populate Tariff'!$G$108</f>
        <v>-1.9144164218303672E-2</v>
      </c>
      <c r="D177" s="453">
        <f t="shared" ref="D177:D183" ca="1" si="39">+ROUND($E$6*B177,2)</f>
        <v>-7.73</v>
      </c>
      <c r="E177" s="453">
        <f t="shared" ref="E177:E183" ca="1" si="40">+SUM(B177:D177)</f>
        <v>26.940855835781694</v>
      </c>
    </row>
    <row r="178" spans="1:5">
      <c r="A178" s="1191" t="s">
        <v>2886</v>
      </c>
      <c r="B178" s="453">
        <v>40.17</v>
      </c>
      <c r="C178" s="453">
        <f>'[49]To Populate Tariff'!$G$112</f>
        <v>-2.7348806026154193E-2</v>
      </c>
      <c r="D178" s="453">
        <f t="shared" ca="1" si="39"/>
        <v>-8.9499999999999993</v>
      </c>
      <c r="E178" s="453">
        <f t="shared" ca="1" si="40"/>
        <v>31.192651193973848</v>
      </c>
    </row>
    <row r="179" spans="1:5">
      <c r="A179" s="1191" t="s">
        <v>2887</v>
      </c>
      <c r="B179" s="453">
        <v>46.64</v>
      </c>
      <c r="C179" s="453">
        <f>'[49]To Populate Tariff'!$G$116</f>
        <v>-3.5444052609889809E-2</v>
      </c>
      <c r="D179" s="453">
        <f t="shared" ca="1" si="39"/>
        <v>-10.39</v>
      </c>
      <c r="E179" s="453">
        <f t="shared" ca="1" si="40"/>
        <v>36.21455594739011</v>
      </c>
    </row>
    <row r="180" spans="1:5">
      <c r="A180" s="1191" t="s">
        <v>2888</v>
      </c>
      <c r="B180" s="453">
        <v>57.08</v>
      </c>
      <c r="C180" s="453">
        <f>'[49]To Populate Tariff'!$G$120</f>
        <v>-5.1743941001475946E-2</v>
      </c>
      <c r="D180" s="453">
        <f t="shared" ca="1" si="39"/>
        <v>-12.72</v>
      </c>
      <c r="E180" s="453">
        <f t="shared" ca="1" si="40"/>
        <v>44.308256058998523</v>
      </c>
    </row>
    <row r="181" spans="1:5">
      <c r="A181" s="1191" t="s">
        <v>2889</v>
      </c>
      <c r="B181" s="453">
        <v>70.709999999999994</v>
      </c>
      <c r="C181" s="453">
        <f>'[49]To Populate Tariff'!$G$124</f>
        <v>-6.705927237612741E-2</v>
      </c>
      <c r="D181" s="453">
        <f t="shared" ca="1" si="39"/>
        <v>-15.75</v>
      </c>
      <c r="E181" s="453">
        <f t="shared" ca="1" si="40"/>
        <v>54.892940727623866</v>
      </c>
    </row>
    <row r="182" spans="1:5">
      <c r="A182" s="1191" t="s">
        <v>2890</v>
      </c>
      <c r="B182" s="453">
        <v>88.69</v>
      </c>
      <c r="C182" s="453">
        <f>'[49]To Populate Tariff'!$G$128</f>
        <v>-9.1891988247866152E-2</v>
      </c>
      <c r="D182" s="453">
        <f t="shared" ca="1" si="39"/>
        <v>-19.760000000000002</v>
      </c>
      <c r="E182" s="453">
        <f t="shared" ca="1" si="40"/>
        <v>68.838108011752126</v>
      </c>
    </row>
    <row r="183" spans="1:5">
      <c r="A183" s="1191" t="s">
        <v>2891</v>
      </c>
      <c r="B183" s="453">
        <v>112.24</v>
      </c>
      <c r="C183" s="453">
        <f>'[49]To Populate Tariff'!$G$132</f>
        <v>-0.10720731962250341</v>
      </c>
      <c r="D183" s="453">
        <f t="shared" ca="1" si="39"/>
        <v>-25</v>
      </c>
      <c r="E183" s="453">
        <f t="shared" ca="1" si="40"/>
        <v>87.132792680377491</v>
      </c>
    </row>
    <row r="184" spans="1:5">
      <c r="A184" s="1191"/>
      <c r="B184" s="453"/>
      <c r="C184" s="453"/>
      <c r="D184" s="453"/>
      <c r="E184" s="453"/>
    </row>
    <row r="185" spans="1:5">
      <c r="A185" s="1187" t="s">
        <v>2894</v>
      </c>
      <c r="B185" s="453"/>
      <c r="C185" s="453"/>
      <c r="D185" s="453"/>
      <c r="E185" s="453"/>
    </row>
    <row r="186" spans="1:5">
      <c r="A186" s="1190" t="s">
        <v>2895</v>
      </c>
      <c r="B186" s="453"/>
      <c r="C186" s="453"/>
      <c r="D186" s="453"/>
      <c r="E186" s="453"/>
    </row>
    <row r="187" spans="1:5">
      <c r="A187" s="1191" t="s">
        <v>2885</v>
      </c>
      <c r="B187" s="453">
        <v>22.71</v>
      </c>
      <c r="D187" s="453">
        <f t="shared" ref="D187:D193" ca="1" si="41">+ROUND($E$6*B187,2)</f>
        <v>-5.0599999999999996</v>
      </c>
      <c r="E187" s="453">
        <f t="shared" ref="E187:E193" ca="1" si="42">+SUM(B187:D187)</f>
        <v>17.650000000000002</v>
      </c>
    </row>
    <row r="188" spans="1:5">
      <c r="A188" s="1191" t="s">
        <v>2886</v>
      </c>
      <c r="B188" s="453">
        <v>22.71</v>
      </c>
      <c r="D188" s="453">
        <f t="shared" ca="1" si="41"/>
        <v>-5.0599999999999996</v>
      </c>
      <c r="E188" s="453">
        <f t="shared" ca="1" si="42"/>
        <v>17.650000000000002</v>
      </c>
    </row>
    <row r="189" spans="1:5">
      <c r="A189" s="1191" t="s">
        <v>2887</v>
      </c>
      <c r="B189" s="453">
        <v>22.71</v>
      </c>
      <c r="D189" s="453">
        <f t="shared" ca="1" si="41"/>
        <v>-5.0599999999999996</v>
      </c>
      <c r="E189" s="453">
        <f t="shared" ca="1" si="42"/>
        <v>17.650000000000002</v>
      </c>
    </row>
    <row r="190" spans="1:5">
      <c r="A190" s="1191" t="s">
        <v>2888</v>
      </c>
      <c r="B190" s="453">
        <v>22.71</v>
      </c>
      <c r="D190" s="453">
        <f t="shared" ca="1" si="41"/>
        <v>-5.0599999999999996</v>
      </c>
      <c r="E190" s="453">
        <f t="shared" ca="1" si="42"/>
        <v>17.650000000000002</v>
      </c>
    </row>
    <row r="191" spans="1:5">
      <c r="A191" s="1191" t="s">
        <v>2889</v>
      </c>
      <c r="B191" s="453">
        <v>22.71</v>
      </c>
      <c r="D191" s="453">
        <f t="shared" ca="1" si="41"/>
        <v>-5.0599999999999996</v>
      </c>
      <c r="E191" s="453">
        <f t="shared" ca="1" si="42"/>
        <v>17.650000000000002</v>
      </c>
    </row>
    <row r="192" spans="1:5">
      <c r="A192" s="1191" t="s">
        <v>2890</v>
      </c>
      <c r="B192" s="453">
        <v>42.77</v>
      </c>
      <c r="D192" s="453">
        <f t="shared" ca="1" si="41"/>
        <v>-9.5299999999999994</v>
      </c>
      <c r="E192" s="453">
        <f t="shared" ca="1" si="42"/>
        <v>33.24</v>
      </c>
    </row>
    <row r="193" spans="1:5">
      <c r="A193" s="1191" t="s">
        <v>2891</v>
      </c>
      <c r="B193" s="453">
        <v>42.77</v>
      </c>
      <c r="D193" s="453">
        <f t="shared" ca="1" si="41"/>
        <v>-9.5299999999999994</v>
      </c>
      <c r="E193" s="453">
        <f t="shared" ca="1" si="42"/>
        <v>33.24</v>
      </c>
    </row>
    <row r="194" spans="1:5">
      <c r="A194" s="1191"/>
      <c r="B194" s="453"/>
      <c r="C194" s="453"/>
      <c r="D194" s="453"/>
      <c r="E194" s="453"/>
    </row>
    <row r="195" spans="1:5">
      <c r="A195" s="1190" t="s">
        <v>2896</v>
      </c>
      <c r="B195" s="453"/>
      <c r="C195" s="453"/>
      <c r="D195" s="453"/>
      <c r="E195" s="453"/>
    </row>
    <row r="196" spans="1:5">
      <c r="A196" s="1191" t="s">
        <v>2885</v>
      </c>
      <c r="B196" s="453">
        <v>19.690000000000001</v>
      </c>
      <c r="C196" s="453">
        <f>'[49]To Populate Tariff'!$G$107</f>
        <v>-1.9144164218303672E-2</v>
      </c>
      <c r="D196" s="453">
        <f t="shared" ref="D196:D202" ca="1" si="43">+ROUND($E$6*B196,2)</f>
        <v>-4.3899999999999997</v>
      </c>
      <c r="E196" s="453">
        <f t="shared" ref="E196:E202" ca="1" si="44">+SUM(B196:D196)</f>
        <v>15.280855835781697</v>
      </c>
    </row>
    <row r="197" spans="1:5">
      <c r="A197" s="1191" t="s">
        <v>2886</v>
      </c>
      <c r="B197" s="453">
        <v>25.17</v>
      </c>
      <c r="C197" s="453">
        <f>'[49]To Populate Tariff'!$G$111</f>
        <v>-2.734880602615064E-2</v>
      </c>
      <c r="D197" s="453">
        <f t="shared" ca="1" si="43"/>
        <v>-5.61</v>
      </c>
      <c r="E197" s="453">
        <f t="shared" ca="1" si="44"/>
        <v>19.532651193973852</v>
      </c>
    </row>
    <row r="198" spans="1:5">
      <c r="A198" s="1191" t="s">
        <v>2887</v>
      </c>
      <c r="B198" s="453">
        <v>31.64</v>
      </c>
      <c r="C198" s="453">
        <f>'[49]To Populate Tariff'!$G$115</f>
        <v>-3.5444052609889809E-2</v>
      </c>
      <c r="D198" s="453">
        <f t="shared" ca="1" si="43"/>
        <v>-7.05</v>
      </c>
      <c r="E198" s="453">
        <f t="shared" ca="1" si="44"/>
        <v>24.55455594739011</v>
      </c>
    </row>
    <row r="199" spans="1:5">
      <c r="A199" s="1191" t="s">
        <v>2888</v>
      </c>
      <c r="B199" s="453">
        <v>42.08</v>
      </c>
      <c r="C199" s="453">
        <f>'[49]To Populate Tariff'!$G$119</f>
        <v>-5.1743941001475946E-2</v>
      </c>
      <c r="D199" s="453">
        <f t="shared" ca="1" si="43"/>
        <v>-9.3699999999999992</v>
      </c>
      <c r="E199" s="453">
        <f t="shared" ca="1" si="44"/>
        <v>32.658256058998525</v>
      </c>
    </row>
    <row r="200" spans="1:5">
      <c r="A200" s="1191" t="s">
        <v>2889</v>
      </c>
      <c r="B200" s="453">
        <v>55.71</v>
      </c>
      <c r="C200" s="453">
        <f>'[49]To Populate Tariff'!$G$123</f>
        <v>-6.7059272376120305E-2</v>
      </c>
      <c r="D200" s="453">
        <f t="shared" ca="1" si="43"/>
        <v>-12.41</v>
      </c>
      <c r="E200" s="453">
        <f t="shared" ca="1" si="44"/>
        <v>43.232940727623884</v>
      </c>
    </row>
    <row r="201" spans="1:5">
      <c r="A201" s="1191" t="s">
        <v>2890</v>
      </c>
      <c r="B201" s="453">
        <v>73.69</v>
      </c>
      <c r="C201" s="453">
        <f>'[49]To Populate Tariff'!$G$127</f>
        <v>-9.1891988247866152E-2</v>
      </c>
      <c r="D201" s="453">
        <f t="shared" ca="1" si="43"/>
        <v>-16.420000000000002</v>
      </c>
      <c r="E201" s="453">
        <f t="shared" ca="1" si="44"/>
        <v>57.17810801175213</v>
      </c>
    </row>
    <row r="202" spans="1:5">
      <c r="A202" s="1191" t="s">
        <v>2891</v>
      </c>
      <c r="B202" s="453">
        <v>97.24</v>
      </c>
      <c r="C202" s="453">
        <f>'[49]To Populate Tariff'!$G$131</f>
        <v>-0.10720731962250341</v>
      </c>
      <c r="D202" s="453">
        <f t="shared" ca="1" si="43"/>
        <v>-21.66</v>
      </c>
      <c r="E202" s="453">
        <f t="shared" ca="1" si="44"/>
        <v>75.472792680377495</v>
      </c>
    </row>
    <row r="203" spans="1:5">
      <c r="A203" s="1191"/>
      <c r="B203" s="453"/>
      <c r="C203" s="453"/>
      <c r="D203" s="453"/>
      <c r="E203" s="453"/>
    </row>
    <row r="204" spans="1:5">
      <c r="A204" s="1190" t="s">
        <v>2897</v>
      </c>
      <c r="B204" s="453"/>
      <c r="C204" s="453"/>
      <c r="D204" s="453"/>
      <c r="E204" s="453"/>
    </row>
    <row r="205" spans="1:5">
      <c r="A205" s="1191" t="s">
        <v>2885</v>
      </c>
      <c r="B205" s="453">
        <v>0.48</v>
      </c>
      <c r="C205" s="453"/>
      <c r="D205" s="453">
        <f t="shared" ref="D205:D211" ca="1" si="45">+ROUND($E$6*B205,2)</f>
        <v>-0.11</v>
      </c>
      <c r="E205" s="453">
        <f t="shared" ref="E205:E211" ca="1" si="46">+SUM(B205:D205)</f>
        <v>0.37</v>
      </c>
    </row>
    <row r="206" spans="1:5">
      <c r="A206" s="1191" t="s">
        <v>2886</v>
      </c>
      <c r="B206" s="453">
        <v>0.53</v>
      </c>
      <c r="C206" s="453"/>
      <c r="D206" s="453">
        <f t="shared" ca="1" si="45"/>
        <v>-0.12</v>
      </c>
      <c r="E206" s="453">
        <f t="shared" ca="1" si="46"/>
        <v>0.41000000000000003</v>
      </c>
    </row>
    <row r="207" spans="1:5">
      <c r="A207" s="1191" t="s">
        <v>2887</v>
      </c>
      <c r="B207" s="453">
        <v>0.63</v>
      </c>
      <c r="C207" s="453"/>
      <c r="D207" s="453">
        <f t="shared" ca="1" si="45"/>
        <v>-0.14000000000000001</v>
      </c>
      <c r="E207" s="453">
        <f t="shared" ca="1" si="46"/>
        <v>0.49</v>
      </c>
    </row>
    <row r="208" spans="1:5">
      <c r="A208" s="1191" t="s">
        <v>2888</v>
      </c>
      <c r="B208" s="453">
        <v>0.69</v>
      </c>
      <c r="C208" s="453"/>
      <c r="D208" s="453">
        <f t="shared" ca="1" si="45"/>
        <v>-0.15</v>
      </c>
      <c r="E208" s="453">
        <f t="shared" ca="1" si="46"/>
        <v>0.53999999999999992</v>
      </c>
    </row>
    <row r="209" spans="1:5">
      <c r="A209" s="1191" t="s">
        <v>2889</v>
      </c>
      <c r="B209" s="453">
        <v>0.9</v>
      </c>
      <c r="C209" s="453"/>
      <c r="D209" s="453">
        <f t="shared" ca="1" si="45"/>
        <v>-0.2</v>
      </c>
      <c r="E209" s="453">
        <f t="shared" ca="1" si="46"/>
        <v>0.7</v>
      </c>
    </row>
    <row r="210" spans="1:5">
      <c r="A210" s="1191" t="s">
        <v>2890</v>
      </c>
      <c r="B210" s="453">
        <v>1.32</v>
      </c>
      <c r="C210" s="453"/>
      <c r="D210" s="453">
        <f t="shared" ca="1" si="45"/>
        <v>-0.28999999999999998</v>
      </c>
      <c r="E210" s="453">
        <f t="shared" ca="1" si="46"/>
        <v>1.03</v>
      </c>
    </row>
    <row r="211" spans="1:5">
      <c r="A211" s="1191" t="s">
        <v>2891</v>
      </c>
      <c r="B211" s="453">
        <v>1.32</v>
      </c>
      <c r="C211" s="453"/>
      <c r="D211" s="453">
        <f t="shared" ca="1" si="45"/>
        <v>-0.28999999999999998</v>
      </c>
      <c r="E211" s="453">
        <f t="shared" ca="1" si="46"/>
        <v>1.03</v>
      </c>
    </row>
    <row r="212" spans="1:5">
      <c r="A212" s="1191"/>
      <c r="B212" s="453"/>
      <c r="C212" s="453"/>
      <c r="D212" s="453"/>
      <c r="E212" s="453"/>
    </row>
    <row r="213" spans="1:5">
      <c r="A213" s="1187" t="s">
        <v>2898</v>
      </c>
      <c r="B213" s="453"/>
      <c r="C213" s="453"/>
      <c r="D213" s="453"/>
      <c r="E213" s="453"/>
    </row>
    <row r="214" spans="1:5">
      <c r="A214" s="1186" t="s">
        <v>2899</v>
      </c>
      <c r="B214" s="453">
        <v>1.7</v>
      </c>
      <c r="C214" s="453"/>
      <c r="D214" s="453">
        <f ca="1">+ROUND($E$2*B214,2)</f>
        <v>0.02</v>
      </c>
      <c r="E214" s="453">
        <f ca="1">+SUM(B214:D214)</f>
        <v>1.72</v>
      </c>
    </row>
    <row r="215" spans="1:5">
      <c r="B215" s="453"/>
      <c r="C215" s="453"/>
      <c r="D215" s="453"/>
      <c r="E215" s="453"/>
    </row>
    <row r="216" spans="1:5" hidden="1">
      <c r="A216" s="1184" t="s">
        <v>2900</v>
      </c>
      <c r="B216" s="1185"/>
      <c r="C216" s="1185"/>
      <c r="D216" s="1185"/>
      <c r="E216" s="1185"/>
    </row>
    <row r="217" spans="1:5" hidden="1">
      <c r="A217" s="1187" t="s">
        <v>2983</v>
      </c>
      <c r="B217" s="453"/>
      <c r="C217" s="453"/>
      <c r="D217" s="453"/>
      <c r="E217" s="453"/>
    </row>
    <row r="218" spans="1:5" hidden="1">
      <c r="A218" s="1190" t="s">
        <v>2901</v>
      </c>
      <c r="B218" s="453"/>
      <c r="C218" s="453"/>
      <c r="D218" s="453"/>
      <c r="E218" s="453"/>
    </row>
    <row r="219" spans="1:5" hidden="1">
      <c r="A219" s="1188" t="s">
        <v>2902</v>
      </c>
      <c r="B219" s="453">
        <v>69949</v>
      </c>
      <c r="C219" s="453"/>
      <c r="D219" s="453"/>
      <c r="E219" s="453">
        <f t="shared" ref="E219:E220" si="47">+SUM(B219:D219)</f>
        <v>69949</v>
      </c>
    </row>
    <row r="220" spans="1:5" hidden="1">
      <c r="A220" s="1188" t="s">
        <v>2903</v>
      </c>
      <c r="B220" s="453">
        <v>82533</v>
      </c>
      <c r="C220" s="453"/>
      <c r="D220" s="453"/>
      <c r="E220" s="453">
        <f t="shared" si="47"/>
        <v>82533</v>
      </c>
    </row>
    <row r="221" spans="1:5">
      <c r="A221" s="1188"/>
      <c r="B221" s="453"/>
      <c r="C221" s="453"/>
      <c r="D221" s="453"/>
      <c r="E221" s="453"/>
    </row>
    <row r="222" spans="1:5">
      <c r="A222" s="1184" t="s">
        <v>2904</v>
      </c>
      <c r="B222" s="1185"/>
      <c r="C222" s="1185"/>
      <c r="D222" s="1185"/>
      <c r="E222" s="1185"/>
    </row>
    <row r="223" spans="1:5">
      <c r="A223" s="1187" t="s">
        <v>2905</v>
      </c>
      <c r="B223" s="453"/>
      <c r="C223" s="453"/>
      <c r="D223" s="453"/>
      <c r="E223" s="453"/>
    </row>
    <row r="224" spans="1:5">
      <c r="A224" s="1190" t="s">
        <v>2906</v>
      </c>
      <c r="B224" s="453"/>
      <c r="C224" s="453"/>
      <c r="D224" s="453"/>
      <c r="E224" s="453"/>
    </row>
    <row r="225" spans="1:7">
      <c r="A225" s="1188" t="s">
        <v>2907</v>
      </c>
      <c r="B225" s="453">
        <v>32.04</v>
      </c>
      <c r="C225" s="453">
        <f>'[49]To Populate Tariff'!$G$40</f>
        <v>0.15572037252405835</v>
      </c>
      <c r="D225" s="453">
        <f t="shared" ref="D225:D228" ca="1" si="48">+ROUND($E$2*B225,2)</f>
        <v>0.37</v>
      </c>
      <c r="E225" s="453">
        <f t="shared" ref="E225:E228" ca="1" si="49">+SUM(B225:D225)</f>
        <v>32.565720372524055</v>
      </c>
    </row>
    <row r="226" spans="1:7">
      <c r="A226" s="1188" t="s">
        <v>2908</v>
      </c>
      <c r="B226" s="453">
        <v>32.04</v>
      </c>
      <c r="C226" s="453">
        <f>C225</f>
        <v>0.15572037252405835</v>
      </c>
      <c r="D226" s="453">
        <f t="shared" ca="1" si="48"/>
        <v>0.37</v>
      </c>
      <c r="E226" s="453">
        <f t="shared" ca="1" si="49"/>
        <v>32.565720372524055</v>
      </c>
    </row>
    <row r="227" spans="1:7">
      <c r="A227" s="1188" t="s">
        <v>2909</v>
      </c>
      <c r="B227" s="453">
        <v>32.04</v>
      </c>
      <c r="C227" s="1189">
        <f>C226</f>
        <v>0.15572037252405835</v>
      </c>
      <c r="D227" s="453">
        <f t="shared" ca="1" si="48"/>
        <v>0.37</v>
      </c>
      <c r="E227" s="453">
        <f t="shared" ca="1" si="49"/>
        <v>32.565720372524055</v>
      </c>
    </row>
    <row r="228" spans="1:7">
      <c r="A228" s="1188" t="s">
        <v>2910</v>
      </c>
      <c r="B228" s="453">
        <v>3.33</v>
      </c>
      <c r="C228" s="453"/>
      <c r="D228" s="453">
        <f t="shared" ca="1" si="48"/>
        <v>0.04</v>
      </c>
      <c r="E228" s="453">
        <f t="shared" ca="1" si="49"/>
        <v>3.37</v>
      </c>
    </row>
    <row r="229" spans="1:7">
      <c r="A229" s="1188"/>
      <c r="B229" s="453"/>
      <c r="C229" s="453"/>
      <c r="D229" s="453"/>
      <c r="E229" s="453"/>
    </row>
    <row r="230" spans="1:7">
      <c r="A230" s="1190" t="s">
        <v>2911</v>
      </c>
      <c r="B230" s="453"/>
      <c r="C230" s="453"/>
      <c r="D230" s="453"/>
      <c r="E230" s="453"/>
    </row>
    <row r="231" spans="1:7">
      <c r="A231" s="1188" t="s">
        <v>2907</v>
      </c>
      <c r="B231" s="453">
        <v>32.04</v>
      </c>
      <c r="C231" s="453">
        <f>'[49]To Populate Tariff'!$G$42</f>
        <v>0.21999999999999886</v>
      </c>
      <c r="D231" s="453">
        <f t="shared" ref="D231:D234" ca="1" si="50">+ROUND($E$2*B231,2)</f>
        <v>0.37</v>
      </c>
      <c r="E231" s="453">
        <f t="shared" ref="E231:E234" ca="1" si="51">+SUM(B231:D231)</f>
        <v>32.629999999999995</v>
      </c>
      <c r="G231" s="834" t="s">
        <v>2912</v>
      </c>
    </row>
    <row r="232" spans="1:7">
      <c r="A232" s="1188" t="s">
        <v>2908</v>
      </c>
      <c r="B232" s="453">
        <v>32.04</v>
      </c>
      <c r="C232" s="453">
        <f>C231</f>
        <v>0.21999999999999886</v>
      </c>
      <c r="D232" s="453">
        <f t="shared" ca="1" si="50"/>
        <v>0.37</v>
      </c>
      <c r="E232" s="453">
        <f t="shared" ca="1" si="51"/>
        <v>32.629999999999995</v>
      </c>
    </row>
    <row r="233" spans="1:7">
      <c r="A233" s="1188" t="s">
        <v>2909</v>
      </c>
      <c r="B233" s="453">
        <v>32.04</v>
      </c>
      <c r="C233" s="1189">
        <f>C232</f>
        <v>0.21999999999999886</v>
      </c>
      <c r="D233" s="453">
        <f t="shared" ca="1" si="50"/>
        <v>0.37</v>
      </c>
      <c r="E233" s="453">
        <f t="shared" ca="1" si="51"/>
        <v>32.629999999999995</v>
      </c>
    </row>
    <row r="234" spans="1:7">
      <c r="A234" s="1188" t="s">
        <v>2910</v>
      </c>
      <c r="B234" s="453">
        <v>3.33</v>
      </c>
      <c r="C234" s="453"/>
      <c r="D234" s="453">
        <f t="shared" ca="1" si="50"/>
        <v>0.04</v>
      </c>
      <c r="E234" s="453">
        <f t="shared" ca="1" si="51"/>
        <v>3.37</v>
      </c>
    </row>
    <row r="235" spans="1:7">
      <c r="A235" s="1188"/>
      <c r="B235" s="453"/>
      <c r="C235" s="453"/>
      <c r="D235" s="453"/>
      <c r="E235" s="453"/>
    </row>
    <row r="236" spans="1:7">
      <c r="A236" s="1184" t="s">
        <v>2913</v>
      </c>
      <c r="B236" s="1185"/>
      <c r="C236" s="1185"/>
      <c r="D236" s="1185"/>
      <c r="E236" s="1185"/>
    </row>
    <row r="237" spans="1:7">
      <c r="A237" s="1187" t="s">
        <v>2914</v>
      </c>
      <c r="B237" s="453"/>
      <c r="C237" s="453"/>
      <c r="D237" s="453"/>
      <c r="E237" s="453"/>
    </row>
    <row r="238" spans="1:7">
      <c r="A238" s="1190" t="s">
        <v>2915</v>
      </c>
      <c r="B238" s="453"/>
      <c r="C238" s="453"/>
      <c r="D238" s="453"/>
      <c r="E238" s="453"/>
    </row>
    <row r="239" spans="1:7">
      <c r="A239" s="1190" t="s">
        <v>2916</v>
      </c>
      <c r="B239" s="453"/>
      <c r="C239" s="453"/>
      <c r="D239" s="453"/>
      <c r="E239" s="453"/>
    </row>
    <row r="240" spans="1:7">
      <c r="A240" s="1191" t="s">
        <v>2917</v>
      </c>
      <c r="B240" s="453">
        <v>106</v>
      </c>
      <c r="C240" s="453"/>
      <c r="D240" s="453">
        <f t="shared" ref="D240:D243" ca="1" si="52">+ROUND($E$2*B240,2)</f>
        <v>1.23</v>
      </c>
      <c r="E240" s="453">
        <f t="shared" ref="E240:E243" ca="1" si="53">+SUM(B240:D240)</f>
        <v>107.23</v>
      </c>
    </row>
    <row r="241" spans="1:5">
      <c r="A241" s="1191" t="s">
        <v>2918</v>
      </c>
      <c r="B241" s="453">
        <v>106</v>
      </c>
      <c r="C241" s="453"/>
      <c r="D241" s="453">
        <f t="shared" ca="1" si="52"/>
        <v>1.23</v>
      </c>
      <c r="E241" s="453">
        <f t="shared" ca="1" si="53"/>
        <v>107.23</v>
      </c>
    </row>
    <row r="242" spans="1:5">
      <c r="A242" s="1191" t="s">
        <v>2919</v>
      </c>
      <c r="B242" s="453">
        <v>106</v>
      </c>
      <c r="C242" s="453"/>
      <c r="D242" s="453">
        <f t="shared" ca="1" si="52"/>
        <v>1.23</v>
      </c>
      <c r="E242" s="453">
        <f t="shared" ca="1" si="53"/>
        <v>107.23</v>
      </c>
    </row>
    <row r="243" spans="1:5">
      <c r="A243" s="1191" t="s">
        <v>2920</v>
      </c>
      <c r="B243" s="453">
        <v>46.25</v>
      </c>
      <c r="C243" s="453"/>
      <c r="D243" s="453">
        <f t="shared" ca="1" si="52"/>
        <v>0.54</v>
      </c>
      <c r="E243" s="453">
        <f t="shared" ca="1" si="53"/>
        <v>46.79</v>
      </c>
    </row>
    <row r="244" spans="1:5">
      <c r="B244" s="453"/>
      <c r="C244" s="453"/>
      <c r="D244" s="453"/>
      <c r="E244" s="453"/>
    </row>
    <row r="245" spans="1:5">
      <c r="A245" s="1190" t="s">
        <v>2822</v>
      </c>
      <c r="B245" s="453"/>
      <c r="C245" s="453"/>
      <c r="D245" s="453"/>
      <c r="E245" s="453"/>
    </row>
    <row r="246" spans="1:5">
      <c r="A246" s="1191" t="s">
        <v>2917</v>
      </c>
      <c r="B246" s="453">
        <v>106</v>
      </c>
      <c r="C246" s="453"/>
      <c r="D246" s="453">
        <f t="shared" ref="D246:D248" ca="1" si="54">+ROUND($E$2*B246,2)</f>
        <v>1.23</v>
      </c>
      <c r="E246" s="453">
        <f t="shared" ref="E246:E248" ca="1" si="55">+SUM(B246:D246)</f>
        <v>107.23</v>
      </c>
    </row>
    <row r="247" spans="1:5">
      <c r="A247" s="1191" t="s">
        <v>2918</v>
      </c>
      <c r="B247" s="453">
        <v>106</v>
      </c>
      <c r="C247" s="453"/>
      <c r="D247" s="453">
        <f t="shared" ca="1" si="54"/>
        <v>1.23</v>
      </c>
      <c r="E247" s="453">
        <f t="shared" ca="1" si="55"/>
        <v>107.23</v>
      </c>
    </row>
    <row r="248" spans="1:5">
      <c r="A248" s="1191" t="s">
        <v>2919</v>
      </c>
      <c r="B248" s="453">
        <v>106</v>
      </c>
      <c r="C248" s="453"/>
      <c r="D248" s="453">
        <f t="shared" ca="1" si="54"/>
        <v>1.23</v>
      </c>
      <c r="E248" s="453">
        <f t="shared" ca="1" si="55"/>
        <v>107.23</v>
      </c>
    </row>
    <row r="249" spans="1:5">
      <c r="B249" s="453"/>
      <c r="C249" s="453"/>
      <c r="D249" s="453"/>
      <c r="E249" s="453"/>
    </row>
    <row r="250" spans="1:5">
      <c r="A250" s="1190" t="s">
        <v>2921</v>
      </c>
      <c r="B250" s="453"/>
      <c r="C250" s="453"/>
      <c r="D250" s="453"/>
      <c r="E250" s="453"/>
    </row>
    <row r="251" spans="1:5">
      <c r="A251" s="1190" t="s">
        <v>2916</v>
      </c>
      <c r="B251" s="453"/>
      <c r="C251" s="453"/>
      <c r="D251" s="453"/>
      <c r="E251" s="453"/>
    </row>
    <row r="252" spans="1:5">
      <c r="A252" s="1191" t="s">
        <v>2917</v>
      </c>
      <c r="B252" s="453">
        <v>0</v>
      </c>
      <c r="C252" s="453"/>
      <c r="D252" s="453">
        <f t="shared" ref="D252:D255" ca="1" si="56">+ROUND($E$2*B252,2)</f>
        <v>0</v>
      </c>
      <c r="E252" s="453">
        <f t="shared" ref="E252:E255" ca="1" si="57">+SUM(B252:D252)</f>
        <v>0</v>
      </c>
    </row>
    <row r="253" spans="1:5">
      <c r="A253" s="1191" t="s">
        <v>2918</v>
      </c>
      <c r="B253" s="453">
        <v>112.5</v>
      </c>
      <c r="C253" s="453"/>
      <c r="D253" s="453">
        <f t="shared" ca="1" si="56"/>
        <v>1.3</v>
      </c>
      <c r="E253" s="453">
        <f t="shared" ca="1" si="57"/>
        <v>113.8</v>
      </c>
    </row>
    <row r="254" spans="1:5">
      <c r="A254" s="1191" t="s">
        <v>2919</v>
      </c>
      <c r="B254" s="453">
        <v>112.5</v>
      </c>
      <c r="C254" s="453"/>
      <c r="D254" s="453">
        <f t="shared" ca="1" si="56"/>
        <v>1.3</v>
      </c>
      <c r="E254" s="453">
        <f t="shared" ca="1" si="57"/>
        <v>113.8</v>
      </c>
    </row>
    <row r="255" spans="1:5">
      <c r="A255" s="1191" t="s">
        <v>2922</v>
      </c>
      <c r="B255" s="453">
        <v>46.25</v>
      </c>
      <c r="C255" s="453"/>
      <c r="D255" s="453">
        <f t="shared" ca="1" si="56"/>
        <v>0.54</v>
      </c>
      <c r="E255" s="453">
        <f t="shared" ca="1" si="57"/>
        <v>46.79</v>
      </c>
    </row>
    <row r="256" spans="1:5">
      <c r="B256" s="453"/>
      <c r="C256" s="453"/>
      <c r="D256" s="453"/>
      <c r="E256" s="453"/>
    </row>
    <row r="257" spans="1:5">
      <c r="A257" s="1190" t="s">
        <v>2822</v>
      </c>
      <c r="B257" s="453"/>
      <c r="C257" s="453"/>
      <c r="D257" s="453"/>
      <c r="E257" s="453"/>
    </row>
    <row r="258" spans="1:5">
      <c r="A258" s="1191" t="s">
        <v>2917</v>
      </c>
      <c r="B258" s="453">
        <v>0</v>
      </c>
      <c r="C258" s="453"/>
      <c r="D258" s="453">
        <f t="shared" ref="D258:D260" ca="1" si="58">+ROUND($E$2*B258,2)</f>
        <v>0</v>
      </c>
      <c r="E258" s="453">
        <f t="shared" ref="E258:E260" ca="1" si="59">+SUM(B258:D258)</f>
        <v>0</v>
      </c>
    </row>
    <row r="259" spans="1:5">
      <c r="A259" s="1191" t="s">
        <v>2918</v>
      </c>
      <c r="B259" s="453">
        <v>112.5</v>
      </c>
      <c r="C259" s="453"/>
      <c r="D259" s="453">
        <f t="shared" ca="1" si="58"/>
        <v>1.3</v>
      </c>
      <c r="E259" s="453">
        <f t="shared" ca="1" si="59"/>
        <v>113.8</v>
      </c>
    </row>
    <row r="260" spans="1:5">
      <c r="A260" s="1191" t="s">
        <v>2919</v>
      </c>
      <c r="B260" s="453">
        <v>112.5</v>
      </c>
      <c r="C260" s="453"/>
      <c r="D260" s="453">
        <f t="shared" ca="1" si="58"/>
        <v>1.3</v>
      </c>
      <c r="E260" s="453">
        <f t="shared" ca="1" si="59"/>
        <v>113.8</v>
      </c>
    </row>
    <row r="261" spans="1:5">
      <c r="B261" s="453"/>
      <c r="C261" s="453"/>
      <c r="D261" s="453"/>
      <c r="E261" s="453"/>
    </row>
    <row r="262" spans="1:5">
      <c r="A262" s="1187" t="s">
        <v>2923</v>
      </c>
      <c r="B262" s="453"/>
      <c r="C262" s="453"/>
      <c r="D262" s="453"/>
      <c r="E262" s="453"/>
    </row>
    <row r="263" spans="1:5">
      <c r="A263" s="1190" t="s">
        <v>2916</v>
      </c>
      <c r="B263" s="453"/>
      <c r="C263" s="453"/>
      <c r="D263" s="453"/>
      <c r="E263" s="453"/>
    </row>
    <row r="264" spans="1:5">
      <c r="A264" s="1191" t="s">
        <v>2924</v>
      </c>
      <c r="B264" s="453">
        <v>138.08000000000001</v>
      </c>
      <c r="C264" s="453"/>
      <c r="D264" s="453">
        <f t="shared" ref="D264:D266" ca="1" si="60">+ROUND($E$2*B264,2)</f>
        <v>1.6</v>
      </c>
      <c r="E264" s="453">
        <f t="shared" ref="E264:E266" ca="1" si="61">+SUM(B264:D264)</f>
        <v>139.68</v>
      </c>
    </row>
    <row r="265" spans="1:5">
      <c r="A265" s="1191" t="s">
        <v>2925</v>
      </c>
      <c r="B265" s="453">
        <v>138.08000000000001</v>
      </c>
      <c r="C265" s="453"/>
      <c r="D265" s="453">
        <f t="shared" ca="1" si="60"/>
        <v>1.6</v>
      </c>
      <c r="E265" s="453">
        <f t="shared" ca="1" si="61"/>
        <v>139.68</v>
      </c>
    </row>
    <row r="266" spans="1:5">
      <c r="A266" s="1191" t="s">
        <v>2926</v>
      </c>
      <c r="B266" s="453">
        <v>127.21</v>
      </c>
      <c r="C266" s="453"/>
      <c r="D266" s="453">
        <f t="shared" ca="1" si="60"/>
        <v>1.48</v>
      </c>
      <c r="E266" s="453">
        <f t="shared" ca="1" si="61"/>
        <v>128.69</v>
      </c>
    </row>
    <row r="267" spans="1:5">
      <c r="B267" s="453"/>
      <c r="C267" s="453"/>
      <c r="D267" s="453"/>
      <c r="E267" s="453"/>
    </row>
    <row r="268" spans="1:5">
      <c r="A268" s="1190" t="s">
        <v>2822</v>
      </c>
      <c r="B268" s="453"/>
      <c r="C268" s="453"/>
      <c r="D268" s="453"/>
      <c r="E268" s="453"/>
    </row>
    <row r="269" spans="1:5">
      <c r="A269" s="1191" t="s">
        <v>2924</v>
      </c>
      <c r="B269" s="453">
        <v>0</v>
      </c>
      <c r="C269" s="453"/>
      <c r="D269" s="453">
        <f t="shared" ref="D269:D271" ca="1" si="62">+ROUND($E$2*B269,2)</f>
        <v>0</v>
      </c>
      <c r="E269" s="453">
        <f t="shared" ref="E269:E271" ca="1" si="63">+SUM(B269:D269)</f>
        <v>0</v>
      </c>
    </row>
    <row r="270" spans="1:5">
      <c r="A270" s="1191" t="s">
        <v>2925</v>
      </c>
      <c r="B270" s="453">
        <v>0</v>
      </c>
      <c r="C270" s="453"/>
      <c r="D270" s="453">
        <f t="shared" ca="1" si="62"/>
        <v>0</v>
      </c>
      <c r="E270" s="453">
        <f t="shared" ca="1" si="63"/>
        <v>0</v>
      </c>
    </row>
    <row r="271" spans="1:5">
      <c r="A271" s="1191" t="s">
        <v>2926</v>
      </c>
      <c r="B271" s="453">
        <v>0</v>
      </c>
      <c r="C271" s="453"/>
      <c r="D271" s="453">
        <f t="shared" ca="1" si="62"/>
        <v>0</v>
      </c>
      <c r="E271" s="453">
        <f t="shared" ca="1" si="63"/>
        <v>0</v>
      </c>
    </row>
    <row r="272" spans="1:5">
      <c r="B272" s="453"/>
      <c r="C272" s="453"/>
      <c r="D272" s="453"/>
      <c r="E272" s="453"/>
    </row>
    <row r="273" spans="1:5">
      <c r="A273" s="1184" t="s">
        <v>2927</v>
      </c>
      <c r="B273" s="1185"/>
      <c r="C273" s="1185"/>
      <c r="D273" s="1185"/>
      <c r="E273" s="1185"/>
    </row>
    <row r="274" spans="1:5">
      <c r="A274" s="1187" t="s">
        <v>2928</v>
      </c>
      <c r="B274" s="453"/>
      <c r="C274" s="453"/>
      <c r="D274" s="453"/>
      <c r="E274" s="453"/>
    </row>
    <row r="275" spans="1:5">
      <c r="A275" s="1188" t="s">
        <v>2831</v>
      </c>
      <c r="B275" s="453">
        <v>3.8</v>
      </c>
      <c r="C275" s="453"/>
      <c r="D275" s="453">
        <f t="shared" ref="D275:D276" ca="1" si="64">+ROUND($E$2*B275,2)</f>
        <v>0.04</v>
      </c>
      <c r="E275" s="453">
        <f ca="1">+SUM(B275:D275)/4.33</f>
        <v>0.8868360277136258</v>
      </c>
    </row>
    <row r="276" spans="1:5">
      <c r="A276" s="1188" t="s">
        <v>2929</v>
      </c>
      <c r="B276" s="453">
        <v>0.53</v>
      </c>
      <c r="C276" s="453"/>
      <c r="D276" s="453">
        <f t="shared" ca="1" si="64"/>
        <v>0.01</v>
      </c>
      <c r="E276" s="453">
        <f t="shared" ref="E276" ca="1" si="65">+SUM(B276:D276)</f>
        <v>0.54</v>
      </c>
    </row>
    <row r="277" spans="1:5">
      <c r="B277" s="453"/>
      <c r="C277" s="453"/>
      <c r="D277" s="453"/>
      <c r="E277" s="453"/>
    </row>
    <row r="278" spans="1:5">
      <c r="A278" s="1184" t="s">
        <v>2930</v>
      </c>
      <c r="B278" s="1185"/>
      <c r="C278" s="1185"/>
      <c r="D278" s="1185"/>
      <c r="E278" s="1185"/>
    </row>
    <row r="279" spans="1:5">
      <c r="A279" s="1187" t="s">
        <v>2931</v>
      </c>
      <c r="B279" s="453"/>
      <c r="C279" s="453"/>
      <c r="D279" s="453"/>
      <c r="E279" s="453"/>
    </row>
    <row r="280" spans="1:5">
      <c r="A280" s="1188" t="s">
        <v>2932</v>
      </c>
      <c r="B280" s="453">
        <v>0.19</v>
      </c>
      <c r="C280" s="453"/>
      <c r="D280" s="453">
        <f t="shared" ref="D280" ca="1" si="66">+ROUND($E$2*B280,2)</f>
        <v>0</v>
      </c>
      <c r="E280" s="453">
        <f t="shared" ref="E280" ca="1" si="67">+SUM(B280:D280)</f>
        <v>0.19</v>
      </c>
    </row>
    <row r="281" spans="1:5">
      <c r="B281" s="453"/>
      <c r="C281" s="453"/>
      <c r="D281" s="453"/>
      <c r="E281" s="453"/>
    </row>
    <row r="282" spans="1:5">
      <c r="A282" s="1184" t="s">
        <v>2933</v>
      </c>
      <c r="B282" s="1185"/>
      <c r="C282" s="1185"/>
      <c r="D282" s="1185"/>
      <c r="E282" s="1185"/>
    </row>
    <row r="283" spans="1:5">
      <c r="A283" s="1187" t="s">
        <v>2934</v>
      </c>
      <c r="B283" s="453"/>
      <c r="C283" s="453"/>
      <c r="D283" s="453"/>
      <c r="E283" s="453"/>
    </row>
    <row r="284" spans="1:5">
      <c r="A284" s="1188" t="s">
        <v>2935</v>
      </c>
      <c r="B284" s="453">
        <v>4.75</v>
      </c>
      <c r="C284" s="453"/>
      <c r="D284" s="453">
        <f t="shared" ref="D284:D285" ca="1" si="68">+ROUND($E$2*B284,2)</f>
        <v>0.06</v>
      </c>
      <c r="E284" s="453">
        <f t="shared" ref="E284:E285" ca="1" si="69">+SUM(B284:D284)</f>
        <v>4.8099999999999996</v>
      </c>
    </row>
    <row r="285" spans="1:5">
      <c r="A285" s="1188" t="s">
        <v>2822</v>
      </c>
      <c r="B285" s="453">
        <v>19</v>
      </c>
      <c r="C285" s="453"/>
      <c r="D285" s="453">
        <f t="shared" ca="1" si="68"/>
        <v>0.22</v>
      </c>
      <c r="E285" s="453">
        <f t="shared" ca="1" si="69"/>
        <v>19.22</v>
      </c>
    </row>
    <row r="286" spans="1:5">
      <c r="B286" s="453"/>
      <c r="C286" s="453"/>
      <c r="D286" s="453"/>
      <c r="E286" s="453"/>
    </row>
    <row r="287" spans="1:5">
      <c r="A287" s="1184" t="s">
        <v>2936</v>
      </c>
      <c r="B287" s="1185"/>
      <c r="C287" s="1185"/>
      <c r="D287" s="1185"/>
      <c r="E287" s="1185"/>
    </row>
    <row r="288" spans="1:5">
      <c r="A288" s="1187" t="s">
        <v>2937</v>
      </c>
      <c r="B288" s="453"/>
      <c r="C288" s="453"/>
      <c r="D288" s="453"/>
      <c r="E288" s="453"/>
    </row>
    <row r="289" spans="1:5">
      <c r="A289" s="1188" t="s">
        <v>2938</v>
      </c>
      <c r="B289" s="453">
        <v>164.34</v>
      </c>
      <c r="C289" s="453">
        <v>3.04</v>
      </c>
      <c r="D289" s="453"/>
      <c r="E289" s="453">
        <f t="shared" ref="E289:E291" si="70">+SUM(B289:D289)</f>
        <v>167.38</v>
      </c>
    </row>
    <row r="290" spans="1:5">
      <c r="A290" s="1188" t="s">
        <v>2939</v>
      </c>
      <c r="B290" s="453">
        <v>40</v>
      </c>
      <c r="C290" s="453"/>
      <c r="D290" s="453"/>
      <c r="E290" s="453">
        <f t="shared" ref="E290" si="71">+SUM(B290:D290)</f>
        <v>40</v>
      </c>
    </row>
    <row r="291" spans="1:5">
      <c r="A291" s="1188" t="s">
        <v>2940</v>
      </c>
      <c r="B291" s="453">
        <v>112.64</v>
      </c>
      <c r="C291" s="453">
        <v>-0.26</v>
      </c>
      <c r="D291" s="453"/>
      <c r="E291" s="453">
        <f t="shared" si="70"/>
        <v>112.38</v>
      </c>
    </row>
    <row r="292" spans="1:5">
      <c r="B292" s="453"/>
      <c r="C292" s="453"/>
      <c r="D292" s="453"/>
      <c r="E292" s="453"/>
    </row>
    <row r="293" spans="1:5">
      <c r="A293" s="1184" t="s">
        <v>2941</v>
      </c>
      <c r="B293" s="1185"/>
      <c r="C293" s="1185"/>
      <c r="D293" s="1185"/>
      <c r="E293" s="1185"/>
    </row>
    <row r="294" spans="1:5">
      <c r="A294" s="1187" t="s">
        <v>2942</v>
      </c>
      <c r="B294" s="453"/>
      <c r="C294" s="453"/>
      <c r="D294" s="453"/>
      <c r="E294" s="453"/>
    </row>
    <row r="295" spans="1:5">
      <c r="A295" s="1190" t="s">
        <v>2884</v>
      </c>
      <c r="B295" s="453"/>
      <c r="C295" s="453"/>
      <c r="D295" s="453"/>
      <c r="E295" s="453"/>
    </row>
    <row r="296" spans="1:5">
      <c r="A296" s="1191" t="s">
        <v>2885</v>
      </c>
      <c r="B296" s="453">
        <v>31.73</v>
      </c>
      <c r="C296" s="453">
        <f>'[49]To Populate Tariff'!$G$43</f>
        <v>0.21999999999999886</v>
      </c>
      <c r="D296" s="453">
        <f t="shared" ref="D296:D301" ca="1" si="72">+ROUND($E$2*B296,2)</f>
        <v>0.37</v>
      </c>
      <c r="E296" s="453">
        <f t="shared" ref="E296:E301" ca="1" si="73">+SUM(B296:D296)</f>
        <v>32.32</v>
      </c>
    </row>
    <row r="297" spans="1:5">
      <c r="A297" s="1191" t="s">
        <v>2886</v>
      </c>
      <c r="B297" s="453">
        <v>43.42</v>
      </c>
      <c r="C297" s="453">
        <f>'[49]To Populate Tariff'!$G$47</f>
        <v>0.30999999999999517</v>
      </c>
      <c r="D297" s="453">
        <f t="shared" ca="1" si="72"/>
        <v>0.5</v>
      </c>
      <c r="E297" s="453">
        <f t="shared" ca="1" si="73"/>
        <v>44.23</v>
      </c>
    </row>
    <row r="298" spans="1:5">
      <c r="A298" s="1191" t="s">
        <v>2887</v>
      </c>
      <c r="B298" s="453">
        <v>52.55</v>
      </c>
      <c r="C298" s="453">
        <f>'[49]To Populate Tariff'!$G$51</f>
        <v>0.40000000000000568</v>
      </c>
      <c r="D298" s="453">
        <f t="shared" ca="1" si="72"/>
        <v>0.61</v>
      </c>
      <c r="E298" s="453">
        <f t="shared" ca="1" si="73"/>
        <v>53.56</v>
      </c>
    </row>
    <row r="299" spans="1:5">
      <c r="A299" s="1191" t="s">
        <v>2888</v>
      </c>
      <c r="B299" s="453">
        <v>71.28</v>
      </c>
      <c r="C299" s="453">
        <f>'[49]To Populate Tariff'!$G$55</f>
        <v>0.59000000000000341</v>
      </c>
      <c r="D299" s="453">
        <f t="shared" ca="1" si="72"/>
        <v>0.83</v>
      </c>
      <c r="E299" s="453">
        <f t="shared" ca="1" si="73"/>
        <v>72.7</v>
      </c>
    </row>
    <row r="300" spans="1:5">
      <c r="A300" s="1191" t="s">
        <v>2889</v>
      </c>
      <c r="B300" s="453">
        <v>89.24</v>
      </c>
      <c r="C300" s="453">
        <f>'[49]To Populate Tariff'!$G$59</f>
        <v>0.76000000000000512</v>
      </c>
      <c r="D300" s="453">
        <f t="shared" ca="1" si="72"/>
        <v>1.04</v>
      </c>
      <c r="E300" s="453">
        <f t="shared" ca="1" si="73"/>
        <v>91.04</v>
      </c>
    </row>
    <row r="301" spans="1:5">
      <c r="A301" s="1191" t="s">
        <v>2890</v>
      </c>
      <c r="B301" s="453">
        <v>119.88</v>
      </c>
      <c r="C301" s="453">
        <f>'[49]To Populate Tariff'!$G$63</f>
        <v>1.0500000000000114</v>
      </c>
      <c r="D301" s="453">
        <f t="shared" ca="1" si="72"/>
        <v>1.39</v>
      </c>
      <c r="E301" s="453">
        <f t="shared" ca="1" si="73"/>
        <v>122.32000000000001</v>
      </c>
    </row>
    <row r="302" spans="1:5">
      <c r="B302" s="453"/>
      <c r="C302" s="453"/>
      <c r="D302" s="453"/>
      <c r="E302" s="453"/>
    </row>
    <row r="303" spans="1:5">
      <c r="A303" s="1190" t="s">
        <v>2892</v>
      </c>
      <c r="B303" s="453"/>
      <c r="C303" s="453"/>
      <c r="D303" s="453"/>
      <c r="E303" s="453"/>
    </row>
    <row r="304" spans="1:5">
      <c r="A304" s="1191" t="s">
        <v>2885</v>
      </c>
      <c r="B304" s="453">
        <v>18.59</v>
      </c>
      <c r="C304" s="453">
        <f>'[49]To Populate Tariff'!$G$44</f>
        <v>0.21999999999999886</v>
      </c>
      <c r="D304" s="453">
        <f t="shared" ref="D304:D309" ca="1" si="74">+ROUND($E$2*B304,2)</f>
        <v>0.22</v>
      </c>
      <c r="E304" s="453">
        <f t="shared" ref="E304:E309" ca="1" si="75">+SUM(B304:D304)</f>
        <v>19.029999999999998</v>
      </c>
    </row>
    <row r="305" spans="1:5">
      <c r="A305" s="1191" t="s">
        <v>2886</v>
      </c>
      <c r="B305" s="453">
        <v>25.47</v>
      </c>
      <c r="C305" s="453">
        <f>'[49]To Populate Tariff'!$G$48</f>
        <v>0.31000000000000227</v>
      </c>
      <c r="D305" s="453">
        <f t="shared" ca="1" si="74"/>
        <v>0.3</v>
      </c>
      <c r="E305" s="453">
        <f t="shared" ca="1" si="75"/>
        <v>26.080000000000002</v>
      </c>
    </row>
    <row r="306" spans="1:5">
      <c r="A306" s="1191" t="s">
        <v>2887</v>
      </c>
      <c r="B306" s="453">
        <v>33.54</v>
      </c>
      <c r="C306" s="453">
        <f>'[49]To Populate Tariff'!$G$52</f>
        <v>0.39999999999999858</v>
      </c>
      <c r="D306" s="453">
        <f t="shared" ca="1" si="74"/>
        <v>0.39</v>
      </c>
      <c r="E306" s="453">
        <f t="shared" ca="1" si="75"/>
        <v>34.33</v>
      </c>
    </row>
    <row r="307" spans="1:5">
      <c r="A307" s="1191" t="s">
        <v>2888</v>
      </c>
      <c r="B307" s="453">
        <v>47.53</v>
      </c>
      <c r="C307" s="453">
        <f>'[49]To Populate Tariff'!$G$56</f>
        <v>0.58999999999999631</v>
      </c>
      <c r="D307" s="453">
        <f t="shared" ca="1" si="74"/>
        <v>0.55000000000000004</v>
      </c>
      <c r="E307" s="453">
        <f t="shared" ca="1" si="75"/>
        <v>48.669999999999995</v>
      </c>
    </row>
    <row r="308" spans="1:5">
      <c r="A308" s="1191" t="s">
        <v>2889</v>
      </c>
      <c r="B308" s="453">
        <v>63.9</v>
      </c>
      <c r="C308" s="453">
        <f>'[49]To Populate Tariff'!$G$60</f>
        <v>0.75999999999999801</v>
      </c>
      <c r="D308" s="453">
        <f t="shared" ca="1" si="74"/>
        <v>0.74</v>
      </c>
      <c r="E308" s="453">
        <f t="shared" ca="1" si="75"/>
        <v>65.399999999999991</v>
      </c>
    </row>
    <row r="309" spans="1:5">
      <c r="A309" s="1191" t="s">
        <v>2890</v>
      </c>
      <c r="B309" s="453">
        <v>88.2</v>
      </c>
      <c r="C309" s="453">
        <f>'[49]To Populate Tariff'!$G$64</f>
        <v>1.0499999999999972</v>
      </c>
      <c r="D309" s="453">
        <f t="shared" ca="1" si="74"/>
        <v>1.02</v>
      </c>
      <c r="E309" s="453">
        <f t="shared" ca="1" si="75"/>
        <v>90.27</v>
      </c>
    </row>
    <row r="310" spans="1:5">
      <c r="B310" s="453"/>
      <c r="C310" s="453"/>
      <c r="D310" s="453"/>
      <c r="E310" s="453"/>
    </row>
    <row r="311" spans="1:5">
      <c r="A311" s="1190" t="s">
        <v>2893</v>
      </c>
      <c r="B311" s="453"/>
      <c r="C311" s="453"/>
      <c r="D311" s="453"/>
      <c r="E311" s="453"/>
    </row>
    <row r="312" spans="1:5">
      <c r="A312" s="1191" t="s">
        <v>2885</v>
      </c>
      <c r="B312" s="453">
        <v>63.83</v>
      </c>
      <c r="C312" s="453">
        <f>'[49]To Populate Tariff'!$G$46</f>
        <v>0.21999999999999886</v>
      </c>
      <c r="D312" s="453">
        <f t="shared" ref="D312:D317" ca="1" si="76">+ROUND($E$2*B312,2)</f>
        <v>0.74</v>
      </c>
      <c r="E312" s="453">
        <f t="shared" ref="E312:E317" ca="1" si="77">+SUM(B312:D312)</f>
        <v>64.789999999999992</v>
      </c>
    </row>
    <row r="313" spans="1:5">
      <c r="A313" s="1191" t="s">
        <v>2886</v>
      </c>
      <c r="B313" s="453">
        <v>71.09</v>
      </c>
      <c r="C313" s="453">
        <f>'[49]To Populate Tariff'!$G$50</f>
        <v>0.31000000000000227</v>
      </c>
      <c r="D313" s="453">
        <f t="shared" ca="1" si="76"/>
        <v>0.82</v>
      </c>
      <c r="E313" s="453">
        <f t="shared" ca="1" si="77"/>
        <v>72.22</v>
      </c>
    </row>
    <row r="314" spans="1:5">
      <c r="A314" s="1191" t="s">
        <v>2887</v>
      </c>
      <c r="B314" s="453">
        <v>79.41</v>
      </c>
      <c r="C314" s="453">
        <f>'[49]To Populate Tariff'!$G$54</f>
        <v>0.40000000000000568</v>
      </c>
      <c r="D314" s="453">
        <f t="shared" ca="1" si="76"/>
        <v>0.92</v>
      </c>
      <c r="E314" s="453">
        <f t="shared" ca="1" si="77"/>
        <v>80.73</v>
      </c>
    </row>
    <row r="315" spans="1:5">
      <c r="A315" s="1191" t="s">
        <v>2888</v>
      </c>
      <c r="B315" s="453">
        <v>91.89</v>
      </c>
      <c r="C315" s="453">
        <f>'[49]To Populate Tariff'!$G$58</f>
        <v>0.59000000000000341</v>
      </c>
      <c r="D315" s="453">
        <f t="shared" ca="1" si="76"/>
        <v>1.07</v>
      </c>
      <c r="E315" s="453">
        <f t="shared" ca="1" si="77"/>
        <v>93.55</v>
      </c>
    </row>
    <row r="316" spans="1:5">
      <c r="A316" s="1191" t="s">
        <v>2889</v>
      </c>
      <c r="B316" s="453">
        <v>106.14</v>
      </c>
      <c r="C316" s="453">
        <f>'[49]To Populate Tariff'!$G$62</f>
        <v>0.76000000000000512</v>
      </c>
      <c r="D316" s="453">
        <f t="shared" ca="1" si="76"/>
        <v>1.23</v>
      </c>
      <c r="E316" s="453">
        <f t="shared" ca="1" si="77"/>
        <v>108.13000000000001</v>
      </c>
    </row>
    <row r="317" spans="1:5">
      <c r="A317" s="1191" t="s">
        <v>2890</v>
      </c>
      <c r="B317" s="453">
        <v>126.22</v>
      </c>
      <c r="C317" s="453">
        <f>'[49]To Populate Tariff'!$G$66</f>
        <v>1.0499999999999972</v>
      </c>
      <c r="D317" s="453">
        <f t="shared" ca="1" si="76"/>
        <v>1.46</v>
      </c>
      <c r="E317" s="453">
        <f t="shared" ca="1" si="77"/>
        <v>128.72999999999999</v>
      </c>
    </row>
    <row r="318" spans="1:5">
      <c r="B318" s="453"/>
      <c r="C318" s="453"/>
      <c r="D318" s="453"/>
      <c r="E318" s="453"/>
    </row>
    <row r="319" spans="1:5">
      <c r="A319" s="1187" t="s">
        <v>2894</v>
      </c>
      <c r="B319" s="453"/>
      <c r="C319" s="453"/>
      <c r="D319" s="453"/>
      <c r="E319" s="453"/>
    </row>
    <row r="320" spans="1:5">
      <c r="A320" s="1190" t="s">
        <v>2895</v>
      </c>
      <c r="B320" s="453"/>
      <c r="C320" s="453"/>
      <c r="D320" s="453"/>
      <c r="E320" s="453"/>
    </row>
    <row r="321" spans="1:5">
      <c r="A321" s="1191" t="s">
        <v>2885</v>
      </c>
      <c r="B321" s="453">
        <v>22.71</v>
      </c>
      <c r="C321" s="453"/>
      <c r="D321" s="453">
        <f t="shared" ref="D321:D326" ca="1" si="78">+ROUND($E$2*B321,2)</f>
        <v>0.26</v>
      </c>
      <c r="E321" s="453">
        <f t="shared" ref="E321:E326" ca="1" si="79">+SUM(B321:D321)</f>
        <v>22.970000000000002</v>
      </c>
    </row>
    <row r="322" spans="1:5">
      <c r="A322" s="1191" t="s">
        <v>2886</v>
      </c>
      <c r="B322" s="453">
        <v>22.71</v>
      </c>
      <c r="C322" s="453"/>
      <c r="D322" s="453">
        <f t="shared" ca="1" si="78"/>
        <v>0.26</v>
      </c>
      <c r="E322" s="453">
        <f t="shared" ca="1" si="79"/>
        <v>22.970000000000002</v>
      </c>
    </row>
    <row r="323" spans="1:5">
      <c r="A323" s="1191" t="s">
        <v>2887</v>
      </c>
      <c r="B323" s="453">
        <v>22.71</v>
      </c>
      <c r="C323" s="453"/>
      <c r="D323" s="453">
        <f t="shared" ca="1" si="78"/>
        <v>0.26</v>
      </c>
      <c r="E323" s="453">
        <f t="shared" ca="1" si="79"/>
        <v>22.970000000000002</v>
      </c>
    </row>
    <row r="324" spans="1:5">
      <c r="A324" s="1191" t="s">
        <v>2888</v>
      </c>
      <c r="B324" s="453">
        <v>22.71</v>
      </c>
      <c r="C324" s="453"/>
      <c r="D324" s="453">
        <f t="shared" ca="1" si="78"/>
        <v>0.26</v>
      </c>
      <c r="E324" s="453">
        <f t="shared" ca="1" si="79"/>
        <v>22.970000000000002</v>
      </c>
    </row>
    <row r="325" spans="1:5">
      <c r="A325" s="1191" t="s">
        <v>2889</v>
      </c>
      <c r="B325" s="453">
        <v>22.71</v>
      </c>
      <c r="C325" s="453"/>
      <c r="D325" s="453">
        <f t="shared" ca="1" si="78"/>
        <v>0.26</v>
      </c>
      <c r="E325" s="453">
        <f t="shared" ca="1" si="79"/>
        <v>22.970000000000002</v>
      </c>
    </row>
    <row r="326" spans="1:5">
      <c r="A326" s="1191" t="s">
        <v>2890</v>
      </c>
      <c r="B326" s="453">
        <v>42.77</v>
      </c>
      <c r="C326" s="453"/>
      <c r="D326" s="453">
        <f t="shared" ca="1" si="78"/>
        <v>0.5</v>
      </c>
      <c r="E326" s="453">
        <f t="shared" ca="1" si="79"/>
        <v>43.27</v>
      </c>
    </row>
    <row r="327" spans="1:5">
      <c r="B327" s="453"/>
      <c r="C327" s="453"/>
      <c r="D327" s="453"/>
      <c r="E327" s="453"/>
    </row>
    <row r="328" spans="1:5">
      <c r="A328" s="1190" t="s">
        <v>2896</v>
      </c>
      <c r="B328" s="453"/>
      <c r="C328" s="453"/>
      <c r="D328" s="453"/>
      <c r="E328" s="453"/>
    </row>
    <row r="329" spans="1:5">
      <c r="A329" s="1191" t="s">
        <v>2885</v>
      </c>
      <c r="B329" s="453">
        <v>23.38</v>
      </c>
      <c r="C329" s="453">
        <f>'[49]To Populate Tariff'!$G$45</f>
        <v>0.22000000000000242</v>
      </c>
      <c r="D329" s="453">
        <f t="shared" ref="D329:D334" ca="1" si="80">+ROUND($E$2*B329,2)</f>
        <v>0.27</v>
      </c>
      <c r="E329" s="453">
        <f t="shared" ref="E329:E334" ca="1" si="81">+SUM(B329:D329)</f>
        <v>23.87</v>
      </c>
    </row>
    <row r="330" spans="1:5">
      <c r="A330" s="1191" t="s">
        <v>2886</v>
      </c>
      <c r="B330" s="453">
        <v>31.2</v>
      </c>
      <c r="C330" s="453">
        <f>'[49]To Populate Tariff'!$G$49</f>
        <v>0.31000000000000227</v>
      </c>
      <c r="D330" s="453">
        <f t="shared" ca="1" si="80"/>
        <v>0.36</v>
      </c>
      <c r="E330" s="453">
        <f t="shared" ca="1" si="81"/>
        <v>31.87</v>
      </c>
    </row>
    <row r="331" spans="1:5">
      <c r="A331" s="1191" t="s">
        <v>2887</v>
      </c>
      <c r="B331" s="453">
        <v>38.049999999999997</v>
      </c>
      <c r="C331" s="453">
        <f>'[49]To Populate Tariff'!$G$53</f>
        <v>0.40000000000000568</v>
      </c>
      <c r="D331" s="453">
        <f t="shared" ca="1" si="80"/>
        <v>0.44</v>
      </c>
      <c r="E331" s="453">
        <f t="shared" ca="1" si="81"/>
        <v>38.89</v>
      </c>
    </row>
    <row r="332" spans="1:5">
      <c r="A332" s="1191" t="s">
        <v>2888</v>
      </c>
      <c r="B332" s="453">
        <v>53.43</v>
      </c>
      <c r="C332" s="453">
        <f>'[49]To Populate Tariff'!$G$57</f>
        <v>0.59000000000000341</v>
      </c>
      <c r="D332" s="453">
        <f t="shared" ca="1" si="80"/>
        <v>0.62</v>
      </c>
      <c r="E332" s="453">
        <f t="shared" ca="1" si="81"/>
        <v>54.64</v>
      </c>
    </row>
    <row r="333" spans="1:5">
      <c r="A333" s="1191" t="s">
        <v>2889</v>
      </c>
      <c r="B333" s="453">
        <v>68.87</v>
      </c>
      <c r="C333" s="453">
        <f>'[49]To Populate Tariff'!$G$61</f>
        <v>0.75999999999999091</v>
      </c>
      <c r="D333" s="453">
        <f t="shared" ca="1" si="80"/>
        <v>0.8</v>
      </c>
      <c r="E333" s="453">
        <f t="shared" ca="1" si="81"/>
        <v>70.429999999999993</v>
      </c>
    </row>
    <row r="334" spans="1:5">
      <c r="A334" s="1191" t="s">
        <v>2890</v>
      </c>
      <c r="B334" s="453">
        <v>95.91</v>
      </c>
      <c r="C334" s="453">
        <f>'[49]To Populate Tariff'!$G$65</f>
        <v>1.0499999999999972</v>
      </c>
      <c r="D334" s="453">
        <f t="shared" ca="1" si="80"/>
        <v>1.1100000000000001</v>
      </c>
      <c r="E334" s="453">
        <f t="shared" ca="1" si="81"/>
        <v>98.07</v>
      </c>
    </row>
    <row r="335" spans="1:5">
      <c r="A335" s="1191"/>
      <c r="B335" s="453"/>
      <c r="C335" s="453"/>
      <c r="D335" s="453"/>
      <c r="E335" s="453"/>
    </row>
    <row r="336" spans="1:5">
      <c r="A336" s="1190" t="s">
        <v>2897</v>
      </c>
      <c r="B336" s="453"/>
      <c r="C336" s="453"/>
      <c r="D336" s="453"/>
      <c r="E336" s="453"/>
    </row>
    <row r="337" spans="1:5">
      <c r="A337" s="1191" t="s">
        <v>2885</v>
      </c>
      <c r="B337" s="453">
        <v>0.48</v>
      </c>
      <c r="C337" s="453"/>
      <c r="D337" s="453">
        <f t="shared" ref="D337:D342" ca="1" si="82">+ROUND($E$2*B337,2)</f>
        <v>0.01</v>
      </c>
      <c r="E337" s="453">
        <f t="shared" ref="E337:E342" ca="1" si="83">+SUM(B337:D337)</f>
        <v>0.49</v>
      </c>
    </row>
    <row r="338" spans="1:5">
      <c r="A338" s="1191" t="s">
        <v>2886</v>
      </c>
      <c r="B338" s="453">
        <v>0.53</v>
      </c>
      <c r="C338" s="453"/>
      <c r="D338" s="453">
        <f t="shared" ca="1" si="82"/>
        <v>0.01</v>
      </c>
      <c r="E338" s="453">
        <f t="shared" ca="1" si="83"/>
        <v>0.54</v>
      </c>
    </row>
    <row r="339" spans="1:5">
      <c r="A339" s="1191" t="s">
        <v>2887</v>
      </c>
      <c r="B339" s="453">
        <v>0.63</v>
      </c>
      <c r="C339" s="453"/>
      <c r="D339" s="453">
        <f t="shared" ca="1" si="82"/>
        <v>0.01</v>
      </c>
      <c r="E339" s="453">
        <f t="shared" ca="1" si="83"/>
        <v>0.64</v>
      </c>
    </row>
    <row r="340" spans="1:5">
      <c r="A340" s="1191" t="s">
        <v>2888</v>
      </c>
      <c r="B340" s="453">
        <v>0.69</v>
      </c>
      <c r="C340" s="453"/>
      <c r="D340" s="453">
        <f t="shared" ca="1" si="82"/>
        <v>0.01</v>
      </c>
      <c r="E340" s="453">
        <f t="shared" ca="1" si="83"/>
        <v>0.7</v>
      </c>
    </row>
    <row r="341" spans="1:5">
      <c r="A341" s="1191" t="s">
        <v>2889</v>
      </c>
      <c r="B341" s="453">
        <v>0.9</v>
      </c>
      <c r="C341" s="453"/>
      <c r="D341" s="453">
        <f t="shared" ca="1" si="82"/>
        <v>0.01</v>
      </c>
      <c r="E341" s="453">
        <f t="shared" ca="1" si="83"/>
        <v>0.91</v>
      </c>
    </row>
    <row r="342" spans="1:5">
      <c r="A342" s="1191" t="s">
        <v>2890</v>
      </c>
      <c r="B342" s="453">
        <v>1.32</v>
      </c>
      <c r="C342" s="453"/>
      <c r="D342" s="453">
        <f t="shared" ca="1" si="82"/>
        <v>0.02</v>
      </c>
      <c r="E342" s="453">
        <f t="shared" ca="1" si="83"/>
        <v>1.34</v>
      </c>
    </row>
    <row r="343" spans="1:5">
      <c r="B343" s="453"/>
      <c r="C343" s="453"/>
      <c r="D343" s="453"/>
      <c r="E343" s="453"/>
    </row>
    <row r="344" spans="1:5">
      <c r="A344" s="1190" t="s">
        <v>2943</v>
      </c>
      <c r="B344" s="453"/>
      <c r="C344" s="453"/>
      <c r="D344" s="453"/>
      <c r="E344" s="453"/>
    </row>
    <row r="345" spans="1:5">
      <c r="A345" s="1191" t="s">
        <v>2885</v>
      </c>
      <c r="B345" s="453">
        <v>960</v>
      </c>
      <c r="C345" s="453"/>
      <c r="D345" s="453">
        <f t="shared" ref="D345:D350" ca="1" si="84">+ROUND($E$2*B345,2)</f>
        <v>11.13</v>
      </c>
      <c r="E345" s="453">
        <f t="shared" ref="E345:E350" ca="1" si="85">+SUM(B345:D345)</f>
        <v>971.13</v>
      </c>
    </row>
    <row r="346" spans="1:5">
      <c r="A346" s="1191" t="s">
        <v>2886</v>
      </c>
      <c r="B346" s="453">
        <v>1030</v>
      </c>
      <c r="C346" s="453"/>
      <c r="D346" s="453">
        <f t="shared" ca="1" si="84"/>
        <v>11.95</v>
      </c>
      <c r="E346" s="453">
        <f t="shared" ca="1" si="85"/>
        <v>1041.95</v>
      </c>
    </row>
    <row r="347" spans="1:5">
      <c r="A347" s="1191" t="s">
        <v>2887</v>
      </c>
      <c r="B347" s="453">
        <v>1100</v>
      </c>
      <c r="C347" s="453"/>
      <c r="D347" s="453">
        <f t="shared" ca="1" si="84"/>
        <v>12.76</v>
      </c>
      <c r="E347" s="453">
        <f t="shared" ca="1" si="85"/>
        <v>1112.76</v>
      </c>
    </row>
    <row r="348" spans="1:5">
      <c r="A348" s="1191" t="s">
        <v>2888</v>
      </c>
      <c r="B348" s="453">
        <v>1260</v>
      </c>
      <c r="C348" s="453"/>
      <c r="D348" s="453">
        <f t="shared" ca="1" si="84"/>
        <v>14.61</v>
      </c>
      <c r="E348" s="453">
        <f t="shared" ca="1" si="85"/>
        <v>1274.6099999999999</v>
      </c>
    </row>
    <row r="349" spans="1:5">
      <c r="A349" s="1191" t="s">
        <v>2889</v>
      </c>
      <c r="B349" s="453">
        <v>1575</v>
      </c>
      <c r="C349" s="453"/>
      <c r="D349" s="453">
        <f t="shared" ca="1" si="84"/>
        <v>18.27</v>
      </c>
      <c r="E349" s="453">
        <f t="shared" ca="1" si="85"/>
        <v>1593.27</v>
      </c>
    </row>
    <row r="350" spans="1:5">
      <c r="A350" s="1191" t="s">
        <v>2890</v>
      </c>
      <c r="B350" s="453">
        <v>1890</v>
      </c>
      <c r="C350" s="453"/>
      <c r="D350" s="453">
        <f t="shared" ca="1" si="84"/>
        <v>21.92</v>
      </c>
      <c r="E350" s="453">
        <f t="shared" ca="1" si="85"/>
        <v>1911.92</v>
      </c>
    </row>
    <row r="351" spans="1:5">
      <c r="B351" s="453"/>
      <c r="C351" s="453"/>
      <c r="D351" s="453"/>
      <c r="E351" s="453"/>
    </row>
    <row r="352" spans="1:5">
      <c r="A352" s="1184" t="s">
        <v>2944</v>
      </c>
      <c r="B352" s="1185"/>
      <c r="C352" s="1185"/>
      <c r="D352" s="1185"/>
      <c r="E352" s="1185"/>
    </row>
    <row r="353" spans="1:5">
      <c r="A353" s="1187" t="s">
        <v>2945</v>
      </c>
      <c r="B353" s="453"/>
      <c r="C353" s="453"/>
      <c r="D353" s="453"/>
      <c r="E353" s="453"/>
    </row>
    <row r="354" spans="1:5">
      <c r="A354" s="1190" t="s">
        <v>2946</v>
      </c>
      <c r="B354" s="453"/>
      <c r="C354" s="453"/>
      <c r="D354" s="453"/>
      <c r="E354" s="453"/>
    </row>
    <row r="355" spans="1:5">
      <c r="A355" s="1191" t="s">
        <v>2947</v>
      </c>
      <c r="B355" s="453">
        <v>3.34</v>
      </c>
      <c r="C355" s="453"/>
      <c r="D355" s="453">
        <f t="shared" ref="D355:D356" ca="1" si="86">+ROUND($E$2*B355,2)</f>
        <v>0.04</v>
      </c>
      <c r="E355" s="453">
        <f t="shared" ref="E355:E356" ca="1" si="87">+SUM(B355:D355)</f>
        <v>3.38</v>
      </c>
    </row>
    <row r="356" spans="1:5">
      <c r="A356" s="1191" t="s">
        <v>2948</v>
      </c>
      <c r="B356" s="453">
        <v>3.18</v>
      </c>
      <c r="C356" s="453"/>
      <c r="D356" s="453">
        <f t="shared" ca="1" si="86"/>
        <v>0.04</v>
      </c>
      <c r="E356" s="453">
        <f t="shared" ca="1" si="87"/>
        <v>3.22</v>
      </c>
    </row>
    <row r="357" spans="1:5">
      <c r="A357" s="1191"/>
      <c r="B357" s="453"/>
      <c r="C357" s="453"/>
      <c r="D357" s="453"/>
      <c r="E357" s="453"/>
    </row>
    <row r="358" spans="1:5">
      <c r="A358" s="1190" t="s">
        <v>2949</v>
      </c>
      <c r="B358" s="453"/>
      <c r="C358" s="453"/>
      <c r="D358" s="453"/>
      <c r="E358" s="453"/>
    </row>
    <row r="359" spans="1:5">
      <c r="A359" s="1191" t="s">
        <v>2950</v>
      </c>
      <c r="B359" s="453">
        <v>3.34</v>
      </c>
      <c r="C359" s="453">
        <f>'[49]To Populate Tariff'!$G$82</f>
        <v>4.2355941326543967E-2</v>
      </c>
      <c r="D359" s="453">
        <f t="shared" ref="D359:D361" ca="1" si="88">+ROUND($E$2*B359,2)</f>
        <v>0.04</v>
      </c>
      <c r="E359" s="453">
        <f t="shared" ref="E359:E361" ca="1" si="89">+SUM(B359:D359)</f>
        <v>3.4223559413265439</v>
      </c>
    </row>
    <row r="360" spans="1:5">
      <c r="A360" s="1191" t="s">
        <v>2864</v>
      </c>
      <c r="B360" s="453">
        <v>6.74</v>
      </c>
      <c r="C360" s="453">
        <f>'[49]To Populate Tariff'!$G$81</f>
        <v>5.855086006904564E-2</v>
      </c>
      <c r="D360" s="453">
        <f t="shared" ca="1" si="88"/>
        <v>0.08</v>
      </c>
      <c r="E360" s="453">
        <f t="shared" ca="1" si="89"/>
        <v>6.8785508600690459</v>
      </c>
    </row>
    <row r="361" spans="1:5">
      <c r="A361" s="1191" t="s">
        <v>2865</v>
      </c>
      <c r="B361" s="453">
        <v>8.6</v>
      </c>
      <c r="C361" s="453">
        <f>'[49]To Populate Tariff'!$G$87</f>
        <v>8.4711882653087045E-2</v>
      </c>
      <c r="D361" s="453">
        <f t="shared" ca="1" si="88"/>
        <v>0.1</v>
      </c>
      <c r="E361" s="453">
        <f t="shared" ca="1" si="89"/>
        <v>8.7847118826530863</v>
      </c>
    </row>
    <row r="362" spans="1:5">
      <c r="A362" s="1191"/>
      <c r="B362" s="453"/>
      <c r="C362" s="453"/>
      <c r="D362" s="453"/>
      <c r="E362" s="453"/>
    </row>
    <row r="363" spans="1:5">
      <c r="A363" s="1190" t="s">
        <v>2822</v>
      </c>
      <c r="B363" s="453"/>
      <c r="C363" s="453"/>
      <c r="D363" s="453"/>
      <c r="E363" s="453"/>
    </row>
    <row r="364" spans="1:5" s="1078" customFormat="1">
      <c r="A364" s="1191" t="s">
        <v>2950</v>
      </c>
      <c r="B364" s="453">
        <v>17.809999999999999</v>
      </c>
      <c r="C364" s="453">
        <f>'[49]To Populate Tariff'!$G$67</f>
        <v>0.16000000000000014</v>
      </c>
      <c r="D364" s="453">
        <f t="shared" ref="D364:D366" ca="1" si="90">+ROUND($E$2*B364,2)</f>
        <v>0.21</v>
      </c>
      <c r="E364" s="453">
        <f t="shared" ref="E364:E366" ca="1" si="91">+SUM(B364:D364)</f>
        <v>18.18</v>
      </c>
    </row>
    <row r="365" spans="1:5" s="1078" customFormat="1">
      <c r="A365" s="1191" t="s">
        <v>2864</v>
      </c>
      <c r="B365" s="453">
        <v>20.9</v>
      </c>
      <c r="C365" s="453">
        <f>'[49]To Populate Tariff'!$G$75</f>
        <v>0.12686019681626703</v>
      </c>
      <c r="D365" s="453">
        <f t="shared" ca="1" si="90"/>
        <v>0.24</v>
      </c>
      <c r="E365" s="453">
        <f t="shared" ca="1" si="91"/>
        <v>21.266860196816264</v>
      </c>
    </row>
    <row r="366" spans="1:5" s="1078" customFormat="1">
      <c r="A366" s="1191" t="s">
        <v>2865</v>
      </c>
      <c r="B366" s="453">
        <v>26.81</v>
      </c>
      <c r="C366" s="453">
        <f>'[49]To Populate Tariff'!$G$79</f>
        <v>0.18354241241502223</v>
      </c>
      <c r="D366" s="453">
        <f t="shared" ca="1" si="90"/>
        <v>0.31</v>
      </c>
      <c r="E366" s="453">
        <f t="shared" ca="1" si="91"/>
        <v>27.30354241241502</v>
      </c>
    </row>
    <row r="367" spans="1:5">
      <c r="A367" s="1191"/>
      <c r="B367" s="453"/>
      <c r="C367" s="453"/>
      <c r="D367" s="453"/>
      <c r="E367" s="453"/>
    </row>
    <row r="368" spans="1:5">
      <c r="A368" s="1190" t="s">
        <v>2951</v>
      </c>
      <c r="B368" s="453"/>
      <c r="C368" s="453"/>
      <c r="D368" s="453"/>
      <c r="E368" s="453"/>
    </row>
    <row r="369" spans="1:5">
      <c r="A369" s="1191" t="s">
        <v>2952</v>
      </c>
      <c r="B369" s="453">
        <v>12.33</v>
      </c>
      <c r="C369" s="453">
        <f>'[49]To Populate Tariff'!$G$84</f>
        <v>4.2355941326544411E-2</v>
      </c>
      <c r="D369" s="453">
        <f ca="1">+ROUND($E$2*B369,2)</f>
        <v>0.14000000000000001</v>
      </c>
      <c r="E369" s="453">
        <f ca="1">+SUM(B369:D369)</f>
        <v>12.512355941326545</v>
      </c>
    </row>
    <row r="370" spans="1:5">
      <c r="A370" s="1191" t="s">
        <v>2953</v>
      </c>
      <c r="B370" s="453">
        <v>4.3099999999999996</v>
      </c>
      <c r="C370" s="453">
        <f>'[49]To Populate Tariff'!$G$85</f>
        <v>4.2355941326543523E-2</v>
      </c>
      <c r="D370" s="453">
        <f ca="1">+ROUND($E$2*B370,2)</f>
        <v>0.05</v>
      </c>
      <c r="E370" s="453">
        <f ca="1">+SUM(B370:D370)</f>
        <v>4.402355941326543</v>
      </c>
    </row>
    <row r="371" spans="1:5">
      <c r="A371" s="1191"/>
      <c r="B371" s="453"/>
      <c r="C371" s="453"/>
      <c r="D371" s="453"/>
      <c r="E371" s="453"/>
    </row>
    <row r="372" spans="1:5">
      <c r="A372" s="1190" t="s">
        <v>2954</v>
      </c>
      <c r="B372" s="453"/>
      <c r="C372" s="453"/>
      <c r="D372" s="453"/>
      <c r="E372" s="453"/>
    </row>
    <row r="373" spans="1:5">
      <c r="A373" s="1191" t="s">
        <v>2955</v>
      </c>
      <c r="B373" s="453">
        <v>50</v>
      </c>
      <c r="C373" s="453"/>
      <c r="D373" s="453">
        <f ca="1">+ROUND($E$2*B373,2)</f>
        <v>0.57999999999999996</v>
      </c>
      <c r="E373" s="453">
        <f ca="1">+SUM(B373:D373)</f>
        <v>50.58</v>
      </c>
    </row>
    <row r="374" spans="1:5">
      <c r="B374" s="453"/>
      <c r="C374" s="453"/>
      <c r="D374" s="453"/>
      <c r="E374" s="453"/>
    </row>
    <row r="375" spans="1:5">
      <c r="A375" s="1184" t="s">
        <v>2956</v>
      </c>
      <c r="B375" s="1185"/>
      <c r="C375" s="1185"/>
      <c r="D375" s="1185"/>
      <c r="E375" s="1185"/>
    </row>
    <row r="376" spans="1:5">
      <c r="A376" s="1187" t="s">
        <v>2957</v>
      </c>
      <c r="B376" s="453"/>
      <c r="C376" s="453"/>
      <c r="D376" s="453"/>
      <c r="E376" s="453"/>
    </row>
    <row r="377" spans="1:5">
      <c r="A377" s="1190" t="s">
        <v>2958</v>
      </c>
      <c r="B377" s="453"/>
      <c r="C377" s="453"/>
      <c r="D377" s="453"/>
      <c r="E377" s="453"/>
    </row>
    <row r="378" spans="1:5">
      <c r="A378" s="1191" t="s">
        <v>2887</v>
      </c>
      <c r="B378" s="453">
        <v>103.21</v>
      </c>
      <c r="C378" s="453">
        <f>'[49]To Populate Tariff'!$G$94</f>
        <v>1.2108816167470735</v>
      </c>
      <c r="D378" s="453">
        <f t="shared" ref="D378:D381" ca="1" si="92">+ROUND($E$2*B378,2)</f>
        <v>1.2</v>
      </c>
      <c r="E378" s="453">
        <f t="shared" ref="E378:E381" ca="1" si="93">+SUM(B378:D378)</f>
        <v>105.62088161674707</v>
      </c>
    </row>
    <row r="379" spans="1:5">
      <c r="A379" s="1191" t="s">
        <v>2888</v>
      </c>
      <c r="B379" s="453">
        <v>144.97999999999999</v>
      </c>
      <c r="C379" s="453">
        <f>'[49]To Populate Tariff'!$G$95</f>
        <v>1.767737668893119</v>
      </c>
      <c r="D379" s="453">
        <f t="shared" ca="1" si="92"/>
        <v>1.68</v>
      </c>
      <c r="E379" s="453">
        <f t="shared" ca="1" si="93"/>
        <v>148.42773766889312</v>
      </c>
    </row>
    <row r="380" spans="1:5">
      <c r="A380" s="1191" t="s">
        <v>2889</v>
      </c>
      <c r="B380" s="453">
        <v>190.99</v>
      </c>
      <c r="C380" s="453">
        <f>'[49]To Populate Tariff'!$G$96</f>
        <v>2.2909581205739471</v>
      </c>
      <c r="D380" s="453">
        <f t="shared" ca="1" si="92"/>
        <v>2.2200000000000002</v>
      </c>
      <c r="E380" s="453">
        <f t="shared" ca="1" si="93"/>
        <v>195.50095812057396</v>
      </c>
    </row>
    <row r="381" spans="1:5">
      <c r="A381" s="1191" t="s">
        <v>2890</v>
      </c>
      <c r="B381" s="453">
        <v>262.14</v>
      </c>
      <c r="C381" s="453">
        <f>'[49]To Populate Tariff'!$G$99</f>
        <v>3.1393227100850254</v>
      </c>
      <c r="D381" s="453">
        <f t="shared" ca="1" si="92"/>
        <v>3.04</v>
      </c>
      <c r="E381" s="453">
        <f t="shared" ca="1" si="93"/>
        <v>268.31932271008503</v>
      </c>
    </row>
    <row r="382" spans="1:5">
      <c r="A382" s="1191"/>
      <c r="B382" s="453"/>
      <c r="C382" s="453"/>
      <c r="D382" s="453"/>
      <c r="E382" s="453"/>
    </row>
    <row r="383" spans="1:5">
      <c r="A383" s="1190" t="s">
        <v>2959</v>
      </c>
      <c r="B383" s="453"/>
      <c r="C383" s="453"/>
      <c r="D383" s="453"/>
      <c r="E383" s="453"/>
    </row>
    <row r="384" spans="1:5">
      <c r="A384" s="1191" t="s">
        <v>2960</v>
      </c>
      <c r="B384" s="453">
        <v>10.55</v>
      </c>
      <c r="C384" s="453"/>
      <c r="D384" s="453">
        <f t="shared" ref="D384:D385" ca="1" si="94">+ROUND($E$2*B384,2)</f>
        <v>0.12</v>
      </c>
      <c r="E384" s="453">
        <f t="shared" ref="E384:E385" ca="1" si="95">+SUM(B384:D384)</f>
        <v>10.67</v>
      </c>
    </row>
    <row r="385" spans="1:5">
      <c r="A385" s="1191" t="s">
        <v>2961</v>
      </c>
      <c r="B385" s="453">
        <v>10.5</v>
      </c>
      <c r="C385" s="453"/>
      <c r="D385" s="453">
        <f t="shared" ca="1" si="94"/>
        <v>0.12</v>
      </c>
      <c r="E385" s="453">
        <f t="shared" ca="1" si="95"/>
        <v>10.62</v>
      </c>
    </row>
    <row r="386" spans="1:5">
      <c r="A386" s="1191"/>
      <c r="B386" s="453"/>
      <c r="C386" s="453"/>
      <c r="D386" s="453"/>
      <c r="E386" s="453"/>
    </row>
    <row r="387" spans="1:5">
      <c r="A387" s="1184" t="s">
        <v>2962</v>
      </c>
      <c r="B387" s="1185"/>
      <c r="C387" s="1185"/>
      <c r="D387" s="1185"/>
      <c r="E387" s="1185"/>
    </row>
    <row r="388" spans="1:5">
      <c r="A388" s="1187" t="s">
        <v>2963</v>
      </c>
      <c r="B388" s="453"/>
      <c r="C388" s="453"/>
      <c r="D388" s="453"/>
      <c r="E388" s="453"/>
    </row>
    <row r="389" spans="1:5">
      <c r="A389" s="1190" t="s">
        <v>2964</v>
      </c>
      <c r="B389" s="453"/>
      <c r="C389" s="453"/>
      <c r="D389" s="453"/>
      <c r="E389" s="453"/>
    </row>
    <row r="390" spans="1:5">
      <c r="A390" s="1191" t="s">
        <v>2965</v>
      </c>
      <c r="B390" s="453">
        <v>59.5</v>
      </c>
      <c r="C390" s="453"/>
      <c r="D390" s="453">
        <f t="shared" ref="D390:D393" ca="1" si="96">+ROUND($E$2*B390,2)</f>
        <v>0.69</v>
      </c>
      <c r="E390" s="453">
        <f t="shared" ref="E390:E393" ca="1" si="97">+SUM(B390:D390)</f>
        <v>60.19</v>
      </c>
    </row>
    <row r="391" spans="1:5">
      <c r="A391" s="1191" t="s">
        <v>2966</v>
      </c>
      <c r="B391" s="453">
        <v>59.5</v>
      </c>
      <c r="C391" s="453"/>
      <c r="D391" s="453">
        <f t="shared" ca="1" si="96"/>
        <v>0.69</v>
      </c>
      <c r="E391" s="453">
        <f t="shared" ca="1" si="97"/>
        <v>60.19</v>
      </c>
    </row>
    <row r="392" spans="1:5">
      <c r="A392" s="1191" t="s">
        <v>2967</v>
      </c>
      <c r="B392" s="453">
        <v>59.5</v>
      </c>
      <c r="C392" s="453"/>
      <c r="D392" s="453">
        <f t="shared" ca="1" si="96"/>
        <v>0.69</v>
      </c>
      <c r="E392" s="453">
        <f t="shared" ca="1" si="97"/>
        <v>60.19</v>
      </c>
    </row>
    <row r="393" spans="1:5">
      <c r="A393" s="1191" t="s">
        <v>2968</v>
      </c>
      <c r="B393" s="453">
        <v>59.5</v>
      </c>
      <c r="C393" s="453"/>
      <c r="D393" s="453">
        <f t="shared" ca="1" si="96"/>
        <v>0.69</v>
      </c>
      <c r="E393" s="453">
        <f t="shared" ca="1" si="97"/>
        <v>60.19</v>
      </c>
    </row>
    <row r="394" spans="1:5">
      <c r="B394" s="453"/>
      <c r="C394" s="453"/>
      <c r="D394" s="453"/>
      <c r="E394" s="453"/>
    </row>
    <row r="395" spans="1:5">
      <c r="A395" s="1190" t="s">
        <v>2884</v>
      </c>
      <c r="B395" s="453"/>
      <c r="C395" s="453"/>
      <c r="D395" s="453"/>
      <c r="E395" s="453"/>
    </row>
    <row r="396" spans="1:5">
      <c r="A396" s="1191" t="s">
        <v>2965</v>
      </c>
      <c r="B396" s="453">
        <v>211.5</v>
      </c>
      <c r="C396" s="453"/>
      <c r="D396" s="453">
        <f t="shared" ref="D396:D399" ca="1" si="98">+ROUND($E$2*B396,2)</f>
        <v>2.4500000000000002</v>
      </c>
      <c r="E396" s="453">
        <f t="shared" ref="E396:E399" ca="1" si="99">+SUM(B396:D396)</f>
        <v>213.95</v>
      </c>
    </row>
    <row r="397" spans="1:5">
      <c r="A397" s="1191" t="s">
        <v>2966</v>
      </c>
      <c r="B397" s="453">
        <v>218.5</v>
      </c>
      <c r="C397" s="453"/>
      <c r="D397" s="453">
        <f t="shared" ca="1" si="98"/>
        <v>2.5299999999999998</v>
      </c>
      <c r="E397" s="453">
        <f t="shared" ca="1" si="99"/>
        <v>221.03</v>
      </c>
    </row>
    <row r="398" spans="1:5">
      <c r="A398" s="1191" t="s">
        <v>2967</v>
      </c>
      <c r="B398" s="453">
        <v>218.5</v>
      </c>
      <c r="C398" s="453"/>
      <c r="D398" s="453">
        <f t="shared" ca="1" si="98"/>
        <v>2.5299999999999998</v>
      </c>
      <c r="E398" s="453">
        <f t="shared" ca="1" si="99"/>
        <v>221.03</v>
      </c>
    </row>
    <row r="399" spans="1:5">
      <c r="A399" s="1191" t="s">
        <v>2968</v>
      </c>
      <c r="B399" s="453">
        <v>224.5</v>
      </c>
      <c r="C399" s="453"/>
      <c r="D399" s="453">
        <f t="shared" ca="1" si="98"/>
        <v>2.6</v>
      </c>
      <c r="E399" s="453">
        <f t="shared" ca="1" si="99"/>
        <v>227.1</v>
      </c>
    </row>
    <row r="400" spans="1:5">
      <c r="B400" s="453"/>
      <c r="C400" s="453"/>
      <c r="D400" s="453"/>
      <c r="E400" s="453"/>
    </row>
    <row r="401" spans="1:5">
      <c r="A401" s="1190" t="s">
        <v>2892</v>
      </c>
      <c r="B401" s="453"/>
      <c r="C401" s="453"/>
      <c r="D401" s="453"/>
      <c r="E401" s="453"/>
    </row>
    <row r="402" spans="1:5">
      <c r="A402" s="1191" t="s">
        <v>2965</v>
      </c>
      <c r="B402" s="453">
        <v>152</v>
      </c>
      <c r="C402" s="453"/>
      <c r="D402" s="453">
        <f t="shared" ref="D402:D405" ca="1" si="100">+ROUND($E$2*B402,2)</f>
        <v>1.76</v>
      </c>
      <c r="E402" s="453">
        <f t="shared" ref="E402:E405" ca="1" si="101">+SUM(B402:D402)</f>
        <v>153.76</v>
      </c>
    </row>
    <row r="403" spans="1:5">
      <c r="A403" s="1191" t="s">
        <v>2966</v>
      </c>
      <c r="B403" s="453">
        <v>159</v>
      </c>
      <c r="C403" s="453"/>
      <c r="D403" s="453">
        <f t="shared" ca="1" si="100"/>
        <v>1.84</v>
      </c>
      <c r="E403" s="453">
        <f t="shared" ca="1" si="101"/>
        <v>160.84</v>
      </c>
    </row>
    <row r="404" spans="1:5">
      <c r="A404" s="1191" t="s">
        <v>2967</v>
      </c>
      <c r="B404" s="453">
        <v>159</v>
      </c>
      <c r="C404" s="453"/>
      <c r="D404" s="453">
        <f t="shared" ca="1" si="100"/>
        <v>1.84</v>
      </c>
      <c r="E404" s="453">
        <f t="shared" ca="1" si="101"/>
        <v>160.84</v>
      </c>
    </row>
    <row r="405" spans="1:5">
      <c r="A405" s="1191" t="s">
        <v>2968</v>
      </c>
      <c r="B405" s="453">
        <v>165</v>
      </c>
      <c r="C405" s="453"/>
      <c r="D405" s="453">
        <f t="shared" ca="1" si="100"/>
        <v>1.91</v>
      </c>
      <c r="E405" s="453">
        <f t="shared" ca="1" si="101"/>
        <v>166.91</v>
      </c>
    </row>
    <row r="406" spans="1:5">
      <c r="B406" s="453"/>
      <c r="C406" s="453"/>
      <c r="D406" s="453"/>
      <c r="E406" s="453"/>
    </row>
    <row r="407" spans="1:5">
      <c r="A407" s="1187" t="s">
        <v>2894</v>
      </c>
      <c r="B407" s="453"/>
      <c r="C407" s="453"/>
      <c r="D407" s="453"/>
      <c r="E407" s="453"/>
    </row>
    <row r="408" spans="1:5">
      <c r="A408" s="1190" t="s">
        <v>2895</v>
      </c>
      <c r="B408" s="453"/>
      <c r="C408" s="453"/>
      <c r="D408" s="453"/>
      <c r="E408" s="453"/>
    </row>
    <row r="409" spans="1:5">
      <c r="A409" s="1191" t="s">
        <v>2965</v>
      </c>
      <c r="B409" s="453">
        <v>106</v>
      </c>
      <c r="C409" s="453"/>
      <c r="D409" s="453">
        <f t="shared" ref="D409:D412" ca="1" si="102">+ROUND($E$2*B409,2)</f>
        <v>1.23</v>
      </c>
      <c r="E409" s="453">
        <f t="shared" ref="E409:E412" ca="1" si="103">+SUM(B409:D409)</f>
        <v>107.23</v>
      </c>
    </row>
    <row r="410" spans="1:5">
      <c r="A410" s="1191" t="s">
        <v>2966</v>
      </c>
      <c r="B410" s="453">
        <v>106</v>
      </c>
      <c r="C410" s="453"/>
      <c r="D410" s="453">
        <f t="shared" ca="1" si="102"/>
        <v>1.23</v>
      </c>
      <c r="E410" s="453">
        <f t="shared" ca="1" si="103"/>
        <v>107.23</v>
      </c>
    </row>
    <row r="411" spans="1:5">
      <c r="A411" s="1191" t="s">
        <v>2967</v>
      </c>
      <c r="B411" s="453">
        <v>106</v>
      </c>
      <c r="C411" s="453"/>
      <c r="D411" s="453">
        <f t="shared" ca="1" si="102"/>
        <v>1.23</v>
      </c>
      <c r="E411" s="453">
        <f t="shared" ca="1" si="103"/>
        <v>107.23</v>
      </c>
    </row>
    <row r="412" spans="1:5">
      <c r="A412" s="1191" t="s">
        <v>2968</v>
      </c>
      <c r="B412" s="453">
        <v>106</v>
      </c>
      <c r="C412" s="453"/>
      <c r="D412" s="453">
        <f t="shared" ca="1" si="102"/>
        <v>1.23</v>
      </c>
      <c r="E412" s="453">
        <f t="shared" ca="1" si="103"/>
        <v>107.23</v>
      </c>
    </row>
    <row r="413" spans="1:5">
      <c r="B413" s="453"/>
      <c r="C413" s="453"/>
      <c r="D413" s="453"/>
      <c r="E413" s="453"/>
    </row>
    <row r="414" spans="1:5">
      <c r="A414" s="1190" t="s">
        <v>2896</v>
      </c>
      <c r="B414" s="453"/>
      <c r="C414" s="453"/>
      <c r="D414" s="453"/>
      <c r="E414" s="453"/>
    </row>
    <row r="415" spans="1:5">
      <c r="A415" s="1191" t="s">
        <v>2965</v>
      </c>
      <c r="B415" s="453">
        <v>165.5</v>
      </c>
      <c r="C415" s="453"/>
      <c r="D415" s="453">
        <f t="shared" ref="D415:D418" ca="1" si="104">+ROUND($E$2*B415,2)</f>
        <v>1.92</v>
      </c>
      <c r="E415" s="453">
        <f t="shared" ref="E415:E418" ca="1" si="105">+SUM(B415:D415)</f>
        <v>167.42</v>
      </c>
    </row>
    <row r="416" spans="1:5">
      <c r="A416" s="1191" t="s">
        <v>2966</v>
      </c>
      <c r="B416" s="453">
        <v>172</v>
      </c>
      <c r="C416" s="453"/>
      <c r="D416" s="453">
        <f t="shared" ca="1" si="104"/>
        <v>1.99</v>
      </c>
      <c r="E416" s="453">
        <f t="shared" ca="1" si="105"/>
        <v>173.99</v>
      </c>
    </row>
    <row r="417" spans="1:5">
      <c r="A417" s="1191" t="s">
        <v>2967</v>
      </c>
      <c r="B417" s="453">
        <v>172</v>
      </c>
      <c r="C417" s="453"/>
      <c r="D417" s="453">
        <f t="shared" ca="1" si="104"/>
        <v>1.99</v>
      </c>
      <c r="E417" s="453">
        <f t="shared" ca="1" si="105"/>
        <v>173.99</v>
      </c>
    </row>
    <row r="418" spans="1:5">
      <c r="A418" s="1191" t="s">
        <v>2968</v>
      </c>
      <c r="B418" s="453">
        <v>178.5</v>
      </c>
      <c r="C418" s="453"/>
      <c r="D418" s="453">
        <f t="shared" ca="1" si="104"/>
        <v>2.0699999999999998</v>
      </c>
      <c r="E418" s="453">
        <f t="shared" ca="1" si="105"/>
        <v>180.57</v>
      </c>
    </row>
    <row r="419" spans="1:5">
      <c r="B419" s="453"/>
      <c r="C419" s="453"/>
      <c r="D419" s="453"/>
      <c r="E419" s="453"/>
    </row>
    <row r="420" spans="1:5">
      <c r="A420" s="1190" t="s">
        <v>2897</v>
      </c>
      <c r="B420" s="453"/>
      <c r="C420" s="453"/>
      <c r="D420" s="453"/>
      <c r="E420" s="453"/>
    </row>
    <row r="421" spans="1:5">
      <c r="A421" s="1191" t="s">
        <v>2965</v>
      </c>
      <c r="B421" s="453">
        <v>5.15</v>
      </c>
      <c r="C421" s="453"/>
      <c r="D421" s="453">
        <f t="shared" ref="D421:D424" ca="1" si="106">+ROUND($E$2*B421,2)</f>
        <v>0.06</v>
      </c>
      <c r="E421" s="453">
        <f t="shared" ref="E421:E424" ca="1" si="107">+SUM(B421:D421)</f>
        <v>5.21</v>
      </c>
    </row>
    <row r="422" spans="1:5">
      <c r="A422" s="1191" t="s">
        <v>2966</v>
      </c>
      <c r="B422" s="453">
        <v>6.1</v>
      </c>
      <c r="C422" s="453"/>
      <c r="D422" s="453">
        <f t="shared" ca="1" si="106"/>
        <v>7.0000000000000007E-2</v>
      </c>
      <c r="E422" s="453">
        <f t="shared" ca="1" si="107"/>
        <v>6.17</v>
      </c>
    </row>
    <row r="423" spans="1:5">
      <c r="A423" s="1191" t="s">
        <v>2967</v>
      </c>
      <c r="B423" s="453">
        <v>6.1</v>
      </c>
      <c r="C423" s="453"/>
      <c r="D423" s="453">
        <f t="shared" ca="1" si="106"/>
        <v>7.0000000000000007E-2</v>
      </c>
      <c r="E423" s="453">
        <f t="shared" ca="1" si="107"/>
        <v>6.17</v>
      </c>
    </row>
    <row r="424" spans="1:5">
      <c r="A424" s="1191" t="s">
        <v>2968</v>
      </c>
      <c r="B424" s="453">
        <v>7.15</v>
      </c>
      <c r="C424" s="453"/>
      <c r="D424" s="453">
        <f t="shared" ca="1" si="106"/>
        <v>0.08</v>
      </c>
      <c r="E424" s="453">
        <f t="shared" ca="1" si="107"/>
        <v>7.23</v>
      </c>
    </row>
    <row r="425" spans="1:5">
      <c r="B425" s="453"/>
      <c r="C425" s="453"/>
      <c r="D425" s="453"/>
      <c r="E425" s="453"/>
    </row>
    <row r="426" spans="1:5">
      <c r="A426" s="1190" t="s">
        <v>2969</v>
      </c>
      <c r="B426" s="453"/>
      <c r="C426" s="453"/>
      <c r="D426" s="453"/>
      <c r="E426" s="453"/>
    </row>
    <row r="427" spans="1:5">
      <c r="A427" s="1191" t="s">
        <v>2970</v>
      </c>
      <c r="B427" s="453">
        <v>3</v>
      </c>
      <c r="C427" s="453"/>
      <c r="D427" s="453">
        <f t="shared" ref="D427" ca="1" si="108">+ROUND($E$2*B427,2)</f>
        <v>0.03</v>
      </c>
      <c r="E427" s="453">
        <f t="shared" ref="E427" ca="1" si="109">+SUM(B427:D427)</f>
        <v>3.03</v>
      </c>
    </row>
    <row r="428" spans="1:5">
      <c r="B428" s="453"/>
      <c r="C428" s="453"/>
      <c r="D428" s="453"/>
      <c r="E428" s="453"/>
    </row>
    <row r="429" spans="1:5" s="1078" customFormat="1">
      <c r="A429" s="1190" t="s">
        <v>2959</v>
      </c>
    </row>
    <row r="430" spans="1:5">
      <c r="A430" s="1191" t="s">
        <v>2971</v>
      </c>
      <c r="B430" s="453">
        <v>19.850000000000001</v>
      </c>
      <c r="C430" s="453"/>
      <c r="D430" s="453">
        <f t="shared" ref="D430:D431" ca="1" si="110">+ROUND($E$2*B430,2)</f>
        <v>0.23</v>
      </c>
      <c r="E430" s="453">
        <f t="shared" ref="E430:E431" ca="1" si="111">+SUM(B430:D430)</f>
        <v>20.080000000000002</v>
      </c>
    </row>
    <row r="431" spans="1:5">
      <c r="A431" s="1191" t="s">
        <v>2960</v>
      </c>
      <c r="B431" s="453">
        <v>10.55</v>
      </c>
      <c r="C431" s="453"/>
      <c r="D431" s="453">
        <f t="shared" ca="1" si="110"/>
        <v>0.12</v>
      </c>
      <c r="E431" s="453">
        <f t="shared" ca="1" si="111"/>
        <v>10.67</v>
      </c>
    </row>
    <row r="432" spans="1:5">
      <c r="B432" s="453"/>
      <c r="C432" s="453"/>
      <c r="D432" s="453"/>
      <c r="E432" s="453"/>
    </row>
    <row r="433" spans="1:5">
      <c r="A433" s="1184" t="s">
        <v>2972</v>
      </c>
      <c r="B433" s="1185"/>
      <c r="C433" s="1185"/>
      <c r="D433" s="1185"/>
      <c r="E433" s="1185"/>
    </row>
    <row r="434" spans="1:5">
      <c r="A434" s="1187" t="s">
        <v>2957</v>
      </c>
      <c r="B434" s="453"/>
      <c r="C434" s="453"/>
      <c r="D434" s="453"/>
      <c r="E434" s="453"/>
    </row>
    <row r="435" spans="1:5">
      <c r="A435" s="1190" t="s">
        <v>2973</v>
      </c>
      <c r="B435" s="453"/>
      <c r="C435" s="453"/>
      <c r="D435" s="453"/>
      <c r="E435" s="453"/>
    </row>
    <row r="436" spans="1:5" s="1192" customFormat="1">
      <c r="A436" s="1195" t="s">
        <v>2974</v>
      </c>
      <c r="B436" s="1189">
        <v>159</v>
      </c>
      <c r="C436" s="1189"/>
      <c r="D436" s="1189">
        <f t="shared" ref="D436:D442" ca="1" si="112">+ROUND($E$2*B436,2)</f>
        <v>1.84</v>
      </c>
      <c r="E436" s="1189">
        <f t="shared" ref="E436:E442" ca="1" si="113">+SUM(B436:D436)</f>
        <v>160.84</v>
      </c>
    </row>
    <row r="437" spans="1:5">
      <c r="A437" s="1191" t="s">
        <v>2975</v>
      </c>
      <c r="B437" s="453">
        <v>172</v>
      </c>
      <c r="C437" s="453"/>
      <c r="D437" s="453">
        <f t="shared" ca="1" si="112"/>
        <v>1.99</v>
      </c>
      <c r="E437" s="453">
        <f t="shared" ca="1" si="113"/>
        <v>173.99</v>
      </c>
    </row>
    <row r="438" spans="1:5">
      <c r="A438" s="1191" t="s">
        <v>2965</v>
      </c>
      <c r="B438" s="453">
        <v>179</v>
      </c>
      <c r="C438" s="453"/>
      <c r="D438" s="453">
        <f t="shared" ca="1" si="112"/>
        <v>2.08</v>
      </c>
      <c r="E438" s="453">
        <f t="shared" ca="1" si="113"/>
        <v>181.08</v>
      </c>
    </row>
    <row r="439" spans="1:5">
      <c r="A439" s="1191" t="s">
        <v>2966</v>
      </c>
      <c r="B439" s="453">
        <v>198.5</v>
      </c>
      <c r="C439" s="453"/>
      <c r="D439" s="453">
        <f t="shared" ca="1" si="112"/>
        <v>2.2999999999999998</v>
      </c>
      <c r="E439" s="453">
        <f t="shared" ca="1" si="113"/>
        <v>200.8</v>
      </c>
    </row>
    <row r="440" spans="1:5">
      <c r="A440" s="1191" t="s">
        <v>2967</v>
      </c>
      <c r="B440" s="453">
        <v>218.5</v>
      </c>
      <c r="C440" s="453"/>
      <c r="D440" s="453">
        <f t="shared" ca="1" si="112"/>
        <v>2.5299999999999998</v>
      </c>
      <c r="E440" s="453">
        <f t="shared" ca="1" si="113"/>
        <v>221.03</v>
      </c>
    </row>
    <row r="441" spans="1:5">
      <c r="A441" s="1191" t="s">
        <v>2976</v>
      </c>
      <c r="B441" s="453">
        <v>231.5</v>
      </c>
      <c r="C441" s="453"/>
      <c r="D441" s="453">
        <f t="shared" ca="1" si="112"/>
        <v>2.69</v>
      </c>
      <c r="E441" s="453">
        <f t="shared" ca="1" si="113"/>
        <v>234.19</v>
      </c>
    </row>
    <row r="442" spans="1:5">
      <c r="A442" s="1191" t="s">
        <v>2968</v>
      </c>
      <c r="B442" s="453">
        <v>238</v>
      </c>
      <c r="C442" s="453"/>
      <c r="D442" s="453">
        <f t="shared" ca="1" si="112"/>
        <v>2.76</v>
      </c>
      <c r="E442" s="453">
        <f t="shared" ca="1" si="113"/>
        <v>240.76</v>
      </c>
    </row>
    <row r="443" spans="1:5">
      <c r="B443" s="453"/>
      <c r="C443" s="453"/>
      <c r="D443" s="453"/>
      <c r="E443" s="453"/>
    </row>
    <row r="444" spans="1:5">
      <c r="A444" s="1190" t="s">
        <v>2893</v>
      </c>
      <c r="B444" s="453"/>
      <c r="C444" s="453"/>
      <c r="D444" s="453"/>
      <c r="E444" s="453"/>
    </row>
    <row r="445" spans="1:5" s="1192" customFormat="1">
      <c r="A445" s="1195" t="s">
        <v>2974</v>
      </c>
      <c r="B445" s="1189">
        <v>159</v>
      </c>
      <c r="C445" s="1189"/>
      <c r="D445" s="1189">
        <f t="shared" ref="D445:D451" ca="1" si="114">+ROUND($E$2*B445,2)</f>
        <v>1.84</v>
      </c>
      <c r="E445" s="1189">
        <f t="shared" ref="E445:E451" ca="1" si="115">+SUM(B445:D445)</f>
        <v>160.84</v>
      </c>
    </row>
    <row r="446" spans="1:5">
      <c r="A446" s="1191" t="s">
        <v>2975</v>
      </c>
      <c r="B446" s="453">
        <v>172</v>
      </c>
      <c r="C446" s="453"/>
      <c r="D446" s="453">
        <f t="shared" ca="1" si="114"/>
        <v>1.99</v>
      </c>
      <c r="E446" s="453">
        <f t="shared" ca="1" si="115"/>
        <v>173.99</v>
      </c>
    </row>
    <row r="447" spans="1:5">
      <c r="A447" s="1191" t="s">
        <v>2965</v>
      </c>
      <c r="B447" s="453">
        <v>179</v>
      </c>
      <c r="C447" s="453"/>
      <c r="D447" s="453">
        <f t="shared" ca="1" si="114"/>
        <v>2.08</v>
      </c>
      <c r="E447" s="453">
        <f t="shared" ca="1" si="115"/>
        <v>181.08</v>
      </c>
    </row>
    <row r="448" spans="1:5">
      <c r="A448" s="1191" t="s">
        <v>2966</v>
      </c>
      <c r="B448" s="453">
        <v>198.5</v>
      </c>
      <c r="C448" s="453"/>
      <c r="D448" s="453">
        <f t="shared" ca="1" si="114"/>
        <v>2.2999999999999998</v>
      </c>
      <c r="E448" s="453">
        <f t="shared" ca="1" si="115"/>
        <v>200.8</v>
      </c>
    </row>
    <row r="449" spans="1:5">
      <c r="A449" s="1191" t="s">
        <v>2967</v>
      </c>
      <c r="B449" s="453">
        <v>218.5</v>
      </c>
      <c r="C449" s="453"/>
      <c r="D449" s="453">
        <f t="shared" ca="1" si="114"/>
        <v>2.5299999999999998</v>
      </c>
      <c r="E449" s="453">
        <f t="shared" ca="1" si="115"/>
        <v>221.03</v>
      </c>
    </row>
    <row r="450" spans="1:5">
      <c r="A450" s="1191" t="s">
        <v>2976</v>
      </c>
      <c r="B450" s="453">
        <v>231.5</v>
      </c>
      <c r="C450" s="453"/>
      <c r="D450" s="453">
        <f t="shared" ca="1" si="114"/>
        <v>2.69</v>
      </c>
      <c r="E450" s="453">
        <f t="shared" ca="1" si="115"/>
        <v>234.19</v>
      </c>
    </row>
    <row r="451" spans="1:5">
      <c r="A451" s="1191" t="s">
        <v>2968</v>
      </c>
      <c r="B451" s="453">
        <v>238</v>
      </c>
      <c r="C451" s="453"/>
      <c r="D451" s="453">
        <f t="shared" ca="1" si="114"/>
        <v>2.76</v>
      </c>
      <c r="E451" s="453">
        <f t="shared" ca="1" si="115"/>
        <v>240.76</v>
      </c>
    </row>
    <row r="452" spans="1:5">
      <c r="B452" s="453"/>
      <c r="C452" s="453"/>
      <c r="D452" s="453"/>
      <c r="E452" s="453"/>
    </row>
    <row r="453" spans="1:5">
      <c r="A453" s="1190" t="s">
        <v>2969</v>
      </c>
      <c r="B453" s="453"/>
      <c r="C453" s="453"/>
      <c r="D453" s="453"/>
      <c r="E453" s="453"/>
    </row>
    <row r="454" spans="1:5">
      <c r="A454" s="1191" t="s">
        <v>2970</v>
      </c>
      <c r="B454" s="453">
        <v>3</v>
      </c>
      <c r="C454" s="453"/>
      <c r="D454" s="453">
        <f t="shared" ref="D454" ca="1" si="116">+ROUND($E$2*B454,2)</f>
        <v>0.03</v>
      </c>
      <c r="E454" s="453">
        <f t="shared" ref="E454" ca="1" si="117">+SUM(B454:D454)</f>
        <v>3.03</v>
      </c>
    </row>
    <row r="455" spans="1:5">
      <c r="A455" s="1188"/>
      <c r="B455" s="453"/>
      <c r="C455" s="453"/>
      <c r="D455" s="453"/>
      <c r="E455" s="453"/>
    </row>
    <row r="456" spans="1:5" s="1078" customFormat="1">
      <c r="A456" s="1190" t="s">
        <v>2959</v>
      </c>
    </row>
    <row r="457" spans="1:5">
      <c r="A457" s="1191" t="s">
        <v>2971</v>
      </c>
      <c r="B457" s="453">
        <v>10.55</v>
      </c>
      <c r="C457" s="453"/>
      <c r="D457" s="453">
        <f t="shared" ref="D457:D458" ca="1" si="118">+ROUND($E$2*B457,2)</f>
        <v>0.12</v>
      </c>
      <c r="E457" s="453">
        <f t="shared" ref="E457:E458" ca="1" si="119">+SUM(B457:D457)</f>
        <v>10.67</v>
      </c>
    </row>
    <row r="458" spans="1:5">
      <c r="A458" s="1191" t="s">
        <v>2960</v>
      </c>
      <c r="B458" s="453">
        <v>10.5</v>
      </c>
      <c r="C458" s="453"/>
      <c r="D458" s="453">
        <f t="shared" ca="1" si="118"/>
        <v>0.12</v>
      </c>
      <c r="E458" s="453">
        <f t="shared" ca="1" si="119"/>
        <v>10.62</v>
      </c>
    </row>
    <row r="459" spans="1:5">
      <c r="B459" s="453"/>
      <c r="C459" s="453"/>
      <c r="D459" s="453"/>
      <c r="E459" s="453"/>
    </row>
  </sheetData>
  <mergeCells count="1">
    <mergeCell ref="D1:E1"/>
  </mergeCells>
  <pageMargins left="0.7" right="0.7" top="0.75" bottom="0.75" header="0.3" footer="0.3"/>
  <pageSetup scale="61" fitToHeight="7" orientation="portrait" r:id="rId1"/>
  <headerFooter>
    <oddFooter>&amp;RPage &amp;P of &amp;N</oddFooter>
  </headerFooter>
  <rowBreaks count="2" manualBreakCount="2">
    <brk id="137" max="4" man="1"/>
    <brk id="335" max="4"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pageSetUpPr fitToPage="1"/>
  </sheetPr>
  <dimension ref="A1:AC86"/>
  <sheetViews>
    <sheetView showGridLines="0" view="pageBreakPreview" zoomScale="60" zoomScaleNormal="85" workbookViewId="0">
      <pane xSplit="1" ySplit="6" topLeftCell="B7" activePane="bottomRight" state="frozen"/>
      <selection activeCell="AP280" sqref="AP280"/>
      <selection pane="topRight" activeCell="AP280" sqref="AP280"/>
      <selection pane="bottomLeft" activeCell="AP280" sqref="AP280"/>
      <selection pane="bottomRight" activeCell="AP280" sqref="AP280"/>
    </sheetView>
  </sheetViews>
  <sheetFormatPr defaultRowHeight="15"/>
  <cols>
    <col min="1" max="1" width="39" style="551" customWidth="1"/>
    <col min="2" max="2" width="14.28515625" style="551" bestFit="1" customWidth="1"/>
    <col min="3" max="3" width="13.42578125" style="551" bestFit="1" customWidth="1"/>
    <col min="4" max="4" width="15.42578125" style="551" bestFit="1" customWidth="1"/>
    <col min="5" max="5" width="15.140625" style="551" bestFit="1" customWidth="1"/>
    <col min="6" max="8" width="14.28515625" style="551" bestFit="1" customWidth="1"/>
    <col min="9" max="9" width="2.7109375" style="551" customWidth="1"/>
    <col min="10" max="10" width="11" style="551" bestFit="1" customWidth="1"/>
    <col min="11" max="11" width="15.28515625" style="551" bestFit="1" customWidth="1"/>
    <col min="12" max="12" width="16" style="551" bestFit="1" customWidth="1"/>
    <col min="13" max="13" width="5.140625" style="551" bestFit="1" customWidth="1"/>
    <col min="14" max="14" width="13.28515625" style="551" bestFit="1" customWidth="1"/>
    <col min="15" max="15" width="15.28515625" style="551" bestFit="1" customWidth="1"/>
    <col min="16" max="16" width="16" style="551" bestFit="1" customWidth="1"/>
    <col min="17" max="17" width="11.28515625" style="551" bestFit="1" customWidth="1"/>
    <col min="18" max="19" width="11.28515625" style="1078" customWidth="1"/>
    <col min="20" max="20" width="9.140625" style="551"/>
    <col min="21" max="21" width="4.5703125" style="551" customWidth="1"/>
    <col min="22" max="22" width="10.5703125" style="551" bestFit="1" customWidth="1"/>
    <col min="23" max="23" width="10.7109375" style="551" bestFit="1" customWidth="1"/>
    <col min="24" max="24" width="9" style="551" bestFit="1" customWidth="1"/>
    <col min="25" max="25" width="5.140625" style="551" bestFit="1" customWidth="1"/>
    <col min="26" max="26" width="11.5703125" style="551" bestFit="1" customWidth="1"/>
    <col min="27" max="27" width="10.7109375" style="551" bestFit="1" customWidth="1"/>
    <col min="28" max="28" width="10.5703125" style="551" bestFit="1" customWidth="1"/>
    <col min="29" max="29" width="11.28515625" style="1078" bestFit="1" customWidth="1"/>
    <col min="30" max="16384" width="9.140625" style="551"/>
  </cols>
  <sheetData>
    <row r="1" spans="1:29">
      <c r="A1" s="216" t="s">
        <v>312</v>
      </c>
    </row>
    <row r="2" spans="1:29">
      <c r="A2" s="216" t="s">
        <v>2395</v>
      </c>
    </row>
    <row r="3" spans="1:29">
      <c r="A3" s="1070">
        <v>43799</v>
      </c>
    </row>
    <row r="4" spans="1:29" ht="15.75" thickBot="1">
      <c r="A4" s="451"/>
      <c r="B4" s="451"/>
      <c r="C4" s="451"/>
      <c r="D4" s="451"/>
      <c r="E4" s="451"/>
      <c r="F4" s="451" t="s">
        <v>2396</v>
      </c>
      <c r="G4" s="451" t="s">
        <v>2397</v>
      </c>
      <c r="H4" s="451" t="s">
        <v>2398</v>
      </c>
      <c r="J4" s="1558" t="s">
        <v>2417</v>
      </c>
      <c r="K4" s="1558"/>
      <c r="L4" s="1558"/>
      <c r="N4" s="1558" t="s">
        <v>2438</v>
      </c>
      <c r="O4" s="1558"/>
      <c r="P4" s="1558"/>
      <c r="V4" s="1558" t="s">
        <v>2437</v>
      </c>
      <c r="W4" s="1558"/>
      <c r="X4" s="1558"/>
      <c r="Y4" s="1078"/>
      <c r="Z4" s="1558" t="s">
        <v>2439</v>
      </c>
      <c r="AA4" s="1558"/>
      <c r="AB4" s="1558"/>
    </row>
    <row r="5" spans="1:29">
      <c r="A5" s="451" t="s">
        <v>2399</v>
      </c>
      <c r="B5" s="451" t="s">
        <v>353</v>
      </c>
      <c r="C5" s="451" t="s">
        <v>2400</v>
      </c>
      <c r="D5" s="451" t="s">
        <v>2401</v>
      </c>
      <c r="E5" s="451" t="s">
        <v>2402</v>
      </c>
      <c r="F5" s="451" t="s">
        <v>2403</v>
      </c>
      <c r="G5" s="451" t="s">
        <v>2403</v>
      </c>
      <c r="H5" s="451" t="s">
        <v>582</v>
      </c>
      <c r="J5" s="208" t="s">
        <v>295</v>
      </c>
      <c r="K5" s="1559" t="s">
        <v>708</v>
      </c>
      <c r="L5" s="1559" t="s">
        <v>955</v>
      </c>
      <c r="N5" s="208" t="s">
        <v>295</v>
      </c>
      <c r="O5" s="1559" t="s">
        <v>708</v>
      </c>
      <c r="P5" s="1559" t="s">
        <v>955</v>
      </c>
      <c r="V5" s="208"/>
      <c r="W5" s="212"/>
      <c r="X5" s="214"/>
      <c r="Y5" s="1078"/>
      <c r="Z5" s="208"/>
      <c r="AA5" s="212"/>
      <c r="AB5" s="214"/>
    </row>
    <row r="6" spans="1:29" ht="15.75" customHeight="1" thickBot="1">
      <c r="A6" s="451"/>
      <c r="B6" s="451"/>
      <c r="C6" s="451"/>
      <c r="D6" s="451" t="s">
        <v>353</v>
      </c>
      <c r="E6" s="451" t="s">
        <v>2401</v>
      </c>
      <c r="F6" s="1071">
        <v>43435</v>
      </c>
      <c r="G6" s="1071">
        <v>43799</v>
      </c>
      <c r="H6" s="1071">
        <f>G6</f>
        <v>43799</v>
      </c>
      <c r="J6" s="209" t="s">
        <v>934</v>
      </c>
      <c r="K6" s="1560" t="s">
        <v>708</v>
      </c>
      <c r="L6" s="1560"/>
      <c r="N6" s="209" t="s">
        <v>934</v>
      </c>
      <c r="O6" s="1560" t="s">
        <v>708</v>
      </c>
      <c r="P6" s="1560"/>
      <c r="V6" s="209" t="s">
        <v>2385</v>
      </c>
      <c r="W6" s="213" t="s">
        <v>4</v>
      </c>
      <c r="X6" s="568" t="s">
        <v>299</v>
      </c>
      <c r="Y6" s="1078"/>
      <c r="Z6" s="209" t="s">
        <v>2385</v>
      </c>
      <c r="AA6" s="213" t="s">
        <v>4</v>
      </c>
      <c r="AB6" s="568" t="s">
        <v>299</v>
      </c>
    </row>
    <row r="7" spans="1:29">
      <c r="A7" s="1072" t="s">
        <v>927</v>
      </c>
      <c r="V7" s="1073"/>
      <c r="W7" s="1073"/>
      <c r="X7" s="1073"/>
      <c r="Y7" s="1073"/>
      <c r="Z7" s="1073"/>
      <c r="AA7" s="1073"/>
      <c r="AB7" s="1073"/>
    </row>
    <row r="8" spans="1:29">
      <c r="A8" s="551" t="str">
        <f>'[50]2180 Summary'!A8</f>
        <v>RESI/COMM GARBAGE</v>
      </c>
      <c r="B8" s="1073">
        <f>'[50]2180 Summary'!B8</f>
        <v>14259926.240737708</v>
      </c>
      <c r="C8" s="1073">
        <f>B8-D8</f>
        <v>0</v>
      </c>
      <c r="D8" s="1073">
        <f>'[50]2180 Summary'!D8</f>
        <v>14259926.240737708</v>
      </c>
      <c r="E8" s="1073">
        <f>'[50]2180 Summary'!E8</f>
        <v>1423877.6555238089</v>
      </c>
      <c r="F8" s="1073">
        <f>'[50]2180 Summary'!F8</f>
        <v>1543856.3333091338</v>
      </c>
      <c r="G8" s="1073">
        <f>'[50]2180 Summary'!G8</f>
        <v>2937005.8628329416</v>
      </c>
      <c r="H8" s="1073">
        <f>'[50]2180 Summary'!H8</f>
        <v>11329712.544571424</v>
      </c>
      <c r="J8" s="1073">
        <f>E8*'Ratios (C)'!$J$36</f>
        <v>997492.39562267554</v>
      </c>
      <c r="K8" s="1073">
        <v>0</v>
      </c>
      <c r="L8" s="1073">
        <f>E8*'Ratios (C)'!$M$36</f>
        <v>426385.25990113348</v>
      </c>
      <c r="M8" s="1073">
        <f>E8-J8-L8-K8</f>
        <v>-1.1641532182693481E-10</v>
      </c>
      <c r="N8" s="1073">
        <f>H8*'Ratios (C)'!$J$36</f>
        <v>7936989.5748826563</v>
      </c>
      <c r="O8" s="1073">
        <v>0</v>
      </c>
      <c r="P8" s="1073">
        <f>H8*'Ratios (C)'!$M$36</f>
        <v>3392722.969688769</v>
      </c>
      <c r="Q8" s="541">
        <f>H8-N8-P8-O8</f>
        <v>-1.3969838619232178E-9</v>
      </c>
      <c r="R8" s="541" t="s">
        <v>2421</v>
      </c>
      <c r="S8" s="541"/>
      <c r="T8" s="1079">
        <f>J8/$E$8</f>
        <v>0.70054642107275933</v>
      </c>
      <c r="V8" s="1073">
        <f>$J$8</f>
        <v>997492.39562267554</v>
      </c>
      <c r="W8" s="1073"/>
      <c r="X8" s="1073"/>
      <c r="Y8" s="1073">
        <f>SUM(V8:X8)-J8</f>
        <v>0</v>
      </c>
      <c r="Z8" s="1073">
        <f>N8</f>
        <v>7936989.5748826563</v>
      </c>
      <c r="AA8" s="1073"/>
      <c r="AB8" s="1073"/>
      <c r="AC8" s="541">
        <f>SUM(Z8:AB8)-N8</f>
        <v>0</v>
      </c>
    </row>
    <row r="9" spans="1:29">
      <c r="B9" s="1073"/>
      <c r="C9" s="1073"/>
      <c r="D9" s="1073"/>
      <c r="E9" s="1073"/>
      <c r="F9" s="1073"/>
      <c r="G9" s="1073"/>
      <c r="H9" s="1073"/>
      <c r="J9" s="1073"/>
      <c r="K9" s="1073"/>
      <c r="L9" s="1073"/>
      <c r="M9" s="1073"/>
      <c r="N9" s="1073"/>
      <c r="O9" s="1073"/>
      <c r="P9" s="1073"/>
      <c r="V9" s="1073"/>
      <c r="W9" s="1073"/>
      <c r="X9" s="1073"/>
      <c r="Y9" s="1073"/>
      <c r="Z9" s="1073"/>
      <c r="AA9" s="1073"/>
      <c r="AB9" s="1073"/>
    </row>
    <row r="10" spans="1:29">
      <c r="A10" s="551" t="str">
        <f>'[50]2180 Summary'!A10</f>
        <v>JBLM CONTRACT AND HOUSING GARBAGE SHARED</v>
      </c>
      <c r="B10" s="1073">
        <f>'[50]2180 Summary'!B10</f>
        <v>356786.03</v>
      </c>
      <c r="C10" s="1073">
        <f>B10-D10</f>
        <v>0</v>
      </c>
      <c r="D10" s="1073">
        <f>'[50]2180 Summary'!D10</f>
        <v>356786.03</v>
      </c>
      <c r="E10" s="1073">
        <f>'[50]2180 Summary'!E10</f>
        <v>35678.603000000003</v>
      </c>
      <c r="F10" s="1073">
        <f>'[50]2180 Summary'!F10</f>
        <v>0</v>
      </c>
      <c r="G10" s="1073">
        <f>'[50]2180 Summary'!G10</f>
        <v>35678.603000000003</v>
      </c>
      <c r="H10" s="1073">
        <f>'[50]2180 Summary'!H10</f>
        <v>321107.42700000003</v>
      </c>
      <c r="J10" s="1073">
        <f>E10*'Ratios (C)'!$J$50</f>
        <v>19418.01894062787</v>
      </c>
      <c r="K10" s="1073">
        <f>E10*'Ratios (C)'!$K$50</f>
        <v>16260.584059372131</v>
      </c>
      <c r="L10" s="1073">
        <v>0</v>
      </c>
      <c r="M10" s="1073">
        <f>E10-J10-L10-K10</f>
        <v>0</v>
      </c>
      <c r="N10" s="1073">
        <f>H10*'Ratios (C)'!$J$50</f>
        <v>174762.17046565082</v>
      </c>
      <c r="O10" s="1073">
        <f>H10*'Ratios (C)'!$K$50</f>
        <v>146345.25653434917</v>
      </c>
      <c r="P10" s="1073">
        <v>0</v>
      </c>
      <c r="Q10" s="541">
        <f>H10-N10-P10-O10</f>
        <v>0</v>
      </c>
      <c r="R10" s="541" t="s">
        <v>2422</v>
      </c>
      <c r="S10" s="541"/>
      <c r="V10" s="1073">
        <f>J10</f>
        <v>19418.01894062787</v>
      </c>
      <c r="W10" s="1073"/>
      <c r="X10" s="1073"/>
      <c r="Y10" s="1073">
        <f>SUM(V10:X10)-J10</f>
        <v>0</v>
      </c>
      <c r="Z10" s="1073">
        <f>N10</f>
        <v>174762.17046565082</v>
      </c>
      <c r="AA10" s="1073"/>
      <c r="AB10" s="1073"/>
      <c r="AC10" s="541">
        <f>SUM(Z10:AB10)-N10</f>
        <v>0</v>
      </c>
    </row>
    <row r="11" spans="1:29">
      <c r="B11" s="1073"/>
      <c r="C11" s="1073"/>
      <c r="D11" s="1073"/>
      <c r="E11" s="1073"/>
      <c r="F11" s="1073"/>
      <c r="G11" s="1073"/>
      <c r="H11" s="1073"/>
      <c r="J11" s="1073"/>
      <c r="K11" s="1073"/>
      <c r="L11" s="1073"/>
      <c r="M11" s="1073"/>
      <c r="N11" s="1073"/>
      <c r="O11" s="1073"/>
      <c r="P11" s="1073"/>
      <c r="V11" s="1073"/>
      <c r="W11" s="1073"/>
      <c r="X11" s="1073"/>
      <c r="Y11" s="1073"/>
      <c r="Z11" s="1073"/>
      <c r="AA11" s="1073"/>
      <c r="AB11" s="1073"/>
    </row>
    <row r="12" spans="1:29">
      <c r="A12" s="551" t="str">
        <f>'[50]2180 Summary'!A12</f>
        <v>JBLM HOUSING GARBAGE EXCLUSIVE USE</v>
      </c>
      <c r="B12" s="1073">
        <f>'[50]2180 Summary'!B12</f>
        <v>349200.73</v>
      </c>
      <c r="C12" s="1073">
        <f>B12-D12</f>
        <v>0</v>
      </c>
      <c r="D12" s="1073">
        <f>'[50]2180 Summary'!D12</f>
        <v>349200.73</v>
      </c>
      <c r="E12" s="1073">
        <f>'[50]2180 Summary'!E12</f>
        <v>34920.072999999997</v>
      </c>
      <c r="F12" s="1073">
        <f>'[50]2180 Summary'!F12</f>
        <v>0</v>
      </c>
      <c r="G12" s="1073">
        <f>'[50]2180 Summary'!G12</f>
        <v>34920.072999999997</v>
      </c>
      <c r="H12" s="1073">
        <f>'[50]2180 Summary'!H12</f>
        <v>314280.65700000001</v>
      </c>
      <c r="J12" s="1073">
        <f>E12</f>
        <v>34920.072999999997</v>
      </c>
      <c r="K12" s="1073"/>
      <c r="L12" s="1073"/>
      <c r="M12" s="1073">
        <f>E12-J12-L12-K12</f>
        <v>0</v>
      </c>
      <c r="N12" s="1073">
        <f>H12</f>
        <v>314280.65700000001</v>
      </c>
      <c r="O12" s="1073"/>
      <c r="P12" s="1073"/>
      <c r="Q12" s="541">
        <f>H12-N12-P12-O12</f>
        <v>0</v>
      </c>
      <c r="R12" s="541" t="s">
        <v>310</v>
      </c>
      <c r="S12" s="541"/>
      <c r="V12" s="1073">
        <f>J12</f>
        <v>34920.072999999997</v>
      </c>
      <c r="W12" s="1073"/>
      <c r="X12" s="1073"/>
      <c r="Y12" s="1073">
        <f>SUM(V12:X12)-J12</f>
        <v>0</v>
      </c>
      <c r="Z12" s="1073">
        <f>N12</f>
        <v>314280.65700000001</v>
      </c>
      <c r="AA12" s="1073"/>
      <c r="AB12" s="1073"/>
      <c r="AC12" s="541">
        <f>SUM(Z12:AB12)-N12</f>
        <v>0</v>
      </c>
    </row>
    <row r="13" spans="1:29">
      <c r="B13" s="1073"/>
      <c r="C13" s="1073"/>
      <c r="D13" s="1073"/>
      <c r="E13" s="1073"/>
      <c r="F13" s="1073"/>
      <c r="G13" s="1073"/>
      <c r="H13" s="1073"/>
      <c r="J13" s="1073"/>
      <c r="K13" s="1073"/>
      <c r="L13" s="1073"/>
      <c r="M13" s="1073"/>
      <c r="N13" s="1073"/>
      <c r="O13" s="1073"/>
      <c r="P13" s="1073"/>
      <c r="V13" s="1073"/>
      <c r="W13" s="1073"/>
      <c r="X13" s="1073"/>
      <c r="Y13" s="1073"/>
      <c r="Z13" s="1073"/>
      <c r="AA13" s="1073"/>
      <c r="AB13" s="1073"/>
    </row>
    <row r="14" spans="1:29">
      <c r="A14" s="551" t="str">
        <f>'[50]2180 Summary'!A14</f>
        <v xml:space="preserve">ROLL OFF </v>
      </c>
      <c r="B14" s="1073">
        <f>'[50]2180 Summary'!B14</f>
        <v>3477357.1560694766</v>
      </c>
      <c r="C14" s="1073">
        <f>B14-D14</f>
        <v>0</v>
      </c>
      <c r="D14" s="1073">
        <f>'[50]2180 Summary'!D14</f>
        <v>3477357.1560694766</v>
      </c>
      <c r="E14" s="1073">
        <f>'[50]2180 Summary'!E14</f>
        <v>353071.06971428567</v>
      </c>
      <c r="F14" s="1073">
        <f>'[50]2180 Summary'!F14</f>
        <v>347133.09592661983</v>
      </c>
      <c r="G14" s="1073">
        <f>'[50]2180 Summary'!G14</f>
        <v>679368.50697423914</v>
      </c>
      <c r="H14" s="1073">
        <f>'[50]2180 Summary'!H14</f>
        <v>2797988.6490952387</v>
      </c>
      <c r="J14" s="1073">
        <f>$E14*'Ratios (C)'!$J$38</f>
        <v>158058.72281918724</v>
      </c>
      <c r="K14" s="1073">
        <f>$E14*'Ratios (C)'!$K$38</f>
        <v>63196.19935434228</v>
      </c>
      <c r="L14" s="1073">
        <f>$E14*'Ratios (C)'!$M$38</f>
        <v>131816.14754075615</v>
      </c>
      <c r="M14" s="1073">
        <f>E14-J14-L14-K14</f>
        <v>0</v>
      </c>
      <c r="N14" s="1073">
        <f>$H14*'Ratios (C)'!$J$38</f>
        <v>1252570.8002540506</v>
      </c>
      <c r="O14" s="1073">
        <f>$H14*'Ratios (C)'!$K$38</f>
        <v>500812.05634462979</v>
      </c>
      <c r="P14" s="1073">
        <f>$H14*'Ratios (C)'!$M$38</f>
        <v>1044605.7924965583</v>
      </c>
      <c r="Q14" s="541">
        <f>H14-N14-P14-O14</f>
        <v>0</v>
      </c>
      <c r="R14" s="541" t="s">
        <v>2423</v>
      </c>
      <c r="S14" s="541"/>
      <c r="V14" s="1073">
        <f>J14</f>
        <v>158058.72281918724</v>
      </c>
      <c r="W14" s="1073"/>
      <c r="X14" s="1073"/>
      <c r="Y14" s="1073">
        <f>SUM(V14:X14)-J14</f>
        <v>0</v>
      </c>
      <c r="Z14" s="1073">
        <f>N14</f>
        <v>1252570.8002540506</v>
      </c>
      <c r="AA14" s="1073"/>
      <c r="AB14" s="1073"/>
      <c r="AC14" s="541">
        <f>SUM(Z14:AB14)-N14</f>
        <v>0</v>
      </c>
    </row>
    <row r="15" spans="1:29">
      <c r="B15" s="1073"/>
      <c r="C15" s="1073"/>
      <c r="D15" s="1073"/>
      <c r="E15" s="1073"/>
      <c r="F15" s="1073"/>
      <c r="G15" s="1073"/>
      <c r="H15" s="1073"/>
      <c r="J15" s="1073"/>
      <c r="K15" s="1073"/>
      <c r="L15" s="1073"/>
      <c r="M15" s="1073"/>
      <c r="N15" s="1073"/>
      <c r="O15" s="1073"/>
      <c r="P15" s="1073"/>
      <c r="V15" s="1073"/>
      <c r="W15" s="1073"/>
      <c r="X15" s="1073"/>
      <c r="Y15" s="1073"/>
      <c r="Z15" s="1073"/>
      <c r="AA15" s="1073"/>
      <c r="AB15" s="1073"/>
    </row>
    <row r="16" spans="1:29">
      <c r="A16" s="551" t="str">
        <f>'[50]2180 Summary'!A16</f>
        <v>CURBSIDE RECYCLE</v>
      </c>
      <c r="B16" s="1073">
        <f>'[50]2180 Summary'!B16</f>
        <v>7155970.1289025508</v>
      </c>
      <c r="C16" s="1073">
        <f>B16-D16</f>
        <v>25391.937999999151</v>
      </c>
      <c r="D16" s="1073">
        <f>'[50]2180 Summary'!D16</f>
        <v>7130578.1909025516</v>
      </c>
      <c r="E16" s="1073">
        <f>'[50]2180 Summary'!E16</f>
        <v>655306.57703174604</v>
      </c>
      <c r="F16" s="1073">
        <f>'[50]2180 Summary'!F16</f>
        <v>3729696.5561882639</v>
      </c>
      <c r="G16" s="1073">
        <f>'[50]2180 Summary'!G16</f>
        <v>4372808.233220011</v>
      </c>
      <c r="H16" s="1073">
        <f>'[50]2180 Summary'!H16</f>
        <v>2783161.8956825398</v>
      </c>
      <c r="J16" s="1073">
        <f>$E16*'Ratios (C)'!$J$40</f>
        <v>481643.67038502311</v>
      </c>
      <c r="K16" s="1073">
        <f>$E16*'Ratios (C)'!$K$40</f>
        <v>0</v>
      </c>
      <c r="L16" s="1073">
        <f>$E16*'Ratios (C)'!$M$40</f>
        <v>173662.90664672299</v>
      </c>
      <c r="M16" s="1073">
        <f>E16-J16-L16-K16</f>
        <v>-5.8207660913467407E-11</v>
      </c>
      <c r="N16" s="1073">
        <f>$H16*'Ratios (C)'!$J$40</f>
        <v>2045595.6916900252</v>
      </c>
      <c r="O16" s="1073">
        <f>$H16*'Ratios (C)'!$K$40</f>
        <v>0</v>
      </c>
      <c r="P16" s="1073">
        <f>$H16*'Ratios (C)'!$M$40</f>
        <v>737566.20399251487</v>
      </c>
      <c r="Q16" s="541">
        <f>H16-N16-P16-O16</f>
        <v>-2.3283064365386963E-10</v>
      </c>
      <c r="R16" s="541" t="s">
        <v>2424</v>
      </c>
      <c r="S16" s="541"/>
      <c r="V16" s="1073"/>
      <c r="W16" s="1073">
        <f>J16</f>
        <v>481643.67038502311</v>
      </c>
      <c r="X16" s="1073"/>
      <c r="Y16" s="1073">
        <f>SUM(V16:X16)-J16</f>
        <v>0</v>
      </c>
      <c r="Z16" s="1073"/>
      <c r="AA16" s="1073">
        <f>N16</f>
        <v>2045595.6916900252</v>
      </c>
      <c r="AB16" s="1073"/>
      <c r="AC16" s="541">
        <f>SUM(Z16:AB16)-N16</f>
        <v>0</v>
      </c>
    </row>
    <row r="17" spans="1:29">
      <c r="B17" s="1073"/>
      <c r="C17" s="1073"/>
      <c r="D17" s="1073"/>
      <c r="E17" s="1073"/>
      <c r="F17" s="1073"/>
      <c r="G17" s="1073"/>
      <c r="H17" s="1073"/>
      <c r="J17" s="1073"/>
      <c r="K17" s="1073"/>
      <c r="L17" s="1073"/>
      <c r="M17" s="1073"/>
      <c r="N17" s="1073"/>
      <c r="O17" s="1073"/>
      <c r="P17" s="1073"/>
      <c r="V17" s="1073"/>
      <c r="W17" s="1073"/>
      <c r="X17" s="1073"/>
      <c r="Y17" s="1073"/>
      <c r="Z17" s="1073"/>
      <c r="AA17" s="1073"/>
      <c r="AB17" s="1073"/>
    </row>
    <row r="18" spans="1:29">
      <c r="A18" s="551" t="str">
        <f>'[50]2180 Summary'!A18</f>
        <v>CURBSIDE RECYCLE - JBLM HOUSING</v>
      </c>
      <c r="B18" s="1073">
        <f>'[50]2180 Summary'!B18</f>
        <v>632842.55000000005</v>
      </c>
      <c r="C18" s="1073">
        <f>B18-D18</f>
        <v>0</v>
      </c>
      <c r="D18" s="1073">
        <f>'[50]2180 Summary'!D18</f>
        <v>632842.55000000005</v>
      </c>
      <c r="E18" s="1073">
        <f>'[50]2180 Summary'!E18</f>
        <v>76030.549999999988</v>
      </c>
      <c r="F18" s="1073">
        <f>'[50]2180 Summary'!F18</f>
        <v>245981.15</v>
      </c>
      <c r="G18" s="1073">
        <f>'[50]2180 Summary'!G18</f>
        <v>322011.69999999995</v>
      </c>
      <c r="H18" s="1073">
        <f>'[50]2180 Summary'!H18</f>
        <v>310830.84999999998</v>
      </c>
      <c r="J18" s="1073">
        <f>E18</f>
        <v>76030.549999999988</v>
      </c>
      <c r="K18" s="1073"/>
      <c r="L18" s="1073"/>
      <c r="M18" s="1073">
        <f>E18-J18-L18-K18</f>
        <v>0</v>
      </c>
      <c r="N18" s="1073">
        <f>H18</f>
        <v>310830.84999999998</v>
      </c>
      <c r="O18" s="1073"/>
      <c r="P18" s="1073"/>
      <c r="Q18" s="541">
        <f>H18-N18-P18-O18</f>
        <v>0</v>
      </c>
      <c r="R18" s="541" t="s">
        <v>310</v>
      </c>
      <c r="S18" s="541"/>
      <c r="V18" s="1073"/>
      <c r="W18" s="1073">
        <f>J18</f>
        <v>76030.549999999988</v>
      </c>
      <c r="X18" s="1073"/>
      <c r="Y18" s="1073">
        <f>SUM(V18:X18)-J18</f>
        <v>0</v>
      </c>
      <c r="Z18" s="1073"/>
      <c r="AA18" s="1073">
        <f>N18</f>
        <v>310830.84999999998</v>
      </c>
      <c r="AB18" s="1073"/>
      <c r="AC18" s="541">
        <f>SUM(Z18:AB18)-N18</f>
        <v>0</v>
      </c>
    </row>
    <row r="19" spans="1:29">
      <c r="B19" s="1073"/>
      <c r="C19" s="1073"/>
      <c r="D19" s="1073"/>
      <c r="E19" s="1073"/>
      <c r="F19" s="1073"/>
      <c r="G19" s="1073"/>
      <c r="H19" s="1073"/>
      <c r="J19" s="1073"/>
      <c r="K19" s="1073"/>
      <c r="L19" s="1073"/>
      <c r="M19" s="1073"/>
      <c r="N19" s="1073"/>
      <c r="O19" s="1073"/>
      <c r="P19" s="1073"/>
      <c r="V19" s="1073"/>
      <c r="W19" s="1073"/>
      <c r="X19" s="1073"/>
      <c r="Y19" s="1073"/>
      <c r="Z19" s="1073"/>
      <c r="AA19" s="1073"/>
      <c r="AB19" s="1073"/>
    </row>
    <row r="20" spans="1:29">
      <c r="A20" s="551" t="str">
        <f>'[50]2180 Summary'!A20</f>
        <v>YARD WASTE</v>
      </c>
      <c r="B20" s="1073">
        <f>'[50]2180 Summary'!B20</f>
        <v>850341.38000455371</v>
      </c>
      <c r="C20" s="1073">
        <f>B20-D20</f>
        <v>0</v>
      </c>
      <c r="D20" s="1073">
        <f>'[50]2180 Summary'!D20</f>
        <v>850341.38000455371</v>
      </c>
      <c r="E20" s="1073">
        <f>'[50]2180 Summary'!E20</f>
        <v>103492.70763492063</v>
      </c>
      <c r="F20" s="1073">
        <f>'[50]2180 Summary'!F20</f>
        <v>497820.77252836328</v>
      </c>
      <c r="G20" s="1073">
        <f>'[50]2180 Summary'!G20</f>
        <v>577743.99549661716</v>
      </c>
      <c r="H20" s="1073">
        <f>'[50]2180 Summary'!H20</f>
        <v>272597.38450793654</v>
      </c>
      <c r="J20" s="1073">
        <f>$E20*'Ratios (C)'!$J$46</f>
        <v>66986.720884854993</v>
      </c>
      <c r="K20" s="1073">
        <f>$E20*'Ratios (C)'!$K$46</f>
        <v>0</v>
      </c>
      <c r="L20" s="1073">
        <f>$E20*'Ratios (C)'!$M$46</f>
        <v>36505.986750065647</v>
      </c>
      <c r="M20" s="1073">
        <f>E20-J20-L20-K20</f>
        <v>-7.2759576141834259E-12</v>
      </c>
      <c r="N20" s="1073">
        <f>$H20*'Ratios (C)'!$J$46</f>
        <v>176441.46459468213</v>
      </c>
      <c r="O20" s="1073">
        <f>$H20*'Ratios (C)'!$K$46</f>
        <v>0</v>
      </c>
      <c r="P20" s="1073">
        <f>$H20*'Ratios (C)'!$M$46</f>
        <v>96155.919913254416</v>
      </c>
      <c r="Q20" s="541">
        <f>H20-N20-P20-O20</f>
        <v>0</v>
      </c>
      <c r="R20" s="541" t="s">
        <v>2425</v>
      </c>
      <c r="S20" s="541"/>
      <c r="V20" s="1073"/>
      <c r="W20" s="1073"/>
      <c r="X20" s="1073">
        <f>J20</f>
        <v>66986.720884854993</v>
      </c>
      <c r="Y20" s="1073">
        <f>SUM(V20:X20)-J20</f>
        <v>0</v>
      </c>
      <c r="Z20" s="1073"/>
      <c r="AA20" s="1073"/>
      <c r="AB20" s="1073">
        <f>N20</f>
        <v>176441.46459468213</v>
      </c>
      <c r="AC20" s="541">
        <f>SUM(Z20:AB20)-N20</f>
        <v>0</v>
      </c>
    </row>
    <row r="21" spans="1:29">
      <c r="B21" s="1073"/>
      <c r="C21" s="1073"/>
      <c r="D21" s="1073"/>
      <c r="E21" s="1073"/>
      <c r="F21" s="1073"/>
      <c r="G21" s="1073"/>
      <c r="H21" s="1073"/>
      <c r="J21" s="1073"/>
      <c r="K21" s="1073"/>
      <c r="L21" s="1073"/>
      <c r="M21" s="1073"/>
      <c r="N21" s="1073"/>
      <c r="O21" s="1073"/>
      <c r="P21" s="1073"/>
      <c r="V21" s="1073"/>
      <c r="W21" s="1073"/>
      <c r="X21" s="1073"/>
      <c r="Y21" s="1073"/>
      <c r="Z21" s="1073"/>
      <c r="AA21" s="1073"/>
      <c r="AB21" s="1073"/>
    </row>
    <row r="22" spans="1:29">
      <c r="A22" s="551" t="str">
        <f>'[50]2180 Summary'!A22</f>
        <v>COMMERCIAL RECYCLING</v>
      </c>
      <c r="B22" s="1073">
        <f>'[50]2180 Summary'!B22</f>
        <v>1796627.8800000001</v>
      </c>
      <c r="C22" s="1073">
        <f>B22-D22</f>
        <v>0</v>
      </c>
      <c r="D22" s="1073">
        <f>'[50]2180 Summary'!D22</f>
        <v>1796627.8800000001</v>
      </c>
      <c r="E22" s="1073">
        <f>'[50]2180 Summary'!E22</f>
        <v>145667.80855555556</v>
      </c>
      <c r="F22" s="1073">
        <f>'[50]2180 Summary'!F22</f>
        <v>1221248.5803333335</v>
      </c>
      <c r="G22" s="1073">
        <f>'[50]2180 Summary'!G22</f>
        <v>1366916.3888888885</v>
      </c>
      <c r="H22" s="1073">
        <f>'[50]2180 Summary'!H22</f>
        <v>429711.49111111113</v>
      </c>
      <c r="J22" s="1073"/>
      <c r="K22" s="1073"/>
      <c r="L22" s="1073">
        <f>E22</f>
        <v>145667.80855555556</v>
      </c>
      <c r="M22" s="1073">
        <f>E22-J22-L22-K22</f>
        <v>0</v>
      </c>
      <c r="N22" s="1073"/>
      <c r="O22" s="1073"/>
      <c r="P22" s="1073">
        <f>H22</f>
        <v>429711.49111111113</v>
      </c>
      <c r="Q22" s="541">
        <f>H22-N22-P22-O22</f>
        <v>0</v>
      </c>
      <c r="R22" s="541" t="s">
        <v>310</v>
      </c>
      <c r="S22" s="541"/>
      <c r="V22" s="1073"/>
      <c r="W22" s="1073"/>
      <c r="X22" s="1073"/>
      <c r="Y22" s="1073">
        <f>SUM(V22:X22)-J22</f>
        <v>0</v>
      </c>
      <c r="Z22" s="1073"/>
      <c r="AA22" s="1073"/>
      <c r="AB22" s="1073"/>
      <c r="AC22" s="541">
        <f>SUM(Z22:AB22)-N22</f>
        <v>0</v>
      </c>
    </row>
    <row r="23" spans="1:29">
      <c r="B23" s="1073"/>
      <c r="C23" s="1073"/>
      <c r="D23" s="1073"/>
      <c r="E23" s="1073"/>
      <c r="F23" s="1073"/>
      <c r="G23" s="1073"/>
      <c r="H23" s="1073"/>
      <c r="J23" s="1073"/>
      <c r="K23" s="1073"/>
      <c r="L23" s="1073"/>
      <c r="M23" s="1073"/>
      <c r="N23" s="1073"/>
      <c r="O23" s="1073"/>
      <c r="P23" s="1073"/>
      <c r="V23" s="1073"/>
      <c r="W23" s="1073"/>
      <c r="X23" s="1073"/>
      <c r="Y23" s="1073"/>
      <c r="Z23" s="1073"/>
      <c r="AA23" s="1073"/>
      <c r="AB23" s="1073"/>
    </row>
    <row r="24" spans="1:29">
      <c r="A24" s="551" t="str">
        <f>'[50]2180 Summary'!A24</f>
        <v>JBLM CONTRACT GARBAGE</v>
      </c>
      <c r="B24" s="1073">
        <f>'[50]2180 Summary'!B24</f>
        <v>145674.21000000002</v>
      </c>
      <c r="C24" s="1073">
        <f>B24-D24</f>
        <v>0</v>
      </c>
      <c r="D24" s="1073">
        <f>'[50]2180 Summary'!D24</f>
        <v>145674.21000000002</v>
      </c>
      <c r="E24" s="1073">
        <f>'[50]2180 Summary'!E24</f>
        <v>15473.180899999999</v>
      </c>
      <c r="F24" s="1073">
        <f>'[50]2180 Summary'!F24</f>
        <v>58017.159299999999</v>
      </c>
      <c r="G24" s="1073">
        <f>'[50]2180 Summary'!G24</f>
        <v>73490.340199999991</v>
      </c>
      <c r="H24" s="1073">
        <f>'[50]2180 Summary'!H24</f>
        <v>72183.869799999986</v>
      </c>
      <c r="J24" s="1073"/>
      <c r="K24" s="1073">
        <f>E24</f>
        <v>15473.180899999999</v>
      </c>
      <c r="L24" s="1073"/>
      <c r="M24" s="1073">
        <f>E24-J24-L24-K24</f>
        <v>0</v>
      </c>
      <c r="N24" s="1073"/>
      <c r="O24" s="1073">
        <f>H24</f>
        <v>72183.869799999986</v>
      </c>
      <c r="P24" s="1073"/>
      <c r="Q24" s="541">
        <f>H24-N24-P24-O24</f>
        <v>0</v>
      </c>
      <c r="R24" s="541" t="s">
        <v>310</v>
      </c>
      <c r="S24" s="541"/>
      <c r="V24" s="1073"/>
      <c r="W24" s="1073"/>
      <c r="X24" s="1073"/>
      <c r="Y24" s="1073">
        <f>SUM(V24:X24)-J24</f>
        <v>0</v>
      </c>
      <c r="Z24" s="1073"/>
      <c r="AA24" s="1073"/>
      <c r="AB24" s="1073"/>
      <c r="AC24" s="541">
        <f>SUM(Z24:AB24)-N24</f>
        <v>0</v>
      </c>
    </row>
    <row r="25" spans="1:29">
      <c r="B25" s="1073"/>
      <c r="C25" s="1073"/>
      <c r="D25" s="1073"/>
      <c r="E25" s="1073"/>
      <c r="F25" s="1073"/>
      <c r="G25" s="1073"/>
      <c r="H25" s="1073"/>
      <c r="J25" s="1073"/>
      <c r="K25" s="1073"/>
      <c r="L25" s="1073"/>
      <c r="M25" s="1073"/>
      <c r="N25" s="1073"/>
      <c r="O25" s="1073"/>
      <c r="P25" s="1073"/>
      <c r="V25" s="1073"/>
      <c r="W25" s="1073"/>
      <c r="X25" s="1073"/>
      <c r="Y25" s="1073"/>
      <c r="Z25" s="1073"/>
      <c r="AA25" s="1073"/>
      <c r="AB25" s="1073"/>
    </row>
    <row r="26" spans="1:29">
      <c r="A26" s="551" t="str">
        <f>'[50]2180 Summary'!A26</f>
        <v>JBLM CONTRACT RECYCLING</v>
      </c>
      <c r="B26" s="1073">
        <f>'[50]2180 Summary'!B26</f>
        <v>649249.68999999994</v>
      </c>
      <c r="C26" s="1073">
        <f>B26-D26</f>
        <v>49681.48499999987</v>
      </c>
      <c r="D26" s="1073">
        <f>'[50]2180 Summary'!D26</f>
        <v>599568.20500000007</v>
      </c>
      <c r="E26" s="1073">
        <f>'[50]2180 Summary'!E26</f>
        <v>35748.641333333333</v>
      </c>
      <c r="F26" s="1073">
        <f>'[50]2180 Summary'!F26</f>
        <v>351355.92600000004</v>
      </c>
      <c r="G26" s="1073">
        <f>'[50]2180 Summary'!G26</f>
        <v>387104.56733333331</v>
      </c>
      <c r="H26" s="1073">
        <f>'[50]2180 Summary'!H26</f>
        <v>262145.12266666669</v>
      </c>
      <c r="J26" s="1073"/>
      <c r="K26" s="1073">
        <f>E26</f>
        <v>35748.641333333333</v>
      </c>
      <c r="L26" s="1073"/>
      <c r="M26" s="1073">
        <f>E26-J26-L26-K26</f>
        <v>0</v>
      </c>
      <c r="N26" s="1073"/>
      <c r="O26" s="1073">
        <f>H26</f>
        <v>262145.12266666669</v>
      </c>
      <c r="P26" s="1073"/>
      <c r="Q26" s="541">
        <f>H26-N26-P26-O26</f>
        <v>0</v>
      </c>
      <c r="R26" s="541" t="s">
        <v>310</v>
      </c>
      <c r="S26" s="541"/>
      <c r="V26" s="1073"/>
      <c r="W26" s="1073"/>
      <c r="X26" s="1073"/>
      <c r="Y26" s="1073">
        <f>SUM(V26:X26)-J26</f>
        <v>0</v>
      </c>
      <c r="Z26" s="1073"/>
      <c r="AA26" s="1073"/>
      <c r="AB26" s="1073"/>
      <c r="AC26" s="541">
        <f>SUM(Z26:AB26)-N26</f>
        <v>0</v>
      </c>
    </row>
    <row r="27" spans="1:29">
      <c r="B27" s="1073"/>
      <c r="C27" s="1073"/>
      <c r="D27" s="1073"/>
      <c r="E27" s="1073"/>
      <c r="F27" s="1073"/>
      <c r="G27" s="1073"/>
      <c r="H27" s="1073"/>
      <c r="J27" s="1073"/>
      <c r="K27" s="1073"/>
      <c r="L27" s="1073"/>
      <c r="M27" s="1073"/>
      <c r="N27" s="1073"/>
      <c r="O27" s="1073"/>
      <c r="P27" s="1073"/>
      <c r="V27" s="1073"/>
      <c r="W27" s="1073"/>
      <c r="X27" s="1073"/>
      <c r="Y27" s="1073"/>
      <c r="Z27" s="1073"/>
      <c r="AA27" s="1073"/>
      <c r="AB27" s="1073"/>
    </row>
    <row r="28" spans="1:29">
      <c r="A28" s="551" t="str">
        <f>'[50]2180 Summary'!A28</f>
        <v>TRANSFER STATION EQUIPMENT</v>
      </c>
      <c r="B28" s="1073">
        <f>'[50]2180 Summary'!B28</f>
        <v>260103.05</v>
      </c>
      <c r="C28" s="1073">
        <f>B28-D28</f>
        <v>47765.105599999981</v>
      </c>
      <c r="D28" s="1073">
        <f>'[50]2180 Summary'!D28</f>
        <v>212337.94440000001</v>
      </c>
      <c r="E28" s="1073">
        <f>'[50]2180 Summary'!E28</f>
        <v>5166.6000000000004</v>
      </c>
      <c r="F28" s="1073">
        <f>'[50]2180 Summary'!F28</f>
        <v>249769.84999999998</v>
      </c>
      <c r="G28" s="1073">
        <f>'[50]2180 Summary'!G28</f>
        <v>254936.44999999998</v>
      </c>
      <c r="H28" s="1073">
        <f>'[50]2180 Summary'!H28</f>
        <v>5166.5999999999985</v>
      </c>
      <c r="J28" s="1073">
        <f>E28*('Ratios (C)'!$C$65+'Ratios (C)'!$D$65)</f>
        <v>1690.9097257074793</v>
      </c>
      <c r="K28" s="1073">
        <f>E28*('Ratios (C)'!$B$65)</f>
        <v>493.41662055929567</v>
      </c>
      <c r="L28" s="1073">
        <f>E28*'Ratios (C)'!$E$65</f>
        <v>2982.2736537332257</v>
      </c>
      <c r="M28" s="1073">
        <f>E28-J28-L28-K28</f>
        <v>0</v>
      </c>
      <c r="N28" s="1073">
        <f>H28*('Ratios (C)'!$C$65+'Ratios (C)'!$D$65)</f>
        <v>1690.9097257074786</v>
      </c>
      <c r="O28" s="1073">
        <f>H28*('Ratios (C)'!$B$65)</f>
        <v>493.4166205592955</v>
      </c>
      <c r="P28" s="1073">
        <f>H28*'Ratios (C)'!$E$65</f>
        <v>2982.2736537332248</v>
      </c>
      <c r="Q28" s="541">
        <f>H28-N28-P28-O28</f>
        <v>0</v>
      </c>
      <c r="R28" s="541" t="s">
        <v>2426</v>
      </c>
      <c r="S28" s="541"/>
      <c r="V28" s="1136">
        <f>$J28*'Ratios (C)'!$F$61</f>
        <v>1580.8571862454039</v>
      </c>
      <c r="W28" s="1136">
        <f>$J28*'Ratios (C)'!$G$61</f>
        <v>36.684835832171814</v>
      </c>
      <c r="X28" s="1136">
        <f>$J28*'Ratios (C)'!$H$61</f>
        <v>73.367703629903488</v>
      </c>
      <c r="Y28" s="1073">
        <f>SUM(V28:X28)-J28</f>
        <v>0</v>
      </c>
      <c r="Z28" s="1136">
        <f>$N28*'Ratios (C)'!$F$61</f>
        <v>1580.8571862454032</v>
      </c>
      <c r="AA28" s="1136">
        <f>$N28*'Ratios (C)'!$G$61</f>
        <v>36.684835832171792</v>
      </c>
      <c r="AB28" s="1136">
        <f>$N28*'Ratios (C)'!$H$61</f>
        <v>73.36770362990346</v>
      </c>
      <c r="AC28" s="541">
        <f>SUM(Z28:AB28)-N28</f>
        <v>0</v>
      </c>
    </row>
    <row r="29" spans="1:29">
      <c r="B29" s="1073"/>
      <c r="C29" s="1073"/>
      <c r="D29" s="1073"/>
      <c r="E29" s="1073"/>
      <c r="F29" s="1073"/>
      <c r="G29" s="1073"/>
      <c r="H29" s="1073"/>
      <c r="J29" s="1073"/>
      <c r="K29" s="1073"/>
      <c r="L29" s="1073"/>
      <c r="M29" s="1073"/>
      <c r="N29" s="1073"/>
      <c r="O29" s="1073"/>
      <c r="P29" s="1073"/>
      <c r="V29" s="1073"/>
      <c r="W29" s="1073"/>
      <c r="X29" s="1073"/>
      <c r="Y29" s="1073"/>
      <c r="Z29" s="1073"/>
      <c r="AA29" s="1073"/>
      <c r="AB29" s="1073"/>
    </row>
    <row r="30" spans="1:29">
      <c r="A30" s="551" t="str">
        <f>'[50]2180 Summary'!A30</f>
        <v>TRANSFER STATION HAULING</v>
      </c>
      <c r="B30" s="1073">
        <f>'[50]2180 Summary'!B30</f>
        <v>882782.36999999988</v>
      </c>
      <c r="C30" s="1073">
        <f>B30-D30</f>
        <v>0</v>
      </c>
      <c r="D30" s="1073">
        <f>'[50]2180 Summary'!D30</f>
        <v>882782.36999999988</v>
      </c>
      <c r="E30" s="1073">
        <f>'[50]2180 Summary'!E30</f>
        <v>61411.609999999986</v>
      </c>
      <c r="F30" s="1073">
        <f>'[50]2180 Summary'!F30</f>
        <v>703333.20666666667</v>
      </c>
      <c r="G30" s="1073">
        <f>'[50]2180 Summary'!G30</f>
        <v>764744.81666666665</v>
      </c>
      <c r="H30" s="1073">
        <f>'[50]2180 Summary'!H30</f>
        <v>118037.55333333334</v>
      </c>
      <c r="J30" s="1073">
        <f>E30*('Ratios (C)'!$C$64+'Ratios (C)'!$D$64)</f>
        <v>20949.883320958437</v>
      </c>
      <c r="K30" s="1073">
        <f>E30*'Ratios (C)'!$B$64</f>
        <v>6559.4292469153979</v>
      </c>
      <c r="L30" s="1073">
        <f>E30*'Ratios (C)'!$E$64</f>
        <v>33902.29743212615</v>
      </c>
      <c r="M30" s="1073">
        <f>E30-J30-L30-K30</f>
        <v>0</v>
      </c>
      <c r="N30" s="1073">
        <f>H30*('Ratios (C)'!$C$64+'Ratios (C)'!$D$64)</f>
        <v>40267.190028477395</v>
      </c>
      <c r="O30" s="1073">
        <f>H30*'Ratios (C)'!$B$64</f>
        <v>12607.697136893219</v>
      </c>
      <c r="P30" s="1073">
        <f>H30*'Ratios (C)'!$E$64</f>
        <v>65162.666167962729</v>
      </c>
      <c r="Q30" s="541">
        <f>H30-N30-P30-O30</f>
        <v>0</v>
      </c>
      <c r="R30" s="541" t="s">
        <v>2427</v>
      </c>
      <c r="S30" s="541"/>
      <c r="V30" s="1073">
        <f>J30</f>
        <v>20949.883320958437</v>
      </c>
      <c r="W30" s="1073"/>
      <c r="X30" s="1073"/>
      <c r="Y30" s="1073">
        <f>SUM(V30:X30)-J30</f>
        <v>0</v>
      </c>
      <c r="Z30" s="1073">
        <f>N30</f>
        <v>40267.190028477395</v>
      </c>
      <c r="AA30" s="1073"/>
      <c r="AB30" s="1073"/>
      <c r="AC30" s="541">
        <f>SUM(Z30:AB30)-N30</f>
        <v>0</v>
      </c>
    </row>
    <row r="31" spans="1:29">
      <c r="B31" s="1073"/>
      <c r="C31" s="1073"/>
      <c r="D31" s="1073"/>
      <c r="E31" s="1073"/>
      <c r="F31" s="1073"/>
      <c r="G31" s="1073"/>
      <c r="H31" s="1073"/>
      <c r="J31" s="1073"/>
      <c r="K31" s="1073"/>
      <c r="L31" s="1073"/>
      <c r="M31" s="1073"/>
      <c r="N31" s="1073"/>
      <c r="O31" s="1073"/>
      <c r="P31" s="1073"/>
      <c r="V31" s="1073"/>
      <c r="W31" s="1073"/>
      <c r="X31" s="1073"/>
      <c r="Y31" s="1073"/>
      <c r="Z31" s="1073"/>
      <c r="AA31" s="1073"/>
      <c r="AB31" s="1073"/>
    </row>
    <row r="32" spans="1:29">
      <c r="A32" s="551" t="str">
        <f>'[50]2180 Summary'!A32</f>
        <v>CONTAINER DELIVERY</v>
      </c>
      <c r="B32" s="1073">
        <f>'[50]2180 Summary'!B32</f>
        <v>646239.38</v>
      </c>
      <c r="C32" s="1073">
        <f>B32-D32</f>
        <v>0</v>
      </c>
      <c r="D32" s="1073">
        <f>'[50]2180 Summary'!D32</f>
        <v>646239.38</v>
      </c>
      <c r="E32" s="1073">
        <f>'[50]2180 Summary'!E32</f>
        <v>76761.187169047611</v>
      </c>
      <c r="F32" s="1073">
        <f>'[50]2180 Summary'!F32</f>
        <v>315046.88169523812</v>
      </c>
      <c r="G32" s="1073">
        <f>'[50]2180 Summary'!G32</f>
        <v>379571.18753095245</v>
      </c>
      <c r="H32" s="1073">
        <f>'[50]2180 Summary'!H32</f>
        <v>266668.19246904762</v>
      </c>
      <c r="J32" s="1073">
        <f>E32*('Ratios (C)'!$C$32+'Ratios (C)'!$D$32)</f>
        <v>55687.871138819115</v>
      </c>
      <c r="K32" s="1073">
        <f>E32*('Ratios (C)'!$E$32+'Ratios (C)'!$F$32)</f>
        <v>431.62792807158297</v>
      </c>
      <c r="L32" s="1073">
        <f>E32*'Ratios (C)'!$G$32</f>
        <v>20641.688102156906</v>
      </c>
      <c r="M32" s="1073">
        <f>E32-J32-L32-K32</f>
        <v>6.8780536821577698E-12</v>
      </c>
      <c r="N32" s="1073">
        <f>H32*('Ratios (C)'!$C$32+'Ratios (C)'!$D$32)</f>
        <v>193459.53973242056</v>
      </c>
      <c r="O32" s="1073">
        <f>H32*('Ratios (C)'!$E$32+'Ratios (C)'!$F$32)</f>
        <v>1499.4744563359416</v>
      </c>
      <c r="P32" s="1073">
        <f>H32*'Ratios (C)'!$G$32</f>
        <v>71709.178280291089</v>
      </c>
      <c r="Q32" s="541">
        <f>H32-N32-P32-O32</f>
        <v>2.9331204132176936E-11</v>
      </c>
      <c r="R32" s="541" t="s">
        <v>2428</v>
      </c>
      <c r="S32" s="541"/>
      <c r="V32" s="1073">
        <f>J32*'Ratios (C)'!$P$6</f>
        <v>23561.244616669275</v>
      </c>
      <c r="W32" s="1073">
        <f>J32*'Ratios (C)'!$Q$6</f>
        <v>22106.97216062824</v>
      </c>
      <c r="X32" s="1073">
        <f>J32*'Ratios (C)'!$R$6</f>
        <v>10019.654361521598</v>
      </c>
      <c r="Y32" s="1073">
        <f>SUM(V32:X32)-J32</f>
        <v>0</v>
      </c>
      <c r="Z32" s="1073">
        <f>N32*'Ratios (C)'!$P$6</f>
        <v>81851.711079082685</v>
      </c>
      <c r="AA32" s="1073">
        <f>N32*'Ratios (C)'!$Q$6</f>
        <v>76799.571820788857</v>
      </c>
      <c r="AB32" s="1073">
        <f>N32*'Ratios (C)'!$R$6</f>
        <v>34808.256832548999</v>
      </c>
      <c r="AC32" s="541">
        <f>SUM(Z32:AB32)-N32</f>
        <v>0</v>
      </c>
    </row>
    <row r="33" spans="1:29">
      <c r="B33" s="1073"/>
      <c r="C33" s="1073"/>
      <c r="D33" s="1073"/>
      <c r="E33" s="1073"/>
      <c r="F33" s="1073"/>
      <c r="G33" s="1073"/>
      <c r="H33" s="1073"/>
      <c r="J33" s="1073"/>
      <c r="K33" s="1073"/>
      <c r="L33" s="1073"/>
      <c r="M33" s="1073"/>
      <c r="N33" s="1073"/>
      <c r="O33" s="1073"/>
      <c r="P33" s="1073"/>
      <c r="V33" s="1073"/>
      <c r="W33" s="1073"/>
      <c r="X33" s="1073"/>
      <c r="Y33" s="1073"/>
      <c r="Z33" s="1073"/>
      <c r="AA33" s="1073"/>
      <c r="AB33" s="1073"/>
    </row>
    <row r="34" spans="1:29">
      <c r="A34" s="1074" t="s">
        <v>2404</v>
      </c>
      <c r="B34" s="1075">
        <f t="shared" ref="B34:H34" si="0">SUM(B8:B33)</f>
        <v>31463100.795714293</v>
      </c>
      <c r="C34" s="1075">
        <f t="shared" si="0"/>
        <v>122838.528599999</v>
      </c>
      <c r="D34" s="1075">
        <f t="shared" si="0"/>
        <v>31340262.267114293</v>
      </c>
      <c r="E34" s="1075">
        <f t="shared" si="0"/>
        <v>3022606.2638626974</v>
      </c>
      <c r="F34" s="1075">
        <f t="shared" si="0"/>
        <v>9263259.5119476207</v>
      </c>
      <c r="G34" s="1075">
        <f t="shared" si="0"/>
        <v>12186300.725143647</v>
      </c>
      <c r="H34" s="1075">
        <f t="shared" si="0"/>
        <v>19283592.237237304</v>
      </c>
      <c r="I34" s="541"/>
      <c r="J34" s="1075">
        <f>SUM(J8:J33)</f>
        <v>1912878.8158378536</v>
      </c>
      <c r="K34" s="1075">
        <f t="shared" ref="K34" si="1">SUM(K8:K33)</f>
        <v>138163.07944259403</v>
      </c>
      <c r="L34" s="1075">
        <f t="shared" ref="L34" si="2">SUM(L8:L33)</f>
        <v>971564.36858224997</v>
      </c>
      <c r="M34" s="1073">
        <f>E34-J34-L34-K34</f>
        <v>0</v>
      </c>
      <c r="N34" s="1075">
        <f>SUM(N8:N33)</f>
        <v>12446888.848373672</v>
      </c>
      <c r="O34" s="1075">
        <f t="shared" ref="O34" si="3">SUM(O8:O33)</f>
        <v>996086.89355943399</v>
      </c>
      <c r="P34" s="1075">
        <f t="shared" ref="P34" si="4">SUM(P8:P33)</f>
        <v>5840616.4953041952</v>
      </c>
      <c r="Q34" s="541">
        <f>H34-N34-P34-O34</f>
        <v>3.2596290111541748E-9</v>
      </c>
      <c r="V34" s="1075">
        <f>SUM(V8:V33)</f>
        <v>1255981.1955063639</v>
      </c>
      <c r="W34" s="1075">
        <f t="shared" ref="W34:X34" si="5">SUM(W8:W33)</f>
        <v>579817.87738148356</v>
      </c>
      <c r="X34" s="1075">
        <f t="shared" si="5"/>
        <v>77079.74295000649</v>
      </c>
      <c r="Y34" s="1073">
        <f>J34-V34-X34-W34</f>
        <v>0</v>
      </c>
      <c r="Z34" s="1075">
        <f>SUM(Z8:Z33)</f>
        <v>9802302.9608961642</v>
      </c>
      <c r="AA34" s="1075">
        <f t="shared" ref="AA34:AB34" si="6">SUM(AA8:AA33)</f>
        <v>2433262.7983466461</v>
      </c>
      <c r="AB34" s="1075">
        <f t="shared" si="6"/>
        <v>211323.08913086102</v>
      </c>
      <c r="AC34" s="541">
        <f>N34-Z34-AB34-AA34</f>
        <v>0</v>
      </c>
    </row>
    <row r="35" spans="1:29">
      <c r="B35" s="1073"/>
      <c r="C35" s="1073"/>
      <c r="D35" s="1073"/>
      <c r="E35" s="1073"/>
      <c r="F35" s="1073"/>
      <c r="G35" s="1073"/>
      <c r="H35" s="1073"/>
      <c r="J35" s="1073"/>
      <c r="K35" s="1073"/>
      <c r="L35" s="1073"/>
      <c r="M35" s="1073"/>
      <c r="N35" s="1073"/>
      <c r="O35" s="1073"/>
      <c r="P35" s="1073"/>
      <c r="V35" s="1073"/>
      <c r="W35" s="1073"/>
      <c r="X35" s="1073"/>
      <c r="Y35" s="1073"/>
      <c r="Z35" s="1073"/>
      <c r="AA35" s="1073"/>
      <c r="AB35" s="1073"/>
    </row>
    <row r="36" spans="1:29">
      <c r="A36" s="1072" t="s">
        <v>2405</v>
      </c>
      <c r="B36" s="1073"/>
      <c r="C36" s="1073"/>
      <c r="D36" s="1073"/>
      <c r="E36" s="1073"/>
      <c r="F36" s="1073"/>
      <c r="G36" s="1073"/>
      <c r="H36" s="1073"/>
      <c r="J36" s="1073"/>
      <c r="K36" s="1073"/>
      <c r="L36" s="1073"/>
      <c r="M36" s="1073"/>
      <c r="N36" s="1073"/>
      <c r="O36" s="1073"/>
      <c r="P36" s="1073"/>
      <c r="V36" s="1073"/>
      <c r="W36" s="1073"/>
      <c r="X36" s="1073"/>
      <c r="Y36" s="1073"/>
      <c r="Z36" s="1073"/>
      <c r="AA36" s="1073"/>
      <c r="AB36" s="1073"/>
    </row>
    <row r="37" spans="1:29">
      <c r="A37" s="551" t="str">
        <f>'[50]2180 Summary'!A37</f>
        <v>Garbage Containers</v>
      </c>
      <c r="B37" s="1073">
        <f>'[50]2180 Summary'!B37</f>
        <v>1799740.7589999987</v>
      </c>
      <c r="C37" s="1073">
        <f>B37-D37</f>
        <v>0</v>
      </c>
      <c r="D37" s="1073">
        <f>'[50]2180 Summary'!D37</f>
        <v>1799740.7589999987</v>
      </c>
      <c r="E37" s="1073">
        <f>'[50]2180 Summary'!E37</f>
        <v>131694.5777142857</v>
      </c>
      <c r="F37" s="1073">
        <f>'[50]2180 Summary'!F37</f>
        <v>881123.01549999986</v>
      </c>
      <c r="G37" s="1073">
        <f>'[50]2180 Summary'!G37</f>
        <v>1012817.5932142856</v>
      </c>
      <c r="H37" s="1073">
        <f>'[50]2180 Summary'!H37</f>
        <v>786923.1657857144</v>
      </c>
      <c r="J37" s="1073">
        <f>$E37*'Ratios (C)'!$C$27</f>
        <v>95778.830058039224</v>
      </c>
      <c r="K37" s="1073">
        <v>0</v>
      </c>
      <c r="L37" s="1073">
        <f>E37*'Ratios (C)'!$G$27</f>
        <v>35915.747656246465</v>
      </c>
      <c r="M37" s="1073">
        <f>E37-J37-L37-K37</f>
        <v>7.2759576141834259E-12</v>
      </c>
      <c r="N37" s="1073">
        <f>$H37*'Ratios (C)'!$C$27</f>
        <v>572313.46554026171</v>
      </c>
      <c r="O37" s="1073">
        <v>0</v>
      </c>
      <c r="P37" s="1073">
        <f>H37*'Ratios (C)'!$G$27</f>
        <v>214609.70024545267</v>
      </c>
      <c r="Q37" s="541">
        <f>H37-N37-P37-O37</f>
        <v>2.9103830456733704E-11</v>
      </c>
      <c r="R37" s="541" t="s">
        <v>2430</v>
      </c>
      <c r="S37" s="541"/>
      <c r="V37" s="1073">
        <f>J37</f>
        <v>95778.830058039224</v>
      </c>
      <c r="W37" s="1073"/>
      <c r="X37" s="1073"/>
      <c r="Y37" s="1073">
        <f>J37-V37-X37-W37</f>
        <v>0</v>
      </c>
      <c r="Z37" s="1073">
        <f>N37</f>
        <v>572313.46554026171</v>
      </c>
      <c r="AA37" s="1073"/>
      <c r="AB37" s="1073"/>
      <c r="AC37" s="541">
        <f>N37-Z37-AB37-AA37</f>
        <v>0</v>
      </c>
    </row>
    <row r="38" spans="1:29">
      <c r="B38" s="1073"/>
      <c r="C38" s="1073"/>
      <c r="D38" s="1073"/>
      <c r="E38" s="1073"/>
      <c r="F38" s="1073"/>
      <c r="G38" s="1073"/>
      <c r="H38" s="1073"/>
      <c r="J38" s="1073"/>
      <c r="K38" s="1073"/>
      <c r="L38" s="1073"/>
      <c r="M38" s="1073"/>
      <c r="N38" s="1073"/>
      <c r="O38" s="1073"/>
      <c r="P38" s="1073"/>
      <c r="V38" s="1073"/>
      <c r="W38" s="1073"/>
      <c r="X38" s="1073"/>
      <c r="Y38" s="1073"/>
      <c r="Z38" s="1073"/>
      <c r="AA38" s="1073"/>
      <c r="AB38" s="1073"/>
    </row>
    <row r="39" spans="1:29">
      <c r="A39" s="551" t="str">
        <f>'[50]2180 Summary'!A39</f>
        <v>JBLM Containers</v>
      </c>
      <c r="B39" s="1073">
        <f>'[50]2180 Summary'!B39</f>
        <v>739961.09666666668</v>
      </c>
      <c r="C39" s="1073">
        <f>B39-D39</f>
        <v>0</v>
      </c>
      <c r="D39" s="1073">
        <f>'[50]2180 Summary'!D39</f>
        <v>739961.09666666668</v>
      </c>
      <c r="E39" s="1073">
        <f>'[50]2180 Summary'!E39</f>
        <v>62347.399404761913</v>
      </c>
      <c r="F39" s="1073">
        <f>'[50]2180 Summary'!F39</f>
        <v>340423.24495238089</v>
      </c>
      <c r="G39" s="1073">
        <f>'[50]2180 Summary'!G39</f>
        <v>402770.64435714291</v>
      </c>
      <c r="H39" s="1073">
        <f>'[50]2180 Summary'!H39</f>
        <v>337190.45230952388</v>
      </c>
      <c r="J39" s="1073"/>
      <c r="K39" s="1073">
        <f>E39</f>
        <v>62347.399404761913</v>
      </c>
      <c r="L39" s="1073"/>
      <c r="M39" s="1073">
        <f>E39-J39-L39-K39</f>
        <v>0</v>
      </c>
      <c r="N39" s="1073"/>
      <c r="O39" s="1073">
        <f>H39</f>
        <v>337190.45230952388</v>
      </c>
      <c r="P39" s="1073"/>
      <c r="Q39" s="541">
        <f>H39-N39-P39-O39</f>
        <v>0</v>
      </c>
      <c r="R39" s="541" t="s">
        <v>310</v>
      </c>
      <c r="S39" s="541"/>
      <c r="V39" s="1073"/>
      <c r="W39" s="1073"/>
      <c r="X39" s="1073"/>
      <c r="Y39" s="1073">
        <f>J39-V39-X39-W39</f>
        <v>0</v>
      </c>
      <c r="Z39" s="1073"/>
      <c r="AA39" s="1073"/>
      <c r="AB39" s="1073"/>
      <c r="AC39" s="541">
        <f>N39-Z39-AB39-AA39</f>
        <v>0</v>
      </c>
    </row>
    <row r="40" spans="1:29">
      <c r="B40" s="1073"/>
      <c r="C40" s="1073"/>
      <c r="D40" s="1073"/>
      <c r="E40" s="1073"/>
      <c r="F40" s="1073"/>
      <c r="G40" s="1073"/>
      <c r="H40" s="1073"/>
      <c r="J40" s="1073"/>
      <c r="K40" s="1073"/>
      <c r="L40" s="1073"/>
      <c r="M40" s="1073"/>
      <c r="N40" s="1073"/>
      <c r="O40" s="1073"/>
      <c r="P40" s="1073"/>
      <c r="V40" s="1073"/>
      <c r="W40" s="1073"/>
      <c r="X40" s="1073"/>
      <c r="Y40" s="1073"/>
      <c r="Z40" s="1073"/>
      <c r="AA40" s="1073"/>
      <c r="AB40" s="1073"/>
    </row>
    <row r="41" spans="1:29">
      <c r="A41" s="551" t="str">
        <f>'[50]2180 Summary'!A41</f>
        <v>Drop Boxes</v>
      </c>
      <c r="B41" s="1073">
        <f>'[50]2180 Summary'!B41</f>
        <v>3649102.7599999988</v>
      </c>
      <c r="C41" s="1073">
        <f>B41-D41</f>
        <v>0</v>
      </c>
      <c r="D41" s="1073">
        <f>'[50]2180 Summary'!D41</f>
        <v>3649102.7599999988</v>
      </c>
      <c r="E41" s="1073">
        <f>'[50]2180 Summary'!E41</f>
        <v>121788.75856561333</v>
      </c>
      <c r="F41" s="1073">
        <f>'[50]2180 Summary'!F41</f>
        <v>2497873.0124999988</v>
      </c>
      <c r="G41" s="1073">
        <f>'[50]2180 Summary'!G41</f>
        <v>2619661.7710656133</v>
      </c>
      <c r="H41" s="1073">
        <f>'[50]2180 Summary'!H41</f>
        <v>1029440.9889343868</v>
      </c>
      <c r="J41" s="1073">
        <f>E41*('Ratios (C)'!$C$28+'Ratios (C)'!$D$28)</f>
        <v>54436.988143391027</v>
      </c>
      <c r="K41" s="1073">
        <f>E41*'Ratios (C)'!$E$28</f>
        <v>27368.869443244366</v>
      </c>
      <c r="L41" s="1073">
        <f>E41*'Ratios (C)'!$G$28</f>
        <v>39982.90097897793</v>
      </c>
      <c r="M41" s="1073">
        <f>E41-J41-L41-K41</f>
        <v>0</v>
      </c>
      <c r="N41" s="1073">
        <f>H41*('Ratios (C)'!$C$28+'Ratios (C)'!$D$28)</f>
        <v>460138.25552504288</v>
      </c>
      <c r="O41" s="1073">
        <f>H41*'Ratios (C)'!$E$28</f>
        <v>231340.20214591973</v>
      </c>
      <c r="P41" s="1073">
        <f>H41*'Ratios (C)'!$G$28</f>
        <v>337962.53126342403</v>
      </c>
      <c r="Q41" s="541">
        <f>H41-N41-P41-O41</f>
        <v>0</v>
      </c>
      <c r="R41" s="541" t="s">
        <v>2429</v>
      </c>
      <c r="S41" s="541"/>
      <c r="V41" s="1073">
        <f>J41</f>
        <v>54436.988143391027</v>
      </c>
      <c r="W41" s="1073"/>
      <c r="X41" s="1073"/>
      <c r="Y41" s="1073">
        <f>J41-V41-X41-W41</f>
        <v>0</v>
      </c>
      <c r="Z41" s="1073">
        <f>N41</f>
        <v>460138.25552504288</v>
      </c>
      <c r="AA41" s="1073"/>
      <c r="AB41" s="1073"/>
      <c r="AC41" s="541">
        <f>N41-Z41-AB41-AA41</f>
        <v>0</v>
      </c>
    </row>
    <row r="42" spans="1:29">
      <c r="B42" s="1073"/>
      <c r="C42" s="1073"/>
      <c r="D42" s="1073"/>
      <c r="E42" s="1073"/>
      <c r="F42" s="1073"/>
      <c r="G42" s="1073"/>
      <c r="H42" s="1073"/>
      <c r="J42" s="1073"/>
      <c r="K42" s="1073"/>
      <c r="L42" s="1073"/>
      <c r="M42" s="1073"/>
      <c r="N42" s="1073"/>
      <c r="O42" s="1073"/>
      <c r="P42" s="1073"/>
      <c r="V42" s="1073"/>
      <c r="W42" s="1073"/>
      <c r="X42" s="1073"/>
      <c r="Y42" s="1073"/>
      <c r="Z42" s="1073"/>
      <c r="AA42" s="1073"/>
      <c r="AB42" s="1073"/>
    </row>
    <row r="43" spans="1:29">
      <c r="A43" s="551" t="str">
        <f>'[50]2180 Summary'!A43</f>
        <v>Garbage Carts</v>
      </c>
      <c r="B43" s="1073">
        <f>'[50]2180 Summary'!B43</f>
        <v>3621764.3630000013</v>
      </c>
      <c r="C43" s="1073">
        <f>B43-D43</f>
        <v>0</v>
      </c>
      <c r="D43" s="1073">
        <f>'[50]2180 Summary'!D43</f>
        <v>3621764.3630000013</v>
      </c>
      <c r="E43" s="1073">
        <f>'[50]2180 Summary'!E43</f>
        <v>332179.52328571427</v>
      </c>
      <c r="F43" s="1073">
        <f>'[50]2180 Summary'!F43</f>
        <v>2039820.7088571428</v>
      </c>
      <c r="G43" s="1073">
        <f>'[50]2180 Summary'!G43</f>
        <v>2372000.2321428573</v>
      </c>
      <c r="H43" s="1073">
        <f>'[50]2180 Summary'!H43</f>
        <v>1249764.1308571433</v>
      </c>
      <c r="J43" s="1073">
        <f>E43*('Ratios (C)'!$C$26+'Ratios (C)'!$D$26)</f>
        <v>250032.11889880727</v>
      </c>
      <c r="K43" s="1073">
        <f>E43*'Ratios (C)'!$E$26</f>
        <v>0</v>
      </c>
      <c r="L43" s="1073">
        <f>E43*'Ratios (C)'!$G$26</f>
        <v>82147.404386906972</v>
      </c>
      <c r="M43" s="1073">
        <f>E43-J43-L43-K43</f>
        <v>2.9103830456733704E-11</v>
      </c>
      <c r="N43" s="1073">
        <f>H43*('Ratios (C)'!$C$26+'Ratios (C)'!$D$26)</f>
        <v>940699.68753963942</v>
      </c>
      <c r="O43" s="1073">
        <f>H43*'Ratios (C)'!$E$26</f>
        <v>0</v>
      </c>
      <c r="P43" s="1073">
        <f>H43*'Ratios (C)'!$G$26</f>
        <v>309064.44331750378</v>
      </c>
      <c r="Q43" s="541">
        <f>H43-N43-P43-O43</f>
        <v>1.1641532182693481E-10</v>
      </c>
      <c r="R43" s="541" t="s">
        <v>2431</v>
      </c>
      <c r="S43" s="541"/>
      <c r="V43" s="1073">
        <f>J43</f>
        <v>250032.11889880727</v>
      </c>
      <c r="W43" s="1073"/>
      <c r="X43" s="1073"/>
      <c r="Y43" s="1073">
        <f>J43-V43-X43-W43</f>
        <v>0</v>
      </c>
      <c r="Z43" s="1073">
        <f>N43</f>
        <v>940699.68753963942</v>
      </c>
      <c r="AA43" s="1073"/>
      <c r="AB43" s="1073"/>
      <c r="AC43" s="541">
        <f>N43-Z43-AB43-AA43</f>
        <v>0</v>
      </c>
    </row>
    <row r="44" spans="1:29">
      <c r="B44" s="1073"/>
      <c r="C44" s="1073"/>
      <c r="D44" s="1073"/>
      <c r="E44" s="1073"/>
      <c r="F44" s="1073"/>
      <c r="G44" s="1073"/>
      <c r="H44" s="1073"/>
      <c r="J44" s="1073"/>
      <c r="K44" s="1073"/>
      <c r="L44" s="1073"/>
      <c r="M44" s="1073"/>
      <c r="N44" s="1073"/>
      <c r="O44" s="1073"/>
      <c r="P44" s="1073"/>
      <c r="V44" s="1073"/>
      <c r="W44" s="1073"/>
      <c r="X44" s="1073"/>
      <c r="Y44" s="1073"/>
      <c r="Z44" s="1073"/>
      <c r="AA44" s="1073"/>
      <c r="AB44" s="1073"/>
    </row>
    <row r="45" spans="1:29">
      <c r="A45" s="551" t="str">
        <f>'[50]2180 Summary'!A45</f>
        <v>Garbage Carts - Municipal</v>
      </c>
      <c r="B45" s="1073">
        <f>'[50]2180 Summary'!B45</f>
        <v>165208.34</v>
      </c>
      <c r="C45" s="1073">
        <f>B45-D45</f>
        <v>0</v>
      </c>
      <c r="D45" s="1073">
        <f>'[50]2180 Summary'!D45</f>
        <v>165208.34</v>
      </c>
      <c r="E45" s="1073">
        <f>'[50]2180 Summary'!E45</f>
        <v>23601.191428571427</v>
      </c>
      <c r="F45" s="1073">
        <f>'[50]2180 Summary'!F45</f>
        <v>69464.014285714278</v>
      </c>
      <c r="G45" s="1073">
        <f>'[50]2180 Summary'!G45</f>
        <v>93065.205714285708</v>
      </c>
      <c r="H45" s="1073">
        <f>'[50]2180 Summary'!H45</f>
        <v>72143.134285714288</v>
      </c>
      <c r="J45" s="1073"/>
      <c r="K45" s="1073"/>
      <c r="L45" s="1073">
        <f>E45</f>
        <v>23601.191428571427</v>
      </c>
      <c r="M45" s="1073">
        <f>E45-J45-L45-K45</f>
        <v>0</v>
      </c>
      <c r="N45" s="1073"/>
      <c r="O45" s="1073"/>
      <c r="P45" s="1073">
        <f>H45</f>
        <v>72143.134285714288</v>
      </c>
      <c r="Q45" s="541">
        <f>H45-N45-P45-O45</f>
        <v>0</v>
      </c>
      <c r="R45" s="541" t="s">
        <v>310</v>
      </c>
      <c r="S45" s="541"/>
      <c r="V45" s="1073">
        <v>0</v>
      </c>
      <c r="W45" s="1073"/>
      <c r="X45" s="1073"/>
      <c r="Y45" s="1073">
        <f>J45-V45-X45-W45</f>
        <v>0</v>
      </c>
      <c r="Z45" s="1073">
        <v>0</v>
      </c>
      <c r="AA45" s="1073"/>
      <c r="AB45" s="1073"/>
      <c r="AC45" s="541">
        <f>N45-Z45-AB45-AA45</f>
        <v>0</v>
      </c>
    </row>
    <row r="46" spans="1:29">
      <c r="B46" s="1073"/>
      <c r="C46" s="1073"/>
      <c r="D46" s="1073"/>
      <c r="E46" s="1073"/>
      <c r="F46" s="1073"/>
      <c r="G46" s="1073"/>
      <c r="H46" s="1073"/>
      <c r="J46" s="1073"/>
      <c r="K46" s="1073"/>
      <c r="L46" s="1073"/>
      <c r="M46" s="1073"/>
      <c r="N46" s="1073"/>
      <c r="O46" s="1073"/>
      <c r="P46" s="1073"/>
      <c r="V46" s="1073"/>
      <c r="W46" s="1073"/>
      <c r="X46" s="1073"/>
      <c r="Y46" s="1073"/>
      <c r="Z46" s="1073"/>
      <c r="AA46" s="1073"/>
      <c r="AB46" s="1073"/>
    </row>
    <row r="47" spans="1:29">
      <c r="A47" s="551" t="str">
        <f>'[50]2180 Summary'!A47</f>
        <v>Recycling Carts</v>
      </c>
      <c r="B47" s="1073">
        <f>'[50]2180 Summary'!B47</f>
        <v>3895081.9499999974</v>
      </c>
      <c r="C47" s="1073">
        <f>B47-D47</f>
        <v>0</v>
      </c>
      <c r="D47" s="1073">
        <f>'[50]2180 Summary'!D47</f>
        <v>3895081.9499999974</v>
      </c>
      <c r="E47" s="1073">
        <f>'[50]2180 Summary'!E47</f>
        <v>157752.72713659148</v>
      </c>
      <c r="F47" s="1073">
        <f>'[50]2180 Summary'!F47</f>
        <v>3149756.3185714278</v>
      </c>
      <c r="G47" s="1073">
        <f>'[50]2180 Summary'!G47</f>
        <v>3307509.0457080202</v>
      </c>
      <c r="H47" s="1073">
        <f>'[50]2180 Summary'!H47</f>
        <v>587572.90429197997</v>
      </c>
      <c r="J47" s="1073">
        <f>E47*('Ratios (C)'!$C$29+'Ratios (C)'!$D$29)</f>
        <v>117340.92729663567</v>
      </c>
      <c r="K47" s="1073">
        <f>E47*'Ratios (C)'!$E$29</f>
        <v>0</v>
      </c>
      <c r="L47" s="1073">
        <f>E47*'Ratios (C)'!$G$29</f>
        <v>40411.799839955806</v>
      </c>
      <c r="M47" s="1073">
        <f>E47-J47-L47-K47</f>
        <v>7.2759576141834259E-12</v>
      </c>
      <c r="N47" s="1073">
        <f>H47*('Ratios (C)'!$C$29+'Ratios (C)'!$D$29)</f>
        <v>437053.29660830862</v>
      </c>
      <c r="O47" s="1073">
        <f>H47*'Ratios (C)'!$E$29</f>
        <v>0</v>
      </c>
      <c r="P47" s="1073">
        <f>H47*'Ratios (C)'!$G$29</f>
        <v>150519.60768367135</v>
      </c>
      <c r="Q47" s="541">
        <f>H47-N47-P47-O47</f>
        <v>0</v>
      </c>
      <c r="R47" s="541" t="s">
        <v>2432</v>
      </c>
      <c r="S47" s="541"/>
      <c r="V47" s="1073"/>
      <c r="W47" s="1073">
        <f>J47</f>
        <v>117340.92729663567</v>
      </c>
      <c r="X47" s="1073"/>
      <c r="Y47" s="1073">
        <f>J47-V47-X47-W47</f>
        <v>0</v>
      </c>
      <c r="Z47" s="1073"/>
      <c r="AA47" s="1073">
        <f>N47</f>
        <v>437053.29660830862</v>
      </c>
      <c r="AB47" s="1073"/>
      <c r="AC47" s="541">
        <f>N47-Z47-AB47-AA47</f>
        <v>0</v>
      </c>
    </row>
    <row r="48" spans="1:29">
      <c r="B48" s="1073"/>
      <c r="C48" s="1073"/>
      <c r="D48" s="1073"/>
      <c r="E48" s="1073"/>
      <c r="F48" s="1073"/>
      <c r="G48" s="1073"/>
      <c r="H48" s="1073"/>
      <c r="J48" s="1073"/>
      <c r="K48" s="1073"/>
      <c r="L48" s="1073"/>
      <c r="M48" s="1073"/>
      <c r="N48" s="1073"/>
      <c r="O48" s="1073"/>
      <c r="P48" s="1073"/>
      <c r="V48" s="1073"/>
      <c r="W48" s="1073"/>
      <c r="X48" s="1073"/>
      <c r="Y48" s="1073"/>
      <c r="Z48" s="1073"/>
      <c r="AA48" s="1073"/>
      <c r="AB48" s="1073"/>
    </row>
    <row r="49" spans="1:29">
      <c r="A49" s="551" t="str">
        <f>'[50]2180 Summary'!A49</f>
        <v>Yard Waste</v>
      </c>
      <c r="B49" s="1073">
        <f>'[50]2180 Summary'!B49</f>
        <v>2042077.0599999998</v>
      </c>
      <c r="C49" s="1073">
        <f>B49-D49</f>
        <v>0</v>
      </c>
      <c r="D49" s="1073">
        <f>'[50]2180 Summary'!D49</f>
        <v>2042077.0599999998</v>
      </c>
      <c r="E49" s="1073">
        <f>'[50]2180 Summary'!E49</f>
        <v>172703.26285714284</v>
      </c>
      <c r="F49" s="1073">
        <f>'[50]2180 Summary'!F49</f>
        <v>1151873.0971428575</v>
      </c>
      <c r="G49" s="1073">
        <f>'[50]2180 Summary'!G49</f>
        <v>1324576.3599999999</v>
      </c>
      <c r="H49" s="1073">
        <f>'[50]2180 Summary'!H49</f>
        <v>717500.70000000019</v>
      </c>
      <c r="J49" s="1073">
        <f>E49*('Ratios (C)'!$C$24+'Ratios (C)'!$D$24)</f>
        <v>120861.61622579151</v>
      </c>
      <c r="K49" s="1073">
        <f>E49*'Ratios (C)'!$F$24</f>
        <v>203.42328856527629</v>
      </c>
      <c r="L49" s="1073">
        <f>E49*'Ratios (C)'!$G$24</f>
        <v>51638.223342786077</v>
      </c>
      <c r="M49" s="1073">
        <f>E49-J49-L49-K49</f>
        <v>-3.0837554731988348E-11</v>
      </c>
      <c r="N49" s="1073">
        <f>H49*('Ratios (C)'!$C$24+'Ratios (C)'!$D$24)</f>
        <v>502123.07984516001</v>
      </c>
      <c r="O49" s="1073">
        <f>H49*'Ratios (C)'!$F$24</f>
        <v>845.12793520653031</v>
      </c>
      <c r="P49" s="1073">
        <f>H49*'Ratios (C)'!$G$24</f>
        <v>214532.49221963377</v>
      </c>
      <c r="Q49" s="541">
        <f>H49-N49-P49-O49</f>
        <v>-1.2914824765175581E-10</v>
      </c>
      <c r="R49" s="541" t="s">
        <v>2433</v>
      </c>
      <c r="S49" s="541"/>
      <c r="V49" s="1073"/>
      <c r="W49" s="1073"/>
      <c r="X49" s="1073">
        <f>J49</f>
        <v>120861.61622579151</v>
      </c>
      <c r="Y49" s="1073">
        <f>J49-V49-X49-W49</f>
        <v>0</v>
      </c>
      <c r="Z49" s="1073"/>
      <c r="AA49" s="1073"/>
      <c r="AB49" s="1073">
        <f>N49</f>
        <v>502123.07984516001</v>
      </c>
      <c r="AC49" s="541">
        <f>N49-Z49-AB49-AA49</f>
        <v>0</v>
      </c>
    </row>
    <row r="50" spans="1:29">
      <c r="B50" s="1073"/>
      <c r="C50" s="1073"/>
      <c r="D50" s="1073"/>
      <c r="E50" s="1073"/>
      <c r="F50" s="1073"/>
      <c r="G50" s="1073"/>
      <c r="H50" s="1073"/>
      <c r="J50" s="1073"/>
      <c r="K50" s="1073"/>
      <c r="L50" s="1073"/>
      <c r="M50" s="1073"/>
      <c r="N50" s="1073"/>
      <c r="O50" s="1073"/>
      <c r="P50" s="1073"/>
      <c r="V50" s="1073"/>
      <c r="W50" s="1073"/>
      <c r="X50" s="1073"/>
      <c r="Y50" s="1073"/>
      <c r="Z50" s="1073"/>
      <c r="AA50" s="1073"/>
      <c r="AB50" s="1073"/>
    </row>
    <row r="51" spans="1:29">
      <c r="A51" s="551" t="str">
        <f>'[50]2180 Summary'!A51</f>
        <v>Recycle Containers</v>
      </c>
      <c r="B51" s="1073">
        <f>'[50]2180 Summary'!B51</f>
        <v>449752.70000000007</v>
      </c>
      <c r="C51" s="1073">
        <f>B51-D51</f>
        <v>0</v>
      </c>
      <c r="D51" s="1073">
        <f>'[50]2180 Summary'!D51</f>
        <v>449752.70000000007</v>
      </c>
      <c r="E51" s="1073">
        <f>'[50]2180 Summary'!E51</f>
        <v>1784.3200000000002</v>
      </c>
      <c r="F51" s="1073">
        <f>'[50]2180 Summary'!F51</f>
        <v>440831.10000000003</v>
      </c>
      <c r="G51" s="1073">
        <f>'[50]2180 Summary'!G51</f>
        <v>442615.42000000004</v>
      </c>
      <c r="H51" s="1073">
        <f>'[50]2180 Summary'!H51</f>
        <v>7137.2800000000007</v>
      </c>
      <c r="J51" s="1073"/>
      <c r="K51" s="1073"/>
      <c r="L51" s="1073">
        <f>E51</f>
        <v>1784.3200000000002</v>
      </c>
      <c r="M51" s="1073">
        <f>E51-J51-L51-K51</f>
        <v>0</v>
      </c>
      <c r="N51" s="1073"/>
      <c r="O51" s="1073"/>
      <c r="P51" s="1073">
        <f>H51</f>
        <v>7137.2800000000007</v>
      </c>
      <c r="Q51" s="541">
        <f>H51-N51-P51-O51</f>
        <v>0</v>
      </c>
      <c r="R51" s="541" t="s">
        <v>310</v>
      </c>
      <c r="S51" s="541"/>
      <c r="V51" s="1073"/>
      <c r="W51" s="1073"/>
      <c r="X51" s="1073"/>
      <c r="Y51" s="1073">
        <f>J51-V51-X51-W51</f>
        <v>0</v>
      </c>
      <c r="Z51" s="1073"/>
      <c r="AA51" s="1073"/>
      <c r="AB51" s="1073"/>
      <c r="AC51" s="541">
        <f>N51-Z51-AB51-AA51</f>
        <v>0</v>
      </c>
    </row>
    <row r="52" spans="1:29">
      <c r="B52" s="1073"/>
      <c r="C52" s="1073"/>
      <c r="D52" s="1073"/>
      <c r="E52" s="1073"/>
      <c r="F52" s="1073"/>
      <c r="G52" s="1073"/>
      <c r="H52" s="1073"/>
      <c r="J52" s="1073"/>
      <c r="K52" s="1073"/>
      <c r="L52" s="1073"/>
      <c r="M52" s="1073"/>
      <c r="N52" s="1073"/>
      <c r="O52" s="1073"/>
      <c r="P52" s="1073"/>
      <c r="V52" s="1073"/>
      <c r="W52" s="1073"/>
      <c r="X52" s="1073"/>
      <c r="Y52" s="1073"/>
      <c r="Z52" s="1073"/>
      <c r="AA52" s="1073"/>
      <c r="AB52" s="1073"/>
    </row>
    <row r="53" spans="1:29">
      <c r="A53" s="551" t="str">
        <f>'[50]2180 Summary'!A53</f>
        <v>Recycle Drop Boxes</v>
      </c>
      <c r="B53" s="1073">
        <f>'[50]2180 Summary'!B53</f>
        <v>247823.08</v>
      </c>
      <c r="C53" s="1073">
        <f>B53-D53</f>
        <v>0</v>
      </c>
      <c r="D53" s="1073">
        <f>'[50]2180 Summary'!D53</f>
        <v>247823.08</v>
      </c>
      <c r="E53" s="1073">
        <f>'[50]2180 Summary'!E53</f>
        <v>0</v>
      </c>
      <c r="F53" s="1073">
        <f>'[50]2180 Summary'!F53</f>
        <v>247823.08</v>
      </c>
      <c r="G53" s="1073">
        <f>'[50]2180 Summary'!G53</f>
        <v>247823.08</v>
      </c>
      <c r="H53" s="1073">
        <f>'[50]2180 Summary'!H53</f>
        <v>0</v>
      </c>
      <c r="J53" s="1073"/>
      <c r="K53" s="1073"/>
      <c r="L53" s="1073">
        <f>E53</f>
        <v>0</v>
      </c>
      <c r="M53" s="1073">
        <f>E53-J53-L53-K53</f>
        <v>0</v>
      </c>
      <c r="N53" s="1073"/>
      <c r="O53" s="1073"/>
      <c r="P53" s="1073"/>
      <c r="Q53" s="541">
        <f>H53-N53-P53-O53</f>
        <v>0</v>
      </c>
      <c r="R53" s="541" t="s">
        <v>310</v>
      </c>
      <c r="S53" s="541"/>
      <c r="V53" s="1073"/>
      <c r="W53" s="1073"/>
      <c r="X53" s="1073"/>
      <c r="Y53" s="1073">
        <f>J53-V53-X53-W53</f>
        <v>0</v>
      </c>
      <c r="Z53" s="1073"/>
      <c r="AA53" s="1073"/>
      <c r="AB53" s="1073"/>
      <c r="AC53" s="541">
        <f>N53-Z53-AB53-AA53</f>
        <v>0</v>
      </c>
    </row>
    <row r="54" spans="1:29">
      <c r="B54" s="1073"/>
      <c r="C54" s="1073"/>
      <c r="D54" s="1073"/>
      <c r="E54" s="1073"/>
      <c r="F54" s="1073"/>
      <c r="G54" s="1073"/>
      <c r="H54" s="1073"/>
      <c r="J54" s="1073"/>
      <c r="K54" s="1073"/>
      <c r="L54" s="1073"/>
      <c r="M54" s="1073"/>
      <c r="N54" s="1073"/>
      <c r="O54" s="1073"/>
      <c r="P54" s="1073"/>
      <c r="V54" s="1073"/>
      <c r="W54" s="1073"/>
      <c r="X54" s="1073"/>
      <c r="Y54" s="1073"/>
      <c r="Z54" s="1073"/>
      <c r="AA54" s="1073"/>
      <c r="AB54" s="1073"/>
    </row>
    <row r="55" spans="1:29">
      <c r="A55" s="1074" t="s">
        <v>2406</v>
      </c>
      <c r="B55" s="1075">
        <f>SUM(B37:B54)</f>
        <v>16610512.108666662</v>
      </c>
      <c r="C55" s="1075">
        <f t="shared" ref="C55:P55" si="7">SUM(C37:C54)</f>
        <v>0</v>
      </c>
      <c r="D55" s="1075">
        <f t="shared" si="7"/>
        <v>16610512.108666662</v>
      </c>
      <c r="E55" s="1075">
        <f t="shared" si="7"/>
        <v>1003851.7603926809</v>
      </c>
      <c r="F55" s="1075">
        <f t="shared" si="7"/>
        <v>10818987.591809522</v>
      </c>
      <c r="G55" s="1075">
        <f t="shared" si="7"/>
        <v>11822839.352202203</v>
      </c>
      <c r="H55" s="1075">
        <f t="shared" si="7"/>
        <v>4787672.7564644637</v>
      </c>
      <c r="J55" s="1075">
        <f>SUM(J37:J54)</f>
        <v>638450.48062266468</v>
      </c>
      <c r="K55" s="1075">
        <f t="shared" si="7"/>
        <v>89919.692136571553</v>
      </c>
      <c r="L55" s="1075">
        <f t="shared" si="7"/>
        <v>275481.58763344469</v>
      </c>
      <c r="M55" s="1073"/>
      <c r="N55" s="1075">
        <f t="shared" si="7"/>
        <v>2912327.7850584127</v>
      </c>
      <c r="O55" s="1075">
        <f t="shared" si="7"/>
        <v>569375.78239065013</v>
      </c>
      <c r="P55" s="1075">
        <f t="shared" si="7"/>
        <v>1305969.1890153999</v>
      </c>
      <c r="V55" s="1075">
        <f t="shared" ref="V55:X55" si="8">SUM(V37:V54)</f>
        <v>400247.93710023753</v>
      </c>
      <c r="W55" s="1075">
        <f t="shared" si="8"/>
        <v>117340.92729663567</v>
      </c>
      <c r="X55" s="1075">
        <f t="shared" si="8"/>
        <v>120861.61622579151</v>
      </c>
      <c r="Y55" s="1073">
        <f>J55-V55-X55-W55</f>
        <v>0</v>
      </c>
      <c r="Z55" s="1075">
        <f t="shared" ref="Z55:AB55" si="9">SUM(Z37:Z54)</f>
        <v>1973151.4086049441</v>
      </c>
      <c r="AA55" s="1075">
        <f t="shared" si="9"/>
        <v>437053.29660830862</v>
      </c>
      <c r="AB55" s="1075">
        <f t="shared" si="9"/>
        <v>502123.07984516001</v>
      </c>
      <c r="AC55" s="541">
        <f>N55-Z55-AB55-AA55</f>
        <v>0</v>
      </c>
    </row>
    <row r="56" spans="1:29">
      <c r="B56" s="1073"/>
      <c r="C56" s="1073"/>
      <c r="D56" s="1073"/>
      <c r="E56" s="1073"/>
      <c r="F56" s="1073"/>
      <c r="G56" s="1073"/>
      <c r="H56" s="1073"/>
      <c r="J56" s="1073"/>
      <c r="K56" s="1073"/>
      <c r="L56" s="1073"/>
      <c r="M56" s="1073"/>
      <c r="N56" s="1073"/>
      <c r="O56" s="1073"/>
      <c r="P56" s="1073"/>
      <c r="V56" s="1073"/>
      <c r="W56" s="1073"/>
      <c r="X56" s="1073"/>
      <c r="Y56" s="1073"/>
      <c r="Z56" s="1073"/>
      <c r="AA56" s="1073"/>
      <c r="AB56" s="1073"/>
    </row>
    <row r="57" spans="1:29">
      <c r="B57" s="1073"/>
      <c r="C57" s="1073"/>
      <c r="D57" s="1073"/>
      <c r="E57" s="1073"/>
      <c r="F57" s="1073"/>
      <c r="G57" s="1073"/>
      <c r="H57" s="1073"/>
      <c r="J57" s="1073"/>
      <c r="K57" s="1073"/>
      <c r="L57" s="1073"/>
      <c r="M57" s="1073"/>
      <c r="N57" s="1073"/>
      <c r="O57" s="1073"/>
      <c r="P57" s="1073"/>
      <c r="V57" s="1073"/>
      <c r="W57" s="1073"/>
      <c r="X57" s="1073"/>
      <c r="Y57" s="1073"/>
      <c r="Z57" s="1073"/>
      <c r="AA57" s="1073"/>
      <c r="AB57" s="1073"/>
    </row>
    <row r="58" spans="1:29">
      <c r="A58" s="1072" t="s">
        <v>2399</v>
      </c>
      <c r="B58" s="1073"/>
      <c r="C58" s="1073"/>
      <c r="D58" s="1073"/>
      <c r="E58" s="1073"/>
      <c r="F58" s="1073"/>
      <c r="G58" s="1073"/>
      <c r="H58" s="1073"/>
      <c r="J58" s="1073"/>
      <c r="K58" s="1073"/>
      <c r="L58" s="1073"/>
      <c r="M58" s="1073"/>
      <c r="N58" s="1073"/>
      <c r="O58" s="1073"/>
      <c r="P58" s="1073"/>
      <c r="V58" s="1073"/>
      <c r="W58" s="1073"/>
      <c r="X58" s="1073"/>
      <c r="Y58" s="1073"/>
      <c r="Z58" s="1073"/>
      <c r="AA58" s="1073"/>
      <c r="AB58" s="1073"/>
    </row>
    <row r="59" spans="1:29">
      <c r="B59" s="1073"/>
      <c r="C59" s="1073"/>
      <c r="D59" s="1073"/>
      <c r="E59" s="1073"/>
      <c r="F59" s="1073"/>
      <c r="G59" s="1073"/>
      <c r="H59" s="1073"/>
      <c r="J59" s="1073"/>
      <c r="K59" s="1073"/>
      <c r="L59" s="1073"/>
      <c r="M59" s="1073"/>
      <c r="N59" s="1073"/>
      <c r="O59" s="1073"/>
      <c r="P59" s="1073"/>
      <c r="V59" s="1073"/>
      <c r="W59" s="1073"/>
      <c r="X59" s="1073"/>
      <c r="Y59" s="1073"/>
      <c r="Z59" s="1073"/>
      <c r="AA59" s="1073"/>
      <c r="AB59" s="1073"/>
    </row>
    <row r="60" spans="1:29">
      <c r="A60" s="551" t="s">
        <v>2407</v>
      </c>
      <c r="B60" s="1073">
        <f>'[50]2180 Other'!N40</f>
        <v>447124.56000000006</v>
      </c>
      <c r="C60" s="1073">
        <f>B60-D60</f>
        <v>10512.166335000016</v>
      </c>
      <c r="D60" s="1073">
        <f>'[50]2180 Other'!O40</f>
        <v>436612.39366500004</v>
      </c>
      <c r="E60" s="1073">
        <f>'[50]2180 Other'!R40</f>
        <v>26781.072499999995</v>
      </c>
      <c r="F60" s="1073">
        <f>'[50]2180 Other'!S40</f>
        <v>393996.255</v>
      </c>
      <c r="G60" s="1073">
        <f>'[50]2180 Other'!T40</f>
        <v>420777.32749999996</v>
      </c>
      <c r="H60" s="1073">
        <f>'[50]2180 Other'!U40</f>
        <v>26347.232500000002</v>
      </c>
      <c r="J60" s="1073">
        <f>E60*('Ratios (C)'!$C$53+'Ratios (C)'!$D$53)</f>
        <v>15322.743730766577</v>
      </c>
      <c r="K60" s="1073">
        <f>E60*('Ratios (C)'!$E$53+'Ratios (C)'!$F$53)</f>
        <v>2335.3430232685819</v>
      </c>
      <c r="L60" s="1073">
        <f>E60*'Ratios (C)'!$G$53</f>
        <v>9122.9857459648374</v>
      </c>
      <c r="M60" s="1073">
        <f>E60-J60-L60-K60</f>
        <v>0</v>
      </c>
      <c r="N60" s="1073">
        <f>H60*('Ratios (C)'!$C$53+'Ratios (C)'!$D$53)</f>
        <v>15074.522934524915</v>
      </c>
      <c r="O60" s="1073">
        <f>H60*('Ratios (C)'!$E$53+'Ratios (C)'!$F$53)</f>
        <v>2297.5116325647618</v>
      </c>
      <c r="P60" s="1073">
        <f>H60*'Ratios (C)'!$G$53</f>
        <v>8975.1979329103251</v>
      </c>
      <c r="Q60" s="541">
        <f>H60-N60-P60-O60</f>
        <v>0</v>
      </c>
      <c r="R60" s="541" t="s">
        <v>2434</v>
      </c>
      <c r="S60" s="541"/>
      <c r="V60" s="1073">
        <f>$J$60*'Ratios (C)'!$P$36</f>
        <v>10387.185921389109</v>
      </c>
      <c r="W60" s="1073">
        <f>$J$60*'Ratios (C)'!$Q$36</f>
        <v>3369.7852461443276</v>
      </c>
      <c r="X60" s="1073">
        <f>$J$60*'Ratios (C)'!$R$36</f>
        <v>1565.7725632331408</v>
      </c>
      <c r="Y60" s="1073">
        <f>J60-V60-X60-W60</f>
        <v>0</v>
      </c>
      <c r="Z60" s="1073">
        <f>$N$60*'Ratios (C)'!$P$36</f>
        <v>10218.918696835823</v>
      </c>
      <c r="AA60" s="1073">
        <f>$N$60*'Ratios (C)'!$Q$36</f>
        <v>3315.1964080316184</v>
      </c>
      <c r="AB60" s="1073">
        <f>$N$60*'Ratios (C)'!$R$36</f>
        <v>1540.4078296574764</v>
      </c>
      <c r="AC60" s="541">
        <f>N60-Z60-AB60-AA60</f>
        <v>0</v>
      </c>
    </row>
    <row r="61" spans="1:29">
      <c r="B61" s="1073"/>
      <c r="C61" s="1073"/>
      <c r="D61" s="1073"/>
      <c r="E61" s="1073"/>
      <c r="F61" s="1073"/>
      <c r="G61" s="1073"/>
      <c r="H61" s="1073"/>
      <c r="J61" s="1073"/>
      <c r="K61" s="1073"/>
      <c r="L61" s="1073"/>
      <c r="M61" s="1073"/>
      <c r="N61" s="1073"/>
      <c r="O61" s="1073"/>
      <c r="P61" s="1073"/>
      <c r="V61" s="1073"/>
      <c r="W61" s="1073"/>
      <c r="X61" s="1073"/>
      <c r="Y61" s="1073"/>
      <c r="Z61" s="1073"/>
      <c r="AA61" s="1073"/>
      <c r="AB61" s="1073"/>
    </row>
    <row r="62" spans="1:29">
      <c r="A62" s="551" t="s">
        <v>2408</v>
      </c>
      <c r="B62" s="1073">
        <f>'[50]2180 Other'!N60</f>
        <v>332036.98</v>
      </c>
      <c r="C62" s="1073">
        <f>B62-D62</f>
        <v>0</v>
      </c>
      <c r="D62" s="1073">
        <f>'[50]2180 Other'!O60</f>
        <v>332036.98</v>
      </c>
      <c r="E62" s="1073">
        <f>'[50]2180 Other'!R60</f>
        <v>30074.705809523806</v>
      </c>
      <c r="F62" s="1073">
        <f>'[50]2180 Other'!S60</f>
        <v>180484.48809523811</v>
      </c>
      <c r="G62" s="1073">
        <f>'[50]2180 Other'!T60</f>
        <v>210559.19390476192</v>
      </c>
      <c r="H62" s="1073">
        <f>'[50]2180 Other'!U60</f>
        <v>121477.78609523809</v>
      </c>
      <c r="J62" s="1073">
        <f>E62*('Ratios (C)'!$C$53+'Ratios (C)'!$D$53)</f>
        <v>17207.190260865398</v>
      </c>
      <c r="K62" s="1073">
        <f>E62*('Ratios (C)'!$E$53+'Ratios (C)'!$F$53)</f>
        <v>2622.5519679664253</v>
      </c>
      <c r="L62" s="1073">
        <f>E62*'Ratios (C)'!$G$53</f>
        <v>10244.963580691983</v>
      </c>
      <c r="M62" s="1073">
        <f>E62-J62-L62-K62</f>
        <v>0</v>
      </c>
      <c r="N62" s="1073">
        <f>H62*('Ratios (C)'!$C$53+'Ratios (C)'!$D$53)</f>
        <v>69503.302577527953</v>
      </c>
      <c r="O62" s="1073">
        <f>H62*('Ratios (C)'!$E$53+'Ratios (C)'!$F$53)</f>
        <v>10593.014907809516</v>
      </c>
      <c r="P62" s="1073">
        <f>H62*'Ratios (C)'!$G$53</f>
        <v>41381.468609900621</v>
      </c>
      <c r="Q62" s="541">
        <f>H62-N62-P62-O62</f>
        <v>0</v>
      </c>
      <c r="R62" s="541" t="s">
        <v>2434</v>
      </c>
      <c r="S62" s="541"/>
      <c r="V62" s="1073">
        <f>$J$62*'Ratios (C)'!$P$36</f>
        <v>11664.639673209691</v>
      </c>
      <c r="W62" s="1073">
        <f>$J$62*'Ratios (C)'!$Q$36</f>
        <v>3784.2136426412512</v>
      </c>
      <c r="X62" s="1073">
        <f>$J$62*'Ratios (C)'!$R$36</f>
        <v>1758.3369450144587</v>
      </c>
      <c r="Y62" s="1073">
        <f>J62-V62-X62-W62</f>
        <v>0</v>
      </c>
      <c r="Z62" s="1073">
        <f>$N$62*'Ratios (C)'!$P$36</f>
        <v>47115.825906149767</v>
      </c>
      <c r="AA62" s="1073">
        <f>$N$62*'Ratios (C)'!$Q$36</f>
        <v>15285.20007247693</v>
      </c>
      <c r="AB62" s="1073">
        <f>$N$62*'Ratios (C)'!$R$36</f>
        <v>7102.2765989012642</v>
      </c>
      <c r="AC62" s="541">
        <f>N62-Z62-AB62-AA62</f>
        <v>0</v>
      </c>
    </row>
    <row r="63" spans="1:29">
      <c r="B63" s="1073"/>
      <c r="C63" s="1073"/>
      <c r="D63" s="1073"/>
      <c r="E63" s="1073"/>
      <c r="F63" s="1073"/>
      <c r="G63" s="1073"/>
      <c r="H63" s="1073"/>
      <c r="J63" s="1073"/>
      <c r="K63" s="1073"/>
      <c r="L63" s="1073"/>
      <c r="M63" s="1073"/>
      <c r="N63" s="1073"/>
      <c r="O63" s="1073"/>
      <c r="P63" s="1073"/>
      <c r="V63" s="1073"/>
      <c r="W63" s="1073"/>
      <c r="X63" s="1073"/>
      <c r="Y63" s="1073"/>
      <c r="Z63" s="1073"/>
      <c r="AA63" s="1073"/>
      <c r="AB63" s="1073"/>
    </row>
    <row r="64" spans="1:29">
      <c r="A64" s="551" t="s">
        <v>2409</v>
      </c>
      <c r="B64" s="1073">
        <f>'[50]2180 Other'!N110</f>
        <v>1042624.0400000004</v>
      </c>
      <c r="C64" s="1073">
        <f>B64-D64</f>
        <v>0</v>
      </c>
      <c r="D64" s="1073">
        <f>'[50]2180 Other'!O110</f>
        <v>1042624.0400000004</v>
      </c>
      <c r="E64" s="1073">
        <f>'[50]2180 Other'!R110</f>
        <v>38023.9015</v>
      </c>
      <c r="F64" s="1073">
        <f>'[50]2180 Other'!S110</f>
        <v>940500.42466666689</v>
      </c>
      <c r="G64" s="1073">
        <f>'[50]2180 Other'!T110</f>
        <v>978524.32616666728</v>
      </c>
      <c r="H64" s="1073">
        <f>'[50]2180 Other'!U110</f>
        <v>64099.713833333335</v>
      </c>
      <c r="J64" s="1073">
        <f>E64*('Ratios (C)'!$C$53+'Ratios (C)'!$D$53)</f>
        <v>21755.30865421506</v>
      </c>
      <c r="K64" s="1073">
        <f>E64*('Ratios (C)'!$E$53+'Ratios (C)'!$F$53)</f>
        <v>3315.7317760697142</v>
      </c>
      <c r="L64" s="1073">
        <f>E64*'Ratios (C)'!$G$53</f>
        <v>12952.861069715227</v>
      </c>
      <c r="M64" s="1073">
        <f>E64-J64-L64-K64</f>
        <v>0</v>
      </c>
      <c r="N64" s="1073">
        <f>H64*('Ratios (C)'!$C$21+'Ratios (C)'!$D$21)</f>
        <v>46469.379949166476</v>
      </c>
      <c r="O64" s="1073">
        <f>H64*('Ratios (C)'!$E$21+'Ratios (C)'!$F$21)</f>
        <v>386.38191833823242</v>
      </c>
      <c r="P64" s="1073">
        <f>H64*'Ratios (C)'!$G$21</f>
        <v>17243.951965828623</v>
      </c>
      <c r="Q64" s="541">
        <f>H64-N64-P64-O64</f>
        <v>4.1495695768389851E-12</v>
      </c>
      <c r="R64" s="541" t="s">
        <v>928</v>
      </c>
      <c r="S64" s="541"/>
      <c r="V64" s="1073">
        <f>J64*'Ratios (C)'!$P$6</f>
        <v>9204.5563680345167</v>
      </c>
      <c r="W64" s="1073">
        <f>J64*'Ratios (C)'!$Q$6</f>
        <v>8636.4228498824523</v>
      </c>
      <c r="X64" s="1073">
        <f>J64*'Ratios (C)'!$R$6</f>
        <v>3914.3294362980896</v>
      </c>
      <c r="Y64" s="1073">
        <f>SUM(V64:X64)-J64</f>
        <v>0</v>
      </c>
      <c r="Z64" s="1073">
        <f>N64*'Ratios (C)'!$P$6</f>
        <v>19660.949606745464</v>
      </c>
      <c r="AA64" s="1073">
        <f>N64*'Ratios (C)'!$Q$6</f>
        <v>18447.415350050382</v>
      </c>
      <c r="AB64" s="1073">
        <f>N64*'Ratios (C)'!$R$6</f>
        <v>8361.0149923706267</v>
      </c>
      <c r="AC64" s="541">
        <f>SUM(Z64:AB64)-N64</f>
        <v>0</v>
      </c>
    </row>
    <row r="65" spans="1:29">
      <c r="B65" s="1073"/>
      <c r="C65" s="1073"/>
      <c r="D65" s="1073"/>
      <c r="E65" s="1073"/>
      <c r="F65" s="1073"/>
      <c r="G65" s="1073"/>
      <c r="H65" s="1073"/>
      <c r="J65" s="1073"/>
      <c r="K65" s="1073"/>
      <c r="L65" s="1073"/>
      <c r="M65" s="1073"/>
      <c r="N65" s="1073"/>
      <c r="O65" s="1073"/>
      <c r="P65" s="1073"/>
      <c r="V65" s="1073"/>
      <c r="W65" s="1073"/>
      <c r="X65" s="1073"/>
      <c r="Y65" s="1073"/>
      <c r="Z65" s="1073"/>
      <c r="AA65" s="1073"/>
      <c r="AB65" s="1073"/>
    </row>
    <row r="66" spans="1:29">
      <c r="A66" s="1074" t="s">
        <v>2410</v>
      </c>
      <c r="B66" s="1075">
        <f>SUM(B60:B65)</f>
        <v>1821785.5800000005</v>
      </c>
      <c r="C66" s="1075">
        <f t="shared" ref="C66:P66" si="10">SUM(C60:C65)</f>
        <v>10512.166335000016</v>
      </c>
      <c r="D66" s="1075">
        <f t="shared" si="10"/>
        <v>1811273.4136650003</v>
      </c>
      <c r="E66" s="1075">
        <f t="shared" si="10"/>
        <v>94879.679809523805</v>
      </c>
      <c r="F66" s="1075">
        <f t="shared" si="10"/>
        <v>1514981.1677619051</v>
      </c>
      <c r="G66" s="1075">
        <f t="shared" si="10"/>
        <v>1609860.8475714291</v>
      </c>
      <c r="H66" s="1075">
        <f t="shared" si="10"/>
        <v>211924.73242857144</v>
      </c>
      <c r="J66" s="1075">
        <f t="shared" si="10"/>
        <v>54285.242645847029</v>
      </c>
      <c r="K66" s="1075">
        <f t="shared" si="10"/>
        <v>8273.6267673047223</v>
      </c>
      <c r="L66" s="1075">
        <f t="shared" si="10"/>
        <v>32320.81039637205</v>
      </c>
      <c r="M66" s="1073"/>
      <c r="N66" s="1075">
        <f t="shared" si="10"/>
        <v>131047.20546121933</v>
      </c>
      <c r="O66" s="1075">
        <f t="shared" si="10"/>
        <v>13276.908458712511</v>
      </c>
      <c r="P66" s="1075">
        <f t="shared" si="10"/>
        <v>67600.618508639571</v>
      </c>
      <c r="V66" s="1075">
        <f>SUM(V60:V65)</f>
        <v>31256.381962633313</v>
      </c>
      <c r="W66" s="1075">
        <f t="shared" ref="W66:X66" si="11">SUM(W60:W65)</f>
        <v>15790.421738668032</v>
      </c>
      <c r="X66" s="1075">
        <f t="shared" si="11"/>
        <v>7238.4389445456891</v>
      </c>
      <c r="Y66" s="1073"/>
      <c r="Z66" s="1075">
        <f>SUM(Z60:Z65)</f>
        <v>76995.694209731053</v>
      </c>
      <c r="AA66" s="1075">
        <f t="shared" ref="AA66:AB66" si="12">SUM(AA60:AA65)</f>
        <v>37047.811830558931</v>
      </c>
      <c r="AB66" s="1075">
        <f t="shared" si="12"/>
        <v>17003.69942092937</v>
      </c>
    </row>
    <row r="67" spans="1:29">
      <c r="B67" s="1073"/>
      <c r="C67" s="1073"/>
      <c r="D67" s="1073"/>
      <c r="E67" s="1073"/>
      <c r="F67" s="1073"/>
      <c r="G67" s="1073"/>
      <c r="H67" s="1073"/>
      <c r="J67" s="1073"/>
      <c r="K67" s="1073"/>
      <c r="L67" s="1073"/>
      <c r="M67" s="1073"/>
      <c r="N67" s="1073"/>
      <c r="O67" s="1073"/>
      <c r="P67" s="1073"/>
      <c r="V67" s="1073"/>
      <c r="W67" s="1073"/>
      <c r="X67" s="1073"/>
      <c r="Y67" s="1073"/>
      <c r="Z67" s="1073"/>
      <c r="AA67" s="1073"/>
      <c r="AB67" s="1073"/>
    </row>
    <row r="68" spans="1:29">
      <c r="A68" s="1072" t="s">
        <v>2411</v>
      </c>
      <c r="B68" s="1073"/>
      <c r="C68" s="1073"/>
      <c r="D68" s="1073"/>
      <c r="E68" s="1073"/>
      <c r="F68" s="1073"/>
      <c r="G68" s="1073"/>
      <c r="H68" s="1073"/>
      <c r="J68" s="1073"/>
      <c r="K68" s="1073"/>
      <c r="L68" s="1073"/>
      <c r="M68" s="1073"/>
      <c r="N68" s="1073"/>
      <c r="O68" s="1073"/>
      <c r="P68" s="1073"/>
      <c r="V68" s="1073"/>
      <c r="W68" s="1073"/>
      <c r="X68" s="1073"/>
      <c r="Y68" s="1073"/>
      <c r="Z68" s="1073"/>
      <c r="AA68" s="1073"/>
      <c r="AB68" s="1073"/>
    </row>
    <row r="69" spans="1:29">
      <c r="B69" s="1073"/>
      <c r="C69" s="1073"/>
      <c r="D69" s="1073"/>
      <c r="E69" s="1073"/>
      <c r="F69" s="1073"/>
      <c r="G69" s="1073"/>
      <c r="H69" s="1073"/>
      <c r="J69" s="1073"/>
      <c r="K69" s="1073"/>
      <c r="L69" s="1073"/>
      <c r="M69" s="1073"/>
      <c r="N69" s="1073"/>
      <c r="O69" s="1073"/>
      <c r="P69" s="1073"/>
      <c r="V69" s="1073"/>
      <c r="W69" s="1073"/>
      <c r="X69" s="1073"/>
      <c r="Y69" s="1073"/>
      <c r="Z69" s="1073"/>
      <c r="AA69" s="1073"/>
      <c r="AB69" s="1073"/>
    </row>
    <row r="70" spans="1:29">
      <c r="A70" s="551" t="s">
        <v>2412</v>
      </c>
      <c r="B70" s="1073">
        <f>'[50]2180 Other'!N124</f>
        <v>547397.72000000009</v>
      </c>
      <c r="C70" s="1073">
        <f>B70-D70</f>
        <v>0</v>
      </c>
      <c r="D70" s="1073">
        <f>'[50]2180 Other'!O124</f>
        <v>547397.72000000009</v>
      </c>
      <c r="E70" s="1073">
        <f>'[50]2180 Other'!R124</f>
        <v>29718.06615751921</v>
      </c>
      <c r="F70" s="1073">
        <f>'[50]2180 Other'!S124</f>
        <v>282599.03350000002</v>
      </c>
      <c r="G70" s="1073">
        <f>'[50]2180 Other'!T124</f>
        <v>312317.09965751925</v>
      </c>
      <c r="H70" s="1073">
        <f>'[50]2180 Other'!U124</f>
        <v>235080.62034248078</v>
      </c>
      <c r="J70" s="1073">
        <f>E70*('Ratios (C)'!$C$53+'Ratios (C)'!$D$53)</f>
        <v>17003.139508532899</v>
      </c>
      <c r="K70" s="1073">
        <f>E70*('Ratios (C)'!$E$53+'Ratios (C)'!$F$53)</f>
        <v>2591.4525441800979</v>
      </c>
      <c r="L70" s="1073">
        <f>E70*'Ratios (C)'!$G$53</f>
        <v>10123.474104806215</v>
      </c>
      <c r="M70" s="1073">
        <f>E70-J70-L70-K70</f>
        <v>0</v>
      </c>
      <c r="N70" s="1073">
        <f>H70*('Ratios (C)'!$C$53+'Ratios (C)'!$D$53)</f>
        <v>134500.96524616278</v>
      </c>
      <c r="O70" s="1073">
        <f>H70*('Ratios (C)'!$E$53+'Ratios (C)'!$F$53)</f>
        <v>20499.324163453977</v>
      </c>
      <c r="P70" s="1073">
        <f>H70*'Ratios (C)'!$G$53</f>
        <v>80080.330932864032</v>
      </c>
      <c r="Q70" s="541">
        <f>H70-N70-P70-O70</f>
        <v>0</v>
      </c>
      <c r="R70" s="541" t="s">
        <v>2434</v>
      </c>
      <c r="S70" s="541"/>
      <c r="V70" s="1073">
        <f>$J$70*'Ratios (C)'!$P$36</f>
        <v>11526.315027237753</v>
      </c>
      <c r="W70" s="1073">
        <f>$J$70*'Ratios (C)'!$Q$36</f>
        <v>3739.3387020459804</v>
      </c>
      <c r="X70" s="1073">
        <f>$J$70*'Ratios (C)'!$R$36</f>
        <v>1737.4857792491664</v>
      </c>
      <c r="Y70" s="1073">
        <f>J70-V70-X70-W70</f>
        <v>0</v>
      </c>
      <c r="Z70" s="1073">
        <f>$N$70*'Ratios (C)'!$P$36</f>
        <v>91177.308526864828</v>
      </c>
      <c r="AA70" s="1073">
        <f>$N$70*'Ratios (C)'!$Q$36</f>
        <v>29579.517627031102</v>
      </c>
      <c r="AB70" s="1073">
        <f>$N$70*'Ratios (C)'!$R$36</f>
        <v>13744.139092266863</v>
      </c>
      <c r="AC70" s="541">
        <f>N70-Z70-AB70-AA70</f>
        <v>0</v>
      </c>
    </row>
    <row r="71" spans="1:29">
      <c r="B71" s="1073"/>
      <c r="C71" s="1073"/>
      <c r="D71" s="1073"/>
      <c r="E71" s="1073"/>
      <c r="F71" s="1073"/>
      <c r="G71" s="1073"/>
      <c r="H71" s="1073"/>
      <c r="J71" s="1073"/>
      <c r="K71" s="1073"/>
      <c r="L71" s="1073"/>
      <c r="M71" s="1073"/>
      <c r="N71" s="1073"/>
      <c r="O71" s="1073"/>
      <c r="P71" s="1073"/>
      <c r="V71" s="1073"/>
      <c r="W71" s="1073"/>
      <c r="X71" s="1073"/>
      <c r="Y71" s="1073"/>
      <c r="Z71" s="1073"/>
      <c r="AA71" s="1073"/>
      <c r="AB71" s="1073"/>
    </row>
    <row r="72" spans="1:29">
      <c r="A72" s="551" t="s">
        <v>2413</v>
      </c>
      <c r="B72" s="1073">
        <f>'[50]2180 Other'!N133</f>
        <v>7433998.1899999976</v>
      </c>
      <c r="C72" s="1073">
        <f>B72-D72</f>
        <v>0</v>
      </c>
      <c r="D72" s="1073">
        <f>'[50]2180 Other'!O133</f>
        <v>7433998.1899999976</v>
      </c>
      <c r="E72" s="1073">
        <f>'[50]2180 Other'!R133</f>
        <v>405873.98331503826</v>
      </c>
      <c r="F72" s="1073">
        <f>'[50]2180 Other'!S133</f>
        <v>2601899.3664999986</v>
      </c>
      <c r="G72" s="1073">
        <f>'[50]2180 Other'!T133</f>
        <v>2973599.2759999987</v>
      </c>
      <c r="H72" s="1073">
        <f>'[50]2180 Other'!U133</f>
        <v>4460398.913999998</v>
      </c>
      <c r="J72" s="1073">
        <f>$E$72/2*('Ratios (C)'!$C$53+'Ratios (C)'!$D$53)+$E$72/2*('Ratios (C)'!$C$21+'Ratios (C)'!$D$21)</f>
        <v>263230.14223150827</v>
      </c>
      <c r="K72" s="1073">
        <f>$E$72/2*('Ratios (C)'!$E$53+'Ratios (C)'!$F$53)+$E$72/2*('Ratios (C)'!$E$21+'Ratios (C)'!$F$21)</f>
        <v>18919.628396900833</v>
      </c>
      <c r="L72" s="1073">
        <f>$E$72/2*('Ratios (C)'!$G$53)+$E$72/2*('Ratios (C)'!$G$21)</f>
        <v>123724.21268662917</v>
      </c>
      <c r="M72" s="1073">
        <f>E72-J72-L72-K72</f>
        <v>0</v>
      </c>
      <c r="N72" s="1073">
        <f>$H$72/2*('Ratios (C)'!$C$53+'Ratios (C)'!$D$53)+$H$72/2*('Ratios (C)'!$C$21+'Ratios (C)'!$D$21)</f>
        <v>2892797.9836296686</v>
      </c>
      <c r="O72" s="1073">
        <f>$H$72/2*('Ratios (C)'!$E$53+'Ratios (C)'!$F$53)+$H$72/2*('Ratios (C)'!$E$21+'Ratios (C)'!$F$21)</f>
        <v>207919.43663291523</v>
      </c>
      <c r="P72" s="1073">
        <f>$H$72/2*('Ratios (C)'!$G$53)+$H$72/2*('Ratios (C)'!$G$21)</f>
        <v>1359681.493737414</v>
      </c>
      <c r="Q72" s="541">
        <f>H72-N72-P72-O72</f>
        <v>0</v>
      </c>
      <c r="R72" s="541" t="s">
        <v>2435</v>
      </c>
      <c r="S72" s="541"/>
      <c r="V72" s="1073">
        <f>($J$72/2*'Ratios (C)'!$P$6)+(Deprec!$J$72/2*'Ratios (C)'!$P$36)</f>
        <v>144906.62265219944</v>
      </c>
      <c r="W72" s="1073">
        <f>($J$72/2*'Ratios (C)'!$Q$6)+(Deprec!$J$72/2*'Ratios (C)'!$Q$36)</f>
        <v>81193.40386215366</v>
      </c>
      <c r="X72" s="1073">
        <f>($J$72/2*'Ratios (C)'!$R$6)+(Deprec!$J$72/2*'Ratios (C)'!$R$36)</f>
        <v>37130.115717155189</v>
      </c>
      <c r="Y72" s="1073">
        <f>J72-V72-X72-W72</f>
        <v>0</v>
      </c>
      <c r="Z72" s="1073">
        <f>($N$72/2*'Ratios (C)'!$P$6)+(Deprec!$N$72/2*'Ratios (C)'!$P$36)</f>
        <v>1592468.0291902067</v>
      </c>
      <c r="AA72" s="1073">
        <f>($N$72/2*'Ratios (C)'!$Q$6)+(Deprec!$N$72/2*'Ratios (C)'!$Q$36)</f>
        <v>892284.26875937427</v>
      </c>
      <c r="AB72" s="1073">
        <f>($N$72/2*'Ratios (C)'!$R$6)+(Deprec!$N$72/2*'Ratios (C)'!$R$36)</f>
        <v>408045.68568008766</v>
      </c>
      <c r="AC72" s="541">
        <f>N72-Z72-AB72-AA72</f>
        <v>0</v>
      </c>
    </row>
    <row r="73" spans="1:29">
      <c r="B73" s="1073"/>
      <c r="C73" s="1073"/>
      <c r="D73" s="1073"/>
      <c r="E73" s="1073"/>
      <c r="F73" s="1073"/>
      <c r="G73" s="1073"/>
      <c r="H73" s="1073"/>
      <c r="J73" s="1073"/>
      <c r="K73" s="1073"/>
      <c r="L73" s="1073"/>
      <c r="M73" s="1073"/>
      <c r="N73" s="1073"/>
      <c r="O73" s="1073"/>
      <c r="P73" s="1073"/>
      <c r="V73" s="1073"/>
      <c r="W73" s="1073"/>
      <c r="X73" s="1073"/>
      <c r="Y73" s="1073"/>
      <c r="Z73" s="1073"/>
      <c r="AA73" s="1073"/>
      <c r="AB73" s="1073"/>
    </row>
    <row r="74" spans="1:29">
      <c r="A74" s="551" t="s">
        <v>2414</v>
      </c>
      <c r="B74" s="1073">
        <f>'[50]2180 Other'!N142</f>
        <v>164726.66</v>
      </c>
      <c r="C74" s="1073">
        <f>B74-D74</f>
        <v>0</v>
      </c>
      <c r="D74" s="1073">
        <f>'[50]2180 Other'!O142</f>
        <v>164726.66</v>
      </c>
      <c r="E74" s="1073">
        <f>'[50]2180 Other'!R142</f>
        <v>0</v>
      </c>
      <c r="F74" s="1073">
        <f>'[50]2180 Other'!S142</f>
        <v>104522.76999999999</v>
      </c>
      <c r="G74" s="1073">
        <f>'[50]2180 Other'!T142</f>
        <v>124728.548</v>
      </c>
      <c r="H74" s="1073">
        <f>'[50]2180 Other'!U142</f>
        <v>39998.112000000001</v>
      </c>
      <c r="J74" s="1073">
        <f>E74*('Ratios (C)'!$C$65+'Ratios (C)'!$D$65)</f>
        <v>0</v>
      </c>
      <c r="K74" s="1073">
        <f>E74*('Ratios (C)'!$B$65)</f>
        <v>0</v>
      </c>
      <c r="L74" s="1073">
        <f>E74*'Ratios (C)'!$E$65</f>
        <v>0</v>
      </c>
      <c r="M74" s="1073">
        <f>E74-J74-L74-K74</f>
        <v>0</v>
      </c>
      <c r="N74" s="1073">
        <f>H74*('Ratios (C)'!$C$65+'Ratios (C)'!$D$65)</f>
        <v>13090.46502356231</v>
      </c>
      <c r="O74" s="1073">
        <f>H74*('Ratios (C)'!$B$65)</f>
        <v>3819.8686276840103</v>
      </c>
      <c r="P74" s="1073">
        <f>H74*'Ratios (C)'!$E$65</f>
        <v>23087.778348753684</v>
      </c>
      <c r="Q74" s="541">
        <f>H74-N74-P74-O74</f>
        <v>-5.0022208597511053E-12</v>
      </c>
      <c r="R74" s="541" t="s">
        <v>2426</v>
      </c>
      <c r="S74" s="541"/>
      <c r="V74" s="1136">
        <f>$J74*'Ratios (C)'!$F$61</f>
        <v>0</v>
      </c>
      <c r="W74" s="1136">
        <f>$J74*'Ratios (C)'!$G$61</f>
        <v>0</v>
      </c>
      <c r="X74" s="1136">
        <f>$J74*'Ratios (C)'!$H$61</f>
        <v>0</v>
      </c>
      <c r="Y74" s="1073">
        <f>J74-V74-X74-W74</f>
        <v>0</v>
      </c>
      <c r="Z74" s="1136">
        <f>$N74*'Ratios (C)'!$F$61</f>
        <v>12238.474585113716</v>
      </c>
      <c r="AA74" s="1136">
        <f>$N74*'Ratios (C)'!$G$61</f>
        <v>284.00189144056463</v>
      </c>
      <c r="AB74" s="1136">
        <f>$N74*'Ratios (C)'!$H$61</f>
        <v>567.98854700802963</v>
      </c>
      <c r="AC74" s="541">
        <f>N74-Z74-AB74-AA74</f>
        <v>0</v>
      </c>
    </row>
    <row r="75" spans="1:29">
      <c r="B75" s="1073"/>
      <c r="C75" s="1073"/>
      <c r="D75" s="1073"/>
      <c r="E75" s="1073"/>
      <c r="F75" s="1073"/>
      <c r="G75" s="1073"/>
      <c r="H75" s="1073"/>
      <c r="J75" s="1073"/>
      <c r="K75" s="1073"/>
      <c r="L75" s="1073"/>
      <c r="M75" s="1073"/>
      <c r="N75" s="1073"/>
      <c r="O75" s="1073"/>
      <c r="P75" s="1073"/>
      <c r="V75" s="1073"/>
      <c r="W75" s="1073"/>
      <c r="X75" s="1073"/>
      <c r="Y75" s="1073"/>
      <c r="Z75" s="1073"/>
      <c r="AA75" s="1073"/>
      <c r="AB75" s="1073"/>
    </row>
    <row r="76" spans="1:29">
      <c r="A76" s="551" t="s">
        <v>2415</v>
      </c>
      <c r="B76" s="1073">
        <f>'[50]2180 Other'!N144</f>
        <v>9148000</v>
      </c>
      <c r="C76" s="1073">
        <v>0</v>
      </c>
      <c r="D76" s="1073"/>
      <c r="E76" s="1073"/>
      <c r="F76" s="1073"/>
      <c r="G76" s="1073"/>
      <c r="H76" s="1073">
        <f>'[50]2180 Other'!U144</f>
        <v>9148000</v>
      </c>
      <c r="J76" s="1073">
        <f>E76*('Ratios (C)'!$C$53+'Ratios (C)'!$D$53)</f>
        <v>0</v>
      </c>
      <c r="K76" s="1073">
        <f>E76*('Ratios (C)'!$E$53+'Ratios (C)'!$F$53)</f>
        <v>0</v>
      </c>
      <c r="L76" s="1073">
        <f>E76*'Ratios (C)'!$G$53</f>
        <v>0</v>
      </c>
      <c r="M76" s="1073">
        <f>E76-J76-L76-K76</f>
        <v>0</v>
      </c>
      <c r="N76" s="1073">
        <f>H76*('Ratios (C)'!$C$53+'Ratios (C)'!$D$53)</f>
        <v>5234012.1796486182</v>
      </c>
      <c r="O76" s="1073">
        <f>H76*('Ratios (C)'!$E$53+'Ratios (C)'!$F$53)</f>
        <v>797717.04351500445</v>
      </c>
      <c r="P76" s="1073">
        <f>H76*'Ratios (C)'!$G$53</f>
        <v>3116270.7768363776</v>
      </c>
      <c r="Q76" s="541">
        <f>H76-N76-P76-O76</f>
        <v>0</v>
      </c>
      <c r="R76" s="541" t="s">
        <v>2434</v>
      </c>
      <c r="S76" s="541"/>
      <c r="V76" s="1073">
        <f>$J$76*'Ratios (C)'!$P$36</f>
        <v>0</v>
      </c>
      <c r="W76" s="1073">
        <f>$J$76*'Ratios (C)'!$Q$36</f>
        <v>0</v>
      </c>
      <c r="X76" s="1073">
        <f>$J$76*'Ratios (C)'!$R$36</f>
        <v>0</v>
      </c>
      <c r="Y76" s="1073">
        <f>J76-V76-X76-W76</f>
        <v>0</v>
      </c>
      <c r="Z76" s="1073">
        <f>$N$76*'Ratios (C)'!$P$36</f>
        <v>3548101.9966197247</v>
      </c>
      <c r="AA76" s="1073">
        <f>$N$76*'Ratios (C)'!$Q$36</f>
        <v>1151066.5016021414</v>
      </c>
      <c r="AB76" s="1073">
        <f>$N$76*'Ratios (C)'!$R$36</f>
        <v>534843.68142675294</v>
      </c>
      <c r="AC76" s="541">
        <f>N76-Z76-AB76-AA76</f>
        <v>0</v>
      </c>
    </row>
    <row r="77" spans="1:29">
      <c r="B77" s="1073"/>
      <c r="C77" s="1073"/>
      <c r="D77" s="1073"/>
      <c r="E77" s="1073"/>
      <c r="F77" s="1073"/>
      <c r="G77" s="1073"/>
      <c r="H77" s="1073"/>
      <c r="J77" s="1073"/>
      <c r="K77" s="1073"/>
      <c r="L77" s="1073"/>
      <c r="M77" s="1073"/>
      <c r="N77" s="1073"/>
      <c r="O77" s="1073"/>
      <c r="P77" s="1073"/>
      <c r="V77" s="1073"/>
      <c r="W77" s="1073"/>
      <c r="X77" s="1073"/>
      <c r="Y77" s="1073"/>
      <c r="Z77" s="1073"/>
      <c r="AA77" s="1073"/>
      <c r="AB77" s="1073"/>
    </row>
    <row r="78" spans="1:29">
      <c r="B78" s="1073"/>
      <c r="C78" s="1073"/>
      <c r="D78" s="1073"/>
      <c r="E78" s="1073"/>
      <c r="F78" s="1073"/>
      <c r="G78" s="1073"/>
      <c r="H78" s="1073"/>
      <c r="J78" s="1073"/>
      <c r="K78" s="1073"/>
      <c r="L78" s="1073"/>
      <c r="M78" s="1073"/>
      <c r="N78" s="1073"/>
      <c r="O78" s="1073"/>
      <c r="P78" s="1073"/>
      <c r="V78" s="1073"/>
      <c r="W78" s="1073"/>
      <c r="X78" s="1073"/>
      <c r="Y78" s="1073"/>
      <c r="Z78" s="1073"/>
      <c r="AA78" s="1073"/>
      <c r="AB78" s="1073"/>
      <c r="AC78" s="541"/>
    </row>
    <row r="79" spans="1:29">
      <c r="A79" s="1074" t="s">
        <v>2416</v>
      </c>
      <c r="B79" s="1075">
        <f>SUM(B70:B77)</f>
        <v>17294122.569999997</v>
      </c>
      <c r="C79" s="1075">
        <f t="shared" ref="C79:H79" si="13">SUM(C70:C77)</f>
        <v>0</v>
      </c>
      <c r="D79" s="1075">
        <f t="shared" si="13"/>
        <v>8146122.5699999975</v>
      </c>
      <c r="E79" s="1075">
        <f t="shared" si="13"/>
        <v>435592.0494725575</v>
      </c>
      <c r="F79" s="1075">
        <f t="shared" si="13"/>
        <v>2989021.1699999985</v>
      </c>
      <c r="G79" s="1075">
        <f t="shared" si="13"/>
        <v>3410644.9236575179</v>
      </c>
      <c r="H79" s="1075">
        <f t="shared" si="13"/>
        <v>13883477.646342479</v>
      </c>
      <c r="I79" s="551">
        <f>H79+H66-'[50]2180 Other'!U146</f>
        <v>0</v>
      </c>
      <c r="J79" s="1075">
        <f t="shared" ref="J79:L79" si="14">SUM(J70:J77)</f>
        <v>280233.28174004116</v>
      </c>
      <c r="K79" s="1075">
        <f t="shared" si="14"/>
        <v>21511.080941080931</v>
      </c>
      <c r="L79" s="1075">
        <f t="shared" si="14"/>
        <v>133847.68679143538</v>
      </c>
      <c r="M79" s="1073"/>
      <c r="N79" s="1075">
        <f>SUM(N70:N77)</f>
        <v>8274401.593548012</v>
      </c>
      <c r="O79" s="1075">
        <f t="shared" ref="O79:P79" si="15">SUM(O70:O77)</f>
        <v>1029955.6729390577</v>
      </c>
      <c r="P79" s="1075">
        <f t="shared" si="15"/>
        <v>4579120.3798554093</v>
      </c>
      <c r="V79" s="1075">
        <f>SUM(V70:V77)</f>
        <v>156432.93767943719</v>
      </c>
      <c r="W79" s="1075">
        <f t="shared" ref="W79:X79" si="16">SUM(W70:W77)</f>
        <v>84932.742564199638</v>
      </c>
      <c r="X79" s="1075">
        <f t="shared" si="16"/>
        <v>38867.601496404357</v>
      </c>
      <c r="Y79" s="1073">
        <f>J79-V79-X79-W79</f>
        <v>0</v>
      </c>
      <c r="Z79" s="1075">
        <f>SUM(Z70:Z77)</f>
        <v>5243985.8089219099</v>
      </c>
      <c r="AA79" s="1075">
        <f t="shared" ref="AA79:AB79" si="17">SUM(AA70:AA77)</f>
        <v>2073214.2898799875</v>
      </c>
      <c r="AB79" s="1075">
        <f t="shared" si="17"/>
        <v>957201.49474611552</v>
      </c>
      <c r="AC79" s="541">
        <f>N79-Z79-AB79-AA79</f>
        <v>0</v>
      </c>
    </row>
    <row r="80" spans="1:29">
      <c r="B80" s="1073">
        <f>B79+B66-'[50]2180 Other'!N146</f>
        <v>0</v>
      </c>
      <c r="C80" s="1073"/>
      <c r="D80" s="1073">
        <f>D79+D66-'[50]2180 Other'!O146</f>
        <v>0</v>
      </c>
      <c r="E80" s="1073">
        <f>E79+E66-'[50]2180 Other'!R146</f>
        <v>0</v>
      </c>
      <c r="F80" s="1073">
        <f>F79+F66-'[50]2180 Other'!S146</f>
        <v>0</v>
      </c>
      <c r="G80" s="1073">
        <f>G79+G66-'[50]2180 Other'!T146</f>
        <v>0</v>
      </c>
      <c r="H80" s="1073">
        <f>H79+H66-'[50]2180 Other'!U146</f>
        <v>0</v>
      </c>
      <c r="J80" s="1073"/>
      <c r="K80" s="1073"/>
      <c r="L80" s="1073"/>
      <c r="M80" s="1073"/>
      <c r="N80" s="1073"/>
      <c r="O80" s="1073"/>
      <c r="P80" s="1073"/>
      <c r="V80" s="1073"/>
      <c r="W80" s="1073"/>
      <c r="X80" s="1073"/>
      <c r="Y80" s="1073"/>
      <c r="Z80" s="1073"/>
      <c r="AA80" s="1073"/>
      <c r="AB80" s="1073"/>
    </row>
    <row r="81" spans="1:29" ht="15.75" thickBot="1">
      <c r="A81" s="1076" t="s">
        <v>13</v>
      </c>
      <c r="B81" s="1077">
        <f>B79+B66+B55+B34</f>
        <v>67189521.054380953</v>
      </c>
      <c r="C81" s="1077">
        <f t="shared" ref="C81:G81" si="18">C79+C66+C55+C34</f>
        <v>133350.69493499902</v>
      </c>
      <c r="D81" s="1077">
        <f t="shared" si="18"/>
        <v>57908170.359445952</v>
      </c>
      <c r="E81" s="1077">
        <f>E79+E66+E55+E34</f>
        <v>4556929.7535374593</v>
      </c>
      <c r="F81" s="1077">
        <f t="shared" si="18"/>
        <v>24586249.441519044</v>
      </c>
      <c r="G81" s="1077">
        <f t="shared" si="18"/>
        <v>29029645.848574795</v>
      </c>
      <c r="H81" s="1077">
        <f>H79+H66+H55+H34</f>
        <v>38166667.372472823</v>
      </c>
      <c r="J81" s="1077">
        <f>J79+J66+J55+J34</f>
        <v>2885847.8208464067</v>
      </c>
      <c r="K81" s="1077">
        <f t="shared" ref="K81:L81" si="19">K79+K66+K55+K34</f>
        <v>257867.47928755125</v>
      </c>
      <c r="L81" s="1077">
        <f t="shared" si="19"/>
        <v>1413214.4534035022</v>
      </c>
      <c r="M81" s="1073">
        <f>E81-J81-L81-K81</f>
        <v>-9.3132257461547852E-10</v>
      </c>
      <c r="N81" s="1077">
        <f t="shared" ref="N81:P81" si="20">N79+N66+N55+N34</f>
        <v>23764665.432441317</v>
      </c>
      <c r="O81" s="1077">
        <f t="shared" si="20"/>
        <v>2608695.2573478543</v>
      </c>
      <c r="P81" s="1077">
        <f t="shared" si="20"/>
        <v>11793306.682683643</v>
      </c>
      <c r="Q81" s="541">
        <f>H81-N81-P81-O81</f>
        <v>8.8475644588470459E-9</v>
      </c>
      <c r="V81" s="1077">
        <f t="shared" ref="V81:X81" si="21">V79+V66+V55+V34</f>
        <v>1843918.452248672</v>
      </c>
      <c r="W81" s="1077">
        <f t="shared" si="21"/>
        <v>797881.96898098686</v>
      </c>
      <c r="X81" s="1077">
        <f t="shared" si="21"/>
        <v>244047.39961674804</v>
      </c>
      <c r="Y81" s="1073">
        <f>J81-V81-X81-W81</f>
        <v>0</v>
      </c>
      <c r="Z81" s="1077">
        <f t="shared" ref="Z81:AB81" si="22">Z79+Z66+Z55+Z34</f>
        <v>17096435.872632749</v>
      </c>
      <c r="AA81" s="1077">
        <f t="shared" si="22"/>
        <v>4980578.1966655012</v>
      </c>
      <c r="AB81" s="1077">
        <f t="shared" si="22"/>
        <v>1687651.3631430659</v>
      </c>
      <c r="AC81" s="541">
        <f>N81-Z81-AB81-AA81</f>
        <v>0</v>
      </c>
    </row>
    <row r="82" spans="1:29">
      <c r="B82" s="1073"/>
      <c r="C82" s="1073"/>
      <c r="D82" s="1073"/>
      <c r="E82" s="1073"/>
      <c r="F82" s="1073"/>
      <c r="G82" s="1073"/>
      <c r="H82" s="1073"/>
    </row>
    <row r="83" spans="1:29">
      <c r="B83" s="1073"/>
      <c r="C83" s="1073"/>
      <c r="D83" s="1073"/>
      <c r="E83" s="1073"/>
      <c r="F83" s="1073"/>
      <c r="G83" s="1073"/>
      <c r="H83" s="1073"/>
    </row>
    <row r="86" spans="1:29">
      <c r="N86" s="219">
        <v>2339341.9751279159</v>
      </c>
    </row>
  </sheetData>
  <mergeCells count="8">
    <mergeCell ref="V4:X4"/>
    <mergeCell ref="Z4:AB4"/>
    <mergeCell ref="L5:L6"/>
    <mergeCell ref="P5:P6"/>
    <mergeCell ref="K5:K6"/>
    <mergeCell ref="O5:O6"/>
    <mergeCell ref="J4:L4"/>
    <mergeCell ref="N4:P4"/>
  </mergeCells>
  <pageMargins left="0.25" right="0.25" top="0.75" bottom="0.75" header="0.3" footer="0.3"/>
  <pageSetup scale="36"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XFC410"/>
  <sheetViews>
    <sheetView view="pageBreakPreview" zoomScale="60" zoomScaleNormal="100" workbookViewId="0">
      <pane xSplit="4" ySplit="13" topLeftCell="U14" activePane="bottomRight" state="frozen"/>
      <selection activeCell="AP280" sqref="AP280"/>
      <selection pane="topRight" activeCell="AP280" sqref="AP280"/>
      <selection pane="bottomLeft" activeCell="AP280" sqref="AP280"/>
      <selection pane="bottomRight" activeCell="AP280" sqref="AP280"/>
    </sheetView>
  </sheetViews>
  <sheetFormatPr defaultRowHeight="11.25" outlineLevelCol="1"/>
  <cols>
    <col min="1" max="1" width="9.140625" style="598"/>
    <col min="2" max="2" width="9.5703125" style="592" customWidth="1"/>
    <col min="3" max="3" width="22.28515625" style="598" customWidth="1"/>
    <col min="4" max="4" width="21.7109375" style="594" customWidth="1"/>
    <col min="5" max="7" width="16.7109375" style="594" hidden="1" customWidth="1" outlineLevel="1"/>
    <col min="8" max="8" width="16.7109375" style="595" hidden="1" customWidth="1" outlineLevel="1"/>
    <col min="9" max="13" width="16.7109375" style="594" hidden="1" customWidth="1" outlineLevel="1"/>
    <col min="14" max="14" width="11.85546875" style="594" hidden="1" customWidth="1" outlineLevel="1"/>
    <col min="15" max="15" width="11.7109375" style="596" hidden="1" customWidth="1" outlineLevel="1"/>
    <col min="16" max="19" width="16.7109375" style="594" hidden="1" customWidth="1" outlineLevel="1"/>
    <col min="20" max="20" width="8.5703125" style="594" hidden="1" customWidth="1" outlineLevel="1"/>
    <col min="21" max="21" width="14.42578125" style="597" customWidth="1" collapsed="1"/>
    <col min="22" max="22" width="11.140625" style="598" bestFit="1" customWidth="1"/>
    <col min="23" max="23" width="9.140625" style="598" bestFit="1" customWidth="1"/>
    <col min="24" max="24" width="9.85546875" style="599" bestFit="1" customWidth="1"/>
    <col min="25" max="25" width="14" style="599" customWidth="1"/>
    <col min="26" max="16384" width="9.140625" style="598"/>
  </cols>
  <sheetData>
    <row r="1" spans="1:41">
      <c r="A1" s="591" t="s">
        <v>1243</v>
      </c>
      <c r="C1" s="593"/>
    </row>
    <row r="2" spans="1:41" ht="16.5">
      <c r="A2" s="591" t="s">
        <v>1244</v>
      </c>
      <c r="C2" s="593"/>
      <c r="D2" s="600"/>
    </row>
    <row r="3" spans="1:41">
      <c r="A3" s="591" t="s">
        <v>1245</v>
      </c>
      <c r="C3" s="591"/>
    </row>
    <row r="4" spans="1:41">
      <c r="A4" s="591"/>
      <c r="C4" s="591"/>
    </row>
    <row r="5" spans="1:41">
      <c r="A5" s="591"/>
      <c r="C5" s="591"/>
      <c r="V5" s="601" t="s">
        <v>1246</v>
      </c>
      <c r="W5" s="601"/>
      <c r="X5" s="602"/>
      <c r="Y5" s="602">
        <f>(E151+E123+E116+E97+E87+E57+E43+E196+E197+E199+E201+E208+E210+E211)/2080</f>
        <v>82.145187494230782</v>
      </c>
    </row>
    <row r="6" spans="1:41">
      <c r="A6" s="591"/>
      <c r="C6" s="591"/>
    </row>
    <row r="7" spans="1:41">
      <c r="A7" s="591"/>
      <c r="C7" s="591"/>
    </row>
    <row r="8" spans="1:41">
      <c r="A8" s="591"/>
      <c r="C8" s="591"/>
    </row>
    <row r="9" spans="1:41">
      <c r="A9" s="591"/>
      <c r="C9" s="591"/>
    </row>
    <row r="10" spans="1:41">
      <c r="B10" s="603"/>
      <c r="C10" s="604"/>
      <c r="D10" s="605"/>
      <c r="E10" s="605"/>
      <c r="F10" s="605"/>
      <c r="G10" s="605"/>
      <c r="H10" s="606"/>
      <c r="I10" s="605"/>
      <c r="J10" s="605"/>
      <c r="K10" s="605"/>
      <c r="L10" s="605"/>
      <c r="M10" s="605"/>
      <c r="N10" s="605"/>
      <c r="O10" s="607"/>
      <c r="P10" s="605"/>
      <c r="Q10" s="605"/>
      <c r="R10" s="605"/>
      <c r="S10" s="605"/>
      <c r="T10" s="605"/>
      <c r="U10" s="608"/>
    </row>
    <row r="11" spans="1:41" ht="12" thickBot="1">
      <c r="A11" s="609" t="s">
        <v>1247</v>
      </c>
      <c r="B11" s="610"/>
      <c r="C11" s="611"/>
      <c r="D11" s="612"/>
      <c r="E11" s="612"/>
      <c r="F11" s="612"/>
      <c r="G11" s="612"/>
      <c r="H11" s="613"/>
      <c r="I11" s="612"/>
      <c r="J11" s="612"/>
      <c r="K11" s="612"/>
      <c r="L11" s="612"/>
      <c r="M11" s="612"/>
      <c r="N11" s="612"/>
      <c r="O11" s="614"/>
      <c r="P11" s="612"/>
      <c r="Q11" s="612"/>
      <c r="R11" s="612"/>
      <c r="S11" s="612"/>
      <c r="T11" s="612"/>
      <c r="U11" s="615"/>
    </row>
    <row r="12" spans="1:41">
      <c r="A12" s="616"/>
      <c r="B12" s="617"/>
      <c r="C12" s="618"/>
      <c r="D12" s="619"/>
      <c r="E12" s="620"/>
      <c r="F12" s="620"/>
      <c r="G12" s="620"/>
      <c r="H12" s="621"/>
      <c r="I12" s="620"/>
      <c r="J12" s="620"/>
      <c r="K12" s="620"/>
      <c r="L12" s="620"/>
      <c r="M12" s="620"/>
      <c r="N12" s="620"/>
      <c r="O12" s="622"/>
      <c r="P12" s="620"/>
      <c r="Q12" s="620"/>
      <c r="R12" s="620"/>
      <c r="S12" s="620"/>
      <c r="T12" s="620"/>
      <c r="U12" s="623"/>
      <c r="V12" s="624"/>
      <c r="W12" s="624"/>
      <c r="X12" s="625"/>
      <c r="Y12" s="625"/>
      <c r="Z12" s="624"/>
      <c r="AA12" s="624"/>
      <c r="AB12" s="624"/>
      <c r="AC12" s="624"/>
      <c r="AD12" s="624"/>
      <c r="AE12" s="624"/>
      <c r="AF12" s="624"/>
      <c r="AG12" s="624"/>
      <c r="AH12" s="624"/>
      <c r="AI12" s="624"/>
      <c r="AJ12" s="624"/>
      <c r="AK12" s="624"/>
      <c r="AL12" s="624"/>
      <c r="AM12" s="624"/>
      <c r="AN12" s="624"/>
      <c r="AO12" s="624"/>
    </row>
    <row r="13" spans="1:41" ht="45.75" thickBot="1">
      <c r="A13" s="626" t="s">
        <v>1248</v>
      </c>
      <c r="B13" s="627" t="s">
        <v>1249</v>
      </c>
      <c r="C13" s="628" t="s">
        <v>1250</v>
      </c>
      <c r="D13" s="628" t="s">
        <v>1251</v>
      </c>
      <c r="E13" s="629" t="s">
        <v>1252</v>
      </c>
      <c r="F13" s="629" t="s">
        <v>1253</v>
      </c>
      <c r="G13" s="630" t="s">
        <v>1254</v>
      </c>
      <c r="H13" s="631" t="s">
        <v>1255</v>
      </c>
      <c r="I13" s="629" t="s">
        <v>1256</v>
      </c>
      <c r="J13" s="629" t="s">
        <v>1257</v>
      </c>
      <c r="K13" s="629" t="s">
        <v>1258</v>
      </c>
      <c r="L13" s="629" t="s">
        <v>1259</v>
      </c>
      <c r="M13" s="629" t="s">
        <v>1260</v>
      </c>
      <c r="N13" s="629" t="s">
        <v>1261</v>
      </c>
      <c r="O13" s="629" t="s">
        <v>1262</v>
      </c>
      <c r="P13" s="629" t="s">
        <v>1263</v>
      </c>
      <c r="Q13" s="629" t="s">
        <v>1264</v>
      </c>
      <c r="R13" s="629" t="s">
        <v>1265</v>
      </c>
      <c r="S13" s="629" t="s">
        <v>1266</v>
      </c>
      <c r="T13" s="629" t="s">
        <v>1267</v>
      </c>
      <c r="U13" s="632" t="s">
        <v>1268</v>
      </c>
      <c r="V13" s="593" t="s">
        <v>1269</v>
      </c>
      <c r="W13" s="593" t="s">
        <v>1270</v>
      </c>
      <c r="X13" s="633" t="s">
        <v>1271</v>
      </c>
      <c r="Y13" s="634" t="s">
        <v>1272</v>
      </c>
    </row>
    <row r="14" spans="1:41" ht="12.75" thickTop="1" thickBot="1">
      <c r="A14" s="635"/>
      <c r="B14" s="636"/>
      <c r="C14" s="637"/>
      <c r="D14" s="637"/>
      <c r="E14" s="638"/>
      <c r="F14" s="638"/>
      <c r="G14" s="638"/>
      <c r="H14" s="639"/>
      <c r="I14" s="638"/>
      <c r="J14" s="638"/>
      <c r="K14" s="638"/>
      <c r="L14" s="638"/>
      <c r="M14" s="638"/>
      <c r="N14" s="638"/>
      <c r="O14" s="638"/>
      <c r="P14" s="638"/>
      <c r="Q14" s="638"/>
      <c r="R14" s="638"/>
      <c r="S14" s="638"/>
      <c r="T14" s="638"/>
      <c r="U14" s="640"/>
    </row>
    <row r="15" spans="1:41" ht="14.25" customHeight="1" thickTop="1" thickBot="1">
      <c r="A15" s="641"/>
      <c r="B15" s="642" t="s">
        <v>1273</v>
      </c>
      <c r="C15" s="643"/>
      <c r="D15" s="644"/>
      <c r="E15" s="638"/>
      <c r="F15" s="638"/>
      <c r="G15" s="638"/>
      <c r="H15" s="639"/>
      <c r="I15" s="638"/>
      <c r="J15" s="638"/>
      <c r="K15" s="638"/>
      <c r="L15" s="638"/>
      <c r="M15" s="638"/>
      <c r="N15" s="638"/>
      <c r="O15" s="638"/>
      <c r="P15" s="638"/>
      <c r="Q15" s="638"/>
      <c r="R15" s="638"/>
      <c r="S15" s="638"/>
      <c r="T15" s="638"/>
      <c r="U15" s="640"/>
    </row>
    <row r="16" spans="1:41" ht="15.75" customHeight="1" thickTop="1">
      <c r="A16" s="645" t="s">
        <v>1274</v>
      </c>
      <c r="B16" s="646"/>
      <c r="C16" s="647"/>
      <c r="D16" s="648"/>
      <c r="E16" s="649"/>
      <c r="F16" s="649"/>
      <c r="G16" s="649"/>
      <c r="H16" s="650"/>
      <c r="I16" s="649"/>
      <c r="J16" s="649"/>
      <c r="K16" s="649"/>
      <c r="L16" s="649"/>
      <c r="M16" s="649"/>
      <c r="N16" s="649"/>
      <c r="O16" s="651"/>
      <c r="P16" s="649"/>
      <c r="Q16" s="649"/>
      <c r="R16" s="649"/>
      <c r="S16" s="649"/>
      <c r="T16" s="649"/>
      <c r="U16" s="652"/>
      <c r="X16" s="653"/>
      <c r="Y16" s="654"/>
    </row>
    <row r="17" spans="1:27">
      <c r="A17" s="655">
        <v>2180</v>
      </c>
      <c r="B17" s="577" t="s">
        <v>1275</v>
      </c>
      <c r="C17" s="656" t="s">
        <v>1276</v>
      </c>
      <c r="D17" s="657" t="str">
        <f>VLOOKUP(B17,'[51]2180 Job Descriptions'!E:G,3,FALSE)</f>
        <v>Garbage-ASL</v>
      </c>
      <c r="E17" s="649">
        <f>+VLOOKUP($B17,'[51]Payroll Report Pivot'!$O:$Q,3,FALSE)</f>
        <v>2084.4333340000003</v>
      </c>
      <c r="F17" s="650">
        <f>+VLOOKUP($B17,'[51]Payroll Report Pivot'!$O:$R,4,FALSE)</f>
        <v>55051.06</v>
      </c>
      <c r="G17" s="649">
        <f>+VLOOKUP($B17,'[51]Payroll Report Pivot'!$Y:$AA,3,FALSE)</f>
        <v>532.63333199999988</v>
      </c>
      <c r="H17" s="650">
        <f>+VLOOKUP($B17,'[51]Payroll Report Pivot'!$Y:$AB,4,FALSE)</f>
        <v>21551.819999999996</v>
      </c>
      <c r="I17" s="650">
        <f>+F17+H17</f>
        <v>76602.87999999999</v>
      </c>
      <c r="J17" s="649">
        <f>+IFERROR(VLOOKUP(B17,'[51]Payroll Report Pivot'!$AH:$AJ,3,FALSE),0)</f>
        <v>3024.9999999999964</v>
      </c>
      <c r="K17" s="649">
        <f>IFERROR(VLOOKUP(B17,'[51]Payroll Report Pivot'!$AP:$AR,3,FALSE),0)</f>
        <v>1974.94</v>
      </c>
      <c r="L17" s="649">
        <f>+K17+J17+I17</f>
        <v>81602.819999999992</v>
      </c>
      <c r="M17" s="650">
        <f>+VLOOKUP(B17,'[51]Payroll Report Pivot'!$E:$H,4,FALSE)</f>
        <v>26.95</v>
      </c>
      <c r="N17" s="658">
        <f t="shared" ref="N17:N41" si="0">IF(V17="pcs",(27.85-M17)/M17,2.5%)</f>
        <v>3.3395176252319192E-2</v>
      </c>
      <c r="O17" s="659" t="str">
        <f t="shared" ref="O17:O41" si="1">IF(V17="PCS","27.85",M17*(1+N17))</f>
        <v>27.85</v>
      </c>
      <c r="P17" s="660">
        <f>+O17*E17</f>
        <v>58051.46835190001</v>
      </c>
      <c r="Q17" s="660">
        <f>+O17*G17*1.5</f>
        <v>22250.757444299998</v>
      </c>
      <c r="R17" s="660">
        <f>+K17*(1+N17)</f>
        <v>2040.8934693877554</v>
      </c>
      <c r="S17" s="649">
        <f>SUM(P17:R17)+J17</f>
        <v>85368.119265587768</v>
      </c>
      <c r="T17" s="649">
        <f>+IF(V17="PCS",250,0)</f>
        <v>250</v>
      </c>
      <c r="U17" s="652">
        <f>+S17+T17</f>
        <v>85618.119265587768</v>
      </c>
      <c r="V17" s="598" t="str">
        <f>VLOOKUP(B17,'[51]2180 Job Descriptions'!J:M,4,FALSE)</f>
        <v>PCS</v>
      </c>
      <c r="W17" s="598">
        <v>5002</v>
      </c>
      <c r="X17" s="599">
        <f>U17-L17</f>
        <v>4015.2992655877752</v>
      </c>
    </row>
    <row r="18" spans="1:27">
      <c r="A18" s="655">
        <v>2180</v>
      </c>
      <c r="B18" s="577" t="s">
        <v>1277</v>
      </c>
      <c r="C18" s="656" t="s">
        <v>1278</v>
      </c>
      <c r="D18" s="657" t="str">
        <f>VLOOKUP(B18,'[51]2180 Job Descriptions'!E:G,3,FALSE)</f>
        <v>Garbage-ASL</v>
      </c>
      <c r="E18" s="649">
        <f>+VLOOKUP($B18,'[51]Payroll Report Pivot'!$O:$Q,3,FALSE)</f>
        <v>2035.35</v>
      </c>
      <c r="F18" s="650">
        <f>+VLOOKUP($B18,'[51]Payroll Report Pivot'!$O:$R,4,FALSE)</f>
        <v>53945.93</v>
      </c>
      <c r="G18" s="649">
        <f>+VLOOKUP(B18,'[51]Payroll Report Pivot'!$Y:$AA,3,FALSE)</f>
        <v>434.31666000000018</v>
      </c>
      <c r="H18" s="650">
        <f>+VLOOKUP($B18,'[51]Payroll Report Pivot'!$Y:$AB,4,FALSE)</f>
        <v>17312.650000000001</v>
      </c>
      <c r="I18" s="650">
        <f t="shared" ref="I18:I41" si="2">+F18+H18</f>
        <v>71258.58</v>
      </c>
      <c r="J18" s="649">
        <f>+IFERROR(VLOOKUP(B18,'[51]Payroll Report Pivot'!$AH:$AJ,3,FALSE),0)</f>
        <v>1024.9999999999995</v>
      </c>
      <c r="K18" s="649">
        <f>IFERROR(VLOOKUP(B18,'[51]Payroll Report Pivot'!$AP:$AR,3,FALSE),0)</f>
        <v>4527.6000000000004</v>
      </c>
      <c r="L18" s="649">
        <f t="shared" ref="L18:L41" si="3">+K18+J18+I18</f>
        <v>76811.180000000008</v>
      </c>
      <c r="M18" s="650">
        <f>+VLOOKUP(B18,'[51]Payroll Report Pivot'!$E:$H,4,FALSE)</f>
        <v>26.95</v>
      </c>
      <c r="N18" s="658">
        <f t="shared" si="0"/>
        <v>3.3395176252319192E-2</v>
      </c>
      <c r="O18" s="659" t="str">
        <f t="shared" si="1"/>
        <v>27.85</v>
      </c>
      <c r="P18" s="660">
        <f t="shared" ref="P18:P41" si="4">+O18*E18</f>
        <v>56684.497499999998</v>
      </c>
      <c r="Q18" s="660">
        <f t="shared" ref="Q18:Q41" si="5">+O18*G18*1.5</f>
        <v>18143.578471500008</v>
      </c>
      <c r="R18" s="660">
        <f t="shared" ref="R18:R41" si="6">+K18*(1+N18)</f>
        <v>4678.8000000000011</v>
      </c>
      <c r="S18" s="649">
        <f t="shared" ref="S18:S41" si="7">SUM(P18:R18)+J18</f>
        <v>80531.875971500005</v>
      </c>
      <c r="T18" s="649">
        <f t="shared" ref="T18:T41" si="8">+IF(V18="PCS",250,0)</f>
        <v>250</v>
      </c>
      <c r="U18" s="652">
        <f t="shared" ref="U18:U41" si="9">+S18+T18</f>
        <v>80781.875971500005</v>
      </c>
      <c r="V18" s="598" t="str">
        <f>VLOOKUP(B18,'[51]2180 Job Descriptions'!J:M,4,FALSE)</f>
        <v>PCS</v>
      </c>
      <c r="W18" s="598">
        <v>5002</v>
      </c>
      <c r="X18" s="599">
        <f t="shared" ref="X18:X41" si="10">U18-L18</f>
        <v>3970.6959714999975</v>
      </c>
    </row>
    <row r="19" spans="1:27">
      <c r="A19" s="655">
        <v>2180</v>
      </c>
      <c r="B19" s="577" t="s">
        <v>1279</v>
      </c>
      <c r="C19" s="656" t="s">
        <v>1280</v>
      </c>
      <c r="D19" s="657" t="str">
        <f>VLOOKUP(B19,'[51]2180 Job Descriptions'!E:G,3,FALSE)</f>
        <v>Garbage-ASL</v>
      </c>
      <c r="E19" s="649">
        <f>+VLOOKUP($B19,'[51]Payroll Report Pivot'!$O:$Q,3,FALSE)</f>
        <v>2058.2166659999998</v>
      </c>
      <c r="F19" s="650">
        <f>+VLOOKUP($B19,'[51]Payroll Report Pivot'!$O:$R,4,FALSE)</f>
        <v>55207.759999999995</v>
      </c>
      <c r="G19" s="649">
        <f>+VLOOKUP(B19,'[51]Payroll Report Pivot'!$Y:$AA,3,FALSE)</f>
        <v>282.21666700000003</v>
      </c>
      <c r="H19" s="650">
        <f>+VLOOKUP($B19,'[51]Payroll Report Pivot'!$Y:$AB,4,FALSE)</f>
        <v>11322.01</v>
      </c>
      <c r="I19" s="650">
        <f t="shared" si="2"/>
        <v>66529.76999999999</v>
      </c>
      <c r="J19" s="649">
        <f>+IFERROR(VLOOKUP(B19,'[51]Payroll Report Pivot'!$AH:$AJ,3,FALSE),0)</f>
        <v>1124.9999999999998</v>
      </c>
      <c r="K19" s="649">
        <f>IFERROR(VLOOKUP(B19,'[51]Payroll Report Pivot'!$AP:$AR,3,FALSE),0)</f>
        <v>2806.47</v>
      </c>
      <c r="L19" s="649">
        <f t="shared" si="3"/>
        <v>70461.239999999991</v>
      </c>
      <c r="M19" s="650">
        <f>+VLOOKUP(B19,'[51]Payroll Report Pivot'!$E:$H,4,FALSE)</f>
        <v>26.95</v>
      </c>
      <c r="N19" s="658">
        <f t="shared" si="0"/>
        <v>3.3395176252319192E-2</v>
      </c>
      <c r="O19" s="659" t="str">
        <f t="shared" si="1"/>
        <v>27.85</v>
      </c>
      <c r="P19" s="660">
        <f t="shared" si="4"/>
        <v>57321.334148099995</v>
      </c>
      <c r="Q19" s="660">
        <f t="shared" si="5"/>
        <v>11789.601263925002</v>
      </c>
      <c r="R19" s="660">
        <f t="shared" si="6"/>
        <v>2900.1925602968463</v>
      </c>
      <c r="S19" s="649">
        <f t="shared" si="7"/>
        <v>73136.127972321832</v>
      </c>
      <c r="T19" s="649">
        <f t="shared" si="8"/>
        <v>250</v>
      </c>
      <c r="U19" s="652">
        <f t="shared" si="9"/>
        <v>73386.127972321832</v>
      </c>
      <c r="V19" s="598" t="str">
        <f>VLOOKUP(B19,'[51]2180 Job Descriptions'!J:M,4,FALSE)</f>
        <v>PCS</v>
      </c>
      <c r="W19" s="598">
        <v>5002</v>
      </c>
      <c r="X19" s="599">
        <f t="shared" si="10"/>
        <v>2924.8879723218415</v>
      </c>
    </row>
    <row r="20" spans="1:27">
      <c r="A20" s="655">
        <v>2180</v>
      </c>
      <c r="B20" s="577" t="s">
        <v>1281</v>
      </c>
      <c r="C20" s="656" t="s">
        <v>1282</v>
      </c>
      <c r="D20" s="657" t="str">
        <f>VLOOKUP(B20,'[51]2180 Job Descriptions'!E:G,3,FALSE)</f>
        <v>Garbage-ASL</v>
      </c>
      <c r="E20" s="649">
        <f>+VLOOKUP($B20,'[51]Payroll Report Pivot'!$O:$Q,3,FALSE)</f>
        <v>2065.083333</v>
      </c>
      <c r="F20" s="650">
        <f>+VLOOKUP($B20,'[51]Payroll Report Pivot'!$O:$R,4,FALSE)</f>
        <v>54756.52</v>
      </c>
      <c r="G20" s="649">
        <f>+VLOOKUP(B20,'[51]Payroll Report Pivot'!$Y:$AA,3,FALSE)</f>
        <v>538.05000499999983</v>
      </c>
      <c r="H20" s="650">
        <f>+VLOOKUP($B20,'[51]Payroll Report Pivot'!$Y:$AB,4,FALSE)</f>
        <v>21700.049999999981</v>
      </c>
      <c r="I20" s="650">
        <f t="shared" si="2"/>
        <v>76456.569999999978</v>
      </c>
      <c r="J20" s="649">
        <f>+IFERROR(VLOOKUP(B20,'[51]Payroll Report Pivot'!$AH:$AJ,3,FALSE),0)</f>
        <v>3024.9999999999941</v>
      </c>
      <c r="K20" s="649">
        <f>IFERROR(VLOOKUP(B20,'[51]Payroll Report Pivot'!$AP:$AR,3,FALSE),0)</f>
        <v>2838.1099999999997</v>
      </c>
      <c r="L20" s="649">
        <f t="shared" si="3"/>
        <v>82319.679999999964</v>
      </c>
      <c r="M20" s="650">
        <f>+VLOOKUP(B20,'[51]Payroll Report Pivot'!$E:$H,4,FALSE)</f>
        <v>26.95</v>
      </c>
      <c r="N20" s="658">
        <f t="shared" si="0"/>
        <v>3.3395176252319192E-2</v>
      </c>
      <c r="O20" s="659" t="str">
        <f t="shared" si="1"/>
        <v>27.85</v>
      </c>
      <c r="P20" s="660">
        <f t="shared" si="4"/>
        <v>57512.570824050003</v>
      </c>
      <c r="Q20" s="660">
        <f t="shared" si="5"/>
        <v>22477.038958874993</v>
      </c>
      <c r="R20" s="660">
        <f t="shared" si="6"/>
        <v>2932.8891836734692</v>
      </c>
      <c r="S20" s="649">
        <f t="shared" si="7"/>
        <v>85947.498966598461</v>
      </c>
      <c r="T20" s="649">
        <f t="shared" si="8"/>
        <v>250</v>
      </c>
      <c r="U20" s="652">
        <f t="shared" si="9"/>
        <v>86197.498966598461</v>
      </c>
      <c r="V20" s="598" t="str">
        <f>VLOOKUP(B20,'[51]2180 Job Descriptions'!J:M,4,FALSE)</f>
        <v>PCS</v>
      </c>
      <c r="W20" s="598">
        <v>5002</v>
      </c>
      <c r="X20" s="599">
        <f t="shared" si="10"/>
        <v>3877.8189665984974</v>
      </c>
    </row>
    <row r="21" spans="1:27">
      <c r="A21" s="655">
        <v>2180</v>
      </c>
      <c r="B21" s="577" t="s">
        <v>1283</v>
      </c>
      <c r="C21" s="656" t="s">
        <v>1284</v>
      </c>
      <c r="D21" s="657" t="str">
        <f>VLOOKUP(B21,'[51]2180 Job Descriptions'!E:G,3,FALSE)</f>
        <v>Garbage-ASL</v>
      </c>
      <c r="E21" s="649">
        <f>+VLOOKUP($B21,'[51]Payroll Report Pivot'!$O:$Q,3,FALSE)</f>
        <v>2079.9466659999998</v>
      </c>
      <c r="F21" s="650">
        <f>+VLOOKUP($B21,'[51]Payroll Report Pivot'!$O:$R,4,FALSE)</f>
        <v>55148.369999999995</v>
      </c>
      <c r="G21" s="649">
        <f>+VLOOKUP(B21,'[51]Payroll Report Pivot'!$Y:$AA,3,FALSE)</f>
        <v>161.13333100000006</v>
      </c>
      <c r="H21" s="650">
        <f>+VLOOKUP($B21,'[51]Payroll Report Pivot'!$Y:$AB,4,FALSE)</f>
        <v>6420.4300000000012</v>
      </c>
      <c r="I21" s="650">
        <f t="shared" si="2"/>
        <v>61568.799999999996</v>
      </c>
      <c r="J21" s="649">
        <f>+IFERROR(VLOOKUP(B21,'[51]Payroll Report Pivot'!$AH:$AJ,3,FALSE),0)</f>
        <v>275.00000000000011</v>
      </c>
      <c r="K21" s="649">
        <f>IFERROR(VLOOKUP(B21,'[51]Payroll Report Pivot'!$AP:$AR,3,FALSE),0)</f>
        <v>1226.49</v>
      </c>
      <c r="L21" s="649">
        <f t="shared" si="3"/>
        <v>63070.289999999994</v>
      </c>
      <c r="M21" s="650">
        <f>+VLOOKUP(B21,'[51]Payroll Report Pivot'!$E:$H,4,FALSE)</f>
        <v>26.95</v>
      </c>
      <c r="N21" s="658">
        <f t="shared" si="0"/>
        <v>3.3395176252319192E-2</v>
      </c>
      <c r="O21" s="659" t="str">
        <f t="shared" si="1"/>
        <v>27.85</v>
      </c>
      <c r="P21" s="660">
        <f t="shared" si="4"/>
        <v>57926.514648099997</v>
      </c>
      <c r="Q21" s="660">
        <f t="shared" si="5"/>
        <v>6731.3449025250029</v>
      </c>
      <c r="R21" s="660">
        <f t="shared" si="6"/>
        <v>1267.4488497217071</v>
      </c>
      <c r="S21" s="649">
        <f t="shared" si="7"/>
        <v>66200.308400346708</v>
      </c>
      <c r="T21" s="649">
        <f t="shared" si="8"/>
        <v>250</v>
      </c>
      <c r="U21" s="652">
        <f t="shared" si="9"/>
        <v>66450.308400346708</v>
      </c>
      <c r="V21" s="598" t="str">
        <f>VLOOKUP(B21,'[51]2180 Job Descriptions'!J:M,4,FALSE)</f>
        <v>PCS</v>
      </c>
      <c r="W21" s="598">
        <v>5002</v>
      </c>
      <c r="X21" s="599">
        <f t="shared" si="10"/>
        <v>3380.0184003467148</v>
      </c>
    </row>
    <row r="22" spans="1:27">
      <c r="A22" s="655">
        <v>2180</v>
      </c>
      <c r="B22" s="577" t="s">
        <v>1285</v>
      </c>
      <c r="C22" s="656" t="s">
        <v>1286</v>
      </c>
      <c r="D22" s="657" t="str">
        <f>VLOOKUP(B22,'[51]2180 Job Descriptions'!E:G,3,FALSE)</f>
        <v>Garbage-ASL</v>
      </c>
      <c r="E22" s="649">
        <f>+VLOOKUP($B22,'[51]Payroll Report Pivot'!$O:$Q,3,FALSE)</f>
        <v>2083.9433330000002</v>
      </c>
      <c r="F22" s="650">
        <f>+VLOOKUP($B22,'[51]Payroll Report Pivot'!$O:$R,4,FALSE)</f>
        <v>51625.85</v>
      </c>
      <c r="G22" s="649">
        <f>+VLOOKUP(B22,'[51]Payroll Report Pivot'!$Y:$AA,3,FALSE)</f>
        <v>310.03333700000002</v>
      </c>
      <c r="H22" s="650">
        <f>+VLOOKUP($B22,'[51]Payroll Report Pivot'!$Y:$AB,4,FALSE)</f>
        <v>11851.610000000004</v>
      </c>
      <c r="I22" s="650">
        <f t="shared" si="2"/>
        <v>63477.460000000006</v>
      </c>
      <c r="J22" s="649">
        <f>+IFERROR(VLOOKUP(B22,'[51]Payroll Report Pivot'!$AH:$AJ,3,FALSE),0)</f>
        <v>3024.9999999999945</v>
      </c>
      <c r="K22" s="649">
        <f>IFERROR(VLOOKUP(B22,'[51]Payroll Report Pivot'!$AP:$AR,3,FALSE),0)</f>
        <v>0</v>
      </c>
      <c r="L22" s="649">
        <f>+K22+J22+I22</f>
        <v>66502.460000000006</v>
      </c>
      <c r="M22" s="650">
        <f>+VLOOKUP(B22,'[51]Payroll Report Pivot'!$E:$H,4,FALSE)</f>
        <v>26.95</v>
      </c>
      <c r="N22" s="658">
        <f t="shared" si="0"/>
        <v>3.3395176252319192E-2</v>
      </c>
      <c r="O22" s="659" t="str">
        <f t="shared" si="1"/>
        <v>27.85</v>
      </c>
      <c r="P22" s="660">
        <f t="shared" si="4"/>
        <v>58037.821824050006</v>
      </c>
      <c r="Q22" s="660">
        <f t="shared" si="5"/>
        <v>12951.642653175002</v>
      </c>
      <c r="R22" s="660">
        <f t="shared" si="6"/>
        <v>0</v>
      </c>
      <c r="S22" s="649">
        <f t="shared" si="7"/>
        <v>74014.464477225003</v>
      </c>
      <c r="T22" s="649">
        <f t="shared" si="8"/>
        <v>250</v>
      </c>
      <c r="U22" s="652">
        <f t="shared" si="9"/>
        <v>74264.464477225003</v>
      </c>
      <c r="V22" s="598" t="str">
        <f>VLOOKUP(B22,'[51]2180 Job Descriptions'!J:M,4,FALSE)</f>
        <v>PCS</v>
      </c>
      <c r="W22" s="598">
        <v>5002</v>
      </c>
      <c r="X22" s="599">
        <f t="shared" si="10"/>
        <v>7762.0044772249967</v>
      </c>
    </row>
    <row r="23" spans="1:27">
      <c r="A23" s="655">
        <v>2180</v>
      </c>
      <c r="B23" s="577" t="s">
        <v>1287</v>
      </c>
      <c r="C23" s="656" t="s">
        <v>1288</v>
      </c>
      <c r="D23" s="657" t="str">
        <f>VLOOKUP(B23,'[51]2180 Job Descriptions'!E:G,3,FALSE)</f>
        <v>Garbage-ASL</v>
      </c>
      <c r="E23" s="649">
        <f>+VLOOKUP($B23,'[51]Payroll Report Pivot'!$O:$Q,3,FALSE)</f>
        <v>2029.4533279999996</v>
      </c>
      <c r="F23" s="650">
        <f>+VLOOKUP($B23,'[51]Payroll Report Pivot'!$O:$R,4,FALSE)</f>
        <v>54041.47</v>
      </c>
      <c r="G23" s="649">
        <f>+VLOOKUP(B23,'[51]Payroll Report Pivot'!$Y:$AA,3,FALSE)</f>
        <v>39.066665</v>
      </c>
      <c r="H23" s="650">
        <f>+VLOOKUP($B23,'[51]Payroll Report Pivot'!$Y:$AB,4,FALSE)</f>
        <v>1598.2999999999997</v>
      </c>
      <c r="I23" s="650">
        <f t="shared" si="2"/>
        <v>55639.770000000004</v>
      </c>
      <c r="J23" s="649">
        <f>+IFERROR(VLOOKUP(B23,'[51]Payroll Report Pivot'!$AH:$AJ,3,FALSE),0)</f>
        <v>2000.0000000000002</v>
      </c>
      <c r="K23" s="649">
        <f>IFERROR(VLOOKUP(B23,'[51]Payroll Report Pivot'!$AP:$AR,3,FALSE),0)</f>
        <v>1428.94</v>
      </c>
      <c r="L23" s="649">
        <f t="shared" si="3"/>
        <v>59068.710000000006</v>
      </c>
      <c r="M23" s="650">
        <f>+VLOOKUP(B23,'[51]Payroll Report Pivot'!$E:$H,4,FALSE)</f>
        <v>26.95</v>
      </c>
      <c r="N23" s="658">
        <f t="shared" si="0"/>
        <v>3.3395176252319192E-2</v>
      </c>
      <c r="O23" s="659" t="str">
        <f t="shared" si="1"/>
        <v>27.85</v>
      </c>
      <c r="P23" s="660">
        <f t="shared" si="4"/>
        <v>56520.27518479999</v>
      </c>
      <c r="Q23" s="660">
        <f t="shared" si="5"/>
        <v>1632.0099303749998</v>
      </c>
      <c r="R23" s="660">
        <f t="shared" si="6"/>
        <v>1476.6597031539891</v>
      </c>
      <c r="S23" s="649">
        <f t="shared" si="7"/>
        <v>61628.944818328979</v>
      </c>
      <c r="T23" s="649">
        <f t="shared" si="8"/>
        <v>250</v>
      </c>
      <c r="U23" s="652">
        <f t="shared" si="9"/>
        <v>61878.944818328979</v>
      </c>
      <c r="V23" s="598" t="str">
        <f>VLOOKUP(B23,'[51]2180 Job Descriptions'!J:M,4,FALSE)</f>
        <v>PCS</v>
      </c>
      <c r="W23" s="598">
        <v>5002</v>
      </c>
      <c r="X23" s="599">
        <f t="shared" si="10"/>
        <v>2810.2348183289723</v>
      </c>
      <c r="Z23" s="624"/>
      <c r="AA23" s="624"/>
    </row>
    <row r="24" spans="1:27">
      <c r="A24" s="655">
        <v>2180</v>
      </c>
      <c r="B24" s="577" t="s">
        <v>1289</v>
      </c>
      <c r="C24" s="656" t="s">
        <v>1290</v>
      </c>
      <c r="D24" s="657" t="str">
        <f>VLOOKUP(B24,'[51]2180 Job Descriptions'!E:G,3,FALSE)</f>
        <v>Garbage-ASL</v>
      </c>
      <c r="E24" s="649">
        <f>+VLOOKUP($B24,'[51]Payroll Report Pivot'!$O:$Q,3,FALSE)</f>
        <v>2039.713332</v>
      </c>
      <c r="F24" s="650">
        <f>+VLOOKUP($B24,'[51]Payroll Report Pivot'!$O:$R,4,FALSE)</f>
        <v>54514.41</v>
      </c>
      <c r="G24" s="649">
        <f>+VLOOKUP(B24,'[51]Payroll Report Pivot'!$Y:$AA,3,FALSE)</f>
        <v>51.983332000000011</v>
      </c>
      <c r="H24" s="650">
        <f>+VLOOKUP($B24,'[51]Payroll Report Pivot'!$Y:$AB,4,FALSE)</f>
        <v>2096.9299999999998</v>
      </c>
      <c r="I24" s="650">
        <f t="shared" si="2"/>
        <v>56611.340000000004</v>
      </c>
      <c r="J24" s="649">
        <f>+IFERROR(VLOOKUP(B24,'[51]Payroll Report Pivot'!$AH:$AJ,3,FALSE),0)</f>
        <v>3049.9999999999945</v>
      </c>
      <c r="K24" s="649">
        <f>IFERROR(VLOOKUP(B24,'[51]Payroll Report Pivot'!$AP:$AR,3,FALSE),0)</f>
        <v>1279.6699999999998</v>
      </c>
      <c r="L24" s="649">
        <f t="shared" si="3"/>
        <v>60941.009999999995</v>
      </c>
      <c r="M24" s="650">
        <f>+VLOOKUP(B24,'[51]Payroll Report Pivot'!$E:$H,4,FALSE)</f>
        <v>26.95</v>
      </c>
      <c r="N24" s="658">
        <f t="shared" si="0"/>
        <v>3.3395176252319192E-2</v>
      </c>
      <c r="O24" s="659" t="str">
        <f t="shared" si="1"/>
        <v>27.85</v>
      </c>
      <c r="P24" s="660">
        <f t="shared" si="4"/>
        <v>56806.016296200003</v>
      </c>
      <c r="Q24" s="660">
        <f t="shared" si="5"/>
        <v>2171.6036943000004</v>
      </c>
      <c r="R24" s="660">
        <f t="shared" si="6"/>
        <v>1322.4048051948052</v>
      </c>
      <c r="S24" s="649">
        <f t="shared" si="7"/>
        <v>63350.024795694801</v>
      </c>
      <c r="T24" s="649">
        <f t="shared" si="8"/>
        <v>250</v>
      </c>
      <c r="U24" s="652">
        <f t="shared" si="9"/>
        <v>63600.024795694801</v>
      </c>
      <c r="V24" s="598" t="str">
        <f>VLOOKUP(B24,'[51]2180 Job Descriptions'!J:M,4,FALSE)</f>
        <v>PCS</v>
      </c>
      <c r="W24" s="598">
        <v>5002</v>
      </c>
      <c r="X24" s="599">
        <f t="shared" si="10"/>
        <v>2659.0147956948058</v>
      </c>
    </row>
    <row r="25" spans="1:27">
      <c r="A25" s="655">
        <v>2180</v>
      </c>
      <c r="B25" s="577" t="s">
        <v>1291</v>
      </c>
      <c r="C25" s="656" t="s">
        <v>1292</v>
      </c>
      <c r="D25" s="657" t="str">
        <f>VLOOKUP(B25,'[51]2180 Job Descriptions'!E:G,3,FALSE)</f>
        <v>Garbage-ASL</v>
      </c>
      <c r="E25" s="649">
        <f>+VLOOKUP($B25,'[51]Payroll Report Pivot'!$O:$Q,3,FALSE)</f>
        <v>2070.1799979999996</v>
      </c>
      <c r="F25" s="650">
        <f>+VLOOKUP($B25,'[51]Payroll Report Pivot'!$O:$R,4,FALSE)</f>
        <v>55905.89</v>
      </c>
      <c r="G25" s="649">
        <f>+VLOOKUP(B25,'[51]Payroll Report Pivot'!$Y:$AA,3,FALSE)</f>
        <v>316.53332400000005</v>
      </c>
      <c r="H25" s="650">
        <f>+VLOOKUP($B25,'[51]Payroll Report Pivot'!$Y:$AB,4,FALSE)</f>
        <v>12842.31</v>
      </c>
      <c r="I25" s="650">
        <f t="shared" si="2"/>
        <v>68748.2</v>
      </c>
      <c r="J25" s="649">
        <f>+IFERROR(VLOOKUP(B25,'[51]Payroll Report Pivot'!$AH:$AJ,3,FALSE),0)</f>
        <v>1024.9999999999993</v>
      </c>
      <c r="K25" s="649">
        <f>IFERROR(VLOOKUP(B25,'[51]Payroll Report Pivot'!$AP:$AR,3,FALSE),0)</f>
        <v>0</v>
      </c>
      <c r="L25" s="649">
        <f t="shared" si="3"/>
        <v>69773.2</v>
      </c>
      <c r="M25" s="650">
        <f>+VLOOKUP(B25,'[51]Payroll Report Pivot'!$E:$H,4,FALSE)</f>
        <v>26.95</v>
      </c>
      <c r="N25" s="658">
        <f t="shared" si="0"/>
        <v>3.3395176252319192E-2</v>
      </c>
      <c r="O25" s="659" t="str">
        <f t="shared" si="1"/>
        <v>27.85</v>
      </c>
      <c r="P25" s="660">
        <f t="shared" si="4"/>
        <v>57654.51294429999</v>
      </c>
      <c r="Q25" s="660">
        <f t="shared" si="5"/>
        <v>13223.179610100004</v>
      </c>
      <c r="R25" s="660">
        <f t="shared" si="6"/>
        <v>0</v>
      </c>
      <c r="S25" s="649">
        <f t="shared" si="7"/>
        <v>71902.692554399997</v>
      </c>
      <c r="T25" s="649">
        <f t="shared" si="8"/>
        <v>250</v>
      </c>
      <c r="U25" s="652">
        <f t="shared" si="9"/>
        <v>72152.692554399997</v>
      </c>
      <c r="V25" s="598" t="str">
        <f>VLOOKUP(B25,'[51]2180 Job Descriptions'!J:M,4,FALSE)</f>
        <v>PCS</v>
      </c>
      <c r="W25" s="598">
        <v>5002</v>
      </c>
      <c r="X25" s="599">
        <f t="shared" si="10"/>
        <v>2379.4925543999998</v>
      </c>
    </row>
    <row r="26" spans="1:27">
      <c r="A26" s="655">
        <v>2180</v>
      </c>
      <c r="B26" s="577" t="s">
        <v>1293</v>
      </c>
      <c r="C26" s="656" t="s">
        <v>1294</v>
      </c>
      <c r="D26" s="657" t="str">
        <f>VLOOKUP(B26,'[51]2180 Job Descriptions'!E:G,3,FALSE)</f>
        <v>Garbage-ASL</v>
      </c>
      <c r="E26" s="649">
        <f>+VLOOKUP($B26,'[51]Payroll Report Pivot'!$O:$Q,3,FALSE)</f>
        <v>1994.6000000000001</v>
      </c>
      <c r="F26" s="650">
        <f>+VLOOKUP($B26,'[51]Payroll Report Pivot'!$O:$R,4,FALSE)</f>
        <v>53335.729999999989</v>
      </c>
      <c r="G26" s="649">
        <f>+VLOOKUP(B26,'[51]Payroll Report Pivot'!$Y:$AA,3,FALSE)</f>
        <v>231.18333499999997</v>
      </c>
      <c r="H26" s="650">
        <f>+VLOOKUP($B26,'[51]Payroll Report Pivot'!$Y:$AB,4,FALSE)</f>
        <v>9240.1500000000015</v>
      </c>
      <c r="I26" s="650">
        <f t="shared" si="2"/>
        <v>62575.87999999999</v>
      </c>
      <c r="J26" s="649">
        <f>+IFERROR(VLOOKUP(B26,'[51]Payroll Report Pivot'!$AH:$AJ,3,FALSE),0)</f>
        <v>1024.9999999999995</v>
      </c>
      <c r="K26" s="649">
        <f>IFERROR(VLOOKUP(B26,'[51]Payroll Report Pivot'!$AP:$AR,3,FALSE),0)</f>
        <v>1087.3599999999999</v>
      </c>
      <c r="L26" s="649">
        <f t="shared" si="3"/>
        <v>64688.239999999991</v>
      </c>
      <c r="M26" s="650">
        <f>+VLOOKUP(B26,'[51]Payroll Report Pivot'!$E:$H,4,FALSE)</f>
        <v>26.95</v>
      </c>
      <c r="N26" s="658">
        <f t="shared" si="0"/>
        <v>3.3395176252319192E-2</v>
      </c>
      <c r="O26" s="659" t="str">
        <f t="shared" si="1"/>
        <v>27.85</v>
      </c>
      <c r="P26" s="660">
        <f t="shared" si="4"/>
        <v>55549.610000000008</v>
      </c>
      <c r="Q26" s="660">
        <f t="shared" si="5"/>
        <v>9657.6838196249992</v>
      </c>
      <c r="R26" s="660">
        <f t="shared" si="6"/>
        <v>1123.6725788497217</v>
      </c>
      <c r="S26" s="649">
        <f t="shared" si="7"/>
        <v>67355.966398474731</v>
      </c>
      <c r="T26" s="649">
        <f t="shared" si="8"/>
        <v>250</v>
      </c>
      <c r="U26" s="652">
        <f t="shared" si="9"/>
        <v>67605.966398474731</v>
      </c>
      <c r="V26" s="598" t="str">
        <f>VLOOKUP(B26,'[51]2180 Job Descriptions'!J:M,4,FALSE)</f>
        <v>PCS</v>
      </c>
      <c r="W26" s="598">
        <v>5002</v>
      </c>
      <c r="X26" s="599">
        <f t="shared" si="10"/>
        <v>2917.7263984747406</v>
      </c>
    </row>
    <row r="27" spans="1:27">
      <c r="A27" s="655">
        <v>2180</v>
      </c>
      <c r="B27" s="577" t="s">
        <v>1295</v>
      </c>
      <c r="C27" s="656" t="s">
        <v>1296</v>
      </c>
      <c r="D27" s="657" t="str">
        <f>VLOOKUP(B27,'[51]2180 Job Descriptions'!E:G,3,FALSE)</f>
        <v>Garbage-ASL</v>
      </c>
      <c r="E27" s="649">
        <f>+VLOOKUP($B27,'[51]Payroll Report Pivot'!$O:$Q,3,FALSE)</f>
        <v>1906.1633330000002</v>
      </c>
      <c r="F27" s="650">
        <f>+VLOOKUP($B27,'[51]Payroll Report Pivot'!$O:$R,4,FALSE)</f>
        <v>50908.759999999995</v>
      </c>
      <c r="G27" s="649">
        <f>+VLOOKUP(B27,'[51]Payroll Report Pivot'!$Y:$AA,3,FALSE)</f>
        <v>182.43333100000001</v>
      </c>
      <c r="H27" s="650">
        <f>+VLOOKUP($B27,'[51]Payroll Report Pivot'!$Y:$AB,4,FALSE)</f>
        <v>7257.46</v>
      </c>
      <c r="I27" s="650">
        <f t="shared" si="2"/>
        <v>58166.219999999994</v>
      </c>
      <c r="J27" s="649">
        <f>+IFERROR(VLOOKUP(B27,'[51]Payroll Report Pivot'!$AH:$AJ,3,FALSE),0)</f>
        <v>199.99999999999991</v>
      </c>
      <c r="K27" s="649">
        <f>IFERROR(VLOOKUP(B27,'[51]Payroll Report Pivot'!$AP:$AR,3,FALSE),0)</f>
        <v>19.239999999999998</v>
      </c>
      <c r="L27" s="649">
        <f t="shared" si="3"/>
        <v>58385.459999999992</v>
      </c>
      <c r="M27" s="650">
        <f>+VLOOKUP(B27,'[51]Payroll Report Pivot'!$E:$H,4,FALSE)</f>
        <v>26.95</v>
      </c>
      <c r="N27" s="658">
        <f t="shared" si="0"/>
        <v>3.3395176252319192E-2</v>
      </c>
      <c r="O27" s="659" t="str">
        <f t="shared" si="1"/>
        <v>27.85</v>
      </c>
      <c r="P27" s="660">
        <f t="shared" si="4"/>
        <v>53086.648824050011</v>
      </c>
      <c r="Q27" s="660">
        <f t="shared" si="5"/>
        <v>7621.152402525001</v>
      </c>
      <c r="R27" s="660">
        <f t="shared" si="6"/>
        <v>19.88252319109462</v>
      </c>
      <c r="S27" s="649">
        <f t="shared" si="7"/>
        <v>60927.683749766111</v>
      </c>
      <c r="T27" s="649">
        <f t="shared" si="8"/>
        <v>250</v>
      </c>
      <c r="U27" s="652">
        <f t="shared" si="9"/>
        <v>61177.683749766111</v>
      </c>
      <c r="V27" s="598" t="str">
        <f>VLOOKUP(B27,'[51]2180 Job Descriptions'!J:M,4,FALSE)</f>
        <v>PCS</v>
      </c>
      <c r="W27" s="598">
        <v>5002</v>
      </c>
      <c r="X27" s="599">
        <f t="shared" si="10"/>
        <v>2792.223749766119</v>
      </c>
    </row>
    <row r="28" spans="1:27">
      <c r="A28" s="655">
        <v>2180</v>
      </c>
      <c r="B28" s="577" t="s">
        <v>1297</v>
      </c>
      <c r="C28" s="656" t="s">
        <v>1298</v>
      </c>
      <c r="D28" s="657" t="str">
        <f>VLOOKUP(B28,'[51]2180 Job Descriptions'!E:G,3,FALSE)</f>
        <v>Garbage-ASL</v>
      </c>
      <c r="E28" s="649">
        <f>+VLOOKUP($B28,'[51]Payroll Report Pivot'!$O:$Q,3,FALSE)</f>
        <v>2117.6999999999998</v>
      </c>
      <c r="F28" s="650">
        <f>+VLOOKUP($B28,'[51]Payroll Report Pivot'!$O:$R,4,FALSE)</f>
        <v>56361.87999999999</v>
      </c>
      <c r="G28" s="649">
        <f>+VLOOKUP(B28,'[51]Payroll Report Pivot'!$Y:$AA,3,FALSE)</f>
        <v>560.91666799999996</v>
      </c>
      <c r="H28" s="650">
        <f>+VLOOKUP($B28,'[51]Payroll Report Pivot'!$Y:$AB,4,FALSE)</f>
        <v>22574.280000000006</v>
      </c>
      <c r="I28" s="650">
        <f t="shared" si="2"/>
        <v>78936.160000000003</v>
      </c>
      <c r="J28" s="649">
        <f>+IFERROR(VLOOKUP(B28,'[51]Payroll Report Pivot'!$AH:$AJ,3,FALSE),0)</f>
        <v>1024.9999999999993</v>
      </c>
      <c r="K28" s="649">
        <f>IFERROR(VLOOKUP(B28,'[51]Payroll Report Pivot'!$AP:$AR,3,FALSE),0)</f>
        <v>2859.99</v>
      </c>
      <c r="L28" s="649">
        <f t="shared" si="3"/>
        <v>82821.150000000009</v>
      </c>
      <c r="M28" s="650">
        <f>+VLOOKUP(B28,'[51]Payroll Report Pivot'!$E:$H,4,FALSE)</f>
        <v>26.95</v>
      </c>
      <c r="N28" s="658">
        <f t="shared" si="0"/>
        <v>3.3395176252319192E-2</v>
      </c>
      <c r="O28" s="659" t="str">
        <f t="shared" si="1"/>
        <v>27.85</v>
      </c>
      <c r="P28" s="660">
        <f t="shared" si="4"/>
        <v>58977.945</v>
      </c>
      <c r="Q28" s="660">
        <f t="shared" si="5"/>
        <v>23432.293805699999</v>
      </c>
      <c r="R28" s="660">
        <f t="shared" si="6"/>
        <v>2955.4998701298705</v>
      </c>
      <c r="S28" s="649">
        <f t="shared" si="7"/>
        <v>86390.738675829882</v>
      </c>
      <c r="T28" s="649">
        <f t="shared" si="8"/>
        <v>250</v>
      </c>
      <c r="U28" s="652">
        <f t="shared" si="9"/>
        <v>86640.738675829882</v>
      </c>
      <c r="V28" s="598" t="str">
        <f>VLOOKUP(B28,'[51]2180 Job Descriptions'!J:M,4,FALSE)</f>
        <v>PCS</v>
      </c>
      <c r="W28" s="598">
        <v>5002</v>
      </c>
      <c r="X28" s="599">
        <f t="shared" si="10"/>
        <v>3819.588675829873</v>
      </c>
    </row>
    <row r="29" spans="1:27">
      <c r="A29" s="655">
        <v>2180</v>
      </c>
      <c r="B29" s="577" t="s">
        <v>1299</v>
      </c>
      <c r="C29" s="656" t="s">
        <v>1300</v>
      </c>
      <c r="D29" s="657" t="str">
        <f>VLOOKUP(B29,'[51]2180 Job Descriptions'!E:G,3,FALSE)</f>
        <v>Garbage-ASL</v>
      </c>
      <c r="E29" s="649">
        <f>+VLOOKUP($B29,'[51]Payroll Report Pivot'!$O:$Q,3,FALSE)</f>
        <v>1991.8366669999998</v>
      </c>
      <c r="F29" s="650">
        <f>+VLOOKUP($B29,'[51]Payroll Report Pivot'!$O:$R,4,FALSE)</f>
        <v>53265.229999999989</v>
      </c>
      <c r="G29" s="649">
        <f>+VLOOKUP(B29,'[51]Payroll Report Pivot'!$Y:$AA,3,FALSE)</f>
        <v>154.40000500000002</v>
      </c>
      <c r="H29" s="650">
        <f>+VLOOKUP($B29,'[51]Payroll Report Pivot'!$Y:$AB,4,FALSE)</f>
        <v>6316.3200000000006</v>
      </c>
      <c r="I29" s="650">
        <f t="shared" si="2"/>
        <v>59581.549999999988</v>
      </c>
      <c r="J29" s="649">
        <f>+IFERROR(VLOOKUP(B29,'[51]Payroll Report Pivot'!$AH:$AJ,3,FALSE),0)</f>
        <v>2774.9999999999955</v>
      </c>
      <c r="K29" s="649">
        <f>IFERROR(VLOOKUP(B29,'[51]Payroll Report Pivot'!$AP:$AR,3,FALSE),0)</f>
        <v>1038</v>
      </c>
      <c r="L29" s="649">
        <f t="shared" si="3"/>
        <v>63394.549999999981</v>
      </c>
      <c r="M29" s="650">
        <f>+VLOOKUP(B29,'[51]Payroll Report Pivot'!$E:$H,4,FALSE)</f>
        <v>26.95</v>
      </c>
      <c r="N29" s="658">
        <f t="shared" si="0"/>
        <v>3.3395176252319192E-2</v>
      </c>
      <c r="O29" s="659" t="str">
        <f t="shared" si="1"/>
        <v>27.85</v>
      </c>
      <c r="P29" s="660">
        <f t="shared" si="4"/>
        <v>55472.651175949999</v>
      </c>
      <c r="Q29" s="660">
        <f t="shared" si="5"/>
        <v>6450.0602088750011</v>
      </c>
      <c r="R29" s="660">
        <f t="shared" si="6"/>
        <v>1072.6641929499074</v>
      </c>
      <c r="S29" s="649">
        <f t="shared" si="7"/>
        <v>65770.375577774903</v>
      </c>
      <c r="T29" s="649">
        <f t="shared" si="8"/>
        <v>250</v>
      </c>
      <c r="U29" s="652">
        <f t="shared" si="9"/>
        <v>66020.375577774903</v>
      </c>
      <c r="V29" s="598" t="str">
        <f>VLOOKUP(B29,'[51]2180 Job Descriptions'!J:M,4,FALSE)</f>
        <v>PCS</v>
      </c>
      <c r="W29" s="598">
        <v>5002</v>
      </c>
      <c r="X29" s="599">
        <f t="shared" si="10"/>
        <v>2625.8255777749218</v>
      </c>
    </row>
    <row r="30" spans="1:27">
      <c r="A30" s="655">
        <v>2180</v>
      </c>
      <c r="B30" s="577" t="s">
        <v>1301</v>
      </c>
      <c r="C30" s="656" t="s">
        <v>1302</v>
      </c>
      <c r="D30" s="657" t="str">
        <f>VLOOKUP(B30,'[51]2180 Job Descriptions'!E:G,3,FALSE)</f>
        <v>Garbage-ASL</v>
      </c>
      <c r="E30" s="649">
        <f>+VLOOKUP($B30,'[51]Payroll Report Pivot'!$O:$Q,3,FALSE)</f>
        <v>2060.7333349999999</v>
      </c>
      <c r="F30" s="650">
        <f>+VLOOKUP($B30,'[51]Payroll Report Pivot'!$O:$R,4,FALSE)</f>
        <v>55058.86</v>
      </c>
      <c r="G30" s="649">
        <f>+VLOOKUP(B30,'[51]Payroll Report Pivot'!$Y:$AA,3,FALSE)</f>
        <v>256.10000300000002</v>
      </c>
      <c r="H30" s="650">
        <f>+VLOOKUP($B30,'[51]Payroll Report Pivot'!$Y:$AB,4,FALSE)</f>
        <v>10409.640000000001</v>
      </c>
      <c r="I30" s="650">
        <f t="shared" si="2"/>
        <v>65468.5</v>
      </c>
      <c r="J30" s="649">
        <f>+IFERROR(VLOOKUP(B30,'[51]Payroll Report Pivot'!$AH:$AJ,3,FALSE),0)</f>
        <v>1175.0000000000005</v>
      </c>
      <c r="K30" s="649">
        <f>IFERROR(VLOOKUP(B30,'[51]Payroll Report Pivot'!$AP:$AR,3,FALSE),0)</f>
        <v>3730.58</v>
      </c>
      <c r="L30" s="649">
        <f t="shared" si="3"/>
        <v>70374.080000000002</v>
      </c>
      <c r="M30" s="650">
        <f>+VLOOKUP(B30,'[51]Payroll Report Pivot'!$E:$H,4,FALSE)</f>
        <v>26.95</v>
      </c>
      <c r="N30" s="658">
        <f t="shared" si="0"/>
        <v>3.3395176252319192E-2</v>
      </c>
      <c r="O30" s="659" t="str">
        <f t="shared" si="1"/>
        <v>27.85</v>
      </c>
      <c r="P30" s="660">
        <f t="shared" si="4"/>
        <v>57391.423379749998</v>
      </c>
      <c r="Q30" s="660">
        <f t="shared" si="5"/>
        <v>10698.577625325001</v>
      </c>
      <c r="R30" s="660">
        <f t="shared" si="6"/>
        <v>3855.1633766233772</v>
      </c>
      <c r="S30" s="649">
        <f t="shared" si="7"/>
        <v>73120.164381698371</v>
      </c>
      <c r="T30" s="649">
        <f t="shared" si="8"/>
        <v>250</v>
      </c>
      <c r="U30" s="652">
        <f t="shared" si="9"/>
        <v>73370.164381698371</v>
      </c>
      <c r="V30" s="598" t="str">
        <f>VLOOKUP(B30,'[51]2180 Job Descriptions'!J:M,4,FALSE)</f>
        <v>PCS</v>
      </c>
      <c r="W30" s="598">
        <v>5002</v>
      </c>
      <c r="X30" s="599">
        <f t="shared" si="10"/>
        <v>2996.0843816983688</v>
      </c>
    </row>
    <row r="31" spans="1:27">
      <c r="A31" s="655">
        <v>2180</v>
      </c>
      <c r="B31" s="577" t="s">
        <v>1303</v>
      </c>
      <c r="C31" s="656" t="s">
        <v>1304</v>
      </c>
      <c r="D31" s="657" t="str">
        <f>VLOOKUP(B31,'[51]2180 Job Descriptions'!E:G,3,FALSE)</f>
        <v>Garbage-ASL</v>
      </c>
      <c r="E31" s="649">
        <f>+VLOOKUP($B31,'[51]Payroll Report Pivot'!$O:$Q,3,FALSE)</f>
        <v>2034.033334</v>
      </c>
      <c r="F31" s="650">
        <f>+VLOOKUP($B31,'[51]Payroll Report Pivot'!$O:$R,4,FALSE)</f>
        <v>54573.579999999994</v>
      </c>
      <c r="G31" s="649">
        <f>+VLOOKUP(B31,'[51]Payroll Report Pivot'!$Y:$AA,3,FALSE)</f>
        <v>201.66666600000005</v>
      </c>
      <c r="H31" s="650">
        <f>+VLOOKUP($B31,'[51]Payroll Report Pivot'!$Y:$AB,4,FALSE)</f>
        <v>8061.54</v>
      </c>
      <c r="I31" s="650">
        <f t="shared" si="2"/>
        <v>62635.119999999995</v>
      </c>
      <c r="J31" s="649">
        <f>+IFERROR(VLOOKUP(B31,'[51]Payroll Report Pivot'!$AH:$AJ,3,FALSE),0)</f>
        <v>774.99999999999955</v>
      </c>
      <c r="K31" s="649">
        <f>IFERROR(VLOOKUP(B31,'[51]Payroll Report Pivot'!$AP:$AR,3,FALSE),0)</f>
        <v>4812.5200000000004</v>
      </c>
      <c r="L31" s="649">
        <f t="shared" si="3"/>
        <v>68222.64</v>
      </c>
      <c r="M31" s="650">
        <f>+VLOOKUP(B31,'[51]Payroll Report Pivot'!$E:$H,4,FALSE)</f>
        <v>26.95</v>
      </c>
      <c r="N31" s="658">
        <f t="shared" si="0"/>
        <v>3.3395176252319192E-2</v>
      </c>
      <c r="O31" s="659" t="str">
        <f t="shared" si="1"/>
        <v>27.85</v>
      </c>
      <c r="P31" s="660">
        <f t="shared" si="4"/>
        <v>56647.828351900003</v>
      </c>
      <c r="Q31" s="660">
        <f t="shared" si="5"/>
        <v>8424.6249721500026</v>
      </c>
      <c r="R31" s="660">
        <f t="shared" si="6"/>
        <v>4973.2349536178117</v>
      </c>
      <c r="S31" s="649">
        <f t="shared" si="7"/>
        <v>70820.68827766781</v>
      </c>
      <c r="T31" s="649">
        <f t="shared" si="8"/>
        <v>250</v>
      </c>
      <c r="U31" s="652">
        <f t="shared" si="9"/>
        <v>71070.68827766781</v>
      </c>
      <c r="V31" s="598" t="str">
        <f>VLOOKUP(B31,'[51]2180 Job Descriptions'!J:M,4,FALSE)</f>
        <v>PCS</v>
      </c>
      <c r="W31" s="598">
        <v>5002</v>
      </c>
      <c r="X31" s="599">
        <f t="shared" si="10"/>
        <v>2848.0482776678109</v>
      </c>
    </row>
    <row r="32" spans="1:27">
      <c r="A32" s="655">
        <v>2180</v>
      </c>
      <c r="B32" s="577" t="s">
        <v>1305</v>
      </c>
      <c r="C32" s="656" t="s">
        <v>1306</v>
      </c>
      <c r="D32" s="657" t="str">
        <f>VLOOKUP(B32,'[51]2180 Job Descriptions'!E:G,3,FALSE)</f>
        <v>Garbage-ASL</v>
      </c>
      <c r="E32" s="649">
        <f>+VLOOKUP($B32,'[51]Payroll Report Pivot'!$O:$Q,3,FALSE)</f>
        <v>2047.8200020000002</v>
      </c>
      <c r="F32" s="650">
        <f>+VLOOKUP($B32,'[51]Payroll Report Pivot'!$O:$R,4,FALSE)</f>
        <v>54524.159999999996</v>
      </c>
      <c r="G32" s="649">
        <f>+VLOOKUP(B32,'[51]Payroll Report Pivot'!$Y:$AA,3,FALSE)</f>
        <v>535.7333339999999</v>
      </c>
      <c r="H32" s="650">
        <f>+VLOOKUP($B32,'[51]Payroll Report Pivot'!$Y:$AB,4,FALSE)</f>
        <v>21659.279999999992</v>
      </c>
      <c r="I32" s="650">
        <f t="shared" si="2"/>
        <v>76183.439999999988</v>
      </c>
      <c r="J32" s="649">
        <f>+IFERROR(VLOOKUP(B32,'[51]Payroll Report Pivot'!$AH:$AJ,3,FALSE),0)</f>
        <v>1075.0000000000002</v>
      </c>
      <c r="K32" s="649">
        <f>IFERROR(VLOOKUP(B32,'[51]Payroll Report Pivot'!$AP:$AR,3,FALSE),0)</f>
        <v>4433.38</v>
      </c>
      <c r="L32" s="649">
        <f t="shared" si="3"/>
        <v>81691.819999999992</v>
      </c>
      <c r="M32" s="650">
        <f>+VLOOKUP(B32,'[51]Payroll Report Pivot'!$E:$H,4,FALSE)</f>
        <v>26.95</v>
      </c>
      <c r="N32" s="658">
        <f t="shared" si="0"/>
        <v>3.3395176252319192E-2</v>
      </c>
      <c r="O32" s="659" t="str">
        <f t="shared" si="1"/>
        <v>27.85</v>
      </c>
      <c r="P32" s="660">
        <f t="shared" si="4"/>
        <v>57031.787055700006</v>
      </c>
      <c r="Q32" s="660">
        <f t="shared" si="5"/>
        <v>22380.260027849996</v>
      </c>
      <c r="R32" s="660">
        <f t="shared" si="6"/>
        <v>4581.4335064935076</v>
      </c>
      <c r="S32" s="649">
        <f t="shared" si="7"/>
        <v>85068.480590043502</v>
      </c>
      <c r="T32" s="649">
        <f t="shared" si="8"/>
        <v>250</v>
      </c>
      <c r="U32" s="652">
        <f t="shared" si="9"/>
        <v>85318.480590043502</v>
      </c>
      <c r="V32" s="598" t="str">
        <f>VLOOKUP(B32,'[51]2180 Job Descriptions'!J:M,4,FALSE)</f>
        <v>PCS</v>
      </c>
      <c r="W32" s="598">
        <v>5002</v>
      </c>
      <c r="X32" s="599">
        <f t="shared" si="10"/>
        <v>3626.6605900435097</v>
      </c>
    </row>
    <row r="33" spans="1:25">
      <c r="A33" s="655">
        <v>2180</v>
      </c>
      <c r="B33" s="577" t="s">
        <v>1307</v>
      </c>
      <c r="C33" s="656" t="s">
        <v>1308</v>
      </c>
      <c r="D33" s="657" t="str">
        <f>VLOOKUP(B33,'[51]2180 Job Descriptions'!E:G,3,FALSE)</f>
        <v>Garbage-ASL</v>
      </c>
      <c r="E33" s="649">
        <f>+VLOOKUP($B33,'[51]Payroll Report Pivot'!$O:$Q,3,FALSE)</f>
        <v>2067.6</v>
      </c>
      <c r="F33" s="650">
        <f>+VLOOKUP($B33,'[51]Payroll Report Pivot'!$O:$R,4,FALSE)</f>
        <v>52020.249999999993</v>
      </c>
      <c r="G33" s="649">
        <f>+VLOOKUP(B33,'[51]Payroll Report Pivot'!$Y:$AA,3,FALSE)</f>
        <v>435.08333700000003</v>
      </c>
      <c r="H33" s="650">
        <f>+VLOOKUP($B33,'[51]Payroll Report Pivot'!$Y:$AB,4,FALSE)</f>
        <v>16188.660000000003</v>
      </c>
      <c r="I33" s="650">
        <f t="shared" si="2"/>
        <v>68208.91</v>
      </c>
      <c r="J33" s="649">
        <f>+IFERROR(VLOOKUP(B33,'[51]Payroll Report Pivot'!$AH:$AJ,3,FALSE),0)</f>
        <v>1024.9999999999993</v>
      </c>
      <c r="K33" s="649">
        <f>IFERROR(VLOOKUP(B33,'[51]Payroll Report Pivot'!$AP:$AR,3,FALSE),0)</f>
        <v>0</v>
      </c>
      <c r="L33" s="649">
        <f t="shared" si="3"/>
        <v>69233.91</v>
      </c>
      <c r="M33" s="650">
        <f>+VLOOKUP(B33,'[51]Payroll Report Pivot'!$E:$H,4,FALSE)</f>
        <v>22.1</v>
      </c>
      <c r="N33" s="658">
        <f t="shared" si="0"/>
        <v>0.26018099547511309</v>
      </c>
      <c r="O33" s="659" t="str">
        <f t="shared" si="1"/>
        <v>27.85</v>
      </c>
      <c r="P33" s="660">
        <f t="shared" si="4"/>
        <v>57582.66</v>
      </c>
      <c r="Q33" s="660">
        <f t="shared" si="5"/>
        <v>18175.606403175003</v>
      </c>
      <c r="R33" s="660">
        <f t="shared" si="6"/>
        <v>0</v>
      </c>
      <c r="S33" s="649">
        <f t="shared" si="7"/>
        <v>76783.266403175003</v>
      </c>
      <c r="T33" s="649">
        <f t="shared" si="8"/>
        <v>250</v>
      </c>
      <c r="U33" s="652">
        <f t="shared" si="9"/>
        <v>77033.266403175003</v>
      </c>
      <c r="V33" s="598" t="str">
        <f>VLOOKUP(B33,'[51]2180 Job Descriptions'!J:M,4,FALSE)</f>
        <v>PCS</v>
      </c>
      <c r="W33" s="598">
        <v>5002</v>
      </c>
      <c r="X33" s="599">
        <f t="shared" si="10"/>
        <v>7799.3564031749993</v>
      </c>
    </row>
    <row r="34" spans="1:25">
      <c r="A34" s="655">
        <v>2180</v>
      </c>
      <c r="B34" s="577" t="s">
        <v>1309</v>
      </c>
      <c r="C34" s="656" t="s">
        <v>1310</v>
      </c>
      <c r="D34" s="657" t="str">
        <f>VLOOKUP(B34,'[51]2180 Job Descriptions'!E:G,3,FALSE)</f>
        <v>Garbage-ASL</v>
      </c>
      <c r="E34" s="649">
        <f>+VLOOKUP($B34,'[51]Payroll Report Pivot'!$O:$Q,3,FALSE)</f>
        <v>2079.573335</v>
      </c>
      <c r="F34" s="650">
        <f>+VLOOKUP($B34,'[51]Payroll Report Pivot'!$O:$R,4,FALSE)</f>
        <v>55593.63</v>
      </c>
      <c r="G34" s="649">
        <f>+VLOOKUP(B34,'[51]Payroll Report Pivot'!$Y:$AA,3,FALSE)</f>
        <v>299.21666900000008</v>
      </c>
      <c r="H34" s="650">
        <f>+VLOOKUP($B34,'[51]Payroll Report Pivot'!$Y:$AB,4,FALSE)</f>
        <v>12129.869999999999</v>
      </c>
      <c r="I34" s="650">
        <f t="shared" si="2"/>
        <v>67723.5</v>
      </c>
      <c r="J34" s="649">
        <f>+IFERROR(VLOOKUP(B34,'[51]Payroll Report Pivot'!$AH:$AJ,3,FALSE),0)</f>
        <v>3024.9999999999941</v>
      </c>
      <c r="K34" s="649">
        <f>IFERROR(VLOOKUP(B34,'[51]Payroll Report Pivot'!$AP:$AR,3,FALSE),0)</f>
        <v>0</v>
      </c>
      <c r="L34" s="649">
        <f t="shared" si="3"/>
        <v>70748.5</v>
      </c>
      <c r="M34" s="650">
        <f>+VLOOKUP(B34,'[51]Payroll Report Pivot'!$E:$H,4,FALSE)</f>
        <v>26.95</v>
      </c>
      <c r="N34" s="658">
        <f t="shared" si="0"/>
        <v>3.3395176252319192E-2</v>
      </c>
      <c r="O34" s="659" t="str">
        <f t="shared" si="1"/>
        <v>27.85</v>
      </c>
      <c r="P34" s="660">
        <f t="shared" si="4"/>
        <v>57916.117379750001</v>
      </c>
      <c r="Q34" s="660">
        <f t="shared" si="5"/>
        <v>12499.776347475003</v>
      </c>
      <c r="R34" s="660">
        <f t="shared" si="6"/>
        <v>0</v>
      </c>
      <c r="S34" s="649">
        <f t="shared" si="7"/>
        <v>73440.893727225004</v>
      </c>
      <c r="T34" s="649">
        <f t="shared" si="8"/>
        <v>250</v>
      </c>
      <c r="U34" s="652">
        <f t="shared" si="9"/>
        <v>73690.893727225004</v>
      </c>
      <c r="V34" s="598" t="str">
        <f>VLOOKUP(B34,'[51]2180 Job Descriptions'!J:M,4,FALSE)</f>
        <v>PCS</v>
      </c>
      <c r="W34" s="598">
        <v>5002</v>
      </c>
      <c r="X34" s="599">
        <f t="shared" si="10"/>
        <v>2942.3937272250041</v>
      </c>
    </row>
    <row r="35" spans="1:25">
      <c r="A35" s="655">
        <v>2180</v>
      </c>
      <c r="B35" s="577" t="s">
        <v>1311</v>
      </c>
      <c r="C35" s="656" t="s">
        <v>1312</v>
      </c>
      <c r="D35" s="657" t="str">
        <f>VLOOKUP(B35,'[51]2180 Job Descriptions'!E:G,3,FALSE)</f>
        <v>Garbage-ASL</v>
      </c>
      <c r="E35" s="649">
        <f>+VLOOKUP($B35,'[51]Payroll Report Pivot'!$O:$Q,3,FALSE)</f>
        <v>1983.7366649999999</v>
      </c>
      <c r="F35" s="650">
        <f>+VLOOKUP($B35,'[51]Payroll Report Pivot'!$O:$R,4,FALSE)</f>
        <v>52783.340000000004</v>
      </c>
      <c r="G35" s="649">
        <f>+VLOOKUP(B35,'[51]Payroll Report Pivot'!$Y:$AA,3,FALSE)</f>
        <v>56.216667000000001</v>
      </c>
      <c r="H35" s="650">
        <f>+VLOOKUP($B35,'[51]Payroll Report Pivot'!$Y:$AB,4,FALSE)</f>
        <v>2244.98</v>
      </c>
      <c r="I35" s="650">
        <f t="shared" si="2"/>
        <v>55028.320000000007</v>
      </c>
      <c r="J35" s="649">
        <f>+IFERROR(VLOOKUP(B35,'[51]Payroll Report Pivot'!$AH:$AJ,3,FALSE),0)</f>
        <v>1024.9999999999995</v>
      </c>
      <c r="K35" s="649">
        <f>IFERROR(VLOOKUP(B35,'[51]Payroll Report Pivot'!$AP:$AR,3,FALSE),0)</f>
        <v>1049.0899999999999</v>
      </c>
      <c r="L35" s="649">
        <f t="shared" si="3"/>
        <v>57102.41</v>
      </c>
      <c r="M35" s="650">
        <f>+VLOOKUP(B35,'[51]Payroll Report Pivot'!$E:$H,4,FALSE)</f>
        <v>26.95</v>
      </c>
      <c r="N35" s="658">
        <f t="shared" si="0"/>
        <v>3.3395176252319192E-2</v>
      </c>
      <c r="O35" s="659" t="str">
        <f t="shared" si="1"/>
        <v>27.85</v>
      </c>
      <c r="P35" s="660">
        <f t="shared" si="4"/>
        <v>55247.066120249998</v>
      </c>
      <c r="Q35" s="660">
        <f t="shared" si="5"/>
        <v>2348.4512639250001</v>
      </c>
      <c r="R35" s="660">
        <f t="shared" si="6"/>
        <v>1084.1245454545456</v>
      </c>
      <c r="S35" s="649">
        <f t="shared" si="7"/>
        <v>59704.641929629543</v>
      </c>
      <c r="T35" s="649">
        <f t="shared" si="8"/>
        <v>250</v>
      </c>
      <c r="U35" s="652">
        <f t="shared" si="9"/>
        <v>59954.641929629543</v>
      </c>
      <c r="V35" s="598" t="str">
        <f>VLOOKUP(B35,'[51]2180 Job Descriptions'!J:M,4,FALSE)</f>
        <v>PCS</v>
      </c>
      <c r="W35" s="598">
        <v>5002</v>
      </c>
      <c r="X35" s="599">
        <f t="shared" si="10"/>
        <v>2852.2319296295391</v>
      </c>
    </row>
    <row r="36" spans="1:25">
      <c r="A36" s="655">
        <v>2180</v>
      </c>
      <c r="B36" s="577" t="s">
        <v>1313</v>
      </c>
      <c r="C36" s="656" t="s">
        <v>1314</v>
      </c>
      <c r="D36" s="657" t="str">
        <f>VLOOKUP(B36,'[51]2180 Job Descriptions'!E:G,3,FALSE)</f>
        <v>Garbage-ASL</v>
      </c>
      <c r="E36" s="649">
        <f>+VLOOKUP($B36,'[51]Payroll Report Pivot'!$O:$Q,3,FALSE)</f>
        <v>2081.7166660000003</v>
      </c>
      <c r="F36" s="650">
        <f>+VLOOKUP($B36,'[51]Payroll Report Pivot'!$O:$R,4,FALSE)</f>
        <v>55403.749999999993</v>
      </c>
      <c r="G36" s="649">
        <f>+VLOOKUP(B36,'[51]Payroll Report Pivot'!$Y:$AA,3,FALSE)</f>
        <v>556.15000200000009</v>
      </c>
      <c r="H36" s="650">
        <f>+VLOOKUP($B36,'[51]Payroll Report Pivot'!$Y:$AB,4,FALSE)</f>
        <v>22282.07</v>
      </c>
      <c r="I36" s="650">
        <f t="shared" si="2"/>
        <v>77685.819999999992</v>
      </c>
      <c r="J36" s="649">
        <f>+IFERROR(VLOOKUP(B36,'[51]Payroll Report Pivot'!$AH:$AJ,3,FALSE),0)</f>
        <v>1075.0000000000002</v>
      </c>
      <c r="K36" s="649">
        <f>IFERROR(VLOOKUP(B36,'[51]Payroll Report Pivot'!$AP:$AR,3,FALSE),0)</f>
        <v>1562.18</v>
      </c>
      <c r="L36" s="649">
        <f t="shared" si="3"/>
        <v>80323</v>
      </c>
      <c r="M36" s="650">
        <f>+VLOOKUP(B36,'[51]Payroll Report Pivot'!$E:$H,4,FALSE)</f>
        <v>26.95</v>
      </c>
      <c r="N36" s="658">
        <f t="shared" si="0"/>
        <v>3.3395176252319192E-2</v>
      </c>
      <c r="O36" s="659" t="str">
        <f t="shared" si="1"/>
        <v>27.85</v>
      </c>
      <c r="P36" s="660">
        <f t="shared" si="4"/>
        <v>57975.809148100008</v>
      </c>
      <c r="Q36" s="660">
        <f t="shared" si="5"/>
        <v>23233.166333550005</v>
      </c>
      <c r="R36" s="660">
        <f t="shared" si="6"/>
        <v>1614.3492764378482</v>
      </c>
      <c r="S36" s="649">
        <f t="shared" si="7"/>
        <v>83898.324758087852</v>
      </c>
      <c r="T36" s="649">
        <f t="shared" si="8"/>
        <v>250</v>
      </c>
      <c r="U36" s="652">
        <f t="shared" si="9"/>
        <v>84148.324758087852</v>
      </c>
      <c r="V36" s="598" t="str">
        <f>VLOOKUP(B36,'[51]2180 Job Descriptions'!J:M,4,FALSE)</f>
        <v>PCS</v>
      </c>
      <c r="W36" s="598">
        <v>5002</v>
      </c>
      <c r="X36" s="599">
        <f t="shared" si="10"/>
        <v>3825.3247580878524</v>
      </c>
    </row>
    <row r="37" spans="1:25">
      <c r="A37" s="655">
        <v>2180</v>
      </c>
      <c r="B37" s="577" t="s">
        <v>1315</v>
      </c>
      <c r="C37" s="656" t="s">
        <v>1316</v>
      </c>
      <c r="D37" s="657" t="str">
        <f>VLOOKUP(B37,'[51]2180 Job Descriptions'!E:G,3,FALSE)</f>
        <v>Garbage-ASL</v>
      </c>
      <c r="E37" s="649">
        <f>+VLOOKUP($B37,'[51]Payroll Report Pivot'!$O:$Q,3,FALSE)</f>
        <v>2056.036666</v>
      </c>
      <c r="F37" s="650">
        <f>+VLOOKUP($B37,'[51]Payroll Report Pivot'!$O:$R,4,FALSE)</f>
        <v>53622.970000000008</v>
      </c>
      <c r="G37" s="649">
        <f>+VLOOKUP(B37,'[51]Payroll Report Pivot'!$Y:$AA,3,FALSE)</f>
        <v>367.6666679999999</v>
      </c>
      <c r="H37" s="650">
        <f>+VLOOKUP($B37,'[51]Payroll Report Pivot'!$Y:$AB,4,FALSE)</f>
        <v>14504.040000000005</v>
      </c>
      <c r="I37" s="650">
        <f t="shared" si="2"/>
        <v>68127.010000000009</v>
      </c>
      <c r="J37" s="649">
        <f>+IFERROR(VLOOKUP(B37,'[51]Payroll Report Pivot'!$AH:$AJ,3,FALSE),0)</f>
        <v>774.99999999999955</v>
      </c>
      <c r="K37" s="649">
        <f>IFERROR(VLOOKUP(B37,'[51]Payroll Report Pivot'!$AP:$AR,3,FALSE),0)</f>
        <v>0</v>
      </c>
      <c r="L37" s="649">
        <f t="shared" si="3"/>
        <v>68902.010000000009</v>
      </c>
      <c r="M37" s="650">
        <f>+VLOOKUP(B37,'[51]Payroll Report Pivot'!$E:$H,4,FALSE)</f>
        <v>26.95</v>
      </c>
      <c r="N37" s="658">
        <f t="shared" si="0"/>
        <v>3.3395176252319192E-2</v>
      </c>
      <c r="O37" s="659" t="str">
        <f t="shared" si="1"/>
        <v>27.85</v>
      </c>
      <c r="P37" s="660">
        <f t="shared" si="4"/>
        <v>57260.621148099999</v>
      </c>
      <c r="Q37" s="660">
        <f t="shared" si="5"/>
        <v>15359.275055699996</v>
      </c>
      <c r="R37" s="660">
        <f t="shared" si="6"/>
        <v>0</v>
      </c>
      <c r="S37" s="649">
        <f t="shared" si="7"/>
        <v>73394.896203799988</v>
      </c>
      <c r="T37" s="649">
        <f t="shared" si="8"/>
        <v>250</v>
      </c>
      <c r="U37" s="652">
        <f t="shared" si="9"/>
        <v>73644.896203799988</v>
      </c>
      <c r="V37" s="598" t="str">
        <f>VLOOKUP(B37,'[51]2180 Job Descriptions'!J:M,4,FALSE)</f>
        <v>PCS</v>
      </c>
      <c r="W37" s="598">
        <v>5002</v>
      </c>
      <c r="X37" s="599">
        <f t="shared" si="10"/>
        <v>4742.8862037999788</v>
      </c>
    </row>
    <row r="38" spans="1:25">
      <c r="A38" s="655">
        <v>2180</v>
      </c>
      <c r="B38" s="661" t="s">
        <v>1317</v>
      </c>
      <c r="C38" s="662" t="s">
        <v>1318</v>
      </c>
      <c r="D38" s="657" t="str">
        <f>VLOOKUP(B38,'[51]2180 Job Descriptions'!E:G,3,FALSE)</f>
        <v>Garbage-ASL</v>
      </c>
      <c r="E38" s="649">
        <f>+VLOOKUP($B38,'[51]Payroll Report Pivot'!$O:$Q,3,FALSE)</f>
        <v>2070.1166679999997</v>
      </c>
      <c r="F38" s="650">
        <f>+VLOOKUP($B38,'[51]Payroll Report Pivot'!$O:$R,4,FALSE)</f>
        <v>55304.030000000006</v>
      </c>
      <c r="G38" s="649">
        <f>+VLOOKUP(B38,'[51]Payroll Report Pivot'!$Y:$AA,3,FALSE)</f>
        <v>360.25000300000005</v>
      </c>
      <c r="H38" s="650">
        <f>+VLOOKUP($B38,'[51]Payroll Report Pivot'!$Y:$AB,4,FALSE)</f>
        <v>14500.310000000005</v>
      </c>
      <c r="I38" s="650">
        <f t="shared" si="2"/>
        <v>69804.340000000011</v>
      </c>
      <c r="J38" s="649">
        <f>+IFERROR(VLOOKUP(B38,'[51]Payroll Report Pivot'!$AH:$AJ,3,FALSE),0)</f>
        <v>1049.9999999999998</v>
      </c>
      <c r="K38" s="649">
        <f>IFERROR(VLOOKUP(B38,'[51]Payroll Report Pivot'!$AP:$AR,3,FALSE),0)</f>
        <v>321.94</v>
      </c>
      <c r="L38" s="649">
        <f t="shared" si="3"/>
        <v>71176.280000000013</v>
      </c>
      <c r="M38" s="650">
        <f>+VLOOKUP(B38,'[51]Payroll Report Pivot'!$E:$H,4,FALSE)</f>
        <v>26.95</v>
      </c>
      <c r="N38" s="658">
        <f t="shared" si="0"/>
        <v>3.3395176252319192E-2</v>
      </c>
      <c r="O38" s="659" t="str">
        <f t="shared" si="1"/>
        <v>27.85</v>
      </c>
      <c r="P38" s="660">
        <f t="shared" si="4"/>
        <v>57652.749203799991</v>
      </c>
      <c r="Q38" s="660">
        <f t="shared" si="5"/>
        <v>15049.443875325001</v>
      </c>
      <c r="R38" s="660">
        <f t="shared" si="6"/>
        <v>332.69124304267166</v>
      </c>
      <c r="S38" s="649">
        <f t="shared" si="7"/>
        <v>74084.884322167665</v>
      </c>
      <c r="T38" s="649">
        <f t="shared" si="8"/>
        <v>250</v>
      </c>
      <c r="U38" s="652">
        <f t="shared" si="9"/>
        <v>74334.884322167665</v>
      </c>
      <c r="V38" s="598" t="str">
        <f>VLOOKUP(B38,'[51]2180 Job Descriptions'!J:M,4,FALSE)</f>
        <v>PCS</v>
      </c>
      <c r="W38" s="598">
        <v>5002</v>
      </c>
      <c r="X38" s="599">
        <f t="shared" si="10"/>
        <v>3158.6043221676518</v>
      </c>
    </row>
    <row r="39" spans="1:25">
      <c r="A39" s="655">
        <v>2180</v>
      </c>
      <c r="B39" s="661" t="s">
        <v>1319</v>
      </c>
      <c r="C39" s="662" t="s">
        <v>1320</v>
      </c>
      <c r="D39" s="657" t="str">
        <f>VLOOKUP(B39,'[51]2180 Job Descriptions'!E:G,3,FALSE)</f>
        <v>Garbage-ASL</v>
      </c>
      <c r="E39" s="649">
        <f>+VLOOKUP($B39,'[51]Payroll Report Pivot'!$O:$Q,3,FALSE)</f>
        <v>2072.0199970000003</v>
      </c>
      <c r="F39" s="650">
        <f>+VLOOKUP($B39,'[51]Payroll Report Pivot'!$O:$R,4,FALSE)</f>
        <v>55146.1</v>
      </c>
      <c r="G39" s="649">
        <f>+VLOOKUP(B39,'[51]Payroll Report Pivot'!$Y:$AA,3,FALSE)</f>
        <v>152.76666799999998</v>
      </c>
      <c r="H39" s="650">
        <f>+VLOOKUP($B39,'[51]Payroll Report Pivot'!$Y:$AB,4,FALSE)</f>
        <v>6129.409999999998</v>
      </c>
      <c r="I39" s="650">
        <f t="shared" si="2"/>
        <v>61275.509999999995</v>
      </c>
      <c r="J39" s="649">
        <f>+IFERROR(VLOOKUP(B39,'[51]Payroll Report Pivot'!$AH:$AJ,3,FALSE),0)</f>
        <v>774.99999999999955</v>
      </c>
      <c r="K39" s="649">
        <f>IFERROR(VLOOKUP(B39,'[51]Payroll Report Pivot'!$AP:$AR,3,FALSE),0)</f>
        <v>100.58</v>
      </c>
      <c r="L39" s="649">
        <f t="shared" si="3"/>
        <v>62151.09</v>
      </c>
      <c r="M39" s="650">
        <f>+VLOOKUP(B39,'[51]Payroll Report Pivot'!$E:$H,4,FALSE)</f>
        <v>26.95</v>
      </c>
      <c r="N39" s="658">
        <f t="shared" si="0"/>
        <v>3.3395176252319192E-2</v>
      </c>
      <c r="O39" s="659" t="str">
        <f t="shared" si="1"/>
        <v>27.85</v>
      </c>
      <c r="P39" s="660">
        <f t="shared" si="4"/>
        <v>57705.756916450009</v>
      </c>
      <c r="Q39" s="660">
        <f t="shared" si="5"/>
        <v>6381.8275556999997</v>
      </c>
      <c r="R39" s="660">
        <f t="shared" si="6"/>
        <v>103.93888682745826</v>
      </c>
      <c r="S39" s="649">
        <f t="shared" si="7"/>
        <v>64966.523358977473</v>
      </c>
      <c r="T39" s="649">
        <f t="shared" si="8"/>
        <v>250</v>
      </c>
      <c r="U39" s="652">
        <f t="shared" si="9"/>
        <v>65216.523358977473</v>
      </c>
      <c r="V39" s="598" t="str">
        <f>VLOOKUP(B39,'[51]2180 Job Descriptions'!J:M,4,FALSE)</f>
        <v>PCS</v>
      </c>
      <c r="W39" s="598">
        <v>5002</v>
      </c>
      <c r="X39" s="599">
        <f t="shared" si="10"/>
        <v>3065.433358977476</v>
      </c>
    </row>
    <row r="40" spans="1:25">
      <c r="A40" s="655">
        <v>2180</v>
      </c>
      <c r="B40" s="661" t="s">
        <v>1321</v>
      </c>
      <c r="C40" s="662" t="s">
        <v>1322</v>
      </c>
      <c r="D40" s="657" t="str">
        <f>VLOOKUP(B40,'[51]2180 Job Descriptions'!E:G,3,FALSE)</f>
        <v>Mini Truck</v>
      </c>
      <c r="E40" s="649">
        <f>+VLOOKUP($B40,'[51]Payroll Report Pivot'!$O:$Q,3,FALSE)</f>
        <v>2050.493332</v>
      </c>
      <c r="F40" s="650">
        <f>+VLOOKUP($B40,'[51]Payroll Report Pivot'!$O:$R,4,FALSE)</f>
        <v>54370.219999999994</v>
      </c>
      <c r="G40" s="649">
        <f>+VLOOKUP(B40,'[51]Payroll Report Pivot'!$Y:$AA,3,FALSE)</f>
        <v>96.683318999999997</v>
      </c>
      <c r="H40" s="650">
        <f>+VLOOKUP($B40,'[51]Payroll Report Pivot'!$Y:$AB,4,FALSE)</f>
        <v>3846.31</v>
      </c>
      <c r="I40" s="650">
        <f t="shared" si="2"/>
        <v>58216.529999999992</v>
      </c>
      <c r="J40" s="649">
        <f>+IFERROR(VLOOKUP(B40,'[51]Payroll Report Pivot'!$AH:$AJ,3,FALSE),0)</f>
        <v>1099.9999999999993</v>
      </c>
      <c r="K40" s="649">
        <f>IFERROR(VLOOKUP(B40,'[51]Payroll Report Pivot'!$AP:$AR,3,FALSE),0)</f>
        <v>1033.26</v>
      </c>
      <c r="L40" s="649">
        <f t="shared" si="3"/>
        <v>60349.789999999994</v>
      </c>
      <c r="M40" s="650">
        <f>+VLOOKUP(B40,'[51]Payroll Report Pivot'!$E:$H,4,FALSE)</f>
        <v>26.95</v>
      </c>
      <c r="N40" s="658">
        <f t="shared" si="0"/>
        <v>3.3395176252319192E-2</v>
      </c>
      <c r="O40" s="659" t="str">
        <f t="shared" si="1"/>
        <v>27.85</v>
      </c>
      <c r="P40" s="660">
        <f t="shared" si="4"/>
        <v>57106.239296200001</v>
      </c>
      <c r="Q40" s="660">
        <f t="shared" si="5"/>
        <v>4038.9456512249999</v>
      </c>
      <c r="R40" s="660">
        <f t="shared" si="6"/>
        <v>1067.7658998144714</v>
      </c>
      <c r="S40" s="649">
        <f t="shared" si="7"/>
        <v>63312.950847239474</v>
      </c>
      <c r="T40" s="649">
        <f t="shared" si="8"/>
        <v>250</v>
      </c>
      <c r="U40" s="652">
        <f t="shared" si="9"/>
        <v>63562.950847239474</v>
      </c>
      <c r="V40" s="598" t="str">
        <f>VLOOKUP(B40,'[51]2180 Job Descriptions'!J:M,4,FALSE)</f>
        <v>PCS</v>
      </c>
      <c r="W40" s="598">
        <v>5002</v>
      </c>
      <c r="X40" s="599">
        <f t="shared" si="10"/>
        <v>3213.1608472394801</v>
      </c>
    </row>
    <row r="41" spans="1:25">
      <c r="A41" s="655">
        <v>2180</v>
      </c>
      <c r="B41" s="661" t="s">
        <v>1323</v>
      </c>
      <c r="C41" s="662" t="s">
        <v>1324</v>
      </c>
      <c r="D41" s="657" t="str">
        <f>VLOOKUP(B41,'[51]2180 Job Descriptions'!E:G,3,FALSE)</f>
        <v>Mini Truck</v>
      </c>
      <c r="E41" s="649">
        <f>+VLOOKUP($B41,'[51]Payroll Report Pivot'!$O:$Q,3,FALSE)</f>
        <v>2053.609997</v>
      </c>
      <c r="F41" s="650">
        <f>+VLOOKUP($B41,'[51]Payroll Report Pivot'!$O:$R,4,FALSE)</f>
        <v>54881.999999999993</v>
      </c>
      <c r="G41" s="649">
        <f>+VLOOKUP(B41,'[51]Payroll Report Pivot'!$Y:$AA,3,FALSE)</f>
        <v>110.35000000000001</v>
      </c>
      <c r="H41" s="650">
        <f>+VLOOKUP($B41,'[51]Payroll Report Pivot'!$Y:$AB,4,FALSE)</f>
        <v>4420.1100000000006</v>
      </c>
      <c r="I41" s="650">
        <f t="shared" si="2"/>
        <v>59302.109999999993</v>
      </c>
      <c r="J41" s="649">
        <f>+IFERROR(VLOOKUP(B41,'[51]Payroll Report Pivot'!$AH:$AJ,3,FALSE),0)</f>
        <v>1024.9999999999995</v>
      </c>
      <c r="K41" s="649">
        <f>IFERROR(VLOOKUP(B41,'[51]Payroll Report Pivot'!$AP:$AR,3,FALSE),0)</f>
        <v>1265.79</v>
      </c>
      <c r="L41" s="649">
        <f t="shared" si="3"/>
        <v>61592.899999999994</v>
      </c>
      <c r="M41" s="650">
        <f>+VLOOKUP(B41,'[51]Payroll Report Pivot'!$E:$H,4,FALSE)</f>
        <v>26.95</v>
      </c>
      <c r="N41" s="658">
        <f t="shared" si="0"/>
        <v>3.3395176252319192E-2</v>
      </c>
      <c r="O41" s="659" t="str">
        <f t="shared" si="1"/>
        <v>27.85</v>
      </c>
      <c r="P41" s="660">
        <f t="shared" si="4"/>
        <v>57193.038416450006</v>
      </c>
      <c r="Q41" s="660">
        <f t="shared" si="5"/>
        <v>4609.8712500000001</v>
      </c>
      <c r="R41" s="660">
        <f t="shared" si="6"/>
        <v>1308.0612801484231</v>
      </c>
      <c r="S41" s="649">
        <f t="shared" si="7"/>
        <v>64135.970946598434</v>
      </c>
      <c r="T41" s="649">
        <f t="shared" si="8"/>
        <v>250</v>
      </c>
      <c r="U41" s="652">
        <f t="shared" si="9"/>
        <v>64385.970946598434</v>
      </c>
      <c r="V41" s="598" t="str">
        <f>VLOOKUP(B41,'[51]2180 Job Descriptions'!J:M,4,FALSE)</f>
        <v>PCS</v>
      </c>
      <c r="W41" s="598">
        <v>5002</v>
      </c>
      <c r="X41" s="599">
        <f t="shared" si="10"/>
        <v>2793.0709465984401</v>
      </c>
    </row>
    <row r="42" spans="1:25">
      <c r="A42" s="655"/>
      <c r="B42" s="663"/>
      <c r="C42" s="664"/>
      <c r="D42" s="657"/>
      <c r="E42" s="649"/>
      <c r="F42" s="650"/>
      <c r="G42" s="649"/>
      <c r="H42" s="650"/>
      <c r="I42" s="649"/>
      <c r="J42" s="649"/>
      <c r="K42" s="649"/>
      <c r="L42" s="649"/>
      <c r="M42" s="649"/>
      <c r="N42" s="649"/>
      <c r="O42" s="651"/>
      <c r="P42" s="649"/>
      <c r="Q42" s="649"/>
      <c r="R42" s="649"/>
      <c r="S42" s="649"/>
      <c r="T42" s="649"/>
      <c r="U42" s="652"/>
    </row>
    <row r="43" spans="1:25">
      <c r="A43" s="655"/>
      <c r="B43" s="663"/>
      <c r="C43" s="665" t="s">
        <v>1325</v>
      </c>
      <c r="D43" s="657"/>
      <c r="E43" s="666">
        <f t="shared" ref="E43:T43" si="11">+SUM(E17:E42)</f>
        <v>51214.109987000003</v>
      </c>
      <c r="F43" s="666">
        <f t="shared" si="11"/>
        <v>1357351.75</v>
      </c>
      <c r="G43" s="666">
        <f t="shared" si="11"/>
        <v>7222.7833279999995</v>
      </c>
      <c r="H43" s="666">
        <f t="shared" si="11"/>
        <v>288460.54000000004</v>
      </c>
      <c r="I43" s="666">
        <f t="shared" si="11"/>
        <v>1645812.2900000003</v>
      </c>
      <c r="J43" s="666">
        <f t="shared" si="11"/>
        <v>36499.999999999964</v>
      </c>
      <c r="K43" s="666">
        <f t="shared" si="11"/>
        <v>39396.130000000005</v>
      </c>
      <c r="L43" s="666">
        <f t="shared" si="11"/>
        <v>1721708.4199999997</v>
      </c>
      <c r="M43" s="666">
        <f t="shared" si="11"/>
        <v>668.90000000000009</v>
      </c>
      <c r="N43" s="666">
        <f t="shared" si="11"/>
        <v>1.0616652255307741</v>
      </c>
      <c r="O43" s="666">
        <f t="shared" si="11"/>
        <v>0</v>
      </c>
      <c r="P43" s="666">
        <f t="shared" si="11"/>
        <v>1426312.9631379496</v>
      </c>
      <c r="Q43" s="666">
        <f t="shared" si="11"/>
        <v>301731.77352720004</v>
      </c>
      <c r="R43" s="666">
        <f t="shared" si="11"/>
        <v>40711.770705009287</v>
      </c>
      <c r="S43" s="666">
        <f t="shared" si="11"/>
        <v>1805256.507370159</v>
      </c>
      <c r="T43" s="666">
        <f t="shared" si="11"/>
        <v>6250</v>
      </c>
      <c r="U43" s="667">
        <f>+SUM(U17:U42)</f>
        <v>1811506.507370159</v>
      </c>
      <c r="X43" s="667">
        <f>+SUM(X17:X42)</f>
        <v>89798.087370159352</v>
      </c>
      <c r="Y43" s="668"/>
    </row>
    <row r="44" spans="1:25">
      <c r="A44" s="655"/>
      <c r="B44" s="669"/>
      <c r="C44" s="670"/>
      <c r="D44" s="657"/>
      <c r="E44" s="649"/>
      <c r="F44" s="649"/>
      <c r="G44" s="649"/>
      <c r="H44" s="650"/>
      <c r="I44" s="649"/>
      <c r="J44" s="649"/>
      <c r="K44" s="649"/>
      <c r="L44" s="649"/>
      <c r="M44" s="649"/>
      <c r="N44" s="649"/>
      <c r="O44" s="651"/>
      <c r="P44" s="649"/>
      <c r="Q44" s="649"/>
      <c r="R44" s="649"/>
      <c r="S44" s="649"/>
      <c r="T44" s="649"/>
      <c r="U44" s="652"/>
    </row>
    <row r="45" spans="1:25">
      <c r="A45" s="645" t="s">
        <v>1326</v>
      </c>
      <c r="B45" s="646"/>
      <c r="C45" s="647"/>
      <c r="D45" s="648"/>
      <c r="E45" s="649"/>
      <c r="F45" s="649"/>
      <c r="G45" s="649"/>
      <c r="H45" s="650"/>
      <c r="I45" s="649"/>
      <c r="J45" s="649"/>
      <c r="K45" s="649"/>
      <c r="L45" s="649"/>
      <c r="M45" s="649"/>
      <c r="N45" s="649"/>
      <c r="O45" s="651"/>
      <c r="P45" s="649"/>
      <c r="Q45" s="649"/>
      <c r="R45" s="649"/>
      <c r="S45" s="649"/>
      <c r="T45" s="649"/>
      <c r="U45" s="652"/>
    </row>
    <row r="46" spans="1:25">
      <c r="A46" s="655">
        <v>2180</v>
      </c>
      <c r="B46" s="656" t="s">
        <v>1327</v>
      </c>
      <c r="C46" s="656" t="s">
        <v>1328</v>
      </c>
      <c r="D46" s="657" t="str">
        <f>VLOOKUP(B46,'[51]2180 Job Descriptions'!E:G,3,FALSE)</f>
        <v>Rolloff</v>
      </c>
      <c r="E46" s="649">
        <f>+VLOOKUP($B46,'[51]Payroll Report Pivot'!$O:$Q,3,FALSE)</f>
        <v>2076.1133319999999</v>
      </c>
      <c r="F46" s="650">
        <f>+VLOOKUP($B46,'[51]Payroll Report Pivot'!$O:$R,4,FALSE)</f>
        <v>55255.559999999983</v>
      </c>
      <c r="G46" s="649">
        <f>+VLOOKUP(B46,'[51]Payroll Report Pivot'!$Y:$AA,3,FALSE)</f>
        <v>108.91666500000001</v>
      </c>
      <c r="H46" s="650">
        <f>+VLOOKUP($B46,'[51]Payroll Report Pivot'!$Y:$AB,4,FALSE)</f>
        <v>4398.1400000000003</v>
      </c>
      <c r="I46" s="650">
        <f t="shared" ref="I46:I55" si="12">+F46+H46</f>
        <v>59653.699999999983</v>
      </c>
      <c r="J46" s="649">
        <f>+IFERROR(VLOOKUP(B46,'[51]Payroll Report Pivot'!$AH:$AJ,3,FALSE),0)</f>
        <v>1024.9999999999995</v>
      </c>
      <c r="K46" s="649">
        <f>IFERROR(VLOOKUP(B46,'[51]Payroll Report Pivot'!$AP:$AR,3,FALSE),0)</f>
        <v>1017.09</v>
      </c>
      <c r="L46" s="649">
        <f t="shared" ref="L46:L55" si="13">+K46+J46+I46</f>
        <v>61695.789999999979</v>
      </c>
      <c r="M46" s="650">
        <f>+VLOOKUP(B46,'[51]Payroll Report Pivot'!$E:$H,4,FALSE)</f>
        <v>26.95</v>
      </c>
      <c r="N46" s="658">
        <f t="shared" ref="N46:N55" si="14">IF(V46="pcs",(27.85-M46)/M46,2.5%)</f>
        <v>3.3395176252319192E-2</v>
      </c>
      <c r="O46" s="659" t="str">
        <f t="shared" ref="O46:O55" si="15">IF(V46="PCS","27.85",M46*(1+N46))</f>
        <v>27.85</v>
      </c>
      <c r="P46" s="660">
        <f t="shared" ref="P46:P55" si="16">+O46*E46</f>
        <v>57819.756296200001</v>
      </c>
      <c r="Q46" s="660">
        <f t="shared" ref="Q46:Q55" si="17">+O46*G46*1.5</f>
        <v>4549.9936803750006</v>
      </c>
      <c r="R46" s="660">
        <f t="shared" ref="R46:R55" si="18">+K46*(1+N46)</f>
        <v>1051.0558998144713</v>
      </c>
      <c r="S46" s="649">
        <f t="shared" ref="S46:S55" si="19">SUM(P46:R46)+J46</f>
        <v>64445.805876389473</v>
      </c>
      <c r="T46" s="649">
        <f t="shared" ref="T46:T55" si="20">+IF(V46="PCS",250,0)</f>
        <v>250</v>
      </c>
      <c r="U46" s="652">
        <f t="shared" ref="U46:U55" si="21">+S46+T46</f>
        <v>64695.805876389473</v>
      </c>
      <c r="V46" s="598" t="str">
        <f>VLOOKUP(B46,'[51]2180 Job Descriptions'!J:M,4,FALSE)</f>
        <v>PCS</v>
      </c>
      <c r="W46" s="598">
        <v>5002</v>
      </c>
      <c r="X46" s="599">
        <f t="shared" ref="X46:X55" si="22">U46-L46</f>
        <v>3000.0158763894942</v>
      </c>
    </row>
    <row r="47" spans="1:25">
      <c r="A47" s="655">
        <v>2180</v>
      </c>
      <c r="B47" s="656" t="s">
        <v>1329</v>
      </c>
      <c r="C47" s="656" t="s">
        <v>1330</v>
      </c>
      <c r="D47" s="657" t="str">
        <f>VLOOKUP(B47,'[51]2180 Job Descriptions'!E:G,3,FALSE)</f>
        <v>Rolloff</v>
      </c>
      <c r="E47" s="649">
        <f>+VLOOKUP($B47,'[51]Payroll Report Pivot'!$O:$Q,3,FALSE)</f>
        <v>2095.8166659999997</v>
      </c>
      <c r="F47" s="650">
        <f>+VLOOKUP($B47,'[51]Payroll Report Pivot'!$O:$R,4,FALSE)</f>
        <v>55963.849999999991</v>
      </c>
      <c r="G47" s="649">
        <f>+VLOOKUP(B47,'[51]Payroll Report Pivot'!$Y:$AA,3,FALSE)</f>
        <v>499.29999799999996</v>
      </c>
      <c r="H47" s="650">
        <f>+VLOOKUP($B47,'[51]Payroll Report Pivot'!$Y:$AB,4,FALSE)</f>
        <v>20060.420000000002</v>
      </c>
      <c r="I47" s="650">
        <f t="shared" si="12"/>
        <v>76024.26999999999</v>
      </c>
      <c r="J47" s="649">
        <f>+IFERROR(VLOOKUP(B47,'[51]Payroll Report Pivot'!$AH:$AJ,3,FALSE),0)</f>
        <v>774.99999999999955</v>
      </c>
      <c r="K47" s="649">
        <f>IFERROR(VLOOKUP(B47,'[51]Payroll Report Pivot'!$AP:$AR,3,FALSE),0)</f>
        <v>2427.9299999999998</v>
      </c>
      <c r="L47" s="649">
        <f t="shared" si="13"/>
        <v>79227.199999999983</v>
      </c>
      <c r="M47" s="650">
        <f>+VLOOKUP(B47,'[51]Payroll Report Pivot'!$E:$H,4,FALSE)</f>
        <v>26.95</v>
      </c>
      <c r="N47" s="658">
        <f t="shared" si="14"/>
        <v>3.3395176252319192E-2</v>
      </c>
      <c r="O47" s="659" t="str">
        <f t="shared" si="15"/>
        <v>27.85</v>
      </c>
      <c r="P47" s="660">
        <f t="shared" si="16"/>
        <v>58368.494148099991</v>
      </c>
      <c r="Q47" s="660">
        <f t="shared" si="17"/>
        <v>20858.257416449997</v>
      </c>
      <c r="R47" s="660">
        <f t="shared" si="18"/>
        <v>2509.0111502782934</v>
      </c>
      <c r="S47" s="649">
        <f t="shared" si="19"/>
        <v>82510.762714828277</v>
      </c>
      <c r="T47" s="649">
        <f t="shared" si="20"/>
        <v>250</v>
      </c>
      <c r="U47" s="652">
        <f t="shared" si="21"/>
        <v>82760.762714828277</v>
      </c>
      <c r="V47" s="598" t="str">
        <f>VLOOKUP(B47,'[51]2180 Job Descriptions'!J:M,4,FALSE)</f>
        <v>PCS</v>
      </c>
      <c r="W47" s="598">
        <v>5002</v>
      </c>
      <c r="X47" s="599">
        <f t="shared" si="22"/>
        <v>3533.5627148282947</v>
      </c>
    </row>
    <row r="48" spans="1:25">
      <c r="A48" s="655">
        <v>2180</v>
      </c>
      <c r="B48" s="656" t="s">
        <v>1331</v>
      </c>
      <c r="C48" s="656" t="s">
        <v>1332</v>
      </c>
      <c r="D48" s="657" t="str">
        <f>VLOOKUP(B48,'[51]2180 Job Descriptions'!E:G,3,FALSE)</f>
        <v>Rolloff</v>
      </c>
      <c r="E48" s="649">
        <f>+VLOOKUP($B48,'[51]Payroll Report Pivot'!$O:$Q,3,FALSE)</f>
        <v>2053.0000010000003</v>
      </c>
      <c r="F48" s="650">
        <f>+VLOOKUP($B48,'[51]Payroll Report Pivot'!$O:$R,4,FALSE)</f>
        <v>54658.32</v>
      </c>
      <c r="G48" s="649">
        <f>+VLOOKUP(B48,'[51]Payroll Report Pivot'!$Y:$AA,3,FALSE)</f>
        <v>153.36666499999995</v>
      </c>
      <c r="H48" s="650">
        <f>+VLOOKUP($B48,'[51]Payroll Report Pivot'!$Y:$AB,4,FALSE)</f>
        <v>6211.54</v>
      </c>
      <c r="I48" s="650">
        <f t="shared" si="12"/>
        <v>60869.86</v>
      </c>
      <c r="J48" s="649">
        <f>+IFERROR(VLOOKUP(B48,'[51]Payroll Report Pivot'!$AH:$AJ,3,FALSE),0)</f>
        <v>1024.9999999999993</v>
      </c>
      <c r="K48" s="649">
        <f>IFERROR(VLOOKUP(B48,'[51]Payroll Report Pivot'!$AP:$AR,3,FALSE),0)</f>
        <v>1752.9699999999998</v>
      </c>
      <c r="L48" s="649">
        <f t="shared" si="13"/>
        <v>63647.83</v>
      </c>
      <c r="M48" s="650">
        <f>+VLOOKUP(B48,'[51]Payroll Report Pivot'!$E:$H,4,FALSE)</f>
        <v>26.95</v>
      </c>
      <c r="N48" s="658">
        <f t="shared" si="14"/>
        <v>3.3395176252319192E-2</v>
      </c>
      <c r="O48" s="659" t="str">
        <f t="shared" si="15"/>
        <v>27.85</v>
      </c>
      <c r="P48" s="660">
        <f t="shared" si="16"/>
        <v>57176.050027850011</v>
      </c>
      <c r="Q48" s="660">
        <f t="shared" si="17"/>
        <v>6406.8924303749991</v>
      </c>
      <c r="R48" s="660">
        <f t="shared" si="18"/>
        <v>1811.5107421150278</v>
      </c>
      <c r="S48" s="649">
        <f t="shared" si="19"/>
        <v>66419.453200340038</v>
      </c>
      <c r="T48" s="649">
        <f t="shared" si="20"/>
        <v>250</v>
      </c>
      <c r="U48" s="652">
        <f t="shared" si="21"/>
        <v>66669.453200340038</v>
      </c>
      <c r="V48" s="598" t="str">
        <f>VLOOKUP(B48,'[51]2180 Job Descriptions'!J:M,4,FALSE)</f>
        <v>PCS</v>
      </c>
      <c r="W48" s="598">
        <v>5002</v>
      </c>
      <c r="X48" s="599">
        <f t="shared" si="22"/>
        <v>3021.6232003400364</v>
      </c>
    </row>
    <row r="49" spans="1:25">
      <c r="A49" s="655">
        <v>2180</v>
      </c>
      <c r="B49" s="656" t="s">
        <v>1333</v>
      </c>
      <c r="C49" s="656" t="s">
        <v>1334</v>
      </c>
      <c r="D49" s="657" t="str">
        <f>VLOOKUP(B49,'[51]2180 Job Descriptions'!E:G,3,FALSE)</f>
        <v>Rolloff</v>
      </c>
      <c r="E49" s="649">
        <f>+VLOOKUP($B49,'[51]Payroll Report Pivot'!$O:$Q,3,FALSE)</f>
        <v>2051.7499979999998</v>
      </c>
      <c r="F49" s="650">
        <f>+VLOOKUP($B49,'[51]Payroll Report Pivot'!$O:$R,4,FALSE)</f>
        <v>54839.1</v>
      </c>
      <c r="G49" s="649">
        <f>+VLOOKUP(B49,'[51]Payroll Report Pivot'!$Y:$AA,3,FALSE)</f>
        <v>262.26666699999998</v>
      </c>
      <c r="H49" s="650">
        <f>+VLOOKUP($B49,'[51]Payroll Report Pivot'!$Y:$AB,4,FALSE)</f>
        <v>10518.460000000001</v>
      </c>
      <c r="I49" s="650">
        <f t="shared" si="12"/>
        <v>65357.56</v>
      </c>
      <c r="J49" s="649">
        <f>+IFERROR(VLOOKUP(B49,'[51]Payroll Report Pivot'!$AH:$AJ,3,FALSE),0)</f>
        <v>1025.0000000000002</v>
      </c>
      <c r="K49" s="649">
        <f>IFERROR(VLOOKUP(B49,'[51]Payroll Report Pivot'!$AP:$AR,3,FALSE),0)</f>
        <v>869.9</v>
      </c>
      <c r="L49" s="649">
        <f t="shared" si="13"/>
        <v>67252.459999999992</v>
      </c>
      <c r="M49" s="650">
        <f>+VLOOKUP(B49,'[51]Payroll Report Pivot'!$E:$H,4,FALSE)</f>
        <v>26.95</v>
      </c>
      <c r="N49" s="658">
        <f t="shared" si="14"/>
        <v>3.3395176252319192E-2</v>
      </c>
      <c r="O49" s="659" t="str">
        <f t="shared" si="15"/>
        <v>27.85</v>
      </c>
      <c r="P49" s="660">
        <f t="shared" si="16"/>
        <v>57141.237444299994</v>
      </c>
      <c r="Q49" s="660">
        <f t="shared" si="17"/>
        <v>10956.190013924999</v>
      </c>
      <c r="R49" s="660">
        <f t="shared" si="18"/>
        <v>898.95046382189253</v>
      </c>
      <c r="S49" s="649">
        <f t="shared" si="19"/>
        <v>70021.377922046886</v>
      </c>
      <c r="T49" s="649">
        <f t="shared" si="20"/>
        <v>250</v>
      </c>
      <c r="U49" s="652">
        <f t="shared" si="21"/>
        <v>70271.377922046886</v>
      </c>
      <c r="V49" s="598" t="str">
        <f>VLOOKUP(B49,'[51]2180 Job Descriptions'!J:M,4,FALSE)</f>
        <v>PCS</v>
      </c>
      <c r="W49" s="598">
        <v>5002</v>
      </c>
      <c r="X49" s="599">
        <f t="shared" si="22"/>
        <v>3018.9179220468941</v>
      </c>
    </row>
    <row r="50" spans="1:25">
      <c r="A50" s="655">
        <v>2180</v>
      </c>
      <c r="B50" s="656" t="s">
        <v>1335</v>
      </c>
      <c r="C50" s="656" t="s">
        <v>1336</v>
      </c>
      <c r="D50" s="657" t="str">
        <f>VLOOKUP(B50,'[51]2180 Job Descriptions'!E:G,3,FALSE)</f>
        <v>Rolloff</v>
      </c>
      <c r="E50" s="649">
        <f>+VLOOKUP($B50,'[51]Payroll Report Pivot'!$O:$Q,3,FALSE)</f>
        <v>2091.6999999999998</v>
      </c>
      <c r="F50" s="650">
        <f>+VLOOKUP($B50,'[51]Payroll Report Pivot'!$O:$R,4,FALSE)</f>
        <v>55447.239999999991</v>
      </c>
      <c r="G50" s="649">
        <f>+VLOOKUP(B50,'[51]Payroll Report Pivot'!$Y:$AA,3,FALSE)</f>
        <v>624.54999900000007</v>
      </c>
      <c r="H50" s="650">
        <f>+VLOOKUP($B50,'[51]Payroll Report Pivot'!$Y:$AB,4,FALSE)</f>
        <v>25444.340000000004</v>
      </c>
      <c r="I50" s="650">
        <f t="shared" si="12"/>
        <v>80891.579999999987</v>
      </c>
      <c r="J50" s="649">
        <f>+IFERROR(VLOOKUP(B50,'[51]Payroll Report Pivot'!$AH:$AJ,3,FALSE),0)</f>
        <v>3024.9999999999941</v>
      </c>
      <c r="K50" s="649">
        <f>IFERROR(VLOOKUP(B50,'[51]Payroll Report Pivot'!$AP:$AR,3,FALSE),0)</f>
        <v>5141.21</v>
      </c>
      <c r="L50" s="649">
        <f t="shared" si="13"/>
        <v>89057.789999999979</v>
      </c>
      <c r="M50" s="650">
        <f>+VLOOKUP(B50,'[51]Payroll Report Pivot'!$E:$H,4,FALSE)</f>
        <v>26.95</v>
      </c>
      <c r="N50" s="658">
        <f t="shared" si="14"/>
        <v>3.3395176252319192E-2</v>
      </c>
      <c r="O50" s="659" t="str">
        <f t="shared" si="15"/>
        <v>27.85</v>
      </c>
      <c r="P50" s="660">
        <f t="shared" si="16"/>
        <v>58253.845000000001</v>
      </c>
      <c r="Q50" s="660">
        <f t="shared" si="17"/>
        <v>26090.576208225</v>
      </c>
      <c r="R50" s="660">
        <f t="shared" si="18"/>
        <v>5312.9016141001866</v>
      </c>
      <c r="S50" s="649">
        <f t="shared" si="19"/>
        <v>92682.322822325194</v>
      </c>
      <c r="T50" s="649">
        <f t="shared" si="20"/>
        <v>250</v>
      </c>
      <c r="U50" s="652">
        <f t="shared" si="21"/>
        <v>92932.322822325194</v>
      </c>
      <c r="V50" s="598" t="str">
        <f>VLOOKUP(B50,'[51]2180 Job Descriptions'!J:M,4,FALSE)</f>
        <v>PCS</v>
      </c>
      <c r="W50" s="598">
        <v>5002</v>
      </c>
      <c r="X50" s="599">
        <f t="shared" si="22"/>
        <v>3874.5328223252145</v>
      </c>
    </row>
    <row r="51" spans="1:25">
      <c r="A51" s="655">
        <v>2180</v>
      </c>
      <c r="B51" s="656" t="s">
        <v>1337</v>
      </c>
      <c r="C51" s="656" t="s">
        <v>1338</v>
      </c>
      <c r="D51" s="657" t="str">
        <f>VLOOKUP(B51,'[51]2180 Job Descriptions'!E:G,3,FALSE)</f>
        <v>Rolloff</v>
      </c>
      <c r="E51" s="649">
        <f>+VLOOKUP($B51,'[51]Payroll Report Pivot'!$O:$Q,3,FALSE)</f>
        <v>1983.8033339999999</v>
      </c>
      <c r="F51" s="650">
        <f>+VLOOKUP($B51,'[51]Payroll Report Pivot'!$O:$R,4,FALSE)</f>
        <v>53215.959999999985</v>
      </c>
      <c r="G51" s="649">
        <f>+VLOOKUP(B51,'[51]Payroll Report Pivot'!$Y:$AA,3,FALSE)</f>
        <v>107.91666899999998</v>
      </c>
      <c r="H51" s="650">
        <f>+VLOOKUP($B51,'[51]Payroll Report Pivot'!$Y:$AB,4,FALSE)</f>
        <v>4356.0700000000015</v>
      </c>
      <c r="I51" s="650">
        <f t="shared" si="12"/>
        <v>57572.029999999984</v>
      </c>
      <c r="J51" s="649">
        <f>+IFERROR(VLOOKUP(B51,'[51]Payroll Report Pivot'!$AH:$AJ,3,FALSE),0)</f>
        <v>1024.9999999999993</v>
      </c>
      <c r="K51" s="649">
        <f>IFERROR(VLOOKUP(B51,'[51]Payroll Report Pivot'!$AP:$AR,3,FALSE),0)</f>
        <v>911.99</v>
      </c>
      <c r="L51" s="649">
        <f t="shared" si="13"/>
        <v>59509.019999999982</v>
      </c>
      <c r="M51" s="650">
        <f>+VLOOKUP(B51,'[51]Payroll Report Pivot'!$E:$H,4,FALSE)</f>
        <v>26.95</v>
      </c>
      <c r="N51" s="658">
        <f t="shared" si="14"/>
        <v>3.3395176252319192E-2</v>
      </c>
      <c r="O51" s="659" t="str">
        <f t="shared" si="15"/>
        <v>27.85</v>
      </c>
      <c r="P51" s="660">
        <f t="shared" si="16"/>
        <v>55248.922851900003</v>
      </c>
      <c r="Q51" s="660">
        <f t="shared" si="17"/>
        <v>4508.2188474750001</v>
      </c>
      <c r="R51" s="660">
        <f t="shared" si="18"/>
        <v>942.44606679035269</v>
      </c>
      <c r="S51" s="649">
        <f t="shared" si="19"/>
        <v>61724.587766165358</v>
      </c>
      <c r="T51" s="649">
        <f t="shared" si="20"/>
        <v>250</v>
      </c>
      <c r="U51" s="652">
        <f t="shared" si="21"/>
        <v>61974.587766165358</v>
      </c>
      <c r="V51" s="598" t="str">
        <f>VLOOKUP(B51,'[51]2180 Job Descriptions'!J:M,4,FALSE)</f>
        <v>PCS</v>
      </c>
      <c r="W51" s="598">
        <v>5002</v>
      </c>
      <c r="X51" s="599">
        <f t="shared" si="22"/>
        <v>2465.5677661653754</v>
      </c>
    </row>
    <row r="52" spans="1:25">
      <c r="A52" s="655">
        <v>2180</v>
      </c>
      <c r="B52" s="656" t="s">
        <v>1339</v>
      </c>
      <c r="C52" s="656" t="s">
        <v>1340</v>
      </c>
      <c r="D52" s="657" t="str">
        <f>VLOOKUP(B52,'[51]2180 Job Descriptions'!E:G,3,FALSE)</f>
        <v>Rolloff</v>
      </c>
      <c r="E52" s="649">
        <f>+VLOOKUP($B52,'[51]Payroll Report Pivot'!$O:$Q,3,FALSE)</f>
        <v>1923.3500000000004</v>
      </c>
      <c r="F52" s="650">
        <f>+VLOOKUP($B52,'[51]Payroll Report Pivot'!$O:$R,4,FALSE)</f>
        <v>51168.509999999995</v>
      </c>
      <c r="G52" s="649">
        <f>+VLOOKUP(B52,'[51]Payroll Report Pivot'!$Y:$AA,3,FALSE)</f>
        <v>264.2999999999999</v>
      </c>
      <c r="H52" s="650">
        <f>+VLOOKUP($B52,'[51]Payroll Report Pivot'!$Y:$AB,4,FALSE)</f>
        <v>10519.24</v>
      </c>
      <c r="I52" s="650">
        <f t="shared" si="12"/>
        <v>61687.749999999993</v>
      </c>
      <c r="J52" s="649">
        <f>+IFERROR(VLOOKUP(B52,'[51]Payroll Report Pivot'!$AH:$AJ,3,FALSE),0)</f>
        <v>49.999999999999993</v>
      </c>
      <c r="K52" s="649">
        <f>IFERROR(VLOOKUP(B52,'[51]Payroll Report Pivot'!$AP:$AR,3,FALSE),0)</f>
        <v>3.4</v>
      </c>
      <c r="L52" s="649">
        <f t="shared" si="13"/>
        <v>61741.149999999994</v>
      </c>
      <c r="M52" s="650">
        <f>+VLOOKUP(B52,'[51]Payroll Report Pivot'!$E:$H,4,FALSE)</f>
        <v>26.95</v>
      </c>
      <c r="N52" s="658">
        <f t="shared" si="14"/>
        <v>3.3395176252319192E-2</v>
      </c>
      <c r="O52" s="659" t="str">
        <f t="shared" si="15"/>
        <v>27.85</v>
      </c>
      <c r="P52" s="660">
        <f t="shared" si="16"/>
        <v>53565.297500000015</v>
      </c>
      <c r="Q52" s="660">
        <f t="shared" si="17"/>
        <v>11041.132499999996</v>
      </c>
      <c r="R52" s="660">
        <f t="shared" si="18"/>
        <v>3.5135435992578854</v>
      </c>
      <c r="S52" s="649">
        <f t="shared" si="19"/>
        <v>64659.943543599264</v>
      </c>
      <c r="T52" s="649">
        <f t="shared" si="20"/>
        <v>250</v>
      </c>
      <c r="U52" s="652">
        <f t="shared" si="21"/>
        <v>64909.943543599264</v>
      </c>
      <c r="V52" s="598" t="str">
        <f>VLOOKUP(B52,'[51]2180 Job Descriptions'!J:M,4,FALSE)</f>
        <v>PCS</v>
      </c>
      <c r="W52" s="598">
        <v>5002</v>
      </c>
      <c r="X52" s="599">
        <f t="shared" si="22"/>
        <v>3168.7935435992695</v>
      </c>
    </row>
    <row r="53" spans="1:25">
      <c r="A53" s="655">
        <v>2180</v>
      </c>
      <c r="B53" s="656" t="s">
        <v>1341</v>
      </c>
      <c r="C53" s="656" t="s">
        <v>1342</v>
      </c>
      <c r="D53" s="657" t="str">
        <f>VLOOKUP(B53,'[51]2180 Job Descriptions'!E:G,3,FALSE)</f>
        <v>Rolloff</v>
      </c>
      <c r="E53" s="649">
        <f>+VLOOKUP($B53,'[51]Payroll Report Pivot'!$O:$Q,3,FALSE)</f>
        <v>2038.2999989999998</v>
      </c>
      <c r="F53" s="650">
        <f>+VLOOKUP($B53,'[51]Payroll Report Pivot'!$O:$R,4,FALSE)</f>
        <v>54476.71</v>
      </c>
      <c r="G53" s="649">
        <f>+VLOOKUP(B53,'[51]Payroll Report Pivot'!$Y:$AA,3,FALSE)</f>
        <v>354.23333199999985</v>
      </c>
      <c r="H53" s="650">
        <f>+VLOOKUP($B53,'[51]Payroll Report Pivot'!$Y:$AB,4,FALSE)</f>
        <v>14553.999999999998</v>
      </c>
      <c r="I53" s="650">
        <f t="shared" si="12"/>
        <v>69030.709999999992</v>
      </c>
      <c r="J53" s="649">
        <f>+IFERROR(VLOOKUP(B53,'[51]Payroll Report Pivot'!$AH:$AJ,3,FALSE),0)</f>
        <v>2774.9999999999955</v>
      </c>
      <c r="K53" s="649">
        <f>IFERROR(VLOOKUP(B53,'[51]Payroll Report Pivot'!$AP:$AR,3,FALSE),0)</f>
        <v>4043.79</v>
      </c>
      <c r="L53" s="649">
        <f t="shared" si="13"/>
        <v>75849.499999999985</v>
      </c>
      <c r="M53" s="650">
        <f>+VLOOKUP(B53,'[51]Payroll Report Pivot'!$E:$H,4,FALSE)</f>
        <v>26.95</v>
      </c>
      <c r="N53" s="658">
        <f t="shared" si="14"/>
        <v>3.3395176252319192E-2</v>
      </c>
      <c r="O53" s="659" t="str">
        <f t="shared" si="15"/>
        <v>27.85</v>
      </c>
      <c r="P53" s="660">
        <f t="shared" si="16"/>
        <v>56766.654972149998</v>
      </c>
      <c r="Q53" s="660">
        <f t="shared" si="17"/>
        <v>14798.097444299994</v>
      </c>
      <c r="R53" s="660">
        <f t="shared" si="18"/>
        <v>4178.833079777366</v>
      </c>
      <c r="S53" s="649">
        <f t="shared" si="19"/>
        <v>78518.585496227359</v>
      </c>
      <c r="T53" s="649">
        <f t="shared" si="20"/>
        <v>250</v>
      </c>
      <c r="U53" s="652">
        <f t="shared" si="21"/>
        <v>78768.585496227359</v>
      </c>
      <c r="V53" s="598" t="str">
        <f>VLOOKUP(B53,'[51]2180 Job Descriptions'!J:M,4,FALSE)</f>
        <v>PCS</v>
      </c>
      <c r="W53" s="598">
        <v>5002</v>
      </c>
      <c r="X53" s="599">
        <f t="shared" si="22"/>
        <v>2919.0854962273734</v>
      </c>
    </row>
    <row r="54" spans="1:25">
      <c r="A54" s="655">
        <v>2180</v>
      </c>
      <c r="B54" s="656" t="s">
        <v>1343</v>
      </c>
      <c r="C54" s="656" t="s">
        <v>1344</v>
      </c>
      <c r="D54" s="657" t="str">
        <f>VLOOKUP(B54,'[51]2180 Job Descriptions'!E:G,3,FALSE)</f>
        <v>Rolloff</v>
      </c>
      <c r="E54" s="649">
        <f>+VLOOKUP($B54,'[51]Payroll Report Pivot'!$O:$Q,3,FALSE)</f>
        <v>2138.6600020000001</v>
      </c>
      <c r="F54" s="650">
        <f>+VLOOKUP($B54,'[51]Payroll Report Pivot'!$O:$R,4,FALSE)</f>
        <v>56939.45</v>
      </c>
      <c r="G54" s="649">
        <f>+VLOOKUP(B54,'[51]Payroll Report Pivot'!$Y:$AA,3,FALSE)</f>
        <v>680.06666399999972</v>
      </c>
      <c r="H54" s="650">
        <f>+VLOOKUP($B54,'[51]Payroll Report Pivot'!$Y:$AB,4,FALSE)</f>
        <v>27429.140000000003</v>
      </c>
      <c r="I54" s="650">
        <f t="shared" si="12"/>
        <v>84368.59</v>
      </c>
      <c r="J54" s="649">
        <f>+IFERROR(VLOOKUP(B54,'[51]Payroll Report Pivot'!$AH:$AJ,3,FALSE),0)</f>
        <v>3024.9999999999941</v>
      </c>
      <c r="K54" s="649">
        <f>IFERROR(VLOOKUP(B54,'[51]Payroll Report Pivot'!$AP:$AR,3,FALSE),0)</f>
        <v>1588.06</v>
      </c>
      <c r="L54" s="649">
        <f t="shared" si="13"/>
        <v>88981.65</v>
      </c>
      <c r="M54" s="650">
        <f>+VLOOKUP(B54,'[51]Payroll Report Pivot'!$E:$H,4,FALSE)</f>
        <v>26.95</v>
      </c>
      <c r="N54" s="658">
        <f t="shared" si="14"/>
        <v>3.3395176252319192E-2</v>
      </c>
      <c r="O54" s="659" t="str">
        <f t="shared" si="15"/>
        <v>27.85</v>
      </c>
      <c r="P54" s="660">
        <f t="shared" si="16"/>
        <v>59561.681055700006</v>
      </c>
      <c r="Q54" s="660">
        <f t="shared" si="17"/>
        <v>28409.784888599988</v>
      </c>
      <c r="R54" s="660">
        <f t="shared" si="18"/>
        <v>1641.0935435992581</v>
      </c>
      <c r="S54" s="649">
        <f t="shared" si="19"/>
        <v>92637.559487899256</v>
      </c>
      <c r="T54" s="649">
        <f t="shared" si="20"/>
        <v>250</v>
      </c>
      <c r="U54" s="652">
        <f t="shared" si="21"/>
        <v>92887.559487899256</v>
      </c>
      <c r="V54" s="598" t="str">
        <f>VLOOKUP(B54,'[51]2180 Job Descriptions'!J:M,4,FALSE)</f>
        <v>PCS</v>
      </c>
      <c r="W54" s="598">
        <v>5002</v>
      </c>
      <c r="X54" s="599">
        <f t="shared" si="22"/>
        <v>3905.9094878992619</v>
      </c>
    </row>
    <row r="55" spans="1:25">
      <c r="A55" s="655">
        <v>2180</v>
      </c>
      <c r="B55" s="656" t="s">
        <v>1345</v>
      </c>
      <c r="C55" s="656" t="s">
        <v>1346</v>
      </c>
      <c r="D55" s="657" t="str">
        <f>VLOOKUP(B55,'[51]2180 Job Descriptions'!E:G,3,FALSE)</f>
        <v>Rolloff</v>
      </c>
      <c r="E55" s="649">
        <f>+VLOOKUP($B55,'[51]Payroll Report Pivot'!$O:$Q,3,FALSE)</f>
        <v>2163.8500009999998</v>
      </c>
      <c r="F55" s="650">
        <f>+VLOOKUP($B55,'[51]Payroll Report Pivot'!$O:$R,4,FALSE)</f>
        <v>57522.959999999992</v>
      </c>
      <c r="G55" s="649">
        <f>+VLOOKUP(B55,'[51]Payroll Report Pivot'!$Y:$AA,3,FALSE)</f>
        <v>575.2333349999999</v>
      </c>
      <c r="H55" s="650">
        <f>+VLOOKUP($B55,'[51]Payroll Report Pivot'!$Y:$AB,4,FALSE)</f>
        <v>23333.73</v>
      </c>
      <c r="I55" s="650">
        <f t="shared" si="12"/>
        <v>80856.689999999988</v>
      </c>
      <c r="J55" s="649">
        <f>+IFERROR(VLOOKUP(B55,'[51]Payroll Report Pivot'!$AH:$AJ,3,FALSE),0)</f>
        <v>3124.9999999999936</v>
      </c>
      <c r="K55" s="649">
        <f>IFERROR(VLOOKUP(B55,'[51]Payroll Report Pivot'!$AP:$AR,3,FALSE),0)</f>
        <v>1809.6299999999999</v>
      </c>
      <c r="L55" s="649">
        <f t="shared" si="13"/>
        <v>85791.319999999978</v>
      </c>
      <c r="M55" s="650">
        <f>+VLOOKUP(B55,'[51]Payroll Report Pivot'!$E:$H,4,FALSE)</f>
        <v>26.95</v>
      </c>
      <c r="N55" s="658">
        <f t="shared" si="14"/>
        <v>3.3395176252319192E-2</v>
      </c>
      <c r="O55" s="659" t="str">
        <f t="shared" si="15"/>
        <v>27.85</v>
      </c>
      <c r="P55" s="660">
        <f t="shared" si="16"/>
        <v>60263.222527849997</v>
      </c>
      <c r="Q55" s="660">
        <f t="shared" si="17"/>
        <v>24030.372569624997</v>
      </c>
      <c r="R55" s="660">
        <f t="shared" si="18"/>
        <v>1870.0629128014843</v>
      </c>
      <c r="S55" s="649">
        <f t="shared" si="19"/>
        <v>89288.658010276471</v>
      </c>
      <c r="T55" s="649">
        <f t="shared" si="20"/>
        <v>250</v>
      </c>
      <c r="U55" s="652">
        <f t="shared" si="21"/>
        <v>89538.658010276471</v>
      </c>
      <c r="V55" s="598" t="str">
        <f>VLOOKUP(B55,'[51]2180 Job Descriptions'!J:M,4,FALSE)</f>
        <v>PCS</v>
      </c>
      <c r="W55" s="598">
        <v>5002</v>
      </c>
      <c r="X55" s="599">
        <f t="shared" si="22"/>
        <v>3747.3380102764932</v>
      </c>
    </row>
    <row r="56" spans="1:25">
      <c r="A56" s="655"/>
      <c r="B56" s="663"/>
      <c r="C56" s="664"/>
      <c r="D56" s="657"/>
      <c r="E56" s="649"/>
      <c r="F56" s="649"/>
      <c r="G56" s="649"/>
      <c r="H56" s="650"/>
      <c r="I56" s="649"/>
      <c r="J56" s="649"/>
      <c r="K56" s="649"/>
      <c r="L56" s="649"/>
      <c r="M56" s="649"/>
      <c r="N56" s="649"/>
      <c r="O56" s="651"/>
      <c r="P56" s="649"/>
      <c r="Q56" s="649"/>
      <c r="R56" s="649"/>
      <c r="S56" s="649"/>
      <c r="T56" s="649"/>
      <c r="U56" s="652"/>
    </row>
    <row r="57" spans="1:25">
      <c r="A57" s="655"/>
      <c r="B57" s="663"/>
      <c r="C57" s="665" t="str">
        <f>CONCATENATE("TOTAL ",A45)</f>
        <v>TOTAL Roll Off Driver</v>
      </c>
      <c r="D57" s="657"/>
      <c r="E57" s="666">
        <f t="shared" ref="E57:S57" si="23">+SUM(E46:E56)</f>
        <v>20616.343333000001</v>
      </c>
      <c r="F57" s="666">
        <f t="shared" si="23"/>
        <v>549487.65999999992</v>
      </c>
      <c r="G57" s="666">
        <f t="shared" si="23"/>
        <v>3630.1499939999994</v>
      </c>
      <c r="H57" s="666">
        <f t="shared" si="23"/>
        <v>146825.08000000002</v>
      </c>
      <c r="I57" s="666">
        <f t="shared" si="23"/>
        <v>696312.73999999987</v>
      </c>
      <c r="J57" s="666">
        <f t="shared" si="23"/>
        <v>16874.999999999975</v>
      </c>
      <c r="K57" s="666">
        <f t="shared" si="23"/>
        <v>19565.97</v>
      </c>
      <c r="L57" s="666">
        <f t="shared" si="23"/>
        <v>732753.70999999985</v>
      </c>
      <c r="M57" s="666">
        <f t="shared" si="23"/>
        <v>269.49999999999994</v>
      </c>
      <c r="N57" s="666">
        <f t="shared" si="23"/>
        <v>0.33395176252319192</v>
      </c>
      <c r="O57" s="666">
        <f t="shared" si="23"/>
        <v>0</v>
      </c>
      <c r="P57" s="666">
        <f t="shared" si="23"/>
        <v>574165.16182405001</v>
      </c>
      <c r="Q57" s="666">
        <f t="shared" si="23"/>
        <v>151649.51599934997</v>
      </c>
      <c r="R57" s="666">
        <f t="shared" si="23"/>
        <v>20219.379016697592</v>
      </c>
      <c r="S57" s="666">
        <f t="shared" si="23"/>
        <v>762909.05684009765</v>
      </c>
      <c r="T57" s="666">
        <f>+SUM(T46:T56)</f>
        <v>2500</v>
      </c>
      <c r="U57" s="667">
        <f>+SUM(U46:U56)</f>
        <v>765409.05684009765</v>
      </c>
      <c r="X57" s="667">
        <f>+SUM(X46:X56)</f>
        <v>32655.346840097707</v>
      </c>
      <c r="Y57" s="668"/>
    </row>
    <row r="58" spans="1:25">
      <c r="A58" s="655"/>
      <c r="B58" s="663"/>
      <c r="C58" s="665"/>
      <c r="D58" s="657"/>
      <c r="E58" s="649"/>
      <c r="F58" s="649"/>
      <c r="G58" s="649"/>
      <c r="H58" s="650"/>
      <c r="I58" s="649"/>
      <c r="J58" s="649"/>
      <c r="K58" s="649"/>
      <c r="L58" s="649"/>
      <c r="M58" s="649"/>
      <c r="N58" s="649"/>
      <c r="O58" s="651"/>
      <c r="P58" s="649"/>
      <c r="Q58" s="649"/>
      <c r="R58" s="649"/>
      <c r="S58" s="649"/>
      <c r="T58" s="649"/>
      <c r="U58" s="652"/>
    </row>
    <row r="59" spans="1:25">
      <c r="A59" s="645" t="s">
        <v>1347</v>
      </c>
      <c r="B59" s="646"/>
      <c r="C59" s="671"/>
      <c r="D59" s="648"/>
      <c r="E59" s="649"/>
      <c r="F59" s="649"/>
      <c r="G59" s="649"/>
      <c r="H59" s="650"/>
      <c r="I59" s="649"/>
      <c r="J59" s="649"/>
      <c r="K59" s="649"/>
      <c r="L59" s="649"/>
      <c r="M59" s="649"/>
      <c r="N59" s="649"/>
      <c r="O59" s="651"/>
      <c r="P59" s="649"/>
      <c r="Q59" s="649"/>
      <c r="R59" s="649"/>
      <c r="S59" s="649"/>
      <c r="T59" s="649"/>
      <c r="U59" s="652"/>
    </row>
    <row r="60" spans="1:25">
      <c r="A60" s="655">
        <v>2180</v>
      </c>
      <c r="B60" s="656" t="s">
        <v>1348</v>
      </c>
      <c r="C60" s="656" t="s">
        <v>1349</v>
      </c>
      <c r="D60" s="657" t="str">
        <f>VLOOKUP(B60,'[51]2180 Job Descriptions'!E:G,3,FALSE)</f>
        <v>Recy-ASL</v>
      </c>
      <c r="E60" s="649">
        <f>+VLOOKUP($B60,'[51]Payroll Report Pivot'!$O:$Q,3,FALSE)</f>
        <v>2074.2499980000002</v>
      </c>
      <c r="F60" s="650">
        <f>+VLOOKUP($B60,'[51]Payroll Report Pivot'!$O:$R,4,FALSE)</f>
        <v>56815.499999999956</v>
      </c>
      <c r="G60" s="649">
        <f>+VLOOKUP(B60,'[51]Payroll Report Pivot'!$Y:$AA,3,FALSE)</f>
        <v>272.33666699999992</v>
      </c>
      <c r="H60" s="650">
        <f>+VLOOKUP($B60,'[51]Payroll Report Pivot'!$Y:$AB,4,FALSE)</f>
        <v>11117.75</v>
      </c>
      <c r="I60" s="650">
        <f t="shared" ref="I60:I85" si="24">+F60+H60</f>
        <v>67933.249999999956</v>
      </c>
      <c r="J60" s="649">
        <f>+IFERROR(VLOOKUP(B60,'[51]Payroll Report Pivot'!$AH:$AJ,3,FALSE),0)</f>
        <v>1024.9999999999995</v>
      </c>
      <c r="K60" s="649">
        <f>IFERROR(VLOOKUP(B60,'[51]Payroll Report Pivot'!$AP:$AR,3,FALSE),0)</f>
        <v>0</v>
      </c>
      <c r="L60" s="649">
        <f t="shared" ref="L60:L85" si="25">+K60+J60+I60</f>
        <v>68958.249999999956</v>
      </c>
      <c r="M60" s="650">
        <f>+VLOOKUP(B60,'[51]Payroll Report Pivot'!$E:$H,4,FALSE)</f>
        <v>28.33</v>
      </c>
      <c r="N60" s="658">
        <f t="shared" ref="N60:N85" si="26">IF(V60="pcs",(27.85-M60)/M60,2.5%)</f>
        <v>2.5000000000000001E-2</v>
      </c>
      <c r="O60" s="659">
        <f t="shared" ref="O60:O85" si="27">IF(V60="PCS","27.85",M60*(1+N60))</f>
        <v>29.038249999999994</v>
      </c>
      <c r="P60" s="660">
        <f t="shared" ref="P60:P85" si="28">+O60*E60</f>
        <v>60232.590004423495</v>
      </c>
      <c r="Q60" s="660">
        <f t="shared" ref="Q60:Q85" si="29">+O60*G60*1.5</f>
        <v>11862.270330769119</v>
      </c>
      <c r="R60" s="660">
        <f t="shared" ref="R60:R85" si="30">+K60*(1+N60)</f>
        <v>0</v>
      </c>
      <c r="S60" s="649">
        <f t="shared" ref="S60:S85" si="31">SUM(P60:R60)+J60</f>
        <v>73119.860335192614</v>
      </c>
      <c r="T60" s="649">
        <f t="shared" ref="T60:T85" si="32">+IF(V60="PCS",250,0)</f>
        <v>0</v>
      </c>
      <c r="U60" s="652">
        <f t="shared" ref="U60:U85" si="33">+S60+T60</f>
        <v>73119.860335192614</v>
      </c>
      <c r="V60" s="598" t="str">
        <f>VLOOKUP(B60,'[51]2180 Job Descriptions'!J:M,4,FALSE)</f>
        <v>NONU</v>
      </c>
      <c r="W60" s="598">
        <v>5002</v>
      </c>
      <c r="X60" s="599">
        <f t="shared" ref="X60:X85" si="34">U60-L60</f>
        <v>4161.6103351926577</v>
      </c>
    </row>
    <row r="61" spans="1:25">
      <c r="A61" s="655">
        <v>2180</v>
      </c>
      <c r="B61" s="656" t="s">
        <v>1350</v>
      </c>
      <c r="C61" s="656" t="s">
        <v>1351</v>
      </c>
      <c r="D61" s="657" t="str">
        <f>VLOOKUP(B61,'[51]2180 Job Descriptions'!E:G,3,FALSE)</f>
        <v>Recy-ASL</v>
      </c>
      <c r="E61" s="649">
        <f>+VLOOKUP($B61,'[51]Payroll Report Pivot'!$O:$Q,3,FALSE)</f>
        <v>2073.3733309999998</v>
      </c>
      <c r="F61" s="650">
        <f>+VLOOKUP($B61,'[51]Payroll Report Pivot'!$O:$R,4,FALSE)</f>
        <v>56763.900000000009</v>
      </c>
      <c r="G61" s="649">
        <f>+VLOOKUP(B61,'[51]Payroll Report Pivot'!$Y:$AA,3,FALSE)</f>
        <v>390.733338</v>
      </c>
      <c r="H61" s="650">
        <f>+VLOOKUP($B61,'[51]Payroll Report Pivot'!$Y:$AB,4,FALSE)</f>
        <v>16052.809999999998</v>
      </c>
      <c r="I61" s="650">
        <f t="shared" si="24"/>
        <v>72816.710000000006</v>
      </c>
      <c r="J61" s="649">
        <f>+IFERROR(VLOOKUP(B61,'[51]Payroll Report Pivot'!$AH:$AJ,3,FALSE),0)</f>
        <v>1024.9999999999995</v>
      </c>
      <c r="K61" s="649">
        <f>IFERROR(VLOOKUP(B61,'[51]Payroll Report Pivot'!$AP:$AR,3,FALSE),0)</f>
        <v>0</v>
      </c>
      <c r="L61" s="649">
        <f t="shared" si="25"/>
        <v>73841.710000000006</v>
      </c>
      <c r="M61" s="650">
        <f>+VLOOKUP(B61,'[51]Payroll Report Pivot'!$E:$H,4,FALSE)</f>
        <v>28.33</v>
      </c>
      <c r="N61" s="658">
        <f t="shared" si="26"/>
        <v>2.5000000000000001E-2</v>
      </c>
      <c r="O61" s="659">
        <f t="shared" si="27"/>
        <v>29.038249999999994</v>
      </c>
      <c r="P61" s="660">
        <f t="shared" si="28"/>
        <v>60207.133128910733</v>
      </c>
      <c r="Q61" s="660">
        <f t="shared" si="29"/>
        <v>17019.318528267748</v>
      </c>
      <c r="R61" s="660">
        <f t="shared" si="30"/>
        <v>0</v>
      </c>
      <c r="S61" s="649">
        <f t="shared" si="31"/>
        <v>78251.451657178477</v>
      </c>
      <c r="T61" s="649">
        <f t="shared" si="32"/>
        <v>0</v>
      </c>
      <c r="U61" s="652">
        <f t="shared" si="33"/>
        <v>78251.451657178477</v>
      </c>
      <c r="V61" s="598" t="str">
        <f>VLOOKUP(B61,'[51]2180 Job Descriptions'!J:M,4,FALSE)</f>
        <v>NONU</v>
      </c>
      <c r="W61" s="598">
        <v>5002</v>
      </c>
      <c r="X61" s="599">
        <f t="shared" si="34"/>
        <v>4409.7416571784706</v>
      </c>
    </row>
    <row r="62" spans="1:25">
      <c r="A62" s="655">
        <v>2180</v>
      </c>
      <c r="B62" s="656" t="s">
        <v>1352</v>
      </c>
      <c r="C62" s="656" t="s">
        <v>1353</v>
      </c>
      <c r="D62" s="657" t="str">
        <f>VLOOKUP(B62,'[51]2180 Job Descriptions'!E:G,3,FALSE)</f>
        <v>Recy-ASL</v>
      </c>
      <c r="E62" s="649">
        <f>+VLOOKUP($B62,'[51]Payroll Report Pivot'!$O:$Q,3,FALSE)</f>
        <v>1485.393335</v>
      </c>
      <c r="F62" s="650">
        <f>+VLOOKUP($B62,'[51]Payroll Report Pivot'!$O:$R,4,FALSE)</f>
        <v>40422.929999999993</v>
      </c>
      <c r="G62" s="649">
        <f>+VLOOKUP(B62,'[51]Payroll Report Pivot'!$Y:$AA,3,FALSE)</f>
        <v>451.71667299999996</v>
      </c>
      <c r="H62" s="650">
        <f>+VLOOKUP($B62,'[51]Payroll Report Pivot'!$Y:$AB,4,FALSE)</f>
        <v>18533.169999999998</v>
      </c>
      <c r="I62" s="650">
        <f t="shared" si="24"/>
        <v>58956.099999999991</v>
      </c>
      <c r="J62" s="649">
        <f>+IFERROR(VLOOKUP(B62,'[51]Payroll Report Pivot'!$AH:$AJ,3,FALSE),0)</f>
        <v>3024.9999999999941</v>
      </c>
      <c r="K62" s="649">
        <f>IFERROR(VLOOKUP(B62,'[51]Payroll Report Pivot'!$AP:$AR,3,FALSE),0)</f>
        <v>0</v>
      </c>
      <c r="L62" s="649">
        <f t="shared" si="25"/>
        <v>61981.099999999984</v>
      </c>
      <c r="M62" s="650">
        <f>+VLOOKUP(B62,'[51]Payroll Report Pivot'!$E:$H,4,FALSE)</f>
        <v>26.5</v>
      </c>
      <c r="N62" s="658">
        <f t="shared" si="26"/>
        <v>2.5000000000000001E-2</v>
      </c>
      <c r="O62" s="659">
        <f t="shared" si="27"/>
        <v>27.162499999999998</v>
      </c>
      <c r="P62" s="660">
        <f t="shared" si="28"/>
        <v>40346.996461937495</v>
      </c>
      <c r="Q62" s="660">
        <f t="shared" si="29"/>
        <v>18404.631195543749</v>
      </c>
      <c r="R62" s="660">
        <f t="shared" si="30"/>
        <v>0</v>
      </c>
      <c r="S62" s="649">
        <f t="shared" si="31"/>
        <v>61776.627657481236</v>
      </c>
      <c r="T62" s="649">
        <f t="shared" si="32"/>
        <v>0</v>
      </c>
      <c r="U62" s="652">
        <f t="shared" si="33"/>
        <v>61776.627657481236</v>
      </c>
      <c r="V62" s="598" t="str">
        <f>VLOOKUP(B62,'[51]2180 Job Descriptions'!J:M,4,FALSE)</f>
        <v>NONU</v>
      </c>
      <c r="W62" s="598">
        <v>5002</v>
      </c>
      <c r="X62" s="599">
        <f t="shared" si="34"/>
        <v>-204.47234251874761</v>
      </c>
    </row>
    <row r="63" spans="1:25">
      <c r="A63" s="655">
        <v>2180</v>
      </c>
      <c r="B63" s="656" t="s">
        <v>1354</v>
      </c>
      <c r="C63" s="656" t="s">
        <v>1355</v>
      </c>
      <c r="D63" s="657" t="str">
        <f>VLOOKUP(B63,'[51]2180 Job Descriptions'!E:G,3,FALSE)</f>
        <v>Recy-ASL</v>
      </c>
      <c r="E63" s="649">
        <f>+VLOOKUP($B63,'[51]Payroll Report Pivot'!$O:$Q,3,FALSE)</f>
        <v>1815.9033349999997</v>
      </c>
      <c r="F63" s="650">
        <f>+VLOOKUP($B63,'[51]Payroll Report Pivot'!$O:$R,4,FALSE)</f>
        <v>48840.17</v>
      </c>
      <c r="G63" s="649">
        <f>+VLOOKUP(B63,'[51]Payroll Report Pivot'!$Y:$AA,3,FALSE)</f>
        <v>467.65000300000008</v>
      </c>
      <c r="H63" s="650">
        <f>+VLOOKUP($B63,'[51]Payroll Report Pivot'!$Y:$AB,4,FALSE)</f>
        <v>18772.01999999999</v>
      </c>
      <c r="I63" s="650">
        <f t="shared" si="24"/>
        <v>67612.189999999988</v>
      </c>
      <c r="J63" s="649">
        <f>+IFERROR(VLOOKUP(B63,'[51]Payroll Report Pivot'!$AH:$AJ,3,FALSE),0)</f>
        <v>775</v>
      </c>
      <c r="K63" s="649">
        <f>IFERROR(VLOOKUP(B63,'[51]Payroll Report Pivot'!$AP:$AR,3,FALSE),0)</f>
        <v>0</v>
      </c>
      <c r="L63" s="649">
        <f t="shared" si="25"/>
        <v>68387.189999999988</v>
      </c>
      <c r="M63" s="650">
        <f>+VLOOKUP(B63,'[51]Payroll Report Pivot'!$E:$H,4,FALSE)</f>
        <v>26.63</v>
      </c>
      <c r="N63" s="658">
        <f t="shared" si="26"/>
        <v>2.5000000000000001E-2</v>
      </c>
      <c r="O63" s="659">
        <f t="shared" si="27"/>
        <v>27.295749999999998</v>
      </c>
      <c r="P63" s="660">
        <f t="shared" si="28"/>
        <v>49566.44345632624</v>
      </c>
      <c r="Q63" s="660">
        <f t="shared" si="29"/>
        <v>19147.286354080876</v>
      </c>
      <c r="R63" s="660">
        <f t="shared" si="30"/>
        <v>0</v>
      </c>
      <c r="S63" s="649">
        <f t="shared" si="31"/>
        <v>69488.729810407123</v>
      </c>
      <c r="T63" s="649">
        <f t="shared" si="32"/>
        <v>0</v>
      </c>
      <c r="U63" s="652">
        <f t="shared" si="33"/>
        <v>69488.729810407123</v>
      </c>
      <c r="V63" s="598" t="str">
        <f>VLOOKUP(B63,'[51]2180 Job Descriptions'!J:M,4,FALSE)</f>
        <v>NONU</v>
      </c>
      <c r="W63" s="598">
        <v>5002</v>
      </c>
      <c r="X63" s="599">
        <f t="shared" si="34"/>
        <v>1101.5398104071355</v>
      </c>
    </row>
    <row r="64" spans="1:25">
      <c r="A64" s="655">
        <v>2180</v>
      </c>
      <c r="B64" s="656" t="s">
        <v>1356</v>
      </c>
      <c r="C64" s="656" t="s">
        <v>1357</v>
      </c>
      <c r="D64" s="657" t="str">
        <f>VLOOKUP(B64,'[51]2180 Job Descriptions'!E:G,3,FALSE)</f>
        <v>Recy-ASL</v>
      </c>
      <c r="E64" s="649">
        <f>+VLOOKUP($B64,'[51]Payroll Report Pivot'!$O:$Q,3,FALSE)</f>
        <v>200</v>
      </c>
      <c r="F64" s="650">
        <f>+VLOOKUP($B64,'[51]Payroll Report Pivot'!$O:$R,4,FALSE)</f>
        <v>5300</v>
      </c>
      <c r="G64" s="649">
        <f>+VLOOKUP(B64,'[51]Payroll Report Pivot'!$Y:$AA,3,FALSE)</f>
        <v>53.033333000000006</v>
      </c>
      <c r="H64" s="650">
        <f>+VLOOKUP($B64,'[51]Payroll Report Pivot'!$Y:$AB,4,FALSE)</f>
        <v>2108.12</v>
      </c>
      <c r="I64" s="650">
        <f t="shared" si="24"/>
        <v>7408.12</v>
      </c>
      <c r="J64" s="649">
        <f>+IFERROR(VLOOKUP(B64,'[51]Payroll Report Pivot'!$AH:$AJ,3,FALSE),0)</f>
        <v>0</v>
      </c>
      <c r="K64" s="649">
        <f>IFERROR(VLOOKUP(B64,'[51]Payroll Report Pivot'!$AP:$AR,3,FALSE),0)</f>
        <v>0</v>
      </c>
      <c r="L64" s="649">
        <f t="shared" si="25"/>
        <v>7408.12</v>
      </c>
      <c r="M64" s="650">
        <f>+VLOOKUP(B64,'[51]Payroll Report Pivot'!$E:$H,4,FALSE)</f>
        <v>26.5</v>
      </c>
      <c r="N64" s="658">
        <f t="shared" si="26"/>
        <v>2.5000000000000001E-2</v>
      </c>
      <c r="O64" s="659">
        <f t="shared" si="27"/>
        <v>27.162499999999998</v>
      </c>
      <c r="P64" s="660">
        <f t="shared" si="28"/>
        <v>5432.5</v>
      </c>
      <c r="Q64" s="660">
        <f t="shared" si="29"/>
        <v>2160.7768614187498</v>
      </c>
      <c r="R64" s="660">
        <f t="shared" si="30"/>
        <v>0</v>
      </c>
      <c r="S64" s="649">
        <f t="shared" si="31"/>
        <v>7593.2768614187498</v>
      </c>
      <c r="T64" s="649">
        <f t="shared" si="32"/>
        <v>0</v>
      </c>
      <c r="U64" s="652">
        <f t="shared" si="33"/>
        <v>7593.2768614187498</v>
      </c>
      <c r="V64" s="598" t="str">
        <f>VLOOKUP(B64,'[51]2180 Job Descriptions'!J:M,4,FALSE)</f>
        <v>NONU</v>
      </c>
      <c r="W64" s="598">
        <v>5002</v>
      </c>
      <c r="X64" s="599">
        <f t="shared" si="34"/>
        <v>185.15686141874994</v>
      </c>
    </row>
    <row r="65" spans="1:24">
      <c r="A65" s="655">
        <v>2180</v>
      </c>
      <c r="B65" s="656" t="s">
        <v>1358</v>
      </c>
      <c r="C65" s="656" t="s">
        <v>1359</v>
      </c>
      <c r="D65" s="657" t="str">
        <f>VLOOKUP(B65,'[51]2180 Job Descriptions'!E:G,3,FALSE)</f>
        <v>Recy-ASL</v>
      </c>
      <c r="E65" s="649">
        <f>+VLOOKUP($B65,'[51]Payroll Report Pivot'!$O:$Q,3,FALSE)</f>
        <v>536</v>
      </c>
      <c r="F65" s="650">
        <f>+VLOOKUP($B65,'[51]Payroll Report Pivot'!$O:$R,4,FALSE)</f>
        <v>14840</v>
      </c>
      <c r="G65" s="649">
        <f>+VLOOKUP(B65,'[51]Payroll Report Pivot'!$Y:$AA,3,FALSE)</f>
        <v>182.10000100000002</v>
      </c>
      <c r="H65" s="650">
        <f>+VLOOKUP($B65,'[51]Payroll Report Pivot'!$Y:$AB,4,FALSE)</f>
        <v>7238.61</v>
      </c>
      <c r="I65" s="650">
        <f t="shared" si="24"/>
        <v>22078.61</v>
      </c>
      <c r="J65" s="649">
        <f>+IFERROR(VLOOKUP(B65,'[51]Payroll Report Pivot'!$AH:$AJ,3,FALSE),0)</f>
        <v>0</v>
      </c>
      <c r="K65" s="649">
        <f>IFERROR(VLOOKUP(B65,'[51]Payroll Report Pivot'!$AP:$AR,3,FALSE),0)</f>
        <v>0</v>
      </c>
      <c r="L65" s="649">
        <f t="shared" si="25"/>
        <v>22078.61</v>
      </c>
      <c r="M65" s="650">
        <f>+VLOOKUP(B65,'[51]Payroll Report Pivot'!$E:$H,4,FALSE)</f>
        <v>26.5</v>
      </c>
      <c r="N65" s="658">
        <f t="shared" si="26"/>
        <v>2.5000000000000001E-2</v>
      </c>
      <c r="O65" s="659">
        <f t="shared" si="27"/>
        <v>27.162499999999998</v>
      </c>
      <c r="P65" s="660">
        <f t="shared" si="28"/>
        <v>14559.099999999999</v>
      </c>
      <c r="Q65" s="660">
        <f t="shared" si="29"/>
        <v>7419.4369157437504</v>
      </c>
      <c r="R65" s="660">
        <f t="shared" si="30"/>
        <v>0</v>
      </c>
      <c r="S65" s="649">
        <f t="shared" si="31"/>
        <v>21978.536915743749</v>
      </c>
      <c r="T65" s="649">
        <f t="shared" si="32"/>
        <v>0</v>
      </c>
      <c r="U65" s="652">
        <f t="shared" si="33"/>
        <v>21978.536915743749</v>
      </c>
      <c r="V65" s="598" t="str">
        <f>VLOOKUP(B65,'[51]2180 Job Descriptions'!J:M,4,FALSE)</f>
        <v>NONU</v>
      </c>
      <c r="W65" s="598">
        <v>5002</v>
      </c>
      <c r="X65" s="599">
        <f t="shared" si="34"/>
        <v>-100.0730842562516</v>
      </c>
    </row>
    <row r="66" spans="1:24">
      <c r="A66" s="655">
        <v>2180</v>
      </c>
      <c r="B66" s="656" t="s">
        <v>1360</v>
      </c>
      <c r="C66" s="656" t="s">
        <v>1361</v>
      </c>
      <c r="D66" s="657" t="str">
        <f>VLOOKUP(B66,'[51]2180 Job Descriptions'!E:G,3,FALSE)</f>
        <v>Recy-ASL</v>
      </c>
      <c r="E66" s="649">
        <f>+VLOOKUP($B66,'[51]Payroll Report Pivot'!$O:$Q,3,FALSE)</f>
        <v>105.6</v>
      </c>
      <c r="F66" s="650">
        <f>+VLOOKUP($B66,'[51]Payroll Report Pivot'!$O:$R,4,FALSE)</f>
        <v>2798.4</v>
      </c>
      <c r="G66" s="649">
        <f>+VLOOKUP(B66,'[51]Payroll Report Pivot'!$Y:$AA,3,FALSE)</f>
        <v>15.95</v>
      </c>
      <c r="H66" s="650">
        <f>+VLOOKUP($B66,'[51]Payroll Report Pivot'!$Y:$AB,4,FALSE)</f>
        <v>634.02</v>
      </c>
      <c r="I66" s="650">
        <f t="shared" si="24"/>
        <v>3432.42</v>
      </c>
      <c r="J66" s="649">
        <f>+IFERROR(VLOOKUP(B66,'[51]Payroll Report Pivot'!$AH:$AJ,3,FALSE),0)</f>
        <v>0</v>
      </c>
      <c r="K66" s="649">
        <f>IFERROR(VLOOKUP(B66,'[51]Payroll Report Pivot'!$AP:$AR,3,FALSE),0)</f>
        <v>0</v>
      </c>
      <c r="L66" s="649">
        <f t="shared" si="25"/>
        <v>3432.42</v>
      </c>
      <c r="M66" s="650">
        <f>+VLOOKUP(B66,'[51]Payroll Report Pivot'!$E:$H,4,FALSE)</f>
        <v>26.5</v>
      </c>
      <c r="N66" s="658">
        <f t="shared" si="26"/>
        <v>2.5000000000000001E-2</v>
      </c>
      <c r="O66" s="659">
        <f t="shared" si="27"/>
        <v>27.162499999999998</v>
      </c>
      <c r="P66" s="660">
        <f t="shared" si="28"/>
        <v>2868.3599999999997</v>
      </c>
      <c r="Q66" s="660">
        <f t="shared" si="29"/>
        <v>649.8628124999999</v>
      </c>
      <c r="R66" s="660">
        <f t="shared" si="30"/>
        <v>0</v>
      </c>
      <c r="S66" s="649">
        <f t="shared" si="31"/>
        <v>3518.2228124999997</v>
      </c>
      <c r="T66" s="649">
        <f t="shared" si="32"/>
        <v>0</v>
      </c>
      <c r="U66" s="652">
        <f t="shared" si="33"/>
        <v>3518.2228124999997</v>
      </c>
      <c r="V66" s="598" t="str">
        <f>VLOOKUP(B66,'[51]2180 Job Descriptions'!J:M,4,FALSE)</f>
        <v>NONU</v>
      </c>
      <c r="W66" s="598">
        <v>5002</v>
      </c>
      <c r="X66" s="599">
        <f t="shared" si="34"/>
        <v>85.802812499999618</v>
      </c>
    </row>
    <row r="67" spans="1:24">
      <c r="A67" s="655">
        <v>2180</v>
      </c>
      <c r="B67" s="656" t="s">
        <v>1362</v>
      </c>
      <c r="C67" s="656" t="s">
        <v>1363</v>
      </c>
      <c r="D67" s="657" t="str">
        <f>VLOOKUP(B67,'[51]2180 Job Descriptions'!E:G,3,FALSE)</f>
        <v>Recy-ASL</v>
      </c>
      <c r="E67" s="649">
        <f>+VLOOKUP($B67,'[51]Payroll Report Pivot'!$O:$Q,3,FALSE)</f>
        <v>2056.3166680000004</v>
      </c>
      <c r="F67" s="650">
        <f>+VLOOKUP($B67,'[51]Payroll Report Pivot'!$O:$R,4,FALSE)</f>
        <v>56070.83</v>
      </c>
      <c r="G67" s="649">
        <f>+VLOOKUP(B67,'[51]Payroll Report Pivot'!$Y:$AA,3,FALSE)</f>
        <v>481.23333100000002</v>
      </c>
      <c r="H67" s="650">
        <f>+VLOOKUP($B67,'[51]Payroll Report Pivot'!$Y:$AB,4,FALSE)</f>
        <v>19705.249999999989</v>
      </c>
      <c r="I67" s="650">
        <f t="shared" si="24"/>
        <v>75776.079999999987</v>
      </c>
      <c r="J67" s="649">
        <f>+IFERROR(VLOOKUP(B67,'[51]Payroll Report Pivot'!$AH:$AJ,3,FALSE),0)</f>
        <v>2774.9999999999955</v>
      </c>
      <c r="K67" s="649">
        <f>IFERROR(VLOOKUP(B67,'[51]Payroll Report Pivot'!$AP:$AR,3,FALSE),0)</f>
        <v>212</v>
      </c>
      <c r="L67" s="649">
        <f t="shared" si="25"/>
        <v>78763.079999999987</v>
      </c>
      <c r="M67" s="650">
        <f>+VLOOKUP(B67,'[51]Payroll Report Pivot'!$E:$H,4,FALSE)</f>
        <v>28.3</v>
      </c>
      <c r="N67" s="658">
        <f t="shared" si="26"/>
        <v>2.5000000000000001E-2</v>
      </c>
      <c r="O67" s="659">
        <f t="shared" si="27"/>
        <v>29.007499999999997</v>
      </c>
      <c r="P67" s="660">
        <f t="shared" si="28"/>
        <v>59648.605747010006</v>
      </c>
      <c r="Q67" s="660">
        <f t="shared" si="29"/>
        <v>20939.06377347375</v>
      </c>
      <c r="R67" s="660">
        <f t="shared" si="30"/>
        <v>217.29999999999998</v>
      </c>
      <c r="S67" s="649">
        <f t="shared" si="31"/>
        <v>83579.969520483763</v>
      </c>
      <c r="T67" s="649">
        <f t="shared" si="32"/>
        <v>0</v>
      </c>
      <c r="U67" s="652">
        <f t="shared" si="33"/>
        <v>83579.969520483763</v>
      </c>
      <c r="V67" s="598" t="str">
        <f>VLOOKUP(B67,'[51]2180 Job Descriptions'!J:M,4,FALSE)</f>
        <v>NONU</v>
      </c>
      <c r="W67" s="598">
        <v>5002</v>
      </c>
      <c r="X67" s="599">
        <f t="shared" si="34"/>
        <v>4816.8895204837754</v>
      </c>
    </row>
    <row r="68" spans="1:24">
      <c r="A68" s="655">
        <v>2180</v>
      </c>
      <c r="B68" s="656" t="s">
        <v>1364</v>
      </c>
      <c r="C68" s="656" t="s">
        <v>1365</v>
      </c>
      <c r="D68" s="657" t="str">
        <f>VLOOKUP(B68,'[51]2180 Job Descriptions'!E:G,3,FALSE)</f>
        <v>Recy-ASL</v>
      </c>
      <c r="E68" s="649">
        <f>+VLOOKUP($B68,'[51]Payroll Report Pivot'!$O:$Q,3,FALSE)</f>
        <v>2104.6</v>
      </c>
      <c r="F68" s="650">
        <f>+VLOOKUP($B68,'[51]Payroll Report Pivot'!$O:$R,4,FALSE)</f>
        <v>57383.420000000006</v>
      </c>
      <c r="G68" s="649">
        <f>+VLOOKUP(B68,'[51]Payroll Report Pivot'!$Y:$AA,3,FALSE)</f>
        <v>398.90000300000003</v>
      </c>
      <c r="H68" s="650">
        <f>+VLOOKUP($B68,'[51]Payroll Report Pivot'!$Y:$AB,4,FALSE)</f>
        <v>16398.510000000002</v>
      </c>
      <c r="I68" s="650">
        <f t="shared" si="24"/>
        <v>73781.930000000008</v>
      </c>
      <c r="J68" s="649">
        <f>+IFERROR(VLOOKUP(B68,'[51]Payroll Report Pivot'!$AH:$AJ,3,FALSE),0)</f>
        <v>1416.6700000000021</v>
      </c>
      <c r="K68" s="649">
        <f>IFERROR(VLOOKUP(B68,'[51]Payroll Report Pivot'!$AP:$AR,3,FALSE),0)</f>
        <v>0</v>
      </c>
      <c r="L68" s="649">
        <f t="shared" si="25"/>
        <v>75198.600000000006</v>
      </c>
      <c r="M68" s="650">
        <f>+VLOOKUP(B68,'[51]Payroll Report Pivot'!$E:$H,4,FALSE)</f>
        <v>28.33</v>
      </c>
      <c r="N68" s="658">
        <f t="shared" si="26"/>
        <v>2.5000000000000001E-2</v>
      </c>
      <c r="O68" s="659">
        <f t="shared" si="27"/>
        <v>29.038249999999994</v>
      </c>
      <c r="P68" s="660">
        <f t="shared" si="28"/>
        <v>61113.900949999988</v>
      </c>
      <c r="Q68" s="660">
        <f t="shared" si="29"/>
        <v>17375.037018172123</v>
      </c>
      <c r="R68" s="660">
        <f t="shared" si="30"/>
        <v>0</v>
      </c>
      <c r="S68" s="649">
        <f t="shared" si="31"/>
        <v>79905.607968172102</v>
      </c>
      <c r="T68" s="649">
        <f t="shared" si="32"/>
        <v>0</v>
      </c>
      <c r="U68" s="652">
        <f t="shared" si="33"/>
        <v>79905.607968172102</v>
      </c>
      <c r="V68" s="598" t="str">
        <f>VLOOKUP(B68,'[51]2180 Job Descriptions'!J:M,4,FALSE)</f>
        <v>NONU</v>
      </c>
      <c r="W68" s="598">
        <v>5002</v>
      </c>
      <c r="X68" s="599">
        <f t="shared" si="34"/>
        <v>4707.0079681720963</v>
      </c>
    </row>
    <row r="69" spans="1:24">
      <c r="A69" s="655">
        <v>2180</v>
      </c>
      <c r="B69" s="656" t="s">
        <v>1366</v>
      </c>
      <c r="C69" s="656" t="s">
        <v>1367</v>
      </c>
      <c r="D69" s="657" t="str">
        <f>VLOOKUP(B69,'[51]2180 Job Descriptions'!E:G,3,FALSE)</f>
        <v>Recy-ASL</v>
      </c>
      <c r="E69" s="649">
        <f>+VLOOKUP($B69,'[51]Payroll Report Pivot'!$O:$Q,3,FALSE)</f>
        <v>2079.8166660000002</v>
      </c>
      <c r="F69" s="650">
        <f>+VLOOKUP($B69,'[51]Payroll Report Pivot'!$O:$R,4,FALSE)</f>
        <v>61636.610000000008</v>
      </c>
      <c r="G69" s="649">
        <f>+VLOOKUP(B69,'[51]Payroll Report Pivot'!$Y:$AA,3,FALSE)</f>
        <v>371.54999499999991</v>
      </c>
      <c r="H69" s="650">
        <f>+VLOOKUP($B69,'[51]Payroll Report Pivot'!$Y:$AB,4,FALSE)</f>
        <v>16474.390000000014</v>
      </c>
      <c r="I69" s="650">
        <f t="shared" si="24"/>
        <v>78111.000000000029</v>
      </c>
      <c r="J69" s="649">
        <f>+IFERROR(VLOOKUP(B69,'[51]Payroll Report Pivot'!$AH:$AJ,3,FALSE),0)</f>
        <v>3074.9999999999945</v>
      </c>
      <c r="K69" s="649">
        <f>IFERROR(VLOOKUP(B69,'[51]Payroll Report Pivot'!$AP:$AR,3,FALSE),0)</f>
        <v>0</v>
      </c>
      <c r="L69" s="649">
        <f t="shared" si="25"/>
        <v>81186.000000000029</v>
      </c>
      <c r="M69" s="650">
        <f>+VLOOKUP(B69,'[51]Payroll Report Pivot'!$E:$H,4,FALSE)</f>
        <v>32</v>
      </c>
      <c r="N69" s="658">
        <f t="shared" si="26"/>
        <v>2.5000000000000001E-2</v>
      </c>
      <c r="O69" s="659">
        <f t="shared" si="27"/>
        <v>32.799999999999997</v>
      </c>
      <c r="P69" s="660">
        <f t="shared" si="28"/>
        <v>68217.986644799996</v>
      </c>
      <c r="Q69" s="660">
        <f t="shared" si="29"/>
        <v>18280.259753999992</v>
      </c>
      <c r="R69" s="660">
        <f t="shared" si="30"/>
        <v>0</v>
      </c>
      <c r="S69" s="649">
        <f t="shared" si="31"/>
        <v>89573.246398799994</v>
      </c>
      <c r="T69" s="649">
        <f t="shared" si="32"/>
        <v>0</v>
      </c>
      <c r="U69" s="652">
        <f t="shared" si="33"/>
        <v>89573.246398799994</v>
      </c>
      <c r="V69" s="598" t="str">
        <f>VLOOKUP(B69,'[51]2180 Job Descriptions'!J:M,4,FALSE)</f>
        <v>NONU</v>
      </c>
      <c r="W69" s="598">
        <v>5002</v>
      </c>
      <c r="X69" s="599">
        <f t="shared" si="34"/>
        <v>8387.2463987999654</v>
      </c>
    </row>
    <row r="70" spans="1:24">
      <c r="A70" s="655">
        <v>2180</v>
      </c>
      <c r="B70" s="656" t="s">
        <v>1368</v>
      </c>
      <c r="C70" s="656" t="s">
        <v>1369</v>
      </c>
      <c r="D70" s="657" t="str">
        <f>VLOOKUP(B70,'[51]2180 Job Descriptions'!E:G,3,FALSE)</f>
        <v>Recy-ASL</v>
      </c>
      <c r="E70" s="649">
        <f>+VLOOKUP($B70,'[51]Payroll Report Pivot'!$O:$Q,3,FALSE)</f>
        <v>2051.9333310000002</v>
      </c>
      <c r="F70" s="650">
        <f>+VLOOKUP($B70,'[51]Payroll Report Pivot'!$O:$R,4,FALSE)</f>
        <v>55736.259999999995</v>
      </c>
      <c r="G70" s="649">
        <f>+VLOOKUP(B70,'[51]Payroll Report Pivot'!$Y:$AA,3,FALSE)</f>
        <v>466.21667300000001</v>
      </c>
      <c r="H70" s="650">
        <f>+VLOOKUP($B70,'[51]Payroll Report Pivot'!$Y:$AB,4,FALSE)</f>
        <v>18878.350000000002</v>
      </c>
      <c r="I70" s="650">
        <f t="shared" si="24"/>
        <v>74614.61</v>
      </c>
      <c r="J70" s="649">
        <f>+IFERROR(VLOOKUP(B70,'[51]Payroll Report Pivot'!$AH:$AJ,3,FALSE),0)</f>
        <v>774.99999999999955</v>
      </c>
      <c r="K70" s="649">
        <f>IFERROR(VLOOKUP(B70,'[51]Payroll Report Pivot'!$AP:$AR,3,FALSE),0)</f>
        <v>0</v>
      </c>
      <c r="L70" s="649">
        <f t="shared" si="25"/>
        <v>75389.61</v>
      </c>
      <c r="M70" s="650">
        <f>+VLOOKUP(B70,'[51]Payroll Report Pivot'!$E:$H,4,FALSE)</f>
        <v>27.3</v>
      </c>
      <c r="N70" s="658">
        <f t="shared" si="26"/>
        <v>2.5000000000000001E-2</v>
      </c>
      <c r="O70" s="659">
        <f t="shared" si="27"/>
        <v>27.982499999999998</v>
      </c>
      <c r="P70" s="660">
        <f t="shared" si="28"/>
        <v>57418.224434707503</v>
      </c>
      <c r="Q70" s="660">
        <f t="shared" si="29"/>
        <v>19568.86207833375</v>
      </c>
      <c r="R70" s="660">
        <f t="shared" si="30"/>
        <v>0</v>
      </c>
      <c r="S70" s="649">
        <f t="shared" si="31"/>
        <v>77762.086513041257</v>
      </c>
      <c r="T70" s="649">
        <f t="shared" si="32"/>
        <v>0</v>
      </c>
      <c r="U70" s="652">
        <f t="shared" si="33"/>
        <v>77762.086513041257</v>
      </c>
      <c r="V70" s="598" t="str">
        <f>VLOOKUP(B70,'[51]2180 Job Descriptions'!J:M,4,FALSE)</f>
        <v>NONU</v>
      </c>
      <c r="W70" s="598">
        <v>5002</v>
      </c>
      <c r="X70" s="599">
        <f t="shared" si="34"/>
        <v>2372.4765130412561</v>
      </c>
    </row>
    <row r="71" spans="1:24">
      <c r="A71" s="655">
        <v>2180</v>
      </c>
      <c r="B71" s="656" t="s">
        <v>1370</v>
      </c>
      <c r="C71" s="656" t="s">
        <v>1371</v>
      </c>
      <c r="D71" s="657" t="str">
        <f>VLOOKUP(B71,'[51]2180 Job Descriptions'!E:G,3,FALSE)</f>
        <v>Recy-ASL</v>
      </c>
      <c r="E71" s="649">
        <f>+VLOOKUP($B71,'[51]Payroll Report Pivot'!$O:$Q,3,FALSE)</f>
        <v>2052.6733340000001</v>
      </c>
      <c r="F71" s="650">
        <f>+VLOOKUP($B71,'[51]Payroll Report Pivot'!$O:$R,4,FALSE)</f>
        <v>55455.859999999993</v>
      </c>
      <c r="G71" s="649">
        <f>+VLOOKUP(B71,'[51]Payroll Report Pivot'!$Y:$AA,3,FALSE)</f>
        <v>565.116671</v>
      </c>
      <c r="H71" s="650">
        <f>+VLOOKUP($B71,'[51]Payroll Report Pivot'!$Y:$AB,4,FALSE)</f>
        <v>22909.38</v>
      </c>
      <c r="I71" s="650">
        <f t="shared" si="24"/>
        <v>78365.239999999991</v>
      </c>
      <c r="J71" s="649">
        <f>+IFERROR(VLOOKUP(B71,'[51]Payroll Report Pivot'!$AH:$AJ,3,FALSE),0)</f>
        <v>3024.9999999999941</v>
      </c>
      <c r="K71" s="649">
        <f>IFERROR(VLOOKUP(B71,'[51]Payroll Report Pivot'!$AP:$AR,3,FALSE),0)</f>
        <v>0</v>
      </c>
      <c r="L71" s="649">
        <f t="shared" si="25"/>
        <v>81390.239999999991</v>
      </c>
      <c r="M71" s="650">
        <f>+VLOOKUP(B71,'[51]Payroll Report Pivot'!$E:$H,4,FALSE)</f>
        <v>26.5</v>
      </c>
      <c r="N71" s="658">
        <f t="shared" si="26"/>
        <v>2.5000000000000001E-2</v>
      </c>
      <c r="O71" s="659">
        <f t="shared" si="27"/>
        <v>27.162499999999998</v>
      </c>
      <c r="P71" s="660">
        <f t="shared" si="28"/>
        <v>55755.739434774994</v>
      </c>
      <c r="Q71" s="660">
        <f t="shared" si="29"/>
        <v>23024.972364056248</v>
      </c>
      <c r="R71" s="660">
        <f t="shared" si="30"/>
        <v>0</v>
      </c>
      <c r="S71" s="649">
        <f t="shared" si="31"/>
        <v>81805.711798831238</v>
      </c>
      <c r="T71" s="649">
        <f t="shared" si="32"/>
        <v>0</v>
      </c>
      <c r="U71" s="652">
        <f t="shared" si="33"/>
        <v>81805.711798831238</v>
      </c>
      <c r="V71" s="598" t="str">
        <f>VLOOKUP(B71,'[51]2180 Job Descriptions'!J:M,4,FALSE)</f>
        <v>NONU</v>
      </c>
      <c r="W71" s="598">
        <v>5002</v>
      </c>
      <c r="X71" s="599">
        <f t="shared" si="34"/>
        <v>415.47179883124772</v>
      </c>
    </row>
    <row r="72" spans="1:24">
      <c r="A72" s="655">
        <v>2180</v>
      </c>
      <c r="B72" s="656" t="s">
        <v>1372</v>
      </c>
      <c r="C72" s="656" t="s">
        <v>1373</v>
      </c>
      <c r="D72" s="657" t="str">
        <f>VLOOKUP(B72,'[51]2180 Job Descriptions'!E:G,3,FALSE)</f>
        <v>Recy-ASL</v>
      </c>
      <c r="E72" s="649">
        <f>+VLOOKUP($B72,'[51]Payroll Report Pivot'!$O:$Q,3,FALSE)</f>
        <v>2131.02</v>
      </c>
      <c r="F72" s="650">
        <f>+VLOOKUP($B72,'[51]Payroll Report Pivot'!$O:$R,4,FALSE)</f>
        <v>57228.05</v>
      </c>
      <c r="G72" s="649">
        <f>+VLOOKUP(B72,'[51]Payroll Report Pivot'!$Y:$AA,3,FALSE)</f>
        <v>576.16666899999996</v>
      </c>
      <c r="H72" s="650">
        <f>+VLOOKUP($B72,'[51]Payroll Report Pivot'!$Y:$AB,4,FALSE)</f>
        <v>23576.569999999996</v>
      </c>
      <c r="I72" s="650">
        <f t="shared" si="24"/>
        <v>80804.62</v>
      </c>
      <c r="J72" s="649">
        <f>+IFERROR(VLOOKUP(B72,'[51]Payroll Report Pivot'!$AH:$AJ,3,FALSE),0)</f>
        <v>3274.9999999999927</v>
      </c>
      <c r="K72" s="649">
        <f>IFERROR(VLOOKUP(B72,'[51]Payroll Report Pivot'!$AP:$AR,3,FALSE),0)</f>
        <v>0</v>
      </c>
      <c r="L72" s="649">
        <f t="shared" si="25"/>
        <v>84079.62</v>
      </c>
      <c r="M72" s="650">
        <f>+VLOOKUP(B72,'[51]Payroll Report Pivot'!$E:$H,4,FALSE)</f>
        <v>27.3</v>
      </c>
      <c r="N72" s="658">
        <f t="shared" si="26"/>
        <v>2.5000000000000001E-2</v>
      </c>
      <c r="O72" s="659">
        <f t="shared" si="27"/>
        <v>27.982499999999998</v>
      </c>
      <c r="P72" s="660">
        <f t="shared" si="28"/>
        <v>59631.267149999992</v>
      </c>
      <c r="Q72" s="660">
        <f t="shared" si="29"/>
        <v>24183.875722938745</v>
      </c>
      <c r="R72" s="660">
        <f t="shared" si="30"/>
        <v>0</v>
      </c>
      <c r="S72" s="649">
        <f t="shared" si="31"/>
        <v>87090.142872938741</v>
      </c>
      <c r="T72" s="649">
        <f t="shared" si="32"/>
        <v>0</v>
      </c>
      <c r="U72" s="652">
        <f t="shared" si="33"/>
        <v>87090.142872938741</v>
      </c>
      <c r="V72" s="598" t="str">
        <f>VLOOKUP(B72,'[51]2180 Job Descriptions'!J:M,4,FALSE)</f>
        <v>NONU</v>
      </c>
      <c r="W72" s="598">
        <v>5002</v>
      </c>
      <c r="X72" s="599">
        <f t="shared" si="34"/>
        <v>3010.5228729387454</v>
      </c>
    </row>
    <row r="73" spans="1:24">
      <c r="A73" s="655">
        <v>2180</v>
      </c>
      <c r="B73" s="656" t="s">
        <v>1374</v>
      </c>
      <c r="C73" s="656" t="s">
        <v>1375</v>
      </c>
      <c r="D73" s="657" t="str">
        <f>VLOOKUP(B73,'[51]2180 Job Descriptions'!E:G,3,FALSE)</f>
        <v>Recy-ASL</v>
      </c>
      <c r="E73" s="649">
        <f>+VLOOKUP($B73,'[51]Payroll Report Pivot'!$O:$Q,3,FALSE)</f>
        <v>2039.683331</v>
      </c>
      <c r="F73" s="650">
        <f>+VLOOKUP($B73,'[51]Payroll Report Pivot'!$O:$R,4,FALSE)</f>
        <v>55218.6</v>
      </c>
      <c r="G73" s="649">
        <f>+VLOOKUP(B73,'[51]Payroll Report Pivot'!$Y:$AA,3,FALSE)</f>
        <v>444.24999699999995</v>
      </c>
      <c r="H73" s="650">
        <f>+VLOOKUP($B73,'[51]Payroll Report Pivot'!$Y:$AB,4,FALSE)</f>
        <v>18195.330000000005</v>
      </c>
      <c r="I73" s="650">
        <f t="shared" si="24"/>
        <v>73413.930000000008</v>
      </c>
      <c r="J73" s="649">
        <f>+IFERROR(VLOOKUP(B73,'[51]Payroll Report Pivot'!$AH:$AJ,3,FALSE),0)</f>
        <v>2774.9999999999995</v>
      </c>
      <c r="K73" s="649">
        <f>IFERROR(VLOOKUP(B73,'[51]Payroll Report Pivot'!$AP:$AR,3,FALSE),0)</f>
        <v>0</v>
      </c>
      <c r="L73" s="649">
        <f t="shared" si="25"/>
        <v>76188.930000000008</v>
      </c>
      <c r="M73" s="650">
        <f>+VLOOKUP(B73,'[51]Payroll Report Pivot'!$E:$H,4,FALSE)</f>
        <v>27.3</v>
      </c>
      <c r="N73" s="658">
        <f t="shared" si="26"/>
        <v>2.5000000000000001E-2</v>
      </c>
      <c r="O73" s="659">
        <f t="shared" si="27"/>
        <v>27.982499999999998</v>
      </c>
      <c r="P73" s="660">
        <f t="shared" si="28"/>
        <v>57075.438809707492</v>
      </c>
      <c r="Q73" s="660">
        <f t="shared" si="29"/>
        <v>18646.838311578747</v>
      </c>
      <c r="R73" s="660">
        <f t="shared" si="30"/>
        <v>0</v>
      </c>
      <c r="S73" s="649">
        <f t="shared" si="31"/>
        <v>78497.277121286243</v>
      </c>
      <c r="T73" s="649">
        <f t="shared" si="32"/>
        <v>0</v>
      </c>
      <c r="U73" s="652">
        <f t="shared" si="33"/>
        <v>78497.277121286243</v>
      </c>
      <c r="V73" s="598" t="str">
        <f>VLOOKUP(B73,'[51]2180 Job Descriptions'!J:M,4,FALSE)</f>
        <v>NONU</v>
      </c>
      <c r="W73" s="598">
        <v>5002</v>
      </c>
      <c r="X73" s="599">
        <f t="shared" si="34"/>
        <v>2308.3471212862351</v>
      </c>
    </row>
    <row r="74" spans="1:24">
      <c r="A74" s="655">
        <v>2180</v>
      </c>
      <c r="B74" s="656" t="s">
        <v>1376</v>
      </c>
      <c r="C74" s="656" t="s">
        <v>1377</v>
      </c>
      <c r="D74" s="657" t="str">
        <f>VLOOKUP(B74,'[51]2180 Job Descriptions'!E:G,3,FALSE)</f>
        <v>Recy-ASL</v>
      </c>
      <c r="E74" s="649">
        <f>+VLOOKUP($B74,'[51]Payroll Report Pivot'!$O:$Q,3,FALSE)</f>
        <v>2098.6666660000001</v>
      </c>
      <c r="F74" s="650">
        <f>+VLOOKUP($B74,'[51]Payroll Report Pivot'!$O:$R,4,FALSE)</f>
        <v>57221.400000000009</v>
      </c>
      <c r="G74" s="649">
        <f>+VLOOKUP(B74,'[51]Payroll Report Pivot'!$Y:$AA,3,FALSE)</f>
        <v>552.64999699999987</v>
      </c>
      <c r="H74" s="650">
        <f>+VLOOKUP($B74,'[51]Payroll Report Pivot'!$Y:$AB,4,FALSE)</f>
        <v>23054.780000000006</v>
      </c>
      <c r="I74" s="650">
        <f t="shared" si="24"/>
        <v>80276.180000000022</v>
      </c>
      <c r="J74" s="649">
        <f>+IFERROR(VLOOKUP(B74,'[51]Payroll Report Pivot'!$AH:$AJ,3,FALSE),0)</f>
        <v>3024.9999999999941</v>
      </c>
      <c r="K74" s="649">
        <f>IFERROR(VLOOKUP(B74,'[51]Payroll Report Pivot'!$AP:$AR,3,FALSE),0)</f>
        <v>0</v>
      </c>
      <c r="L74" s="649">
        <f t="shared" si="25"/>
        <v>83301.180000000022</v>
      </c>
      <c r="M74" s="650">
        <f>+VLOOKUP(B74,'[51]Payroll Report Pivot'!$E:$H,4,FALSE)</f>
        <v>28.33</v>
      </c>
      <c r="N74" s="658">
        <f t="shared" si="26"/>
        <v>2.5000000000000001E-2</v>
      </c>
      <c r="O74" s="659">
        <f t="shared" si="27"/>
        <v>29.038249999999994</v>
      </c>
      <c r="P74" s="660">
        <f t="shared" si="28"/>
        <v>60941.607313974491</v>
      </c>
      <c r="Q74" s="660">
        <f t="shared" si="29"/>
        <v>24071.983163077864</v>
      </c>
      <c r="R74" s="660">
        <f t="shared" si="30"/>
        <v>0</v>
      </c>
      <c r="S74" s="649">
        <f t="shared" si="31"/>
        <v>88038.590477052348</v>
      </c>
      <c r="T74" s="649">
        <f t="shared" si="32"/>
        <v>0</v>
      </c>
      <c r="U74" s="652">
        <f t="shared" si="33"/>
        <v>88038.590477052348</v>
      </c>
      <c r="V74" s="598" t="str">
        <f>VLOOKUP(B74,'[51]2180 Job Descriptions'!J:M,4,FALSE)</f>
        <v>NONU</v>
      </c>
      <c r="W74" s="598">
        <v>5002</v>
      </c>
      <c r="X74" s="599">
        <f t="shared" si="34"/>
        <v>4737.4104770523263</v>
      </c>
    </row>
    <row r="75" spans="1:24">
      <c r="A75" s="655">
        <v>2180</v>
      </c>
      <c r="B75" s="656" t="s">
        <v>1378</v>
      </c>
      <c r="C75" s="656" t="s">
        <v>1379</v>
      </c>
      <c r="D75" s="657" t="str">
        <f>VLOOKUP(B75,'[51]2180 Job Descriptions'!E:G,3,FALSE)</f>
        <v>Recy-ASL</v>
      </c>
      <c r="E75" s="649">
        <f>+VLOOKUP($B75,'[51]Payroll Report Pivot'!$O:$Q,3,FALSE)</f>
        <v>2084.3000019999999</v>
      </c>
      <c r="F75" s="650">
        <f>+VLOOKUP($B75,'[51]Payroll Report Pivot'!$O:$R,4,FALSE)</f>
        <v>55962.549999999996</v>
      </c>
      <c r="G75" s="649">
        <f>+VLOOKUP(B75,'[51]Payroll Report Pivot'!$Y:$AA,3,FALSE)</f>
        <v>539.06666399999995</v>
      </c>
      <c r="H75" s="650">
        <f>+VLOOKUP($B75,'[51]Payroll Report Pivot'!$Y:$AB,4,FALSE)</f>
        <v>21849.499999999996</v>
      </c>
      <c r="I75" s="650">
        <f t="shared" si="24"/>
        <v>77812.049999999988</v>
      </c>
      <c r="J75" s="649">
        <f>+IFERROR(VLOOKUP(B75,'[51]Payroll Report Pivot'!$AH:$AJ,3,FALSE),0)</f>
        <v>1024.9999999999995</v>
      </c>
      <c r="K75" s="649">
        <f>IFERROR(VLOOKUP(B75,'[51]Payroll Report Pivot'!$AP:$AR,3,FALSE),0)</f>
        <v>0</v>
      </c>
      <c r="L75" s="649">
        <f t="shared" si="25"/>
        <v>78837.049999999988</v>
      </c>
      <c r="M75" s="650">
        <f>+VLOOKUP(B75,'[51]Payroll Report Pivot'!$E:$H,4,FALSE)</f>
        <v>27.3</v>
      </c>
      <c r="N75" s="658">
        <f t="shared" si="26"/>
        <v>2.5000000000000001E-2</v>
      </c>
      <c r="O75" s="659">
        <f t="shared" si="27"/>
        <v>27.982499999999998</v>
      </c>
      <c r="P75" s="660">
        <f t="shared" si="28"/>
        <v>58323.924805964998</v>
      </c>
      <c r="Q75" s="660">
        <f t="shared" si="29"/>
        <v>22626.649388069996</v>
      </c>
      <c r="R75" s="660">
        <f t="shared" si="30"/>
        <v>0</v>
      </c>
      <c r="S75" s="649">
        <f t="shared" si="31"/>
        <v>81975.574194034998</v>
      </c>
      <c r="T75" s="649">
        <f t="shared" si="32"/>
        <v>0</v>
      </c>
      <c r="U75" s="652">
        <f t="shared" si="33"/>
        <v>81975.574194034998</v>
      </c>
      <c r="V75" s="598" t="str">
        <f>VLOOKUP(B75,'[51]2180 Job Descriptions'!J:M,4,FALSE)</f>
        <v>NONU</v>
      </c>
      <c r="W75" s="598">
        <v>5002</v>
      </c>
      <c r="X75" s="599">
        <f t="shared" si="34"/>
        <v>3138.5241940350097</v>
      </c>
    </row>
    <row r="76" spans="1:24">
      <c r="A76" s="655">
        <v>2180</v>
      </c>
      <c r="B76" s="656" t="s">
        <v>1380</v>
      </c>
      <c r="C76" s="656" t="s">
        <v>1381</v>
      </c>
      <c r="D76" s="657" t="str">
        <f>VLOOKUP(B76,'[51]2180 Job Descriptions'!E:G,3,FALSE)</f>
        <v>Recy-ASL</v>
      </c>
      <c r="E76" s="649">
        <f>+VLOOKUP($B76,'[51]Payroll Report Pivot'!$O:$Q,3,FALSE)</f>
        <v>200</v>
      </c>
      <c r="F76" s="650">
        <f>+VLOOKUP($B76,'[51]Payroll Report Pivot'!$O:$R,4,FALSE)</f>
        <v>5300</v>
      </c>
      <c r="G76" s="649">
        <f>+VLOOKUP(B76,'[51]Payroll Report Pivot'!$Y:$AA,3,FALSE)</f>
        <v>58.483335999999994</v>
      </c>
      <c r="H76" s="650">
        <f>+VLOOKUP($B76,'[51]Payroll Report Pivot'!$Y:$AB,4,FALSE)</f>
        <v>2324.77</v>
      </c>
      <c r="I76" s="650">
        <f t="shared" si="24"/>
        <v>7624.77</v>
      </c>
      <c r="J76" s="649">
        <f>+IFERROR(VLOOKUP(B76,'[51]Payroll Report Pivot'!$AH:$AJ,3,FALSE),0)</f>
        <v>0</v>
      </c>
      <c r="K76" s="649">
        <f>IFERROR(VLOOKUP(B76,'[51]Payroll Report Pivot'!$AP:$AR,3,FALSE),0)</f>
        <v>0</v>
      </c>
      <c r="L76" s="649">
        <f t="shared" si="25"/>
        <v>7624.77</v>
      </c>
      <c r="M76" s="650">
        <f>+VLOOKUP(B76,'[51]Payroll Report Pivot'!$E:$H,4,FALSE)</f>
        <v>26.5</v>
      </c>
      <c r="N76" s="658">
        <f t="shared" si="26"/>
        <v>2.5000000000000001E-2</v>
      </c>
      <c r="O76" s="659">
        <f t="shared" si="27"/>
        <v>27.162499999999998</v>
      </c>
      <c r="P76" s="660">
        <f t="shared" si="28"/>
        <v>5432.5</v>
      </c>
      <c r="Q76" s="660">
        <f t="shared" si="29"/>
        <v>2382.8304211499999</v>
      </c>
      <c r="R76" s="660">
        <f t="shared" si="30"/>
        <v>0</v>
      </c>
      <c r="S76" s="649">
        <f t="shared" si="31"/>
        <v>7815.3304211499999</v>
      </c>
      <c r="T76" s="649">
        <f t="shared" si="32"/>
        <v>0</v>
      </c>
      <c r="U76" s="652">
        <f t="shared" si="33"/>
        <v>7815.3304211499999</v>
      </c>
      <c r="V76" s="598" t="str">
        <f>VLOOKUP(B76,'[51]2180 Job Descriptions'!J:M,4,FALSE)</f>
        <v>NONU</v>
      </c>
      <c r="W76" s="598">
        <v>5002</v>
      </c>
      <c r="X76" s="599">
        <f t="shared" si="34"/>
        <v>190.56042114999946</v>
      </c>
    </row>
    <row r="77" spans="1:24">
      <c r="A77" s="655">
        <v>2180</v>
      </c>
      <c r="B77" s="656" t="s">
        <v>1382</v>
      </c>
      <c r="C77" s="656" t="s">
        <v>1383</v>
      </c>
      <c r="D77" s="657" t="str">
        <f>VLOOKUP(B77,'[51]2180 Job Descriptions'!E:G,3,FALSE)</f>
        <v>Recy-ASL</v>
      </c>
      <c r="E77" s="649">
        <f>+VLOOKUP($B77,'[51]Payroll Report Pivot'!$O:$Q,3,FALSE)</f>
        <v>594.63333399999999</v>
      </c>
      <c r="F77" s="650">
        <f>+VLOOKUP($B77,'[51]Payroll Report Pivot'!$O:$R,4,FALSE)</f>
        <v>15757.820000000002</v>
      </c>
      <c r="G77" s="649">
        <f>+VLOOKUP(B77,'[51]Payroll Report Pivot'!$Y:$AA,3,FALSE)</f>
        <v>108.86666400000001</v>
      </c>
      <c r="H77" s="650">
        <f>+VLOOKUP($B77,'[51]Payroll Report Pivot'!$Y:$AB,4,FALSE)</f>
        <v>4327.5599999999995</v>
      </c>
      <c r="I77" s="650">
        <f t="shared" si="24"/>
        <v>20085.38</v>
      </c>
      <c r="J77" s="649">
        <f>+IFERROR(VLOOKUP(B77,'[51]Payroll Report Pivot'!$AH:$AJ,3,FALSE),0)</f>
        <v>0</v>
      </c>
      <c r="K77" s="649">
        <f>IFERROR(VLOOKUP(B77,'[51]Payroll Report Pivot'!$AP:$AR,3,FALSE),0)</f>
        <v>0</v>
      </c>
      <c r="L77" s="649">
        <f t="shared" si="25"/>
        <v>20085.38</v>
      </c>
      <c r="M77" s="650">
        <f>+VLOOKUP(B77,'[51]Payroll Report Pivot'!$E:$H,4,FALSE)</f>
        <v>26.5</v>
      </c>
      <c r="N77" s="658">
        <f t="shared" si="26"/>
        <v>2.5000000000000001E-2</v>
      </c>
      <c r="O77" s="659">
        <f t="shared" si="27"/>
        <v>27.162499999999998</v>
      </c>
      <c r="P77" s="660">
        <f t="shared" si="28"/>
        <v>16151.727934774999</v>
      </c>
      <c r="Q77" s="660">
        <f t="shared" si="29"/>
        <v>4435.6361413499999</v>
      </c>
      <c r="R77" s="660">
        <f t="shared" si="30"/>
        <v>0</v>
      </c>
      <c r="S77" s="649">
        <f t="shared" si="31"/>
        <v>20587.364076124999</v>
      </c>
      <c r="T77" s="649">
        <f t="shared" si="32"/>
        <v>0</v>
      </c>
      <c r="U77" s="652">
        <f t="shared" si="33"/>
        <v>20587.364076124999</v>
      </c>
      <c r="V77" s="598" t="str">
        <f>VLOOKUP(B77,'[51]2180 Job Descriptions'!J:M,4,FALSE)</f>
        <v>NONU</v>
      </c>
      <c r="W77" s="598">
        <v>5002</v>
      </c>
      <c r="X77" s="599">
        <f t="shared" si="34"/>
        <v>501.98407612499796</v>
      </c>
    </row>
    <row r="78" spans="1:24">
      <c r="A78" s="655">
        <v>2180</v>
      </c>
      <c r="B78" s="656" t="s">
        <v>1384</v>
      </c>
      <c r="C78" s="656" t="s">
        <v>1385</v>
      </c>
      <c r="D78" s="657" t="str">
        <f>VLOOKUP(B78,'[51]2180 Job Descriptions'!E:G,3,FALSE)</f>
        <v>Recy-ASL</v>
      </c>
      <c r="E78" s="649">
        <f>+VLOOKUP($B78,'[51]Payroll Report Pivot'!$O:$Q,3,FALSE)</f>
        <v>217.056667</v>
      </c>
      <c r="F78" s="650">
        <f>+VLOOKUP($B78,'[51]Payroll Report Pivot'!$O:$R,4,FALSE)</f>
        <v>5752.03</v>
      </c>
      <c r="G78" s="649">
        <f>+VLOOKUP(B78,'[51]Payroll Report Pivot'!$Y:$AA,3,FALSE)</f>
        <v>39.683333000000005</v>
      </c>
      <c r="H78" s="650">
        <f>+VLOOKUP($B78,'[51]Payroll Report Pivot'!$Y:$AB,4,FALSE)</f>
        <v>1581.64</v>
      </c>
      <c r="I78" s="650">
        <f t="shared" si="24"/>
        <v>7333.67</v>
      </c>
      <c r="J78" s="649">
        <f>+IFERROR(VLOOKUP(B78,'[51]Payroll Report Pivot'!$AH:$AJ,3,FALSE),0)</f>
        <v>41.67</v>
      </c>
      <c r="K78" s="649">
        <f>IFERROR(VLOOKUP(B78,'[51]Payroll Report Pivot'!$AP:$AR,3,FALSE),0)</f>
        <v>0</v>
      </c>
      <c r="L78" s="649">
        <f t="shared" si="25"/>
        <v>7375.34</v>
      </c>
      <c r="M78" s="650">
        <f>+VLOOKUP(B78,'[51]Payroll Report Pivot'!$E:$H,4,FALSE)</f>
        <v>26.5</v>
      </c>
      <c r="N78" s="658">
        <f t="shared" si="26"/>
        <v>2.5000000000000001E-2</v>
      </c>
      <c r="O78" s="659">
        <f t="shared" si="27"/>
        <v>27.162499999999998</v>
      </c>
      <c r="P78" s="660">
        <f t="shared" si="28"/>
        <v>5895.8017173874996</v>
      </c>
      <c r="Q78" s="660">
        <f t="shared" si="29"/>
        <v>1616.84779891875</v>
      </c>
      <c r="R78" s="660">
        <f t="shared" si="30"/>
        <v>0</v>
      </c>
      <c r="S78" s="649">
        <f t="shared" si="31"/>
        <v>7554.3195163062501</v>
      </c>
      <c r="T78" s="649">
        <f t="shared" si="32"/>
        <v>0</v>
      </c>
      <c r="U78" s="652">
        <f t="shared" si="33"/>
        <v>7554.3195163062501</v>
      </c>
      <c r="V78" s="598" t="str">
        <f>VLOOKUP(B78,'[51]2180 Job Descriptions'!J:M,4,FALSE)</f>
        <v>NONU</v>
      </c>
      <c r="W78" s="598">
        <v>5002</v>
      </c>
      <c r="X78" s="599">
        <f t="shared" si="34"/>
        <v>178.97951630624993</v>
      </c>
    </row>
    <row r="79" spans="1:24">
      <c r="A79" s="655">
        <v>2180</v>
      </c>
      <c r="B79" s="656" t="s">
        <v>1386</v>
      </c>
      <c r="C79" s="656" t="s">
        <v>1387</v>
      </c>
      <c r="D79" s="657" t="str">
        <f>VLOOKUP(B79,'[51]2180 Job Descriptions'!E:G,3,FALSE)</f>
        <v>Recy-ASL</v>
      </c>
      <c r="E79" s="649">
        <f>+VLOOKUP($B79,'[51]Payroll Report Pivot'!$O:$Q,3,FALSE)</f>
        <v>229.433333</v>
      </c>
      <c r="F79" s="650">
        <f>+VLOOKUP($B79,'[51]Payroll Report Pivot'!$O:$R,4,FALSE)</f>
        <v>6079.99</v>
      </c>
      <c r="G79" s="649">
        <f>+VLOOKUP(B79,'[51]Payroll Report Pivot'!$Y:$AA,3,FALSE)</f>
        <v>41.933331999999993</v>
      </c>
      <c r="H79" s="650">
        <f>+VLOOKUP($B79,'[51]Payroll Report Pivot'!$Y:$AB,4,FALSE)</f>
        <v>1666.9</v>
      </c>
      <c r="I79" s="650">
        <f t="shared" si="24"/>
        <v>7746.8899999999994</v>
      </c>
      <c r="J79" s="649">
        <f>+IFERROR(VLOOKUP(B79,'[51]Payroll Report Pivot'!$AH:$AJ,3,FALSE),0)</f>
        <v>0</v>
      </c>
      <c r="K79" s="649">
        <f>IFERROR(VLOOKUP(B79,'[51]Payroll Report Pivot'!$AP:$AR,3,FALSE),0)</f>
        <v>0</v>
      </c>
      <c r="L79" s="649">
        <f t="shared" si="25"/>
        <v>7746.8899999999994</v>
      </c>
      <c r="M79" s="650">
        <f>+VLOOKUP(B79,'[51]Payroll Report Pivot'!$E:$H,4,FALSE)</f>
        <v>26.5</v>
      </c>
      <c r="N79" s="658">
        <f t="shared" si="26"/>
        <v>2.5000000000000001E-2</v>
      </c>
      <c r="O79" s="659">
        <f t="shared" si="27"/>
        <v>27.162499999999998</v>
      </c>
      <c r="P79" s="660">
        <f t="shared" si="28"/>
        <v>6231.9829076124997</v>
      </c>
      <c r="Q79" s="660">
        <f t="shared" si="29"/>
        <v>1708.5211956749997</v>
      </c>
      <c r="R79" s="660">
        <f t="shared" si="30"/>
        <v>0</v>
      </c>
      <c r="S79" s="649">
        <f t="shared" si="31"/>
        <v>7940.5041032874997</v>
      </c>
      <c r="T79" s="649">
        <f t="shared" si="32"/>
        <v>0</v>
      </c>
      <c r="U79" s="652">
        <f t="shared" si="33"/>
        <v>7940.5041032874997</v>
      </c>
      <c r="V79" s="598" t="str">
        <f>VLOOKUP(B79,'[51]2180 Job Descriptions'!J:M,4,FALSE)</f>
        <v>NONU</v>
      </c>
      <c r="W79" s="598">
        <v>5002</v>
      </c>
      <c r="X79" s="599">
        <f t="shared" si="34"/>
        <v>193.61410328750026</v>
      </c>
    </row>
    <row r="80" spans="1:24">
      <c r="A80" s="655">
        <v>2180</v>
      </c>
      <c r="B80" s="656" t="s">
        <v>1388</v>
      </c>
      <c r="C80" s="656" t="s">
        <v>1389</v>
      </c>
      <c r="D80" s="657" t="str">
        <f>VLOOKUP(B80,'[51]2180 Job Descriptions'!E:G,3,FALSE)</f>
        <v>Recy-ASL</v>
      </c>
      <c r="E80" s="649">
        <f>+VLOOKUP($B80,'[51]Payroll Report Pivot'!$O:$Q,3,FALSE)</f>
        <v>1945.6800019999994</v>
      </c>
      <c r="F80" s="650">
        <f>+VLOOKUP($B80,'[51]Payroll Report Pivot'!$O:$R,4,FALSE)</f>
        <v>52018.07</v>
      </c>
      <c r="G80" s="649">
        <f>+VLOOKUP(B80,'[51]Payroll Report Pivot'!$Y:$AA,3,FALSE)</f>
        <v>226.84999499999998</v>
      </c>
      <c r="H80" s="650">
        <f>+VLOOKUP($B80,'[51]Payroll Report Pivot'!$Y:$AB,4,FALSE)</f>
        <v>9273.2500000000036</v>
      </c>
      <c r="I80" s="650">
        <f t="shared" si="24"/>
        <v>61291.320000000007</v>
      </c>
      <c r="J80" s="649">
        <f>+IFERROR(VLOOKUP(B80,'[51]Payroll Report Pivot'!$AH:$AJ,3,FALSE),0)</f>
        <v>2416.7799999999957</v>
      </c>
      <c r="K80" s="649">
        <f>IFERROR(VLOOKUP(B80,'[51]Payroll Report Pivot'!$AP:$AR,3,FALSE),0)</f>
        <v>0</v>
      </c>
      <c r="L80" s="649">
        <f t="shared" si="25"/>
        <v>63708.100000000006</v>
      </c>
      <c r="M80" s="650">
        <f>+VLOOKUP(B80,'[51]Payroll Report Pivot'!$E:$H,4,FALSE)</f>
        <v>27.3</v>
      </c>
      <c r="N80" s="658">
        <f t="shared" si="26"/>
        <v>2.5000000000000001E-2</v>
      </c>
      <c r="O80" s="659">
        <f t="shared" si="27"/>
        <v>27.982499999999998</v>
      </c>
      <c r="P80" s="660">
        <f t="shared" si="28"/>
        <v>54444.990655964983</v>
      </c>
      <c r="Q80" s="660">
        <f t="shared" si="29"/>
        <v>9521.7449776312496</v>
      </c>
      <c r="R80" s="660">
        <f t="shared" si="30"/>
        <v>0</v>
      </c>
      <c r="S80" s="649">
        <f t="shared" si="31"/>
        <v>66383.515633596224</v>
      </c>
      <c r="T80" s="649">
        <f t="shared" si="32"/>
        <v>0</v>
      </c>
      <c r="U80" s="652">
        <f t="shared" si="33"/>
        <v>66383.515633596224</v>
      </c>
      <c r="V80" s="598" t="str">
        <f>VLOOKUP(B80,'[51]2180 Job Descriptions'!J:M,4,FALSE)</f>
        <v>NONU</v>
      </c>
      <c r="W80" s="598">
        <v>5002</v>
      </c>
      <c r="X80" s="599">
        <f t="shared" si="34"/>
        <v>2675.415633596218</v>
      </c>
    </row>
    <row r="81" spans="1:25">
      <c r="A81" s="655">
        <v>2180</v>
      </c>
      <c r="B81" s="656" t="s">
        <v>1390</v>
      </c>
      <c r="C81" s="656" t="s">
        <v>1391</v>
      </c>
      <c r="D81" s="657" t="str">
        <f>VLOOKUP(B81,'[51]2180 Job Descriptions'!E:G,3,FALSE)</f>
        <v>Recy-ASL</v>
      </c>
      <c r="E81" s="649">
        <f>+VLOOKUP($B81,'[51]Payroll Report Pivot'!$O:$Q,3,FALSE)</f>
        <v>1815.556666</v>
      </c>
      <c r="F81" s="650">
        <f>+VLOOKUP($B81,'[51]Payroll Report Pivot'!$O:$R,4,FALSE)</f>
        <v>49307.630000000005</v>
      </c>
      <c r="G81" s="649">
        <f>+VLOOKUP(B81,'[51]Payroll Report Pivot'!$Y:$AA,3,FALSE)</f>
        <v>314.49999799999995</v>
      </c>
      <c r="H81" s="650">
        <f>+VLOOKUP($B81,'[51]Payroll Report Pivot'!$Y:$AB,4,FALSE)</f>
        <v>12898.739999999993</v>
      </c>
      <c r="I81" s="650">
        <f t="shared" si="24"/>
        <v>62206.369999999995</v>
      </c>
      <c r="J81" s="649">
        <f>+IFERROR(VLOOKUP(B81,'[51]Payroll Report Pivot'!$AH:$AJ,3,FALSE),0)</f>
        <v>2774.9999999999955</v>
      </c>
      <c r="K81" s="649">
        <f>IFERROR(VLOOKUP(B81,'[51]Payroll Report Pivot'!$AP:$AR,3,FALSE),0)</f>
        <v>0</v>
      </c>
      <c r="L81" s="649">
        <f t="shared" si="25"/>
        <v>64981.369999999988</v>
      </c>
      <c r="M81" s="650">
        <f>+VLOOKUP(B81,'[51]Payroll Report Pivot'!$E:$H,4,FALSE)</f>
        <v>28</v>
      </c>
      <c r="N81" s="658">
        <f t="shared" si="26"/>
        <v>2.5000000000000001E-2</v>
      </c>
      <c r="O81" s="659">
        <f t="shared" si="27"/>
        <v>28.699999999999996</v>
      </c>
      <c r="P81" s="660">
        <f t="shared" si="28"/>
        <v>52106.476314199994</v>
      </c>
      <c r="Q81" s="660">
        <f t="shared" si="29"/>
        <v>13539.224913899996</v>
      </c>
      <c r="R81" s="660">
        <f t="shared" si="30"/>
        <v>0</v>
      </c>
      <c r="S81" s="649">
        <f t="shared" si="31"/>
        <v>68420.701228099992</v>
      </c>
      <c r="T81" s="649">
        <f t="shared" si="32"/>
        <v>0</v>
      </c>
      <c r="U81" s="652">
        <f>+S81+T81</f>
        <v>68420.701228099992</v>
      </c>
      <c r="V81" s="598" t="str">
        <f>VLOOKUP(B81,'[51]2180 Job Descriptions'!J:M,4,FALSE)</f>
        <v>NONU</v>
      </c>
      <c r="W81" s="598">
        <v>5002</v>
      </c>
      <c r="X81" s="599">
        <f t="shared" si="34"/>
        <v>3439.3312281000035</v>
      </c>
    </row>
    <row r="82" spans="1:25">
      <c r="A82" s="655">
        <v>2180</v>
      </c>
      <c r="B82" s="656" t="s">
        <v>1392</v>
      </c>
      <c r="C82" s="656" t="s">
        <v>1393</v>
      </c>
      <c r="D82" s="657" t="str">
        <f>VLOOKUP(B82,'[51]2180 Job Descriptions'!E:G,3,FALSE)</f>
        <v>Recy-ASL</v>
      </c>
      <c r="E82" s="649">
        <f>+VLOOKUP($B82,'[51]Payroll Report Pivot'!$O:$Q,3,FALSE)</f>
        <v>1347.0666659999999</v>
      </c>
      <c r="F82" s="650">
        <f>+VLOOKUP($B82,'[51]Payroll Report Pivot'!$O:$R,4,FALSE)</f>
        <v>35697.269999999997</v>
      </c>
      <c r="G82" s="649">
        <f>+VLOOKUP(B82,'[51]Payroll Report Pivot'!$Y:$AA,3,FALSE)</f>
        <v>447.78332899999998</v>
      </c>
      <c r="H82" s="650">
        <f>+VLOOKUP($B82,'[51]Payroll Report Pivot'!$Y:$AB,4,FALSE)</f>
        <v>17799.72</v>
      </c>
      <c r="I82" s="650">
        <f t="shared" si="24"/>
        <v>53496.99</v>
      </c>
      <c r="J82" s="649">
        <f>+IFERROR(VLOOKUP(B82,'[51]Payroll Report Pivot'!$AH:$AJ,3,FALSE),0)</f>
        <v>0</v>
      </c>
      <c r="K82" s="649">
        <f>IFERROR(VLOOKUP(B82,'[51]Payroll Report Pivot'!$AP:$AR,3,FALSE),0)</f>
        <v>0</v>
      </c>
      <c r="L82" s="649">
        <f t="shared" si="25"/>
        <v>53496.99</v>
      </c>
      <c r="M82" s="650">
        <f>+VLOOKUP(B82,'[51]Payroll Report Pivot'!$E:$H,4,FALSE)</f>
        <v>26.5</v>
      </c>
      <c r="N82" s="658">
        <f t="shared" si="26"/>
        <v>2.5000000000000001E-2</v>
      </c>
      <c r="O82" s="659">
        <f t="shared" si="27"/>
        <v>27.162499999999998</v>
      </c>
      <c r="P82" s="660">
        <f t="shared" si="28"/>
        <v>36589.698315224996</v>
      </c>
      <c r="Q82" s="660">
        <f t="shared" si="29"/>
        <v>18244.372010943749</v>
      </c>
      <c r="R82" s="660">
        <f t="shared" si="30"/>
        <v>0</v>
      </c>
      <c r="S82" s="649">
        <f t="shared" si="31"/>
        <v>54834.070326168745</v>
      </c>
      <c r="T82" s="649">
        <f t="shared" si="32"/>
        <v>0</v>
      </c>
      <c r="U82" s="652">
        <f t="shared" si="33"/>
        <v>54834.070326168745</v>
      </c>
      <c r="V82" s="598" t="str">
        <f>VLOOKUP(B82,'[51]2180 Job Descriptions'!J:M,4,FALSE)</f>
        <v>NONU</v>
      </c>
      <c r="W82" s="598">
        <v>5002</v>
      </c>
      <c r="X82" s="599">
        <f t="shared" si="34"/>
        <v>1337.080326168747</v>
      </c>
    </row>
    <row r="83" spans="1:25">
      <c r="A83" s="655">
        <v>2180</v>
      </c>
      <c r="B83" s="656" t="s">
        <v>1394</v>
      </c>
      <c r="C83" s="656" t="s">
        <v>1395</v>
      </c>
      <c r="D83" s="657" t="str">
        <f>VLOOKUP(B83,'[51]2180 Job Descriptions'!E:G,3,FALSE)</f>
        <v>Recy-Relief</v>
      </c>
      <c r="E83" s="649">
        <f>+VLOOKUP($B83,'[51]Payroll Report Pivot'!$O:$Q,3,FALSE)</f>
        <v>964.46666600000003</v>
      </c>
      <c r="F83" s="650">
        <f>+VLOOKUP($B83,'[51]Payroll Report Pivot'!$O:$R,4,FALSE)</f>
        <v>31374.969999999994</v>
      </c>
      <c r="G83" s="649">
        <f>+VLOOKUP(B83,'[51]Payroll Report Pivot'!$Y:$AA,3,FALSE)</f>
        <v>169.11666699999998</v>
      </c>
      <c r="H83" s="650">
        <f>+VLOOKUP($B83,'[51]Payroll Report Pivot'!$Y:$AB,4,FALSE)</f>
        <v>8162.130000000001</v>
      </c>
      <c r="I83" s="650">
        <f t="shared" si="24"/>
        <v>39537.099999999991</v>
      </c>
      <c r="J83" s="649">
        <f>+IFERROR(VLOOKUP(B83,'[51]Payroll Report Pivot'!$AH:$AJ,3,FALSE),0)</f>
        <v>810.91000000000031</v>
      </c>
      <c r="K83" s="649">
        <f>IFERROR(VLOOKUP(B83,'[51]Payroll Report Pivot'!$AP:$AR,3,FALSE),0)</f>
        <v>0</v>
      </c>
      <c r="L83" s="649">
        <f t="shared" si="25"/>
        <v>40348.009999999995</v>
      </c>
      <c r="M83" s="650">
        <f>+VLOOKUP(B83,'[51]Payroll Report Pivot'!$E:$H,4,FALSE)</f>
        <v>32</v>
      </c>
      <c r="N83" s="658">
        <f t="shared" si="26"/>
        <v>2.5000000000000001E-2</v>
      </c>
      <c r="O83" s="659">
        <f t="shared" si="27"/>
        <v>32.799999999999997</v>
      </c>
      <c r="P83" s="660">
        <f t="shared" si="28"/>
        <v>31634.5066448</v>
      </c>
      <c r="Q83" s="660">
        <f t="shared" si="29"/>
        <v>8320.5400163999984</v>
      </c>
      <c r="R83" s="660">
        <f t="shared" si="30"/>
        <v>0</v>
      </c>
      <c r="S83" s="649">
        <f t="shared" si="31"/>
        <v>40765.956661200005</v>
      </c>
      <c r="T83" s="649">
        <f t="shared" si="32"/>
        <v>0</v>
      </c>
      <c r="U83" s="652">
        <f t="shared" si="33"/>
        <v>40765.956661200005</v>
      </c>
      <c r="V83" s="598" t="str">
        <f>VLOOKUP(B83,'[51]2180 Job Descriptions'!J:M,4,FALSE)</f>
        <v>NONU</v>
      </c>
      <c r="W83" s="598">
        <v>5002</v>
      </c>
      <c r="X83" s="599">
        <f t="shared" si="34"/>
        <v>417.94666120001057</v>
      </c>
    </row>
    <row r="84" spans="1:25">
      <c r="A84" s="655">
        <v>2180</v>
      </c>
      <c r="B84" s="656" t="s">
        <v>1396</v>
      </c>
      <c r="C84" s="656" t="s">
        <v>1397</v>
      </c>
      <c r="D84" s="657" t="str">
        <f>VLOOKUP(B84,'[51]2180 Job Descriptions'!E:G,3,FALSE)</f>
        <v>Mini Truck</v>
      </c>
      <c r="E84" s="649">
        <f>+VLOOKUP($B84,'[51]Payroll Report Pivot'!$O:$Q,3,FALSE)</f>
        <v>2055.3500020000001</v>
      </c>
      <c r="F84" s="650">
        <f>+VLOOKUP($B84,'[51]Payroll Report Pivot'!$O:$R,4,FALSE)</f>
        <v>55706.709999999992</v>
      </c>
      <c r="G84" s="649">
        <f>+VLOOKUP(B84,'[51]Payroll Report Pivot'!$Y:$AA,3,FALSE)</f>
        <v>268.34999200000004</v>
      </c>
      <c r="H84" s="650">
        <f>+VLOOKUP($B84,'[51]Payroll Report Pivot'!$Y:$AB,4,FALSE)</f>
        <v>10917.169999999998</v>
      </c>
      <c r="I84" s="650">
        <f t="shared" si="24"/>
        <v>66623.87999999999</v>
      </c>
      <c r="J84" s="649">
        <f>+IFERROR(VLOOKUP(B84,'[51]Payroll Report Pivot'!$AH:$AJ,3,FALSE),0)</f>
        <v>774.99999999999955</v>
      </c>
      <c r="K84" s="649">
        <f>IFERROR(VLOOKUP(B84,'[51]Payroll Report Pivot'!$AP:$AR,3,FALSE),0)</f>
        <v>0</v>
      </c>
      <c r="L84" s="649">
        <f t="shared" si="25"/>
        <v>67398.87999999999</v>
      </c>
      <c r="M84" s="650">
        <f>+VLOOKUP(B84,'[51]Payroll Report Pivot'!$E:$H,4,FALSE)</f>
        <v>27.33</v>
      </c>
      <c r="N84" s="658">
        <f t="shared" si="26"/>
        <v>2.5000000000000001E-2</v>
      </c>
      <c r="O84" s="659">
        <f t="shared" si="27"/>
        <v>28.013249999999996</v>
      </c>
      <c r="P84" s="660">
        <f t="shared" si="28"/>
        <v>57577.033443526496</v>
      </c>
      <c r="Q84" s="660">
        <f t="shared" si="29"/>
        <v>11276.033120091</v>
      </c>
      <c r="R84" s="660">
        <f t="shared" si="30"/>
        <v>0</v>
      </c>
      <c r="S84" s="649">
        <f t="shared" si="31"/>
        <v>69628.066563617496</v>
      </c>
      <c r="T84" s="649">
        <f t="shared" si="32"/>
        <v>0</v>
      </c>
      <c r="U84" s="652">
        <f t="shared" si="33"/>
        <v>69628.066563617496</v>
      </c>
      <c r="V84" s="598" t="str">
        <f>VLOOKUP(B84,'[51]2180 Job Descriptions'!J:M,4,FALSE)</f>
        <v>NONU</v>
      </c>
      <c r="W84" s="598">
        <v>5002</v>
      </c>
      <c r="X84" s="599">
        <f t="shared" si="34"/>
        <v>2229.1865636175062</v>
      </c>
    </row>
    <row r="85" spans="1:25">
      <c r="A85" s="655">
        <v>2180</v>
      </c>
      <c r="B85" s="656" t="s">
        <v>1398</v>
      </c>
      <c r="C85" s="656" t="s">
        <v>1399</v>
      </c>
      <c r="D85" s="657" t="str">
        <f>VLOOKUP(B85,'[51]2180 Job Descriptions'!E:G,3,FALSE)</f>
        <v>Recy-Relief</v>
      </c>
      <c r="E85" s="649">
        <f>+VLOOKUP($B85,'[51]Payroll Report Pivot'!$O:$Q,3,FALSE)</f>
        <v>2035.5999990000003</v>
      </c>
      <c r="F85" s="650">
        <f>+VLOOKUP($B85,'[51]Payroll Report Pivot'!$O:$R,4,FALSE)</f>
        <v>57178.020000000048</v>
      </c>
      <c r="G85" s="649">
        <f>+VLOOKUP(B85,'[51]Payroll Report Pivot'!$Y:$AA,3,FALSE)</f>
        <v>404.76666600000004</v>
      </c>
      <c r="H85" s="650">
        <f>+VLOOKUP($B85,'[51]Payroll Report Pivot'!$Y:$AB,4,FALSE)</f>
        <v>17770.699999999997</v>
      </c>
      <c r="I85" s="650">
        <f t="shared" si="24"/>
        <v>74948.720000000045</v>
      </c>
      <c r="J85" s="649">
        <f>+IFERROR(VLOOKUP(B85,'[51]Payroll Report Pivot'!$AH:$AJ,3,FALSE),0)</f>
        <v>3024.9999999999941</v>
      </c>
      <c r="K85" s="649">
        <f>IFERROR(VLOOKUP(B85,'[51]Payroll Report Pivot'!$AP:$AR,3,FALSE),0)</f>
        <v>942.8</v>
      </c>
      <c r="L85" s="649">
        <f t="shared" si="25"/>
        <v>78916.520000000033</v>
      </c>
      <c r="M85" s="650">
        <f>+VLOOKUP(B85,'[51]Payroll Report Pivot'!$E:$H,4,FALSE)</f>
        <v>32</v>
      </c>
      <c r="N85" s="658">
        <f t="shared" si="26"/>
        <v>2.5000000000000001E-2</v>
      </c>
      <c r="O85" s="659">
        <f t="shared" si="27"/>
        <v>32.799999999999997</v>
      </c>
      <c r="P85" s="660">
        <f t="shared" si="28"/>
        <v>66767.679967200005</v>
      </c>
      <c r="Q85" s="660">
        <f t="shared" si="29"/>
        <v>19914.519967200002</v>
      </c>
      <c r="R85" s="660">
        <f t="shared" si="30"/>
        <v>966.36999999999989</v>
      </c>
      <c r="S85" s="649">
        <f t="shared" si="31"/>
        <v>90673.569934400002</v>
      </c>
      <c r="T85" s="649">
        <f t="shared" si="32"/>
        <v>0</v>
      </c>
      <c r="U85" s="652">
        <f t="shared" si="33"/>
        <v>90673.569934400002</v>
      </c>
      <c r="V85" s="598" t="str">
        <f>VLOOKUP(B85,'[51]2180 Job Descriptions'!J:M,4,FALSE)</f>
        <v>NONU</v>
      </c>
      <c r="W85" s="598">
        <v>5002</v>
      </c>
      <c r="X85" s="599">
        <f t="shared" si="34"/>
        <v>11757.049934399969</v>
      </c>
    </row>
    <row r="86" spans="1:25">
      <c r="A86" s="672"/>
      <c r="B86" s="663"/>
      <c r="C86" s="665"/>
      <c r="D86" s="657"/>
      <c r="E86" s="649"/>
      <c r="F86" s="649"/>
      <c r="G86" s="649"/>
      <c r="H86" s="650"/>
      <c r="I86" s="649"/>
      <c r="J86" s="649"/>
      <c r="K86" s="649"/>
      <c r="L86" s="649"/>
      <c r="M86" s="649"/>
      <c r="N86" s="649"/>
      <c r="O86" s="673"/>
      <c r="P86" s="649"/>
      <c r="Q86" s="649"/>
      <c r="R86" s="649"/>
      <c r="S86" s="649"/>
      <c r="T86" s="649"/>
      <c r="U86" s="652"/>
    </row>
    <row r="87" spans="1:25">
      <c r="A87" s="655"/>
      <c r="B87" s="663"/>
      <c r="C87" s="665" t="str">
        <f>CONCATENATE("TOTAL ",A59)</f>
        <v>TOTAL Residential Recycling/YW Drivers</v>
      </c>
      <c r="D87" s="657"/>
      <c r="E87" s="666">
        <f t="shared" ref="E87:S87" si="35">+SUM(E60:E86)</f>
        <v>38394.373332000003</v>
      </c>
      <c r="F87" s="666">
        <f t="shared" si="35"/>
        <v>1051866.99</v>
      </c>
      <c r="G87" s="666">
        <f t="shared" si="35"/>
        <v>8309.0033270000004</v>
      </c>
      <c r="H87" s="666">
        <f t="shared" si="35"/>
        <v>342221.14</v>
      </c>
      <c r="I87" s="666">
        <f t="shared" si="35"/>
        <v>1394088.13</v>
      </c>
      <c r="J87" s="666">
        <f t="shared" si="35"/>
        <v>36861.029999999948</v>
      </c>
      <c r="K87" s="666">
        <f t="shared" si="35"/>
        <v>1154.8</v>
      </c>
      <c r="L87" s="666">
        <f t="shared" si="35"/>
        <v>1432103.9599999997</v>
      </c>
      <c r="M87" s="666">
        <f t="shared" si="35"/>
        <v>721.08</v>
      </c>
      <c r="N87" s="666">
        <f t="shared" si="35"/>
        <v>0.65000000000000024</v>
      </c>
      <c r="O87" s="666">
        <f t="shared" si="35"/>
        <v>739.10700000000008</v>
      </c>
      <c r="P87" s="666">
        <f t="shared" si="35"/>
        <v>1104172.2162432286</v>
      </c>
      <c r="Q87" s="666">
        <f t="shared" si="35"/>
        <v>356341.39513528504</v>
      </c>
      <c r="R87" s="666">
        <f t="shared" si="35"/>
        <v>1183.6699999999998</v>
      </c>
      <c r="S87" s="666">
        <f t="shared" si="35"/>
        <v>1498558.3113785137</v>
      </c>
      <c r="T87" s="666">
        <f>+SUM(T60:T86)</f>
        <v>0</v>
      </c>
      <c r="U87" s="667">
        <f>+SUM(U60:U86)</f>
        <v>1498558.3113785137</v>
      </c>
      <c r="X87" s="667">
        <f>+SUM(X60:X86)</f>
        <v>66454.351378513878</v>
      </c>
      <c r="Y87" s="668"/>
    </row>
    <row r="88" spans="1:25">
      <c r="A88" s="672"/>
      <c r="B88" s="663"/>
      <c r="C88" s="665"/>
      <c r="D88" s="657"/>
      <c r="E88" s="649"/>
      <c r="F88" s="649"/>
      <c r="G88" s="649"/>
      <c r="H88" s="650"/>
      <c r="I88" s="649"/>
      <c r="J88" s="649"/>
      <c r="K88" s="649"/>
      <c r="L88" s="649"/>
      <c r="M88" s="649"/>
      <c r="N88" s="649"/>
      <c r="O88" s="651"/>
      <c r="P88" s="649"/>
      <c r="Q88" s="649"/>
      <c r="R88" s="649"/>
      <c r="S88" s="649"/>
      <c r="T88" s="649"/>
      <c r="U88" s="652"/>
    </row>
    <row r="89" spans="1:25">
      <c r="A89" s="645" t="s">
        <v>301</v>
      </c>
      <c r="B89" s="646"/>
      <c r="C89" s="671"/>
      <c r="D89" s="648"/>
      <c r="E89" s="649"/>
      <c r="F89" s="674">
        <f>+F92/E92</f>
        <v>26.953255697171148</v>
      </c>
      <c r="G89" s="649"/>
      <c r="H89" s="650"/>
      <c r="I89" s="649"/>
      <c r="J89" s="649"/>
      <c r="K89" s="649"/>
      <c r="L89" s="649"/>
      <c r="M89" s="649"/>
      <c r="N89" s="649"/>
      <c r="O89" s="651"/>
      <c r="P89" s="649"/>
      <c r="Q89" s="649"/>
      <c r="R89" s="649"/>
      <c r="S89" s="649"/>
      <c r="T89" s="649"/>
      <c r="U89" s="652"/>
    </row>
    <row r="90" spans="1:25">
      <c r="A90" s="655">
        <v>2180</v>
      </c>
      <c r="B90" s="656" t="s">
        <v>1400</v>
      </c>
      <c r="C90" s="656" t="s">
        <v>1401</v>
      </c>
      <c r="D90" s="657" t="str">
        <f>VLOOKUP(B90,'[51]2180 Job Descriptions'!E:G,3,FALSE)</f>
        <v>Recy-FEL</v>
      </c>
      <c r="E90" s="649">
        <f>+VLOOKUP($B90,'[51]Payroll Report Pivot'!$O:$Q,3,FALSE)</f>
        <v>1887.6766670000002</v>
      </c>
      <c r="F90" s="650">
        <f>+VLOOKUP($B90,'[51]Payroll Report Pivot'!$O:$R,4,FALSE)</f>
        <v>51040.900000000009</v>
      </c>
      <c r="G90" s="649">
        <f>+VLOOKUP(B90,'[51]Payroll Report Pivot'!$Y:$AA,3,FALSE)</f>
        <v>294.81666300000001</v>
      </c>
      <c r="H90" s="650">
        <f>+VLOOKUP($B90,'[51]Payroll Report Pivot'!$Y:$AB,4,FALSE)</f>
        <v>11844.51</v>
      </c>
      <c r="I90" s="650">
        <f t="shared" ref="I90:I95" si="36">+F90+H90</f>
        <v>62885.410000000011</v>
      </c>
      <c r="J90" s="649">
        <f>+IFERROR(VLOOKUP(B90,'[51]Payroll Report Pivot'!$AH:$AJ,3,FALSE),0)</f>
        <v>250.00000000000006</v>
      </c>
      <c r="K90" s="649">
        <f>IFERROR(VLOOKUP(B90,'[51]Payroll Report Pivot'!$AP:$AR,3,FALSE),0)</f>
        <v>0</v>
      </c>
      <c r="L90" s="649">
        <f t="shared" ref="L90:L95" si="37">+K90+J90+I90</f>
        <v>63135.410000000011</v>
      </c>
      <c r="M90" s="650">
        <f>+VLOOKUP(B90,'[51]Payroll Report Pivot'!$E:$H,4,FALSE)</f>
        <v>27.3</v>
      </c>
      <c r="N90" s="658">
        <f t="shared" ref="N90:N95" si="38">IF(V90="pcs",(27.85-M90)/M90,2.5%)</f>
        <v>2.5000000000000001E-2</v>
      </c>
      <c r="O90" s="659">
        <f t="shared" ref="O90:O95" si="39">IF(V90="PCS","27.85",M90*(1+N90))</f>
        <v>27.982499999999998</v>
      </c>
      <c r="P90" s="660">
        <f t="shared" ref="P90:P95" si="40">+O90*E90</f>
        <v>52821.912334327499</v>
      </c>
      <c r="Q90" s="660">
        <f t="shared" ref="Q90:Q95" si="41">+O90*G90*1.5</f>
        <v>12374.56090859625</v>
      </c>
      <c r="R90" s="660">
        <f t="shared" ref="R90:R95" si="42">+K90*(1+N90)</f>
        <v>0</v>
      </c>
      <c r="S90" s="649">
        <f t="shared" ref="S90:S95" si="43">SUM(P90:R90)+J90</f>
        <v>65446.473242923748</v>
      </c>
      <c r="T90" s="649">
        <f t="shared" ref="T90:T95" si="44">+IF(V90="PCS",250,0)</f>
        <v>0</v>
      </c>
      <c r="U90" s="652">
        <f t="shared" ref="U90:U95" si="45">+S90+T90</f>
        <v>65446.473242923748</v>
      </c>
      <c r="V90" s="598" t="str">
        <f>VLOOKUP(B90,'[51]2180 Job Descriptions'!J:M,4,FALSE)</f>
        <v>NONU</v>
      </c>
      <c r="W90" s="598">
        <v>5002</v>
      </c>
      <c r="X90" s="599">
        <f t="shared" ref="X90:X95" si="46">U90-L90</f>
        <v>2311.0632429237376</v>
      </c>
    </row>
    <row r="91" spans="1:25">
      <c r="A91" s="655">
        <v>2180</v>
      </c>
      <c r="B91" s="656" t="s">
        <v>1402</v>
      </c>
      <c r="C91" s="656" t="s">
        <v>1403</v>
      </c>
      <c r="D91" s="657" t="str">
        <f>VLOOKUP(B91,'[51]2180 Job Descriptions'!E:G,3,FALSE)</f>
        <v xml:space="preserve">Recy-REL </v>
      </c>
      <c r="E91" s="649">
        <f>+VLOOKUP($B91,'[51]Payroll Report Pivot'!$O:$Q,3,FALSE)</f>
        <v>2044.843333</v>
      </c>
      <c r="F91" s="650">
        <f>+VLOOKUP($B91,'[51]Payroll Report Pivot'!$O:$R,4,FALSE)</f>
        <v>55330.37999999999</v>
      </c>
      <c r="G91" s="649">
        <f>+VLOOKUP(B91,'[51]Payroll Report Pivot'!$Y:$AA,3,FALSE)</f>
        <v>178.500001</v>
      </c>
      <c r="H91" s="650">
        <f>+VLOOKUP($B91,'[51]Payroll Report Pivot'!$Y:$AB,4,FALSE)</f>
        <v>7270.9100000000017</v>
      </c>
      <c r="I91" s="650">
        <f t="shared" si="36"/>
        <v>62601.289999999994</v>
      </c>
      <c r="J91" s="649">
        <f>+IFERROR(VLOOKUP(B91,'[51]Payroll Report Pivot'!$AH:$AJ,3,FALSE),0)</f>
        <v>2619.5199999999986</v>
      </c>
      <c r="K91" s="649">
        <f>IFERROR(VLOOKUP(B91,'[51]Payroll Report Pivot'!$AP:$AR,3,FALSE),0)</f>
        <v>0</v>
      </c>
      <c r="L91" s="649">
        <f t="shared" si="37"/>
        <v>65220.80999999999</v>
      </c>
      <c r="M91" s="650">
        <f>+VLOOKUP(B91,'[51]Payroll Report Pivot'!$E:$H,4,FALSE)</f>
        <v>27.3</v>
      </c>
      <c r="N91" s="658">
        <f t="shared" si="38"/>
        <v>2.5000000000000001E-2</v>
      </c>
      <c r="O91" s="659">
        <f t="shared" si="39"/>
        <v>27.982499999999998</v>
      </c>
      <c r="P91" s="660">
        <f t="shared" si="40"/>
        <v>57219.828565672498</v>
      </c>
      <c r="Q91" s="660">
        <f t="shared" si="41"/>
        <v>7492.3144169737488</v>
      </c>
      <c r="R91" s="660">
        <f t="shared" si="42"/>
        <v>0</v>
      </c>
      <c r="S91" s="649">
        <f t="shared" si="43"/>
        <v>67331.662982646245</v>
      </c>
      <c r="T91" s="649">
        <f t="shared" si="44"/>
        <v>0</v>
      </c>
      <c r="U91" s="652">
        <f t="shared" si="45"/>
        <v>67331.662982646245</v>
      </c>
      <c r="V91" s="598" t="str">
        <f>VLOOKUP(B91,'[51]2180 Job Descriptions'!J:M,4,FALSE)</f>
        <v>NONU</v>
      </c>
      <c r="W91" s="598">
        <v>5002</v>
      </c>
      <c r="X91" s="599">
        <f t="shared" si="46"/>
        <v>2110.8529826462545</v>
      </c>
    </row>
    <row r="92" spans="1:25">
      <c r="A92" s="655">
        <v>2180</v>
      </c>
      <c r="B92" s="656" t="s">
        <v>1404</v>
      </c>
      <c r="C92" s="656" t="s">
        <v>1405</v>
      </c>
      <c r="D92" s="657" t="str">
        <f>VLOOKUP(B92,'[51]2180 Job Descriptions'!E:G,3,FALSE)</f>
        <v>Recy-FEL</v>
      </c>
      <c r="E92" s="649">
        <f>+VLOOKUP($B92,'[51]Payroll Report Pivot'!$O:$Q,3,FALSE)</f>
        <v>2090.9499999999998</v>
      </c>
      <c r="F92" s="650">
        <f>+VLOOKUP($B92,'[51]Payroll Report Pivot'!$O:$R,4,FALSE)</f>
        <v>56357.91</v>
      </c>
      <c r="G92" s="649">
        <f>+VLOOKUP(B92,'[51]Payroll Report Pivot'!$Y:$AA,3,FALSE)</f>
        <v>538.30000099999995</v>
      </c>
      <c r="H92" s="650">
        <f>+VLOOKUP($B92,'[51]Payroll Report Pivot'!$Y:$AB,4,FALSE)</f>
        <v>21841.03</v>
      </c>
      <c r="I92" s="650">
        <f>+F92+H92</f>
        <v>78198.94</v>
      </c>
      <c r="J92" s="649">
        <f>+IFERROR(VLOOKUP(B92,'[51]Payroll Report Pivot'!$AH:$AJ,3,FALSE),0)</f>
        <v>1224.9999999999995</v>
      </c>
      <c r="K92" s="649">
        <f>IFERROR(VLOOKUP(B92,'[51]Payroll Report Pivot'!$AP:$AR,3,FALSE),0)</f>
        <v>0</v>
      </c>
      <c r="L92" s="649">
        <f t="shared" si="37"/>
        <v>79423.94</v>
      </c>
      <c r="M92" s="650">
        <v>27.3</v>
      </c>
      <c r="N92" s="658">
        <f t="shared" si="38"/>
        <v>2.5000000000000001E-2</v>
      </c>
      <c r="O92" s="659">
        <f t="shared" si="39"/>
        <v>27.982499999999998</v>
      </c>
      <c r="P92" s="660">
        <f>+O92*E92</f>
        <v>58510.00837499999</v>
      </c>
      <c r="Q92" s="660">
        <f t="shared" si="41"/>
        <v>22594.469666973746</v>
      </c>
      <c r="R92" s="660">
        <f t="shared" si="42"/>
        <v>0</v>
      </c>
      <c r="S92" s="649">
        <f>SUM(P92:R92)+J92</f>
        <v>82329.478041973736</v>
      </c>
      <c r="T92" s="649">
        <f t="shared" si="44"/>
        <v>0</v>
      </c>
      <c r="U92" s="652">
        <f t="shared" si="45"/>
        <v>82329.478041973736</v>
      </c>
      <c r="V92" s="598" t="str">
        <f>VLOOKUP(B92,'[51]2180 Job Descriptions'!J:M,4,FALSE)</f>
        <v>NONU</v>
      </c>
      <c r="W92" s="598">
        <v>5002</v>
      </c>
      <c r="X92" s="675">
        <f t="shared" si="46"/>
        <v>2905.5380419737339</v>
      </c>
      <c r="Y92" s="675"/>
    </row>
    <row r="93" spans="1:25">
      <c r="A93" s="655">
        <v>2180</v>
      </c>
      <c r="B93" s="656" t="s">
        <v>1406</v>
      </c>
      <c r="C93" s="656" t="s">
        <v>1407</v>
      </c>
      <c r="D93" s="657" t="str">
        <f>VLOOKUP(B93,'[51]2180 Job Descriptions'!E:G,3,FALSE)</f>
        <v xml:space="preserve">Recy-REL </v>
      </c>
      <c r="E93" s="649">
        <f>+VLOOKUP($B93,'[51]Payroll Report Pivot'!$O:$Q,3,FALSE)</f>
        <v>990.08333300000004</v>
      </c>
      <c r="F93" s="650">
        <f>+VLOOKUP($B93,'[51]Payroll Report Pivot'!$O:$R,4,FALSE)</f>
        <v>31682.670000000002</v>
      </c>
      <c r="G93" s="649">
        <f>+VLOOKUP(B93,'[51]Payroll Report Pivot'!$Y:$AA,3,FALSE)</f>
        <v>221.06666900000002</v>
      </c>
      <c r="H93" s="650">
        <f>+VLOOKUP($B93,'[51]Payroll Report Pivot'!$Y:$AB,4,FALSE)</f>
        <v>10895.339999999998</v>
      </c>
      <c r="I93" s="650">
        <f t="shared" si="36"/>
        <v>42578.01</v>
      </c>
      <c r="J93" s="649">
        <f>+IFERROR(VLOOKUP(B93,'[51]Payroll Report Pivot'!$AH:$AJ,3,FALSE),0)</f>
        <v>1035.9100000000003</v>
      </c>
      <c r="K93" s="649">
        <f>IFERROR(VLOOKUP(B93,'[51]Payroll Report Pivot'!$AP:$AR,3,FALSE),0)</f>
        <v>0</v>
      </c>
      <c r="L93" s="649">
        <f t="shared" si="37"/>
        <v>43613.920000000006</v>
      </c>
      <c r="M93" s="650">
        <f>+VLOOKUP(B93,'[51]Payroll Report Pivot'!$E:$H,4,FALSE)</f>
        <v>32</v>
      </c>
      <c r="N93" s="658">
        <f t="shared" si="38"/>
        <v>2.5000000000000001E-2</v>
      </c>
      <c r="O93" s="659">
        <f t="shared" si="39"/>
        <v>32.799999999999997</v>
      </c>
      <c r="P93" s="660">
        <f t="shared" si="40"/>
        <v>32474.733322399999</v>
      </c>
      <c r="Q93" s="660">
        <f t="shared" si="41"/>
        <v>10876.480114800001</v>
      </c>
      <c r="R93" s="660">
        <f t="shared" si="42"/>
        <v>0</v>
      </c>
      <c r="S93" s="649">
        <f t="shared" si="43"/>
        <v>44387.123437200004</v>
      </c>
      <c r="T93" s="649">
        <f t="shared" si="44"/>
        <v>0</v>
      </c>
      <c r="U93" s="652">
        <f t="shared" si="45"/>
        <v>44387.123437200004</v>
      </c>
      <c r="V93" s="598" t="str">
        <f>VLOOKUP(B93,'[51]2180 Job Descriptions'!J:M,4,FALSE)</f>
        <v>NONU</v>
      </c>
      <c r="W93" s="598">
        <v>5002</v>
      </c>
      <c r="X93" s="599">
        <f t="shared" si="46"/>
        <v>773.20343719999801</v>
      </c>
    </row>
    <row r="94" spans="1:25">
      <c r="A94" s="655">
        <v>2180</v>
      </c>
      <c r="B94" s="656" t="s">
        <v>1408</v>
      </c>
      <c r="C94" s="656" t="s">
        <v>1409</v>
      </c>
      <c r="D94" s="657" t="str">
        <f>VLOOKUP(B94,'[51]2180 Job Descriptions'!E:G,3,FALSE)</f>
        <v>Recy-FEL</v>
      </c>
      <c r="E94" s="649">
        <f>+VLOOKUP($B94,'[51]Payroll Report Pivot'!$O:$Q,3,FALSE)</f>
        <v>1595.7500009999999</v>
      </c>
      <c r="F94" s="650">
        <f>+VLOOKUP($B94,'[51]Payroll Report Pivot'!$O:$R,4,FALSE)</f>
        <v>42967.49</v>
      </c>
      <c r="G94" s="649">
        <f>+VLOOKUP(B94,'[51]Payroll Report Pivot'!$Y:$AA,3,FALSE)</f>
        <v>389.66666600000002</v>
      </c>
      <c r="H94" s="650">
        <f>+VLOOKUP($B94,'[51]Payroll Report Pivot'!$Y:$AB,4,FALSE)</f>
        <v>15521.879999999997</v>
      </c>
      <c r="I94" s="650">
        <f t="shared" si="36"/>
        <v>58489.369999999995</v>
      </c>
      <c r="J94" s="649">
        <f>+IFERROR(VLOOKUP(B94,'[51]Payroll Report Pivot'!$AH:$AJ,3,FALSE),0)</f>
        <v>191.98999999999992</v>
      </c>
      <c r="K94" s="649">
        <f>IFERROR(VLOOKUP(B94,'[51]Payroll Report Pivot'!$AP:$AR,3,FALSE),0)</f>
        <v>0</v>
      </c>
      <c r="L94" s="649">
        <f t="shared" si="37"/>
        <v>58681.359999999993</v>
      </c>
      <c r="M94" s="650">
        <f>+VLOOKUP(B94,'[51]Payroll Report Pivot'!$E:$H,4,FALSE)</f>
        <v>26.57</v>
      </c>
      <c r="N94" s="658">
        <f t="shared" si="38"/>
        <v>2.5000000000000001E-2</v>
      </c>
      <c r="O94" s="659">
        <f t="shared" si="39"/>
        <v>27.234249999999999</v>
      </c>
      <c r="P94" s="660">
        <f t="shared" si="40"/>
        <v>43459.054464734247</v>
      </c>
      <c r="Q94" s="660">
        <f t="shared" si="41"/>
        <v>15918.419097765749</v>
      </c>
      <c r="R94" s="660">
        <f t="shared" si="42"/>
        <v>0</v>
      </c>
      <c r="S94" s="649">
        <f t="shared" si="43"/>
        <v>59569.463562499994</v>
      </c>
      <c r="T94" s="649">
        <f t="shared" si="44"/>
        <v>0</v>
      </c>
      <c r="U94" s="652">
        <f t="shared" si="45"/>
        <v>59569.463562499994</v>
      </c>
      <c r="V94" s="598" t="str">
        <f>VLOOKUP(B94,'[51]2180 Job Descriptions'!J:M,4,FALSE)</f>
        <v>NONU</v>
      </c>
      <c r="W94" s="598">
        <v>5002</v>
      </c>
      <c r="X94" s="599">
        <f t="shared" si="46"/>
        <v>888.10356250000041</v>
      </c>
    </row>
    <row r="95" spans="1:25">
      <c r="A95" s="655">
        <v>2180</v>
      </c>
      <c r="B95" s="656" t="s">
        <v>1410</v>
      </c>
      <c r="C95" s="656" t="s">
        <v>1411</v>
      </c>
      <c r="D95" s="657" t="str">
        <f>VLOOKUP(B95,'[51]2180 Job Descriptions'!E:G,3,FALSE)</f>
        <v>Recy-FEL</v>
      </c>
      <c r="E95" s="649">
        <f>+VLOOKUP($B95,'[51]Payroll Report Pivot'!$O:$Q,3,FALSE)</f>
        <v>2063.2199999999998</v>
      </c>
      <c r="F95" s="650">
        <f>+VLOOKUP($B95,'[51]Payroll Report Pivot'!$O:$R,4,FALSE)</f>
        <v>56497.490000000005</v>
      </c>
      <c r="G95" s="649">
        <f>+VLOOKUP(B95,'[51]Payroll Report Pivot'!$Y:$AA,3,FALSE)</f>
        <v>206.766662</v>
      </c>
      <c r="H95" s="650">
        <f>+VLOOKUP($B95,'[51]Payroll Report Pivot'!$Y:$AB,4,FALSE)</f>
        <v>8433.84</v>
      </c>
      <c r="I95" s="650">
        <f t="shared" si="36"/>
        <v>64931.33</v>
      </c>
      <c r="J95" s="649">
        <f>+IFERROR(VLOOKUP(B95,'[51]Payroll Report Pivot'!$AH:$AJ,3,FALSE),0)</f>
        <v>250.00000000000009</v>
      </c>
      <c r="K95" s="649">
        <f>IFERROR(VLOOKUP(B95,'[51]Payroll Report Pivot'!$AP:$AR,3,FALSE),0)</f>
        <v>0</v>
      </c>
      <c r="L95" s="649">
        <f t="shared" si="37"/>
        <v>65181.33</v>
      </c>
      <c r="M95" s="650">
        <f>+VLOOKUP(B95,'[51]Payroll Report Pivot'!$E:$H,4,FALSE)</f>
        <v>28.33</v>
      </c>
      <c r="N95" s="658">
        <f t="shared" si="38"/>
        <v>2.5000000000000001E-2</v>
      </c>
      <c r="O95" s="659">
        <f t="shared" si="39"/>
        <v>29.038249999999994</v>
      </c>
      <c r="P95" s="660">
        <f t="shared" si="40"/>
        <v>59912.298164999986</v>
      </c>
      <c r="Q95" s="660">
        <f t="shared" si="41"/>
        <v>9006.2130342322471</v>
      </c>
      <c r="R95" s="660">
        <f t="shared" si="42"/>
        <v>0</v>
      </c>
      <c r="S95" s="649">
        <f t="shared" si="43"/>
        <v>69168.511199232235</v>
      </c>
      <c r="T95" s="649">
        <f t="shared" si="44"/>
        <v>0</v>
      </c>
      <c r="U95" s="652">
        <f t="shared" si="45"/>
        <v>69168.511199232235</v>
      </c>
      <c r="V95" s="598" t="str">
        <f>VLOOKUP(B95,'[51]2180 Job Descriptions'!J:M,4,FALSE)</f>
        <v>NONU</v>
      </c>
      <c r="W95" s="598">
        <v>5002</v>
      </c>
      <c r="X95" s="599">
        <f t="shared" si="46"/>
        <v>3987.1811992322328</v>
      </c>
    </row>
    <row r="96" spans="1:25">
      <c r="A96" s="672"/>
      <c r="B96" s="663"/>
      <c r="C96" s="665"/>
      <c r="D96" s="657"/>
      <c r="E96" s="649"/>
      <c r="F96" s="649"/>
      <c r="G96" s="649"/>
      <c r="H96" s="650"/>
      <c r="I96" s="649"/>
      <c r="J96" s="649"/>
      <c r="K96" s="649"/>
      <c r="L96" s="649"/>
      <c r="M96" s="649"/>
      <c r="N96" s="649"/>
      <c r="O96" s="651"/>
      <c r="P96" s="649"/>
      <c r="Q96" s="649"/>
      <c r="R96" s="649"/>
      <c r="S96" s="649"/>
      <c r="T96" s="649"/>
      <c r="U96" s="652"/>
    </row>
    <row r="97" spans="1:25">
      <c r="A97" s="655"/>
      <c r="B97" s="663"/>
      <c r="C97" s="665" t="str">
        <f>CONCATENATE("TOTAL ",A89)</f>
        <v>TOTAL Commercial Recycling</v>
      </c>
      <c r="D97" s="657"/>
      <c r="E97" s="666">
        <f t="shared" ref="E97:S97" si="47">+SUM(E90:E96)</f>
        <v>10672.523334</v>
      </c>
      <c r="F97" s="666">
        <f t="shared" si="47"/>
        <v>293876.84000000003</v>
      </c>
      <c r="G97" s="666">
        <f t="shared" si="47"/>
        <v>1829.1166620000001</v>
      </c>
      <c r="H97" s="666">
        <f t="shared" si="47"/>
        <v>75807.50999999998</v>
      </c>
      <c r="I97" s="666">
        <f t="shared" si="47"/>
        <v>369684.35000000003</v>
      </c>
      <c r="J97" s="666">
        <f t="shared" si="47"/>
        <v>5572.4199999999983</v>
      </c>
      <c r="K97" s="666">
        <f t="shared" si="47"/>
        <v>0</v>
      </c>
      <c r="L97" s="666">
        <f t="shared" si="47"/>
        <v>375256.77</v>
      </c>
      <c r="M97" s="666">
        <f t="shared" si="47"/>
        <v>168.8</v>
      </c>
      <c r="N97" s="666">
        <f t="shared" si="47"/>
        <v>0.15</v>
      </c>
      <c r="O97" s="666">
        <f t="shared" si="47"/>
        <v>173.01999999999998</v>
      </c>
      <c r="P97" s="666">
        <f t="shared" si="47"/>
        <v>304397.83522713423</v>
      </c>
      <c r="Q97" s="666">
        <f t="shared" si="47"/>
        <v>78262.457239341733</v>
      </c>
      <c r="R97" s="666">
        <f t="shared" si="47"/>
        <v>0</v>
      </c>
      <c r="S97" s="666">
        <f t="shared" si="47"/>
        <v>388232.71246647596</v>
      </c>
      <c r="T97" s="666">
        <f>+SUM(T90:T96)</f>
        <v>0</v>
      </c>
      <c r="U97" s="667">
        <f>+SUM(U90:U96)</f>
        <v>388232.71246647596</v>
      </c>
      <c r="X97" s="667">
        <f>+SUM(X90:X96)</f>
        <v>12975.942466475957</v>
      </c>
      <c r="Y97" s="668"/>
    </row>
    <row r="98" spans="1:25">
      <c r="A98" s="672"/>
      <c r="B98" s="663"/>
      <c r="C98" s="665"/>
      <c r="D98" s="657"/>
      <c r="E98" s="649"/>
      <c r="F98" s="649"/>
      <c r="G98" s="649"/>
      <c r="H98" s="650"/>
      <c r="I98" s="649"/>
      <c r="J98" s="649"/>
      <c r="K98" s="649"/>
      <c r="L98" s="649"/>
      <c r="M98" s="649"/>
      <c r="N98" s="649"/>
      <c r="O98" s="651"/>
      <c r="P98" s="649"/>
      <c r="Q98" s="649"/>
      <c r="R98" s="649"/>
      <c r="S98" s="649"/>
      <c r="T98" s="649"/>
      <c r="U98" s="652"/>
    </row>
    <row r="99" spans="1:25">
      <c r="A99" s="645" t="s">
        <v>1412</v>
      </c>
      <c r="B99" s="646"/>
      <c r="C99" s="671"/>
      <c r="D99" s="648"/>
      <c r="E99" s="649"/>
      <c r="F99" s="649"/>
      <c r="G99" s="649"/>
      <c r="H99" s="650"/>
      <c r="I99" s="649"/>
      <c r="J99" s="649"/>
      <c r="K99" s="649"/>
      <c r="L99" s="649"/>
      <c r="M99" s="649"/>
      <c r="N99" s="649"/>
      <c r="O99" s="651"/>
      <c r="P99" s="649"/>
      <c r="Q99" s="649"/>
      <c r="R99" s="649"/>
      <c r="S99" s="649"/>
      <c r="T99" s="649"/>
      <c r="U99" s="652"/>
    </row>
    <row r="100" spans="1:25">
      <c r="A100" s="655">
        <v>2180</v>
      </c>
      <c r="B100" s="656" t="s">
        <v>1413</v>
      </c>
      <c r="C100" s="656" t="s">
        <v>1414</v>
      </c>
      <c r="D100" s="657" t="str">
        <f>VLOOKUP(B100,'[51]2180 Job Descriptions'!E:G,3,FALSE)</f>
        <v>Garbage-FEL</v>
      </c>
      <c r="E100" s="649">
        <f>+VLOOKUP($B100,'[51]Payroll Report Pivot'!$O:$Q,3,FALSE)</f>
        <v>2085.5766649999991</v>
      </c>
      <c r="F100" s="650">
        <f>+VLOOKUP($B100,'[51]Payroll Report Pivot'!$O:$R,4,FALSE)</f>
        <v>55078.200000000026</v>
      </c>
      <c r="G100" s="649">
        <f>+VLOOKUP(B100,'[51]Payroll Report Pivot'!$Y:$AA,3,FALSE)</f>
        <v>66.316665999999984</v>
      </c>
      <c r="H100" s="650">
        <f>+VLOOKUP($B100,'[51]Payroll Report Pivot'!$Y:$AB,4,FALSE)</f>
        <v>2734.869999999999</v>
      </c>
      <c r="I100" s="650">
        <f t="shared" ref="I100:I114" si="48">+F100+H100</f>
        <v>57813.070000000022</v>
      </c>
      <c r="J100" s="649">
        <f>+IFERROR(VLOOKUP(B100,'[51]Payroll Report Pivot'!$AH:$AJ,3,FALSE),0)</f>
        <v>3024.9999999999945</v>
      </c>
      <c r="K100" s="649">
        <f>IFERROR(VLOOKUP(B100,'[51]Payroll Report Pivot'!$AP:$AR,3,FALSE),0)</f>
        <v>1121.8499999999999</v>
      </c>
      <c r="L100" s="649">
        <f t="shared" ref="L100:L114" si="49">+K100+J100+I100</f>
        <v>61959.920000000013</v>
      </c>
      <c r="M100" s="650">
        <f>+VLOOKUP(B100,'[51]Payroll Report Pivot'!$E:$H,4,FALSE)</f>
        <v>26.95</v>
      </c>
      <c r="N100" s="658">
        <f t="shared" ref="N100:N114" si="50">IF(V100="pcs",(27.85-M100)/M100,2.5%)</f>
        <v>3.3395176252319192E-2</v>
      </c>
      <c r="O100" s="659" t="str">
        <f t="shared" ref="O100:O114" si="51">IF(V100="PCS","27.85",M100*(1+N100))</f>
        <v>27.85</v>
      </c>
      <c r="P100" s="660">
        <f t="shared" ref="P100:P114" si="52">+O100*E100</f>
        <v>58083.310120249982</v>
      </c>
      <c r="Q100" s="660">
        <f t="shared" ref="Q100:Q114" si="53">+O100*G100*1.5</f>
        <v>2770.3787221499992</v>
      </c>
      <c r="R100" s="660">
        <f t="shared" ref="R100:R114" si="54">+K100*(1+N100)</f>
        <v>1159.3143784786644</v>
      </c>
      <c r="S100" s="649">
        <f t="shared" ref="S100:S114" si="55">SUM(P100:R100)+J100</f>
        <v>65038.003220878643</v>
      </c>
      <c r="T100" s="649">
        <f t="shared" ref="T100:T114" si="56">+IF(V100="PCS",250,0)</f>
        <v>250</v>
      </c>
      <c r="U100" s="652">
        <f t="shared" ref="U100:U114" si="57">+S100+T100</f>
        <v>65288.003220878643</v>
      </c>
      <c r="V100" s="598" t="str">
        <f>VLOOKUP(B100,'[51]2180 Job Descriptions'!J:M,4,FALSE)</f>
        <v>PCS</v>
      </c>
      <c r="W100" s="598">
        <v>5002</v>
      </c>
      <c r="X100" s="599">
        <f t="shared" ref="X100:X114" si="58">U100-L100</f>
        <v>3328.0832208786305</v>
      </c>
    </row>
    <row r="101" spans="1:25">
      <c r="A101" s="655">
        <v>2180</v>
      </c>
      <c r="B101" s="656" t="s">
        <v>1415</v>
      </c>
      <c r="C101" s="656" t="s">
        <v>1416</v>
      </c>
      <c r="D101" s="657" t="str">
        <f>VLOOKUP(B101,'[51]2180 Job Descriptions'!E:G,3,FALSE)</f>
        <v>Garbage-REL</v>
      </c>
      <c r="E101" s="649">
        <f>+VLOOKUP($B101,'[51]Payroll Report Pivot'!$O:$Q,3,FALSE)</f>
        <v>2087.9200030000002</v>
      </c>
      <c r="F101" s="650">
        <f>+VLOOKUP($B101,'[51]Payroll Report Pivot'!$O:$R,4,FALSE)</f>
        <v>55774.729999999989</v>
      </c>
      <c r="G101" s="649">
        <f>+VLOOKUP(B101,'[51]Payroll Report Pivot'!$Y:$AA,3,FALSE)</f>
        <v>236.18333800000005</v>
      </c>
      <c r="H101" s="650">
        <f>+VLOOKUP($B101,'[51]Payroll Report Pivot'!$Y:$AB,4,FALSE)</f>
        <v>9415.7999999999975</v>
      </c>
      <c r="I101" s="650">
        <f t="shared" si="48"/>
        <v>65190.529999999984</v>
      </c>
      <c r="J101" s="649">
        <f>+IFERROR(VLOOKUP(B101,'[51]Payroll Report Pivot'!$AH:$AJ,3,FALSE),0)</f>
        <v>3024.9999999999941</v>
      </c>
      <c r="K101" s="649">
        <f>IFERROR(VLOOKUP(B101,'[51]Payroll Report Pivot'!$AP:$AR,3,FALSE),0)</f>
        <v>788.29</v>
      </c>
      <c r="L101" s="649">
        <f t="shared" si="49"/>
        <v>69003.819999999978</v>
      </c>
      <c r="M101" s="650">
        <f>+VLOOKUP(B101,'[51]Payroll Report Pivot'!$E:$H,4,FALSE)</f>
        <v>26.95</v>
      </c>
      <c r="N101" s="658">
        <f t="shared" si="50"/>
        <v>3.3395176252319192E-2</v>
      </c>
      <c r="O101" s="659" t="str">
        <f t="shared" si="51"/>
        <v>27.85</v>
      </c>
      <c r="P101" s="660">
        <f t="shared" si="52"/>
        <v>58148.572083550011</v>
      </c>
      <c r="Q101" s="660">
        <f t="shared" si="53"/>
        <v>9866.5589449500021</v>
      </c>
      <c r="R101" s="660">
        <f t="shared" si="54"/>
        <v>814.61508348794075</v>
      </c>
      <c r="S101" s="649">
        <f t="shared" si="55"/>
        <v>71854.746111987944</v>
      </c>
      <c r="T101" s="649">
        <f t="shared" si="56"/>
        <v>250</v>
      </c>
      <c r="U101" s="652">
        <f t="shared" si="57"/>
        <v>72104.746111987944</v>
      </c>
      <c r="V101" s="598" t="str">
        <f>VLOOKUP(B101,'[51]2180 Job Descriptions'!J:M,4,FALSE)</f>
        <v>PCS</v>
      </c>
      <c r="W101" s="598">
        <v>5002</v>
      </c>
      <c r="X101" s="599">
        <f t="shared" si="58"/>
        <v>3100.9261119879666</v>
      </c>
    </row>
    <row r="102" spans="1:25">
      <c r="A102" s="655">
        <v>2180</v>
      </c>
      <c r="B102" s="656" t="s">
        <v>1417</v>
      </c>
      <c r="C102" s="656" t="s">
        <v>1418</v>
      </c>
      <c r="D102" s="657" t="str">
        <f>VLOOKUP(B102,'[51]2180 Job Descriptions'!E:G,3,FALSE)</f>
        <v>Garbage-REL</v>
      </c>
      <c r="E102" s="649">
        <f>+VLOOKUP($B102,'[51]Payroll Report Pivot'!$O:$Q,3,FALSE)</f>
        <v>2049.9166690000002</v>
      </c>
      <c r="F102" s="650">
        <f>+VLOOKUP($B102,'[51]Payroll Report Pivot'!$O:$R,4,FALSE)</f>
        <v>54989.05</v>
      </c>
      <c r="G102" s="649">
        <f>+VLOOKUP(B102,'[51]Payroll Report Pivot'!$Y:$AA,3,FALSE)</f>
        <v>408.95000000000005</v>
      </c>
      <c r="H102" s="650">
        <f>+VLOOKUP($B102,'[51]Payroll Report Pivot'!$Y:$AB,4,FALSE)</f>
        <v>16544.930000000004</v>
      </c>
      <c r="I102" s="650">
        <f t="shared" si="48"/>
        <v>71533.98000000001</v>
      </c>
      <c r="J102" s="649">
        <f>+IFERROR(VLOOKUP(B102,'[51]Payroll Report Pivot'!$AH:$AJ,3,FALSE),0)</f>
        <v>2249.9999999999991</v>
      </c>
      <c r="K102" s="649">
        <f>IFERROR(VLOOKUP(B102,'[51]Payroll Report Pivot'!$AP:$AR,3,FALSE),0)</f>
        <v>53.85</v>
      </c>
      <c r="L102" s="649">
        <f t="shared" si="49"/>
        <v>73837.830000000016</v>
      </c>
      <c r="M102" s="650">
        <f>+VLOOKUP(B102,'[51]Payroll Report Pivot'!$E:$H,4,FALSE)</f>
        <v>26.95</v>
      </c>
      <c r="N102" s="658">
        <f t="shared" si="50"/>
        <v>3.3395176252319192E-2</v>
      </c>
      <c r="O102" s="659" t="str">
        <f t="shared" si="51"/>
        <v>27.85</v>
      </c>
      <c r="P102" s="660">
        <f t="shared" si="52"/>
        <v>57090.179231650007</v>
      </c>
      <c r="Q102" s="660">
        <f t="shared" si="53"/>
        <v>17083.886250000003</v>
      </c>
      <c r="R102" s="660">
        <f t="shared" si="54"/>
        <v>55.648330241187395</v>
      </c>
      <c r="S102" s="649">
        <f t="shared" si="55"/>
        <v>76479.713811891197</v>
      </c>
      <c r="T102" s="649">
        <f t="shared" si="56"/>
        <v>250</v>
      </c>
      <c r="U102" s="652">
        <f t="shared" si="57"/>
        <v>76729.713811891197</v>
      </c>
      <c r="V102" s="598" t="str">
        <f>VLOOKUP(B102,'[51]2180 Job Descriptions'!J:M,4,FALSE)</f>
        <v>PCS</v>
      </c>
      <c r="W102" s="598">
        <v>5002</v>
      </c>
      <c r="X102" s="599">
        <f t="shared" si="58"/>
        <v>2891.8838118911808</v>
      </c>
    </row>
    <row r="103" spans="1:25">
      <c r="A103" s="655">
        <v>2180</v>
      </c>
      <c r="B103" s="656" t="s">
        <v>1419</v>
      </c>
      <c r="C103" s="656" t="s">
        <v>1420</v>
      </c>
      <c r="D103" s="657" t="str">
        <f>VLOOKUP(B103,'[51]2180 Job Descriptions'!E:G,3,FALSE)</f>
        <v>Garbage-REL</v>
      </c>
      <c r="E103" s="649">
        <f>+VLOOKUP($B103,'[51]Payroll Report Pivot'!$O:$Q,3,FALSE)</f>
        <v>2028.8666659999999</v>
      </c>
      <c r="F103" s="650">
        <f>+VLOOKUP($B103,'[51]Payroll Report Pivot'!$O:$R,4,FALSE)</f>
        <v>54026.13</v>
      </c>
      <c r="G103" s="649">
        <f>+VLOOKUP(B103,'[51]Payroll Report Pivot'!$Y:$AA,3,FALSE)</f>
        <v>242.56666999999996</v>
      </c>
      <c r="H103" s="650">
        <f>+VLOOKUP($B103,'[51]Payroll Report Pivot'!$Y:$AB,4,FALSE)</f>
        <v>9698.590000000002</v>
      </c>
      <c r="I103" s="650">
        <f t="shared" si="48"/>
        <v>63724.72</v>
      </c>
      <c r="J103" s="649">
        <f>+IFERROR(VLOOKUP(B103,'[51]Payroll Report Pivot'!$AH:$AJ,3,FALSE),0)</f>
        <v>1024.9999999999993</v>
      </c>
      <c r="K103" s="649">
        <f>IFERROR(VLOOKUP(B103,'[51]Payroll Report Pivot'!$AP:$AR,3,FALSE),0)</f>
        <v>3899.93</v>
      </c>
      <c r="L103" s="649">
        <f t="shared" si="49"/>
        <v>68649.649999999994</v>
      </c>
      <c r="M103" s="650">
        <f>+VLOOKUP(B103,'[51]Payroll Report Pivot'!$E:$H,4,FALSE)</f>
        <v>26.95</v>
      </c>
      <c r="N103" s="658">
        <f t="shared" si="50"/>
        <v>3.3395176252319192E-2</v>
      </c>
      <c r="O103" s="659" t="str">
        <f t="shared" si="51"/>
        <v>27.85</v>
      </c>
      <c r="P103" s="660">
        <f t="shared" si="52"/>
        <v>56503.936648100003</v>
      </c>
      <c r="Q103" s="660">
        <f t="shared" si="53"/>
        <v>10133.22263925</v>
      </c>
      <c r="R103" s="660">
        <f t="shared" si="54"/>
        <v>4030.1688497217074</v>
      </c>
      <c r="S103" s="649">
        <f t="shared" si="55"/>
        <v>71692.328137071716</v>
      </c>
      <c r="T103" s="649">
        <f t="shared" si="56"/>
        <v>250</v>
      </c>
      <c r="U103" s="652">
        <f t="shared" si="57"/>
        <v>71942.328137071716</v>
      </c>
      <c r="V103" s="598" t="str">
        <f>VLOOKUP(B103,'[51]2180 Job Descriptions'!J:M,4,FALSE)</f>
        <v>PCS</v>
      </c>
      <c r="W103" s="598">
        <v>5002</v>
      </c>
      <c r="X103" s="599">
        <f t="shared" si="58"/>
        <v>3292.6781370717217</v>
      </c>
    </row>
    <row r="104" spans="1:25">
      <c r="A104" s="655">
        <v>2180</v>
      </c>
      <c r="B104" s="656" t="s">
        <v>1421</v>
      </c>
      <c r="C104" s="656" t="s">
        <v>1422</v>
      </c>
      <c r="D104" s="657" t="str">
        <f>VLOOKUP(B104,'[51]2180 Job Descriptions'!E:G,3,FALSE)</f>
        <v>Garbage-REL</v>
      </c>
      <c r="E104" s="649">
        <f>+VLOOKUP($B104,'[51]Payroll Report Pivot'!$O:$Q,3,FALSE)</f>
        <v>2065.8133360000002</v>
      </c>
      <c r="F104" s="650">
        <f>+VLOOKUP($B104,'[51]Payroll Report Pivot'!$O:$R,4,FALSE)</f>
        <v>54989.280000000006</v>
      </c>
      <c r="G104" s="649">
        <f>+VLOOKUP(B104,'[51]Payroll Report Pivot'!$Y:$AA,3,FALSE)</f>
        <v>117.86666799999998</v>
      </c>
      <c r="H104" s="650">
        <f>+VLOOKUP($B104,'[51]Payroll Report Pivot'!$Y:$AB,4,FALSE)</f>
        <v>4693.1400000000003</v>
      </c>
      <c r="I104" s="650">
        <f t="shared" si="48"/>
        <v>59682.420000000006</v>
      </c>
      <c r="J104" s="649">
        <f>+IFERROR(VLOOKUP(B104,'[51]Payroll Report Pivot'!$AH:$AJ,3,FALSE),0)</f>
        <v>774.99999999999955</v>
      </c>
      <c r="K104" s="649">
        <f>IFERROR(VLOOKUP(B104,'[51]Payroll Report Pivot'!$AP:$AR,3,FALSE),0)</f>
        <v>1101.3399999999999</v>
      </c>
      <c r="L104" s="649">
        <f t="shared" si="49"/>
        <v>61558.76</v>
      </c>
      <c r="M104" s="650">
        <f>+VLOOKUP(B104,'[51]Payroll Report Pivot'!$E:$H,4,FALSE)</f>
        <v>26.95</v>
      </c>
      <c r="N104" s="658">
        <f t="shared" si="50"/>
        <v>3.3395176252319192E-2</v>
      </c>
      <c r="O104" s="659" t="str">
        <f t="shared" si="51"/>
        <v>27.85</v>
      </c>
      <c r="P104" s="660">
        <f t="shared" si="52"/>
        <v>57532.901407600009</v>
      </c>
      <c r="Q104" s="660">
        <f t="shared" si="53"/>
        <v>4923.8800556999995</v>
      </c>
      <c r="R104" s="660">
        <f t="shared" si="54"/>
        <v>1138.1194434137292</v>
      </c>
      <c r="S104" s="649">
        <f t="shared" si="55"/>
        <v>64369.900906713738</v>
      </c>
      <c r="T104" s="649">
        <f t="shared" si="56"/>
        <v>250</v>
      </c>
      <c r="U104" s="652">
        <f t="shared" si="57"/>
        <v>64619.900906713738</v>
      </c>
      <c r="V104" s="598" t="str">
        <f>VLOOKUP(B104,'[51]2180 Job Descriptions'!J:M,4,FALSE)</f>
        <v>PCS</v>
      </c>
      <c r="W104" s="598">
        <v>5002</v>
      </c>
      <c r="X104" s="599">
        <f t="shared" si="58"/>
        <v>3061.1409067137356</v>
      </c>
    </row>
    <row r="105" spans="1:25">
      <c r="A105" s="655">
        <v>2180</v>
      </c>
      <c r="B105" s="656" t="s">
        <v>1423</v>
      </c>
      <c r="C105" s="656" t="s">
        <v>1424</v>
      </c>
      <c r="D105" s="657" t="str">
        <f>VLOOKUP(B105,'[51]2180 Job Descriptions'!E:G,3,FALSE)</f>
        <v>Garbage-REL</v>
      </c>
      <c r="E105" s="649">
        <f>+VLOOKUP($B105,'[51]Payroll Report Pivot'!$O:$Q,3,FALSE)</f>
        <v>2008.2766650000003</v>
      </c>
      <c r="F105" s="650">
        <f>+VLOOKUP($B105,'[51]Payroll Report Pivot'!$O:$R,4,FALSE)</f>
        <v>53489.459999999985</v>
      </c>
      <c r="G105" s="649">
        <f>+VLOOKUP(B105,'[51]Payroll Report Pivot'!$Y:$AA,3,FALSE)</f>
        <v>47.149998999999994</v>
      </c>
      <c r="H105" s="650">
        <f>+VLOOKUP($B105,'[51]Payroll Report Pivot'!$Y:$AB,4,FALSE)</f>
        <v>1889.2200000000003</v>
      </c>
      <c r="I105" s="650">
        <f t="shared" si="48"/>
        <v>55378.679999999986</v>
      </c>
      <c r="J105" s="649">
        <f>+IFERROR(VLOOKUP(B105,'[51]Payroll Report Pivot'!$AH:$AJ,3,FALSE),0)</f>
        <v>1024.9999999999995</v>
      </c>
      <c r="K105" s="649">
        <f>IFERROR(VLOOKUP(B105,'[51]Payroll Report Pivot'!$AP:$AR,3,FALSE),0)</f>
        <v>2167.6099999999997</v>
      </c>
      <c r="L105" s="649">
        <f t="shared" si="49"/>
        <v>58571.289999999986</v>
      </c>
      <c r="M105" s="650">
        <f>+VLOOKUP(B105,'[51]Payroll Report Pivot'!$E:$H,4,FALSE)</f>
        <v>26.95</v>
      </c>
      <c r="N105" s="658">
        <f t="shared" si="50"/>
        <v>3.3395176252319192E-2</v>
      </c>
      <c r="O105" s="659" t="str">
        <f t="shared" si="51"/>
        <v>27.85</v>
      </c>
      <c r="P105" s="660">
        <f t="shared" si="52"/>
        <v>55930.505120250011</v>
      </c>
      <c r="Q105" s="660">
        <f t="shared" si="53"/>
        <v>1969.6912082249999</v>
      </c>
      <c r="R105" s="660">
        <f t="shared" si="54"/>
        <v>2239.9977179962893</v>
      </c>
      <c r="S105" s="649">
        <f t="shared" si="55"/>
        <v>61165.194046471297</v>
      </c>
      <c r="T105" s="649">
        <f t="shared" si="56"/>
        <v>250</v>
      </c>
      <c r="U105" s="652">
        <f t="shared" si="57"/>
        <v>61415.194046471297</v>
      </c>
      <c r="V105" s="598" t="str">
        <f>VLOOKUP(B105,'[51]2180 Job Descriptions'!J:M,4,FALSE)</f>
        <v>PCS</v>
      </c>
      <c r="W105" s="598">
        <v>5002</v>
      </c>
      <c r="X105" s="599">
        <f t="shared" si="58"/>
        <v>2843.9040464713107</v>
      </c>
    </row>
    <row r="106" spans="1:25">
      <c r="A106" s="655">
        <v>2180</v>
      </c>
      <c r="B106" s="656" t="s">
        <v>1425</v>
      </c>
      <c r="C106" s="656" t="s">
        <v>1426</v>
      </c>
      <c r="D106" s="657" t="str">
        <f>VLOOKUP(B106,'[51]2180 Job Descriptions'!E:G,3,FALSE)</f>
        <v>Garbage-REL</v>
      </c>
      <c r="E106" s="649">
        <f>+VLOOKUP($B106,'[51]Payroll Report Pivot'!$O:$Q,3,FALSE)</f>
        <v>2090.5133329999999</v>
      </c>
      <c r="F106" s="650">
        <f>+VLOOKUP($B106,'[51]Payroll Report Pivot'!$O:$R,4,FALSE)</f>
        <v>55216.889999999985</v>
      </c>
      <c r="G106" s="649">
        <f>+VLOOKUP(B106,'[51]Payroll Report Pivot'!$Y:$AA,3,FALSE)</f>
        <v>204.24999800000003</v>
      </c>
      <c r="H106" s="650">
        <f>+VLOOKUP($B106,'[51]Payroll Report Pivot'!$Y:$AB,4,FALSE)</f>
        <v>8234.7699999999986</v>
      </c>
      <c r="I106" s="650">
        <f t="shared" si="48"/>
        <v>63451.659999999982</v>
      </c>
      <c r="J106" s="649">
        <f>+IFERROR(VLOOKUP(B106,'[51]Payroll Report Pivot'!$AH:$AJ,3,FALSE),0)</f>
        <v>1024.9999999999993</v>
      </c>
      <c r="K106" s="649">
        <f>IFERROR(VLOOKUP(B106,'[51]Payroll Report Pivot'!$AP:$AR,3,FALSE),0)</f>
        <v>944.17</v>
      </c>
      <c r="L106" s="649">
        <f t="shared" si="49"/>
        <v>65420.82999999998</v>
      </c>
      <c r="M106" s="650">
        <f>+VLOOKUP(B106,'[51]Payroll Report Pivot'!$E:$H,4,FALSE)</f>
        <v>26.95</v>
      </c>
      <c r="N106" s="658">
        <f t="shared" si="50"/>
        <v>3.3395176252319192E-2</v>
      </c>
      <c r="O106" s="659" t="str">
        <f t="shared" si="51"/>
        <v>27.85</v>
      </c>
      <c r="P106" s="660">
        <f t="shared" si="52"/>
        <v>58220.796324050003</v>
      </c>
      <c r="Q106" s="660">
        <f t="shared" si="53"/>
        <v>8532.5436664500012</v>
      </c>
      <c r="R106" s="660">
        <f t="shared" si="54"/>
        <v>975.70072356215223</v>
      </c>
      <c r="S106" s="649">
        <f t="shared" si="55"/>
        <v>68754.040714062168</v>
      </c>
      <c r="T106" s="649">
        <f t="shared" si="56"/>
        <v>250</v>
      </c>
      <c r="U106" s="652">
        <f t="shared" si="57"/>
        <v>69004.040714062168</v>
      </c>
      <c r="V106" s="598" t="str">
        <f>VLOOKUP(B106,'[51]2180 Job Descriptions'!J:M,4,FALSE)</f>
        <v>PCS</v>
      </c>
      <c r="W106" s="598">
        <v>5002</v>
      </c>
      <c r="X106" s="599">
        <f t="shared" si="58"/>
        <v>3583.2107140621883</v>
      </c>
    </row>
    <row r="107" spans="1:25">
      <c r="A107" s="655">
        <v>2180</v>
      </c>
      <c r="B107" s="656" t="s">
        <v>1427</v>
      </c>
      <c r="C107" s="656" t="s">
        <v>1428</v>
      </c>
      <c r="D107" s="657" t="str">
        <f>VLOOKUP(B107,'[51]2180 Job Descriptions'!E:G,3,FALSE)</f>
        <v>Garbage-REL</v>
      </c>
      <c r="E107" s="649">
        <f>+VLOOKUP($B107,'[51]Payroll Report Pivot'!$O:$Q,3,FALSE)</f>
        <v>2034.3733319999999</v>
      </c>
      <c r="F107" s="650">
        <f>+VLOOKUP($B107,'[51]Payroll Report Pivot'!$O:$R,4,FALSE)</f>
        <v>54183.249999999993</v>
      </c>
      <c r="G107" s="649">
        <f>+VLOOKUP(B107,'[51]Payroll Report Pivot'!$Y:$AA,3,FALSE)</f>
        <v>477.61666499999995</v>
      </c>
      <c r="H107" s="650">
        <f>+VLOOKUP($B107,'[51]Payroll Report Pivot'!$Y:$AB,4,FALSE)</f>
        <v>19035.969999999998</v>
      </c>
      <c r="I107" s="650">
        <f t="shared" si="48"/>
        <v>73219.219999999987</v>
      </c>
      <c r="J107" s="649">
        <f>+IFERROR(VLOOKUP(B107,'[51]Payroll Report Pivot'!$AH:$AJ,3,FALSE),0)</f>
        <v>0</v>
      </c>
      <c r="K107" s="649">
        <f>IFERROR(VLOOKUP(B107,'[51]Payroll Report Pivot'!$AP:$AR,3,FALSE),0)</f>
        <v>0</v>
      </c>
      <c r="L107" s="649">
        <f t="shared" si="49"/>
        <v>73219.219999999987</v>
      </c>
      <c r="M107" s="650">
        <f>+VLOOKUP(B107,'[51]Payroll Report Pivot'!$E:$H,4,FALSE)</f>
        <v>26.95</v>
      </c>
      <c r="N107" s="658">
        <f t="shared" si="50"/>
        <v>3.3395176252319192E-2</v>
      </c>
      <c r="O107" s="659" t="str">
        <f t="shared" si="51"/>
        <v>27.85</v>
      </c>
      <c r="P107" s="660">
        <f t="shared" si="52"/>
        <v>56657.297296199999</v>
      </c>
      <c r="Q107" s="660">
        <f t="shared" si="53"/>
        <v>19952.436180375</v>
      </c>
      <c r="R107" s="660">
        <f t="shared" si="54"/>
        <v>0</v>
      </c>
      <c r="S107" s="649">
        <f t="shared" si="55"/>
        <v>76609.733476574998</v>
      </c>
      <c r="T107" s="649">
        <f t="shared" si="56"/>
        <v>250</v>
      </c>
      <c r="U107" s="652">
        <f t="shared" si="57"/>
        <v>76859.733476574998</v>
      </c>
      <c r="V107" s="598" t="str">
        <f>VLOOKUP(B107,'[51]2180 Job Descriptions'!J:M,4,FALSE)</f>
        <v>PCS</v>
      </c>
      <c r="W107" s="598">
        <v>5002</v>
      </c>
      <c r="X107" s="599">
        <f t="shared" si="58"/>
        <v>3640.5134765750117</v>
      </c>
    </row>
    <row r="108" spans="1:25">
      <c r="A108" s="655">
        <v>2180</v>
      </c>
      <c r="B108" s="656" t="s">
        <v>1429</v>
      </c>
      <c r="C108" s="656" t="s">
        <v>1430</v>
      </c>
      <c r="D108" s="657" t="str">
        <f>VLOOKUP(B108,'[51]2180 Job Descriptions'!E:G,3,FALSE)</f>
        <v>Garbage-REL</v>
      </c>
      <c r="E108" s="649">
        <f>+VLOOKUP($B108,'[51]Payroll Report Pivot'!$O:$Q,3,FALSE)</f>
        <v>1143.2333290000001</v>
      </c>
      <c r="F108" s="650">
        <f>+VLOOKUP($B108,'[51]Payroll Report Pivot'!$O:$R,4,FALSE)</f>
        <v>31217.749999999996</v>
      </c>
      <c r="G108" s="649">
        <f>+VLOOKUP(B108,'[51]Payroll Report Pivot'!$Y:$AA,3,FALSE)</f>
        <v>26.666667999999998</v>
      </c>
      <c r="H108" s="650">
        <f>+VLOOKUP($B108,'[51]Payroll Report Pivot'!$Y:$AB,4,FALSE)</f>
        <v>1078.5899999999999</v>
      </c>
      <c r="I108" s="650">
        <f t="shared" si="48"/>
        <v>32296.339999999997</v>
      </c>
      <c r="J108" s="649">
        <f>+IFERROR(VLOOKUP(B108,'[51]Payroll Report Pivot'!$AH:$AJ,3,FALSE),0)</f>
        <v>2000.0000000000005</v>
      </c>
      <c r="K108" s="649">
        <f>IFERROR(VLOOKUP(B108,'[51]Payroll Report Pivot'!$AP:$AR,3,FALSE),0)</f>
        <v>0</v>
      </c>
      <c r="L108" s="649">
        <f t="shared" si="49"/>
        <v>34296.339999999997</v>
      </c>
      <c r="M108" s="650">
        <f>+VLOOKUP(B108,'[51]Payroll Report Pivot'!$E:$H,4,FALSE)</f>
        <v>25.95</v>
      </c>
      <c r="N108" s="658">
        <f t="shared" si="50"/>
        <v>7.3217726396917232E-2</v>
      </c>
      <c r="O108" s="659" t="str">
        <f t="shared" si="51"/>
        <v>27.85</v>
      </c>
      <c r="P108" s="660">
        <f t="shared" si="52"/>
        <v>31839.048212650006</v>
      </c>
      <c r="Q108" s="660">
        <f t="shared" si="53"/>
        <v>1114.0000556999998</v>
      </c>
      <c r="R108" s="660">
        <f t="shared" si="54"/>
        <v>0</v>
      </c>
      <c r="S108" s="649">
        <f t="shared" si="55"/>
        <v>34953.048268350009</v>
      </c>
      <c r="T108" s="649">
        <f t="shared" si="56"/>
        <v>250</v>
      </c>
      <c r="U108" s="652">
        <f t="shared" si="57"/>
        <v>35203.048268350009</v>
      </c>
      <c r="V108" s="598" t="str">
        <f>VLOOKUP(B108,'[51]2180 Job Descriptions'!J:M,4,FALSE)</f>
        <v>PCS</v>
      </c>
      <c r="W108" s="598">
        <v>5002</v>
      </c>
      <c r="X108" s="599">
        <f t="shared" si="58"/>
        <v>906.70826835001208</v>
      </c>
    </row>
    <row r="109" spans="1:25">
      <c r="A109" s="655">
        <v>2180</v>
      </c>
      <c r="B109" s="656" t="s">
        <v>1431</v>
      </c>
      <c r="C109" s="656" t="s">
        <v>1432</v>
      </c>
      <c r="D109" s="657" t="str">
        <f>VLOOKUP(B109,'[51]2180 Job Descriptions'!E:G,3,FALSE)</f>
        <v>Garbage-REL</v>
      </c>
      <c r="E109" s="649">
        <f>+VLOOKUP($B109,'[51]Payroll Report Pivot'!$O:$Q,3,FALSE)</f>
        <v>1526.2699990000003</v>
      </c>
      <c r="F109" s="650">
        <f>+VLOOKUP($B109,'[51]Payroll Report Pivot'!$O:$R,4,FALSE)</f>
        <v>40529.259999999987</v>
      </c>
      <c r="G109" s="649">
        <f>+VLOOKUP(B109,'[51]Payroll Report Pivot'!$Y:$AA,3,FALSE)</f>
        <v>29.716666000000004</v>
      </c>
      <c r="H109" s="650">
        <f>+VLOOKUP($B109,'[51]Payroll Report Pivot'!$Y:$AB,4,FALSE)</f>
        <v>1361.26</v>
      </c>
      <c r="I109" s="650">
        <f t="shared" si="48"/>
        <v>41890.51999999999</v>
      </c>
      <c r="J109" s="649">
        <f>+IFERROR(VLOOKUP(B109,'[51]Payroll Report Pivot'!$AH:$AJ,3,FALSE),0)</f>
        <v>1024.9999999999993</v>
      </c>
      <c r="K109" s="649">
        <f>IFERROR(VLOOKUP(B109,'[51]Payroll Report Pivot'!$AP:$AR,3,FALSE),0)</f>
        <v>1958.19</v>
      </c>
      <c r="L109" s="649">
        <f t="shared" si="49"/>
        <v>44873.709999999992</v>
      </c>
      <c r="M109" s="650">
        <f>+VLOOKUP(B109,'[51]Payroll Report Pivot'!$E:$H,4,FALSE)</f>
        <v>26.95</v>
      </c>
      <c r="N109" s="658">
        <f t="shared" si="50"/>
        <v>3.3395176252319192E-2</v>
      </c>
      <c r="O109" s="659" t="str">
        <f t="shared" si="51"/>
        <v>27.85</v>
      </c>
      <c r="P109" s="660">
        <f t="shared" si="52"/>
        <v>42506.619472150014</v>
      </c>
      <c r="Q109" s="660">
        <f t="shared" si="53"/>
        <v>1241.4137221500002</v>
      </c>
      <c r="R109" s="660">
        <f t="shared" si="54"/>
        <v>2023.584100185529</v>
      </c>
      <c r="S109" s="649">
        <f t="shared" si="55"/>
        <v>46796.617294485543</v>
      </c>
      <c r="T109" s="649">
        <f t="shared" si="56"/>
        <v>250</v>
      </c>
      <c r="U109" s="652">
        <f t="shared" si="57"/>
        <v>47046.617294485543</v>
      </c>
      <c r="V109" s="598" t="str">
        <f>VLOOKUP(B109,'[51]2180 Job Descriptions'!J:M,4,FALSE)</f>
        <v>PCS</v>
      </c>
      <c r="W109" s="598">
        <v>5002</v>
      </c>
      <c r="X109" s="599">
        <f t="shared" si="58"/>
        <v>2172.9072944855507</v>
      </c>
    </row>
    <row r="110" spans="1:25">
      <c r="A110" s="655">
        <v>2180</v>
      </c>
      <c r="B110" s="656" t="s">
        <v>1433</v>
      </c>
      <c r="C110" s="656" t="s">
        <v>1434</v>
      </c>
      <c r="D110" s="657" t="str">
        <f>VLOOKUP(B110,'[51]2180 Job Descriptions'!E:G,3,FALSE)</f>
        <v>Garbage-FEL</v>
      </c>
      <c r="E110" s="649">
        <f>+VLOOKUP($B110,'[51]Payroll Report Pivot'!$O:$Q,3,FALSE)</f>
        <v>2065.6833329999999</v>
      </c>
      <c r="F110" s="650">
        <f>+VLOOKUP($B110,'[51]Payroll Report Pivot'!$O:$R,4,FALSE)</f>
        <v>54772.090000000004</v>
      </c>
      <c r="G110" s="649">
        <f>+VLOOKUP(B110,'[51]Payroll Report Pivot'!$Y:$AA,3,FALSE)</f>
        <v>290.81666300000006</v>
      </c>
      <c r="H110" s="650">
        <f>+VLOOKUP($B110,'[51]Payroll Report Pivot'!$Y:$AB,4,FALSE)</f>
        <v>11748.049999999997</v>
      </c>
      <c r="I110" s="650">
        <f t="shared" si="48"/>
        <v>66520.14</v>
      </c>
      <c r="J110" s="649">
        <f>+IFERROR(VLOOKUP(B110,'[51]Payroll Report Pivot'!$AH:$AJ,3,FALSE),0)</f>
        <v>2774.9999999999959</v>
      </c>
      <c r="K110" s="649">
        <f>IFERROR(VLOOKUP(B110,'[51]Payroll Report Pivot'!$AP:$AR,3,FALSE),0)</f>
        <v>2811.8900000000003</v>
      </c>
      <c r="L110" s="649">
        <f t="shared" si="49"/>
        <v>72107.03</v>
      </c>
      <c r="M110" s="650">
        <f>+VLOOKUP(B110,'[51]Payroll Report Pivot'!$E:$H,4,FALSE)</f>
        <v>26.95</v>
      </c>
      <c r="N110" s="658">
        <f t="shared" si="50"/>
        <v>3.3395176252319192E-2</v>
      </c>
      <c r="O110" s="659" t="str">
        <f t="shared" si="51"/>
        <v>27.85</v>
      </c>
      <c r="P110" s="660">
        <f t="shared" si="52"/>
        <v>57529.280824050002</v>
      </c>
      <c r="Q110" s="660">
        <f t="shared" si="53"/>
        <v>12148.866096825002</v>
      </c>
      <c r="R110" s="660">
        <f t="shared" si="54"/>
        <v>2905.7935621521342</v>
      </c>
      <c r="S110" s="649">
        <f t="shared" si="55"/>
        <v>75358.940483027138</v>
      </c>
      <c r="T110" s="649">
        <f t="shared" si="56"/>
        <v>250</v>
      </c>
      <c r="U110" s="652">
        <f t="shared" si="57"/>
        <v>75608.940483027138</v>
      </c>
      <c r="V110" s="598" t="str">
        <f>VLOOKUP(B110,'[51]2180 Job Descriptions'!J:M,4,FALSE)</f>
        <v>PCS</v>
      </c>
      <c r="W110" s="598">
        <v>5002</v>
      </c>
      <c r="X110" s="599">
        <f t="shared" si="58"/>
        <v>3501.910483027139</v>
      </c>
    </row>
    <row r="111" spans="1:25">
      <c r="A111" s="655">
        <v>2180</v>
      </c>
      <c r="B111" s="656" t="s">
        <v>1435</v>
      </c>
      <c r="C111" s="656" t="s">
        <v>1436</v>
      </c>
      <c r="D111" s="657" t="str">
        <f>VLOOKUP(B111,'[51]2180 Job Descriptions'!E:G,3,FALSE)</f>
        <v>Garbage-FEL</v>
      </c>
      <c r="E111" s="649">
        <f>+VLOOKUP($B111,'[51]Payroll Report Pivot'!$O:$Q,3,FALSE)</f>
        <v>2182.75</v>
      </c>
      <c r="F111" s="650">
        <f>+VLOOKUP($B111,'[51]Payroll Report Pivot'!$O:$R,4,FALSE)</f>
        <v>58240.979999999996</v>
      </c>
      <c r="G111" s="649">
        <f>+VLOOKUP(B111,'[51]Payroll Report Pivot'!$Y:$AA,3,FALSE)</f>
        <v>441.66666499999991</v>
      </c>
      <c r="H111" s="650">
        <f>+VLOOKUP($B111,'[51]Payroll Report Pivot'!$Y:$AB,4,FALSE)</f>
        <v>17860.350000000009</v>
      </c>
      <c r="I111" s="650">
        <f t="shared" si="48"/>
        <v>76101.33</v>
      </c>
      <c r="J111" s="649">
        <f>+IFERROR(VLOOKUP(B111,'[51]Payroll Report Pivot'!$AH:$AJ,3,FALSE),0)</f>
        <v>3024.9999999999945</v>
      </c>
      <c r="K111" s="649">
        <f>IFERROR(VLOOKUP(B111,'[51]Payroll Report Pivot'!$AP:$AR,3,FALSE),0)</f>
        <v>4910.99</v>
      </c>
      <c r="L111" s="649">
        <f t="shared" si="49"/>
        <v>84037.319999999992</v>
      </c>
      <c r="M111" s="650">
        <f>+VLOOKUP(B111,'[51]Payroll Report Pivot'!$E:$H,4,FALSE)</f>
        <v>26.95</v>
      </c>
      <c r="N111" s="658">
        <f t="shared" si="50"/>
        <v>3.3395176252319192E-2</v>
      </c>
      <c r="O111" s="659" t="str">
        <f t="shared" si="51"/>
        <v>27.85</v>
      </c>
      <c r="P111" s="660">
        <f t="shared" si="52"/>
        <v>60789.587500000001</v>
      </c>
      <c r="Q111" s="660">
        <f t="shared" si="53"/>
        <v>18450.624930374997</v>
      </c>
      <c r="R111" s="660">
        <f t="shared" si="54"/>
        <v>5074.9933766233771</v>
      </c>
      <c r="S111" s="649">
        <f t="shared" si="55"/>
        <v>87340.205806998376</v>
      </c>
      <c r="T111" s="649">
        <f t="shared" si="56"/>
        <v>250</v>
      </c>
      <c r="U111" s="652">
        <f t="shared" si="57"/>
        <v>87590.205806998376</v>
      </c>
      <c r="V111" s="598" t="str">
        <f>VLOOKUP(B111,'[51]2180 Job Descriptions'!J:M,4,FALSE)</f>
        <v>PCS</v>
      </c>
      <c r="W111" s="598">
        <v>5002</v>
      </c>
      <c r="X111" s="599">
        <f t="shared" si="58"/>
        <v>3552.8858069983835</v>
      </c>
    </row>
    <row r="112" spans="1:25">
      <c r="A112" s="655">
        <v>2180</v>
      </c>
      <c r="B112" s="656" t="s">
        <v>1437</v>
      </c>
      <c r="C112" s="656" t="s">
        <v>1438</v>
      </c>
      <c r="D112" s="657" t="str">
        <f>VLOOKUP(B112,'[51]2180 Job Descriptions'!E:G,3,FALSE)</f>
        <v>Garbage-REL</v>
      </c>
      <c r="E112" s="649">
        <f>+VLOOKUP($B112,'[51]Payroll Report Pivot'!$O:$Q,3,FALSE)</f>
        <v>2190.3166659999997</v>
      </c>
      <c r="F112" s="650">
        <f>+VLOOKUP($B112,'[51]Payroll Report Pivot'!$O:$R,4,FALSE)</f>
        <v>58046.319999999992</v>
      </c>
      <c r="G112" s="649">
        <f>+VLOOKUP(B112,'[51]Payroll Report Pivot'!$Y:$AA,3,FALSE)</f>
        <v>382.84999199999999</v>
      </c>
      <c r="H112" s="650">
        <f>+VLOOKUP($B112,'[51]Payroll Report Pivot'!$Y:$AB,4,FALSE)</f>
        <v>15481.350000000002</v>
      </c>
      <c r="I112" s="650">
        <f t="shared" si="48"/>
        <v>73527.67</v>
      </c>
      <c r="J112" s="649">
        <f>+IFERROR(VLOOKUP(B112,'[51]Payroll Report Pivot'!$AH:$AJ,3,FALSE),0)</f>
        <v>1024.9999999999995</v>
      </c>
      <c r="K112" s="649">
        <f>IFERROR(VLOOKUP(B112,'[51]Payroll Report Pivot'!$AP:$AR,3,FALSE),0)</f>
        <v>2327.58</v>
      </c>
      <c r="L112" s="649">
        <f t="shared" si="49"/>
        <v>76880.25</v>
      </c>
      <c r="M112" s="650">
        <f>+VLOOKUP(B112,'[51]Payroll Report Pivot'!$E:$H,4,FALSE)</f>
        <v>26.95</v>
      </c>
      <c r="N112" s="658">
        <f t="shared" si="50"/>
        <v>3.3395176252319192E-2</v>
      </c>
      <c r="O112" s="659" t="str">
        <f t="shared" si="51"/>
        <v>27.85</v>
      </c>
      <c r="P112" s="660">
        <f t="shared" si="52"/>
        <v>61000.319148099996</v>
      </c>
      <c r="Q112" s="660">
        <f t="shared" si="53"/>
        <v>15993.5584158</v>
      </c>
      <c r="R112" s="660">
        <f t="shared" si="54"/>
        <v>2405.309944341373</v>
      </c>
      <c r="S112" s="649">
        <f t="shared" si="55"/>
        <v>80424.187508241361</v>
      </c>
      <c r="T112" s="649">
        <f t="shared" si="56"/>
        <v>250</v>
      </c>
      <c r="U112" s="652">
        <f t="shared" si="57"/>
        <v>80674.187508241361</v>
      </c>
      <c r="V112" s="598" t="str">
        <f>VLOOKUP(B112,'[51]2180 Job Descriptions'!J:M,4,FALSE)</f>
        <v>PCS</v>
      </c>
      <c r="W112" s="598">
        <v>5002</v>
      </c>
      <c r="X112" s="599">
        <f t="shared" si="58"/>
        <v>3793.9375082413608</v>
      </c>
    </row>
    <row r="113" spans="1:25">
      <c r="A113" s="655">
        <v>2180</v>
      </c>
      <c r="B113" s="656" t="s">
        <v>1439</v>
      </c>
      <c r="C113" s="656" t="s">
        <v>1440</v>
      </c>
      <c r="D113" s="657" t="str">
        <f>VLOOKUP(B113,'[51]2180 Job Descriptions'!E:G,3,FALSE)</f>
        <v>Garbage-FEL</v>
      </c>
      <c r="E113" s="649">
        <f>+VLOOKUP($B113,'[51]Payroll Report Pivot'!$O:$Q,3,FALSE)</f>
        <v>2077.603333</v>
      </c>
      <c r="F113" s="650">
        <f>+VLOOKUP($B113,'[51]Payroll Report Pivot'!$O:$R,4,FALSE)</f>
        <v>55510.169999999991</v>
      </c>
      <c r="G113" s="649">
        <f>+VLOOKUP(B113,'[51]Payroll Report Pivot'!$Y:$AA,3,FALSE)</f>
        <v>264.86666699999995</v>
      </c>
      <c r="H113" s="650">
        <f>+VLOOKUP($B113,'[51]Payroll Report Pivot'!$Y:$AB,4,FALSE)</f>
        <v>10587.09</v>
      </c>
      <c r="I113" s="650">
        <f t="shared" si="48"/>
        <v>66097.259999999995</v>
      </c>
      <c r="J113" s="649">
        <f>+IFERROR(VLOOKUP(B113,'[51]Payroll Report Pivot'!$AH:$AJ,3,FALSE),0)</f>
        <v>250.00000000000009</v>
      </c>
      <c r="K113" s="649">
        <f>IFERROR(VLOOKUP(B113,'[51]Payroll Report Pivot'!$AP:$AR,3,FALSE),0)</f>
        <v>4619.6099999999997</v>
      </c>
      <c r="L113" s="649">
        <f t="shared" si="49"/>
        <v>70966.87</v>
      </c>
      <c r="M113" s="650">
        <f>+VLOOKUP(B113,'[51]Payroll Report Pivot'!$E:$H,4,FALSE)</f>
        <v>26.95</v>
      </c>
      <c r="N113" s="658">
        <f t="shared" si="50"/>
        <v>3.3395176252319192E-2</v>
      </c>
      <c r="O113" s="659" t="str">
        <f t="shared" si="51"/>
        <v>27.85</v>
      </c>
      <c r="P113" s="660">
        <f t="shared" si="52"/>
        <v>57861.252824050003</v>
      </c>
      <c r="Q113" s="660">
        <f t="shared" si="53"/>
        <v>11064.805013924999</v>
      </c>
      <c r="R113" s="660">
        <f t="shared" si="54"/>
        <v>4773.8826901669763</v>
      </c>
      <c r="S113" s="649">
        <f t="shared" si="55"/>
        <v>73949.940528141989</v>
      </c>
      <c r="T113" s="649">
        <f t="shared" si="56"/>
        <v>250</v>
      </c>
      <c r="U113" s="652">
        <f t="shared" si="57"/>
        <v>74199.940528141989</v>
      </c>
      <c r="V113" s="598" t="str">
        <f>VLOOKUP(B113,'[51]2180 Job Descriptions'!J:M,4,FALSE)</f>
        <v>PCS</v>
      </c>
      <c r="W113" s="598">
        <v>5002</v>
      </c>
      <c r="X113" s="599">
        <f t="shared" si="58"/>
        <v>3233.0705281419941</v>
      </c>
    </row>
    <row r="114" spans="1:25">
      <c r="A114" s="655">
        <v>2180</v>
      </c>
      <c r="B114" s="656" t="s">
        <v>1441</v>
      </c>
      <c r="C114" s="656" t="s">
        <v>1442</v>
      </c>
      <c r="D114" s="657" t="str">
        <f>VLOOKUP(B114,'[51]2180 Job Descriptions'!E:G,3,FALSE)</f>
        <v>Garbage-FEL</v>
      </c>
      <c r="E114" s="649">
        <f>+VLOOKUP($B114,'[51]Payroll Report Pivot'!$O:$Q,3,FALSE)</f>
        <v>2205.7999989999998</v>
      </c>
      <c r="F114" s="650">
        <f>+VLOOKUP($B114,'[51]Payroll Report Pivot'!$O:$R,4,FALSE)</f>
        <v>59760.979999999996</v>
      </c>
      <c r="G114" s="649">
        <f>+VLOOKUP(B114,'[51]Payroll Report Pivot'!$Y:$AA,3,FALSE)</f>
        <v>328.71666399999998</v>
      </c>
      <c r="H114" s="650">
        <f>+VLOOKUP($B114,'[51]Payroll Report Pivot'!$Y:$AB,4,FALSE)</f>
        <v>13286.28</v>
      </c>
      <c r="I114" s="650">
        <f t="shared" si="48"/>
        <v>73047.259999999995</v>
      </c>
      <c r="J114" s="649">
        <f>+IFERROR(VLOOKUP(B114,'[51]Payroll Report Pivot'!$AH:$AJ,3,FALSE),0)</f>
        <v>3024.9999999999941</v>
      </c>
      <c r="K114" s="649">
        <f>IFERROR(VLOOKUP(B114,'[51]Payroll Report Pivot'!$AP:$AR,3,FALSE),0)</f>
        <v>5429.63</v>
      </c>
      <c r="L114" s="649">
        <f t="shared" si="49"/>
        <v>81501.889999999985</v>
      </c>
      <c r="M114" s="650">
        <f>+VLOOKUP(B114,'[51]Payroll Report Pivot'!$E:$H,4,FALSE)</f>
        <v>26.95</v>
      </c>
      <c r="N114" s="658">
        <f t="shared" si="50"/>
        <v>3.3395176252319192E-2</v>
      </c>
      <c r="O114" s="659" t="str">
        <f t="shared" si="51"/>
        <v>27.85</v>
      </c>
      <c r="P114" s="660">
        <f t="shared" si="52"/>
        <v>61431.529972149998</v>
      </c>
      <c r="Q114" s="660">
        <f t="shared" si="53"/>
        <v>13732.138638599999</v>
      </c>
      <c r="R114" s="660">
        <f t="shared" si="54"/>
        <v>5610.9534508348806</v>
      </c>
      <c r="S114" s="649">
        <f t="shared" si="55"/>
        <v>83799.622061584872</v>
      </c>
      <c r="T114" s="649">
        <f t="shared" si="56"/>
        <v>250</v>
      </c>
      <c r="U114" s="652">
        <f t="shared" si="57"/>
        <v>84049.622061584872</v>
      </c>
      <c r="V114" s="598" t="str">
        <f>VLOOKUP(B114,'[51]2180 Job Descriptions'!J:M,4,FALSE)</f>
        <v>PCS</v>
      </c>
      <c r="W114" s="598">
        <v>5002</v>
      </c>
      <c r="X114" s="599">
        <f t="shared" si="58"/>
        <v>2547.7320615848876</v>
      </c>
    </row>
    <row r="115" spans="1:25">
      <c r="A115" s="672"/>
      <c r="B115" s="663"/>
      <c r="C115" s="665"/>
      <c r="D115" s="657"/>
      <c r="E115" s="649"/>
      <c r="F115" s="649"/>
      <c r="G115" s="649"/>
      <c r="H115" s="650"/>
      <c r="I115" s="649"/>
      <c r="J115" s="649"/>
      <c r="K115" s="649"/>
      <c r="L115" s="649"/>
      <c r="M115" s="649"/>
      <c r="N115" s="649"/>
      <c r="O115" s="651"/>
      <c r="P115" s="649"/>
      <c r="Q115" s="649"/>
      <c r="R115" s="649"/>
      <c r="S115" s="649"/>
      <c r="T115" s="649"/>
      <c r="U115" s="652"/>
    </row>
    <row r="116" spans="1:25">
      <c r="A116" s="655"/>
      <c r="B116" s="663"/>
      <c r="C116" s="665" t="str">
        <f>CONCATENATE("TOTAL ",A99)</f>
        <v>TOTAL Commercial Garbage</v>
      </c>
      <c r="D116" s="657"/>
      <c r="E116" s="666">
        <f t="shared" ref="E116:T116" si="59">+SUM(E100:E115)</f>
        <v>29842.913327999995</v>
      </c>
      <c r="F116" s="666">
        <f t="shared" si="59"/>
        <v>795824.53999999992</v>
      </c>
      <c r="G116" s="666">
        <f t="shared" si="59"/>
        <v>3566.1999889999993</v>
      </c>
      <c r="H116" s="666">
        <f t="shared" si="59"/>
        <v>143650.26</v>
      </c>
      <c r="I116" s="666">
        <f t="shared" si="59"/>
        <v>939474.8</v>
      </c>
      <c r="J116" s="666">
        <f t="shared" si="59"/>
        <v>25274.999999999971</v>
      </c>
      <c r="K116" s="666">
        <f t="shared" si="59"/>
        <v>32134.930000000004</v>
      </c>
      <c r="L116" s="666">
        <f t="shared" si="59"/>
        <v>996884.72999999986</v>
      </c>
      <c r="M116" s="666">
        <f t="shared" si="59"/>
        <v>403.24999999999989</v>
      </c>
      <c r="N116" s="666">
        <f t="shared" si="59"/>
        <v>0.54075019392938595</v>
      </c>
      <c r="O116" s="666">
        <f t="shared" si="59"/>
        <v>0</v>
      </c>
      <c r="P116" s="666">
        <f t="shared" si="59"/>
        <v>831125.13618479995</v>
      </c>
      <c r="Q116" s="666">
        <f t="shared" si="59"/>
        <v>148978.004540475</v>
      </c>
      <c r="R116" s="666">
        <f t="shared" si="59"/>
        <v>33208.081651205939</v>
      </c>
      <c r="S116" s="666">
        <f t="shared" si="59"/>
        <v>1038586.222376481</v>
      </c>
      <c r="T116" s="666">
        <f t="shared" si="59"/>
        <v>3750</v>
      </c>
      <c r="U116" s="667">
        <f>+SUM(U100:U115)</f>
        <v>1042336.222376481</v>
      </c>
      <c r="X116" s="667">
        <f>+SUM(X100:X115)</f>
        <v>45451.492376481074</v>
      </c>
      <c r="Y116" s="668"/>
    </row>
    <row r="117" spans="1:25">
      <c r="A117" s="672"/>
      <c r="B117" s="663"/>
      <c r="C117" s="665"/>
      <c r="D117" s="657"/>
      <c r="E117" s="649"/>
      <c r="F117" s="649"/>
      <c r="G117" s="649"/>
      <c r="H117" s="650"/>
      <c r="I117" s="649"/>
      <c r="J117" s="649"/>
      <c r="K117" s="649"/>
      <c r="L117" s="649"/>
      <c r="M117" s="649"/>
      <c r="N117" s="649"/>
      <c r="O117" s="651"/>
      <c r="P117" s="649"/>
      <c r="Q117" s="649"/>
      <c r="R117" s="649"/>
      <c r="S117" s="649"/>
      <c r="T117" s="649"/>
      <c r="U117" s="652"/>
    </row>
    <row r="118" spans="1:25">
      <c r="A118" s="645" t="s">
        <v>1443</v>
      </c>
      <c r="B118" s="646"/>
      <c r="C118" s="671"/>
      <c r="D118" s="648"/>
      <c r="E118" s="649"/>
      <c r="F118" s="649"/>
      <c r="G118" s="649"/>
      <c r="H118" s="650"/>
      <c r="I118" s="649"/>
      <c r="J118" s="649"/>
      <c r="K118" s="649"/>
      <c r="L118" s="649"/>
      <c r="M118" s="649"/>
      <c r="N118" s="649"/>
      <c r="O118" s="651"/>
      <c r="P118" s="649"/>
      <c r="Q118" s="649"/>
      <c r="R118" s="649"/>
      <c r="S118" s="649"/>
      <c r="T118" s="649"/>
      <c r="U118" s="652"/>
    </row>
    <row r="119" spans="1:25">
      <c r="A119" s="655">
        <v>2180</v>
      </c>
      <c r="B119" s="577" t="s">
        <v>1444</v>
      </c>
      <c r="C119" s="656" t="s">
        <v>1445</v>
      </c>
      <c r="D119" s="657" t="str">
        <f>VLOOKUP(B119,'[51]2180 Job Descriptions'!E:G,3,FALSE)</f>
        <v>Transfer Tractor</v>
      </c>
      <c r="E119" s="649">
        <f>+VLOOKUP($B119,'[51]Payroll Report Pivot'!$O:$Q,3,FALSE)</f>
        <v>2101.7666680000002</v>
      </c>
      <c r="F119" s="650">
        <f>+VLOOKUP($B119,'[51]Payroll Report Pivot'!$O:$R,4,FALSE)</f>
        <v>55933.409999999996</v>
      </c>
      <c r="G119" s="649">
        <f>+VLOOKUP(B119,'[51]Payroll Report Pivot'!$Y:$AA,3,FALSE)</f>
        <v>364.93332500000002</v>
      </c>
      <c r="H119" s="650">
        <f>+VLOOKUP($B119,'[51]Payroll Report Pivot'!$Y:$AB,4,FALSE)</f>
        <v>14860.709999999997</v>
      </c>
      <c r="I119" s="650">
        <f t="shared" ref="I119:I121" si="60">+F119+H119</f>
        <v>70794.12</v>
      </c>
      <c r="J119" s="649">
        <f>+IFERROR(VLOOKUP(B119,'[51]Payroll Report Pivot'!$AH:$AJ,3,FALSE),0)</f>
        <v>3024.9999999999964</v>
      </c>
      <c r="K119" s="649">
        <f>IFERROR(VLOOKUP(B119,'[51]Payroll Report Pivot'!$AP:$AR,3,FALSE),0)</f>
        <v>3666.39</v>
      </c>
      <c r="L119" s="649">
        <f t="shared" ref="L119:L121" si="61">+K119+J119+I119</f>
        <v>77485.509999999995</v>
      </c>
      <c r="M119" s="650">
        <f>+VLOOKUP(B119,'[51]Payroll Report Pivot'!$E:$H,4,FALSE)</f>
        <v>26.95</v>
      </c>
      <c r="N119" s="658">
        <f>IF(V119="pcs",(27.85-M119)/M119,2.5%)</f>
        <v>3.3395176252319192E-2</v>
      </c>
      <c r="O119" s="659" t="str">
        <f>IF(V119="PCS","27.85",M119*(1+N119))</f>
        <v>27.85</v>
      </c>
      <c r="P119" s="660">
        <f t="shared" ref="P119:P121" si="62">+O119*E119</f>
        <v>58534.201703800012</v>
      </c>
      <c r="Q119" s="660">
        <f t="shared" ref="Q119:Q121" si="63">+O119*G119*1.5</f>
        <v>15245.089651875001</v>
      </c>
      <c r="R119" s="660">
        <f t="shared" ref="R119:R121" si="64">+K119*(1+N119)</f>
        <v>3788.8297402597404</v>
      </c>
      <c r="S119" s="649">
        <f t="shared" ref="S119:S121" si="65">SUM(P119:R119)+J119</f>
        <v>80593.121095934752</v>
      </c>
      <c r="T119" s="649">
        <f t="shared" ref="T119:T121" si="66">+IF(V119="PCS",250,0)</f>
        <v>250</v>
      </c>
      <c r="U119" s="652">
        <f t="shared" ref="U119:U121" si="67">+S119+T119</f>
        <v>80843.121095934752</v>
      </c>
      <c r="V119" s="598" t="str">
        <f>VLOOKUP(B119,'[51]2180 Job Descriptions'!J:M,4,FALSE)</f>
        <v>PCS</v>
      </c>
      <c r="W119" s="598">
        <v>5002</v>
      </c>
      <c r="X119" s="599">
        <f t="shared" ref="X119:X121" si="68">U119-L119</f>
        <v>3357.611095934757</v>
      </c>
    </row>
    <row r="120" spans="1:25">
      <c r="A120" s="655">
        <v>2180</v>
      </c>
      <c r="B120" s="577" t="s">
        <v>1446</v>
      </c>
      <c r="C120" s="656" t="s">
        <v>1447</v>
      </c>
      <c r="D120" s="657" t="str">
        <f>VLOOKUP(B120,'[51]2180 Job Descriptions'!E:G,3,FALSE)</f>
        <v>Transfer Tractor</v>
      </c>
      <c r="E120" s="649">
        <f>+VLOOKUP($B120,'[51]Payroll Report Pivot'!$O:$Q,3,FALSE)</f>
        <v>2075.0666639999999</v>
      </c>
      <c r="F120" s="650">
        <f>+VLOOKUP($B120,'[51]Payroll Report Pivot'!$O:$R,4,FALSE)</f>
        <v>55432.23</v>
      </c>
      <c r="G120" s="649">
        <f>+VLOOKUP(B120,'[51]Payroll Report Pivot'!$Y:$AA,3,FALSE)</f>
        <v>317.43333700000005</v>
      </c>
      <c r="H120" s="650">
        <f>+VLOOKUP($B120,'[51]Payroll Report Pivot'!$Y:$AB,4,FALSE)</f>
        <v>12888.099999999995</v>
      </c>
      <c r="I120" s="650">
        <f t="shared" si="60"/>
        <v>68320.33</v>
      </c>
      <c r="J120" s="649">
        <f>+IFERROR(VLOOKUP(B120,'[51]Payroll Report Pivot'!$AH:$AJ,3,FALSE),0)</f>
        <v>3024.9999999999941</v>
      </c>
      <c r="K120" s="649">
        <f>IFERROR(VLOOKUP(B120,'[51]Payroll Report Pivot'!$AP:$AR,3,FALSE),0)</f>
        <v>1141.23</v>
      </c>
      <c r="L120" s="649">
        <f t="shared" si="61"/>
        <v>72486.559999999998</v>
      </c>
      <c r="M120" s="650">
        <f>+VLOOKUP(B120,'[51]Payroll Report Pivot'!$E:$H,4,FALSE)</f>
        <v>26.95</v>
      </c>
      <c r="N120" s="658">
        <f>IF(V120="pcs",(27.85-M120)/M120,2.5%)</f>
        <v>3.3395176252319192E-2</v>
      </c>
      <c r="O120" s="659" t="str">
        <f>IF(V120="PCS","27.85",M120*(1+N120))</f>
        <v>27.85</v>
      </c>
      <c r="P120" s="660">
        <f t="shared" si="62"/>
        <v>57790.606592399999</v>
      </c>
      <c r="Q120" s="660">
        <f t="shared" si="63"/>
        <v>13260.777653175002</v>
      </c>
      <c r="R120" s="660">
        <f t="shared" si="64"/>
        <v>1179.3415769944343</v>
      </c>
      <c r="S120" s="649">
        <f t="shared" si="65"/>
        <v>75255.725822569439</v>
      </c>
      <c r="T120" s="649">
        <f t="shared" si="66"/>
        <v>250</v>
      </c>
      <c r="U120" s="652">
        <f t="shared" si="67"/>
        <v>75505.725822569439</v>
      </c>
      <c r="V120" s="598" t="str">
        <f>VLOOKUP(B120,'[51]2180 Job Descriptions'!J:M,4,FALSE)</f>
        <v>PCS</v>
      </c>
      <c r="W120" s="598">
        <v>5002</v>
      </c>
      <c r="X120" s="599">
        <f t="shared" si="68"/>
        <v>3019.1658225694409</v>
      </c>
    </row>
    <row r="121" spans="1:25">
      <c r="A121" s="655">
        <v>2180</v>
      </c>
      <c r="B121" s="661" t="s">
        <v>1448</v>
      </c>
      <c r="C121" s="662" t="s">
        <v>1449</v>
      </c>
      <c r="D121" s="657" t="str">
        <f>VLOOKUP(B121,'[51]2180 Job Descriptions'!E:G,3,FALSE)</f>
        <v>Transfer Tractor</v>
      </c>
      <c r="E121" s="649">
        <f>+VLOOKUP($B121,'[51]Payroll Report Pivot'!$O:$Q,3,FALSE)</f>
        <v>2063.796668</v>
      </c>
      <c r="F121" s="650">
        <f>+VLOOKUP($B121,'[51]Payroll Report Pivot'!$O:$R,4,FALSE)</f>
        <v>55153.46</v>
      </c>
      <c r="G121" s="649">
        <f>+VLOOKUP(B121,'[51]Payroll Report Pivot'!$Y:$AA,3,FALSE)</f>
        <v>209.60000200000002</v>
      </c>
      <c r="H121" s="650">
        <f>+VLOOKUP($B121,'[51]Payroll Report Pivot'!$Y:$AB,4,FALSE)</f>
        <v>8386.4500000000007</v>
      </c>
      <c r="I121" s="650">
        <f t="shared" si="60"/>
        <v>63539.91</v>
      </c>
      <c r="J121" s="649">
        <f>+IFERROR(VLOOKUP(B121,'[51]Payroll Report Pivot'!$AH:$AJ,3,FALSE),0)</f>
        <v>1175.0000000000005</v>
      </c>
      <c r="K121" s="649">
        <f>IFERROR(VLOOKUP(B121,'[51]Payroll Report Pivot'!$AP:$AR,3,FALSE),0)</f>
        <v>0</v>
      </c>
      <c r="L121" s="649">
        <f t="shared" si="61"/>
        <v>64714.91</v>
      </c>
      <c r="M121" s="650">
        <f>+VLOOKUP(B121,'[51]Payroll Report Pivot'!$E:$H,4,FALSE)</f>
        <v>26.95</v>
      </c>
      <c r="N121" s="658">
        <f>IF(V121="pcs",(27.85-M121)/M121,2.5%)</f>
        <v>3.3395176252319192E-2</v>
      </c>
      <c r="O121" s="659" t="str">
        <f>IF(V121="PCS","27.85",M121*(1+N121))</f>
        <v>27.85</v>
      </c>
      <c r="P121" s="660">
        <f t="shared" si="62"/>
        <v>57476.737203800003</v>
      </c>
      <c r="Q121" s="660">
        <f t="shared" si="63"/>
        <v>8756.0400835500004</v>
      </c>
      <c r="R121" s="660">
        <f t="shared" si="64"/>
        <v>0</v>
      </c>
      <c r="S121" s="649">
        <f t="shared" si="65"/>
        <v>67407.777287350007</v>
      </c>
      <c r="T121" s="649">
        <f t="shared" si="66"/>
        <v>250</v>
      </c>
      <c r="U121" s="652">
        <f t="shared" si="67"/>
        <v>67657.777287350007</v>
      </c>
      <c r="V121" s="598" t="str">
        <f>VLOOKUP(B121,'[51]2180 Job Descriptions'!J:M,4,FALSE)</f>
        <v>PCS</v>
      </c>
      <c r="W121" s="598">
        <v>5002</v>
      </c>
      <c r="X121" s="599">
        <f t="shared" si="68"/>
        <v>2942.8672873500036</v>
      </c>
    </row>
    <row r="122" spans="1:25">
      <c r="A122" s="655"/>
      <c r="B122" s="663"/>
      <c r="C122" s="665"/>
      <c r="D122" s="657"/>
      <c r="E122" s="649"/>
      <c r="F122" s="649"/>
      <c r="G122" s="649"/>
      <c r="H122" s="650"/>
      <c r="I122" s="649"/>
      <c r="J122" s="649"/>
      <c r="K122" s="649"/>
      <c r="L122" s="649"/>
      <c r="M122" s="649"/>
      <c r="N122" s="649"/>
      <c r="O122" s="651"/>
      <c r="P122" s="649"/>
      <c r="Q122" s="649"/>
      <c r="R122" s="649"/>
      <c r="S122" s="649"/>
      <c r="T122" s="649"/>
      <c r="U122" s="652"/>
    </row>
    <row r="123" spans="1:25">
      <c r="A123" s="655"/>
      <c r="B123" s="663"/>
      <c r="C123" s="665" t="str">
        <f>CONCATENATE("TOTAL ",A118)</f>
        <v>TOTAL Transfer Tractor Drivers</v>
      </c>
      <c r="D123" s="657"/>
      <c r="E123" s="666">
        <f t="shared" ref="E123:L123" si="69">+SUM(E119:E122)</f>
        <v>6240.63</v>
      </c>
      <c r="F123" s="666">
        <f t="shared" si="69"/>
        <v>166519.1</v>
      </c>
      <c r="G123" s="666">
        <f t="shared" si="69"/>
        <v>891.96666400000015</v>
      </c>
      <c r="H123" s="666">
        <f t="shared" si="69"/>
        <v>36135.259999999995</v>
      </c>
      <c r="I123" s="666">
        <f t="shared" si="69"/>
        <v>202654.36000000002</v>
      </c>
      <c r="J123" s="666">
        <f t="shared" si="69"/>
        <v>7224.9999999999909</v>
      </c>
      <c r="K123" s="666">
        <f t="shared" si="69"/>
        <v>4807.62</v>
      </c>
      <c r="L123" s="666">
        <f t="shared" si="69"/>
        <v>214686.98</v>
      </c>
      <c r="M123" s="666">
        <f>+SUM(M119:M122)</f>
        <v>80.849999999999994</v>
      </c>
      <c r="N123" s="666">
        <f t="shared" ref="N123:T123" si="70">+SUM(N119:N122)</f>
        <v>0.10018552875695758</v>
      </c>
      <c r="O123" s="666">
        <f t="shared" si="70"/>
        <v>0</v>
      </c>
      <c r="P123" s="666">
        <f t="shared" si="70"/>
        <v>173801.54550000001</v>
      </c>
      <c r="Q123" s="666">
        <f t="shared" si="70"/>
        <v>37261.907388600004</v>
      </c>
      <c r="R123" s="666">
        <f t="shared" si="70"/>
        <v>4968.1713172541749</v>
      </c>
      <c r="S123" s="666">
        <f t="shared" si="70"/>
        <v>223256.6242058542</v>
      </c>
      <c r="T123" s="666">
        <f t="shared" si="70"/>
        <v>750</v>
      </c>
      <c r="U123" s="667">
        <f>+SUM(U119:U122)</f>
        <v>224006.6242058542</v>
      </c>
      <c r="X123" s="667">
        <f>+SUM(X119:X122)</f>
        <v>9319.6442058542016</v>
      </c>
      <c r="Y123" s="668"/>
    </row>
    <row r="124" spans="1:25">
      <c r="A124" s="655"/>
      <c r="B124" s="676"/>
      <c r="C124" s="677"/>
      <c r="D124" s="657"/>
      <c r="E124" s="649"/>
      <c r="F124" s="649"/>
      <c r="G124" s="649"/>
      <c r="H124" s="650"/>
      <c r="I124" s="649"/>
      <c r="J124" s="649"/>
      <c r="K124" s="649"/>
      <c r="L124" s="649"/>
      <c r="M124" s="649"/>
      <c r="N124" s="649"/>
      <c r="O124" s="651"/>
      <c r="P124" s="649"/>
      <c r="Q124" s="649"/>
      <c r="R124" s="649"/>
      <c r="S124" s="649"/>
      <c r="T124" s="649"/>
      <c r="U124" s="652"/>
    </row>
    <row r="125" spans="1:25">
      <c r="A125" s="645" t="s">
        <v>1450</v>
      </c>
      <c r="B125" s="646"/>
      <c r="C125" s="671"/>
      <c r="D125" s="648"/>
      <c r="E125" s="649"/>
      <c r="F125" s="649"/>
      <c r="G125" s="649"/>
      <c r="H125" s="650"/>
      <c r="I125" s="649"/>
      <c r="J125" s="649"/>
      <c r="K125" s="649"/>
      <c r="L125" s="649"/>
      <c r="M125" s="649"/>
      <c r="N125" s="649"/>
      <c r="O125" s="651"/>
      <c r="P125" s="649"/>
      <c r="Q125" s="649"/>
      <c r="R125" s="649"/>
      <c r="S125" s="649"/>
      <c r="T125" s="649"/>
      <c r="U125" s="652"/>
    </row>
    <row r="126" spans="1:25">
      <c r="A126" s="655">
        <v>2180</v>
      </c>
      <c r="B126" s="577" t="s">
        <v>1451</v>
      </c>
      <c r="C126" s="656" t="s">
        <v>1452</v>
      </c>
      <c r="D126" s="657" t="str">
        <f>VLOOKUP(B126,'[51]2180 Job Descriptions'!E:G,3,FALSE)</f>
        <v>Transfer Station Worker</v>
      </c>
      <c r="E126" s="649">
        <f>+VLOOKUP($B126,'[51]Payroll Report Pivot'!$O:$Q,3,FALSE)</f>
        <v>340.86666600000001</v>
      </c>
      <c r="F126" s="650">
        <f>+VLOOKUP($B126,'[51]Payroll Report Pivot'!$O:$R,4,FALSE)</f>
        <v>6817.34</v>
      </c>
      <c r="G126" s="649">
        <f>IFERROR(VLOOKUP(B126,'[51]Payroll Report Pivot'!$Y:$AA,3,FALSE),0)</f>
        <v>36.016664999999996</v>
      </c>
      <c r="H126" s="650">
        <f>IFERROR(VLOOKUP($B126,'[51]Payroll Report Pivot'!$Y:$AB,4,FALSE),0)</f>
        <v>1083.8399999999999</v>
      </c>
      <c r="I126" s="650">
        <f t="shared" ref="I126:I130" si="71">+F126+H126</f>
        <v>7901.18</v>
      </c>
      <c r="J126" s="649">
        <f>+IFERROR(VLOOKUP(B126,'[51]Payroll Report Pivot'!$AH:$AJ,3,FALSE),0)</f>
        <v>88.4</v>
      </c>
      <c r="K126" s="649">
        <f>IFERROR(VLOOKUP(B126,'[51]Payroll Report Pivot'!$AP:$AR,3,FALSE),0)</f>
        <v>0</v>
      </c>
      <c r="L126" s="649">
        <f t="shared" ref="L126:L130" si="72">+K126+J126+I126</f>
        <v>7989.58</v>
      </c>
      <c r="M126" s="650">
        <f>+VLOOKUP(B126,'[51]Payroll Report Pivot'!$E:$H,4,FALSE)</f>
        <v>20</v>
      </c>
      <c r="N126" s="658">
        <f>IF(V126="pcs",(27.85-M126)/M126,2.5%)</f>
        <v>2.5000000000000001E-2</v>
      </c>
      <c r="O126" s="659">
        <f>IF(V126="PCS","27.85",M126*(1+N126))</f>
        <v>20.5</v>
      </c>
      <c r="P126" s="660">
        <f t="shared" ref="P126:P130" si="73">+O126*E126</f>
        <v>6987.7666530000006</v>
      </c>
      <c r="Q126" s="660">
        <f t="shared" ref="Q126:Q130" si="74">+O126*G126*1.5</f>
        <v>1107.51244875</v>
      </c>
      <c r="R126" s="660">
        <f t="shared" ref="R126:R130" si="75">+K126*(1+N126)</f>
        <v>0</v>
      </c>
      <c r="S126" s="649">
        <f t="shared" ref="S126:S130" si="76">SUM(P126:R126)+J126</f>
        <v>8183.67910175</v>
      </c>
      <c r="T126" s="649">
        <f t="shared" ref="T126:T130" si="77">+IF(V126="PCS",250,0)</f>
        <v>0</v>
      </c>
      <c r="U126" s="652">
        <f t="shared" ref="U126:U130" si="78">+S126+T126</f>
        <v>8183.67910175</v>
      </c>
      <c r="V126" s="598" t="str">
        <f>VLOOKUP(B126,'[51]2180 Job Descriptions'!J:M,4,FALSE)</f>
        <v>NONU</v>
      </c>
      <c r="W126" s="598">
        <v>5002</v>
      </c>
      <c r="X126" s="599">
        <f t="shared" ref="X126:X130" si="79">U126-L126</f>
        <v>194.09910175000005</v>
      </c>
    </row>
    <row r="127" spans="1:25">
      <c r="A127" s="655">
        <v>2180</v>
      </c>
      <c r="B127" s="577" t="s">
        <v>1453</v>
      </c>
      <c r="C127" s="656" t="s">
        <v>1454</v>
      </c>
      <c r="D127" s="657" t="str">
        <f>VLOOKUP(B127,'[51]2180 Job Descriptions'!E:G,3,FALSE)</f>
        <v>Transfer Station Worker</v>
      </c>
      <c r="E127" s="649">
        <f>+VLOOKUP($B127,'[51]Payroll Report Pivot'!$O:$Q,3,FALSE)</f>
        <v>472.56666799999994</v>
      </c>
      <c r="F127" s="650">
        <f>+VLOOKUP($B127,'[51]Payroll Report Pivot'!$O:$R,4,FALSE)</f>
        <v>9451.34</v>
      </c>
      <c r="G127" s="649">
        <f>IFERROR(VLOOKUP(B127,'[51]Payroll Report Pivot'!$Y:$AA,3,FALSE),0)</f>
        <v>48.500002000000009</v>
      </c>
      <c r="H127" s="650">
        <f>IFERROR(VLOOKUP($B127,'[51]Payroll Report Pivot'!$Y:$AB,4,FALSE),0)</f>
        <v>1455.08</v>
      </c>
      <c r="I127" s="650">
        <f t="shared" si="71"/>
        <v>10906.42</v>
      </c>
      <c r="J127" s="649">
        <f>+IFERROR(VLOOKUP(B127,'[51]Payroll Report Pivot'!$AH:$AJ,3,FALSE),0)</f>
        <v>0</v>
      </c>
      <c r="K127" s="649">
        <f>IFERROR(VLOOKUP(B127,'[51]Payroll Report Pivot'!$AP:$AR,3,FALSE),0)</f>
        <v>0</v>
      </c>
      <c r="L127" s="649">
        <f t="shared" si="72"/>
        <v>10906.42</v>
      </c>
      <c r="M127" s="650">
        <f>+VLOOKUP(B127,'[51]Payroll Report Pivot'!$E:$H,4,FALSE)</f>
        <v>20</v>
      </c>
      <c r="N127" s="658">
        <f>IF(V127="pcs",(27.85-M127)/M127,2.5%)</f>
        <v>2.5000000000000001E-2</v>
      </c>
      <c r="O127" s="659">
        <f>IF(V127="PCS","27.85",M127*(1+N127))</f>
        <v>20.5</v>
      </c>
      <c r="P127" s="660">
        <f t="shared" si="73"/>
        <v>9687.6166939999985</v>
      </c>
      <c r="Q127" s="660">
        <f t="shared" si="74"/>
        <v>1491.3750615000004</v>
      </c>
      <c r="R127" s="660">
        <f t="shared" si="75"/>
        <v>0</v>
      </c>
      <c r="S127" s="649">
        <f t="shared" si="76"/>
        <v>11178.991755499999</v>
      </c>
      <c r="T127" s="649">
        <f t="shared" si="77"/>
        <v>0</v>
      </c>
      <c r="U127" s="652">
        <f t="shared" si="78"/>
        <v>11178.991755499999</v>
      </c>
      <c r="V127" s="598" t="str">
        <f>VLOOKUP(B127,'[51]2180 Job Descriptions'!J:M,4,FALSE)</f>
        <v>NONU</v>
      </c>
      <c r="W127" s="598">
        <v>5002</v>
      </c>
      <c r="X127" s="599">
        <f t="shared" si="79"/>
        <v>272.5717554999992</v>
      </c>
    </row>
    <row r="128" spans="1:25">
      <c r="A128" s="655">
        <v>2180</v>
      </c>
      <c r="B128" s="577" t="s">
        <v>1455</v>
      </c>
      <c r="C128" s="656" t="s">
        <v>1456</v>
      </c>
      <c r="D128" s="657" t="str">
        <f>VLOOKUP(B128,'[51]2180 Job Descriptions'!E:G,3,FALSE)</f>
        <v>Transfer Station Worker</v>
      </c>
      <c r="E128" s="649">
        <f>+VLOOKUP($B128,'[51]Payroll Report Pivot'!$O:$Q,3,FALSE)</f>
        <v>2060.9833339999996</v>
      </c>
      <c r="F128" s="650">
        <f>+VLOOKUP($B128,'[51]Payroll Report Pivot'!$O:$R,4,FALSE)</f>
        <v>50799.149999999965</v>
      </c>
      <c r="G128" s="649">
        <f>IFERROR(VLOOKUP(B128,'[51]Payroll Report Pivot'!$Y:$AA,3,FALSE),0)</f>
        <v>245.88333299999999</v>
      </c>
      <c r="H128" s="650">
        <f>IFERROR(VLOOKUP($B128,'[51]Payroll Report Pivot'!$Y:$AB,4,FALSE),0)</f>
        <v>9194.3099999999904</v>
      </c>
      <c r="I128" s="650">
        <f t="shared" si="71"/>
        <v>59993.459999999955</v>
      </c>
      <c r="J128" s="649">
        <f>+IFERROR(VLOOKUP(B128,'[51]Payroll Report Pivot'!$AH:$AJ,3,FALSE),0)</f>
        <v>3049.9999999999941</v>
      </c>
      <c r="K128" s="649">
        <f>IFERROR(VLOOKUP(B128,'[51]Payroll Report Pivot'!$AP:$AR,3,FALSE),0)</f>
        <v>381.28</v>
      </c>
      <c r="L128" s="649">
        <f t="shared" si="72"/>
        <v>63424.739999999947</v>
      </c>
      <c r="M128" s="650">
        <f>+VLOOKUP(B128,'[51]Payroll Report Pivot'!$E:$H,4,FALSE)</f>
        <v>24.43</v>
      </c>
      <c r="N128" s="658">
        <f>IF(V128="pcs",(27.85-M128)/M128,2.5%)</f>
        <v>2.5000000000000001E-2</v>
      </c>
      <c r="O128" s="659">
        <f>IF(V128="PCS","27.85",M128*(1+N128))</f>
        <v>25.040749999999999</v>
      </c>
      <c r="P128" s="660">
        <f t="shared" si="73"/>
        <v>51608.568420860487</v>
      </c>
      <c r="Q128" s="660">
        <f t="shared" si="74"/>
        <v>9235.6546062296238</v>
      </c>
      <c r="R128" s="660">
        <f t="shared" si="75"/>
        <v>390.81199999999995</v>
      </c>
      <c r="S128" s="649">
        <f t="shared" si="76"/>
        <v>64285.035027090104</v>
      </c>
      <c r="T128" s="649">
        <f t="shared" si="77"/>
        <v>0</v>
      </c>
      <c r="U128" s="652">
        <f t="shared" si="78"/>
        <v>64285.035027090104</v>
      </c>
      <c r="V128" s="598" t="str">
        <f>VLOOKUP(B128,'[51]2180 Job Descriptions'!J:M,4,FALSE)</f>
        <v>NONU</v>
      </c>
      <c r="W128" s="598">
        <v>5002</v>
      </c>
      <c r="X128" s="599">
        <f t="shared" si="79"/>
        <v>860.29502709015651</v>
      </c>
    </row>
    <row r="129" spans="1:25">
      <c r="A129" s="655">
        <v>2180</v>
      </c>
      <c r="B129" s="577" t="s">
        <v>1457</v>
      </c>
      <c r="C129" s="656" t="s">
        <v>1458</v>
      </c>
      <c r="D129" s="657" t="str">
        <f>VLOOKUP(B129,'[51]2180 Job Descriptions'!E:G,3,FALSE)</f>
        <v>Transfer Station Worker</v>
      </c>
      <c r="E129" s="649">
        <f>+VLOOKUP($B129,'[51]Payroll Report Pivot'!$O:$Q,3,FALSE)</f>
        <v>2069.3333339999999</v>
      </c>
      <c r="F129" s="650">
        <f>+VLOOKUP($B129,'[51]Payroll Report Pivot'!$O:$R,4,FALSE)</f>
        <v>37295.26999999996</v>
      </c>
      <c r="G129" s="649">
        <f>IFERROR(VLOOKUP(B129,'[51]Payroll Report Pivot'!$Y:$AA,3,FALSE),0)</f>
        <v>216.98333200000005</v>
      </c>
      <c r="H129" s="650">
        <f>IFERROR(VLOOKUP($B129,'[51]Payroll Report Pivot'!$Y:$AB,4,FALSE),0)</f>
        <v>6045.0599999999977</v>
      </c>
      <c r="I129" s="650">
        <f t="shared" si="71"/>
        <v>43340.329999999958</v>
      </c>
      <c r="J129" s="649">
        <f>+IFERROR(VLOOKUP(B129,'[51]Payroll Report Pivot'!$AH:$AJ,3,FALSE),0)</f>
        <v>3380.3699999999917</v>
      </c>
      <c r="K129" s="649">
        <f>IFERROR(VLOOKUP(B129,'[51]Payroll Report Pivot'!$AP:$AR,3,FALSE),0)</f>
        <v>0</v>
      </c>
      <c r="L129" s="649">
        <f t="shared" si="72"/>
        <v>46720.699999999953</v>
      </c>
      <c r="M129" s="650">
        <f>+VLOOKUP(B129,'[51]Payroll Report Pivot'!$E:$H,4,FALSE)</f>
        <v>17.87</v>
      </c>
      <c r="N129" s="658">
        <f>IF(V129="pcs",(27.85-M129)/M129,2.5%)</f>
        <v>2.5000000000000001E-2</v>
      </c>
      <c r="O129" s="659">
        <f>IF(V129="PCS","27.85",M129*(1+N129))</f>
        <v>18.316749999999999</v>
      </c>
      <c r="P129" s="660">
        <f t="shared" si="73"/>
        <v>37903.4613455445</v>
      </c>
      <c r="Q129" s="660">
        <f t="shared" si="74"/>
        <v>5961.6441696165011</v>
      </c>
      <c r="R129" s="660">
        <f t="shared" si="75"/>
        <v>0</v>
      </c>
      <c r="S129" s="649">
        <f t="shared" si="76"/>
        <v>47245.475515160986</v>
      </c>
      <c r="T129" s="649">
        <f t="shared" si="77"/>
        <v>0</v>
      </c>
      <c r="U129" s="652">
        <f t="shared" si="78"/>
        <v>47245.475515160986</v>
      </c>
      <c r="V129" s="598" t="str">
        <f>VLOOKUP(B129,'[51]2180 Job Descriptions'!J:M,4,FALSE)</f>
        <v>NONU</v>
      </c>
      <c r="W129" s="598">
        <v>5002</v>
      </c>
      <c r="X129" s="599">
        <f t="shared" si="79"/>
        <v>524.77551516103267</v>
      </c>
    </row>
    <row r="130" spans="1:25">
      <c r="A130" s="655">
        <v>2180</v>
      </c>
      <c r="B130" s="661" t="s">
        <v>1459</v>
      </c>
      <c r="C130" s="662" t="s">
        <v>1460</v>
      </c>
      <c r="D130" s="657" t="str">
        <f>VLOOKUP(B130,'[51]2180 Job Descriptions'!E:G,3,FALSE)</f>
        <v>Transfer Station Worker</v>
      </c>
      <c r="E130" s="649">
        <f>+VLOOKUP($B130,'[51]Payroll Report Pivot'!$O:$Q,3,FALSE)</f>
        <v>11</v>
      </c>
      <c r="F130" s="650">
        <f>+VLOOKUP($B130,'[51]Payroll Report Pivot'!$O:$R,4,FALSE)</f>
        <v>242</v>
      </c>
      <c r="G130" s="649">
        <f>IFERROR(VLOOKUP(B130,'[51]Payroll Report Pivot'!$Y:$AA,3,FALSE),0)</f>
        <v>0</v>
      </c>
      <c r="H130" s="650">
        <f>IFERROR(VLOOKUP($B130,'[51]Payroll Report Pivot'!$Y:$AB,4,FALSE),0)</f>
        <v>0</v>
      </c>
      <c r="I130" s="650">
        <f t="shared" si="71"/>
        <v>242</v>
      </c>
      <c r="J130" s="649">
        <f>+IFERROR(VLOOKUP(B130,'[51]Payroll Report Pivot'!$AH:$AJ,3,FALSE),0)</f>
        <v>0</v>
      </c>
      <c r="K130" s="649">
        <f>IFERROR(VLOOKUP(B130,'[51]Payroll Report Pivot'!$AP:$AR,3,FALSE),0)</f>
        <v>0</v>
      </c>
      <c r="L130" s="649">
        <f t="shared" si="72"/>
        <v>242</v>
      </c>
      <c r="M130" s="650">
        <f>+VLOOKUP(B130,'[51]Payroll Report Pivot'!$E:$H,4,FALSE)</f>
        <v>22</v>
      </c>
      <c r="N130" s="658">
        <f>IF(V130="pcs",(27.85-M130)/M130,2.5%)</f>
        <v>2.5000000000000001E-2</v>
      </c>
      <c r="O130" s="659">
        <f>IF(V130="PCS","27.85",M130*(1+N130))</f>
        <v>22.549999999999997</v>
      </c>
      <c r="P130" s="660">
        <f t="shared" si="73"/>
        <v>248.04999999999995</v>
      </c>
      <c r="Q130" s="660">
        <f t="shared" si="74"/>
        <v>0</v>
      </c>
      <c r="R130" s="660">
        <f t="shared" si="75"/>
        <v>0</v>
      </c>
      <c r="S130" s="649">
        <f t="shared" si="76"/>
        <v>248.04999999999995</v>
      </c>
      <c r="T130" s="649">
        <f t="shared" si="77"/>
        <v>0</v>
      </c>
      <c r="U130" s="652">
        <f t="shared" si="78"/>
        <v>248.04999999999995</v>
      </c>
      <c r="V130" s="598" t="str">
        <f>VLOOKUP(B130,'[51]2180 Job Descriptions'!J:M,4,FALSE)</f>
        <v>NONU</v>
      </c>
      <c r="W130" s="598">
        <v>5002</v>
      </c>
      <c r="X130" s="599">
        <f t="shared" si="79"/>
        <v>6.0499999999999545</v>
      </c>
    </row>
    <row r="131" spans="1:25">
      <c r="A131" s="655"/>
      <c r="B131" s="663"/>
      <c r="C131" s="665"/>
      <c r="D131" s="657"/>
      <c r="E131" s="649"/>
      <c r="F131" s="649"/>
      <c r="G131" s="649"/>
      <c r="H131" s="650"/>
      <c r="I131" s="649"/>
      <c r="J131" s="649"/>
      <c r="K131" s="649"/>
      <c r="L131" s="649"/>
      <c r="M131" s="649"/>
      <c r="N131" s="649"/>
      <c r="O131" s="651"/>
      <c r="P131" s="649"/>
      <c r="Q131" s="649"/>
      <c r="R131" s="649"/>
      <c r="S131" s="649"/>
      <c r="T131" s="649"/>
      <c r="U131" s="652"/>
    </row>
    <row r="132" spans="1:25">
      <c r="A132" s="655"/>
      <c r="B132" s="663"/>
      <c r="C132" s="665" t="str">
        <f>CONCATENATE("TOTAL ",A125)</f>
        <v>TOTAL Transfer Station Workers</v>
      </c>
      <c r="D132" s="657"/>
      <c r="E132" s="666">
        <f t="shared" ref="E132" si="80">+SUM(E126:E131)</f>
        <v>4954.7500019999989</v>
      </c>
      <c r="F132" s="666">
        <f t="shared" ref="F132" si="81">+SUM(F126:F131)</f>
        <v>104605.09999999992</v>
      </c>
      <c r="G132" s="666">
        <f t="shared" ref="G132:T132" si="82">+SUM(G126:G131)</f>
        <v>547.383332</v>
      </c>
      <c r="H132" s="666">
        <f t="shared" si="82"/>
        <v>17778.289999999986</v>
      </c>
      <c r="I132" s="666">
        <f t="shared" si="82"/>
        <v>122383.38999999991</v>
      </c>
      <c r="J132" s="666">
        <f t="shared" si="82"/>
        <v>6518.7699999999859</v>
      </c>
      <c r="K132" s="666">
        <f t="shared" si="82"/>
        <v>381.28</v>
      </c>
      <c r="L132" s="666">
        <f t="shared" si="82"/>
        <v>129283.4399999999</v>
      </c>
      <c r="M132" s="666">
        <f t="shared" si="82"/>
        <v>104.30000000000001</v>
      </c>
      <c r="N132" s="666">
        <f t="shared" si="82"/>
        <v>0.125</v>
      </c>
      <c r="O132" s="666">
        <f t="shared" si="82"/>
        <v>106.9075</v>
      </c>
      <c r="P132" s="666">
        <f t="shared" si="82"/>
        <v>106435.463113405</v>
      </c>
      <c r="Q132" s="666">
        <f t="shared" si="82"/>
        <v>17796.186286096126</v>
      </c>
      <c r="R132" s="666">
        <f t="shared" si="82"/>
        <v>390.81199999999995</v>
      </c>
      <c r="S132" s="666">
        <f t="shared" si="82"/>
        <v>131141.23139950109</v>
      </c>
      <c r="T132" s="666">
        <f t="shared" si="82"/>
        <v>0</v>
      </c>
      <c r="U132" s="667">
        <f>+SUM(U126:U131)</f>
        <v>131141.23139950109</v>
      </c>
      <c r="X132" s="667">
        <f>+SUM(X126:X131)</f>
        <v>1857.7913995011884</v>
      </c>
      <c r="Y132" s="668"/>
    </row>
    <row r="133" spans="1:25">
      <c r="A133" s="655"/>
      <c r="B133" s="676"/>
      <c r="C133" s="677"/>
      <c r="D133" s="657"/>
      <c r="E133" s="649"/>
      <c r="F133" s="649"/>
      <c r="G133" s="649"/>
      <c r="H133" s="650"/>
      <c r="I133" s="649"/>
      <c r="J133" s="649"/>
      <c r="K133" s="649"/>
      <c r="L133" s="649"/>
      <c r="M133" s="649"/>
      <c r="N133" s="649"/>
      <c r="O133" s="651"/>
      <c r="P133" s="649"/>
      <c r="Q133" s="649"/>
      <c r="R133" s="649"/>
      <c r="S133" s="649"/>
      <c r="T133" s="649"/>
      <c r="U133" s="652"/>
    </row>
    <row r="134" spans="1:25">
      <c r="A134" s="655"/>
      <c r="B134" s="676"/>
      <c r="C134" s="677"/>
      <c r="D134" s="657"/>
      <c r="E134" s="649"/>
      <c r="F134" s="649"/>
      <c r="G134" s="649"/>
      <c r="H134" s="650"/>
      <c r="I134" s="649"/>
      <c r="J134" s="649"/>
      <c r="K134" s="649"/>
      <c r="L134" s="649"/>
      <c r="M134" s="649"/>
      <c r="N134" s="649"/>
      <c r="O134" s="651"/>
      <c r="P134" s="649"/>
      <c r="Q134" s="649"/>
      <c r="R134" s="649"/>
      <c r="S134" s="649"/>
      <c r="T134" s="649"/>
      <c r="U134" s="652"/>
    </row>
    <row r="135" spans="1:25">
      <c r="A135" s="645" t="s">
        <v>296</v>
      </c>
      <c r="B135" s="646"/>
      <c r="C135" s="671"/>
      <c r="D135" s="648"/>
      <c r="E135" s="649"/>
      <c r="F135" s="649"/>
      <c r="G135" s="649"/>
      <c r="H135" s="650"/>
      <c r="I135" s="649"/>
      <c r="J135" s="649"/>
      <c r="K135" s="649"/>
      <c r="L135" s="649"/>
      <c r="M135" s="649"/>
      <c r="N135" s="649"/>
      <c r="O135" s="651"/>
      <c r="P135" s="649"/>
      <c r="Q135" s="649"/>
      <c r="R135" s="649"/>
      <c r="S135" s="649"/>
      <c r="T135" s="649"/>
      <c r="U135" s="652"/>
    </row>
    <row r="136" spans="1:25">
      <c r="A136" s="655">
        <v>2180</v>
      </c>
      <c r="B136" s="577" t="s">
        <v>1461</v>
      </c>
      <c r="C136" s="656" t="s">
        <v>1462</v>
      </c>
      <c r="D136" s="657" t="str">
        <f>VLOOKUP(B136,'[51]2180 Job Descriptions'!E:G,3,FALSE)</f>
        <v>JBLM Recy Attendant</v>
      </c>
      <c r="E136" s="649">
        <f>+VLOOKUP($B136,'[51]Payroll Report Pivot'!$O:$Q,3,FALSE)</f>
        <v>2060.8333299999999</v>
      </c>
      <c r="F136" s="650">
        <f>+VLOOKUP($B136,'[51]Payroll Report Pivot'!$O:$R,4,FALSE)</f>
        <v>37257.01</v>
      </c>
      <c r="G136" s="649">
        <f>IFERROR(VLOOKUP(B136,'[51]Payroll Report Pivot'!$Y:$AA,3,FALSE),0)</f>
        <v>89.499984999999967</v>
      </c>
      <c r="H136" s="650">
        <f>IFERROR(VLOOKUP($B136,'[51]Payroll Report Pivot'!$Y:$AB,4,FALSE),0)</f>
        <v>2443.2399999999993</v>
      </c>
      <c r="I136" s="650">
        <f t="shared" ref="I136:I143" si="83">+F136+H136</f>
        <v>39700.25</v>
      </c>
      <c r="J136" s="649">
        <f>+IFERROR(VLOOKUP(B136,'[51]Payroll Report Pivot'!$AH:$AJ,3,FALSE),0)</f>
        <v>1170.8299999999997</v>
      </c>
      <c r="K136" s="649">
        <f>IFERROR(VLOOKUP(B136,'[51]Payroll Report Pivot'!$AP:$AR,3,FALSE),0)</f>
        <v>0</v>
      </c>
      <c r="L136" s="649">
        <f t="shared" ref="L136:L143" si="84">+K136+J136+I136</f>
        <v>40871.08</v>
      </c>
      <c r="M136" s="650">
        <f>+VLOOKUP(B136,'[51]Payroll Report Pivot'!$E:$H,4,FALSE)</f>
        <v>18</v>
      </c>
      <c r="N136" s="658">
        <f t="shared" ref="N136:N143" si="85">IF(V136="pcs",(27.85-M136)/M136,2.5%)</f>
        <v>2.5000000000000001E-2</v>
      </c>
      <c r="O136" s="659">
        <f t="shared" ref="O136:O143" si="86">IF(V136="PCS","27.85",M136*(1+N136))</f>
        <v>18.45</v>
      </c>
      <c r="P136" s="660">
        <f t="shared" ref="P136:P143" si="87">+O136*E136</f>
        <v>38022.374938499997</v>
      </c>
      <c r="Q136" s="660">
        <f t="shared" ref="Q136:Q143" si="88">+O136*G136*1.5</f>
        <v>2476.912084874999</v>
      </c>
      <c r="R136" s="660">
        <f t="shared" ref="R136:R143" si="89">+K136*(1+N136)</f>
        <v>0</v>
      </c>
      <c r="S136" s="649">
        <f t="shared" ref="S136:S143" si="90">SUM(P136:R136)+J136</f>
        <v>41670.117023375002</v>
      </c>
      <c r="T136" s="649">
        <f t="shared" ref="T136:T143" si="91">+IF(V136="PCS",250,0)</f>
        <v>0</v>
      </c>
      <c r="U136" s="652">
        <f t="shared" ref="U136:U143" si="92">+S136+T136</f>
        <v>41670.117023375002</v>
      </c>
      <c r="V136" s="598" t="str">
        <f>VLOOKUP(B136,'[51]2180 Job Descriptions'!J:M,4,FALSE)</f>
        <v>NONU</v>
      </c>
      <c r="W136" s="598">
        <v>5002</v>
      </c>
      <c r="X136" s="599">
        <f t="shared" ref="X136:X143" si="93">U136-L136</f>
        <v>799.03702337499999</v>
      </c>
    </row>
    <row r="137" spans="1:25">
      <c r="A137" s="655">
        <v>2180</v>
      </c>
      <c r="B137" s="577" t="s">
        <v>1463</v>
      </c>
      <c r="C137" s="656" t="s">
        <v>1464</v>
      </c>
      <c r="D137" s="657" t="str">
        <f>VLOOKUP(B137,'[51]2180 Job Descriptions'!E:G,3,FALSE)</f>
        <v>JBLM Garbage-FEL</v>
      </c>
      <c r="E137" s="649">
        <f>+VLOOKUP($B137,'[51]Payroll Report Pivot'!$O:$Q,3,FALSE)</f>
        <v>2112.4733350000001</v>
      </c>
      <c r="F137" s="650">
        <f>+VLOOKUP($B137,'[51]Payroll Report Pivot'!$O:$R,4,FALSE)</f>
        <v>56659.409999999996</v>
      </c>
      <c r="G137" s="649">
        <f>IFERROR(VLOOKUP(B137,'[51]Payroll Report Pivot'!$Y:$AA,3,FALSE),0)</f>
        <v>337.41666900000001</v>
      </c>
      <c r="H137" s="650">
        <f>IFERROR(VLOOKUP($B137,'[51]Payroll Report Pivot'!$Y:$AB,4,FALSE),0)</f>
        <v>13463.789999999999</v>
      </c>
      <c r="I137" s="650">
        <f t="shared" si="83"/>
        <v>70123.199999999997</v>
      </c>
      <c r="J137" s="649">
        <f>+IFERROR(VLOOKUP(B137,'[51]Payroll Report Pivot'!$AH:$AJ,3,FALSE),0)</f>
        <v>250.00000000000006</v>
      </c>
      <c r="K137" s="649">
        <f>IFERROR(VLOOKUP(B137,'[51]Payroll Report Pivot'!$AP:$AR,3,FALSE),0)</f>
        <v>627.88</v>
      </c>
      <c r="L137" s="649">
        <f t="shared" si="84"/>
        <v>71001.08</v>
      </c>
      <c r="M137" s="650">
        <f>+VLOOKUP(B137,'[51]Payroll Report Pivot'!$E:$H,4,FALSE)</f>
        <v>26.95</v>
      </c>
      <c r="N137" s="658">
        <f t="shared" si="85"/>
        <v>3.3395176252319192E-2</v>
      </c>
      <c r="O137" s="659" t="str">
        <f t="shared" si="86"/>
        <v>27.85</v>
      </c>
      <c r="P137" s="660">
        <f t="shared" si="87"/>
        <v>58832.382379750008</v>
      </c>
      <c r="Q137" s="660">
        <f t="shared" si="88"/>
        <v>14095.581347475003</v>
      </c>
      <c r="R137" s="660">
        <f t="shared" si="89"/>
        <v>648.8481632653062</v>
      </c>
      <c r="S137" s="649">
        <f t="shared" si="90"/>
        <v>73826.811890490324</v>
      </c>
      <c r="T137" s="649">
        <f t="shared" si="91"/>
        <v>250</v>
      </c>
      <c r="U137" s="652">
        <f t="shared" si="92"/>
        <v>74076.811890490324</v>
      </c>
      <c r="V137" s="598" t="str">
        <f>VLOOKUP(B137,'[51]2180 Job Descriptions'!J:M,4,FALSE)</f>
        <v>PCS</v>
      </c>
      <c r="W137" s="598">
        <v>5002</v>
      </c>
      <c r="X137" s="599">
        <f t="shared" si="93"/>
        <v>3075.7318904903223</v>
      </c>
    </row>
    <row r="138" spans="1:25">
      <c r="A138" s="655">
        <v>2180</v>
      </c>
      <c r="B138" s="661" t="s">
        <v>1465</v>
      </c>
      <c r="C138" s="662" t="s">
        <v>1466</v>
      </c>
      <c r="D138" s="657" t="str">
        <f>VLOOKUP(B138,'[51]2180 Job Descriptions'!E:G,3,FALSE)</f>
        <v>JBLM Garbage-FEL</v>
      </c>
      <c r="E138" s="649">
        <f>+VLOOKUP($B138,'[51]Payroll Report Pivot'!$O:$Q,3,FALSE)</f>
        <v>2042.2866690000001</v>
      </c>
      <c r="F138" s="650">
        <f>+VLOOKUP($B138,'[51]Payroll Report Pivot'!$O:$R,4,FALSE)</f>
        <v>54373.539999999994</v>
      </c>
      <c r="G138" s="649">
        <f>IFERROR(VLOOKUP(B138,'[51]Payroll Report Pivot'!$Y:$AA,3,FALSE),0)</f>
        <v>206.53332299999997</v>
      </c>
      <c r="H138" s="650">
        <f>IFERROR(VLOOKUP($B138,'[51]Payroll Report Pivot'!$Y:$AB,4,FALSE),0)</f>
        <v>8182.6200000000008</v>
      </c>
      <c r="I138" s="650">
        <f t="shared" si="83"/>
        <v>62556.159999999996</v>
      </c>
      <c r="J138" s="649">
        <f>+IFERROR(VLOOKUP(B138,'[51]Payroll Report Pivot'!$AH:$AJ,3,FALSE),0)</f>
        <v>0</v>
      </c>
      <c r="K138" s="649">
        <f>IFERROR(VLOOKUP(B138,'[51]Payroll Report Pivot'!$AP:$AR,3,FALSE),0)</f>
        <v>527.95000000000005</v>
      </c>
      <c r="L138" s="649">
        <f t="shared" si="84"/>
        <v>63084.109999999993</v>
      </c>
      <c r="M138" s="650">
        <f>+VLOOKUP(B138,'[51]Payroll Report Pivot'!$E:$H,4,FALSE)</f>
        <v>26.95</v>
      </c>
      <c r="N138" s="658">
        <f t="shared" si="85"/>
        <v>3.3395176252319192E-2</v>
      </c>
      <c r="O138" s="659" t="str">
        <f t="shared" si="86"/>
        <v>27.85</v>
      </c>
      <c r="P138" s="660">
        <f t="shared" si="87"/>
        <v>56877.683731650002</v>
      </c>
      <c r="Q138" s="660">
        <f t="shared" si="88"/>
        <v>8627.9295683249984</v>
      </c>
      <c r="R138" s="660">
        <f t="shared" si="89"/>
        <v>545.58098330241194</v>
      </c>
      <c r="S138" s="649">
        <f t="shared" si="90"/>
        <v>66051.194283277408</v>
      </c>
      <c r="T138" s="649">
        <f t="shared" si="91"/>
        <v>250</v>
      </c>
      <c r="U138" s="652">
        <f t="shared" si="92"/>
        <v>66301.194283277408</v>
      </c>
      <c r="V138" s="598" t="str">
        <f>VLOOKUP(B138,'[51]2180 Job Descriptions'!J:M,4,FALSE)</f>
        <v>PCS</v>
      </c>
      <c r="W138" s="598">
        <v>5002</v>
      </c>
      <c r="X138" s="599">
        <f t="shared" si="93"/>
        <v>3217.0842832774142</v>
      </c>
    </row>
    <row r="139" spans="1:25">
      <c r="A139" s="655">
        <v>2180</v>
      </c>
      <c r="B139" s="661" t="s">
        <v>1467</v>
      </c>
      <c r="C139" s="662" t="s">
        <v>1468</v>
      </c>
      <c r="D139" s="657" t="str">
        <f>VLOOKUP(B139,'[51]2180 Job Descriptions'!E:G,3,FALSE)</f>
        <v>JBLM Recy-REL</v>
      </c>
      <c r="E139" s="649">
        <f>+VLOOKUP($B139,'[51]Payroll Report Pivot'!$O:$Q,3,FALSE)</f>
        <v>2253.2999989999998</v>
      </c>
      <c r="F139" s="650">
        <f>+VLOOKUP($B139,'[51]Payroll Report Pivot'!$O:$R,4,FALSE)</f>
        <v>59357.78</v>
      </c>
      <c r="G139" s="649">
        <f>IFERROR(VLOOKUP(B139,'[51]Payroll Report Pivot'!$Y:$AA,3,FALSE),0)</f>
        <v>703.50000300000011</v>
      </c>
      <c r="H139" s="650">
        <f>IFERROR(VLOOKUP($B139,'[51]Payroll Report Pivot'!$Y:$AB,4,FALSE),0)</f>
        <v>28053.89</v>
      </c>
      <c r="I139" s="650">
        <f t="shared" si="83"/>
        <v>87411.67</v>
      </c>
      <c r="J139" s="649">
        <f>+IFERROR(VLOOKUP(B139,'[51]Payroll Report Pivot'!$AH:$AJ,3,FALSE),0)</f>
        <v>1024.9999999999995</v>
      </c>
      <c r="K139" s="649">
        <f>IFERROR(VLOOKUP(B139,'[51]Payroll Report Pivot'!$AP:$AR,3,FALSE),0)</f>
        <v>441.8</v>
      </c>
      <c r="L139" s="649">
        <f t="shared" si="84"/>
        <v>88878.47</v>
      </c>
      <c r="M139" s="650">
        <f>+VLOOKUP(B139,'[51]Payroll Report Pivot'!$E:$H,4,FALSE)</f>
        <v>26.63</v>
      </c>
      <c r="N139" s="658">
        <f t="shared" si="85"/>
        <v>2.5000000000000001E-2</v>
      </c>
      <c r="O139" s="659">
        <f t="shared" si="86"/>
        <v>27.295749999999998</v>
      </c>
      <c r="P139" s="660">
        <f t="shared" si="87"/>
        <v>61505.513447704245</v>
      </c>
      <c r="Q139" s="660">
        <f t="shared" si="88"/>
        <v>28803.840310330874</v>
      </c>
      <c r="R139" s="660">
        <f t="shared" si="89"/>
        <v>452.84499999999997</v>
      </c>
      <c r="S139" s="649">
        <f t="shared" si="90"/>
        <v>91787.198758035112</v>
      </c>
      <c r="T139" s="649">
        <f t="shared" si="91"/>
        <v>0</v>
      </c>
      <c r="U139" s="652">
        <f t="shared" si="92"/>
        <v>91787.198758035112</v>
      </c>
      <c r="V139" s="598" t="str">
        <f>VLOOKUP(B139,'[51]2180 Job Descriptions'!J:M,4,FALSE)</f>
        <v>NONU</v>
      </c>
      <c r="W139" s="598">
        <v>5002</v>
      </c>
      <c r="X139" s="599">
        <f t="shared" si="93"/>
        <v>2908.7287580351112</v>
      </c>
    </row>
    <row r="140" spans="1:25">
      <c r="A140" s="655">
        <v>2180</v>
      </c>
      <c r="B140" s="577" t="s">
        <v>1469</v>
      </c>
      <c r="C140" s="656" t="s">
        <v>1470</v>
      </c>
      <c r="D140" s="657" t="str">
        <f>VLOOKUP(B140,'[51]2180 Job Descriptions'!E:G,3,FALSE)</f>
        <v>JBLM Food Waste</v>
      </c>
      <c r="E140" s="649">
        <f>+VLOOKUP($B140,'[51]Payroll Report Pivot'!$O:$Q,3,FALSE)</f>
        <v>2074</v>
      </c>
      <c r="F140" s="650">
        <f>+VLOOKUP($B140,'[51]Payroll Report Pivot'!$O:$R,4,FALSE)</f>
        <v>54813.63</v>
      </c>
      <c r="G140" s="649">
        <f>IFERROR(VLOOKUP(B140,'[51]Payroll Report Pivot'!$Y:$AA,3,FALSE),0)</f>
        <v>301.1666570000001</v>
      </c>
      <c r="H140" s="650">
        <f>IFERROR(VLOOKUP($B140,'[51]Payroll Report Pivot'!$Y:$AB,4,FALSE),0)</f>
        <v>12167.470000000003</v>
      </c>
      <c r="I140" s="650">
        <f t="shared" si="83"/>
        <v>66981.100000000006</v>
      </c>
      <c r="J140" s="649">
        <f>+IFERROR(VLOOKUP(B140,'[51]Payroll Report Pivot'!$AH:$AJ,3,FALSE),0)</f>
        <v>3024.9999999999941</v>
      </c>
      <c r="K140" s="649">
        <f>IFERROR(VLOOKUP(B140,'[51]Payroll Report Pivot'!$AP:$AR,3,FALSE),0)</f>
        <v>393.6</v>
      </c>
      <c r="L140" s="649">
        <f t="shared" si="84"/>
        <v>70399.7</v>
      </c>
      <c r="M140" s="650">
        <f>+VLOOKUP(B140,'[51]Payroll Report Pivot'!$E:$H,4,FALSE)</f>
        <v>26.63</v>
      </c>
      <c r="N140" s="658">
        <f t="shared" si="85"/>
        <v>2.5000000000000001E-2</v>
      </c>
      <c r="O140" s="659">
        <f t="shared" si="86"/>
        <v>27.295749999999998</v>
      </c>
      <c r="P140" s="660">
        <f t="shared" si="87"/>
        <v>56611.385499999997</v>
      </c>
      <c r="Q140" s="660">
        <f t="shared" si="88"/>
        <v>12330.854666711628</v>
      </c>
      <c r="R140" s="660">
        <f t="shared" si="89"/>
        <v>403.44</v>
      </c>
      <c r="S140" s="649">
        <f t="shared" si="90"/>
        <v>72370.680166711623</v>
      </c>
      <c r="T140" s="649">
        <f t="shared" si="91"/>
        <v>0</v>
      </c>
      <c r="U140" s="652">
        <f t="shared" si="92"/>
        <v>72370.680166711623</v>
      </c>
      <c r="V140" s="598" t="str">
        <f>VLOOKUP(B140,'[51]2180 Job Descriptions'!J:M,4,FALSE)</f>
        <v>NONU</v>
      </c>
      <c r="W140" s="598">
        <v>5002</v>
      </c>
      <c r="X140" s="599">
        <f t="shared" si="93"/>
        <v>1970.9801667116262</v>
      </c>
    </row>
    <row r="141" spans="1:25">
      <c r="A141" s="655">
        <v>2180</v>
      </c>
      <c r="B141" s="656" t="s">
        <v>1471</v>
      </c>
      <c r="C141" s="656" t="s">
        <v>1472</v>
      </c>
      <c r="D141" s="657" t="str">
        <f>VLOOKUP(B141,'[51]2180 Job Descriptions'!E:G,3,FALSE)</f>
        <v>JBLM Recy Attendant</v>
      </c>
      <c r="E141" s="649">
        <f>+VLOOKUP($B141,'[51]Payroll Report Pivot'!$O:$Q,3,FALSE)</f>
        <v>2018.250004</v>
      </c>
      <c r="F141" s="650">
        <f>+VLOOKUP($B141,'[51]Payroll Report Pivot'!$O:$R,4,FALSE)</f>
        <v>36760.549999999996</v>
      </c>
      <c r="G141" s="649">
        <f>IFERROR(VLOOKUP(B141,'[51]Payroll Report Pivot'!$Y:$AA,3,FALSE),0)</f>
        <v>108.08335799999999</v>
      </c>
      <c r="H141" s="650">
        <f>IFERROR(VLOOKUP($B141,'[51]Payroll Report Pivot'!$Y:$AB,4,FALSE),0)</f>
        <v>2948.15</v>
      </c>
      <c r="I141" s="650">
        <f t="shared" si="83"/>
        <v>39708.699999999997</v>
      </c>
      <c r="J141" s="649">
        <f>+IFERROR(VLOOKUP(B141,'[51]Payroll Report Pivot'!$AH:$AJ,3,FALSE),0)</f>
        <v>1091.6699999999994</v>
      </c>
      <c r="K141" s="649">
        <f>IFERROR(VLOOKUP(B141,'[51]Payroll Report Pivot'!$AP:$AR,3,FALSE),0)</f>
        <v>0</v>
      </c>
      <c r="L141" s="649">
        <f t="shared" si="84"/>
        <v>40800.369999999995</v>
      </c>
      <c r="M141" s="650">
        <f>+VLOOKUP(B141,'[51]Payroll Report Pivot'!$E:$H,4,FALSE)</f>
        <v>18</v>
      </c>
      <c r="N141" s="658">
        <f t="shared" si="85"/>
        <v>2.5000000000000001E-2</v>
      </c>
      <c r="O141" s="659">
        <f t="shared" si="86"/>
        <v>18.45</v>
      </c>
      <c r="P141" s="660">
        <f t="shared" si="87"/>
        <v>37236.712573799996</v>
      </c>
      <c r="Q141" s="660">
        <f t="shared" si="88"/>
        <v>2991.2069326499995</v>
      </c>
      <c r="R141" s="660">
        <f t="shared" si="89"/>
        <v>0</v>
      </c>
      <c r="S141" s="649">
        <f t="shared" si="90"/>
        <v>41319.589506449993</v>
      </c>
      <c r="T141" s="649">
        <f t="shared" si="91"/>
        <v>0</v>
      </c>
      <c r="U141" s="652">
        <f t="shared" si="92"/>
        <v>41319.589506449993</v>
      </c>
      <c r="V141" s="598" t="str">
        <f>VLOOKUP(B141,'[51]2180 Job Descriptions'!J:M,4,FALSE)</f>
        <v>NONU</v>
      </c>
      <c r="W141" s="598">
        <v>5002</v>
      </c>
      <c r="X141" s="599">
        <f t="shared" si="93"/>
        <v>519.21950644999743</v>
      </c>
    </row>
    <row r="142" spans="1:25">
      <c r="A142" s="655">
        <v>2180</v>
      </c>
      <c r="B142" s="656" t="s">
        <v>1473</v>
      </c>
      <c r="C142" s="656" t="s">
        <v>1474</v>
      </c>
      <c r="D142" s="657" t="str">
        <f>VLOOKUP(B142,'[51]2180 Job Descriptions'!E:G,3,FALSE)</f>
        <v>JBLM Frontload Recycle</v>
      </c>
      <c r="E142" s="649">
        <f>+VLOOKUP($B142,'[51]Payroll Report Pivot'!$O:$Q,3,FALSE)</f>
        <v>2096.7500009999999</v>
      </c>
      <c r="F142" s="650">
        <f>+VLOOKUP($B142,'[51]Payroll Report Pivot'!$O:$R,4,FALSE)</f>
        <v>55798.39</v>
      </c>
      <c r="G142" s="649">
        <f>IFERROR(VLOOKUP(B142,'[51]Payroll Report Pivot'!$Y:$AA,3,FALSE),0)</f>
        <v>336.3333320000001</v>
      </c>
      <c r="H142" s="650">
        <f>IFERROR(VLOOKUP($B142,'[51]Payroll Report Pivot'!$Y:$AB,4,FALSE),0)</f>
        <v>13596.050000000005</v>
      </c>
      <c r="I142" s="650">
        <f t="shared" si="83"/>
        <v>69394.44</v>
      </c>
      <c r="J142" s="649">
        <f>+IFERROR(VLOOKUP(B142,'[51]Payroll Report Pivot'!$AH:$AJ,3,FALSE),0)</f>
        <v>3174.9999999999941</v>
      </c>
      <c r="K142" s="649">
        <f>IFERROR(VLOOKUP(B142,'[51]Payroll Report Pivot'!$AP:$AR,3,FALSE),0)</f>
        <v>492</v>
      </c>
      <c r="L142" s="649">
        <f t="shared" si="84"/>
        <v>73061.440000000002</v>
      </c>
      <c r="M142" s="650">
        <f>+VLOOKUP(B142,'[51]Payroll Report Pivot'!$E:$H,4,FALSE)</f>
        <v>26.63</v>
      </c>
      <c r="N142" s="658">
        <f t="shared" si="85"/>
        <v>2.5000000000000001E-2</v>
      </c>
      <c r="O142" s="659">
        <f t="shared" si="86"/>
        <v>27.295749999999998</v>
      </c>
      <c r="P142" s="660">
        <f t="shared" si="87"/>
        <v>57232.36383979574</v>
      </c>
      <c r="Q142" s="660">
        <f t="shared" si="88"/>
        <v>13770.705820408504</v>
      </c>
      <c r="R142" s="660">
        <f t="shared" si="89"/>
        <v>504.29999999999995</v>
      </c>
      <c r="S142" s="649">
        <f t="shared" si="90"/>
        <v>74682.369660204247</v>
      </c>
      <c r="T142" s="649">
        <f t="shared" si="91"/>
        <v>0</v>
      </c>
      <c r="U142" s="652">
        <f t="shared" si="92"/>
        <v>74682.369660204247</v>
      </c>
      <c r="V142" s="598" t="str">
        <f>VLOOKUP(B142,'[51]2180 Job Descriptions'!J:M,4,FALSE)</f>
        <v>NONU</v>
      </c>
      <c r="W142" s="598">
        <v>5002</v>
      </c>
      <c r="X142" s="599">
        <f t="shared" si="93"/>
        <v>1620.929660204245</v>
      </c>
    </row>
    <row r="143" spans="1:25">
      <c r="A143" s="655">
        <v>2180</v>
      </c>
      <c r="B143" s="656" t="s">
        <v>1475</v>
      </c>
      <c r="C143" s="656" t="s">
        <v>1476</v>
      </c>
      <c r="D143" s="657" t="str">
        <f>VLOOKUP(B143,'[51]2180 Job Descriptions'!E:G,3,FALSE)</f>
        <v>JBLM Recy Attendant</v>
      </c>
      <c r="E143" s="649">
        <f>+VLOOKUP($B143,'[51]Payroll Report Pivot'!$O:$Q,3,FALSE)</f>
        <v>1769.7466640000002</v>
      </c>
      <c r="F143" s="650">
        <f>+VLOOKUP($B143,'[51]Payroll Report Pivot'!$O:$R,4,FALSE)</f>
        <v>30258.339999999997</v>
      </c>
      <c r="G143" s="649">
        <f>IFERROR(VLOOKUP(B143,'[51]Payroll Report Pivot'!$Y:$AA,3,FALSE),0)</f>
        <v>66.000000000000014</v>
      </c>
      <c r="H143" s="650">
        <f>IFERROR(VLOOKUP($B143,'[51]Payroll Report Pivot'!$Y:$AB,4,FALSE),0)</f>
        <v>1717.0599999999997</v>
      </c>
      <c r="I143" s="650">
        <f t="shared" si="83"/>
        <v>31975.399999999998</v>
      </c>
      <c r="J143" s="649">
        <f>+IFERROR(VLOOKUP(B143,'[51]Payroll Report Pivot'!$AH:$AJ,3,FALSE),0)</f>
        <v>2189.2299999999996</v>
      </c>
      <c r="K143" s="649">
        <f>IFERROR(VLOOKUP(B143,'[51]Payroll Report Pivot'!$AP:$AR,3,FALSE),0)</f>
        <v>0</v>
      </c>
      <c r="L143" s="649">
        <f t="shared" si="84"/>
        <v>34164.629999999997</v>
      </c>
      <c r="M143" s="650">
        <f>+VLOOKUP(B143,'[51]Payroll Report Pivot'!$E:$H,4,FALSE)</f>
        <v>17</v>
      </c>
      <c r="N143" s="658">
        <f t="shared" si="85"/>
        <v>2.5000000000000001E-2</v>
      </c>
      <c r="O143" s="659">
        <f t="shared" si="86"/>
        <v>17.424999999999997</v>
      </c>
      <c r="P143" s="660">
        <f t="shared" si="87"/>
        <v>30837.8356202</v>
      </c>
      <c r="Q143" s="660">
        <f t="shared" si="88"/>
        <v>1725.0749999999998</v>
      </c>
      <c r="R143" s="660">
        <f t="shared" si="89"/>
        <v>0</v>
      </c>
      <c r="S143" s="649">
        <f t="shared" si="90"/>
        <v>34752.1406202</v>
      </c>
      <c r="T143" s="649">
        <f t="shared" si="91"/>
        <v>0</v>
      </c>
      <c r="U143" s="652">
        <f t="shared" si="92"/>
        <v>34752.1406202</v>
      </c>
      <c r="V143" s="598" t="str">
        <f>VLOOKUP(B143,'[51]2180 Job Descriptions'!J:M,4,FALSE)</f>
        <v>NONU</v>
      </c>
      <c r="W143" s="598">
        <v>5002</v>
      </c>
      <c r="X143" s="599">
        <f t="shared" si="93"/>
        <v>587.51062020000245</v>
      </c>
    </row>
    <row r="144" spans="1:25">
      <c r="A144" s="655"/>
      <c r="B144" s="663"/>
      <c r="C144" s="665"/>
      <c r="D144" s="657"/>
      <c r="E144" s="649"/>
      <c r="F144" s="649"/>
      <c r="G144" s="649"/>
      <c r="H144" s="650"/>
      <c r="I144" s="649"/>
      <c r="J144" s="649"/>
      <c r="K144" s="649"/>
      <c r="L144" s="649"/>
      <c r="M144" s="649"/>
      <c r="N144" s="649"/>
      <c r="O144" s="651"/>
      <c r="P144" s="649"/>
      <c r="Q144" s="649"/>
      <c r="R144" s="649"/>
      <c r="S144" s="649"/>
      <c r="T144" s="649"/>
      <c r="U144" s="652"/>
    </row>
    <row r="145" spans="1:25">
      <c r="A145" s="655"/>
      <c r="B145" s="663"/>
      <c r="C145" s="665" t="str">
        <f>CONCATENATE("TOTAL ",A135)</f>
        <v>TOTAL JBLM</v>
      </c>
      <c r="D145" s="657"/>
      <c r="E145" s="666">
        <f t="shared" ref="E145:L145" si="94">+SUM(E136:E144)</f>
        <v>16427.640002</v>
      </c>
      <c r="F145" s="666">
        <f t="shared" si="94"/>
        <v>385278.65</v>
      </c>
      <c r="G145" s="666">
        <f t="shared" si="94"/>
        <v>2148.5333270000001</v>
      </c>
      <c r="H145" s="666">
        <f t="shared" si="94"/>
        <v>82572.27</v>
      </c>
      <c r="I145" s="666">
        <f t="shared" si="94"/>
        <v>467850.92000000004</v>
      </c>
      <c r="J145" s="666">
        <f t="shared" si="94"/>
        <v>11926.729999999985</v>
      </c>
      <c r="K145" s="666">
        <f t="shared" si="94"/>
        <v>2483.23</v>
      </c>
      <c r="L145" s="666">
        <f t="shared" si="94"/>
        <v>482260.88</v>
      </c>
      <c r="M145" s="666">
        <f>+SUM(M136:M144)</f>
        <v>186.79</v>
      </c>
      <c r="N145" s="666">
        <f t="shared" ref="N145:T145" si="95">+SUM(N136:N144)</f>
        <v>0.21679035250463835</v>
      </c>
      <c r="O145" s="666">
        <f t="shared" si="95"/>
        <v>136.21224999999998</v>
      </c>
      <c r="P145" s="666">
        <f t="shared" si="95"/>
        <v>397156.25203139998</v>
      </c>
      <c r="Q145" s="666">
        <f t="shared" si="95"/>
        <v>84822.105730776006</v>
      </c>
      <c r="R145" s="666">
        <f t="shared" si="95"/>
        <v>2555.0141465677179</v>
      </c>
      <c r="S145" s="666">
        <f t="shared" si="95"/>
        <v>496460.10190874367</v>
      </c>
      <c r="T145" s="666">
        <f t="shared" si="95"/>
        <v>500</v>
      </c>
      <c r="U145" s="667">
        <f>+SUM(U136:U144)</f>
        <v>496960.10190874367</v>
      </c>
      <c r="X145" s="667">
        <f>+SUM(X136:X144)</f>
        <v>14699.221908743719</v>
      </c>
      <c r="Y145" s="668"/>
    </row>
    <row r="146" spans="1:25">
      <c r="A146" s="655"/>
      <c r="B146" s="663"/>
      <c r="C146" s="665"/>
      <c r="D146" s="657"/>
      <c r="E146" s="649"/>
      <c r="F146" s="649"/>
      <c r="G146" s="649"/>
      <c r="H146" s="650"/>
      <c r="I146" s="649"/>
      <c r="J146" s="649"/>
      <c r="K146" s="649"/>
      <c r="L146" s="649"/>
      <c r="M146" s="649"/>
      <c r="N146" s="649"/>
      <c r="O146" s="651"/>
      <c r="P146" s="649"/>
      <c r="Q146" s="649"/>
      <c r="R146" s="649"/>
      <c r="S146" s="649"/>
      <c r="T146" s="649"/>
      <c r="U146" s="652"/>
    </row>
    <row r="147" spans="1:25">
      <c r="A147" s="645" t="s">
        <v>1477</v>
      </c>
      <c r="B147" s="646"/>
      <c r="C147" s="671"/>
      <c r="D147" s="648"/>
      <c r="E147" s="649"/>
      <c r="F147" s="649"/>
      <c r="G147" s="649"/>
      <c r="H147" s="650"/>
      <c r="I147" s="649"/>
      <c r="J147" s="649"/>
      <c r="K147" s="649"/>
      <c r="L147" s="649"/>
      <c r="M147" s="649"/>
      <c r="N147" s="649"/>
      <c r="O147" s="651"/>
      <c r="P147" s="649"/>
      <c r="Q147" s="649"/>
      <c r="R147" s="649"/>
      <c r="S147" s="649"/>
      <c r="T147" s="649"/>
      <c r="U147" s="652"/>
    </row>
    <row r="148" spans="1:25">
      <c r="A148" s="655">
        <v>2180</v>
      </c>
      <c r="B148" s="577" t="s">
        <v>1478</v>
      </c>
      <c r="C148" s="656" t="s">
        <v>1479</v>
      </c>
      <c r="D148" s="657" t="str">
        <f>VLOOKUP(B148,'[51]2180 Job Descriptions'!E:G,3,FALSE)</f>
        <v>Lead Driver</v>
      </c>
      <c r="E148" s="649">
        <f>+VLOOKUP($B148,'[51]Payroll Report Pivot'!$O:$Q,3,FALSE)</f>
        <v>2231.2000010000002</v>
      </c>
      <c r="F148" s="650">
        <f>+VLOOKUP($B148,'[51]Payroll Report Pivot'!$O:$R,4,FALSE)</f>
        <v>71938.559999999925</v>
      </c>
      <c r="G148" s="649">
        <f>IFERROR(VLOOKUP(B148,'[51]Payroll Report Pivot'!$Y:$AA,3,FALSE),0)</f>
        <v>436.9333289999999</v>
      </c>
      <c r="H148" s="650">
        <f>IFERROR(VLOOKUP($B148,'[51]Payroll Report Pivot'!$Y:$AB,4,FALSE),0)</f>
        <v>21273.83</v>
      </c>
      <c r="I148" s="650">
        <f t="shared" ref="I148:I149" si="96">+F148+H148</f>
        <v>93212.389999999927</v>
      </c>
      <c r="J148" s="649">
        <f>+IFERROR(VLOOKUP(B148,'[51]Payroll Report Pivot'!$AH:$AJ,3,FALSE),0)</f>
        <v>1199.9999999999998</v>
      </c>
      <c r="K148" s="649">
        <f>IFERROR(VLOOKUP(B148,'[51]Payroll Report Pivot'!$AP:$AR,3,FALSE),0)</f>
        <v>5141.8599999999997</v>
      </c>
      <c r="L148" s="649">
        <f t="shared" ref="L148:L149" si="97">+K148+J148+I148</f>
        <v>99554.249999999927</v>
      </c>
      <c r="M148" s="650">
        <f>+VLOOKUP(B148,'[51]Payroll Report Pivot'!$E:$H,4,FALSE)</f>
        <v>33</v>
      </c>
      <c r="N148" s="658">
        <f>IF(V148="pcs",(27.85-M148)/M148,2.5%)</f>
        <v>2.5000000000000001E-2</v>
      </c>
      <c r="O148" s="659">
        <f>IF(V148="PCS","27.85",M148*(1+N148))</f>
        <v>33.824999999999996</v>
      </c>
      <c r="P148" s="660">
        <f t="shared" ref="P148:P149" si="98">+O148*E148</f>
        <v>75470.340033824992</v>
      </c>
      <c r="Q148" s="660">
        <f t="shared" ref="Q148:Q149" si="99">+O148*G148*1.5</f>
        <v>22168.904780137491</v>
      </c>
      <c r="R148" s="660">
        <f t="shared" ref="R148:R149" si="100">+K148*(1+N148)</f>
        <v>5270.4064999999991</v>
      </c>
      <c r="S148" s="649">
        <f t="shared" ref="S148:S149" si="101">SUM(P148:R148)+J148</f>
        <v>104109.65131396249</v>
      </c>
      <c r="T148" s="649">
        <f t="shared" ref="T148:T149" si="102">+IF(V148="PCS",250,0)</f>
        <v>0</v>
      </c>
      <c r="U148" s="652">
        <f t="shared" ref="U148:U149" si="103">+S148+T148</f>
        <v>104109.65131396249</v>
      </c>
      <c r="V148" s="598" t="str">
        <f>VLOOKUP(B148,'[51]2180 Job Descriptions'!J:M,4,FALSE)</f>
        <v>NONU</v>
      </c>
      <c r="W148" s="598">
        <v>5002</v>
      </c>
      <c r="X148" s="599">
        <f t="shared" ref="X148:X149" si="104">U148-L148</f>
        <v>4555.4013139625604</v>
      </c>
    </row>
    <row r="149" spans="1:25">
      <c r="A149" s="655">
        <v>2180</v>
      </c>
      <c r="B149" s="577" t="s">
        <v>1480</v>
      </c>
      <c r="C149" s="656" t="s">
        <v>1481</v>
      </c>
      <c r="D149" s="657" t="str">
        <f>VLOOKUP(B149,'[51]2180 Job Descriptions'!E:G,3,FALSE)</f>
        <v>Lead Driver</v>
      </c>
      <c r="E149" s="649">
        <f>+VLOOKUP($B149,'[51]Payroll Report Pivot'!$O:$Q,3,FALSE)</f>
        <v>2161.8233330000003</v>
      </c>
      <c r="F149" s="650">
        <f>+VLOOKUP($B149,'[51]Payroll Report Pivot'!$O:$R,4,FALSE)</f>
        <v>64688.329999999994</v>
      </c>
      <c r="G149" s="649">
        <f>IFERROR(VLOOKUP(B149,'[51]Payroll Report Pivot'!$Y:$AA,3,FALSE),0)</f>
        <v>537.66666399999997</v>
      </c>
      <c r="H149" s="650">
        <f>IFERROR(VLOOKUP($B149,'[51]Payroll Report Pivot'!$Y:$AB,4,FALSE),0)</f>
        <v>24469.069999999996</v>
      </c>
      <c r="I149" s="650">
        <f t="shared" si="96"/>
        <v>89157.4</v>
      </c>
      <c r="J149" s="649">
        <f>+IFERROR(VLOOKUP(B149,'[51]Payroll Report Pivot'!$AH:$AJ,3,FALSE),0)</f>
        <v>3074.9999999999945</v>
      </c>
      <c r="K149" s="649">
        <f>IFERROR(VLOOKUP(B149,'[51]Payroll Report Pivot'!$AP:$AR,3,FALSE),0)</f>
        <v>0</v>
      </c>
      <c r="L149" s="649">
        <f t="shared" si="97"/>
        <v>92232.4</v>
      </c>
      <c r="M149" s="650">
        <f>+VLOOKUP(B149,'[51]Payroll Report Pivot'!$E:$H,4,FALSE)</f>
        <v>33</v>
      </c>
      <c r="N149" s="658">
        <f>IF(V149="pcs",(27.85-M149)/M149,2.5%)</f>
        <v>2.5000000000000001E-2</v>
      </c>
      <c r="O149" s="659">
        <f>IF(V149="PCS","27.85",M149*(1+N149))</f>
        <v>33.824999999999996</v>
      </c>
      <c r="P149" s="660">
        <f t="shared" si="98"/>
        <v>73123.674238724998</v>
      </c>
      <c r="Q149" s="660">
        <f t="shared" si="99"/>
        <v>27279.862364699999</v>
      </c>
      <c r="R149" s="660">
        <f t="shared" si="100"/>
        <v>0</v>
      </c>
      <c r="S149" s="649">
        <f t="shared" si="101"/>
        <v>103478.53660342499</v>
      </c>
      <c r="T149" s="649">
        <f t="shared" si="102"/>
        <v>0</v>
      </c>
      <c r="U149" s="652">
        <f t="shared" si="103"/>
        <v>103478.53660342499</v>
      </c>
      <c r="V149" s="598" t="str">
        <f>VLOOKUP(B149,'[51]2180 Job Descriptions'!J:M,4,FALSE)</f>
        <v>NONU</v>
      </c>
      <c r="W149" s="598">
        <v>5002</v>
      </c>
      <c r="X149" s="675">
        <f t="shared" si="104"/>
        <v>11246.136603424995</v>
      </c>
      <c r="Y149" s="675"/>
    </row>
    <row r="150" spans="1:25">
      <c r="A150" s="655"/>
      <c r="B150" s="663"/>
      <c r="C150" s="665"/>
      <c r="D150" s="657"/>
      <c r="E150" s="649"/>
      <c r="F150" s="649"/>
      <c r="G150" s="649"/>
      <c r="H150" s="650"/>
      <c r="I150" s="649"/>
      <c r="J150" s="649"/>
      <c r="K150" s="649"/>
      <c r="L150" s="649"/>
      <c r="M150" s="649"/>
      <c r="N150" s="649"/>
      <c r="O150" s="651"/>
      <c r="P150" s="649"/>
      <c r="Q150" s="649"/>
      <c r="R150" s="649"/>
      <c r="S150" s="649"/>
      <c r="T150" s="649"/>
      <c r="U150" s="652"/>
    </row>
    <row r="151" spans="1:25">
      <c r="A151" s="655"/>
      <c r="B151" s="663"/>
      <c r="C151" s="665" t="str">
        <f>CONCATENATE("TOTAL ",A147)</f>
        <v>TOTAL Lead Drivers</v>
      </c>
      <c r="D151" s="657"/>
      <c r="E151" s="666">
        <f t="shared" ref="E151:L151" si="105">+SUM(E148:E150)</f>
        <v>4393.0233340000004</v>
      </c>
      <c r="F151" s="666">
        <f t="shared" si="105"/>
        <v>136626.88999999993</v>
      </c>
      <c r="G151" s="666">
        <f t="shared" si="105"/>
        <v>974.59999299999981</v>
      </c>
      <c r="H151" s="666">
        <f t="shared" si="105"/>
        <v>45742.899999999994</v>
      </c>
      <c r="I151" s="666">
        <f t="shared" si="105"/>
        <v>182369.78999999992</v>
      </c>
      <c r="J151" s="666">
        <f t="shared" si="105"/>
        <v>4274.9999999999945</v>
      </c>
      <c r="K151" s="666">
        <f t="shared" si="105"/>
        <v>5141.8599999999997</v>
      </c>
      <c r="L151" s="666">
        <f t="shared" si="105"/>
        <v>191786.64999999991</v>
      </c>
      <c r="M151" s="666">
        <f>+SUM(M148:M150)</f>
        <v>66</v>
      </c>
      <c r="N151" s="666">
        <f t="shared" ref="N151:T151" si="106">+SUM(N148:N150)</f>
        <v>0.05</v>
      </c>
      <c r="O151" s="666">
        <f t="shared" si="106"/>
        <v>67.649999999999991</v>
      </c>
      <c r="P151" s="666">
        <f t="shared" si="106"/>
        <v>148594.01427255</v>
      </c>
      <c r="Q151" s="666">
        <f t="shared" si="106"/>
        <v>49448.767144837489</v>
      </c>
      <c r="R151" s="666">
        <f t="shared" si="106"/>
        <v>5270.4064999999991</v>
      </c>
      <c r="S151" s="666">
        <f t="shared" si="106"/>
        <v>207588.18791738746</v>
      </c>
      <c r="T151" s="666">
        <f t="shared" si="106"/>
        <v>0</v>
      </c>
      <c r="U151" s="667">
        <f>+SUM(U148:U150)</f>
        <v>207588.18791738746</v>
      </c>
      <c r="X151" s="667">
        <f>+SUM(X148:X150)</f>
        <v>15801.537917387555</v>
      </c>
      <c r="Y151" s="668"/>
    </row>
    <row r="152" spans="1:25">
      <c r="A152" s="655"/>
      <c r="B152" s="663"/>
      <c r="C152" s="665"/>
      <c r="D152" s="657"/>
      <c r="E152" s="649"/>
      <c r="F152" s="649"/>
      <c r="G152" s="649"/>
      <c r="H152" s="650"/>
      <c r="I152" s="649"/>
      <c r="J152" s="649"/>
      <c r="K152" s="649"/>
      <c r="L152" s="649"/>
      <c r="M152" s="649"/>
      <c r="N152" s="649"/>
      <c r="O152" s="651"/>
      <c r="P152" s="649"/>
      <c r="Q152" s="649"/>
      <c r="R152" s="649"/>
      <c r="S152" s="649"/>
      <c r="T152" s="649"/>
      <c r="U152" s="652"/>
    </row>
    <row r="153" spans="1:25">
      <c r="A153" s="655"/>
      <c r="B153" s="663"/>
      <c r="C153" s="665"/>
      <c r="D153" s="657"/>
      <c r="E153" s="649"/>
      <c r="F153" s="649"/>
      <c r="G153" s="649"/>
      <c r="H153" s="650"/>
      <c r="I153" s="649"/>
      <c r="J153" s="649"/>
      <c r="K153" s="649"/>
      <c r="L153" s="649"/>
      <c r="M153" s="649"/>
      <c r="N153" s="649"/>
      <c r="O153" s="651"/>
      <c r="P153" s="649"/>
      <c r="Q153" s="649"/>
      <c r="R153" s="649"/>
      <c r="S153" s="649"/>
      <c r="T153" s="649"/>
      <c r="U153" s="652"/>
    </row>
    <row r="154" spans="1:25">
      <c r="A154" s="645" t="s">
        <v>1242</v>
      </c>
      <c r="B154" s="646"/>
      <c r="C154" s="671"/>
      <c r="D154" s="648"/>
      <c r="E154" s="649"/>
      <c r="F154" s="649"/>
      <c r="G154" s="649"/>
      <c r="H154" s="650"/>
      <c r="I154" s="649"/>
      <c r="J154" s="649"/>
      <c r="K154" s="649"/>
      <c r="L154" s="649"/>
      <c r="M154" s="649"/>
      <c r="N154" s="649"/>
      <c r="O154" s="651"/>
      <c r="P154" s="649"/>
      <c r="Q154" s="649"/>
      <c r="R154" s="649"/>
      <c r="S154" s="649"/>
      <c r="T154" s="649"/>
      <c r="U154" s="652"/>
    </row>
    <row r="155" spans="1:25">
      <c r="A155" s="655">
        <v>2180</v>
      </c>
      <c r="B155" s="661" t="s">
        <v>1482</v>
      </c>
      <c r="C155" s="656" t="s">
        <v>1483</v>
      </c>
      <c r="D155" s="657" t="str">
        <f>VLOOKUP(B155,'[51]2180 Job Descriptions'!E:G,3,FALSE)</f>
        <v>Dispatcher</v>
      </c>
      <c r="E155" s="649">
        <f>+VLOOKUP($B155,'[51]Payroll Report Pivot'!$O:$Q,3,FALSE)</f>
        <v>1718.9166670000002</v>
      </c>
      <c r="F155" s="650">
        <f>+VLOOKUP($B155,'[51]Payroll Report Pivot'!$O:$R,4,FALSE)</f>
        <v>47930.229999999989</v>
      </c>
      <c r="G155" s="649">
        <f>+VLOOKUP(B155,'[51]Payroll Report Pivot'!$Y:$AA,3,FALSE)</f>
        <v>437.11667199999994</v>
      </c>
      <c r="H155" s="650">
        <f>+VLOOKUP($B155,'[51]Payroll Report Pivot'!$Y:$AB,4,FALSE)</f>
        <v>18127.889999999996</v>
      </c>
      <c r="I155" s="650">
        <f t="shared" ref="I155" si="107">+F155+H155</f>
        <v>66058.119999999981</v>
      </c>
      <c r="J155" s="649">
        <f>+IFERROR(VLOOKUP(B155,'[51]Payroll Report Pivot'!$AH:$AJ,3,FALSE),0)</f>
        <v>1075.0000000000002</v>
      </c>
      <c r="K155" s="649">
        <f>IFERROR(VLOOKUP(B155,'[51]Payroll Report Pivot'!$AP:$AR,3,FALSE),0)</f>
        <v>0</v>
      </c>
      <c r="L155" s="649">
        <f t="shared" ref="L155" si="108">+K155+J155+I155</f>
        <v>67133.119999999981</v>
      </c>
      <c r="M155" s="650">
        <f>+VLOOKUP(B155,'[51]Payroll Report Pivot'!$E:$H,4,FALSE)</f>
        <v>28.5</v>
      </c>
      <c r="N155" s="658">
        <f>IF(V155="pcs",(27.85-M155)/M155,2.5%)</f>
        <v>2.5000000000000001E-2</v>
      </c>
      <c r="O155" s="659">
        <f>IF(V155="PCS","27.85",M155*(1+N155))</f>
        <v>29.212499999999999</v>
      </c>
      <c r="P155" s="660">
        <f t="shared" ref="P155" si="109">+O155*E155</f>
        <v>50213.853134737503</v>
      </c>
      <c r="Q155" s="660">
        <f t="shared" ref="Q155" si="110">+O155*G155*1.5</f>
        <v>19153.906171199997</v>
      </c>
      <c r="R155" s="660">
        <f t="shared" ref="R155" si="111">+K155*(1+N155)</f>
        <v>0</v>
      </c>
      <c r="S155" s="649">
        <f t="shared" ref="S155" si="112">SUM(P155:R155)+J155</f>
        <v>70442.759305937507</v>
      </c>
      <c r="T155" s="649">
        <f t="shared" ref="T155" si="113">+IF(V155="PCS",250,0)</f>
        <v>0</v>
      </c>
      <c r="U155" s="652">
        <f t="shared" ref="U155" si="114">+S155+T155</f>
        <v>70442.759305937507</v>
      </c>
      <c r="V155" s="598" t="str">
        <f>VLOOKUP(B155,'[51]2180 Job Descriptions'!J:M,4,FALSE)</f>
        <v>NONU</v>
      </c>
      <c r="W155" s="598">
        <v>5002</v>
      </c>
      <c r="X155" s="599">
        <f t="shared" ref="X155" si="115">U155-L155</f>
        <v>3309.6393059375259</v>
      </c>
    </row>
    <row r="156" spans="1:25">
      <c r="A156" s="655"/>
      <c r="B156" s="663"/>
      <c r="C156" s="665"/>
      <c r="D156" s="657"/>
      <c r="E156" s="649"/>
      <c r="F156" s="649"/>
      <c r="G156" s="649"/>
      <c r="H156" s="650"/>
      <c r="I156" s="649"/>
      <c r="J156" s="649"/>
      <c r="K156" s="649"/>
      <c r="L156" s="649"/>
      <c r="M156" s="649"/>
      <c r="N156" s="649"/>
      <c r="O156" s="651"/>
      <c r="P156" s="649"/>
      <c r="Q156" s="649"/>
      <c r="R156" s="649"/>
      <c r="S156" s="649"/>
      <c r="T156" s="649"/>
      <c r="U156" s="652"/>
    </row>
    <row r="157" spans="1:25">
      <c r="A157" s="655"/>
      <c r="B157" s="663"/>
      <c r="C157" s="665" t="str">
        <f>CONCATENATE("TOTAL ",A154)</f>
        <v>TOTAL Dispatch</v>
      </c>
      <c r="D157" s="657"/>
      <c r="E157" s="666">
        <f t="shared" ref="E157:L157" si="116">+SUM(E155:E156)</f>
        <v>1718.9166670000002</v>
      </c>
      <c r="F157" s="666">
        <f t="shared" si="116"/>
        <v>47930.229999999989</v>
      </c>
      <c r="G157" s="666">
        <f t="shared" si="116"/>
        <v>437.11667199999994</v>
      </c>
      <c r="H157" s="666">
        <f t="shared" si="116"/>
        <v>18127.889999999996</v>
      </c>
      <c r="I157" s="666">
        <f t="shared" si="116"/>
        <v>66058.119999999981</v>
      </c>
      <c r="J157" s="666">
        <f t="shared" si="116"/>
        <v>1075.0000000000002</v>
      </c>
      <c r="K157" s="666">
        <f t="shared" si="116"/>
        <v>0</v>
      </c>
      <c r="L157" s="666">
        <f t="shared" si="116"/>
        <v>67133.119999999981</v>
      </c>
      <c r="M157" s="666">
        <f>+SUM(M155:M156)</f>
        <v>28.5</v>
      </c>
      <c r="N157" s="666">
        <f t="shared" ref="N157:S157" si="117">+SUM(N155:N156)</f>
        <v>2.5000000000000001E-2</v>
      </c>
      <c r="O157" s="666">
        <f t="shared" si="117"/>
        <v>29.212499999999999</v>
      </c>
      <c r="P157" s="666">
        <f t="shared" si="117"/>
        <v>50213.853134737503</v>
      </c>
      <c r="Q157" s="666">
        <f t="shared" si="117"/>
        <v>19153.906171199997</v>
      </c>
      <c r="R157" s="666">
        <f t="shared" si="117"/>
        <v>0</v>
      </c>
      <c r="S157" s="666">
        <f t="shared" si="117"/>
        <v>70442.759305937507</v>
      </c>
      <c r="T157" s="666">
        <f>+SUM(T155:T156)</f>
        <v>0</v>
      </c>
      <c r="U157" s="667">
        <f>+SUM(U155:U156)</f>
        <v>70442.759305937507</v>
      </c>
      <c r="X157" s="667">
        <f>+SUM(X155:X156)</f>
        <v>3309.6393059375259</v>
      </c>
      <c r="Y157" s="668"/>
    </row>
    <row r="158" spans="1:25">
      <c r="A158" s="655"/>
      <c r="B158" s="663"/>
      <c r="C158" s="665"/>
      <c r="D158" s="657"/>
      <c r="E158" s="666"/>
      <c r="F158" s="666"/>
      <c r="G158" s="666"/>
      <c r="H158" s="666"/>
      <c r="I158" s="666"/>
      <c r="J158" s="666"/>
      <c r="K158" s="666"/>
      <c r="L158" s="666"/>
      <c r="M158" s="666"/>
      <c r="N158" s="666"/>
      <c r="O158" s="678"/>
      <c r="P158" s="666"/>
      <c r="Q158" s="666"/>
      <c r="R158" s="666"/>
      <c r="S158" s="666"/>
      <c r="T158" s="666"/>
      <c r="U158" s="679"/>
      <c r="X158" s="668"/>
      <c r="Y158" s="668"/>
    </row>
    <row r="159" spans="1:25" s="681" customFormat="1">
      <c r="A159" s="655"/>
      <c r="B159" s="663"/>
      <c r="C159" s="680" t="s">
        <v>1484</v>
      </c>
      <c r="D159" s="657"/>
      <c r="E159" s="679">
        <f t="shared" ref="E159:X159" si="118">+E157+E151+E145+E132+E123+E116+E97+E87+E57+E43</f>
        <v>184475.22331900001</v>
      </c>
      <c r="F159" s="679">
        <f t="shared" si="118"/>
        <v>4889367.75</v>
      </c>
      <c r="G159" s="679">
        <f t="shared" si="118"/>
        <v>29556.853287999998</v>
      </c>
      <c r="H159" s="679">
        <f t="shared" si="118"/>
        <v>1197321.1400000001</v>
      </c>
      <c r="I159" s="679">
        <f t="shared" si="118"/>
        <v>6086688.8899999997</v>
      </c>
      <c r="J159" s="679">
        <f t="shared" si="118"/>
        <v>152103.94999999981</v>
      </c>
      <c r="K159" s="679">
        <f t="shared" si="118"/>
        <v>105065.82</v>
      </c>
      <c r="L159" s="679">
        <f t="shared" si="118"/>
        <v>6343858.6599999992</v>
      </c>
      <c r="M159" s="679">
        <f>+M157+M151+M145+M132+M123+M116+M97+M87+M57+M43</f>
        <v>2697.97</v>
      </c>
      <c r="N159" s="679">
        <f t="shared" si="118"/>
        <v>3.253343063244948</v>
      </c>
      <c r="O159" s="679">
        <f t="shared" si="118"/>
        <v>1252.10925</v>
      </c>
      <c r="P159" s="679">
        <f t="shared" si="118"/>
        <v>5116374.4406692544</v>
      </c>
      <c r="Q159" s="679">
        <f t="shared" si="118"/>
        <v>1245446.0191631615</v>
      </c>
      <c r="R159" s="679">
        <f t="shared" si="118"/>
        <v>108507.30533673472</v>
      </c>
      <c r="S159" s="679">
        <f t="shared" si="118"/>
        <v>6622431.7151691513</v>
      </c>
      <c r="T159" s="679">
        <f t="shared" si="118"/>
        <v>13750</v>
      </c>
      <c r="U159" s="679">
        <f t="shared" si="118"/>
        <v>6636181.7151691513</v>
      </c>
      <c r="V159" s="598"/>
      <c r="W159" s="598"/>
      <c r="X159" s="679">
        <f t="shared" si="118"/>
        <v>292323.05516915215</v>
      </c>
      <c r="Y159" s="668"/>
    </row>
    <row r="160" spans="1:25" s="681" customFormat="1" ht="12" thickBot="1">
      <c r="A160" s="655"/>
      <c r="B160" s="663"/>
      <c r="C160" s="664"/>
      <c r="D160" s="657"/>
      <c r="E160" s="668"/>
      <c r="F160" s="668"/>
      <c r="G160" s="668"/>
      <c r="H160" s="682"/>
      <c r="I160" s="668"/>
      <c r="J160" s="668"/>
      <c r="K160" s="668"/>
      <c r="L160" s="668"/>
      <c r="M160" s="668"/>
      <c r="N160" s="668"/>
      <c r="O160" s="683"/>
      <c r="P160" s="668"/>
      <c r="Q160" s="668"/>
      <c r="R160" s="668"/>
      <c r="S160" s="668"/>
      <c r="T160" s="668"/>
      <c r="U160" s="652"/>
      <c r="V160" s="598"/>
      <c r="W160" s="598"/>
      <c r="X160" s="675"/>
      <c r="Y160" s="675"/>
    </row>
    <row r="161" spans="1:26" s="681" customFormat="1" ht="12.75" thickTop="1" thickBot="1">
      <c r="A161" s="684"/>
      <c r="B161" s="685" t="s">
        <v>1485</v>
      </c>
      <c r="C161" s="643"/>
      <c r="D161" s="644"/>
      <c r="E161" s="668"/>
      <c r="F161" s="668"/>
      <c r="G161" s="668"/>
      <c r="H161" s="682"/>
      <c r="I161" s="668"/>
      <c r="J161" s="668"/>
      <c r="K161" s="668"/>
      <c r="L161" s="668"/>
      <c r="M161" s="668"/>
      <c r="N161" s="668"/>
      <c r="O161" s="683"/>
      <c r="P161" s="668"/>
      <c r="Q161" s="668"/>
      <c r="R161" s="668"/>
      <c r="S161" s="668"/>
      <c r="T161" s="668"/>
      <c r="U161" s="652"/>
      <c r="V161" s="598"/>
      <c r="W161" s="598"/>
      <c r="X161" s="599">
        <f>+S161-L161</f>
        <v>0</v>
      </c>
      <c r="Y161" s="599"/>
    </row>
    <row r="162" spans="1:26" ht="12" thickTop="1">
      <c r="A162" s="655">
        <v>2180</v>
      </c>
      <c r="B162" s="577" t="s">
        <v>1486</v>
      </c>
      <c r="C162" s="656" t="s">
        <v>1487</v>
      </c>
      <c r="D162" s="657" t="str">
        <f>VLOOKUP(B162,'[51]2180 Job Descriptions'!E:G,3,FALSE)</f>
        <v>Maintenance Manager</v>
      </c>
      <c r="E162" s="649">
        <f>+VLOOKUP($B162,'[51]Payroll Report Pivot'!$O:$Q,3,FALSE)</f>
        <v>2080</v>
      </c>
      <c r="F162" s="650">
        <f>+VLOOKUP($B162,'[51]Payroll Report Pivot'!$O:$R,4,FALSE)</f>
        <v>81817.89</v>
      </c>
      <c r="G162" s="649">
        <f>IFERROR(VLOOKUP(B162,'[51]Payroll Report Pivot'!$Y:$AA,3,FALSE),0)</f>
        <v>0</v>
      </c>
      <c r="H162" s="650">
        <f>IFERROR(VLOOKUP($B162,'[51]Payroll Report Pivot'!$Y:$AB,4,FALSE),0)</f>
        <v>0</v>
      </c>
      <c r="I162" s="650">
        <f t="shared" ref="I162:I185" si="119">+F162+H162</f>
        <v>81817.89</v>
      </c>
      <c r="J162" s="649">
        <f>+IFERROR(VLOOKUP(B162,'[51]Payroll Report Pivot'!$AH:$AJ,3,FALSE),0)</f>
        <v>0</v>
      </c>
      <c r="K162" s="649">
        <f>IFERROR(VLOOKUP(B162,'[51]Payroll Report Pivot'!$AP:$AR,3,FALSE),0)</f>
        <v>0</v>
      </c>
      <c r="L162" s="649">
        <f t="shared" ref="L162:L185" si="120">+K162+J162+I162</f>
        <v>81817.89</v>
      </c>
      <c r="M162" s="650">
        <f>+VLOOKUP(B162,'[51]Payroll Report Pivot'!$E:$H,4,FALSE)</f>
        <v>39.915865384615387</v>
      </c>
      <c r="N162" s="658">
        <f>+IF(V162="union",(1/M162),2.5%)</f>
        <v>2.5000000000000001E-2</v>
      </c>
      <c r="O162" s="659">
        <f t="shared" ref="O162:O185" si="121">IF(V162="PCS","27.85",M162*(1+N162))</f>
        <v>40.913762019230766</v>
      </c>
      <c r="P162" s="660">
        <f t="shared" ref="P162:P185" si="122">+O162*E162</f>
        <v>85100.625</v>
      </c>
      <c r="Q162" s="660">
        <f t="shared" ref="Q162:Q185" si="123">+O162*G162*1.5</f>
        <v>0</v>
      </c>
      <c r="R162" s="660">
        <f t="shared" ref="R162:R185" si="124">+K162*(1+N162)</f>
        <v>0</v>
      </c>
      <c r="S162" s="649">
        <f t="shared" ref="S162:S185" si="125">SUM(P162:R162)+J162</f>
        <v>85100.625</v>
      </c>
      <c r="T162" s="649">
        <f t="shared" ref="T162:T185" si="126">+IF(V162="PCS",250,0)</f>
        <v>0</v>
      </c>
      <c r="U162" s="652">
        <f t="shared" ref="U162:U185" si="127">+S162+T162</f>
        <v>85100.625</v>
      </c>
      <c r="V162" s="598" t="s">
        <v>1488</v>
      </c>
      <c r="W162" s="598">
        <v>5201</v>
      </c>
      <c r="X162" s="599">
        <f t="shared" ref="X162:X185" si="128">U162-L162</f>
        <v>3282.7350000000006</v>
      </c>
    </row>
    <row r="163" spans="1:26">
      <c r="A163" s="655">
        <v>2180</v>
      </c>
      <c r="B163" s="577" t="s">
        <v>1489</v>
      </c>
      <c r="C163" s="656" t="s">
        <v>1490</v>
      </c>
      <c r="D163" s="657" t="str">
        <f>VLOOKUP(B163,'[51]2180 Job Descriptions'!E:G,3,FALSE)</f>
        <v>Mechanic</v>
      </c>
      <c r="E163" s="649">
        <f>+VLOOKUP($B163,'[51]Payroll Report Pivot'!$O:$Q,3,FALSE)</f>
        <v>2083.2666660000004</v>
      </c>
      <c r="F163" s="650">
        <f>+VLOOKUP($B163,'[51]Payroll Report Pivot'!$O:$R,4,FALSE)</f>
        <v>65683.039999999994</v>
      </c>
      <c r="G163" s="649">
        <f>IFERROR(VLOOKUP(B163,'[51]Payroll Report Pivot'!$Y:$AA,3,FALSE),0)</f>
        <v>205.95000299999998</v>
      </c>
      <c r="H163" s="650">
        <f>IFERROR(VLOOKUP($B163,'[51]Payroll Report Pivot'!$Y:$AB,4,FALSE),0)</f>
        <v>9903.16</v>
      </c>
      <c r="I163" s="650">
        <f t="shared" si="119"/>
        <v>75586.2</v>
      </c>
      <c r="J163" s="649">
        <f>+IFERROR(VLOOKUP(B163,'[51]Payroll Report Pivot'!$AH:$AJ,3,FALSE),0)</f>
        <v>3099.9999999999936</v>
      </c>
      <c r="K163" s="649">
        <f>IFERROR(VLOOKUP(B163,'[51]Payroll Report Pivot'!$AP:$AR,3,FALSE),0)</f>
        <v>0</v>
      </c>
      <c r="L163" s="649">
        <f t="shared" si="120"/>
        <v>78686.2</v>
      </c>
      <c r="M163" s="650">
        <f>+VLOOKUP(B163,'[51]Payroll Report Pivot'!$E:$H,4,FALSE)</f>
        <v>31.5</v>
      </c>
      <c r="N163" s="658">
        <v>2.5000000000000001E-2</v>
      </c>
      <c r="O163" s="659">
        <f t="shared" si="121"/>
        <v>32.287499999999994</v>
      </c>
      <c r="P163" s="660">
        <f t="shared" si="122"/>
        <v>67263.472478475</v>
      </c>
      <c r="Q163" s="660">
        <f t="shared" si="123"/>
        <v>9974.4160827937485</v>
      </c>
      <c r="R163" s="660">
        <f t="shared" si="124"/>
        <v>0</v>
      </c>
      <c r="S163" s="649">
        <f t="shared" si="125"/>
        <v>80337.888561268745</v>
      </c>
      <c r="T163" s="649">
        <f t="shared" si="126"/>
        <v>0</v>
      </c>
      <c r="U163" s="652">
        <f t="shared" si="127"/>
        <v>80337.888561268745</v>
      </c>
      <c r="V163" s="598" t="s">
        <v>1488</v>
      </c>
      <c r="W163" s="598">
        <v>5202</v>
      </c>
      <c r="X163" s="599">
        <f t="shared" si="128"/>
        <v>1651.6885612687474</v>
      </c>
      <c r="Z163" s="598">
        <f t="shared" ref="Z163:Z185" si="129">+B163*1</f>
        <v>114086</v>
      </c>
    </row>
    <row r="164" spans="1:26">
      <c r="A164" s="655">
        <v>2180</v>
      </c>
      <c r="B164" s="577" t="s">
        <v>1491</v>
      </c>
      <c r="C164" s="656" t="s">
        <v>1492</v>
      </c>
      <c r="D164" s="657" t="str">
        <f>VLOOKUP(B164,'[51]2180 Job Descriptions'!E:G,3,FALSE)</f>
        <v>Mechanic</v>
      </c>
      <c r="E164" s="649">
        <f>+VLOOKUP($B164,'[51]Payroll Report Pivot'!$O:$Q,3,FALSE)</f>
        <v>2108.2499989999997</v>
      </c>
      <c r="F164" s="650">
        <f>+VLOOKUP($B164,'[51]Payroll Report Pivot'!$O:$R,4,FALSE)</f>
        <v>62085.430000000022</v>
      </c>
      <c r="G164" s="649">
        <f>IFERROR(VLOOKUP(B164,'[51]Payroll Report Pivot'!$Y:$AA,3,FALSE),0)</f>
        <v>263.98334</v>
      </c>
      <c r="H164" s="650">
        <f>IFERROR(VLOOKUP($B164,'[51]Payroll Report Pivot'!$Y:$AB,4,FALSE),0)</f>
        <v>11683.160000000002</v>
      </c>
      <c r="I164" s="650">
        <f t="shared" si="119"/>
        <v>73768.590000000026</v>
      </c>
      <c r="J164" s="649">
        <f>+IFERROR(VLOOKUP(B164,'[51]Payroll Report Pivot'!$AH:$AJ,3,FALSE),0)</f>
        <v>3024.9999999999964</v>
      </c>
      <c r="K164" s="649">
        <f>IFERROR(VLOOKUP(B164,'[51]Payroll Report Pivot'!$AP:$AR,3,FALSE),0)</f>
        <v>0</v>
      </c>
      <c r="L164" s="649">
        <f t="shared" si="120"/>
        <v>76793.590000000026</v>
      </c>
      <c r="M164" s="650">
        <f>+VLOOKUP(B164,'[51]Payroll Report Pivot'!$E:$H,4,FALSE)</f>
        <v>29.22</v>
      </c>
      <c r="N164" s="658">
        <f>IFERROR(VLOOKUP(Z164,[52]Payroll!$C$6:$M$61,11,FALSE),2.5%)</f>
        <v>2.8062970568104049E-2</v>
      </c>
      <c r="O164" s="659">
        <f t="shared" si="121"/>
        <v>30.040000000000003</v>
      </c>
      <c r="P164" s="660">
        <f t="shared" si="122"/>
        <v>63331.829969959996</v>
      </c>
      <c r="Q164" s="660">
        <f t="shared" si="123"/>
        <v>11895.089300400001</v>
      </c>
      <c r="R164" s="660">
        <f t="shared" si="124"/>
        <v>0</v>
      </c>
      <c r="S164" s="649">
        <f t="shared" si="125"/>
        <v>78251.919270359998</v>
      </c>
      <c r="T164" s="649">
        <f t="shared" si="126"/>
        <v>0</v>
      </c>
      <c r="U164" s="652">
        <f t="shared" si="127"/>
        <v>78251.919270359998</v>
      </c>
      <c r="V164" s="598" t="s">
        <v>1488</v>
      </c>
      <c r="W164" s="598">
        <v>5202</v>
      </c>
      <c r="X164" s="599">
        <f t="shared" si="128"/>
        <v>1458.3292703599727</v>
      </c>
      <c r="Z164" s="598">
        <f t="shared" si="129"/>
        <v>114082</v>
      </c>
    </row>
    <row r="165" spans="1:26">
      <c r="A165" s="655">
        <v>2180</v>
      </c>
      <c r="B165" s="577" t="s">
        <v>1493</v>
      </c>
      <c r="C165" s="656" t="s">
        <v>1494</v>
      </c>
      <c r="D165" s="657" t="str">
        <f>VLOOKUP(B165,'[51]2180 Job Descriptions'!E:G,3,FALSE)</f>
        <v>Mechanic</v>
      </c>
      <c r="E165" s="649">
        <f>+VLOOKUP($B165,'[51]Payroll Report Pivot'!$O:$Q,3,FALSE)</f>
        <v>1997.3958309999998</v>
      </c>
      <c r="F165" s="650">
        <f>+VLOOKUP($B165,'[51]Payroll Report Pivot'!$O:$R,4,FALSE)</f>
        <v>43744.350000000006</v>
      </c>
      <c r="G165" s="649">
        <f>IFERROR(VLOOKUP(B165,'[51]Payroll Report Pivot'!$Y:$AA,3,FALSE),0)</f>
        <v>108.50000299999999</v>
      </c>
      <c r="H165" s="650">
        <f>IFERROR(VLOOKUP($B165,'[51]Payroll Report Pivot'!$Y:$AB,4,FALSE),0)</f>
        <v>3553.95</v>
      </c>
      <c r="I165" s="650">
        <f t="shared" si="119"/>
        <v>47298.3</v>
      </c>
      <c r="J165" s="649">
        <f>+IFERROR(VLOOKUP(B165,'[51]Payroll Report Pivot'!$AH:$AJ,3,FALSE),0)</f>
        <v>1581.9999999999998</v>
      </c>
      <c r="K165" s="649">
        <f>IFERROR(VLOOKUP(B165,'[51]Payroll Report Pivot'!$AP:$AR,3,FALSE),0)</f>
        <v>0</v>
      </c>
      <c r="L165" s="649">
        <f t="shared" si="120"/>
        <v>48880.3</v>
      </c>
      <c r="M165" s="650">
        <f>+VLOOKUP(B165,'[51]Payroll Report Pivot'!$E:$H,4,FALSE)</f>
        <v>21.63</v>
      </c>
      <c r="N165" s="658">
        <f>IFERROR(VLOOKUP(Z165,[52]Payroll!$C$6:$M$61,11,FALSE),2.5%)</f>
        <v>2.8201571890892254E-2</v>
      </c>
      <c r="O165" s="659">
        <f t="shared" si="121"/>
        <v>22.240000000000002</v>
      </c>
      <c r="P165" s="660">
        <f t="shared" si="122"/>
        <v>44422.083281439998</v>
      </c>
      <c r="Q165" s="660">
        <f t="shared" si="123"/>
        <v>3619.5601000800002</v>
      </c>
      <c r="R165" s="660">
        <f t="shared" si="124"/>
        <v>0</v>
      </c>
      <c r="S165" s="649">
        <f t="shared" si="125"/>
        <v>49623.64338152</v>
      </c>
      <c r="T165" s="649">
        <f t="shared" si="126"/>
        <v>0</v>
      </c>
      <c r="U165" s="652">
        <f t="shared" si="127"/>
        <v>49623.64338152</v>
      </c>
      <c r="V165" s="598" t="s">
        <v>1488</v>
      </c>
      <c r="W165" s="598">
        <v>5202</v>
      </c>
      <c r="X165" s="599">
        <f t="shared" si="128"/>
        <v>743.34338151999691</v>
      </c>
      <c r="Z165" s="598">
        <f t="shared" si="129"/>
        <v>306836</v>
      </c>
    </row>
    <row r="166" spans="1:26">
      <c r="A166" s="655">
        <v>2180</v>
      </c>
      <c r="B166" s="577" t="s">
        <v>1495</v>
      </c>
      <c r="C166" s="656" t="s">
        <v>1496</v>
      </c>
      <c r="D166" s="657" t="str">
        <f>VLOOKUP(B166,'[51]2180 Job Descriptions'!E:G,3,FALSE)</f>
        <v>Mechanic</v>
      </c>
      <c r="E166" s="649">
        <f>+VLOOKUP($B166,'[51]Payroll Report Pivot'!$O:$Q,3,FALSE)</f>
        <v>1369.95</v>
      </c>
      <c r="F166" s="650">
        <f>+VLOOKUP($B166,'[51]Payroll Report Pivot'!$O:$R,4,FALSE)</f>
        <v>36727.68</v>
      </c>
      <c r="G166" s="649">
        <f>IFERROR(VLOOKUP(B166,'[51]Payroll Report Pivot'!$Y:$AA,3,FALSE),0)</f>
        <v>276.93332600000002</v>
      </c>
      <c r="H166" s="650">
        <f>IFERROR(VLOOKUP($B166,'[51]Payroll Report Pivot'!$Y:$AB,4,FALSE),0)</f>
        <v>11008.380000000001</v>
      </c>
      <c r="I166" s="650">
        <f t="shared" si="119"/>
        <v>47736.06</v>
      </c>
      <c r="J166" s="649">
        <f>+IFERROR(VLOOKUP(B166,'[51]Payroll Report Pivot'!$AH:$AJ,3,FALSE),0)</f>
        <v>0</v>
      </c>
      <c r="K166" s="649">
        <f>IFERROR(VLOOKUP(B166,'[51]Payroll Report Pivot'!$AP:$AR,3,FALSE),0)</f>
        <v>0</v>
      </c>
      <c r="L166" s="649">
        <f t="shared" si="120"/>
        <v>47736.06</v>
      </c>
      <c r="M166" s="650">
        <f>+VLOOKUP(B166,'[51]Payroll Report Pivot'!$E:$H,4,FALSE)</f>
        <v>26.5</v>
      </c>
      <c r="N166" s="658">
        <f>IFERROR(VLOOKUP(Z166,[52]Payroll!$C$6:$M$61,11,FALSE),2.5%)</f>
        <v>2.7924528301886735E-2</v>
      </c>
      <c r="O166" s="659">
        <f t="shared" si="121"/>
        <v>27.24</v>
      </c>
      <c r="P166" s="660">
        <f t="shared" si="122"/>
        <v>37317.438000000002</v>
      </c>
      <c r="Q166" s="660">
        <f t="shared" si="123"/>
        <v>11315.495700360001</v>
      </c>
      <c r="R166" s="660">
        <f t="shared" si="124"/>
        <v>0</v>
      </c>
      <c r="S166" s="649">
        <f t="shared" si="125"/>
        <v>48632.933700360001</v>
      </c>
      <c r="T166" s="649">
        <f t="shared" si="126"/>
        <v>0</v>
      </c>
      <c r="U166" s="652">
        <f t="shared" si="127"/>
        <v>48632.933700360001</v>
      </c>
      <c r="V166" s="598" t="s">
        <v>1488</v>
      </c>
      <c r="W166" s="598">
        <v>5202</v>
      </c>
      <c r="X166" s="599">
        <f t="shared" si="128"/>
        <v>896.87370036000357</v>
      </c>
      <c r="Z166" s="598">
        <f t="shared" si="129"/>
        <v>311279</v>
      </c>
    </row>
    <row r="167" spans="1:26">
      <c r="A167" s="655">
        <v>2180</v>
      </c>
      <c r="B167" s="577" t="s">
        <v>1497</v>
      </c>
      <c r="C167" s="656" t="s">
        <v>1498</v>
      </c>
      <c r="D167" s="657" t="str">
        <f>VLOOKUP(B167,'[51]2180 Job Descriptions'!E:G,3,FALSE)</f>
        <v>Mechanic</v>
      </c>
      <c r="E167" s="649">
        <f>+VLOOKUP($B167,'[51]Payroll Report Pivot'!$O:$Q,3,FALSE)</f>
        <v>1958.826667</v>
      </c>
      <c r="F167" s="650">
        <f>+VLOOKUP($B167,'[51]Payroll Report Pivot'!$O:$R,4,FALSE)</f>
        <v>60912.439999999981</v>
      </c>
      <c r="G167" s="649">
        <f>IFERROR(VLOOKUP(B167,'[51]Payroll Report Pivot'!$Y:$AA,3,FALSE),0)</f>
        <v>448.56665699999996</v>
      </c>
      <c r="H167" s="650">
        <f>IFERROR(VLOOKUP($B167,'[51]Payroll Report Pivot'!$Y:$AB,4,FALSE),0)</f>
        <v>21220.36</v>
      </c>
      <c r="I167" s="650">
        <f t="shared" si="119"/>
        <v>82132.799999999988</v>
      </c>
      <c r="J167" s="649">
        <f>+IFERROR(VLOOKUP(B167,'[51]Payroll Report Pivot'!$AH:$AJ,3,FALSE),0)</f>
        <v>3274.9999999999986</v>
      </c>
      <c r="K167" s="649">
        <f>IFERROR(VLOOKUP(B167,'[51]Payroll Report Pivot'!$AP:$AR,3,FALSE),0)</f>
        <v>1110.53</v>
      </c>
      <c r="L167" s="649">
        <f t="shared" si="120"/>
        <v>86518.329999999987</v>
      </c>
      <c r="M167" s="650">
        <f>+VLOOKUP(B167,'[51]Payroll Report Pivot'!$E:$H,4,FALSE)</f>
        <v>30.72</v>
      </c>
      <c r="N167" s="658">
        <f>IFERROR(VLOOKUP(Z167,[52]Payroll!$C$6:$M$61,11,FALSE),2.5%)</f>
        <v>2.5000000000000001E-2</v>
      </c>
      <c r="O167" s="659">
        <f t="shared" si="121"/>
        <v>31.487999999999996</v>
      </c>
      <c r="P167" s="660">
        <f t="shared" si="122"/>
        <v>61679.534090495996</v>
      </c>
      <c r="Q167" s="660">
        <f t="shared" si="123"/>
        <v>21186.700343423996</v>
      </c>
      <c r="R167" s="660">
        <f t="shared" si="124"/>
        <v>1138.2932499999999</v>
      </c>
      <c r="S167" s="649">
        <f t="shared" si="125"/>
        <v>87279.527683919994</v>
      </c>
      <c r="T167" s="649">
        <f t="shared" si="126"/>
        <v>0</v>
      </c>
      <c r="U167" s="652">
        <f t="shared" si="127"/>
        <v>87279.527683919994</v>
      </c>
      <c r="V167" s="598" t="s">
        <v>1488</v>
      </c>
      <c r="W167" s="598">
        <v>5202</v>
      </c>
      <c r="X167" s="599">
        <f t="shared" si="128"/>
        <v>761.19768392000697</v>
      </c>
      <c r="Z167" s="598">
        <f t="shared" si="129"/>
        <v>300019</v>
      </c>
    </row>
    <row r="168" spans="1:26">
      <c r="A168" s="655">
        <v>2180</v>
      </c>
      <c r="B168" s="577" t="s">
        <v>1499</v>
      </c>
      <c r="C168" s="656" t="s">
        <v>1500</v>
      </c>
      <c r="D168" s="657" t="str">
        <f>VLOOKUP(B168,'[51]2180 Job Descriptions'!E:G,3,FALSE)</f>
        <v>Mechanic</v>
      </c>
      <c r="E168" s="649">
        <f>+VLOOKUP($B168,'[51]Payroll Report Pivot'!$O:$Q,3,FALSE)</f>
        <v>2067.8833300000001</v>
      </c>
      <c r="F168" s="650">
        <f>+VLOOKUP($B168,'[51]Payroll Report Pivot'!$O:$R,4,FALSE)</f>
        <v>42805.69</v>
      </c>
      <c r="G168" s="649">
        <f>IFERROR(VLOOKUP(B168,'[51]Payroll Report Pivot'!$Y:$AA,3,FALSE),0)</f>
        <v>139.99999500000001</v>
      </c>
      <c r="H168" s="650">
        <f>IFERROR(VLOOKUP($B168,'[51]Payroll Report Pivot'!$Y:$AB,4,FALSE),0)</f>
        <v>4387.6499999999978</v>
      </c>
      <c r="I168" s="650">
        <f t="shared" si="119"/>
        <v>47193.34</v>
      </c>
      <c r="J168" s="649">
        <f>+IFERROR(VLOOKUP(B168,'[51]Payroll Report Pivot'!$AH:$AJ,3,FALSE),0)</f>
        <v>3124.9999999999941</v>
      </c>
      <c r="K168" s="649">
        <f>IFERROR(VLOOKUP(B168,'[51]Payroll Report Pivot'!$AP:$AR,3,FALSE),0)</f>
        <v>0</v>
      </c>
      <c r="L168" s="649">
        <f t="shared" si="120"/>
        <v>50318.339999999989</v>
      </c>
      <c r="M168" s="650">
        <f>+VLOOKUP(B168,'[51]Payroll Report Pivot'!$E:$H,4,FALSE)</f>
        <v>20.53</v>
      </c>
      <c r="N168" s="658">
        <f>IFERROR(VLOOKUP(Z168,[52]Payroll!$C$6:$M$61,11,FALSE),2.5%)</f>
        <v>2.7764247442766694E-2</v>
      </c>
      <c r="O168" s="659">
        <f t="shared" si="121"/>
        <v>21.1</v>
      </c>
      <c r="P168" s="660">
        <f t="shared" si="122"/>
        <v>43632.338263000005</v>
      </c>
      <c r="Q168" s="660">
        <f t="shared" si="123"/>
        <v>4430.999841750001</v>
      </c>
      <c r="R168" s="660">
        <f t="shared" si="124"/>
        <v>0</v>
      </c>
      <c r="S168" s="649">
        <f t="shared" si="125"/>
        <v>51188.338104750001</v>
      </c>
      <c r="T168" s="649">
        <f t="shared" si="126"/>
        <v>0</v>
      </c>
      <c r="U168" s="652">
        <f t="shared" si="127"/>
        <v>51188.338104750001</v>
      </c>
      <c r="V168" s="598" t="s">
        <v>1488</v>
      </c>
      <c r="W168" s="598">
        <v>5202</v>
      </c>
      <c r="X168" s="599">
        <f t="shared" si="128"/>
        <v>869.99810475001141</v>
      </c>
      <c r="Z168" s="598">
        <f t="shared" si="129"/>
        <v>156357</v>
      </c>
    </row>
    <row r="169" spans="1:26">
      <c r="A169" s="655">
        <v>2180</v>
      </c>
      <c r="B169" s="577" t="s">
        <v>1501</v>
      </c>
      <c r="C169" s="656" t="s">
        <v>1502</v>
      </c>
      <c r="D169" s="657" t="str">
        <f>VLOOKUP(B169,'[51]2180 Job Descriptions'!E:G,3,FALSE)</f>
        <v>Mechanic</v>
      </c>
      <c r="E169" s="649">
        <f>+VLOOKUP($B169,'[51]Payroll Report Pivot'!$O:$Q,3,FALSE)</f>
        <v>2057.333333</v>
      </c>
      <c r="F169" s="650">
        <f>+VLOOKUP($B169,'[51]Payroll Report Pivot'!$O:$R,4,FALSE)</f>
        <v>42514.54</v>
      </c>
      <c r="G169" s="649">
        <f>IFERROR(VLOOKUP(B169,'[51]Payroll Report Pivot'!$Y:$AA,3,FALSE),0)</f>
        <v>109.41666499999999</v>
      </c>
      <c r="H169" s="650">
        <f>IFERROR(VLOOKUP($B169,'[51]Payroll Report Pivot'!$Y:$AB,4,FALSE),0)</f>
        <v>3405.9800000000005</v>
      </c>
      <c r="I169" s="650">
        <f t="shared" si="119"/>
        <v>45920.520000000004</v>
      </c>
      <c r="J169" s="649">
        <f>+IFERROR(VLOOKUP(B169,'[51]Payroll Report Pivot'!$AH:$AJ,3,FALSE),0)</f>
        <v>1024.9999999999995</v>
      </c>
      <c r="K169" s="649">
        <f>IFERROR(VLOOKUP(B169,'[51]Payroll Report Pivot'!$AP:$AR,3,FALSE),0)</f>
        <v>319.52</v>
      </c>
      <c r="L169" s="649">
        <f t="shared" si="120"/>
        <v>47265.04</v>
      </c>
      <c r="M169" s="650">
        <f>+VLOOKUP(B169,'[51]Payroll Report Pivot'!$E:$H,4,FALSE)</f>
        <v>20.57</v>
      </c>
      <c r="N169" s="658">
        <f>IFERROR(VLOOKUP(Z169,[52]Payroll!$C$6:$M$61,11,FALSE),2.5%)</f>
        <v>2.8196402527953246E-2</v>
      </c>
      <c r="O169" s="659">
        <f t="shared" si="121"/>
        <v>21.15</v>
      </c>
      <c r="P169" s="660">
        <f t="shared" si="122"/>
        <v>43512.599992949996</v>
      </c>
      <c r="Q169" s="660">
        <f t="shared" si="123"/>
        <v>3471.2436971249999</v>
      </c>
      <c r="R169" s="660">
        <f t="shared" si="124"/>
        <v>328.5293145357316</v>
      </c>
      <c r="S169" s="649">
        <f t="shared" si="125"/>
        <v>48337.373004610723</v>
      </c>
      <c r="T169" s="649">
        <f t="shared" si="126"/>
        <v>0</v>
      </c>
      <c r="U169" s="652">
        <f t="shared" si="127"/>
        <v>48337.373004610723</v>
      </c>
      <c r="V169" s="598" t="s">
        <v>1488</v>
      </c>
      <c r="W169" s="598">
        <v>5202</v>
      </c>
      <c r="X169" s="599">
        <f t="shared" si="128"/>
        <v>1072.3330046107221</v>
      </c>
      <c r="Z169" s="598">
        <f t="shared" si="129"/>
        <v>114233</v>
      </c>
    </row>
    <row r="170" spans="1:26">
      <c r="A170" s="655">
        <v>2180</v>
      </c>
      <c r="B170" s="577" t="s">
        <v>1503</v>
      </c>
      <c r="C170" s="656" t="s">
        <v>1504</v>
      </c>
      <c r="D170" s="657" t="str">
        <f>VLOOKUP(B170,'[51]2180 Job Descriptions'!E:G,3,FALSE)</f>
        <v>Mechanic</v>
      </c>
      <c r="E170" s="649">
        <f>+VLOOKUP($B170,'[51]Payroll Report Pivot'!$O:$Q,3,FALSE)</f>
        <v>2150.5833309999998</v>
      </c>
      <c r="F170" s="650">
        <f>+VLOOKUP($B170,'[51]Payroll Report Pivot'!$O:$R,4,FALSE)</f>
        <v>55930.599999999991</v>
      </c>
      <c r="G170" s="649">
        <f>IFERROR(VLOOKUP(B170,'[51]Payroll Report Pivot'!$Y:$AA,3,FALSE),0)</f>
        <v>305.90000700000002</v>
      </c>
      <c r="H170" s="650">
        <f>IFERROR(VLOOKUP($B170,'[51]Payroll Report Pivot'!$Y:$AB,4,FALSE),0)</f>
        <v>12139.289999999999</v>
      </c>
      <c r="I170" s="650">
        <f t="shared" si="119"/>
        <v>68069.889999999985</v>
      </c>
      <c r="J170" s="649">
        <f>+IFERROR(VLOOKUP(B170,'[51]Payroll Report Pivot'!$AH:$AJ,3,FALSE),0)</f>
        <v>3124.9999999999936</v>
      </c>
      <c r="K170" s="649">
        <f>IFERROR(VLOOKUP(B170,'[51]Payroll Report Pivot'!$AP:$AR,3,FALSE),0)</f>
        <v>1076.68</v>
      </c>
      <c r="L170" s="649">
        <f t="shared" si="120"/>
        <v>72271.569999999978</v>
      </c>
      <c r="M170" s="650">
        <f>+VLOOKUP(B170,'[51]Payroll Report Pivot'!$E:$H,4,FALSE)</f>
        <v>25.9</v>
      </c>
      <c r="N170" s="658">
        <f>IFERROR(VLOOKUP(Z170,[52]Payroll!$C$6:$M$61,11,FALSE),2.5%)</f>
        <v>2.8185328185328203E-2</v>
      </c>
      <c r="O170" s="659">
        <f t="shared" si="121"/>
        <v>26.63</v>
      </c>
      <c r="P170" s="660">
        <f t="shared" si="122"/>
        <v>57270.034104529994</v>
      </c>
      <c r="Q170" s="660">
        <f t="shared" si="123"/>
        <v>12219.175779615</v>
      </c>
      <c r="R170" s="660">
        <f t="shared" si="124"/>
        <v>1107.0265791505792</v>
      </c>
      <c r="S170" s="649">
        <f t="shared" si="125"/>
        <v>73721.236463295572</v>
      </c>
      <c r="T170" s="649">
        <f t="shared" si="126"/>
        <v>0</v>
      </c>
      <c r="U170" s="652">
        <f t="shared" si="127"/>
        <v>73721.236463295572</v>
      </c>
      <c r="V170" s="598" t="s">
        <v>1488</v>
      </c>
      <c r="W170" s="598">
        <v>5202</v>
      </c>
      <c r="X170" s="599">
        <f t="shared" si="128"/>
        <v>1449.6664632955944</v>
      </c>
      <c r="Z170" s="598">
        <f t="shared" si="129"/>
        <v>116292</v>
      </c>
    </row>
    <row r="171" spans="1:26">
      <c r="A171" s="655">
        <v>2180</v>
      </c>
      <c r="B171" s="577" t="s">
        <v>1505</v>
      </c>
      <c r="C171" s="656" t="s">
        <v>1506</v>
      </c>
      <c r="D171" s="657" t="str">
        <f>VLOOKUP(B171,'[51]2180 Job Descriptions'!E:G,3,FALSE)</f>
        <v>Mechanic</v>
      </c>
      <c r="E171" s="649">
        <f>+VLOOKUP($B171,'[51]Payroll Report Pivot'!$O:$Q,3,FALSE)</f>
        <v>220.91666599999999</v>
      </c>
      <c r="F171" s="650">
        <f>+VLOOKUP($B171,'[51]Payroll Report Pivot'!$O:$R,4,FALSE)</f>
        <v>5522.92</v>
      </c>
      <c r="G171" s="649">
        <f>IFERROR(VLOOKUP(B171,'[51]Payroll Report Pivot'!$Y:$AA,3,FALSE),0)</f>
        <v>29.900002999999998</v>
      </c>
      <c r="H171" s="650">
        <f>IFERROR(VLOOKUP($B171,'[51]Payroll Report Pivot'!$Y:$AB,4,FALSE),0)</f>
        <v>1121.29</v>
      </c>
      <c r="I171" s="650">
        <f t="shared" si="119"/>
        <v>6644.21</v>
      </c>
      <c r="J171" s="649">
        <f>+IFERROR(VLOOKUP(B171,'[51]Payroll Report Pivot'!$AH:$AJ,3,FALSE),0)</f>
        <v>0</v>
      </c>
      <c r="K171" s="649">
        <f>IFERROR(VLOOKUP(B171,'[51]Payroll Report Pivot'!$AP:$AR,3,FALSE),0)</f>
        <v>0</v>
      </c>
      <c r="L171" s="649">
        <f t="shared" si="120"/>
        <v>6644.21</v>
      </c>
      <c r="M171" s="650">
        <f>+VLOOKUP(B171,'[51]Payroll Report Pivot'!$E:$H,4,FALSE)</f>
        <v>25</v>
      </c>
      <c r="N171" s="658">
        <f>IFERROR(VLOOKUP(Z171,[52]Payroll!$C$6:$M$61,11,FALSE),2.5%)</f>
        <v>2.7999999999999973E-2</v>
      </c>
      <c r="O171" s="659">
        <f t="shared" si="121"/>
        <v>25.7</v>
      </c>
      <c r="P171" s="660">
        <f t="shared" si="122"/>
        <v>5677.5583161999994</v>
      </c>
      <c r="Q171" s="660">
        <f t="shared" si="123"/>
        <v>1152.64511565</v>
      </c>
      <c r="R171" s="660">
        <f t="shared" si="124"/>
        <v>0</v>
      </c>
      <c r="S171" s="649">
        <f t="shared" si="125"/>
        <v>6830.2034318499991</v>
      </c>
      <c r="T171" s="649">
        <f t="shared" si="126"/>
        <v>0</v>
      </c>
      <c r="U171" s="652">
        <f t="shared" si="127"/>
        <v>6830.2034318499991</v>
      </c>
      <c r="V171" s="598" t="s">
        <v>1488</v>
      </c>
      <c r="W171" s="598">
        <v>5202</v>
      </c>
      <c r="X171" s="599">
        <f t="shared" si="128"/>
        <v>185.99343184999907</v>
      </c>
      <c r="Z171" s="598">
        <f t="shared" si="129"/>
        <v>315152</v>
      </c>
    </row>
    <row r="172" spans="1:26">
      <c r="A172" s="655">
        <v>2180</v>
      </c>
      <c r="B172" s="577" t="s">
        <v>1507</v>
      </c>
      <c r="C172" s="656" t="s">
        <v>1508</v>
      </c>
      <c r="D172" s="657" t="str">
        <f>VLOOKUP(B172,'[51]2180 Job Descriptions'!E:G,3,FALSE)</f>
        <v>Mechanic</v>
      </c>
      <c r="E172" s="649">
        <f>+VLOOKUP($B172,'[51]Payroll Report Pivot'!$O:$Q,3,FALSE)</f>
        <v>2071.137569</v>
      </c>
      <c r="F172" s="650">
        <f>+VLOOKUP($B172,'[51]Payroll Report Pivot'!$O:$R,4,FALSE)</f>
        <v>61285.910000000018</v>
      </c>
      <c r="G172" s="649">
        <f>IFERROR(VLOOKUP(B172,'[51]Payroll Report Pivot'!$Y:$AA,3,FALSE),0)</f>
        <v>214.49999599999998</v>
      </c>
      <c r="H172" s="650">
        <f>IFERROR(VLOOKUP($B172,'[51]Payroll Report Pivot'!$Y:$AB,4,FALSE),0)</f>
        <v>9523.06</v>
      </c>
      <c r="I172" s="650">
        <f t="shared" si="119"/>
        <v>70808.970000000016</v>
      </c>
      <c r="J172" s="649">
        <f>+IFERROR(VLOOKUP(B172,'[51]Payroll Report Pivot'!$AH:$AJ,3,FALSE),0)</f>
        <v>1558.3299999999988</v>
      </c>
      <c r="K172" s="649">
        <f>IFERROR(VLOOKUP(B172,'[51]Payroll Report Pivot'!$AP:$AR,3,FALSE),0)</f>
        <v>0</v>
      </c>
      <c r="L172" s="649">
        <f t="shared" si="120"/>
        <v>72367.300000000017</v>
      </c>
      <c r="M172" s="650">
        <f>+VLOOKUP(B172,'[51]Payroll Report Pivot'!$E:$H,4,FALSE)</f>
        <v>29.35</v>
      </c>
      <c r="N172" s="658">
        <f>IFERROR(VLOOKUP(Z172,[52]Payroll!$C$6:$M$61,11,FALSE),2.5%)</f>
        <v>2.7938671209540043E-2</v>
      </c>
      <c r="O172" s="659">
        <f t="shared" si="121"/>
        <v>30.169999999999998</v>
      </c>
      <c r="P172" s="660">
        <f t="shared" si="122"/>
        <v>62486.220456729992</v>
      </c>
      <c r="Q172" s="660">
        <f t="shared" si="123"/>
        <v>9707.1973189799992</v>
      </c>
      <c r="R172" s="660">
        <f t="shared" si="124"/>
        <v>0</v>
      </c>
      <c r="S172" s="649">
        <f t="shared" si="125"/>
        <v>73751.747775709999</v>
      </c>
      <c r="T172" s="649">
        <f t="shared" si="126"/>
        <v>0</v>
      </c>
      <c r="U172" s="652">
        <f t="shared" si="127"/>
        <v>73751.747775709999</v>
      </c>
      <c r="V172" s="598" t="s">
        <v>1488</v>
      </c>
      <c r="W172" s="598">
        <v>5202</v>
      </c>
      <c r="X172" s="599">
        <f t="shared" si="128"/>
        <v>1384.4477757099812</v>
      </c>
      <c r="Z172" s="598">
        <f t="shared" si="129"/>
        <v>303995</v>
      </c>
    </row>
    <row r="173" spans="1:26">
      <c r="A173" s="655">
        <v>2180</v>
      </c>
      <c r="B173" s="577" t="s">
        <v>1509</v>
      </c>
      <c r="C173" s="656" t="s">
        <v>1510</v>
      </c>
      <c r="D173" s="657" t="str">
        <f>VLOOKUP(B173,'[51]2180 Job Descriptions'!E:G,3,FALSE)</f>
        <v>Mechanic</v>
      </c>
      <c r="E173" s="649">
        <f>+VLOOKUP($B173,'[51]Payroll Report Pivot'!$O:$Q,3,FALSE)</f>
        <v>2038.0666679999999</v>
      </c>
      <c r="F173" s="650">
        <f>+VLOOKUP($B173,'[51]Payroll Report Pivot'!$O:$R,4,FALSE)</f>
        <v>56442.009999999995</v>
      </c>
      <c r="G173" s="649">
        <f>IFERROR(VLOOKUP(B173,'[51]Payroll Report Pivot'!$Y:$AA,3,FALSE),0)</f>
        <v>290.25000099999983</v>
      </c>
      <c r="H173" s="650">
        <f>IFERROR(VLOOKUP($B173,'[51]Payroll Report Pivot'!$Y:$AB,4,FALSE),0)</f>
        <v>12079.249999999998</v>
      </c>
      <c r="I173" s="650">
        <f t="shared" si="119"/>
        <v>68521.259999999995</v>
      </c>
      <c r="J173" s="649">
        <f>+IFERROR(VLOOKUP(B173,'[51]Payroll Report Pivot'!$AH:$AJ,3,FALSE),0)</f>
        <v>1075.0000000000002</v>
      </c>
      <c r="K173" s="649">
        <f>IFERROR(VLOOKUP(B173,'[51]Payroll Report Pivot'!$AP:$AR,3,FALSE),0)</f>
        <v>213.2</v>
      </c>
      <c r="L173" s="649">
        <f t="shared" si="120"/>
        <v>69809.459999999992</v>
      </c>
      <c r="M173" s="650">
        <f>+VLOOKUP(B173,'[51]Payroll Report Pivot'!$E:$H,4,FALSE)</f>
        <v>27.45</v>
      </c>
      <c r="N173" s="658">
        <f>IFERROR(VLOOKUP(Z173,[52]Payroll!$C$6:$M$61,11,FALSE),2.5%)</f>
        <v>2.8051001821493608E-2</v>
      </c>
      <c r="O173" s="659">
        <f t="shared" si="121"/>
        <v>28.22</v>
      </c>
      <c r="P173" s="660">
        <f t="shared" si="122"/>
        <v>57514.241370959993</v>
      </c>
      <c r="Q173" s="660">
        <f t="shared" si="123"/>
        <v>12286.282542329993</v>
      </c>
      <c r="R173" s="660">
        <f t="shared" si="124"/>
        <v>219.18047358834244</v>
      </c>
      <c r="S173" s="649">
        <f t="shared" si="125"/>
        <v>71094.704386878337</v>
      </c>
      <c r="T173" s="649">
        <f t="shared" si="126"/>
        <v>0</v>
      </c>
      <c r="U173" s="652">
        <f t="shared" si="127"/>
        <v>71094.704386878337</v>
      </c>
      <c r="V173" s="598" t="s">
        <v>1488</v>
      </c>
      <c r="W173" s="598">
        <v>5202</v>
      </c>
      <c r="X173" s="599">
        <f t="shared" si="128"/>
        <v>1285.2443868783448</v>
      </c>
      <c r="Z173" s="598">
        <f t="shared" si="129"/>
        <v>300874</v>
      </c>
    </row>
    <row r="174" spans="1:26">
      <c r="A174" s="655">
        <v>2180</v>
      </c>
      <c r="B174" s="577" t="s">
        <v>1511</v>
      </c>
      <c r="C174" s="656" t="s">
        <v>1512</v>
      </c>
      <c r="D174" s="657" t="str">
        <f>VLOOKUP(B174,'[51]2180 Job Descriptions'!E:G,3,FALSE)</f>
        <v>Mechanic</v>
      </c>
      <c r="E174" s="649">
        <f>+VLOOKUP($B174,'[51]Payroll Report Pivot'!$O:$Q,3,FALSE)</f>
        <v>2095.5333269999996</v>
      </c>
      <c r="F174" s="650">
        <f>+VLOOKUP($B174,'[51]Payroll Report Pivot'!$O:$R,4,FALSE)</f>
        <v>59443.779999999992</v>
      </c>
      <c r="G174" s="649">
        <f>IFERROR(VLOOKUP(B174,'[51]Payroll Report Pivot'!$Y:$AA,3,FALSE),0)</f>
        <v>205.28333700000002</v>
      </c>
      <c r="H174" s="650">
        <f>IFERROR(VLOOKUP($B174,'[51]Payroll Report Pivot'!$Y:$AB,4,FALSE),0)</f>
        <v>8836.9899999999943</v>
      </c>
      <c r="I174" s="650">
        <f t="shared" si="119"/>
        <v>68280.76999999999</v>
      </c>
      <c r="J174" s="649">
        <f>+IFERROR(VLOOKUP(B174,'[51]Payroll Report Pivot'!$AH:$AJ,3,FALSE),0)</f>
        <v>3024.9999999999941</v>
      </c>
      <c r="K174" s="649">
        <f>IFERROR(VLOOKUP(B174,'[51]Payroll Report Pivot'!$AP:$AR,3,FALSE),0)</f>
        <v>218.56</v>
      </c>
      <c r="L174" s="649">
        <f t="shared" si="120"/>
        <v>71524.329999999987</v>
      </c>
      <c r="M174" s="650">
        <f>+VLOOKUP(B174,'[51]Payroll Report Pivot'!$E:$H,4,FALSE)</f>
        <v>28.14</v>
      </c>
      <c r="N174" s="658">
        <f>IFERROR(VLOOKUP(Z174,[52]Payroll!$C$6:$M$61,11,FALSE),2.5%)</f>
        <v>2.8073916133617597E-2</v>
      </c>
      <c r="O174" s="659">
        <f t="shared" si="121"/>
        <v>28.93</v>
      </c>
      <c r="P174" s="660">
        <f t="shared" si="122"/>
        <v>60623.779150109985</v>
      </c>
      <c r="Q174" s="660">
        <f t="shared" si="123"/>
        <v>8908.2704091150008</v>
      </c>
      <c r="R174" s="660">
        <f t="shared" si="124"/>
        <v>224.69583511016347</v>
      </c>
      <c r="S174" s="649">
        <f t="shared" si="125"/>
        <v>72781.745394335143</v>
      </c>
      <c r="T174" s="649">
        <f t="shared" si="126"/>
        <v>0</v>
      </c>
      <c r="U174" s="652">
        <f t="shared" si="127"/>
        <v>72781.745394335143</v>
      </c>
      <c r="V174" s="598" t="s">
        <v>1488</v>
      </c>
      <c r="W174" s="598">
        <v>5202</v>
      </c>
      <c r="X174" s="599">
        <f t="shared" si="128"/>
        <v>1257.4153943351557</v>
      </c>
      <c r="Z174" s="598">
        <f t="shared" si="129"/>
        <v>114277</v>
      </c>
    </row>
    <row r="175" spans="1:26">
      <c r="A175" s="655">
        <v>2180</v>
      </c>
      <c r="B175" s="577" t="s">
        <v>1513</v>
      </c>
      <c r="C175" s="656" t="s">
        <v>1514</v>
      </c>
      <c r="D175" s="657" t="str">
        <f>VLOOKUP(B175,'[51]2180 Job Descriptions'!E:G,3,FALSE)</f>
        <v>Mechanic</v>
      </c>
      <c r="E175" s="649">
        <f>+VLOOKUP($B175,'[51]Payroll Report Pivot'!$O:$Q,3,FALSE)</f>
        <v>2061.1333330000002</v>
      </c>
      <c r="F175" s="650">
        <f>+VLOOKUP($B175,'[51]Payroll Report Pivot'!$O:$R,4,FALSE)</f>
        <v>53773.990000000042</v>
      </c>
      <c r="G175" s="649">
        <f>IFERROR(VLOOKUP(B175,'[51]Payroll Report Pivot'!$Y:$AA,3,FALSE),0)</f>
        <v>146.20000300000001</v>
      </c>
      <c r="H175" s="650">
        <f>IFERROR(VLOOKUP($B175,'[51]Payroll Report Pivot'!$Y:$AB,4,FALSE),0)</f>
        <v>5784.3200000000015</v>
      </c>
      <c r="I175" s="650">
        <f t="shared" si="119"/>
        <v>59558.310000000041</v>
      </c>
      <c r="J175" s="649">
        <f>+IFERROR(VLOOKUP(B175,'[51]Payroll Report Pivot'!$AH:$AJ,3,FALSE),0)</f>
        <v>3074.9999999999945</v>
      </c>
      <c r="K175" s="649">
        <f>IFERROR(VLOOKUP(B175,'[51]Payroll Report Pivot'!$AP:$AR,3,FALSE),0)</f>
        <v>403.52</v>
      </c>
      <c r="L175" s="649">
        <f t="shared" si="120"/>
        <v>63036.830000000038</v>
      </c>
      <c r="M175" s="650">
        <f>+VLOOKUP(B175,'[51]Payroll Report Pivot'!$E:$H,4,FALSE)</f>
        <v>25.97</v>
      </c>
      <c r="N175" s="658">
        <f>IFERROR(VLOOKUP(Z175,[52]Payroll!$C$6:$M$61,11,FALSE),2.5%)</f>
        <v>2.8109356950327319E-2</v>
      </c>
      <c r="O175" s="659">
        <f t="shared" si="121"/>
        <v>26.699999999999996</v>
      </c>
      <c r="P175" s="660">
        <f t="shared" si="122"/>
        <v>55032.2599911</v>
      </c>
      <c r="Q175" s="660">
        <f t="shared" si="123"/>
        <v>5855.3101201499994</v>
      </c>
      <c r="R175" s="660">
        <f t="shared" si="124"/>
        <v>414.86268771659604</v>
      </c>
      <c r="S175" s="649">
        <f t="shared" si="125"/>
        <v>64377.432798966584</v>
      </c>
      <c r="T175" s="649">
        <f t="shared" si="126"/>
        <v>0</v>
      </c>
      <c r="U175" s="652">
        <f t="shared" si="127"/>
        <v>64377.432798966584</v>
      </c>
      <c r="V175" s="598" t="s">
        <v>1488</v>
      </c>
      <c r="W175" s="598">
        <v>5202</v>
      </c>
      <c r="X175" s="599">
        <f t="shared" si="128"/>
        <v>1340.6027989665454</v>
      </c>
      <c r="Z175" s="598">
        <f t="shared" si="129"/>
        <v>114052</v>
      </c>
    </row>
    <row r="176" spans="1:26">
      <c r="A176" s="655">
        <v>2180</v>
      </c>
      <c r="B176" s="577" t="s">
        <v>1515</v>
      </c>
      <c r="C176" s="656" t="s">
        <v>1516</v>
      </c>
      <c r="D176" s="657" t="str">
        <f>VLOOKUP(B176,'[51]2180 Job Descriptions'!E:G,3,FALSE)</f>
        <v>Parts Clerk</v>
      </c>
      <c r="E176" s="649">
        <f>+VLOOKUP($B176,'[51]Payroll Report Pivot'!$O:$Q,3,FALSE)</f>
        <v>2095.5166690000001</v>
      </c>
      <c r="F176" s="650">
        <f>+VLOOKUP($B176,'[51]Payroll Report Pivot'!$O:$R,4,FALSE)</f>
        <v>43801.45</v>
      </c>
      <c r="G176" s="649">
        <f>IFERROR(VLOOKUP(B176,'[51]Payroll Report Pivot'!$Y:$AA,3,FALSE),0)</f>
        <v>322.33333899999997</v>
      </c>
      <c r="H176" s="650">
        <f>IFERROR(VLOOKUP($B176,'[51]Payroll Report Pivot'!$Y:$AB,4,FALSE),0)</f>
        <v>10185.120000000003</v>
      </c>
      <c r="I176" s="650">
        <f t="shared" si="119"/>
        <v>53986.57</v>
      </c>
      <c r="J176" s="649">
        <f>+IFERROR(VLOOKUP(B176,'[51]Payroll Report Pivot'!$AH:$AJ,3,FALSE),0)</f>
        <v>1733.3299999999974</v>
      </c>
      <c r="K176" s="649">
        <f>IFERROR(VLOOKUP(B176,'[51]Payroll Report Pivot'!$AP:$AR,3,FALSE),0)</f>
        <v>405.27</v>
      </c>
      <c r="L176" s="649">
        <f t="shared" si="120"/>
        <v>56125.17</v>
      </c>
      <c r="M176" s="650">
        <f>+VLOOKUP(B176,'[51]Payroll Report Pivot'!$E:$H,4,FALSE)</f>
        <v>20.75</v>
      </c>
      <c r="N176" s="658">
        <f>IFERROR(VLOOKUP(Z176,[52]Payroll!$C$6:$M$61,11,FALSE),2.5%)</f>
        <v>2.795180722891558E-2</v>
      </c>
      <c r="O176" s="659">
        <f t="shared" si="121"/>
        <v>21.33</v>
      </c>
      <c r="P176" s="660">
        <f t="shared" si="122"/>
        <v>44697.370549769999</v>
      </c>
      <c r="Q176" s="660">
        <f t="shared" si="123"/>
        <v>10313.055181304997</v>
      </c>
      <c r="R176" s="660">
        <f t="shared" si="124"/>
        <v>416.59802891566261</v>
      </c>
      <c r="S176" s="649">
        <f t="shared" si="125"/>
        <v>57160.353759990656</v>
      </c>
      <c r="T176" s="649">
        <f t="shared" si="126"/>
        <v>0</v>
      </c>
      <c r="U176" s="652">
        <f t="shared" si="127"/>
        <v>57160.353759990656</v>
      </c>
      <c r="V176" s="598" t="s">
        <v>1488</v>
      </c>
      <c r="W176" s="598">
        <v>5202</v>
      </c>
      <c r="X176" s="599">
        <f t="shared" si="128"/>
        <v>1035.1837599906576</v>
      </c>
      <c r="Z176" s="598">
        <f t="shared" si="129"/>
        <v>303996</v>
      </c>
    </row>
    <row r="177" spans="1:26">
      <c r="A177" s="655">
        <v>2180</v>
      </c>
      <c r="B177" s="577" t="s">
        <v>1517</v>
      </c>
      <c r="C177" s="656" t="s">
        <v>1518</v>
      </c>
      <c r="D177" s="657" t="str">
        <f>VLOOKUP(B177,'[51]2180 Job Descriptions'!E:G,3,FALSE)</f>
        <v>Mechanic</v>
      </c>
      <c r="E177" s="649">
        <f>+VLOOKUP($B177,'[51]Payroll Report Pivot'!$O:$Q,3,FALSE)</f>
        <v>2077.3466669999998</v>
      </c>
      <c r="F177" s="650">
        <f>+VLOOKUP($B177,'[51]Payroll Report Pivot'!$O:$R,4,FALSE)</f>
        <v>56589.230000000018</v>
      </c>
      <c r="G177" s="649">
        <f>IFERROR(VLOOKUP(B177,'[51]Payroll Report Pivot'!$Y:$AA,3,FALSE),0)</f>
        <v>117.04999999999998</v>
      </c>
      <c r="H177" s="650">
        <f>IFERROR(VLOOKUP($B177,'[51]Payroll Report Pivot'!$Y:$AB,4,FALSE),0)</f>
        <v>4837.5999999999985</v>
      </c>
      <c r="I177" s="650">
        <f t="shared" si="119"/>
        <v>61426.830000000016</v>
      </c>
      <c r="J177" s="649">
        <f>+IFERROR(VLOOKUP(B177,'[51]Payroll Report Pivot'!$AH:$AJ,3,FALSE),0)</f>
        <v>3074.9999999999945</v>
      </c>
      <c r="K177" s="649">
        <f>IFERROR(VLOOKUP(B177,'[51]Payroll Report Pivot'!$AP:$AR,3,FALSE),0)</f>
        <v>209.92</v>
      </c>
      <c r="L177" s="649">
        <f t="shared" si="120"/>
        <v>64711.750000000015</v>
      </c>
      <c r="M177" s="650">
        <f>+VLOOKUP(B177,'[51]Payroll Report Pivot'!$E:$H,4,FALSE)</f>
        <v>27.02</v>
      </c>
      <c r="N177" s="658">
        <f>IFERROR(VLOOKUP(Z177,[52]Payroll!$C$6:$M$61,11,FALSE),2.5%)</f>
        <v>2.8127313101406422E-2</v>
      </c>
      <c r="O177" s="659">
        <f t="shared" si="121"/>
        <v>27.78</v>
      </c>
      <c r="P177" s="660">
        <f t="shared" si="122"/>
        <v>57708.690409259994</v>
      </c>
      <c r="Q177" s="660">
        <f t="shared" si="123"/>
        <v>4877.4734999999991</v>
      </c>
      <c r="R177" s="660">
        <f t="shared" si="124"/>
        <v>215.8244855662472</v>
      </c>
      <c r="S177" s="649">
        <f t="shared" si="125"/>
        <v>65876.988394826243</v>
      </c>
      <c r="T177" s="649">
        <f t="shared" si="126"/>
        <v>0</v>
      </c>
      <c r="U177" s="652">
        <f t="shared" si="127"/>
        <v>65876.988394826243</v>
      </c>
      <c r="V177" s="598" t="s">
        <v>1488</v>
      </c>
      <c r="W177" s="598">
        <v>5202</v>
      </c>
      <c r="X177" s="599">
        <f t="shared" si="128"/>
        <v>1165.2383948262286</v>
      </c>
      <c r="Z177" s="598">
        <f t="shared" si="129"/>
        <v>158845</v>
      </c>
    </row>
    <row r="178" spans="1:26">
      <c r="A178" s="655">
        <v>2180</v>
      </c>
      <c r="B178" s="577" t="s">
        <v>1519</v>
      </c>
      <c r="C178" s="656" t="s">
        <v>1520</v>
      </c>
      <c r="D178" s="657" t="str">
        <f>VLOOKUP(B178,'[51]2180 Job Descriptions'!E:G,3,FALSE)</f>
        <v>Mechanic</v>
      </c>
      <c r="E178" s="649">
        <f>+VLOOKUP($B178,'[51]Payroll Report Pivot'!$O:$Q,3,FALSE)</f>
        <v>1461.7</v>
      </c>
      <c r="F178" s="650">
        <f>+VLOOKUP($B178,'[51]Payroll Report Pivot'!$O:$R,4,FALSE)</f>
        <v>29594.02</v>
      </c>
      <c r="G178" s="649">
        <f>IFERROR(VLOOKUP(B178,'[51]Payroll Report Pivot'!$Y:$AA,3,FALSE),0)</f>
        <v>167.600008</v>
      </c>
      <c r="H178" s="650">
        <f>IFERROR(VLOOKUP($B178,'[51]Payroll Report Pivot'!$Y:$AB,4,FALSE),0)</f>
        <v>5139.6800000000012</v>
      </c>
      <c r="I178" s="650">
        <f t="shared" si="119"/>
        <v>34733.700000000004</v>
      </c>
      <c r="J178" s="649">
        <f>+IFERROR(VLOOKUP(B178,'[51]Payroll Report Pivot'!$AH:$AJ,3,FALSE),0)</f>
        <v>975.41999999999973</v>
      </c>
      <c r="K178" s="649">
        <f>IFERROR(VLOOKUP(B178,'[51]Payroll Report Pivot'!$AP:$AR,3,FALSE),0)</f>
        <v>0</v>
      </c>
      <c r="L178" s="649">
        <f t="shared" si="120"/>
        <v>35709.120000000003</v>
      </c>
      <c r="M178" s="650">
        <f>+VLOOKUP(B178,'[51]Payroll Report Pivot'!$E:$H,4,FALSE)</f>
        <v>23</v>
      </c>
      <c r="N178" s="658">
        <f>IFERROR(VLOOKUP(Z178,[52]Payroll!$C$6:$M$61,11,FALSE),2.5%)</f>
        <v>2.7826086956521764E-2</v>
      </c>
      <c r="O178" s="659">
        <f t="shared" si="121"/>
        <v>23.639999999999997</v>
      </c>
      <c r="P178" s="660">
        <f t="shared" si="122"/>
        <v>34554.587999999996</v>
      </c>
      <c r="Q178" s="660">
        <f t="shared" si="123"/>
        <v>5943.096283679999</v>
      </c>
      <c r="R178" s="660">
        <f t="shared" si="124"/>
        <v>0</v>
      </c>
      <c r="S178" s="649">
        <f t="shared" si="125"/>
        <v>41473.10428367999</v>
      </c>
      <c r="T178" s="649">
        <f t="shared" si="126"/>
        <v>0</v>
      </c>
      <c r="U178" s="652">
        <f t="shared" si="127"/>
        <v>41473.10428367999</v>
      </c>
      <c r="V178" s="598" t="s">
        <v>1488</v>
      </c>
      <c r="W178" s="598">
        <v>5202</v>
      </c>
      <c r="X178" s="599">
        <f t="shared" si="128"/>
        <v>5763.9842836799871</v>
      </c>
      <c r="Z178" s="598">
        <f t="shared" si="129"/>
        <v>309778</v>
      </c>
    </row>
    <row r="179" spans="1:26">
      <c r="A179" s="655">
        <v>2180</v>
      </c>
      <c r="B179" s="577" t="s">
        <v>1521</v>
      </c>
      <c r="C179" s="656" t="s">
        <v>1522</v>
      </c>
      <c r="D179" s="657" t="str">
        <f>VLOOKUP(B179,'[51]2180 Job Descriptions'!E:G,3,FALSE)</f>
        <v>Mechanic</v>
      </c>
      <c r="E179" s="649">
        <f>+VLOOKUP($B179,'[51]Payroll Report Pivot'!$O:$Q,3,FALSE)</f>
        <v>1409.7333400000002</v>
      </c>
      <c r="F179" s="650">
        <f>+VLOOKUP($B179,'[51]Payroll Report Pivot'!$O:$R,4,FALSE)</f>
        <v>42674.219999999994</v>
      </c>
      <c r="G179" s="649">
        <f>IFERROR(VLOOKUP(B179,'[51]Payroll Report Pivot'!$Y:$AA,3,FALSE),0)</f>
        <v>154.366669</v>
      </c>
      <c r="H179" s="650">
        <f>IFERROR(VLOOKUP($B179,'[51]Payroll Report Pivot'!$Y:$AB,4,FALSE),0)</f>
        <v>7246.3600000000015</v>
      </c>
      <c r="I179" s="650">
        <f t="shared" si="119"/>
        <v>49920.579999999994</v>
      </c>
      <c r="J179" s="649">
        <f>+IFERROR(VLOOKUP(B179,'[51]Payroll Report Pivot'!$AH:$AJ,3,FALSE),0)</f>
        <v>5574.9999999999891</v>
      </c>
      <c r="K179" s="649">
        <f>IFERROR(VLOOKUP(B179,'[51]Payroll Report Pivot'!$AP:$AR,3,FALSE),0)</f>
        <v>1427.38</v>
      </c>
      <c r="L179" s="649">
        <f t="shared" si="120"/>
        <v>56922.959999999985</v>
      </c>
      <c r="M179" s="650">
        <f>+VLOOKUP(B179,'[51]Payroll Report Pivot'!$E:$H,4,FALSE)</f>
        <v>29.87</v>
      </c>
      <c r="N179" s="658">
        <f>IFERROR(VLOOKUP(Z179,[52]Payroll!$C$6:$M$61,11,FALSE),2.5%)</f>
        <v>2.8121861399397385E-2</v>
      </c>
      <c r="O179" s="659">
        <f t="shared" si="121"/>
        <v>30.71</v>
      </c>
      <c r="P179" s="660">
        <f t="shared" si="122"/>
        <v>43292.91087140001</v>
      </c>
      <c r="Q179" s="660">
        <f t="shared" si="123"/>
        <v>7110.9006074850004</v>
      </c>
      <c r="R179" s="660">
        <f t="shared" si="124"/>
        <v>1467.520582524272</v>
      </c>
      <c r="S179" s="649">
        <f t="shared" si="125"/>
        <v>57446.332061409266</v>
      </c>
      <c r="T179" s="649">
        <f t="shared" si="126"/>
        <v>0</v>
      </c>
      <c r="U179" s="652">
        <f t="shared" si="127"/>
        <v>57446.332061409266</v>
      </c>
      <c r="V179" s="598" t="s">
        <v>1488</v>
      </c>
      <c r="W179" s="598">
        <v>5202</v>
      </c>
      <c r="X179" s="599">
        <f t="shared" si="128"/>
        <v>523.37206140928174</v>
      </c>
      <c r="Z179" s="598">
        <f t="shared" si="129"/>
        <v>154133</v>
      </c>
    </row>
    <row r="180" spans="1:26">
      <c r="A180" s="655">
        <v>2180</v>
      </c>
      <c r="B180" s="577" t="s">
        <v>1523</v>
      </c>
      <c r="C180" s="656" t="s">
        <v>1524</v>
      </c>
      <c r="D180" s="657" t="str">
        <f>VLOOKUP(B180,'[51]2180 Job Descriptions'!E:G,3,FALSE)</f>
        <v>Mechanic</v>
      </c>
      <c r="E180" s="649">
        <f>+VLOOKUP($B180,'[51]Payroll Report Pivot'!$O:$Q,3,FALSE)</f>
        <v>801.66666699999996</v>
      </c>
      <c r="F180" s="650">
        <f>+VLOOKUP($B180,'[51]Payroll Report Pivot'!$O:$R,4,FALSE)</f>
        <v>18133.709999999992</v>
      </c>
      <c r="G180" s="649">
        <f>IFERROR(VLOOKUP(B180,'[51]Payroll Report Pivot'!$Y:$AA,3,FALSE),0)</f>
        <v>97.899999999999977</v>
      </c>
      <c r="H180" s="650">
        <f>IFERROR(VLOOKUP($B180,'[51]Payroll Report Pivot'!$Y:$AB,4,FALSE),0)</f>
        <v>3471.0900000000006</v>
      </c>
      <c r="I180" s="650">
        <f t="shared" si="119"/>
        <v>21604.799999999992</v>
      </c>
      <c r="J180" s="649">
        <f>+IFERROR(VLOOKUP(B180,'[51]Payroll Report Pivot'!$AH:$AJ,3,FALSE),0)</f>
        <v>2649.9999999999968</v>
      </c>
      <c r="K180" s="649">
        <f>IFERROR(VLOOKUP(B180,'[51]Payroll Report Pivot'!$AP:$AR,3,FALSE),0)</f>
        <v>0</v>
      </c>
      <c r="L180" s="649">
        <f t="shared" si="120"/>
        <v>24254.799999999988</v>
      </c>
      <c r="M180" s="650">
        <f>+VLOOKUP(B180,'[51]Payroll Report Pivot'!$E:$H,4,FALSE)</f>
        <v>22.62</v>
      </c>
      <c r="N180" s="658">
        <f>IFERROR(VLOOKUP(Z180,[52]Payroll!$C$6:$M$61,11,FALSE),2.5%)</f>
        <v>2.78514588859416E-2</v>
      </c>
      <c r="O180" s="659">
        <f t="shared" si="121"/>
        <v>23.25</v>
      </c>
      <c r="P180" s="660">
        <f t="shared" si="122"/>
        <v>18638.750007750001</v>
      </c>
      <c r="Q180" s="660">
        <f t="shared" si="123"/>
        <v>3414.2624999999989</v>
      </c>
      <c r="R180" s="660">
        <f t="shared" si="124"/>
        <v>0</v>
      </c>
      <c r="S180" s="649">
        <f t="shared" si="125"/>
        <v>24703.012507749994</v>
      </c>
      <c r="T180" s="649">
        <f t="shared" si="126"/>
        <v>0</v>
      </c>
      <c r="U180" s="652">
        <f t="shared" si="127"/>
        <v>24703.012507749994</v>
      </c>
      <c r="V180" s="598" t="s">
        <v>1488</v>
      </c>
      <c r="W180" s="598">
        <v>5202</v>
      </c>
      <c r="X180" s="599">
        <f t="shared" si="128"/>
        <v>448.2125077500059</v>
      </c>
      <c r="Z180" s="598">
        <f t="shared" si="129"/>
        <v>158069</v>
      </c>
    </row>
    <row r="181" spans="1:26">
      <c r="A181" s="655">
        <v>2180</v>
      </c>
      <c r="B181" s="577" t="s">
        <v>1525</v>
      </c>
      <c r="C181" s="656" t="s">
        <v>1526</v>
      </c>
      <c r="D181" s="657" t="str">
        <f>VLOOKUP(B181,'[51]2180 Job Descriptions'!E:G,3,FALSE)</f>
        <v>Mechanic</v>
      </c>
      <c r="E181" s="649">
        <f>+VLOOKUP($B181,'[51]Payroll Report Pivot'!$O:$Q,3,FALSE)</f>
        <v>1173.200002</v>
      </c>
      <c r="F181" s="650">
        <f>+VLOOKUP($B181,'[51]Payroll Report Pivot'!$O:$R,4,FALSE)</f>
        <v>31432.960000000006</v>
      </c>
      <c r="G181" s="649">
        <f>IFERROR(VLOOKUP(B181,'[51]Payroll Report Pivot'!$Y:$AA,3,FALSE),0)</f>
        <v>141.733328</v>
      </c>
      <c r="H181" s="650">
        <f>IFERROR(VLOOKUP($B181,'[51]Payroll Report Pivot'!$Y:$AB,4,FALSE),0)</f>
        <v>5740.76</v>
      </c>
      <c r="I181" s="650">
        <f t="shared" si="119"/>
        <v>37173.720000000008</v>
      </c>
      <c r="J181" s="649">
        <f>+IFERROR(VLOOKUP(B181,'[51]Payroll Report Pivot'!$AH:$AJ,3,FALSE),0)</f>
        <v>2000.0000000000011</v>
      </c>
      <c r="K181" s="649">
        <f>IFERROR(VLOOKUP(B181,'[51]Payroll Report Pivot'!$AP:$AR,3,FALSE),0)</f>
        <v>0</v>
      </c>
      <c r="L181" s="649">
        <f t="shared" si="120"/>
        <v>39173.720000000008</v>
      </c>
      <c r="M181" s="650">
        <f>+VLOOKUP(B181,'[51]Payroll Report Pivot'!$E:$H,4,FALSE)</f>
        <v>28</v>
      </c>
      <c r="N181" s="658">
        <f>IFERROR(VLOOKUP(Z181,[52]Payroll!$C$6:$M$61,11,FALSE),2.5%)</f>
        <v>2.5000000000000001E-2</v>
      </c>
      <c r="O181" s="659">
        <f t="shared" si="121"/>
        <v>28.699999999999996</v>
      </c>
      <c r="P181" s="660">
        <f t="shared" si="122"/>
        <v>33670.840057399997</v>
      </c>
      <c r="Q181" s="660">
        <f t="shared" si="123"/>
        <v>6101.6197703999997</v>
      </c>
      <c r="R181" s="660">
        <f t="shared" si="124"/>
        <v>0</v>
      </c>
      <c r="S181" s="649">
        <f t="shared" si="125"/>
        <v>41772.459827799998</v>
      </c>
      <c r="T181" s="649">
        <f t="shared" si="126"/>
        <v>0</v>
      </c>
      <c r="U181" s="652">
        <f t="shared" si="127"/>
        <v>41772.459827799998</v>
      </c>
      <c r="V181" s="598" t="s">
        <v>1488</v>
      </c>
      <c r="W181" s="598">
        <v>5202</v>
      </c>
      <c r="X181" s="599">
        <f t="shared" si="128"/>
        <v>2598.7398277999891</v>
      </c>
      <c r="Z181" s="598">
        <f t="shared" si="129"/>
        <v>158844</v>
      </c>
    </row>
    <row r="182" spans="1:26">
      <c r="A182" s="655">
        <v>2180</v>
      </c>
      <c r="B182" s="577" t="s">
        <v>1527</v>
      </c>
      <c r="C182" s="656" t="s">
        <v>1528</v>
      </c>
      <c r="D182" s="657" t="str">
        <f>VLOOKUP(B182,'[51]2180 Job Descriptions'!E:G,3,FALSE)</f>
        <v>Mechanic</v>
      </c>
      <c r="E182" s="649">
        <f>+VLOOKUP($B182,'[51]Payroll Report Pivot'!$O:$Q,3,FALSE)</f>
        <v>337.39999899999998</v>
      </c>
      <c r="F182" s="650">
        <f>+VLOOKUP($B182,'[51]Payroll Report Pivot'!$O:$R,4,FALSE)</f>
        <v>7669.25</v>
      </c>
      <c r="G182" s="649">
        <f>IFERROR(VLOOKUP(B182,'[51]Payroll Report Pivot'!$Y:$AA,3,FALSE),0)</f>
        <v>27.466667000000001</v>
      </c>
      <c r="H182" s="650">
        <f>IFERROR(VLOOKUP($B182,'[51]Payroll Report Pivot'!$Y:$AB,4,FALSE),0)</f>
        <v>931.56</v>
      </c>
      <c r="I182" s="650">
        <f t="shared" si="119"/>
        <v>8600.81</v>
      </c>
      <c r="J182" s="649">
        <f>+IFERROR(VLOOKUP(B182,'[51]Payroll Report Pivot'!$AH:$AJ,3,FALSE),0)</f>
        <v>0</v>
      </c>
      <c r="K182" s="649">
        <f>IFERROR(VLOOKUP(B182,'[51]Payroll Report Pivot'!$AP:$AR,3,FALSE),0)</f>
        <v>700.31999999999994</v>
      </c>
      <c r="L182" s="649">
        <f t="shared" si="120"/>
        <v>9301.1299999999992</v>
      </c>
      <c r="M182" s="650">
        <f>+VLOOKUP(B182,'[51]Payroll Report Pivot'!$E:$H,4,FALSE)</f>
        <v>23.22</v>
      </c>
      <c r="N182" s="658">
        <f>IFERROR(VLOOKUP(Z182,[52]Payroll!$C$6:$M$61,11,FALSE),2.5%)</f>
        <v>2.5000000000000001E-2</v>
      </c>
      <c r="O182" s="659">
        <f t="shared" si="121"/>
        <v>23.800499999999996</v>
      </c>
      <c r="P182" s="660">
        <f t="shared" si="122"/>
        <v>8030.2886761994978</v>
      </c>
      <c r="Q182" s="660">
        <f t="shared" si="123"/>
        <v>980.58061190024989</v>
      </c>
      <c r="R182" s="660">
        <f t="shared" si="124"/>
        <v>717.82799999999986</v>
      </c>
      <c r="S182" s="649">
        <f t="shared" si="125"/>
        <v>9728.6972880997473</v>
      </c>
      <c r="T182" s="649">
        <f t="shared" si="126"/>
        <v>0</v>
      </c>
      <c r="U182" s="652">
        <f t="shared" si="127"/>
        <v>9728.6972880997473</v>
      </c>
      <c r="V182" s="598" t="s">
        <v>1488</v>
      </c>
      <c r="W182" s="598">
        <v>5202</v>
      </c>
      <c r="X182" s="599">
        <f t="shared" si="128"/>
        <v>427.56728809974811</v>
      </c>
      <c r="Z182" s="598">
        <f t="shared" si="129"/>
        <v>301463</v>
      </c>
    </row>
    <row r="183" spans="1:26">
      <c r="A183" s="655">
        <v>2180</v>
      </c>
      <c r="B183" s="577" t="s">
        <v>1529</v>
      </c>
      <c r="C183" s="656" t="s">
        <v>1530</v>
      </c>
      <c r="D183" s="657" t="str">
        <f>VLOOKUP(B183,'[51]2180 Job Descriptions'!E:G,3,FALSE)</f>
        <v>Shop Foreman</v>
      </c>
      <c r="E183" s="649">
        <f>+VLOOKUP($B183,'[51]Payroll Report Pivot'!$O:$Q,3,FALSE)</f>
        <v>2076.9166649999997</v>
      </c>
      <c r="F183" s="650">
        <f>+VLOOKUP($B183,'[51]Payroll Report Pivot'!$O:$R,4,FALSE)</f>
        <v>56635.770000000004</v>
      </c>
      <c r="G183" s="649">
        <f>IFERROR(VLOOKUP(B183,'[51]Payroll Report Pivot'!$Y:$AA,3,FALSE),0)</f>
        <v>459.11666300000007</v>
      </c>
      <c r="H183" s="650">
        <f>IFERROR(VLOOKUP($B183,'[51]Payroll Report Pivot'!$Y:$AB,4,FALSE),0)</f>
        <v>18893.129999999997</v>
      </c>
      <c r="I183" s="650">
        <f t="shared" si="119"/>
        <v>75528.899999999994</v>
      </c>
      <c r="J183" s="649">
        <f>+IFERROR(VLOOKUP(B183,'[51]Payroll Report Pivot'!$AH:$AJ,3,FALSE),0)</f>
        <v>3125</v>
      </c>
      <c r="K183" s="649">
        <f>IFERROR(VLOOKUP(B183,'[51]Payroll Report Pivot'!$AP:$AR,3,FALSE),0)</f>
        <v>1587.24</v>
      </c>
      <c r="L183" s="649">
        <f t="shared" si="120"/>
        <v>80241.14</v>
      </c>
      <c r="M183" s="650">
        <f>+VLOOKUP(B183,'[51]Payroll Report Pivot'!$E:$H,4,FALSE)</f>
        <v>27.05</v>
      </c>
      <c r="N183" s="658">
        <f>IFERROR(VLOOKUP(Z183,[52]Payroll!$C$6:$M$61,11,FALSE),2.5%)</f>
        <v>2.8096118299445395E-2</v>
      </c>
      <c r="O183" s="659">
        <f t="shared" si="121"/>
        <v>27.810000000000002</v>
      </c>
      <c r="P183" s="660">
        <f t="shared" si="122"/>
        <v>57759.052453649994</v>
      </c>
      <c r="Q183" s="660">
        <f t="shared" si="123"/>
        <v>19152.051597045003</v>
      </c>
      <c r="R183" s="660">
        <f t="shared" si="124"/>
        <v>1631.8352828096117</v>
      </c>
      <c r="S183" s="649">
        <f t="shared" si="125"/>
        <v>81667.939333504604</v>
      </c>
      <c r="T183" s="649">
        <f t="shared" si="126"/>
        <v>0</v>
      </c>
      <c r="U183" s="652">
        <f t="shared" si="127"/>
        <v>81667.939333504604</v>
      </c>
      <c r="V183" s="598" t="s">
        <v>1488</v>
      </c>
      <c r="W183" s="598">
        <v>5202</v>
      </c>
      <c r="X183" s="599">
        <f t="shared" si="128"/>
        <v>1426.7993335046049</v>
      </c>
      <c r="Z183" s="598">
        <f t="shared" si="129"/>
        <v>154540</v>
      </c>
    </row>
    <row r="184" spans="1:26">
      <c r="A184" s="655">
        <v>2180</v>
      </c>
      <c r="B184" s="577" t="s">
        <v>1531</v>
      </c>
      <c r="C184" s="656" t="s">
        <v>1532</v>
      </c>
      <c r="D184" s="657" t="str">
        <f>VLOOKUP(B184,'[51]2180 Job Descriptions'!E:G,3,FALSE)</f>
        <v>Mechanic</v>
      </c>
      <c r="E184" s="649">
        <f>+VLOOKUP($B184,'[51]Payroll Report Pivot'!$O:$Q,3,FALSE)</f>
        <v>2088.1166669999998</v>
      </c>
      <c r="F184" s="650">
        <f>+VLOOKUP($B184,'[51]Payroll Report Pivot'!$O:$R,4,FALSE)</f>
        <v>58083.25</v>
      </c>
      <c r="G184" s="649">
        <f>IFERROR(VLOOKUP(B184,'[51]Payroll Report Pivot'!$Y:$AA,3,FALSE),0)</f>
        <v>270.38333399999999</v>
      </c>
      <c r="H184" s="650">
        <f>IFERROR(VLOOKUP($B184,'[51]Payroll Report Pivot'!$Y:$AB,4,FALSE),0)</f>
        <v>11388.410000000003</v>
      </c>
      <c r="I184" s="650">
        <f t="shared" si="119"/>
        <v>69471.66</v>
      </c>
      <c r="J184" s="649">
        <f>+IFERROR(VLOOKUP(B184,'[51]Payroll Report Pivot'!$AH:$AJ,3,FALSE),0)</f>
        <v>3074.9999999999945</v>
      </c>
      <c r="K184" s="649">
        <f>IFERROR(VLOOKUP(B184,'[51]Payroll Report Pivot'!$AP:$AR,3,FALSE),0)</f>
        <v>220</v>
      </c>
      <c r="L184" s="649">
        <f t="shared" si="120"/>
        <v>72766.66</v>
      </c>
      <c r="M184" s="650">
        <f>+VLOOKUP(B184,'[51]Payroll Report Pivot'!$E:$H,4,FALSE)</f>
        <v>27.5</v>
      </c>
      <c r="N184" s="658">
        <f>IFERROR(VLOOKUP(Z184,[52]Payroll!$C$6:$M$61,11,FALSE),2.5%)</f>
        <v>7.2727272727272724E-2</v>
      </c>
      <c r="O184" s="659">
        <f t="shared" si="121"/>
        <v>29.5</v>
      </c>
      <c r="P184" s="660">
        <f t="shared" si="122"/>
        <v>61599.441676499991</v>
      </c>
      <c r="Q184" s="660">
        <f t="shared" si="123"/>
        <v>11964.462529499999</v>
      </c>
      <c r="R184" s="660">
        <f t="shared" si="124"/>
        <v>236</v>
      </c>
      <c r="S184" s="649">
        <f t="shared" si="125"/>
        <v>76874.904205999992</v>
      </c>
      <c r="T184" s="649">
        <f t="shared" si="126"/>
        <v>0</v>
      </c>
      <c r="U184" s="652">
        <f t="shared" si="127"/>
        <v>76874.904205999992</v>
      </c>
      <c r="V184" s="598" t="s">
        <v>1488</v>
      </c>
      <c r="W184" s="598">
        <v>5202</v>
      </c>
      <c r="X184" s="599">
        <f t="shared" si="128"/>
        <v>4108.2442059999885</v>
      </c>
      <c r="Z184" s="598">
        <f t="shared" si="129"/>
        <v>150268</v>
      </c>
    </row>
    <row r="185" spans="1:26">
      <c r="A185" s="655">
        <v>2180</v>
      </c>
      <c r="B185" s="577" t="s">
        <v>1533</v>
      </c>
      <c r="C185" s="656" t="s">
        <v>1534</v>
      </c>
      <c r="D185" s="657" t="str">
        <f>VLOOKUP(B185,'[51]2180 Job Descriptions'!E:G,3,FALSE)</f>
        <v>Mechanic</v>
      </c>
      <c r="E185" s="649">
        <f>+VLOOKUP($B185,'[51]Payroll Report Pivot'!$O:$Q,3,FALSE)</f>
        <v>2049.016666</v>
      </c>
      <c r="F185" s="650">
        <f>+VLOOKUP($B185,'[51]Payroll Report Pivot'!$O:$R,4,FALSE)</f>
        <v>47679.399999999994</v>
      </c>
      <c r="G185" s="649">
        <f>IFERROR(VLOOKUP(B185,'[51]Payroll Report Pivot'!$Y:$AA,3,FALSE),0)</f>
        <v>276.51668099999995</v>
      </c>
      <c r="H185" s="650">
        <f>IFERROR(VLOOKUP($B185,'[51]Payroll Report Pivot'!$Y:$AB,4,FALSE),0)</f>
        <v>9623.2099999999973</v>
      </c>
      <c r="I185" s="650">
        <f t="shared" si="119"/>
        <v>57302.609999999993</v>
      </c>
      <c r="J185" s="649">
        <f>+IFERROR(VLOOKUP(B185,'[51]Payroll Report Pivot'!$AH:$AJ,3,FALSE),0)</f>
        <v>1470.8300000000036</v>
      </c>
      <c r="K185" s="649">
        <f>IFERROR(VLOOKUP(B185,'[51]Payroll Report Pivot'!$AP:$AR,3,FALSE),0)</f>
        <v>184</v>
      </c>
      <c r="L185" s="649">
        <f t="shared" si="120"/>
        <v>58957.439999999995</v>
      </c>
      <c r="M185" s="650">
        <f>+VLOOKUP(B185,'[51]Payroll Report Pivot'!$E:$H,4,FALSE)</f>
        <v>23</v>
      </c>
      <c r="N185" s="658">
        <f>IFERROR(VLOOKUP(Z185,[52]Payroll!$C$6:$M$61,11,FALSE),2.5%)</f>
        <v>2.7826086956521764E-2</v>
      </c>
      <c r="O185" s="659">
        <f t="shared" si="121"/>
        <v>23.639999999999997</v>
      </c>
      <c r="P185" s="660">
        <f t="shared" si="122"/>
        <v>48438.753984239993</v>
      </c>
      <c r="Q185" s="660">
        <f t="shared" si="123"/>
        <v>9805.2815082599955</v>
      </c>
      <c r="R185" s="660">
        <f t="shared" si="124"/>
        <v>189.11999999999998</v>
      </c>
      <c r="S185" s="649">
        <f t="shared" si="125"/>
        <v>59903.985492499989</v>
      </c>
      <c r="T185" s="649">
        <f t="shared" si="126"/>
        <v>0</v>
      </c>
      <c r="U185" s="652">
        <f t="shared" si="127"/>
        <v>59903.985492499989</v>
      </c>
      <c r="V185" s="598" t="s">
        <v>1488</v>
      </c>
      <c r="W185" s="598">
        <v>5202</v>
      </c>
      <c r="X185" s="599">
        <f t="shared" si="128"/>
        <v>946.545492499994</v>
      </c>
      <c r="Z185" s="598">
        <f t="shared" si="129"/>
        <v>304842</v>
      </c>
    </row>
    <row r="186" spans="1:26">
      <c r="A186" s="655"/>
      <c r="B186" s="663"/>
      <c r="C186" s="664"/>
      <c r="D186" s="657"/>
      <c r="E186" s="649"/>
      <c r="F186" s="649"/>
      <c r="G186" s="649"/>
      <c r="H186" s="650"/>
      <c r="I186" s="649"/>
      <c r="J186" s="649"/>
      <c r="K186" s="649"/>
      <c r="L186" s="649"/>
      <c r="M186" s="649"/>
      <c r="N186" s="649"/>
      <c r="O186" s="651"/>
      <c r="P186" s="649"/>
      <c r="Q186" s="649"/>
      <c r="R186" s="649"/>
      <c r="S186" s="649"/>
      <c r="T186" s="649"/>
      <c r="U186" s="652"/>
    </row>
    <row r="187" spans="1:26">
      <c r="A187" s="655"/>
      <c r="B187" s="663"/>
      <c r="C187" s="680" t="s">
        <v>1535</v>
      </c>
      <c r="D187" s="657"/>
      <c r="E187" s="666">
        <f t="shared" ref="E187:L187" si="130">+SUM(E162:E186)</f>
        <v>41930.890062000006</v>
      </c>
      <c r="F187" s="666">
        <f t="shared" si="130"/>
        <v>1120983.5299999998</v>
      </c>
      <c r="G187" s="666">
        <f t="shared" si="130"/>
        <v>4779.8500249999997</v>
      </c>
      <c r="H187" s="686">
        <f t="shared" si="130"/>
        <v>192103.76</v>
      </c>
      <c r="I187" s="686">
        <f t="shared" si="130"/>
        <v>1313087.2899999998</v>
      </c>
      <c r="J187" s="686">
        <f t="shared" si="130"/>
        <v>50669.909999999938</v>
      </c>
      <c r="K187" s="686">
        <f t="shared" si="130"/>
        <v>8076.1399999999994</v>
      </c>
      <c r="L187" s="686">
        <f t="shared" si="130"/>
        <v>1371833.3399999996</v>
      </c>
      <c r="M187" s="666">
        <f>+SUM(M162:M186)</f>
        <v>634.42586538461535</v>
      </c>
      <c r="N187" s="666"/>
      <c r="O187" s="678"/>
      <c r="P187" s="666"/>
      <c r="Q187" s="666"/>
      <c r="R187" s="666"/>
      <c r="S187" s="686">
        <f>+SUM(S162:S186)</f>
        <v>1407917.0961133854</v>
      </c>
      <c r="T187" s="686">
        <f>+SUM(T162:T186)</f>
        <v>0</v>
      </c>
      <c r="U187" s="667">
        <f>+SUM(U162:U186)</f>
        <v>1407917.0961133854</v>
      </c>
      <c r="X187" s="667">
        <f>+SUM(X162:X186)</f>
        <v>36083.756113385563</v>
      </c>
      <c r="Y187" s="668"/>
    </row>
    <row r="188" spans="1:26" s="681" customFormat="1" ht="12" thickBot="1">
      <c r="A188" s="655"/>
      <c r="B188" s="663"/>
      <c r="C188" s="664"/>
      <c r="D188" s="657"/>
      <c r="E188" s="668"/>
      <c r="F188" s="668"/>
      <c r="G188" s="668"/>
      <c r="H188" s="682"/>
      <c r="I188" s="668"/>
      <c r="J188" s="668"/>
      <c r="K188" s="668"/>
      <c r="L188" s="668"/>
      <c r="M188" s="668"/>
      <c r="N188" s="668"/>
      <c r="O188" s="683"/>
      <c r="P188" s="668"/>
      <c r="Q188" s="668"/>
      <c r="R188" s="668"/>
      <c r="S188" s="668"/>
      <c r="T188" s="668"/>
      <c r="U188" s="652"/>
      <c r="V188" s="598"/>
      <c r="W188" s="598"/>
      <c r="X188" s="675"/>
      <c r="Y188" s="675"/>
    </row>
    <row r="189" spans="1:26" s="681" customFormat="1" ht="12.75" thickTop="1" thickBot="1">
      <c r="A189" s="684"/>
      <c r="B189" s="685" t="s">
        <v>1536</v>
      </c>
      <c r="C189" s="643"/>
      <c r="D189" s="644"/>
      <c r="E189" s="668"/>
      <c r="F189" s="668"/>
      <c r="G189" s="668"/>
      <c r="H189" s="682"/>
      <c r="I189" s="668"/>
      <c r="J189" s="668"/>
      <c r="K189" s="668"/>
      <c r="L189" s="668"/>
      <c r="M189" s="668"/>
      <c r="N189" s="668"/>
      <c r="O189" s="683"/>
      <c r="P189" s="668"/>
      <c r="Q189" s="668"/>
      <c r="R189" s="668"/>
      <c r="S189" s="668"/>
      <c r="T189" s="668"/>
      <c r="U189" s="652"/>
      <c r="V189" s="598"/>
      <c r="W189" s="598"/>
      <c r="X189" s="675"/>
      <c r="Y189" s="675"/>
    </row>
    <row r="190" spans="1:26" ht="12" thickTop="1">
      <c r="A190" s="655">
        <v>2180</v>
      </c>
      <c r="B190" s="577" t="s">
        <v>1537</v>
      </c>
      <c r="C190" s="656" t="s">
        <v>1538</v>
      </c>
      <c r="D190" s="657" t="str">
        <f>VLOOKUP(B190,'[51]2180 Job Descriptions'!E:G,3,FALSE)</f>
        <v>Community Outreach</v>
      </c>
      <c r="E190" s="649">
        <f>+VLOOKUP($B190,'[51]Payroll Report Pivot'!$O:$Q,3,FALSE)</f>
        <v>1240</v>
      </c>
      <c r="F190" s="650">
        <f>+VLOOKUP($B190,'[51]Payroll Report Pivot'!$O:$R,4,FALSE)</f>
        <v>51224.82</v>
      </c>
      <c r="G190" s="649">
        <f>IFERROR(VLOOKUP(B190,'[51]Payroll Report Pivot'!$Y:$AA,3,FALSE),0)</f>
        <v>0</v>
      </c>
      <c r="H190" s="650">
        <f>IFERROR(VLOOKUP($B190,'[51]Payroll Report Pivot'!$Y:$AB,4,FALSE),0)</f>
        <v>0</v>
      </c>
      <c r="I190" s="650">
        <f t="shared" ref="I190:I191" si="131">+F190+H190</f>
        <v>51224.82</v>
      </c>
      <c r="J190" s="649">
        <f>+IFERROR(VLOOKUP(B190,'[51]Payroll Report Pivot'!$AH:$AJ,3,FALSE),0)</f>
        <v>0</v>
      </c>
      <c r="K190" s="649">
        <f>IFERROR(VLOOKUP(B190,'[51]Payroll Report Pivot'!$AP:$AR,3,FALSE),0)</f>
        <v>15521.41</v>
      </c>
      <c r="L190" s="649">
        <f t="shared" ref="L190:L191" si="132">+K190+J190+I190</f>
        <v>66746.23</v>
      </c>
      <c r="M190" s="650">
        <f>+VLOOKUP(B190,'[51]Payroll Report Pivot'!$E:$H,4,FALSE)</f>
        <v>41.539024038461541</v>
      </c>
      <c r="N190" s="658">
        <f>IFERROR(VLOOKUP(Z190,[52]Payroll!$C$6:$M$61,11,FALSE),2.5%)</f>
        <v>2.5000000000000001E-2</v>
      </c>
      <c r="O190" s="659">
        <f>IF(V190="PCS","27.85",M190*(1+N190))</f>
        <v>42.577499639423074</v>
      </c>
      <c r="P190" s="660">
        <f t="shared" ref="P190:P191" si="133">+O190*E190</f>
        <v>52796.099552884611</v>
      </c>
      <c r="Q190" s="660">
        <f t="shared" ref="Q190:Q191" si="134">+O190*G190*1.5</f>
        <v>0</v>
      </c>
      <c r="R190" s="660">
        <f t="shared" ref="R190:R191" si="135">+K190*(1+N190)</f>
        <v>15909.445249999999</v>
      </c>
      <c r="S190" s="649">
        <f t="shared" ref="S190:S191" si="136">SUM(P190:R190)+J190</f>
        <v>68705.544802884615</v>
      </c>
      <c r="T190" s="649">
        <f t="shared" ref="T190:T191" si="137">+IF(V190="PCS",250,0)</f>
        <v>0</v>
      </c>
      <c r="U190" s="652">
        <f>+S190+T190</f>
        <v>68705.544802884615</v>
      </c>
      <c r="V190" s="598" t="s">
        <v>1488</v>
      </c>
      <c r="W190" s="598">
        <v>6001</v>
      </c>
      <c r="X190" s="599">
        <f t="shared" ref="X190:X191" si="138">U190-L190</f>
        <v>1959.314802884619</v>
      </c>
    </row>
    <row r="191" spans="1:26">
      <c r="A191" s="655">
        <v>2180</v>
      </c>
      <c r="B191" s="577" t="s">
        <v>1539</v>
      </c>
      <c r="C191" s="656" t="s">
        <v>1540</v>
      </c>
      <c r="D191" s="657" t="str">
        <f>VLOOKUP(B191,'[51]2180 Job Descriptions'!E:G,3,FALSE)</f>
        <v>Community Outreach</v>
      </c>
      <c r="E191" s="649">
        <f>+VLOOKUP($B191,'[51]Payroll Report Pivot'!$O:$Q,3,FALSE)</f>
        <v>840</v>
      </c>
      <c r="F191" s="650">
        <f>+VLOOKUP($B191,'[51]Payroll Report Pivot'!$O:$R,4,FALSE)</f>
        <v>36346.170000000006</v>
      </c>
      <c r="G191" s="649">
        <f>IFERROR(VLOOKUP(B191,'[51]Payroll Report Pivot'!$Y:$AA,3,FALSE),0)</f>
        <v>0</v>
      </c>
      <c r="H191" s="650">
        <f>IFERROR(VLOOKUP($B191,'[51]Payroll Report Pivot'!$Y:$AB,4,FALSE),0)</f>
        <v>0</v>
      </c>
      <c r="I191" s="650">
        <f t="shared" si="131"/>
        <v>36346.170000000006</v>
      </c>
      <c r="J191" s="649">
        <f>+IFERROR(VLOOKUP(B191,'[51]Payroll Report Pivot'!$AH:$AJ,3,FALSE),0)</f>
        <v>0</v>
      </c>
      <c r="K191" s="649">
        <f>IFERROR(VLOOKUP(B191,'[51]Payroll Report Pivot'!$AP:$AR,3,FALSE),0)</f>
        <v>0</v>
      </c>
      <c r="L191" s="649">
        <f t="shared" si="132"/>
        <v>36346.170000000006</v>
      </c>
      <c r="M191" s="650">
        <f>+VLOOKUP(B191,'[51]Payroll Report Pivot'!$E:$H,4,FALSE)</f>
        <v>43.269230769230766</v>
      </c>
      <c r="N191" s="658">
        <f>IFERROR(VLOOKUP(Z191,[52]Payroll!$C$6:$M$61,11,FALSE),2.5%)</f>
        <v>2.5000000000000001E-2</v>
      </c>
      <c r="O191" s="659">
        <f>IF(V191="PCS","27.85",M191*(1+N191))</f>
        <v>44.350961538461533</v>
      </c>
      <c r="P191" s="660">
        <f t="shared" si="133"/>
        <v>37254.807692307688</v>
      </c>
      <c r="Q191" s="660">
        <f t="shared" si="134"/>
        <v>0</v>
      </c>
      <c r="R191" s="660">
        <f t="shared" si="135"/>
        <v>0</v>
      </c>
      <c r="S191" s="649">
        <f t="shared" si="136"/>
        <v>37254.807692307688</v>
      </c>
      <c r="T191" s="649">
        <f t="shared" si="137"/>
        <v>0</v>
      </c>
      <c r="U191" s="652">
        <f>+S191+T191</f>
        <v>37254.807692307688</v>
      </c>
      <c r="V191" s="598" t="s">
        <v>1488</v>
      </c>
      <c r="W191" s="598">
        <v>6001</v>
      </c>
      <c r="X191" s="599">
        <f t="shared" si="138"/>
        <v>908.6376923076823</v>
      </c>
    </row>
    <row r="192" spans="1:26">
      <c r="A192" s="655"/>
      <c r="B192" s="676"/>
      <c r="C192" s="677"/>
      <c r="D192" s="657"/>
      <c r="E192" s="649"/>
      <c r="F192" s="649"/>
      <c r="G192" s="649"/>
      <c r="H192" s="650"/>
      <c r="I192" s="649"/>
      <c r="J192" s="649"/>
      <c r="K192" s="649"/>
      <c r="L192" s="649"/>
      <c r="M192" s="649"/>
      <c r="N192" s="649"/>
      <c r="O192" s="651"/>
      <c r="P192" s="649"/>
      <c r="Q192" s="649"/>
      <c r="R192" s="649"/>
      <c r="S192" s="649"/>
      <c r="T192" s="649"/>
      <c r="U192" s="652"/>
    </row>
    <row r="193" spans="1:26">
      <c r="A193" s="655"/>
      <c r="B193" s="663"/>
      <c r="C193" s="680" t="s">
        <v>1541</v>
      </c>
      <c r="D193" s="657"/>
      <c r="E193" s="666">
        <f t="shared" ref="E193:X193" si="139">+SUM(E190:E192)</f>
        <v>2080</v>
      </c>
      <c r="F193" s="666">
        <f t="shared" si="139"/>
        <v>87570.99</v>
      </c>
      <c r="G193" s="666">
        <f t="shared" si="139"/>
        <v>0</v>
      </c>
      <c r="H193" s="686">
        <f t="shared" si="139"/>
        <v>0</v>
      </c>
      <c r="I193" s="686">
        <f t="shared" si="139"/>
        <v>87570.99</v>
      </c>
      <c r="J193" s="686">
        <f t="shared" si="139"/>
        <v>0</v>
      </c>
      <c r="K193" s="686">
        <f t="shared" si="139"/>
        <v>15521.41</v>
      </c>
      <c r="L193" s="686">
        <f t="shared" si="139"/>
        <v>103092.4</v>
      </c>
      <c r="M193" s="666">
        <f>+SUM(M190:M192)</f>
        <v>84.808254807692308</v>
      </c>
      <c r="N193" s="666"/>
      <c r="O193" s="678"/>
      <c r="P193" s="666"/>
      <c r="Q193" s="666"/>
      <c r="R193" s="666"/>
      <c r="S193" s="666">
        <f t="shared" si="139"/>
        <v>105960.3524951923</v>
      </c>
      <c r="T193" s="666">
        <f t="shared" si="139"/>
        <v>0</v>
      </c>
      <c r="U193" s="667">
        <f t="shared" si="139"/>
        <v>105960.3524951923</v>
      </c>
      <c r="X193" s="667">
        <f t="shared" si="139"/>
        <v>2867.9524951923013</v>
      </c>
      <c r="Y193" s="668"/>
    </row>
    <row r="194" spans="1:26" s="688" customFormat="1" ht="12" thickBot="1">
      <c r="A194" s="655"/>
      <c r="B194" s="676"/>
      <c r="C194" s="677"/>
      <c r="D194" s="657"/>
      <c r="E194" s="649"/>
      <c r="F194" s="649"/>
      <c r="G194" s="649"/>
      <c r="H194" s="650"/>
      <c r="I194" s="649"/>
      <c r="J194" s="649"/>
      <c r="K194" s="649"/>
      <c r="L194" s="649"/>
      <c r="M194" s="649"/>
      <c r="N194" s="649"/>
      <c r="O194" s="651"/>
      <c r="P194" s="649"/>
      <c r="Q194" s="649"/>
      <c r="R194" s="649"/>
      <c r="S194" s="649"/>
      <c r="T194" s="649"/>
      <c r="U194" s="652"/>
      <c r="V194" s="598"/>
      <c r="W194" s="598"/>
      <c r="X194" s="687"/>
      <c r="Y194" s="687"/>
    </row>
    <row r="195" spans="1:26" s="681" customFormat="1" ht="12.75" thickTop="1" thickBot="1">
      <c r="A195" s="684"/>
      <c r="B195" s="685" t="s">
        <v>1542</v>
      </c>
      <c r="C195" s="643"/>
      <c r="D195" s="644"/>
      <c r="E195" s="668"/>
      <c r="F195" s="668"/>
      <c r="G195" s="668"/>
      <c r="H195" s="682"/>
      <c r="I195" s="668"/>
      <c r="J195" s="668"/>
      <c r="K195" s="668"/>
      <c r="L195" s="668"/>
      <c r="M195" s="668"/>
      <c r="N195" s="668"/>
      <c r="O195" s="683"/>
      <c r="P195" s="668"/>
      <c r="Q195" s="668"/>
      <c r="R195" s="668"/>
      <c r="S195" s="668"/>
      <c r="T195" s="668"/>
      <c r="U195" s="652"/>
      <c r="V195" s="598"/>
      <c r="W195" s="598"/>
      <c r="X195" s="675"/>
      <c r="Y195" s="675"/>
    </row>
    <row r="196" spans="1:26" ht="12" thickTop="1">
      <c r="A196" s="655">
        <v>2180</v>
      </c>
      <c r="B196" s="577" t="s">
        <v>1543</v>
      </c>
      <c r="C196" s="656" t="s">
        <v>1544</v>
      </c>
      <c r="D196" s="657" t="str">
        <f>VLOOKUP(B196,'[51]2180 Job Descriptions'!E:G,3,FALSE)</f>
        <v>Container Delivery</v>
      </c>
      <c r="E196" s="649">
        <f>+VLOOKUP($B196,'[51]Payroll Report Pivot'!$O:$Q,3,FALSE)</f>
        <v>160</v>
      </c>
      <c r="F196" s="650">
        <f>+VLOOKUP($B196,'[51]Payroll Report Pivot'!$O:$R,4,FALSE)</f>
        <v>2640</v>
      </c>
      <c r="G196" s="649">
        <f>IFERROR(VLOOKUP(B196,'[51]Payroll Report Pivot'!$Y:$AA,3,FALSE),0)</f>
        <v>31.116665999999995</v>
      </c>
      <c r="H196" s="650">
        <f>IFERROR(VLOOKUP($B196,'[51]Payroll Report Pivot'!$Y:$AB,4,FALSE),0)</f>
        <v>770.17000000000007</v>
      </c>
      <c r="I196" s="650">
        <f t="shared" ref="I196:I211" si="140">+F196+H196</f>
        <v>3410.17</v>
      </c>
      <c r="J196" s="649">
        <f>+IFERROR(VLOOKUP(B196,'[51]Payroll Report Pivot'!$AH:$AJ,3,FALSE),0)</f>
        <v>0</v>
      </c>
      <c r="K196" s="649">
        <f>IFERROR(VLOOKUP(B196,'[51]Payroll Report Pivot'!$AP:$AR,3,FALSE),0)</f>
        <v>0</v>
      </c>
      <c r="L196" s="649">
        <f t="shared" ref="L196:L211" si="141">+K196+J196+I196</f>
        <v>3410.17</v>
      </c>
      <c r="M196" s="650">
        <f>+VLOOKUP(B196,'[51]Payroll Report Pivot'!$E:$H,4,FALSE)</f>
        <v>16.5</v>
      </c>
      <c r="N196" s="658">
        <f>IFERROR(VLOOKUP(Z196,[52]Payroll!$C$6:$M$61,11,FALSE),2.5%)</f>
        <v>2.5000000000000001E-2</v>
      </c>
      <c r="O196" s="659">
        <f t="shared" ref="O196:O211" si="142">IF(V196="PCS","27.85",M196*(1+N196))</f>
        <v>16.912499999999998</v>
      </c>
      <c r="P196" s="660">
        <f t="shared" ref="P196:P211" si="143">+O196*E196</f>
        <v>2705.9999999999995</v>
      </c>
      <c r="Q196" s="660">
        <f t="shared" ref="Q196:Q211" si="144">+O196*G196*1.5</f>
        <v>789.39092058749975</v>
      </c>
      <c r="R196" s="660">
        <f t="shared" ref="R196:R211" si="145">+K196*(1+N196)</f>
        <v>0</v>
      </c>
      <c r="S196" s="649">
        <f t="shared" ref="S196:S211" si="146">SUM(P196:R196)+J196</f>
        <v>3495.3909205874993</v>
      </c>
      <c r="T196" s="649">
        <f t="shared" ref="T196:T211" si="147">+IF(V196="PCS",250,0)</f>
        <v>0</v>
      </c>
      <c r="U196" s="652">
        <f t="shared" ref="U196:U211" si="148">+S196+T196</f>
        <v>3495.3909205874993</v>
      </c>
      <c r="V196" s="598" t="s">
        <v>1488</v>
      </c>
      <c r="W196" s="598">
        <v>5502</v>
      </c>
      <c r="X196" s="599">
        <f t="shared" ref="X196:X211" si="149">U196-L196</f>
        <v>85.220920587499222</v>
      </c>
      <c r="Z196" s="598">
        <f t="shared" ref="Z196:Z211" si="150">+B196*1</f>
        <v>315294</v>
      </c>
    </row>
    <row r="197" spans="1:26">
      <c r="A197" s="655">
        <v>2180</v>
      </c>
      <c r="B197" s="577" t="s">
        <v>1545</v>
      </c>
      <c r="C197" s="656" t="s">
        <v>1546</v>
      </c>
      <c r="D197" s="657" t="str">
        <f>VLOOKUP(B197,'[51]2180 Job Descriptions'!E:G,3,FALSE)</f>
        <v>Container Delivery</v>
      </c>
      <c r="E197" s="649">
        <f>+VLOOKUP($B197,'[51]Payroll Report Pivot'!$O:$Q,3,FALSE)</f>
        <v>2256.0499989999998</v>
      </c>
      <c r="F197" s="650">
        <f>+VLOOKUP($B197,'[51]Payroll Report Pivot'!$O:$R,4,FALSE)</f>
        <v>51518.43</v>
      </c>
      <c r="G197" s="649">
        <f>IFERROR(VLOOKUP(B197,'[51]Payroll Report Pivot'!$Y:$AA,3,FALSE),0)</f>
        <v>514.74999500000001</v>
      </c>
      <c r="H197" s="650">
        <f>IFERROR(VLOOKUP($B197,'[51]Payroll Report Pivot'!$Y:$AB,4,FALSE),0)</f>
        <v>17951.890000000003</v>
      </c>
      <c r="I197" s="650">
        <f t="shared" si="140"/>
        <v>69470.320000000007</v>
      </c>
      <c r="J197" s="649">
        <f>+IFERROR(VLOOKUP(B197,'[51]Payroll Report Pivot'!$AH:$AJ,3,FALSE),0)</f>
        <v>3311.5999999999981</v>
      </c>
      <c r="K197" s="649">
        <f>IFERROR(VLOOKUP(B197,'[51]Payroll Report Pivot'!$AP:$AR,3,FALSE),0)</f>
        <v>1518.25</v>
      </c>
      <c r="L197" s="649">
        <f t="shared" si="141"/>
        <v>74300.170000000013</v>
      </c>
      <c r="M197" s="650">
        <f>+VLOOKUP(B197,'[51]Payroll Report Pivot'!$E:$H,4,FALSE)</f>
        <v>26.5</v>
      </c>
      <c r="N197" s="658">
        <f>IFERROR(VLOOKUP(Z197,[52]Payroll!$C$6:$M$61,11,FALSE),2.5%)</f>
        <v>2.5000000000000001E-2</v>
      </c>
      <c r="O197" s="659">
        <f t="shared" si="142"/>
        <v>27.162499999999998</v>
      </c>
      <c r="P197" s="660">
        <f t="shared" si="143"/>
        <v>61279.958097837494</v>
      </c>
      <c r="Q197" s="660">
        <f t="shared" si="144"/>
        <v>20972.84510878125</v>
      </c>
      <c r="R197" s="660">
        <f t="shared" si="145"/>
        <v>1556.20625</v>
      </c>
      <c r="S197" s="649">
        <f t="shared" si="146"/>
        <v>87120.609456618738</v>
      </c>
      <c r="T197" s="649">
        <f t="shared" si="147"/>
        <v>0</v>
      </c>
      <c r="U197" s="652">
        <f t="shared" si="148"/>
        <v>87120.609456618738</v>
      </c>
      <c r="V197" s="598" t="s">
        <v>1488</v>
      </c>
      <c r="W197" s="598">
        <v>5502</v>
      </c>
      <c r="X197" s="675">
        <f t="shared" si="149"/>
        <v>12820.439456618726</v>
      </c>
      <c r="Y197" s="675"/>
      <c r="Z197" s="598">
        <f t="shared" si="150"/>
        <v>114298</v>
      </c>
    </row>
    <row r="198" spans="1:26">
      <c r="A198" s="655">
        <v>2180</v>
      </c>
      <c r="B198" s="577" t="s">
        <v>1547</v>
      </c>
      <c r="C198" s="656" t="s">
        <v>1548</v>
      </c>
      <c r="D198" s="657" t="str">
        <f>VLOOKUP(B198,'[51]2180 Job Descriptions'!E:G,3,FALSE)</f>
        <v>Container Repair</v>
      </c>
      <c r="E198" s="649">
        <f>+VLOOKUP($B198,'[51]Payroll Report Pivot'!$O:$Q,3,FALSE)</f>
        <v>2056.8833340000001</v>
      </c>
      <c r="F198" s="650">
        <f>+VLOOKUP($B198,'[51]Payroll Report Pivot'!$O:$R,4,FALSE)</f>
        <v>49156.139999999985</v>
      </c>
      <c r="G198" s="649">
        <f>IFERROR(VLOOKUP(B198,'[51]Payroll Report Pivot'!$Y:$AA,3,FALSE),0)</f>
        <v>160.01665899999995</v>
      </c>
      <c r="H198" s="650">
        <f>IFERROR(VLOOKUP($B198,'[51]Payroll Report Pivot'!$Y:$AB,4,FALSE),0)</f>
        <v>5806.8300000000027</v>
      </c>
      <c r="I198" s="650">
        <f t="shared" si="140"/>
        <v>54962.969999999987</v>
      </c>
      <c r="J198" s="649">
        <f>+IFERROR(VLOOKUP(B198,'[51]Payroll Report Pivot'!$AH:$AJ,3,FALSE),0)</f>
        <v>3074.9999999999945</v>
      </c>
      <c r="K198" s="649">
        <f>IFERROR(VLOOKUP(B198,'[51]Payroll Report Pivot'!$AP:$AR,3,FALSE),0)</f>
        <v>0</v>
      </c>
      <c r="L198" s="649">
        <f t="shared" si="141"/>
        <v>58037.969999999979</v>
      </c>
      <c r="M198" s="650">
        <f>+VLOOKUP(B198,'[51]Payroll Report Pivot'!$E:$H,4,FALSE)</f>
        <v>23.69</v>
      </c>
      <c r="N198" s="658">
        <f>IFERROR(VLOOKUP(Z198,[52]Payroll!$C$6:$M$61,11,FALSE),2.5%)</f>
        <v>2.490502321654706E-2</v>
      </c>
      <c r="O198" s="659">
        <f t="shared" si="142"/>
        <v>24.28</v>
      </c>
      <c r="P198" s="660">
        <f t="shared" si="143"/>
        <v>49941.127349520008</v>
      </c>
      <c r="Q198" s="660">
        <f t="shared" si="144"/>
        <v>5827.8067207799986</v>
      </c>
      <c r="R198" s="660">
        <f t="shared" si="145"/>
        <v>0</v>
      </c>
      <c r="S198" s="649">
        <f t="shared" si="146"/>
        <v>58843.934070299998</v>
      </c>
      <c r="T198" s="649">
        <f t="shared" si="147"/>
        <v>0</v>
      </c>
      <c r="U198" s="652">
        <f t="shared" si="148"/>
        <v>58843.934070299998</v>
      </c>
      <c r="V198" s="598" t="s">
        <v>1488</v>
      </c>
      <c r="W198" s="598">
        <v>5502</v>
      </c>
      <c r="X198" s="675">
        <f t="shared" si="149"/>
        <v>805.96407030001865</v>
      </c>
      <c r="Y198" s="675"/>
      <c r="Z198" s="598">
        <f t="shared" si="150"/>
        <v>114125</v>
      </c>
    </row>
    <row r="199" spans="1:26">
      <c r="A199" s="655">
        <v>2180</v>
      </c>
      <c r="B199" s="577" t="s">
        <v>1549</v>
      </c>
      <c r="C199" s="656" t="s">
        <v>1550</v>
      </c>
      <c r="D199" s="657" t="s">
        <v>644</v>
      </c>
      <c r="E199" s="649">
        <f>+VLOOKUP($B199,'[51]Payroll Report Pivot'!$O:$Q,3,FALSE)</f>
        <v>2093.0833339999999</v>
      </c>
      <c r="F199" s="650">
        <f>+VLOOKUP($B199,'[51]Payroll Report Pivot'!$O:$R,4,FALSE)</f>
        <v>47036.759999999995</v>
      </c>
      <c r="G199" s="649">
        <f>IFERROR(VLOOKUP(B199,'[51]Payroll Report Pivot'!$Y:$AA,3,FALSE),0)</f>
        <v>287.86666599999995</v>
      </c>
      <c r="H199" s="650">
        <f>IFERROR(VLOOKUP($B199,'[51]Payroll Report Pivot'!$Y:$AB,4,FALSE),0)</f>
        <v>9960.7200000000048</v>
      </c>
      <c r="I199" s="650">
        <f t="shared" si="140"/>
        <v>56997.479999999996</v>
      </c>
      <c r="J199" s="649">
        <f>+IFERROR(VLOOKUP(B199,'[51]Payroll Report Pivot'!$AH:$AJ,3,FALSE),0)</f>
        <v>1024.9999999999993</v>
      </c>
      <c r="K199" s="649">
        <f>IFERROR(VLOOKUP(B199,'[51]Payroll Report Pivot'!$AP:$AR,3,FALSE),0)</f>
        <v>0</v>
      </c>
      <c r="L199" s="649">
        <f t="shared" si="141"/>
        <v>58022.479999999996</v>
      </c>
      <c r="M199" s="650">
        <f>+VLOOKUP(B199,'[51]Payroll Report Pivot'!$E:$H,4,FALSE)</f>
        <v>26.5</v>
      </c>
      <c r="N199" s="658">
        <f>IFERROR(VLOOKUP(Z199,[52]Payroll!$C$6:$M$61,11,FALSE),2.5%)</f>
        <v>2.5000000000000001E-2</v>
      </c>
      <c r="O199" s="659">
        <f t="shared" si="142"/>
        <v>27.162499999999998</v>
      </c>
      <c r="P199" s="660">
        <f t="shared" si="143"/>
        <v>56853.376059774993</v>
      </c>
      <c r="Q199" s="660">
        <f t="shared" si="144"/>
        <v>11728.767472837497</v>
      </c>
      <c r="R199" s="660">
        <f t="shared" si="145"/>
        <v>0</v>
      </c>
      <c r="S199" s="649">
        <f t="shared" si="146"/>
        <v>69607.143532612492</v>
      </c>
      <c r="T199" s="649">
        <f t="shared" si="147"/>
        <v>0</v>
      </c>
      <c r="U199" s="652">
        <f t="shared" si="148"/>
        <v>69607.143532612492</v>
      </c>
      <c r="V199" s="598" t="s">
        <v>1488</v>
      </c>
      <c r="W199" s="598">
        <v>5502</v>
      </c>
      <c r="X199" s="675">
        <f t="shared" si="149"/>
        <v>11584.663532612496</v>
      </c>
      <c r="Y199" s="675"/>
      <c r="Z199" s="598">
        <f t="shared" si="150"/>
        <v>158867</v>
      </c>
    </row>
    <row r="200" spans="1:26">
      <c r="A200" s="655">
        <v>2180</v>
      </c>
      <c r="B200" s="577" t="s">
        <v>1551</v>
      </c>
      <c r="C200" s="656" t="s">
        <v>1552</v>
      </c>
      <c r="D200" s="657" t="str">
        <f>VLOOKUP(B200,'[51]2180 Job Descriptions'!E:G,3,FALSE)</f>
        <v>Container Repair</v>
      </c>
      <c r="E200" s="649">
        <f>+VLOOKUP($B200,'[51]Payroll Report Pivot'!$O:$Q,3,FALSE)</f>
        <v>2059.6999980000001</v>
      </c>
      <c r="F200" s="650">
        <f>+VLOOKUP($B200,'[51]Payroll Report Pivot'!$O:$R,4,FALSE)</f>
        <v>33602.609999999979</v>
      </c>
      <c r="G200" s="649">
        <f>IFERROR(VLOOKUP(B200,'[51]Payroll Report Pivot'!$Y:$AA,3,FALSE),0)</f>
        <v>110.24999200000001</v>
      </c>
      <c r="H200" s="650">
        <f>IFERROR(VLOOKUP($B200,'[51]Payroll Report Pivot'!$Y:$AB,4,FALSE),0)</f>
        <v>2751.7300000000009</v>
      </c>
      <c r="I200" s="650">
        <f t="shared" si="140"/>
        <v>36354.339999999982</v>
      </c>
      <c r="J200" s="649">
        <f>+IFERROR(VLOOKUP(B200,'[51]Payroll Report Pivot'!$AH:$AJ,3,FALSE),0)</f>
        <v>3024.9999999999941</v>
      </c>
      <c r="K200" s="649">
        <f>IFERROR(VLOOKUP(B200,'[51]Payroll Report Pivot'!$AP:$AR,3,FALSE),0)</f>
        <v>635.6</v>
      </c>
      <c r="L200" s="649">
        <f t="shared" si="141"/>
        <v>40014.939999999973</v>
      </c>
      <c r="M200" s="650">
        <f>+VLOOKUP(B200,'[51]Payroll Report Pivot'!$E:$H,4,FALSE)</f>
        <v>16.29</v>
      </c>
      <c r="N200" s="658">
        <f>IFERROR(VLOOKUP(Z200,[52]Payroll!$C$6:$M$61,11,FALSE),2.5%)</f>
        <v>2.5168815224063851E-2</v>
      </c>
      <c r="O200" s="659">
        <f t="shared" si="142"/>
        <v>16.7</v>
      </c>
      <c r="P200" s="660">
        <f t="shared" si="143"/>
        <v>34396.989966599998</v>
      </c>
      <c r="Q200" s="660">
        <f t="shared" si="144"/>
        <v>2761.7622996</v>
      </c>
      <c r="R200" s="660">
        <f t="shared" si="145"/>
        <v>651.59729895641499</v>
      </c>
      <c r="S200" s="649">
        <f t="shared" si="146"/>
        <v>40835.349565156408</v>
      </c>
      <c r="T200" s="649">
        <f t="shared" si="147"/>
        <v>0</v>
      </c>
      <c r="U200" s="652">
        <f t="shared" si="148"/>
        <v>40835.349565156408</v>
      </c>
      <c r="V200" s="598" t="s">
        <v>1488</v>
      </c>
      <c r="W200" s="598">
        <v>5502</v>
      </c>
      <c r="X200" s="599">
        <f t="shared" si="149"/>
        <v>820.40956515643484</v>
      </c>
      <c r="Z200" s="598">
        <f t="shared" si="150"/>
        <v>156628</v>
      </c>
    </row>
    <row r="201" spans="1:26">
      <c r="A201" s="655">
        <v>2180</v>
      </c>
      <c r="B201" s="577" t="s">
        <v>1553</v>
      </c>
      <c r="C201" s="656" t="s">
        <v>1554</v>
      </c>
      <c r="D201" s="657" t="str">
        <f>VLOOKUP(B201,'[51]2180 Job Descriptions'!E:G,3,FALSE)</f>
        <v>Container Delivery</v>
      </c>
      <c r="E201" s="649">
        <f>+VLOOKUP($B201,'[51]Payroll Report Pivot'!$O:$Q,3,FALSE)</f>
        <v>1084.7533390000001</v>
      </c>
      <c r="F201" s="650">
        <f>+VLOOKUP($B201,'[51]Payroll Report Pivot'!$O:$R,4,FALSE)</f>
        <v>18696.999999999993</v>
      </c>
      <c r="G201" s="649">
        <f>IFERROR(VLOOKUP(B201,'[51]Payroll Report Pivot'!$Y:$AA,3,FALSE),0)</f>
        <v>17.233336000000001</v>
      </c>
      <c r="H201" s="650">
        <f>IFERROR(VLOOKUP($B201,'[51]Payroll Report Pivot'!$Y:$AB,4,FALSE),0)</f>
        <v>441.03000000000003</v>
      </c>
      <c r="I201" s="650">
        <f t="shared" si="140"/>
        <v>19138.029999999992</v>
      </c>
      <c r="J201" s="649">
        <f>+IFERROR(VLOOKUP(B201,'[51]Payroll Report Pivot'!$AH:$AJ,3,FALSE),0)</f>
        <v>1025.0000000000002</v>
      </c>
      <c r="K201" s="649">
        <f>IFERROR(VLOOKUP(B201,'[51]Payroll Report Pivot'!$AP:$AR,3,FALSE),0)</f>
        <v>0</v>
      </c>
      <c r="L201" s="649">
        <f t="shared" si="141"/>
        <v>20163.029999999992</v>
      </c>
      <c r="M201" s="650">
        <f>+VLOOKUP(B201,'[51]Payroll Report Pivot'!$E:$H,4,FALSE)</f>
        <v>16.8</v>
      </c>
      <c r="N201" s="658">
        <f>IFERROR(VLOOKUP(Z201,[52]Payroll!$C$6:$M$61,11,FALSE),2.5%)</f>
        <v>2.5000000000000001E-2</v>
      </c>
      <c r="O201" s="659">
        <f t="shared" si="142"/>
        <v>17.22</v>
      </c>
      <c r="P201" s="660">
        <f t="shared" si="143"/>
        <v>18679.452497580001</v>
      </c>
      <c r="Q201" s="660">
        <f t="shared" si="144"/>
        <v>445.13706888000002</v>
      </c>
      <c r="R201" s="660">
        <f t="shared" si="145"/>
        <v>0</v>
      </c>
      <c r="S201" s="649">
        <f t="shared" si="146"/>
        <v>20149.589566460003</v>
      </c>
      <c r="T201" s="649">
        <f t="shared" si="147"/>
        <v>0</v>
      </c>
      <c r="U201" s="652">
        <f t="shared" si="148"/>
        <v>20149.589566460003</v>
      </c>
      <c r="V201" s="598" t="s">
        <v>1488</v>
      </c>
      <c r="W201" s="598">
        <v>5502</v>
      </c>
      <c r="X201" s="599">
        <f t="shared" si="149"/>
        <v>-13.440433539988589</v>
      </c>
      <c r="Z201" s="598">
        <f t="shared" si="150"/>
        <v>303943</v>
      </c>
    </row>
    <row r="202" spans="1:26">
      <c r="A202" s="655">
        <v>2180</v>
      </c>
      <c r="B202" s="577" t="s">
        <v>1555</v>
      </c>
      <c r="C202" s="656" t="s">
        <v>1556</v>
      </c>
      <c r="D202" s="657" t="str">
        <f>VLOOKUP(B202,'[51]2180 Job Descriptions'!E:G,3,FALSE)</f>
        <v>Container Repair</v>
      </c>
      <c r="E202" s="649">
        <f>+VLOOKUP($B202,'[51]Payroll Report Pivot'!$O:$Q,3,FALSE)</f>
        <v>2068.1833339999998</v>
      </c>
      <c r="F202" s="650">
        <f>+VLOOKUP($B202,'[51]Payroll Report Pivot'!$O:$R,4,FALSE)</f>
        <v>42379.31</v>
      </c>
      <c r="G202" s="649">
        <f>IFERROR(VLOOKUP(B202,'[51]Payroll Report Pivot'!$Y:$AA,3,FALSE),0)</f>
        <v>133.73333600000001</v>
      </c>
      <c r="H202" s="650">
        <f>IFERROR(VLOOKUP($B202,'[51]Payroll Report Pivot'!$Y:$AB,4,FALSE),0)</f>
        <v>4219.2399999999989</v>
      </c>
      <c r="I202" s="650">
        <f t="shared" si="140"/>
        <v>46598.549999999996</v>
      </c>
      <c r="J202" s="649">
        <f>+IFERROR(VLOOKUP(B202,'[51]Payroll Report Pivot'!$AH:$AJ,3,FALSE),0)</f>
        <v>3024.9999999999941</v>
      </c>
      <c r="K202" s="649">
        <f>IFERROR(VLOOKUP(B202,'[51]Payroll Report Pivot'!$AP:$AR,3,FALSE),0)</f>
        <v>0</v>
      </c>
      <c r="L202" s="649">
        <f t="shared" si="141"/>
        <v>49623.549999999988</v>
      </c>
      <c r="M202" s="650">
        <f>+VLOOKUP(B202,'[51]Payroll Report Pivot'!$E:$H,4,FALSE)</f>
        <v>20.47</v>
      </c>
      <c r="N202" s="658">
        <f>IFERROR(VLOOKUP(Z202,[52]Payroll!$C$6:$M$61,11,FALSE),2.5%)</f>
        <v>2.4914509037616103E-2</v>
      </c>
      <c r="O202" s="659">
        <f t="shared" si="142"/>
        <v>20.98</v>
      </c>
      <c r="P202" s="660">
        <f t="shared" si="143"/>
        <v>43390.486347319995</v>
      </c>
      <c r="Q202" s="660">
        <f t="shared" si="144"/>
        <v>4208.5880839200008</v>
      </c>
      <c r="R202" s="660">
        <f t="shared" si="145"/>
        <v>0</v>
      </c>
      <c r="S202" s="649">
        <f t="shared" si="146"/>
        <v>50624.074431239991</v>
      </c>
      <c r="T202" s="649">
        <f t="shared" si="147"/>
        <v>0</v>
      </c>
      <c r="U202" s="652">
        <f t="shared" si="148"/>
        <v>50624.074431239991</v>
      </c>
      <c r="V202" s="598" t="s">
        <v>1488</v>
      </c>
      <c r="W202" s="598">
        <v>5502</v>
      </c>
      <c r="X202" s="599">
        <f t="shared" si="149"/>
        <v>1000.5244312400027</v>
      </c>
      <c r="Z202" s="598">
        <f t="shared" si="150"/>
        <v>157875</v>
      </c>
    </row>
    <row r="203" spans="1:26">
      <c r="A203" s="655">
        <v>2180</v>
      </c>
      <c r="B203" s="577" t="s">
        <v>1557</v>
      </c>
      <c r="C203" s="656" t="s">
        <v>1558</v>
      </c>
      <c r="D203" s="657" t="str">
        <f>VLOOKUP(B203,'[51]2180 Job Descriptions'!E:G,3,FALSE)</f>
        <v>Container Repair</v>
      </c>
      <c r="E203" s="649">
        <f>+VLOOKUP($B203,'[51]Payroll Report Pivot'!$O:$Q,3,FALSE)</f>
        <v>2194.5833339999999</v>
      </c>
      <c r="F203" s="650">
        <f>+VLOOKUP($B203,'[51]Payroll Report Pivot'!$O:$R,4,FALSE)</f>
        <v>48216.890000000014</v>
      </c>
      <c r="G203" s="649">
        <f>IFERROR(VLOOKUP(B203,'[51]Payroll Report Pivot'!$Y:$AA,3,FALSE),0)</f>
        <v>142.49999499999998</v>
      </c>
      <c r="H203" s="650">
        <f>IFERROR(VLOOKUP($B203,'[51]Payroll Report Pivot'!$Y:$AB,4,FALSE),0)</f>
        <v>4806.59</v>
      </c>
      <c r="I203" s="650">
        <f t="shared" si="140"/>
        <v>53023.48000000001</v>
      </c>
      <c r="J203" s="649">
        <f>+IFERROR(VLOOKUP(B203,'[51]Payroll Report Pivot'!$AH:$AJ,3,FALSE),0)</f>
        <v>3024.9999999999941</v>
      </c>
      <c r="K203" s="649">
        <f>IFERROR(VLOOKUP(B203,'[51]Payroll Report Pivot'!$AP:$AR,3,FALSE),0)</f>
        <v>2055.36</v>
      </c>
      <c r="L203" s="649">
        <f t="shared" si="141"/>
        <v>58103.840000000004</v>
      </c>
      <c r="M203" s="650">
        <f>+VLOOKUP(B203,'[51]Payroll Report Pivot'!$E:$H,4,FALSE)</f>
        <v>21.95</v>
      </c>
      <c r="N203" s="658">
        <f>IFERROR(VLOOKUP(Z203,[52]Payroll!$C$6:$M$61,11,FALSE),2.5%)</f>
        <v>2.505694760820049E-2</v>
      </c>
      <c r="O203" s="659">
        <f t="shared" si="142"/>
        <v>22.5</v>
      </c>
      <c r="P203" s="660">
        <f t="shared" si="143"/>
        <v>49378.125014999998</v>
      </c>
      <c r="Q203" s="660">
        <f t="shared" si="144"/>
        <v>4809.3748312499993</v>
      </c>
      <c r="R203" s="660">
        <f t="shared" si="145"/>
        <v>2106.861047835991</v>
      </c>
      <c r="S203" s="649">
        <f t="shared" si="146"/>
        <v>59319.360894085978</v>
      </c>
      <c r="T203" s="649">
        <f t="shared" si="147"/>
        <v>0</v>
      </c>
      <c r="U203" s="652">
        <f t="shared" si="148"/>
        <v>59319.360894085978</v>
      </c>
      <c r="V203" s="598" t="s">
        <v>1488</v>
      </c>
      <c r="W203" s="598">
        <v>5502</v>
      </c>
      <c r="X203" s="599">
        <f t="shared" si="149"/>
        <v>1215.5208940859739</v>
      </c>
      <c r="Z203" s="598">
        <f t="shared" si="150"/>
        <v>153491</v>
      </c>
    </row>
    <row r="204" spans="1:26">
      <c r="A204" s="655">
        <v>2180</v>
      </c>
      <c r="B204" s="577" t="s">
        <v>1559</v>
      </c>
      <c r="C204" s="656" t="s">
        <v>1560</v>
      </c>
      <c r="D204" s="657" t="str">
        <f>VLOOKUP(B204,'[51]2180 Job Descriptions'!E:G,3,FALSE)</f>
        <v>Container Repair</v>
      </c>
      <c r="E204" s="649">
        <f>+VLOOKUP($B204,'[51]Payroll Report Pivot'!$O:$Q,3,FALSE)</f>
        <v>2081.6166680000001</v>
      </c>
      <c r="F204" s="650">
        <f>+VLOOKUP($B204,'[51]Payroll Report Pivot'!$O:$R,4,FALSE)</f>
        <v>33932.30000000001</v>
      </c>
      <c r="G204" s="649">
        <f>IFERROR(VLOOKUP(B204,'[51]Payroll Report Pivot'!$Y:$AA,3,FALSE),0)</f>
        <v>132.00000599999998</v>
      </c>
      <c r="H204" s="650">
        <f>IFERROR(VLOOKUP($B204,'[51]Payroll Report Pivot'!$Y:$AB,4,FALSE),0)</f>
        <v>3312.7499999999986</v>
      </c>
      <c r="I204" s="650">
        <f t="shared" si="140"/>
        <v>37245.05000000001</v>
      </c>
      <c r="J204" s="649">
        <f>+IFERROR(VLOOKUP(B204,'[51]Payroll Report Pivot'!$AH:$AJ,3,FALSE),0)</f>
        <v>3024.9999999999945</v>
      </c>
      <c r="K204" s="649">
        <f>IFERROR(VLOOKUP(B204,'[51]Payroll Report Pivot'!$AP:$AR,3,FALSE),0)</f>
        <v>822.57</v>
      </c>
      <c r="L204" s="649">
        <f t="shared" si="141"/>
        <v>41092.620000000003</v>
      </c>
      <c r="M204" s="650">
        <f>+VLOOKUP(B204,'[51]Payroll Report Pivot'!$E:$H,4,FALSE)</f>
        <v>16.16</v>
      </c>
      <c r="N204" s="658">
        <f>IFERROR(VLOOKUP(Z204,[52]Payroll!$C$6:$M$61,11,FALSE),2.5%)</f>
        <v>2.9702970297029729E-2</v>
      </c>
      <c r="O204" s="659">
        <f t="shared" si="142"/>
        <v>16.64</v>
      </c>
      <c r="P204" s="660">
        <f t="shared" si="143"/>
        <v>34638.101355520004</v>
      </c>
      <c r="Q204" s="660">
        <f t="shared" si="144"/>
        <v>3294.7201497599995</v>
      </c>
      <c r="R204" s="660">
        <f t="shared" si="145"/>
        <v>847.00277227722779</v>
      </c>
      <c r="S204" s="649">
        <f t="shared" si="146"/>
        <v>41804.824277557222</v>
      </c>
      <c r="T204" s="649">
        <f t="shared" si="147"/>
        <v>0</v>
      </c>
      <c r="U204" s="652">
        <f t="shared" si="148"/>
        <v>41804.824277557222</v>
      </c>
      <c r="V204" s="598" t="s">
        <v>1488</v>
      </c>
      <c r="W204" s="598">
        <v>5502</v>
      </c>
      <c r="X204" s="599">
        <f t="shared" si="149"/>
        <v>712.20427755721903</v>
      </c>
      <c r="Z204" s="598">
        <f t="shared" si="150"/>
        <v>156273</v>
      </c>
    </row>
    <row r="205" spans="1:26">
      <c r="A205" s="655">
        <v>2180</v>
      </c>
      <c r="B205" s="577" t="s">
        <v>1561</v>
      </c>
      <c r="C205" s="656" t="s">
        <v>1562</v>
      </c>
      <c r="D205" s="657" t="str">
        <f>VLOOKUP(B205,'[51]2180 Job Descriptions'!E:G,3,FALSE)</f>
        <v>Container Repair</v>
      </c>
      <c r="E205" s="649">
        <f>+VLOOKUP($B205,'[51]Payroll Report Pivot'!$O:$Q,3,FALSE)</f>
        <v>436.16666700000002</v>
      </c>
      <c r="F205" s="650">
        <f>+VLOOKUP($B205,'[51]Payroll Report Pivot'!$O:$R,4,FALSE)</f>
        <v>7436.76</v>
      </c>
      <c r="G205" s="649">
        <f>IFERROR(VLOOKUP(B205,'[51]Payroll Report Pivot'!$Y:$AA,3,FALSE),0)</f>
        <v>61.333335000000005</v>
      </c>
      <c r="H205" s="650">
        <f>IFERROR(VLOOKUP($B205,'[51]Payroll Report Pivot'!$Y:$AB,4,FALSE),0)</f>
        <v>1562.21</v>
      </c>
      <c r="I205" s="650">
        <f t="shared" si="140"/>
        <v>8998.9700000000012</v>
      </c>
      <c r="J205" s="649">
        <f>+IFERROR(VLOOKUP(B205,'[51]Payroll Report Pivot'!$AH:$AJ,3,FALSE),0)</f>
        <v>0</v>
      </c>
      <c r="K205" s="649">
        <f>IFERROR(VLOOKUP(B205,'[51]Payroll Report Pivot'!$AP:$AR,3,FALSE),0)</f>
        <v>0</v>
      </c>
      <c r="L205" s="649">
        <f t="shared" si="141"/>
        <v>8998.9700000000012</v>
      </c>
      <c r="M205" s="650">
        <f>+VLOOKUP(B205,'[51]Payroll Report Pivot'!$E:$H,4,FALSE)</f>
        <v>18</v>
      </c>
      <c r="N205" s="658">
        <f>IFERROR(VLOOKUP(Z205,[52]Payroll!$C$6:$M$61,11,FALSE),2.5%)</f>
        <v>2.5000000000000001E-2</v>
      </c>
      <c r="O205" s="659">
        <f t="shared" si="142"/>
        <v>18.45</v>
      </c>
      <c r="P205" s="660">
        <f t="shared" si="143"/>
        <v>8047.2750061500001</v>
      </c>
      <c r="Q205" s="660">
        <f t="shared" si="144"/>
        <v>1697.4000461250002</v>
      </c>
      <c r="R205" s="660">
        <f t="shared" si="145"/>
        <v>0</v>
      </c>
      <c r="S205" s="649">
        <f t="shared" si="146"/>
        <v>9744.6750522750008</v>
      </c>
      <c r="T205" s="649">
        <f t="shared" si="147"/>
        <v>0</v>
      </c>
      <c r="U205" s="652">
        <f t="shared" si="148"/>
        <v>9744.6750522750008</v>
      </c>
      <c r="V205" s="598" t="s">
        <v>1488</v>
      </c>
      <c r="W205" s="598">
        <v>5502</v>
      </c>
      <c r="X205" s="599">
        <f t="shared" si="149"/>
        <v>745.70505227499962</v>
      </c>
      <c r="Z205" s="598">
        <f t="shared" si="150"/>
        <v>314612</v>
      </c>
    </row>
    <row r="206" spans="1:26">
      <c r="A206" s="655">
        <v>2180</v>
      </c>
      <c r="B206" s="577" t="s">
        <v>1563</v>
      </c>
      <c r="C206" s="656" t="s">
        <v>1564</v>
      </c>
      <c r="D206" s="657" t="str">
        <f>VLOOKUP(B206,'[51]2180 Job Descriptions'!E:G,3,FALSE)</f>
        <v>Container Repair</v>
      </c>
      <c r="E206" s="649">
        <f>+VLOOKUP($B206,'[51]Payroll Report Pivot'!$O:$Q,3,FALSE)</f>
        <v>2093.716668</v>
      </c>
      <c r="F206" s="650">
        <f>+VLOOKUP($B206,'[51]Payroll Report Pivot'!$O:$R,4,FALSE)</f>
        <v>40912.420000000006</v>
      </c>
      <c r="G206" s="649">
        <f>IFERROR(VLOOKUP(B206,'[51]Payroll Report Pivot'!$Y:$AA,3,FALSE),0)</f>
        <v>139.90000600000008</v>
      </c>
      <c r="H206" s="650">
        <f>IFERROR(VLOOKUP($B206,'[51]Payroll Report Pivot'!$Y:$AB,4,FALSE),0)</f>
        <v>4192.01</v>
      </c>
      <c r="I206" s="650">
        <f t="shared" si="140"/>
        <v>45104.430000000008</v>
      </c>
      <c r="J206" s="649">
        <f>+IFERROR(VLOOKUP(B206,'[51]Payroll Report Pivot'!$AH:$AJ,3,FALSE),0)</f>
        <v>3274.9999999999927</v>
      </c>
      <c r="K206" s="649">
        <f>IFERROR(VLOOKUP(B206,'[51]Payroll Report Pivot'!$AP:$AR,3,FALSE),0)</f>
        <v>943.99</v>
      </c>
      <c r="L206" s="649">
        <f t="shared" si="141"/>
        <v>49323.42</v>
      </c>
      <c r="M206" s="650">
        <f>+VLOOKUP(B206,'[51]Payroll Report Pivot'!$E:$H,4,FALSE)</f>
        <v>19.38</v>
      </c>
      <c r="N206" s="658">
        <f>IFERROR(VLOOKUP(Z206,[52]Payroll!$C$6:$M$61,11,FALSE),2.5%)</f>
        <v>2.4767801857585162E-2</v>
      </c>
      <c r="O206" s="659">
        <f t="shared" si="142"/>
        <v>19.86</v>
      </c>
      <c r="P206" s="660">
        <f t="shared" si="143"/>
        <v>41581.21302648</v>
      </c>
      <c r="Q206" s="660">
        <f t="shared" si="144"/>
        <v>4167.6211787400025</v>
      </c>
      <c r="R206" s="660">
        <f t="shared" si="145"/>
        <v>967.37055727554184</v>
      </c>
      <c r="S206" s="649">
        <f t="shared" si="146"/>
        <v>49991.204762495538</v>
      </c>
      <c r="T206" s="649">
        <f t="shared" si="147"/>
        <v>0</v>
      </c>
      <c r="U206" s="652">
        <f t="shared" si="148"/>
        <v>49991.204762495538</v>
      </c>
      <c r="V206" s="598" t="s">
        <v>1488</v>
      </c>
      <c r="W206" s="598">
        <v>5502</v>
      </c>
      <c r="X206" s="599">
        <f t="shared" si="149"/>
        <v>667.78476249553933</v>
      </c>
      <c r="Z206" s="598">
        <f t="shared" si="150"/>
        <v>114301</v>
      </c>
    </row>
    <row r="207" spans="1:26">
      <c r="A207" s="655">
        <v>2180</v>
      </c>
      <c r="B207" s="577" t="s">
        <v>1565</v>
      </c>
      <c r="C207" s="656" t="s">
        <v>1566</v>
      </c>
      <c r="D207" s="657" t="str">
        <f>VLOOKUP(B207,'[51]2180 Job Descriptions'!E:G,3,FALSE)</f>
        <v>Delivery</v>
      </c>
      <c r="E207" s="649">
        <f>+VLOOKUP($B207,'[51]Payroll Report Pivot'!$O:$Q,3,FALSE)</f>
        <v>2108.900001</v>
      </c>
      <c r="F207" s="650">
        <f>+VLOOKUP($B207,'[51]Payroll Report Pivot'!$O:$R,4,FALSE)</f>
        <v>46579.710000000006</v>
      </c>
      <c r="G207" s="649">
        <f>IFERROR(VLOOKUP(B207,'[51]Payroll Report Pivot'!$Y:$AA,3,FALSE),0)</f>
        <v>217.88332800000006</v>
      </c>
      <c r="H207" s="650">
        <f>IFERROR(VLOOKUP($B207,'[51]Payroll Report Pivot'!$Y:$AB,4,FALSE),0)</f>
        <v>7441.4199999999983</v>
      </c>
      <c r="I207" s="650">
        <f t="shared" si="140"/>
        <v>54021.130000000005</v>
      </c>
      <c r="J207" s="649">
        <f>+IFERROR(VLOOKUP(B207,'[51]Payroll Report Pivot'!$AH:$AJ,3,FALSE),0)</f>
        <v>3596.6799999999903</v>
      </c>
      <c r="K207" s="649">
        <f>IFERROR(VLOOKUP(B207,'[51]Payroll Report Pivot'!$AP:$AR,3,FALSE),0)</f>
        <v>0</v>
      </c>
      <c r="L207" s="649">
        <f t="shared" si="141"/>
        <v>57617.81</v>
      </c>
      <c r="M207" s="650">
        <f>+VLOOKUP(B207,'[51]Payroll Report Pivot'!$E:$H,4,FALSE)</f>
        <v>22.07</v>
      </c>
      <c r="N207" s="658">
        <f>IFERROR(VLOOKUP(Z207,[52]Payroll!$C$6:$M$61,11,FALSE),2.5%)</f>
        <v>2.5000000000000001E-2</v>
      </c>
      <c r="O207" s="659">
        <f t="shared" si="142"/>
        <v>22.621749999999999</v>
      </c>
      <c r="P207" s="660">
        <f t="shared" si="143"/>
        <v>47707.008597621745</v>
      </c>
      <c r="Q207" s="660">
        <f t="shared" si="144"/>
        <v>7393.3532627760014</v>
      </c>
      <c r="R207" s="660">
        <f t="shared" si="145"/>
        <v>0</v>
      </c>
      <c r="S207" s="649">
        <f t="shared" si="146"/>
        <v>58697.041860397738</v>
      </c>
      <c r="T207" s="649">
        <f t="shared" si="147"/>
        <v>0</v>
      </c>
      <c r="U207" s="652">
        <f t="shared" si="148"/>
        <v>58697.041860397738</v>
      </c>
      <c r="V207" s="598" t="s">
        <v>1488</v>
      </c>
      <c r="W207" s="598">
        <v>5502</v>
      </c>
      <c r="X207" s="599">
        <f t="shared" si="149"/>
        <v>1079.2318603977401</v>
      </c>
      <c r="Z207" s="598">
        <f t="shared" si="150"/>
        <v>159061</v>
      </c>
    </row>
    <row r="208" spans="1:26">
      <c r="A208" s="655">
        <v>2180</v>
      </c>
      <c r="B208" s="577" t="s">
        <v>1567</v>
      </c>
      <c r="C208" s="656" t="s">
        <v>1568</v>
      </c>
      <c r="D208" s="657" t="str">
        <f>VLOOKUP(B208,'[51]2180 Job Descriptions'!E:G,3,FALSE)</f>
        <v>Container Delivery</v>
      </c>
      <c r="E208" s="649">
        <f>+VLOOKUP($B208,'[51]Payroll Report Pivot'!$O:$Q,3,FALSE)</f>
        <v>526.15000200000009</v>
      </c>
      <c r="F208" s="650">
        <f>+VLOOKUP($B208,'[51]Payroll Report Pivot'!$O:$R,4,FALSE)</f>
        <v>9086.0600000000013</v>
      </c>
      <c r="G208" s="649">
        <f>IFERROR(VLOOKUP(B208,'[51]Payroll Report Pivot'!$Y:$AA,3,FALSE),0)</f>
        <v>4.0833329999999997</v>
      </c>
      <c r="H208" s="650">
        <f>IFERROR(VLOOKUP($B208,'[51]Payroll Report Pivot'!$Y:$AB,4,FALSE),0)</f>
        <v>100.94999999999999</v>
      </c>
      <c r="I208" s="650">
        <f t="shared" si="140"/>
        <v>9187.010000000002</v>
      </c>
      <c r="J208" s="649">
        <f>+IFERROR(VLOOKUP(B208,'[51]Payroll Report Pivot'!$AH:$AJ,3,FALSE),0)</f>
        <v>0</v>
      </c>
      <c r="K208" s="649">
        <f>IFERROR(VLOOKUP(B208,'[51]Payroll Report Pivot'!$AP:$AR,3,FALSE),0)</f>
        <v>131.84</v>
      </c>
      <c r="L208" s="649">
        <f t="shared" si="141"/>
        <v>9318.8500000000022</v>
      </c>
      <c r="M208" s="650">
        <f>+VLOOKUP(B208,'[51]Payroll Report Pivot'!$E:$H,4,FALSE)</f>
        <v>16.48</v>
      </c>
      <c r="N208" s="658">
        <f>IFERROR(VLOOKUP(Z208,[52]Payroll!$C$6:$M$61,11,FALSE),2.5%)</f>
        <v>2.5000000000000001E-2</v>
      </c>
      <c r="O208" s="659">
        <f t="shared" si="142"/>
        <v>16.891999999999999</v>
      </c>
      <c r="P208" s="660">
        <f t="shared" si="143"/>
        <v>8887.7258337840012</v>
      </c>
      <c r="Q208" s="660">
        <f t="shared" si="144"/>
        <v>103.46349155399999</v>
      </c>
      <c r="R208" s="660">
        <f t="shared" si="145"/>
        <v>135.136</v>
      </c>
      <c r="S208" s="649">
        <f t="shared" si="146"/>
        <v>9126.3253253380008</v>
      </c>
      <c r="T208" s="649">
        <f t="shared" si="147"/>
        <v>0</v>
      </c>
      <c r="U208" s="652">
        <f t="shared" si="148"/>
        <v>9126.3253253380008</v>
      </c>
      <c r="V208" s="598" t="s">
        <v>1488</v>
      </c>
      <c r="W208" s="598">
        <v>5502</v>
      </c>
      <c r="X208" s="599">
        <f t="shared" si="149"/>
        <v>-192.52467466200142</v>
      </c>
      <c r="Z208" s="598">
        <f t="shared" si="150"/>
        <v>304543</v>
      </c>
    </row>
    <row r="209" spans="1:26">
      <c r="A209" s="655">
        <v>2180</v>
      </c>
      <c r="B209" s="577" t="s">
        <v>1569</v>
      </c>
      <c r="C209" s="656" t="s">
        <v>1570</v>
      </c>
      <c r="D209" s="657" t="str">
        <f>VLOOKUP(B209,'[51]2180 Job Descriptions'!E:G,3,FALSE)</f>
        <v>Container Repair</v>
      </c>
      <c r="E209" s="649">
        <f>+VLOOKUP($B209,'[51]Payroll Report Pivot'!$O:$Q,3,FALSE)</f>
        <v>2053.7666650000001</v>
      </c>
      <c r="F209" s="650">
        <f>+VLOOKUP($B209,'[51]Payroll Report Pivot'!$O:$R,4,FALSE)</f>
        <v>39209.37000000001</v>
      </c>
      <c r="G209" s="649">
        <f>IFERROR(VLOOKUP(B209,'[51]Payroll Report Pivot'!$Y:$AA,3,FALSE),0)</f>
        <v>208.01667299999997</v>
      </c>
      <c r="H209" s="650">
        <f>IFERROR(VLOOKUP($B209,'[51]Payroll Report Pivot'!$Y:$AB,4,FALSE),0)</f>
        <v>6063.2000000000007</v>
      </c>
      <c r="I209" s="650">
        <f t="shared" si="140"/>
        <v>45272.570000000007</v>
      </c>
      <c r="J209" s="649">
        <f>+IFERROR(VLOOKUP(B209,'[51]Payroll Report Pivot'!$AH:$AJ,3,FALSE),0)</f>
        <v>3149.9999999999941</v>
      </c>
      <c r="K209" s="649">
        <f>IFERROR(VLOOKUP(B209,'[51]Payroll Report Pivot'!$AP:$AR,3,FALSE),0)</f>
        <v>0</v>
      </c>
      <c r="L209" s="649">
        <f t="shared" si="141"/>
        <v>48422.57</v>
      </c>
      <c r="M209" s="650">
        <f>+VLOOKUP(B209,'[51]Payroll Report Pivot'!$E:$H,4,FALSE)</f>
        <v>19</v>
      </c>
      <c r="N209" s="658">
        <f>IFERROR(VLOOKUP(Z209,[52]Payroll!$C$6:$M$61,11,FALSE),2.5%)</f>
        <v>3.0000000000000016E-2</v>
      </c>
      <c r="O209" s="659">
        <f t="shared" si="142"/>
        <v>19.57</v>
      </c>
      <c r="P209" s="660">
        <f t="shared" si="143"/>
        <v>40192.21363405</v>
      </c>
      <c r="Q209" s="660">
        <f t="shared" si="144"/>
        <v>6106.3294359149986</v>
      </c>
      <c r="R209" s="660">
        <f t="shared" si="145"/>
        <v>0</v>
      </c>
      <c r="S209" s="649">
        <f t="shared" si="146"/>
        <v>49448.543069964995</v>
      </c>
      <c r="T209" s="649">
        <f t="shared" si="147"/>
        <v>0</v>
      </c>
      <c r="U209" s="652">
        <f t="shared" si="148"/>
        <v>49448.543069964995</v>
      </c>
      <c r="V209" s="598" t="s">
        <v>1488</v>
      </c>
      <c r="W209" s="598">
        <v>5502</v>
      </c>
      <c r="X209" s="599">
        <f t="shared" si="149"/>
        <v>1025.9730699649954</v>
      </c>
      <c r="Z209" s="598">
        <f t="shared" si="150"/>
        <v>158074</v>
      </c>
    </row>
    <row r="210" spans="1:26">
      <c r="A210" s="655">
        <v>2180</v>
      </c>
      <c r="B210" s="577" t="s">
        <v>1571</v>
      </c>
      <c r="C210" s="656" t="s">
        <v>1572</v>
      </c>
      <c r="D210" s="657" t="str">
        <f>VLOOKUP(B210,'[51]2180 Job Descriptions'!E:G,3,FALSE)</f>
        <v>Container Delivery</v>
      </c>
      <c r="E210" s="649">
        <f>+VLOOKUP($B210,'[51]Payroll Report Pivot'!$O:$Q,3,FALSE)</f>
        <v>2052.9999990000001</v>
      </c>
      <c r="F210" s="650">
        <f>+VLOOKUP($B210,'[51]Payroll Report Pivot'!$O:$R,4,FALSE)</f>
        <v>35615.390000000021</v>
      </c>
      <c r="G210" s="649">
        <f>IFERROR(VLOOKUP(B210,'[51]Payroll Report Pivot'!$Y:$AA,3,FALSE),0)</f>
        <v>172.00000299999999</v>
      </c>
      <c r="H210" s="650">
        <f>IFERROR(VLOOKUP($B210,'[51]Payroll Report Pivot'!$Y:$AB,4,FALSE),0)</f>
        <v>4504.5600000000022</v>
      </c>
      <c r="I210" s="650">
        <f t="shared" si="140"/>
        <v>40119.950000000026</v>
      </c>
      <c r="J210" s="649">
        <f>+IFERROR(VLOOKUP(B210,'[51]Payroll Report Pivot'!$AH:$AJ,3,FALSE),0)</f>
        <v>1024.9999999999993</v>
      </c>
      <c r="K210" s="649">
        <f>IFERROR(VLOOKUP(B210,'[51]Payroll Report Pivot'!$AP:$AR,3,FALSE),0)</f>
        <v>0</v>
      </c>
      <c r="L210" s="649">
        <f t="shared" si="141"/>
        <v>41144.950000000026</v>
      </c>
      <c r="M210" s="650">
        <f>+VLOOKUP(B210,'[51]Payroll Report Pivot'!$E:$H,4,FALSE)</f>
        <v>17.399999999999999</v>
      </c>
      <c r="N210" s="658">
        <f>IFERROR(VLOOKUP(Z210,[52]Payroll!$C$6:$M$61,11,FALSE),2.5%)</f>
        <v>2.5000000000000001E-2</v>
      </c>
      <c r="O210" s="659">
        <f t="shared" si="142"/>
        <v>17.834999999999997</v>
      </c>
      <c r="P210" s="660">
        <f t="shared" si="143"/>
        <v>36615.254982164995</v>
      </c>
      <c r="Q210" s="660">
        <f t="shared" si="144"/>
        <v>4601.430080257499</v>
      </c>
      <c r="R210" s="660">
        <f t="shared" si="145"/>
        <v>0</v>
      </c>
      <c r="S210" s="649">
        <f t="shared" si="146"/>
        <v>42241.685062422497</v>
      </c>
      <c r="T210" s="649">
        <f t="shared" si="147"/>
        <v>0</v>
      </c>
      <c r="U210" s="652">
        <f t="shared" si="148"/>
        <v>42241.685062422497</v>
      </c>
      <c r="V210" s="598" t="s">
        <v>1488</v>
      </c>
      <c r="W210" s="598">
        <v>5502</v>
      </c>
      <c r="X210" s="599">
        <f t="shared" si="149"/>
        <v>1096.7350624224709</v>
      </c>
      <c r="Z210" s="598">
        <f t="shared" si="150"/>
        <v>114078</v>
      </c>
    </row>
    <row r="211" spans="1:26">
      <c r="A211" s="655">
        <v>2180</v>
      </c>
      <c r="B211" s="577" t="s">
        <v>1573</v>
      </c>
      <c r="C211" s="656" t="s">
        <v>1574</v>
      </c>
      <c r="D211" s="657" t="str">
        <f>VLOOKUP(B211,'[51]2180 Job Descriptions'!E:G,3,FALSE)</f>
        <v>Delivery</v>
      </c>
      <c r="E211" s="649">
        <f>+VLOOKUP($B211,'[51]Payroll Report Pivot'!$O:$Q,3,FALSE)</f>
        <v>1315.0366669999999</v>
      </c>
      <c r="F211" s="650">
        <f>+VLOOKUP($B211,'[51]Payroll Report Pivot'!$O:$R,4,FALSE)</f>
        <v>22094.14</v>
      </c>
      <c r="G211" s="649">
        <f>IFERROR(VLOOKUP(B211,'[51]Payroll Report Pivot'!$Y:$AA,3,FALSE),0)</f>
        <v>146.99999600000001</v>
      </c>
      <c r="H211" s="650">
        <f>IFERROR(VLOOKUP($B211,'[51]Payroll Report Pivot'!$Y:$AB,4,FALSE),0)</f>
        <v>3638.4500000000003</v>
      </c>
      <c r="I211" s="650">
        <f t="shared" si="140"/>
        <v>25732.59</v>
      </c>
      <c r="J211" s="649">
        <f>+IFERROR(VLOOKUP(B211,'[51]Payroll Report Pivot'!$AH:$AJ,3,FALSE),0)</f>
        <v>0</v>
      </c>
      <c r="K211" s="649">
        <f>IFERROR(VLOOKUP(B211,'[51]Payroll Report Pivot'!$AP:$AR,3,FALSE),0)</f>
        <v>0</v>
      </c>
      <c r="L211" s="649">
        <f t="shared" si="141"/>
        <v>25732.59</v>
      </c>
      <c r="M211" s="650">
        <f>+VLOOKUP(B211,'[51]Payroll Report Pivot'!$E:$H,4,FALSE)</f>
        <v>20</v>
      </c>
      <c r="N211" s="658">
        <f>IFERROR(VLOOKUP(Z211,[52]Payroll!$C$6:$M$61,11,FALSE),2.5%)</f>
        <v>2.5000000000000001E-2</v>
      </c>
      <c r="O211" s="659">
        <f t="shared" si="142"/>
        <v>20.5</v>
      </c>
      <c r="P211" s="660">
        <f t="shared" si="143"/>
        <v>26958.251673499995</v>
      </c>
      <c r="Q211" s="660">
        <f t="shared" si="144"/>
        <v>4520.2498770000002</v>
      </c>
      <c r="R211" s="660">
        <f t="shared" si="145"/>
        <v>0</v>
      </c>
      <c r="S211" s="649">
        <f t="shared" si="146"/>
        <v>31478.501550499997</v>
      </c>
      <c r="T211" s="649">
        <f t="shared" si="147"/>
        <v>0</v>
      </c>
      <c r="U211" s="652">
        <f t="shared" si="148"/>
        <v>31478.501550499997</v>
      </c>
      <c r="V211" s="598" t="s">
        <v>1488</v>
      </c>
      <c r="W211" s="598">
        <v>5502</v>
      </c>
      <c r="X211" s="599">
        <f t="shared" si="149"/>
        <v>5745.9115504999972</v>
      </c>
      <c r="Z211" s="598">
        <f t="shared" si="150"/>
        <v>311389</v>
      </c>
    </row>
    <row r="212" spans="1:26">
      <c r="A212" s="655"/>
      <c r="B212" s="676"/>
      <c r="C212" s="677"/>
      <c r="D212" s="657"/>
      <c r="E212" s="649"/>
      <c r="F212" s="649"/>
      <c r="G212" s="649"/>
      <c r="H212" s="650"/>
      <c r="I212" s="649"/>
      <c r="J212" s="649"/>
      <c r="K212" s="649"/>
      <c r="L212" s="649"/>
      <c r="M212" s="649"/>
      <c r="N212" s="649"/>
      <c r="O212" s="651"/>
      <c r="P212" s="649"/>
      <c r="Q212" s="649"/>
      <c r="R212" s="649"/>
      <c r="S212" s="649"/>
      <c r="T212" s="649"/>
      <c r="U212" s="652"/>
      <c r="V212" s="598" t="s">
        <v>1575</v>
      </c>
    </row>
    <row r="213" spans="1:26">
      <c r="A213" s="655"/>
      <c r="B213" s="663"/>
      <c r="C213" s="680" t="s">
        <v>1576</v>
      </c>
      <c r="D213" s="657"/>
      <c r="E213" s="666">
        <f t="shared" ref="E213:L213" si="151">+SUM(E196:E212)</f>
        <v>26641.590009</v>
      </c>
      <c r="F213" s="666">
        <f t="shared" si="151"/>
        <v>528113.28999999992</v>
      </c>
      <c r="G213" s="666">
        <f t="shared" si="151"/>
        <v>2479.683325</v>
      </c>
      <c r="H213" s="686">
        <f t="shared" si="151"/>
        <v>77523.75</v>
      </c>
      <c r="I213" s="686">
        <f t="shared" si="151"/>
        <v>605637.04</v>
      </c>
      <c r="J213" s="686">
        <f t="shared" si="151"/>
        <v>31583.279999999944</v>
      </c>
      <c r="K213" s="686">
        <f t="shared" si="151"/>
        <v>6107.61</v>
      </c>
      <c r="L213" s="686">
        <f t="shared" si="151"/>
        <v>643327.92999999993</v>
      </c>
      <c r="M213" s="666">
        <f>+SUM(M196:M212)</f>
        <v>317.18999999999994</v>
      </c>
      <c r="N213" s="666"/>
      <c r="O213" s="678"/>
      <c r="P213" s="666"/>
      <c r="Q213" s="666"/>
      <c r="R213" s="666"/>
      <c r="S213" s="666">
        <f>+SUM(S196:S212)</f>
        <v>682528.25339801225</v>
      </c>
      <c r="T213" s="666">
        <f>+SUM(T196:T212)</f>
        <v>0</v>
      </c>
      <c r="U213" s="667">
        <f>+SUM(U196:U212)</f>
        <v>682528.25339801225</v>
      </c>
      <c r="X213" s="667">
        <f>+SUM(X196:X212)</f>
        <v>39200.323398012115</v>
      </c>
      <c r="Y213" s="668"/>
    </row>
    <row r="214" spans="1:26" s="681" customFormat="1" ht="13.5" customHeight="1">
      <c r="A214" s="655"/>
      <c r="B214" s="676"/>
      <c r="C214" s="677"/>
      <c r="D214" s="657"/>
      <c r="E214" s="668"/>
      <c r="F214" s="668"/>
      <c r="G214" s="668"/>
      <c r="H214" s="682"/>
      <c r="I214" s="668"/>
      <c r="J214" s="668"/>
      <c r="K214" s="668"/>
      <c r="L214" s="668"/>
      <c r="M214" s="668"/>
      <c r="N214" s="668"/>
      <c r="O214" s="683"/>
      <c r="P214" s="668"/>
      <c r="Q214" s="668"/>
      <c r="R214" s="668"/>
      <c r="S214" s="668"/>
      <c r="T214" s="668"/>
      <c r="U214" s="652"/>
      <c r="X214" s="675"/>
      <c r="Y214" s="675"/>
    </row>
    <row r="215" spans="1:26" s="681" customFormat="1" ht="12" thickBot="1">
      <c r="A215" s="655"/>
      <c r="B215" s="663"/>
      <c r="C215" s="664"/>
      <c r="D215" s="657"/>
      <c r="E215" s="668"/>
      <c r="F215" s="668"/>
      <c r="G215" s="668"/>
      <c r="H215" s="682"/>
      <c r="I215" s="668"/>
      <c r="J215" s="668"/>
      <c r="K215" s="668"/>
      <c r="L215" s="668"/>
      <c r="M215" s="668"/>
      <c r="N215" s="668"/>
      <c r="O215" s="683"/>
      <c r="P215" s="668"/>
      <c r="Q215" s="668"/>
      <c r="R215" s="668"/>
      <c r="S215" s="668"/>
      <c r="T215" s="668"/>
      <c r="U215" s="652"/>
      <c r="V215" s="598"/>
      <c r="W215" s="598"/>
      <c r="X215" s="675"/>
      <c r="Y215" s="675"/>
    </row>
    <row r="216" spans="1:26" s="681" customFormat="1" ht="12.75" thickTop="1" thickBot="1">
      <c r="A216" s="684"/>
      <c r="B216" s="685" t="s">
        <v>1577</v>
      </c>
      <c r="C216" s="643"/>
      <c r="D216" s="644"/>
      <c r="E216" s="668"/>
      <c r="F216" s="668"/>
      <c r="G216" s="668"/>
      <c r="H216" s="682"/>
      <c r="I216" s="668"/>
      <c r="J216" s="668"/>
      <c r="K216" s="668"/>
      <c r="L216" s="668"/>
      <c r="M216" s="668"/>
      <c r="N216" s="668"/>
      <c r="O216" s="683"/>
      <c r="P216" s="668"/>
      <c r="Q216" s="668"/>
      <c r="R216" s="668"/>
      <c r="S216" s="668"/>
      <c r="T216" s="668"/>
      <c r="U216" s="652"/>
      <c r="V216" s="598"/>
      <c r="W216" s="598"/>
      <c r="X216" s="675"/>
      <c r="Y216" s="675"/>
    </row>
    <row r="217" spans="1:26" ht="12" thickTop="1">
      <c r="A217" s="655">
        <v>2180</v>
      </c>
      <c r="B217" s="577" t="s">
        <v>1578</v>
      </c>
      <c r="C217" s="656" t="s">
        <v>1579</v>
      </c>
      <c r="D217" s="833" t="str">
        <f>VLOOKUP(B217,'[51]2180 Job Descriptions'!E:G,3,FALSE)</f>
        <v>District Controller</v>
      </c>
      <c r="E217" s="649">
        <f>+VLOOKUP($B217,'[51]Payroll Report Pivot'!$O:$Q,3,FALSE)</f>
        <v>2080</v>
      </c>
      <c r="F217" s="650">
        <f>+VLOOKUP($B217,'[51]Payroll Report Pivot'!$O:$R,4,FALSE)</f>
        <v>86923.14</v>
      </c>
      <c r="G217" s="649">
        <f>IFERROR(VLOOKUP(B217,'[51]Payroll Report Pivot'!$Y:$AA,3,FALSE),0)</f>
        <v>0</v>
      </c>
      <c r="H217" s="650">
        <f>IFERROR(VLOOKUP($B217,'[51]Payroll Report Pivot'!$Y:$AB,4,FALSE),0)</f>
        <v>0</v>
      </c>
      <c r="I217" s="650">
        <f t="shared" ref="I217:I252" si="152">+F217+H217</f>
        <v>86923.14</v>
      </c>
      <c r="J217" s="649">
        <f>+IFERROR(VLOOKUP(B217,'[51]Payroll Report Pivot'!$AH:$AJ,3,FALSE),0)</f>
        <v>0</v>
      </c>
      <c r="K217" s="649">
        <f>IFERROR(VLOOKUP(B217,'[51]Payroll Report Pivot'!$AP:$AR,3,FALSE),0)</f>
        <v>2635.41</v>
      </c>
      <c r="L217" s="649">
        <f t="shared" ref="L217:L252" si="153">+K217+J217+I217</f>
        <v>89558.55</v>
      </c>
      <c r="M217" s="650">
        <f>+VLOOKUP(B217,'[51]Payroll Report Pivot'!$E:$H,4,FALSE)</f>
        <v>43.269230769230766</v>
      </c>
      <c r="N217" s="658">
        <f>IFERROR(VLOOKUP(Z217,[52]Payroll!$C$6:$M$61,11,FALSE),2.5%)</f>
        <v>2.5000000000000001E-2</v>
      </c>
      <c r="O217" s="659">
        <f>IF(V217="PCS","27.85",M217*(1+N217))</f>
        <v>44.350961538461533</v>
      </c>
      <c r="P217" s="660">
        <f>+O217*E217</f>
        <v>92249.999999999985</v>
      </c>
      <c r="Q217" s="660">
        <f t="shared" ref="Q217:Q252" si="154">+O217*G217*1.5</f>
        <v>0</v>
      </c>
      <c r="R217" s="660">
        <v>0</v>
      </c>
      <c r="S217" s="649">
        <f t="shared" ref="S217:S252" si="155">SUM(P217:R217)+J217</f>
        <v>92249.999999999985</v>
      </c>
      <c r="T217" s="649">
        <f t="shared" ref="T217" si="156">+IF(V217="PCS",250,0)</f>
        <v>0</v>
      </c>
      <c r="U217" s="652">
        <f t="shared" ref="U217:U252" si="157">+S217+T217</f>
        <v>92249.999999999985</v>
      </c>
      <c r="V217" s="598" t="s">
        <v>1488</v>
      </c>
      <c r="W217" s="598">
        <v>7001</v>
      </c>
      <c r="X217" s="599">
        <f t="shared" ref="X217:X252" si="158">U217-L217</f>
        <v>2691.4499999999825</v>
      </c>
      <c r="Z217" s="598">
        <f t="shared" ref="Z217:Z252" si="159">+B217*1</f>
        <v>155760</v>
      </c>
    </row>
    <row r="218" spans="1:26">
      <c r="A218" s="655">
        <v>2180</v>
      </c>
      <c r="B218" s="689" t="s">
        <v>1580</v>
      </c>
      <c r="C218" s="656" t="s">
        <v>1581</v>
      </c>
      <c r="D218" s="833" t="s">
        <v>1582</v>
      </c>
      <c r="E218" s="649">
        <v>680</v>
      </c>
      <c r="F218" s="674">
        <f>+IFERROR(M218*E218,0)</f>
        <v>22884.615384615383</v>
      </c>
      <c r="G218" s="649">
        <f>+IFERROR(VLOOKUP(B218,'[51]Payroll Report Pivot'!$Y:$AA,3,FALSE),0)</f>
        <v>0</v>
      </c>
      <c r="H218" s="650">
        <f>+IFERROR(M218*1.5*G218,0)</f>
        <v>0</v>
      </c>
      <c r="I218" s="650">
        <f t="shared" si="152"/>
        <v>22884.615384615383</v>
      </c>
      <c r="J218" s="649">
        <f>+IFERROR(VLOOKUP(B218,'[51]Payroll Report Pivot'!$AH:$AJ,3,FALSE),0)</f>
        <v>0</v>
      </c>
      <c r="K218" s="649">
        <f>+IFERROR(VLOOKUP(B218,'[51]Payroll Report Pivot'!$AP:$AR,3,FALSE),0)</f>
        <v>0</v>
      </c>
      <c r="L218" s="649">
        <f t="shared" si="153"/>
        <v>22884.615384615383</v>
      </c>
      <c r="M218" s="650">
        <f>70000/2080</f>
        <v>33.653846153846153</v>
      </c>
      <c r="N218" s="658">
        <v>2.5000000000000001E-2</v>
      </c>
      <c r="O218" s="659">
        <f>+M218</f>
        <v>33.653846153846153</v>
      </c>
      <c r="P218" s="660">
        <f>+O218*2080</f>
        <v>70000</v>
      </c>
      <c r="Q218" s="660">
        <f t="shared" si="154"/>
        <v>0</v>
      </c>
      <c r="R218" s="660">
        <v>0</v>
      </c>
      <c r="S218" s="649">
        <f t="shared" si="155"/>
        <v>70000</v>
      </c>
      <c r="T218" s="649">
        <f t="shared" ref="T218" si="160">+IF(V218="union",250,0)</f>
        <v>0</v>
      </c>
      <c r="U218" s="652">
        <f t="shared" si="157"/>
        <v>70000</v>
      </c>
      <c r="V218" s="598" t="s">
        <v>1488</v>
      </c>
      <c r="W218" s="598">
        <v>7001</v>
      </c>
      <c r="X218" s="675"/>
      <c r="Y218" s="675">
        <f>U218-L218</f>
        <v>47115.384615384617</v>
      </c>
      <c r="Z218" s="598">
        <f t="shared" si="159"/>
        <v>307567</v>
      </c>
    </row>
    <row r="219" spans="1:26">
      <c r="A219" s="655">
        <v>2180</v>
      </c>
      <c r="B219" s="577" t="s">
        <v>1583</v>
      </c>
      <c r="C219" s="656" t="s">
        <v>1584</v>
      </c>
      <c r="D219" s="833" t="str">
        <f>VLOOKUP(B219,'[51]2180 Job Descriptions'!$E$123:$G$200,3,FALSE)</f>
        <v>District Manager</v>
      </c>
      <c r="E219" s="649">
        <f>+VLOOKUP($B219,'[51]Payroll Report Pivot'!$O:$Q,3,FALSE)</f>
        <v>2080</v>
      </c>
      <c r="F219" s="650">
        <f>+VLOOKUP($B219,'[51]Payroll Report Pivot'!$O:$R,4,FALSE)</f>
        <v>116327.04000000002</v>
      </c>
      <c r="G219" s="649">
        <f>IFERROR(VLOOKUP(B219,'[51]Payroll Report Pivot'!$Y:$AA,3,FALSE),0)</f>
        <v>0</v>
      </c>
      <c r="H219" s="650">
        <f>IFERROR(VLOOKUP($B219,'[51]Payroll Report Pivot'!$Y:$AB,4,FALSE),0)</f>
        <v>0</v>
      </c>
      <c r="I219" s="650">
        <f t="shared" si="152"/>
        <v>116327.04000000002</v>
      </c>
      <c r="J219" s="649">
        <f>+IFERROR(VLOOKUP(B219,'[51]Payroll Report Pivot'!$AH:$AJ,3,FALSE),0)</f>
        <v>0</v>
      </c>
      <c r="K219" s="649">
        <f>IFERROR(VLOOKUP(B219,'[51]Payroll Report Pivot'!$AP:$AR,3,FALSE),0)</f>
        <v>0</v>
      </c>
      <c r="L219" s="649">
        <f t="shared" si="153"/>
        <v>116327.04000000002</v>
      </c>
      <c r="M219" s="650">
        <f>+VLOOKUP(B219,'[51]Payroll Report Pivot'!$E:$H,4,FALSE)</f>
        <v>56.67067307692308</v>
      </c>
      <c r="N219" s="658">
        <f>IFERROR(VLOOKUP(Z219,[52]Payroll!$C$6:$M$61,11,FALSE),2.5%)</f>
        <v>2.5000000000000001E-2</v>
      </c>
      <c r="O219" s="659">
        <f t="shared" ref="O219:O252" si="161">IF(V219="PCS","27.85",M219*(1+N219))</f>
        <v>58.087439903846153</v>
      </c>
      <c r="P219" s="660">
        <f t="shared" ref="P219:P252" si="162">+O219*E219</f>
        <v>120821.875</v>
      </c>
      <c r="Q219" s="660">
        <f t="shared" si="154"/>
        <v>0</v>
      </c>
      <c r="R219" s="660">
        <v>0</v>
      </c>
      <c r="S219" s="649">
        <f t="shared" si="155"/>
        <v>120821.875</v>
      </c>
      <c r="T219" s="649">
        <f t="shared" ref="T219:T252" si="163">+IF(V219="PCS",250,0)</f>
        <v>0</v>
      </c>
      <c r="U219" s="652">
        <f t="shared" si="157"/>
        <v>120821.875</v>
      </c>
      <c r="V219" s="598" t="s">
        <v>1488</v>
      </c>
      <c r="W219" s="598">
        <v>7001</v>
      </c>
      <c r="X219" s="599">
        <f t="shared" si="158"/>
        <v>4494.8349999999773</v>
      </c>
      <c r="Z219" s="598">
        <f t="shared" si="159"/>
        <v>102330</v>
      </c>
    </row>
    <row r="220" spans="1:26">
      <c r="A220" s="655">
        <v>2180</v>
      </c>
      <c r="B220" s="577" t="s">
        <v>1585</v>
      </c>
      <c r="C220" s="656" t="s">
        <v>1586</v>
      </c>
      <c r="D220" s="833" t="str">
        <f>VLOOKUP(B220,'[51]2180 Job Descriptions'!$E$123:$G$200,3,FALSE)</f>
        <v>Office Manager</v>
      </c>
      <c r="E220" s="649">
        <f>+VLOOKUP($B220,'[51]Payroll Report Pivot'!$O:$Q,3,FALSE)</f>
        <v>2080</v>
      </c>
      <c r="F220" s="650">
        <f>+VLOOKUP($B220,'[51]Payroll Report Pivot'!$O:$R,4,FALSE)</f>
        <v>61298.229999999981</v>
      </c>
      <c r="G220" s="649">
        <f>IFERROR(VLOOKUP(B220,'[51]Payroll Report Pivot'!$Y:$AA,3,FALSE),0)</f>
        <v>0</v>
      </c>
      <c r="H220" s="650">
        <f>IFERROR(VLOOKUP($B220,'[51]Payroll Report Pivot'!$Y:$AB,4,FALSE),0)</f>
        <v>0</v>
      </c>
      <c r="I220" s="650">
        <f t="shared" si="152"/>
        <v>61298.229999999981</v>
      </c>
      <c r="J220" s="649">
        <f>+IFERROR(VLOOKUP(B220,'[51]Payroll Report Pivot'!$AH:$AJ,3,FALSE),0)</f>
        <v>0</v>
      </c>
      <c r="K220" s="649">
        <f>IFERROR(VLOOKUP(B220,'[51]Payroll Report Pivot'!$AP:$AR,3,FALSE),0)</f>
        <v>1413.07</v>
      </c>
      <c r="L220" s="649">
        <f t="shared" si="153"/>
        <v>62711.299999999981</v>
      </c>
      <c r="M220" s="650">
        <f>+VLOOKUP(B220,'[51]Payroll Report Pivot'!$E:$H,4,FALSE)</f>
        <v>29.567307692307693</v>
      </c>
      <c r="N220" s="658">
        <f>IFERROR(VLOOKUP(Z220,[52]Payroll!$C$6:$M$61,11,FALSE),2.5%)</f>
        <v>2.5000000000000001E-2</v>
      </c>
      <c r="O220" s="659">
        <f t="shared" si="161"/>
        <v>30.306490384615383</v>
      </c>
      <c r="P220" s="660">
        <f t="shared" si="162"/>
        <v>63037.5</v>
      </c>
      <c r="Q220" s="660">
        <f t="shared" si="154"/>
        <v>0</v>
      </c>
      <c r="R220" s="660">
        <v>0</v>
      </c>
      <c r="S220" s="649">
        <f t="shared" si="155"/>
        <v>63037.5</v>
      </c>
      <c r="T220" s="649">
        <f t="shared" si="163"/>
        <v>0</v>
      </c>
      <c r="U220" s="652">
        <f t="shared" si="157"/>
        <v>63037.5</v>
      </c>
      <c r="V220" s="598" t="s">
        <v>1488</v>
      </c>
      <c r="W220" s="598">
        <v>7001</v>
      </c>
      <c r="X220" s="599">
        <f t="shared" si="158"/>
        <v>326.20000000001892</v>
      </c>
      <c r="Z220" s="598">
        <f t="shared" si="159"/>
        <v>152931</v>
      </c>
    </row>
    <row r="221" spans="1:26">
      <c r="A221" s="655">
        <v>2180</v>
      </c>
      <c r="B221" s="577" t="s">
        <v>1587</v>
      </c>
      <c r="C221" s="656" t="s">
        <v>1588</v>
      </c>
      <c r="D221" s="833" t="str">
        <f>VLOOKUP(B221,'[51]2180 Job Descriptions'!$E$123:$G$200,3,FALSE)</f>
        <v>IT</v>
      </c>
      <c r="E221" s="649">
        <f>+VLOOKUP($B221,'[51]Payroll Report Pivot'!$O:$Q,3,FALSE)</f>
        <v>872</v>
      </c>
      <c r="F221" s="650">
        <f>+VLOOKUP($B221,'[51]Payroll Report Pivot'!$O:$R,4,FALSE)</f>
        <v>20961.580000000002</v>
      </c>
      <c r="G221" s="649">
        <f>IFERROR(VLOOKUP(B221,'[51]Payroll Report Pivot'!$Y:$AA,3,FALSE),0)</f>
        <v>0</v>
      </c>
      <c r="H221" s="650">
        <f>IFERROR(VLOOKUP($B221,'[51]Payroll Report Pivot'!$Y:$AB,4,FALSE),0)</f>
        <v>0</v>
      </c>
      <c r="I221" s="650">
        <f t="shared" si="152"/>
        <v>20961.580000000002</v>
      </c>
      <c r="J221" s="649">
        <f>+IFERROR(VLOOKUP(B221,'[51]Payroll Report Pivot'!$AH:$AJ,3,FALSE),0)</f>
        <v>0</v>
      </c>
      <c r="K221" s="649">
        <f>IFERROR(VLOOKUP(B221,'[51]Payroll Report Pivot'!$AP:$AR,3,FALSE),0)</f>
        <v>0</v>
      </c>
      <c r="L221" s="649">
        <f t="shared" si="153"/>
        <v>20961.580000000002</v>
      </c>
      <c r="M221" s="650">
        <f>+VLOOKUP(B221,'[51]Payroll Report Pivot'!$E:$H,4,FALSE)</f>
        <v>24.03846153846154</v>
      </c>
      <c r="N221" s="658">
        <f>IFERROR(VLOOKUP(Z221,[52]Payroll!$C$6:$M$61,11,FALSE),2.5%)</f>
        <v>2.5000000000000001E-2</v>
      </c>
      <c r="O221" s="659">
        <f t="shared" si="161"/>
        <v>24.639423076923077</v>
      </c>
      <c r="P221" s="660">
        <f>+O221*2080</f>
        <v>51250</v>
      </c>
      <c r="Q221" s="660">
        <f t="shared" si="154"/>
        <v>0</v>
      </c>
      <c r="R221" s="660">
        <f t="shared" ref="R221:R222" si="164">+K221*(1+N221)</f>
        <v>0</v>
      </c>
      <c r="S221" s="649">
        <f t="shared" si="155"/>
        <v>51250</v>
      </c>
      <c r="T221" s="649">
        <f t="shared" si="163"/>
        <v>0</v>
      </c>
      <c r="U221" s="652">
        <f t="shared" si="157"/>
        <v>51250</v>
      </c>
      <c r="V221" s="598" t="s">
        <v>1488</v>
      </c>
      <c r="W221" s="598">
        <v>7001</v>
      </c>
      <c r="X221" s="675"/>
      <c r="Y221" s="675">
        <f>U221-L221</f>
        <v>30288.42</v>
      </c>
      <c r="Z221" s="598">
        <f t="shared" si="159"/>
        <v>313283</v>
      </c>
    </row>
    <row r="222" spans="1:26">
      <c r="A222" s="655">
        <v>2180</v>
      </c>
      <c r="B222" s="577" t="s">
        <v>1589</v>
      </c>
      <c r="C222" s="656" t="s">
        <v>1590</v>
      </c>
      <c r="D222" s="833" t="str">
        <f>VLOOKUP(B222,'[51]2180 Job Descriptions'!$E$123:$G$200,3,FALSE)</f>
        <v>DVP</v>
      </c>
      <c r="E222" s="649">
        <v>2080</v>
      </c>
      <c r="F222" s="650">
        <f>+VLOOKUP($B222,'[51]Payroll Report Pivot'!$O:$R,4,FALSE)</f>
        <v>177980.86000000004</v>
      </c>
      <c r="G222" s="649">
        <f>IFERROR(VLOOKUP(B222,'[51]Payroll Report Pivot'!$Y:$AA,3,FALSE),0)</f>
        <v>0</v>
      </c>
      <c r="H222" s="650">
        <f>IFERROR(VLOOKUP($B222,'[51]Payroll Report Pivot'!$Y:$AB,4,FALSE),0)</f>
        <v>0</v>
      </c>
      <c r="I222" s="650">
        <f t="shared" si="152"/>
        <v>177980.86000000004</v>
      </c>
      <c r="J222" s="649">
        <f>+IFERROR(VLOOKUP(B222,'[51]Payroll Report Pivot'!$AH:$AJ,3,FALSE),0)</f>
        <v>0</v>
      </c>
      <c r="K222" s="649">
        <f>IFERROR(VLOOKUP(B222,'[51]Payroll Report Pivot'!$AP:$AR,3,FALSE),0)</f>
        <v>0</v>
      </c>
      <c r="L222" s="649">
        <f t="shared" si="153"/>
        <v>177980.86000000004</v>
      </c>
      <c r="M222" s="650">
        <f>+VLOOKUP(B222,'[51]Payroll Report Pivot'!$E:$H,4,FALSE)</f>
        <v>86.538461538461533</v>
      </c>
      <c r="N222" s="658">
        <f>IFERROR(VLOOKUP(Z222,[52]Payroll!$C$6:$M$61,11,FALSE),2.5%)</f>
        <v>2.5000000000000001E-2</v>
      </c>
      <c r="O222" s="659">
        <f t="shared" si="161"/>
        <v>88.701923076923066</v>
      </c>
      <c r="P222" s="660">
        <f>+O222*E222</f>
        <v>184499.99999999997</v>
      </c>
      <c r="Q222" s="660">
        <f t="shared" si="154"/>
        <v>0</v>
      </c>
      <c r="R222" s="660">
        <f t="shared" si="164"/>
        <v>0</v>
      </c>
      <c r="S222" s="649">
        <f t="shared" si="155"/>
        <v>184499.99999999997</v>
      </c>
      <c r="T222" s="649">
        <f t="shared" si="163"/>
        <v>0</v>
      </c>
      <c r="U222" s="652">
        <f t="shared" si="157"/>
        <v>184499.99999999997</v>
      </c>
      <c r="V222" s="598" t="s">
        <v>1488</v>
      </c>
      <c r="W222" s="598">
        <v>7001</v>
      </c>
      <c r="X222" s="675">
        <f t="shared" si="158"/>
        <v>6519.1399999999267</v>
      </c>
      <c r="Y222" s="675"/>
      <c r="Z222" s="598">
        <f t="shared" si="159"/>
        <v>102777</v>
      </c>
    </row>
    <row r="223" spans="1:26">
      <c r="A223" s="655">
        <v>2180</v>
      </c>
      <c r="B223" s="577" t="s">
        <v>1591</v>
      </c>
      <c r="C223" s="656" t="s">
        <v>1592</v>
      </c>
      <c r="D223" s="657" t="str">
        <f>VLOOKUP(B223,'[51]2180 Job Descriptions'!$E$123:$G$200,3,FALSE)</f>
        <v>CSR</v>
      </c>
      <c r="E223" s="649">
        <f>+VLOOKUP($B223,'[51]Payroll Report Pivot'!$O:$Q,3,FALSE)</f>
        <v>1158.666665</v>
      </c>
      <c r="F223" s="650">
        <f>+VLOOKUP($B223,'[51]Payroll Report Pivot'!$O:$R,4,FALSE)</f>
        <v>18927.87</v>
      </c>
      <c r="G223" s="649">
        <f>IFERROR(VLOOKUP(B223,'[51]Payroll Report Pivot'!$Y:$AA,3,FALSE),0)</f>
        <v>79.466673000000029</v>
      </c>
      <c r="H223" s="650">
        <f>IFERROR(VLOOKUP($B223,'[51]Payroll Report Pivot'!$Y:$AB,4,FALSE),0)</f>
        <v>1958.25</v>
      </c>
      <c r="I223" s="650">
        <f t="shared" si="152"/>
        <v>20886.12</v>
      </c>
      <c r="J223" s="649">
        <f>+IFERROR(VLOOKUP(B223,'[51]Payroll Report Pivot'!$AH:$AJ,3,FALSE),0)</f>
        <v>610</v>
      </c>
      <c r="K223" s="649">
        <f>IFERROR(VLOOKUP(B223,'[51]Payroll Report Pivot'!$AP:$AR,3,FALSE),0)</f>
        <v>0</v>
      </c>
      <c r="L223" s="649">
        <f t="shared" si="153"/>
        <v>21496.12</v>
      </c>
      <c r="M223" s="650">
        <f>+VLOOKUP(B223,'[51]Payroll Report Pivot'!$E:$H,4,FALSE)</f>
        <v>16.399999999999999</v>
      </c>
      <c r="N223" s="658">
        <f>IFERROR(VLOOKUP(Z223,[52]Payroll!$C$6:$M$61,11,FALSE),2.5%)</f>
        <v>3.6585365853658625E-2</v>
      </c>
      <c r="O223" s="659">
        <f t="shared" si="161"/>
        <v>17</v>
      </c>
      <c r="P223" s="660">
        <f t="shared" si="162"/>
        <v>19697.333305</v>
      </c>
      <c r="Q223" s="660">
        <f t="shared" si="154"/>
        <v>2026.4001615000009</v>
      </c>
      <c r="R223" s="660">
        <f>+K223</f>
        <v>0</v>
      </c>
      <c r="S223" s="649">
        <f t="shared" si="155"/>
        <v>22333.733466500002</v>
      </c>
      <c r="T223" s="649">
        <f t="shared" si="163"/>
        <v>0</v>
      </c>
      <c r="U223" s="652">
        <f t="shared" si="157"/>
        <v>22333.733466500002</v>
      </c>
      <c r="V223" s="598" t="s">
        <v>1488</v>
      </c>
      <c r="W223" s="598">
        <v>7002</v>
      </c>
      <c r="X223" s="599">
        <f t="shared" si="158"/>
        <v>837.61346650000269</v>
      </c>
      <c r="Z223" s="598">
        <f t="shared" si="159"/>
        <v>312263</v>
      </c>
    </row>
    <row r="224" spans="1:26" s="688" customFormat="1">
      <c r="A224" s="655">
        <v>2180</v>
      </c>
      <c r="B224" s="577" t="s">
        <v>1593</v>
      </c>
      <c r="C224" s="656" t="s">
        <v>1594</v>
      </c>
      <c r="D224" s="657" t="str">
        <f>VLOOKUP(B224,'[51]2180 Job Descriptions'!$E$123:$G$200,3,FALSE)</f>
        <v>Accounting Clerk</v>
      </c>
      <c r="E224" s="649">
        <f>+VLOOKUP($B224,'[51]Payroll Report Pivot'!$O:$Q,3,FALSE)</f>
        <v>2050.3333309999998</v>
      </c>
      <c r="F224" s="650">
        <f>+VLOOKUP($B224,'[51]Payroll Report Pivot'!$O:$R,4,FALSE)</f>
        <v>44972.76</v>
      </c>
      <c r="G224" s="649">
        <f>IFERROR(VLOOKUP(B224,'[51]Payroll Report Pivot'!$Y:$AA,3,FALSE),0)</f>
        <v>57.550000000000004</v>
      </c>
      <c r="H224" s="650">
        <f>IFERROR(VLOOKUP($B224,'[51]Payroll Report Pivot'!$Y:$AB,4,FALSE),0)</f>
        <v>1898.29</v>
      </c>
      <c r="I224" s="650">
        <f t="shared" si="152"/>
        <v>46871.05</v>
      </c>
      <c r="J224" s="649">
        <f>+IFERROR(VLOOKUP(B224,'[51]Payroll Report Pivot'!$AH:$AJ,3,FALSE),0)</f>
        <v>0</v>
      </c>
      <c r="K224" s="649">
        <f>IFERROR(VLOOKUP(B224,'[51]Payroll Report Pivot'!$AP:$AR,3,FALSE),0)</f>
        <v>336</v>
      </c>
      <c r="L224" s="649">
        <f t="shared" si="153"/>
        <v>47207.05</v>
      </c>
      <c r="M224" s="650">
        <f>+VLOOKUP(B224,'[51]Payroll Report Pivot'!$E:$H,4,FALSE)</f>
        <v>22.05</v>
      </c>
      <c r="N224" s="658">
        <f>IFERROR(VLOOKUP(Z224,[52]Payroll!$C$6:$M$61,11,FALSE),2.5%)</f>
        <v>4.3083900226757336E-2</v>
      </c>
      <c r="O224" s="659">
        <f t="shared" si="161"/>
        <v>23</v>
      </c>
      <c r="P224" s="660">
        <f t="shared" si="162"/>
        <v>47157.666612999994</v>
      </c>
      <c r="Q224" s="660">
        <f t="shared" si="154"/>
        <v>1985.4750000000001</v>
      </c>
      <c r="R224" s="660">
        <f t="shared" ref="R224:R252" si="165">+K224</f>
        <v>336</v>
      </c>
      <c r="S224" s="649">
        <f t="shared" si="155"/>
        <v>49479.141612999993</v>
      </c>
      <c r="T224" s="649">
        <f t="shared" si="163"/>
        <v>0</v>
      </c>
      <c r="U224" s="652">
        <f t="shared" si="157"/>
        <v>49479.141612999993</v>
      </c>
      <c r="V224" s="598" t="s">
        <v>1488</v>
      </c>
      <c r="W224" s="598">
        <v>7002</v>
      </c>
      <c r="X224" s="599">
        <f t="shared" si="158"/>
        <v>2272.0916129999896</v>
      </c>
      <c r="Y224" s="599"/>
      <c r="Z224" s="598">
        <f t="shared" si="159"/>
        <v>305714</v>
      </c>
    </row>
    <row r="225" spans="1:26" s="688" customFormat="1">
      <c r="A225" s="655">
        <v>2180</v>
      </c>
      <c r="B225" s="577" t="s">
        <v>1595</v>
      </c>
      <c r="C225" s="656" t="s">
        <v>1596</v>
      </c>
      <c r="D225" s="657" t="str">
        <f>VLOOKUP(B225,'[51]2180 Job Descriptions'!$E$123:$G$200,3,FALSE)</f>
        <v>CSR</v>
      </c>
      <c r="E225" s="649">
        <f>+VLOOKUP($B225,'[51]Payroll Report Pivot'!$O:$Q,3,FALSE)</f>
        <v>2062.560195</v>
      </c>
      <c r="F225" s="650">
        <f>+VLOOKUP($B225,'[51]Payroll Report Pivot'!$O:$R,4,FALSE)</f>
        <v>34383.600000000006</v>
      </c>
      <c r="G225" s="649">
        <f>IFERROR(VLOOKUP(B225,'[51]Payroll Report Pivot'!$Y:$AA,3,FALSE),0)</f>
        <v>177.08333400000004</v>
      </c>
      <c r="H225" s="650">
        <f>IFERROR(VLOOKUP($B225,'[51]Payroll Report Pivot'!$Y:$AB,4,FALSE),0)</f>
        <v>4388.0399999999991</v>
      </c>
      <c r="I225" s="650">
        <f t="shared" si="152"/>
        <v>38771.640000000007</v>
      </c>
      <c r="J225" s="649">
        <f>+IFERROR(VLOOKUP(B225,'[51]Payroll Report Pivot'!$AH:$AJ,3,FALSE),0)</f>
        <v>1225</v>
      </c>
      <c r="K225" s="649">
        <f>IFERROR(VLOOKUP(B225,'[51]Payroll Report Pivot'!$AP:$AR,3,FALSE),0)</f>
        <v>0</v>
      </c>
      <c r="L225" s="649">
        <f t="shared" si="153"/>
        <v>39996.640000000007</v>
      </c>
      <c r="M225" s="650">
        <f>+VLOOKUP(B225,'[51]Payroll Report Pivot'!$E:$H,4,FALSE)</f>
        <v>16.399999999999999</v>
      </c>
      <c r="N225" s="658">
        <f>IFERROR(VLOOKUP(Z225,[52]Payroll!$C$6:$M$61,11,FALSE),2.5%)</f>
        <v>3.6585365853658625E-2</v>
      </c>
      <c r="O225" s="659">
        <f t="shared" si="161"/>
        <v>17</v>
      </c>
      <c r="P225" s="660">
        <f t="shared" si="162"/>
        <v>35063.523314999999</v>
      </c>
      <c r="Q225" s="660">
        <f t="shared" si="154"/>
        <v>4515.6250170000003</v>
      </c>
      <c r="R225" s="660">
        <f t="shared" si="165"/>
        <v>0</v>
      </c>
      <c r="S225" s="649">
        <f t="shared" si="155"/>
        <v>40804.148331999997</v>
      </c>
      <c r="T225" s="649">
        <f t="shared" si="163"/>
        <v>0</v>
      </c>
      <c r="U225" s="652">
        <f t="shared" si="157"/>
        <v>40804.148331999997</v>
      </c>
      <c r="V225" s="598" t="s">
        <v>1488</v>
      </c>
      <c r="W225" s="598">
        <v>7002</v>
      </c>
      <c r="X225" s="599">
        <f t="shared" si="158"/>
        <v>807.50833199999033</v>
      </c>
      <c r="Y225" s="599"/>
      <c r="Z225" s="598">
        <f t="shared" si="159"/>
        <v>306830</v>
      </c>
    </row>
    <row r="226" spans="1:26">
      <c r="A226" s="655">
        <v>2180</v>
      </c>
      <c r="B226" s="577" t="s">
        <v>1597</v>
      </c>
      <c r="C226" s="656" t="s">
        <v>1598</v>
      </c>
      <c r="D226" s="657" t="str">
        <f>VLOOKUP(B226,'[51]2180 Job Descriptions'!$E$123:$G$200,3,FALSE)</f>
        <v>CSR</v>
      </c>
      <c r="E226" s="649">
        <f>+VLOOKUP($B226,'[51]Payroll Report Pivot'!$O:$Q,3,FALSE)</f>
        <v>78.133333999999991</v>
      </c>
      <c r="F226" s="650">
        <f>+VLOOKUP($B226,'[51]Payroll Report Pivot'!$O:$R,4,FALSE)</f>
        <v>1313.4299999999998</v>
      </c>
      <c r="G226" s="649">
        <f>IFERROR(VLOOKUP(B226,'[51]Payroll Report Pivot'!$Y:$AA,3,FALSE),0)</f>
        <v>2.5499999999999998</v>
      </c>
      <c r="H226" s="650">
        <f>IFERROR(VLOOKUP($B226,'[51]Payroll Report Pivot'!$Y:$AB,4,FALSE),0)</f>
        <v>64.31</v>
      </c>
      <c r="I226" s="650">
        <f t="shared" si="152"/>
        <v>1377.7399999999998</v>
      </c>
      <c r="J226" s="649">
        <f>+IFERROR(VLOOKUP(B226,'[51]Payroll Report Pivot'!$AH:$AJ,3,FALSE),0)</f>
        <v>0</v>
      </c>
      <c r="K226" s="649">
        <f>IFERROR(VLOOKUP(B226,'[51]Payroll Report Pivot'!$AP:$AR,3,FALSE),0)</f>
        <v>88.26</v>
      </c>
      <c r="L226" s="649">
        <f t="shared" si="153"/>
        <v>1465.9999999999998</v>
      </c>
      <c r="M226" s="650">
        <f>+VLOOKUP(B226,'[51]Payroll Report Pivot'!$E:$H,4,FALSE)</f>
        <v>16.809999999999999</v>
      </c>
      <c r="N226" s="658">
        <f>IFERROR(VLOOKUP(Z226,[52]Payroll!$C$6:$M$61,11,FALSE),2.5%)</f>
        <v>2.5000000000000001E-2</v>
      </c>
      <c r="O226" s="659">
        <f t="shared" si="161"/>
        <v>17.230249999999998</v>
      </c>
      <c r="P226" s="660">
        <f t="shared" si="162"/>
        <v>1346.2568781534997</v>
      </c>
      <c r="Q226" s="660">
        <f t="shared" si="154"/>
        <v>65.90570624999998</v>
      </c>
      <c r="R226" s="660">
        <f t="shared" si="165"/>
        <v>88.26</v>
      </c>
      <c r="S226" s="649">
        <f t="shared" si="155"/>
        <v>1500.4225844034997</v>
      </c>
      <c r="T226" s="649">
        <f t="shared" si="163"/>
        <v>0</v>
      </c>
      <c r="U226" s="652">
        <f t="shared" si="157"/>
        <v>1500.4225844034997</v>
      </c>
      <c r="V226" s="598" t="s">
        <v>1488</v>
      </c>
      <c r="W226" s="598">
        <v>7002</v>
      </c>
      <c r="X226" s="599">
        <f t="shared" si="158"/>
        <v>34.422584403499968</v>
      </c>
      <c r="Z226" s="598">
        <f t="shared" si="159"/>
        <v>157690</v>
      </c>
    </row>
    <row r="227" spans="1:26">
      <c r="A227" s="655">
        <v>2180</v>
      </c>
      <c r="B227" s="577" t="s">
        <v>1599</v>
      </c>
      <c r="C227" s="656" t="s">
        <v>1600</v>
      </c>
      <c r="D227" s="657" t="str">
        <f>VLOOKUP(B227,'[51]2180 Job Descriptions'!$E$123:$G$200,3,FALSE)</f>
        <v>CSR</v>
      </c>
      <c r="E227" s="649">
        <f>+VLOOKUP($B227,'[51]Payroll Report Pivot'!$O:$Q,3,FALSE)</f>
        <v>1906.6263999999999</v>
      </c>
      <c r="F227" s="650">
        <f>+VLOOKUP($B227,'[51]Payroll Report Pivot'!$O:$R,4,FALSE)</f>
        <v>32369.969999999994</v>
      </c>
      <c r="G227" s="649">
        <f>IFERROR(VLOOKUP(B227,'[51]Payroll Report Pivot'!$Y:$AA,3,FALSE),0)</f>
        <v>74.333335999999989</v>
      </c>
      <c r="H227" s="650">
        <f>IFERROR(VLOOKUP($B227,'[51]Payroll Report Pivot'!$Y:$AB,4,FALSE),0)</f>
        <v>1883.9800000000005</v>
      </c>
      <c r="I227" s="650">
        <f t="shared" si="152"/>
        <v>34253.949999999997</v>
      </c>
      <c r="J227" s="649">
        <f>+IFERROR(VLOOKUP(B227,'[51]Payroll Report Pivot'!$AH:$AJ,3,FALSE),0)</f>
        <v>1355</v>
      </c>
      <c r="K227" s="649">
        <f>IFERROR(VLOOKUP(B227,'[51]Payroll Report Pivot'!$AP:$AR,3,FALSE),0)</f>
        <v>0</v>
      </c>
      <c r="L227" s="649">
        <f t="shared" si="153"/>
        <v>35608.949999999997</v>
      </c>
      <c r="M227" s="650">
        <f>+VLOOKUP(B227,'[51]Payroll Report Pivot'!$E:$H,4,FALSE)</f>
        <v>16.809999999999999</v>
      </c>
      <c r="N227" s="658">
        <f>IFERROR(VLOOKUP(Z227,[52]Payroll!$C$6:$M$61,11,FALSE),2.5%)</f>
        <v>2.4985127900059592E-2</v>
      </c>
      <c r="O227" s="659">
        <f t="shared" si="161"/>
        <v>17.23</v>
      </c>
      <c r="P227" s="660">
        <f t="shared" si="162"/>
        <v>32851.172871999996</v>
      </c>
      <c r="Q227" s="660">
        <f t="shared" si="154"/>
        <v>1921.1450689199996</v>
      </c>
      <c r="R227" s="660">
        <f t="shared" si="165"/>
        <v>0</v>
      </c>
      <c r="S227" s="649">
        <f t="shared" si="155"/>
        <v>36127.317940919995</v>
      </c>
      <c r="T227" s="649">
        <f t="shared" si="163"/>
        <v>0</v>
      </c>
      <c r="U227" s="652">
        <f t="shared" si="157"/>
        <v>36127.317940919995</v>
      </c>
      <c r="V227" s="598" t="s">
        <v>1488</v>
      </c>
      <c r="W227" s="598">
        <v>7002</v>
      </c>
      <c r="X227" s="599">
        <f t="shared" si="158"/>
        <v>518.36794091999764</v>
      </c>
      <c r="Z227" s="598">
        <f t="shared" si="159"/>
        <v>301663</v>
      </c>
    </row>
    <row r="228" spans="1:26">
      <c r="A228" s="655">
        <v>2180</v>
      </c>
      <c r="B228" s="577" t="s">
        <v>1601</v>
      </c>
      <c r="C228" s="656" t="s">
        <v>1602</v>
      </c>
      <c r="D228" s="657" t="str">
        <f>VLOOKUP(B228,'[51]2180 Job Descriptions'!$E$123:$G$200,3,FALSE)</f>
        <v>Admin</v>
      </c>
      <c r="E228" s="649">
        <f>+VLOOKUP($B228,'[51]Payroll Report Pivot'!$O:$Q,3,FALSE)</f>
        <v>1988.4633389999999</v>
      </c>
      <c r="F228" s="650">
        <f>+VLOOKUP($B228,'[51]Payroll Report Pivot'!$O:$R,4,FALSE)</f>
        <v>50776.790000000023</v>
      </c>
      <c r="G228" s="649">
        <f>IFERROR(VLOOKUP(B228,'[51]Payroll Report Pivot'!$Y:$AA,3,FALSE),0)</f>
        <v>10.816668</v>
      </c>
      <c r="H228" s="650">
        <f>IFERROR(VLOOKUP($B228,'[51]Payroll Report Pivot'!$Y:$AB,4,FALSE),0)</f>
        <v>409.8300000000001</v>
      </c>
      <c r="I228" s="650">
        <f t="shared" si="152"/>
        <v>51186.620000000024</v>
      </c>
      <c r="J228" s="649">
        <f>+IFERROR(VLOOKUP(B228,'[51]Payroll Report Pivot'!$AH:$AJ,3,FALSE),0)</f>
        <v>0</v>
      </c>
      <c r="K228" s="649">
        <f>IFERROR(VLOOKUP(B228,'[51]Payroll Report Pivot'!$AP:$AR,3,FALSE),0)</f>
        <v>0</v>
      </c>
      <c r="L228" s="649">
        <f t="shared" si="153"/>
        <v>51186.620000000024</v>
      </c>
      <c r="M228" s="650">
        <f>+VLOOKUP(B228,'[51]Payroll Report Pivot'!$E:$H,4,FALSE)</f>
        <v>25.26</v>
      </c>
      <c r="N228" s="658">
        <f>IFERROR(VLOOKUP(Z228,[52]Payroll!$C$6:$M$61,11,FALSE),2.5%)</f>
        <v>0</v>
      </c>
      <c r="O228" s="659">
        <f t="shared" si="161"/>
        <v>25.26</v>
      </c>
      <c r="P228" s="660">
        <f t="shared" si="162"/>
        <v>50228.583943140002</v>
      </c>
      <c r="Q228" s="660">
        <f t="shared" si="154"/>
        <v>409.84355052000006</v>
      </c>
      <c r="R228" s="660">
        <f t="shared" si="165"/>
        <v>0</v>
      </c>
      <c r="S228" s="649">
        <f t="shared" si="155"/>
        <v>50638.427493660005</v>
      </c>
      <c r="T228" s="649">
        <f t="shared" si="163"/>
        <v>0</v>
      </c>
      <c r="U228" s="652">
        <f t="shared" si="157"/>
        <v>50638.427493660005</v>
      </c>
      <c r="V228" s="598" t="s">
        <v>1488</v>
      </c>
      <c r="W228" s="598">
        <v>7002</v>
      </c>
      <c r="X228" s="599">
        <f t="shared" si="158"/>
        <v>-548.19250634001946</v>
      </c>
      <c r="Z228" s="598">
        <f t="shared" si="159"/>
        <v>114200</v>
      </c>
    </row>
    <row r="229" spans="1:26">
      <c r="A229" s="655">
        <v>2180</v>
      </c>
      <c r="B229" s="577" t="s">
        <v>1603</v>
      </c>
      <c r="C229" s="656" t="s">
        <v>1604</v>
      </c>
      <c r="D229" s="657" t="str">
        <f>VLOOKUP(B229,'[51]2180 Job Descriptions'!$E$123:$G$200,3,FALSE)</f>
        <v>Accounting Clerk</v>
      </c>
      <c r="E229" s="649">
        <f>+VLOOKUP($B229,'[51]Payroll Report Pivot'!$O:$Q,3,FALSE)</f>
        <v>1088.6087659999998</v>
      </c>
      <c r="F229" s="650">
        <f>+VLOOKUP($B229,'[51]Payroll Report Pivot'!$O:$R,4,FALSE)</f>
        <v>23253.5</v>
      </c>
      <c r="G229" s="649">
        <f>IFERROR(VLOOKUP(B229,'[51]Payroll Report Pivot'!$Y:$AA,3,FALSE),0)</f>
        <v>5.4333369999999999</v>
      </c>
      <c r="H229" s="650">
        <f>IFERROR(VLOOKUP($B229,'[51]Payroll Report Pivot'!$Y:$AB,4,FALSE),0)</f>
        <v>171.26000000000002</v>
      </c>
      <c r="I229" s="650">
        <f t="shared" si="152"/>
        <v>23424.76</v>
      </c>
      <c r="J229" s="649">
        <f>+IFERROR(VLOOKUP(B229,'[51]Payroll Report Pivot'!$AH:$AJ,3,FALSE),0)</f>
        <v>0</v>
      </c>
      <c r="K229" s="649">
        <f>IFERROR(VLOOKUP(B229,'[51]Payroll Report Pivot'!$AP:$AR,3,FALSE),0)</f>
        <v>0</v>
      </c>
      <c r="L229" s="649">
        <f t="shared" si="153"/>
        <v>23424.76</v>
      </c>
      <c r="M229" s="650">
        <f>+VLOOKUP(B229,'[51]Payroll Report Pivot'!$E:$H,4,FALSE)</f>
        <v>21.01</v>
      </c>
      <c r="N229" s="658">
        <f>IFERROR(VLOOKUP(Z229,[52]Payroll!$C$6:$M$61,11,FALSE),2.5%)</f>
        <v>2.5000000000000001E-2</v>
      </c>
      <c r="O229" s="659">
        <f t="shared" si="161"/>
        <v>21.535250000000001</v>
      </c>
      <c r="P229" s="660">
        <f t="shared" si="162"/>
        <v>23443.461928001499</v>
      </c>
      <c r="Q229" s="660">
        <f t="shared" si="154"/>
        <v>175.51240594387502</v>
      </c>
      <c r="R229" s="660">
        <f t="shared" si="165"/>
        <v>0</v>
      </c>
      <c r="S229" s="649">
        <f t="shared" si="155"/>
        <v>23618.974333945374</v>
      </c>
      <c r="T229" s="649">
        <f t="shared" si="163"/>
        <v>0</v>
      </c>
      <c r="U229" s="652">
        <f t="shared" si="157"/>
        <v>23618.974333945374</v>
      </c>
      <c r="V229" s="598" t="s">
        <v>1488</v>
      </c>
      <c r="W229" s="598">
        <v>7002</v>
      </c>
      <c r="X229" s="599">
        <f t="shared" si="158"/>
        <v>194.21433394537598</v>
      </c>
      <c r="Z229" s="598">
        <f t="shared" si="159"/>
        <v>152163</v>
      </c>
    </row>
    <row r="230" spans="1:26">
      <c r="A230" s="655">
        <v>2180</v>
      </c>
      <c r="B230" s="577" t="s">
        <v>1605</v>
      </c>
      <c r="C230" s="656" t="s">
        <v>1606</v>
      </c>
      <c r="D230" s="657" t="str">
        <f>VLOOKUP(B230,'[51]2180 Job Descriptions'!$E$123:$G$200,3,FALSE)</f>
        <v>CSR</v>
      </c>
      <c r="E230" s="649">
        <f>+VLOOKUP($B230,'[51]Payroll Report Pivot'!$O:$Q,3,FALSE)</f>
        <v>190.066666</v>
      </c>
      <c r="F230" s="650">
        <f>+VLOOKUP($B230,'[51]Payroll Report Pivot'!$O:$R,4,FALSE)</f>
        <v>3041.07</v>
      </c>
      <c r="G230" s="649">
        <f>IFERROR(VLOOKUP(B230,'[51]Payroll Report Pivot'!$Y:$AA,3,FALSE),0)</f>
        <v>12.066666</v>
      </c>
      <c r="H230" s="650">
        <f>IFERROR(VLOOKUP($B230,'[51]Payroll Report Pivot'!$Y:$AB,4,FALSE),0)</f>
        <v>289.61</v>
      </c>
      <c r="I230" s="650">
        <f t="shared" si="152"/>
        <v>3330.6800000000003</v>
      </c>
      <c r="J230" s="649">
        <f>+IFERROR(VLOOKUP(B230,'[51]Payroll Report Pivot'!$AH:$AJ,3,FALSE),0)</f>
        <v>70</v>
      </c>
      <c r="K230" s="649">
        <f>IFERROR(VLOOKUP(B230,'[51]Payroll Report Pivot'!$AP:$AR,3,FALSE),0)</f>
        <v>0</v>
      </c>
      <c r="L230" s="649">
        <f t="shared" si="153"/>
        <v>3400.6800000000003</v>
      </c>
      <c r="M230" s="650">
        <f>+VLOOKUP(B230,'[51]Payroll Report Pivot'!$E:$H,4,FALSE)</f>
        <v>16</v>
      </c>
      <c r="N230" s="658">
        <f>IFERROR(VLOOKUP(Z230,[52]Payroll!$C$6:$M$61,11,FALSE),2.5%)</f>
        <v>2.5000000000000001E-2</v>
      </c>
      <c r="O230" s="659">
        <f t="shared" si="161"/>
        <v>16.399999999999999</v>
      </c>
      <c r="P230" s="660">
        <f t="shared" si="162"/>
        <v>3117.0933223999996</v>
      </c>
      <c r="Q230" s="660">
        <f t="shared" si="154"/>
        <v>296.83998359999998</v>
      </c>
      <c r="R230" s="660">
        <f t="shared" si="165"/>
        <v>0</v>
      </c>
      <c r="S230" s="649">
        <f t="shared" si="155"/>
        <v>3483.9333059999994</v>
      </c>
      <c r="T230" s="649">
        <f t="shared" si="163"/>
        <v>0</v>
      </c>
      <c r="U230" s="652">
        <f t="shared" si="157"/>
        <v>3483.9333059999994</v>
      </c>
      <c r="V230" s="598" t="s">
        <v>1488</v>
      </c>
      <c r="W230" s="598">
        <v>7002</v>
      </c>
      <c r="X230" s="599">
        <f t="shared" si="158"/>
        <v>83.253305999999156</v>
      </c>
      <c r="Z230" s="598">
        <f t="shared" si="159"/>
        <v>309849</v>
      </c>
    </row>
    <row r="231" spans="1:26">
      <c r="A231" s="655">
        <v>2180</v>
      </c>
      <c r="B231" s="577" t="s">
        <v>1607</v>
      </c>
      <c r="C231" s="656" t="s">
        <v>1608</v>
      </c>
      <c r="D231" s="657" t="str">
        <f>VLOOKUP(B231,'[51]2180 Job Descriptions'!$E$123:$G$200,3,FALSE)</f>
        <v>CSR</v>
      </c>
      <c r="E231" s="649">
        <f>+VLOOKUP($B231,'[51]Payroll Report Pivot'!$O:$Q,3,FALSE)</f>
        <v>2085.361633</v>
      </c>
      <c r="F231" s="650">
        <f>+VLOOKUP($B231,'[51]Payroll Report Pivot'!$O:$R,4,FALSE)</f>
        <v>44977.950000000004</v>
      </c>
      <c r="G231" s="649">
        <f>IFERROR(VLOOKUP(B231,'[51]Payroll Report Pivot'!$Y:$AA,3,FALSE),0)</f>
        <v>387.43333200000012</v>
      </c>
      <c r="H231" s="650">
        <f>IFERROR(VLOOKUP($B231,'[51]Payroll Report Pivot'!$Y:$AB,4,FALSE),0)</f>
        <v>12701.790000000003</v>
      </c>
      <c r="I231" s="650">
        <f t="shared" si="152"/>
        <v>57679.740000000005</v>
      </c>
      <c r="J231" s="649">
        <f>+IFERROR(VLOOKUP(B231,'[51]Payroll Report Pivot'!$AH:$AJ,3,FALSE),0)</f>
        <v>1960.0000000000002</v>
      </c>
      <c r="K231" s="649">
        <f>IFERROR(VLOOKUP(B231,'[51]Payroll Report Pivot'!$AP:$AR,3,FALSE),0)</f>
        <v>0</v>
      </c>
      <c r="L231" s="649">
        <f t="shared" si="153"/>
        <v>59639.740000000005</v>
      </c>
      <c r="M231" s="650">
        <f>+VLOOKUP(B231,'[51]Payroll Report Pivot'!$E:$H,4,FALSE)</f>
        <v>21.5</v>
      </c>
      <c r="N231" s="658">
        <f>IFERROR(VLOOKUP(Z231,[52]Payroll!$C$6:$M$61,11,FALSE),2.5%)</f>
        <v>2.5000000000000001E-2</v>
      </c>
      <c r="O231" s="659">
        <f t="shared" si="161"/>
        <v>22.037499999999998</v>
      </c>
      <c r="P231" s="660">
        <f t="shared" si="162"/>
        <v>45956.156987237497</v>
      </c>
      <c r="Q231" s="660">
        <f t="shared" si="154"/>
        <v>12807.093080925002</v>
      </c>
      <c r="R231" s="660">
        <f t="shared" si="165"/>
        <v>0</v>
      </c>
      <c r="S231" s="649">
        <f t="shared" si="155"/>
        <v>60723.250068162495</v>
      </c>
      <c r="T231" s="649">
        <f t="shared" si="163"/>
        <v>0</v>
      </c>
      <c r="U231" s="652">
        <f t="shared" si="157"/>
        <v>60723.250068162495</v>
      </c>
      <c r="V231" s="598" t="s">
        <v>1488</v>
      </c>
      <c r="W231" s="598">
        <v>7002</v>
      </c>
      <c r="X231" s="599">
        <f t="shared" si="158"/>
        <v>1083.5100681624899</v>
      </c>
      <c r="Z231" s="598">
        <f t="shared" si="159"/>
        <v>158763</v>
      </c>
    </row>
    <row r="232" spans="1:26">
      <c r="A232" s="655">
        <v>2180</v>
      </c>
      <c r="B232" s="577" t="s">
        <v>1609</v>
      </c>
      <c r="C232" s="656" t="s">
        <v>1610</v>
      </c>
      <c r="D232" s="657" t="str">
        <f>VLOOKUP(B232,'[51]2180 Job Descriptions'!$E$123:$G$200,3,FALSE)</f>
        <v>Accounting Clerk</v>
      </c>
      <c r="E232" s="649">
        <f>+VLOOKUP($B232,'[51]Payroll Report Pivot'!$O:$Q,3,FALSE)</f>
        <v>2066.4866339999999</v>
      </c>
      <c r="F232" s="650">
        <f>+VLOOKUP($B232,'[51]Payroll Report Pivot'!$O:$R,4,FALSE)</f>
        <v>70065.14999999998</v>
      </c>
      <c r="G232" s="649">
        <f>IFERROR(VLOOKUP(B232,'[51]Payroll Report Pivot'!$Y:$AA,3,FALSE),0)</f>
        <v>86.650006999999974</v>
      </c>
      <c r="H232" s="650">
        <f>IFERROR(VLOOKUP($B232,'[51]Payroll Report Pivot'!$Y:$AB,4,FALSE),0)</f>
        <v>4375.6799999999994</v>
      </c>
      <c r="I232" s="650">
        <f t="shared" si="152"/>
        <v>74440.829999999973</v>
      </c>
      <c r="J232" s="649">
        <f>+IFERROR(VLOOKUP(B232,'[51]Payroll Report Pivot'!$AH:$AJ,3,FALSE),0)</f>
        <v>0</v>
      </c>
      <c r="K232" s="649">
        <f>IFERROR(VLOOKUP(B232,'[51]Payroll Report Pivot'!$AP:$AR,3,FALSE),0)</f>
        <v>3423.6800000000003</v>
      </c>
      <c r="L232" s="649">
        <f t="shared" si="153"/>
        <v>77864.50999999998</v>
      </c>
      <c r="M232" s="650">
        <f>+VLOOKUP(B232,'[51]Payroll Report Pivot'!$E:$H,4,FALSE)</f>
        <v>33.74</v>
      </c>
      <c r="N232" s="658">
        <f>IFERROR(VLOOKUP(Z232,[52]Payroll!$C$6:$M$61,11,FALSE),2.5%)</f>
        <v>0</v>
      </c>
      <c r="O232" s="659">
        <f t="shared" si="161"/>
        <v>33.74</v>
      </c>
      <c r="P232" s="660">
        <f t="shared" si="162"/>
        <v>69723.259031159992</v>
      </c>
      <c r="Q232" s="660">
        <f t="shared" si="154"/>
        <v>4385.3568542699986</v>
      </c>
      <c r="R232" s="660">
        <f t="shared" si="165"/>
        <v>3423.6800000000003</v>
      </c>
      <c r="S232" s="649">
        <f t="shared" si="155"/>
        <v>77532.29588542998</v>
      </c>
      <c r="T232" s="649">
        <f t="shared" si="163"/>
        <v>0</v>
      </c>
      <c r="U232" s="652">
        <f t="shared" si="157"/>
        <v>77532.29588542998</v>
      </c>
      <c r="V232" s="598" t="s">
        <v>1488</v>
      </c>
      <c r="W232" s="598">
        <v>7002</v>
      </c>
      <c r="X232" s="599">
        <f t="shared" si="158"/>
        <v>-332.21411457000067</v>
      </c>
      <c r="Z232" s="598">
        <f t="shared" si="159"/>
        <v>114407</v>
      </c>
    </row>
    <row r="233" spans="1:26">
      <c r="A233" s="655">
        <v>2180</v>
      </c>
      <c r="B233" s="577" t="s">
        <v>1611</v>
      </c>
      <c r="C233" s="656" t="s">
        <v>1612</v>
      </c>
      <c r="D233" s="657" t="str">
        <f>VLOOKUP(B233,'[51]2180 Job Descriptions'!$E$123:$G$200,3,FALSE)</f>
        <v>CSR</v>
      </c>
      <c r="E233" s="649">
        <f>+VLOOKUP($B233,'[51]Payroll Report Pivot'!$O:$Q,3,FALSE)</f>
        <v>1234.350003</v>
      </c>
      <c r="F233" s="650">
        <f>+VLOOKUP($B233,'[51]Payroll Report Pivot'!$O:$R,4,FALSE)</f>
        <v>20671.240000000002</v>
      </c>
      <c r="G233" s="649">
        <f>IFERROR(VLOOKUP(B233,'[51]Payroll Report Pivot'!$Y:$AA,3,FALSE),0)</f>
        <v>80.550004000000001</v>
      </c>
      <c r="H233" s="650">
        <f>IFERROR(VLOOKUP($B233,'[51]Payroll Report Pivot'!$Y:$AB,4,FALSE),0)</f>
        <v>1982.3799999999997</v>
      </c>
      <c r="I233" s="650">
        <f t="shared" si="152"/>
        <v>22653.620000000003</v>
      </c>
      <c r="J233" s="649">
        <f>+IFERROR(VLOOKUP(B233,'[51]Payroll Report Pivot'!$AH:$AJ,3,FALSE),0)</f>
        <v>280</v>
      </c>
      <c r="K233" s="649">
        <f>IFERROR(VLOOKUP(B233,'[51]Payroll Report Pivot'!$AP:$AR,3,FALSE),0)</f>
        <v>128</v>
      </c>
      <c r="L233" s="649">
        <f t="shared" si="153"/>
        <v>23061.620000000003</v>
      </c>
      <c r="M233" s="650">
        <f>+VLOOKUP(B233,'[51]Payroll Report Pivot'!$E:$H,4,FALSE)</f>
        <v>16.399999999999999</v>
      </c>
      <c r="N233" s="658">
        <f>IFERROR(VLOOKUP(Z233,[52]Payroll!$C$6:$M$61,11,FALSE),2.5%)</f>
        <v>2.5000000000000001E-2</v>
      </c>
      <c r="O233" s="659">
        <f t="shared" si="161"/>
        <v>16.809999999999999</v>
      </c>
      <c r="P233" s="660">
        <f t="shared" si="162"/>
        <v>20749.423550429998</v>
      </c>
      <c r="Q233" s="660">
        <f t="shared" si="154"/>
        <v>2031.0683508599998</v>
      </c>
      <c r="R233" s="660">
        <f t="shared" si="165"/>
        <v>128</v>
      </c>
      <c r="S233" s="649">
        <f t="shared" si="155"/>
        <v>23188.491901289999</v>
      </c>
      <c r="T233" s="649">
        <f t="shared" si="163"/>
        <v>0</v>
      </c>
      <c r="U233" s="652">
        <f t="shared" si="157"/>
        <v>23188.491901289999</v>
      </c>
      <c r="V233" s="598" t="s">
        <v>1488</v>
      </c>
      <c r="W233" s="598">
        <v>7002</v>
      </c>
      <c r="X233" s="599">
        <f t="shared" si="158"/>
        <v>126.87190128999646</v>
      </c>
      <c r="Z233" s="598">
        <f t="shared" si="159"/>
        <v>306829</v>
      </c>
    </row>
    <row r="234" spans="1:26">
      <c r="A234" s="655">
        <v>2180</v>
      </c>
      <c r="B234" s="577" t="s">
        <v>1613</v>
      </c>
      <c r="C234" s="656" t="s">
        <v>1614</v>
      </c>
      <c r="D234" s="657" t="str">
        <f>VLOOKUP(B234,'[51]2180 Job Descriptions'!$E$123:$G$200,3,FALSE)</f>
        <v>CSR</v>
      </c>
      <c r="E234" s="649">
        <f>+VLOOKUP($B234,'[51]Payroll Report Pivot'!$O:$Q,3,FALSE)</f>
        <v>2099.9080359999998</v>
      </c>
      <c r="F234" s="650">
        <f>+VLOOKUP($B234,'[51]Payroll Report Pivot'!$O:$R,4,FALSE)</f>
        <v>35599.830000000009</v>
      </c>
      <c r="G234" s="649">
        <f>IFERROR(VLOOKUP(B234,'[51]Payroll Report Pivot'!$Y:$AA,3,FALSE),0)</f>
        <v>218.85001099999999</v>
      </c>
      <c r="H234" s="650">
        <f>IFERROR(VLOOKUP($B234,'[51]Payroll Report Pivot'!$Y:$AB,4,FALSE),0)</f>
        <v>5664.2999999999993</v>
      </c>
      <c r="I234" s="650">
        <f t="shared" si="152"/>
        <v>41264.130000000005</v>
      </c>
      <c r="J234" s="649">
        <f>+IFERROR(VLOOKUP(B234,'[51]Payroll Report Pivot'!$AH:$AJ,3,FALSE),0)</f>
        <v>2630</v>
      </c>
      <c r="K234" s="649">
        <f>IFERROR(VLOOKUP(B234,'[51]Payroll Report Pivot'!$AP:$AR,3,FALSE),0)</f>
        <v>0</v>
      </c>
      <c r="L234" s="649">
        <f t="shared" si="153"/>
        <v>43894.130000000005</v>
      </c>
      <c r="M234" s="650">
        <f>+VLOOKUP(B234,'[51]Payroll Report Pivot'!$E:$H,4,FALSE)</f>
        <v>16.809999999999999</v>
      </c>
      <c r="N234" s="658">
        <f>IFERROR(VLOOKUP(Z234,[52]Payroll!$C$6:$M$61,11,FALSE),2.5%)</f>
        <v>2.4985127900059592E-2</v>
      </c>
      <c r="O234" s="659">
        <f t="shared" si="161"/>
        <v>17.23</v>
      </c>
      <c r="P234" s="660">
        <f t="shared" si="162"/>
        <v>36181.415460279997</v>
      </c>
      <c r="Q234" s="660">
        <f t="shared" si="154"/>
        <v>5656.1785342950006</v>
      </c>
      <c r="R234" s="660">
        <f t="shared" si="165"/>
        <v>0</v>
      </c>
      <c r="S234" s="649">
        <f t="shared" si="155"/>
        <v>44467.593994575</v>
      </c>
      <c r="T234" s="649">
        <f t="shared" si="163"/>
        <v>0</v>
      </c>
      <c r="U234" s="652">
        <f t="shared" si="157"/>
        <v>44467.593994575</v>
      </c>
      <c r="V234" s="598" t="s">
        <v>1488</v>
      </c>
      <c r="W234" s="598">
        <v>7002</v>
      </c>
      <c r="X234" s="599">
        <f t="shared" si="158"/>
        <v>573.46399457499501</v>
      </c>
      <c r="Z234" s="598">
        <f t="shared" si="159"/>
        <v>302976</v>
      </c>
    </row>
    <row r="235" spans="1:26">
      <c r="A235" s="655">
        <v>2180</v>
      </c>
      <c r="B235" s="577" t="s">
        <v>1615</v>
      </c>
      <c r="C235" s="656" t="s">
        <v>1616</v>
      </c>
      <c r="D235" s="657" t="str">
        <f>VLOOKUP(B235,'[51]2180 Job Descriptions'!$E$123:$G$200,3,FALSE)</f>
        <v>CSR</v>
      </c>
      <c r="E235" s="649">
        <f>+VLOOKUP($B235,'[51]Payroll Report Pivot'!$O:$Q,3,FALSE)</f>
        <v>586.10000300000002</v>
      </c>
      <c r="F235" s="650">
        <f>+VLOOKUP($B235,'[51]Payroll Report Pivot'!$O:$R,4,FALSE)</f>
        <v>9743.26</v>
      </c>
      <c r="G235" s="649">
        <f>IFERROR(VLOOKUP(B235,'[51]Payroll Report Pivot'!$Y:$AA,3,FALSE),0)</f>
        <v>32.500003999999997</v>
      </c>
      <c r="H235" s="650">
        <f>IFERROR(VLOOKUP($B235,'[51]Payroll Report Pivot'!$Y:$AB,4,FALSE),0)</f>
        <v>810.14</v>
      </c>
      <c r="I235" s="650">
        <f t="shared" si="152"/>
        <v>10553.4</v>
      </c>
      <c r="J235" s="649">
        <f>+IFERROR(VLOOKUP(B235,'[51]Payroll Report Pivot'!$AH:$AJ,3,FALSE),0)</f>
        <v>470</v>
      </c>
      <c r="K235" s="649">
        <f>IFERROR(VLOOKUP(B235,'[51]Payroll Report Pivot'!$AP:$AR,3,FALSE),0)</f>
        <v>0</v>
      </c>
      <c r="L235" s="649">
        <f t="shared" si="153"/>
        <v>11023.4</v>
      </c>
      <c r="M235" s="650">
        <f>+VLOOKUP(B235,'[51]Payroll Report Pivot'!$E:$H,4,FALSE)</f>
        <v>16.399999999999999</v>
      </c>
      <c r="N235" s="658">
        <f>IFERROR(VLOOKUP(Z235,[52]Payroll!$C$6:$M$61,11,FALSE),2.5%)</f>
        <v>3.6585365853658625E-2</v>
      </c>
      <c r="O235" s="659">
        <f t="shared" si="161"/>
        <v>17</v>
      </c>
      <c r="P235" s="660">
        <f t="shared" si="162"/>
        <v>9963.7000509999998</v>
      </c>
      <c r="Q235" s="660">
        <f t="shared" si="154"/>
        <v>828.75010199999997</v>
      </c>
      <c r="R235" s="660">
        <f t="shared" si="165"/>
        <v>0</v>
      </c>
      <c r="S235" s="649">
        <f t="shared" si="155"/>
        <v>11262.450153</v>
      </c>
      <c r="T235" s="649">
        <f t="shared" si="163"/>
        <v>0</v>
      </c>
      <c r="U235" s="652">
        <f t="shared" si="157"/>
        <v>11262.450153</v>
      </c>
      <c r="V235" s="598" t="s">
        <v>1488</v>
      </c>
      <c r="W235" s="598">
        <v>7002</v>
      </c>
      <c r="X235" s="599">
        <f t="shared" si="158"/>
        <v>239.05015300000014</v>
      </c>
      <c r="Z235" s="598">
        <f t="shared" si="159"/>
        <v>313960</v>
      </c>
    </row>
    <row r="236" spans="1:26">
      <c r="A236" s="655">
        <v>2180</v>
      </c>
      <c r="B236" s="577" t="s">
        <v>1617</v>
      </c>
      <c r="C236" s="656" t="s">
        <v>1618</v>
      </c>
      <c r="D236" s="657" t="str">
        <f>VLOOKUP(B236,'[51]2180 Job Descriptions'!$E$123:$G$200,3,FALSE)</f>
        <v>CSR</v>
      </c>
      <c r="E236" s="649">
        <f>+VLOOKUP($B236,'[51]Payroll Report Pivot'!$O:$Q,3,FALSE)</f>
        <v>1384.866669</v>
      </c>
      <c r="F236" s="650">
        <f>+VLOOKUP($B236,'[51]Payroll Report Pivot'!$O:$R,4,FALSE)</f>
        <v>23175.59</v>
      </c>
      <c r="G236" s="649">
        <f>IFERROR(VLOOKUP(B236,'[51]Payroll Report Pivot'!$Y:$AA,3,FALSE),0)</f>
        <v>107.53333699999999</v>
      </c>
      <c r="H236" s="650">
        <f>IFERROR(VLOOKUP($B236,'[51]Payroll Report Pivot'!$Y:$AB,4,FALSE),0)</f>
        <v>2691.8499999999995</v>
      </c>
      <c r="I236" s="650">
        <f t="shared" si="152"/>
        <v>25867.439999999999</v>
      </c>
      <c r="J236" s="649">
        <f>+IFERROR(VLOOKUP(B236,'[51]Payroll Report Pivot'!$AH:$AJ,3,FALSE),0)</f>
        <v>415</v>
      </c>
      <c r="K236" s="649">
        <f>IFERROR(VLOOKUP(B236,'[51]Payroll Report Pivot'!$AP:$AR,3,FALSE),0)</f>
        <v>0</v>
      </c>
      <c r="L236" s="649">
        <f t="shared" si="153"/>
        <v>26282.44</v>
      </c>
      <c r="M236" s="650">
        <f>+VLOOKUP(B236,'[51]Payroll Report Pivot'!$E:$H,4,FALSE)</f>
        <v>17</v>
      </c>
      <c r="N236" s="658">
        <f>IFERROR(VLOOKUP(Z236,[52]Payroll!$C$6:$M$61,11,FALSE),2.5%)</f>
        <v>2.5294117647058807E-2</v>
      </c>
      <c r="O236" s="659">
        <f t="shared" si="161"/>
        <v>17.43</v>
      </c>
      <c r="P236" s="660">
        <f t="shared" si="162"/>
        <v>24138.226040670001</v>
      </c>
      <c r="Q236" s="660">
        <f t="shared" si="154"/>
        <v>2811.4590958649997</v>
      </c>
      <c r="R236" s="660">
        <f t="shared" si="165"/>
        <v>0</v>
      </c>
      <c r="S236" s="649">
        <f t="shared" si="155"/>
        <v>27364.685136535001</v>
      </c>
      <c r="T236" s="649">
        <f t="shared" si="163"/>
        <v>0</v>
      </c>
      <c r="U236" s="652">
        <f t="shared" si="157"/>
        <v>27364.685136535001</v>
      </c>
      <c r="V236" s="598" t="s">
        <v>1488</v>
      </c>
      <c r="W236" s="598">
        <v>7002</v>
      </c>
      <c r="X236" s="599">
        <f t="shared" si="158"/>
        <v>1082.2451365350025</v>
      </c>
      <c r="Z236" s="598">
        <f t="shared" si="159"/>
        <v>311423</v>
      </c>
    </row>
    <row r="237" spans="1:26">
      <c r="A237" s="655">
        <v>2180</v>
      </c>
      <c r="B237" s="577" t="s">
        <v>1619</v>
      </c>
      <c r="C237" s="656" t="s">
        <v>1620</v>
      </c>
      <c r="D237" s="657" t="str">
        <f>VLOOKUP(B237,'[51]2180 Job Descriptions'!$E$123:$G$200,3,FALSE)</f>
        <v>Admin</v>
      </c>
      <c r="E237" s="649">
        <f>+VLOOKUP($B237,'[51]Payroll Report Pivot'!$O:$Q,3,FALSE)</f>
        <v>2035.7499990000001</v>
      </c>
      <c r="F237" s="650">
        <f>+VLOOKUP($B237,'[51]Payroll Report Pivot'!$O:$R,4,FALSE)</f>
        <v>44067.01</v>
      </c>
      <c r="G237" s="649">
        <f>IFERROR(VLOOKUP(B237,'[51]Payroll Report Pivot'!$Y:$AA,3,FALSE),0)</f>
        <v>107.46665900000001</v>
      </c>
      <c r="H237" s="650">
        <f>IFERROR(VLOOKUP($B237,'[51]Payroll Report Pivot'!$Y:$AB,4,FALSE),0)</f>
        <v>3521.13</v>
      </c>
      <c r="I237" s="650">
        <f t="shared" si="152"/>
        <v>47588.14</v>
      </c>
      <c r="J237" s="649">
        <f>+IFERROR(VLOOKUP(B237,'[51]Payroll Report Pivot'!$AH:$AJ,3,FALSE),0)</f>
        <v>3250</v>
      </c>
      <c r="K237" s="649">
        <f>IFERROR(VLOOKUP(B237,'[51]Payroll Report Pivot'!$AP:$AR,3,FALSE),0)</f>
        <v>0</v>
      </c>
      <c r="L237" s="649">
        <f t="shared" si="153"/>
        <v>50838.14</v>
      </c>
      <c r="M237" s="650">
        <f>+VLOOKUP(B237,'[51]Payroll Report Pivot'!$E:$H,4,FALSE)</f>
        <v>21.54</v>
      </c>
      <c r="N237" s="658">
        <f>IFERROR(VLOOKUP(Z237,[52]Payroll!$C$6:$M$61,11,FALSE),2.5%)</f>
        <v>2.5069637883008318E-2</v>
      </c>
      <c r="O237" s="659">
        <f t="shared" si="161"/>
        <v>22.080000000000002</v>
      </c>
      <c r="P237" s="660">
        <f t="shared" si="162"/>
        <v>44949.359977920009</v>
      </c>
      <c r="Q237" s="660">
        <f t="shared" si="154"/>
        <v>3559.2957460800008</v>
      </c>
      <c r="R237" s="660">
        <f t="shared" si="165"/>
        <v>0</v>
      </c>
      <c r="S237" s="649">
        <f t="shared" si="155"/>
        <v>51758.655724000011</v>
      </c>
      <c r="T237" s="649">
        <f t="shared" si="163"/>
        <v>0</v>
      </c>
      <c r="U237" s="652">
        <f t="shared" si="157"/>
        <v>51758.655724000011</v>
      </c>
      <c r="V237" s="598" t="s">
        <v>1488</v>
      </c>
      <c r="W237" s="598">
        <v>7002</v>
      </c>
      <c r="X237" s="599">
        <f t="shared" si="158"/>
        <v>920.51572400001169</v>
      </c>
      <c r="Z237" s="598">
        <f t="shared" si="159"/>
        <v>116805</v>
      </c>
    </row>
    <row r="238" spans="1:26">
      <c r="A238" s="655">
        <v>2180</v>
      </c>
      <c r="B238" s="577" t="s">
        <v>1621</v>
      </c>
      <c r="C238" s="656" t="s">
        <v>1622</v>
      </c>
      <c r="D238" s="657" t="str">
        <f>VLOOKUP(B238,'[51]2180 Job Descriptions'!$E$123:$G$200,3,FALSE)</f>
        <v>CSR</v>
      </c>
      <c r="E238" s="649">
        <f>+VLOOKUP($B238,'[51]Payroll Report Pivot'!$O:$Q,3,FALSE)</f>
        <v>1947.166667</v>
      </c>
      <c r="F238" s="650">
        <f>+VLOOKUP($B238,'[51]Payroll Report Pivot'!$O:$R,4,FALSE)</f>
        <v>31989.729999999996</v>
      </c>
      <c r="G238" s="649">
        <f>IFERROR(VLOOKUP(B238,'[51]Payroll Report Pivot'!$Y:$AA,3,FALSE),0)</f>
        <v>277.88332200000002</v>
      </c>
      <c r="H238" s="650">
        <f>IFERROR(VLOOKUP($B238,'[51]Payroll Report Pivot'!$Y:$AB,4,FALSE),0)</f>
        <v>6938.01</v>
      </c>
      <c r="I238" s="650">
        <f t="shared" si="152"/>
        <v>38927.74</v>
      </c>
      <c r="J238" s="649">
        <f>+IFERROR(VLOOKUP(B238,'[51]Payroll Report Pivot'!$AH:$AJ,3,FALSE),0)</f>
        <v>2030</v>
      </c>
      <c r="K238" s="649">
        <f>IFERROR(VLOOKUP(B238,'[51]Payroll Report Pivot'!$AP:$AR,3,FALSE),0)</f>
        <v>0</v>
      </c>
      <c r="L238" s="649">
        <f t="shared" si="153"/>
        <v>40957.74</v>
      </c>
      <c r="M238" s="650">
        <f>+VLOOKUP(B238,'[51]Payroll Report Pivot'!$E:$H,4,FALSE)</f>
        <v>16.399999999999999</v>
      </c>
      <c r="N238" s="658">
        <f>IFERROR(VLOOKUP(Z238,[52]Payroll!$C$6:$M$61,11,FALSE),2.5%)</f>
        <v>3.6585365853658625E-2</v>
      </c>
      <c r="O238" s="659">
        <f t="shared" si="161"/>
        <v>17</v>
      </c>
      <c r="P238" s="660">
        <f t="shared" si="162"/>
        <v>33101.833338999997</v>
      </c>
      <c r="Q238" s="660">
        <f t="shared" si="154"/>
        <v>7086.024711</v>
      </c>
      <c r="R238" s="660">
        <f t="shared" si="165"/>
        <v>0</v>
      </c>
      <c r="S238" s="649">
        <f t="shared" si="155"/>
        <v>42217.858049999995</v>
      </c>
      <c r="T238" s="649">
        <f t="shared" si="163"/>
        <v>0</v>
      </c>
      <c r="U238" s="652">
        <f t="shared" si="157"/>
        <v>42217.858049999995</v>
      </c>
      <c r="V238" s="598" t="s">
        <v>1488</v>
      </c>
      <c r="W238" s="598">
        <v>7002</v>
      </c>
      <c r="X238" s="599">
        <f t="shared" si="158"/>
        <v>1260.1180499999973</v>
      </c>
      <c r="Z238" s="598">
        <f t="shared" si="159"/>
        <v>309526</v>
      </c>
    </row>
    <row r="239" spans="1:26">
      <c r="A239" s="655">
        <v>2180</v>
      </c>
      <c r="B239" s="577" t="s">
        <v>1623</v>
      </c>
      <c r="C239" s="656" t="s">
        <v>1624</v>
      </c>
      <c r="D239" s="657" t="str">
        <f>VLOOKUP(B239,'[51]2180 Job Descriptions'!$E$123:$G$200,3,FALSE)</f>
        <v>CSR</v>
      </c>
      <c r="E239" s="649">
        <f>+VLOOKUP($B239,'[51]Payroll Report Pivot'!$O:$Q,3,FALSE)</f>
        <v>1807.7968699999999</v>
      </c>
      <c r="F239" s="650">
        <f>+VLOOKUP($B239,'[51]Payroll Report Pivot'!$O:$R,4,FALSE)</f>
        <v>39970.82</v>
      </c>
      <c r="G239" s="649">
        <f>IFERROR(VLOOKUP(B239,'[51]Payroll Report Pivot'!$Y:$AA,3,FALSE),0)</f>
        <v>52.250002000000016</v>
      </c>
      <c r="H239" s="650">
        <f>IFERROR(VLOOKUP($B239,'[51]Payroll Report Pivot'!$Y:$AB,4,FALSE),0)</f>
        <v>1715.5900000000004</v>
      </c>
      <c r="I239" s="650">
        <f t="shared" si="152"/>
        <v>41686.410000000003</v>
      </c>
      <c r="J239" s="649">
        <f>+IFERROR(VLOOKUP(B239,'[51]Payroll Report Pivot'!$AH:$AJ,3,FALSE),0)</f>
        <v>485</v>
      </c>
      <c r="K239" s="649">
        <f>IFERROR(VLOOKUP(B239,'[51]Payroll Report Pivot'!$AP:$AR,3,FALSE),0)</f>
        <v>0</v>
      </c>
      <c r="L239" s="649">
        <f t="shared" si="153"/>
        <v>42171.41</v>
      </c>
      <c r="M239" s="650">
        <f>+VLOOKUP(B239,'[51]Payroll Report Pivot'!$E:$H,4,FALSE)</f>
        <v>21.66</v>
      </c>
      <c r="N239" s="658">
        <f>IFERROR(VLOOKUP(Z239,[52]Payroll!$C$6:$M$61,11,FALSE),2.5%)</f>
        <v>0</v>
      </c>
      <c r="O239" s="659">
        <f t="shared" si="161"/>
        <v>21.66</v>
      </c>
      <c r="P239" s="660">
        <f t="shared" si="162"/>
        <v>39156.880204199995</v>
      </c>
      <c r="Q239" s="660">
        <f t="shared" si="154"/>
        <v>1697.6025649800006</v>
      </c>
      <c r="R239" s="660">
        <f t="shared" si="165"/>
        <v>0</v>
      </c>
      <c r="S239" s="649">
        <f t="shared" si="155"/>
        <v>41339.482769179995</v>
      </c>
      <c r="T239" s="649">
        <f t="shared" si="163"/>
        <v>0</v>
      </c>
      <c r="U239" s="652">
        <f t="shared" si="157"/>
        <v>41339.482769179995</v>
      </c>
      <c r="V239" s="598" t="s">
        <v>1488</v>
      </c>
      <c r="W239" s="598">
        <v>7002</v>
      </c>
      <c r="X239" s="599">
        <f t="shared" si="158"/>
        <v>-831.92723082000884</v>
      </c>
      <c r="Z239" s="598">
        <f t="shared" si="159"/>
        <v>114252</v>
      </c>
    </row>
    <row r="240" spans="1:26">
      <c r="A240" s="655">
        <v>2180</v>
      </c>
      <c r="B240" s="577" t="s">
        <v>1625</v>
      </c>
      <c r="C240" s="656" t="s">
        <v>1626</v>
      </c>
      <c r="D240" s="657" t="str">
        <f>VLOOKUP(B240,'[51]2180 Job Descriptions'!$E$123:$G$200,3,FALSE)</f>
        <v>CSR</v>
      </c>
      <c r="E240" s="649">
        <f>+VLOOKUP($B240,'[51]Payroll Report Pivot'!$O:$Q,3,FALSE)</f>
        <v>2052.852335</v>
      </c>
      <c r="F240" s="650">
        <f>+VLOOKUP($B240,'[51]Payroll Report Pivot'!$O:$R,4,FALSE)</f>
        <v>33962.050000000003</v>
      </c>
      <c r="G240" s="649">
        <f>IFERROR(VLOOKUP(B240,'[51]Payroll Report Pivot'!$Y:$AA,3,FALSE),0)</f>
        <v>118.36666300000003</v>
      </c>
      <c r="H240" s="650">
        <f>IFERROR(VLOOKUP($B240,'[51]Payroll Report Pivot'!$Y:$AB,4,FALSE),0)</f>
        <v>2921.3799999999997</v>
      </c>
      <c r="I240" s="650">
        <f t="shared" si="152"/>
        <v>36883.43</v>
      </c>
      <c r="J240" s="649">
        <f>+IFERROR(VLOOKUP(B240,'[51]Payroll Report Pivot'!$AH:$AJ,3,FALSE),0)</f>
        <v>820</v>
      </c>
      <c r="K240" s="649">
        <f>IFERROR(VLOOKUP(B240,'[51]Payroll Report Pivot'!$AP:$AR,3,FALSE),0)</f>
        <v>0</v>
      </c>
      <c r="L240" s="649">
        <f t="shared" si="153"/>
        <v>37703.43</v>
      </c>
      <c r="M240" s="650">
        <f>+VLOOKUP(B240,'[51]Payroll Report Pivot'!$E:$H,4,FALSE)</f>
        <v>16.399999999999999</v>
      </c>
      <c r="N240" s="658">
        <f>IFERROR(VLOOKUP(Z240,[52]Payroll!$C$6:$M$61,11,FALSE),2.5%)</f>
        <v>3.6585365853658625E-2</v>
      </c>
      <c r="O240" s="659">
        <f t="shared" si="161"/>
        <v>17</v>
      </c>
      <c r="P240" s="660">
        <f t="shared" si="162"/>
        <v>34898.489695000004</v>
      </c>
      <c r="Q240" s="660">
        <f t="shared" si="154"/>
        <v>3018.3499065000005</v>
      </c>
      <c r="R240" s="660">
        <f t="shared" si="165"/>
        <v>0</v>
      </c>
      <c r="S240" s="649">
        <f t="shared" si="155"/>
        <v>38736.839601500003</v>
      </c>
      <c r="T240" s="649">
        <f t="shared" si="163"/>
        <v>0</v>
      </c>
      <c r="U240" s="652">
        <f t="shared" si="157"/>
        <v>38736.839601500003</v>
      </c>
      <c r="V240" s="598" t="s">
        <v>1488</v>
      </c>
      <c r="W240" s="598">
        <v>7002</v>
      </c>
      <c r="X240" s="599">
        <f t="shared" si="158"/>
        <v>1033.4096015000032</v>
      </c>
      <c r="Z240" s="598">
        <f t="shared" si="159"/>
        <v>304865</v>
      </c>
    </row>
    <row r="241" spans="1:27">
      <c r="A241" s="655">
        <v>2180</v>
      </c>
      <c r="B241" s="577" t="s">
        <v>1627</v>
      </c>
      <c r="C241" s="656" t="s">
        <v>1628</v>
      </c>
      <c r="D241" s="657" t="str">
        <f>VLOOKUP(B241,'[51]2180 Job Descriptions'!$E$123:$G$200,3,FALSE)</f>
        <v>CSR</v>
      </c>
      <c r="E241" s="649">
        <f>+VLOOKUP($B241,'[51]Payroll Report Pivot'!$O:$Q,3,FALSE)</f>
        <v>54.316665999999998</v>
      </c>
      <c r="F241" s="650">
        <f>+VLOOKUP($B241,'[51]Payroll Report Pivot'!$O:$R,4,FALSE)</f>
        <v>1167.8200000000002</v>
      </c>
      <c r="G241" s="649">
        <f>IFERROR(VLOOKUP(B241,'[51]Payroll Report Pivot'!$Y:$AA,3,FALSE),0)</f>
        <v>0</v>
      </c>
      <c r="H241" s="650">
        <f>IFERROR(VLOOKUP($B241,'[51]Payroll Report Pivot'!$Y:$AB,4,FALSE),0)</f>
        <v>0</v>
      </c>
      <c r="I241" s="650">
        <f t="shared" si="152"/>
        <v>1167.8200000000002</v>
      </c>
      <c r="J241" s="649">
        <f>+IFERROR(VLOOKUP(B241,'[51]Payroll Report Pivot'!$AH:$AJ,3,FALSE),0)</f>
        <v>0</v>
      </c>
      <c r="K241" s="649">
        <f>IFERROR(VLOOKUP(B241,'[51]Payroll Report Pivot'!$AP:$AR,3,FALSE),0)</f>
        <v>0</v>
      </c>
      <c r="L241" s="649">
        <f t="shared" si="153"/>
        <v>1167.8200000000002</v>
      </c>
      <c r="M241" s="650">
        <f>+VLOOKUP(B241,'[51]Payroll Report Pivot'!$E:$H,4,FALSE)</f>
        <v>21.5</v>
      </c>
      <c r="N241" s="658">
        <f>IFERROR(VLOOKUP(Z241,[52]Payroll!$C$6:$M$61,11,FALSE),2.5%)</f>
        <v>2.5000000000000001E-2</v>
      </c>
      <c r="O241" s="659">
        <f t="shared" si="161"/>
        <v>22.037499999999998</v>
      </c>
      <c r="P241" s="660">
        <f t="shared" si="162"/>
        <v>1197.0035269749999</v>
      </c>
      <c r="Q241" s="660">
        <f t="shared" si="154"/>
        <v>0</v>
      </c>
      <c r="R241" s="660">
        <f t="shared" si="165"/>
        <v>0</v>
      </c>
      <c r="S241" s="649">
        <f t="shared" si="155"/>
        <v>1197.0035269749999</v>
      </c>
      <c r="T241" s="649">
        <f t="shared" si="163"/>
        <v>0</v>
      </c>
      <c r="U241" s="652">
        <f t="shared" si="157"/>
        <v>1197.0035269749999</v>
      </c>
      <c r="V241" s="598" t="s">
        <v>1488</v>
      </c>
      <c r="W241" s="598">
        <v>7002</v>
      </c>
      <c r="X241" s="599">
        <f t="shared" si="158"/>
        <v>29.183526974999722</v>
      </c>
      <c r="Z241" s="598">
        <f t="shared" si="159"/>
        <v>151053</v>
      </c>
    </row>
    <row r="242" spans="1:27">
      <c r="A242" s="655">
        <v>2180</v>
      </c>
      <c r="B242" s="577" t="s">
        <v>1629</v>
      </c>
      <c r="C242" s="656" t="s">
        <v>1630</v>
      </c>
      <c r="D242" s="657" t="str">
        <f>VLOOKUP(B242,'[51]2180 Job Descriptions'!$E$123:$G$200,3,FALSE)</f>
        <v>CSR</v>
      </c>
      <c r="E242" s="649">
        <f>+VLOOKUP($B242,'[51]Payroll Report Pivot'!$O:$Q,3,FALSE)</f>
        <v>1795.7000009999997</v>
      </c>
      <c r="F242" s="650">
        <f>+VLOOKUP($B242,'[51]Payroll Report Pivot'!$O:$R,4,FALSE)</f>
        <v>29636.720000000001</v>
      </c>
      <c r="G242" s="649">
        <f>IFERROR(VLOOKUP(B242,'[51]Payroll Report Pivot'!$Y:$AA,3,FALSE),0)</f>
        <v>140.23333400000001</v>
      </c>
      <c r="H242" s="650">
        <f>IFERROR(VLOOKUP($B242,'[51]Payroll Report Pivot'!$Y:$AB,4,FALSE),0)</f>
        <v>3466.21</v>
      </c>
      <c r="I242" s="650">
        <f t="shared" si="152"/>
        <v>33102.93</v>
      </c>
      <c r="J242" s="649">
        <f>+IFERROR(VLOOKUP(B242,'[51]Payroll Report Pivot'!$AH:$AJ,3,FALSE),0)</f>
        <v>1224.9999999999998</v>
      </c>
      <c r="K242" s="649">
        <f>IFERROR(VLOOKUP(B242,'[51]Payroll Report Pivot'!$AP:$AR,3,FALSE),0)</f>
        <v>0</v>
      </c>
      <c r="L242" s="649">
        <f t="shared" si="153"/>
        <v>34327.93</v>
      </c>
      <c r="M242" s="650">
        <f>+VLOOKUP(B242,'[51]Payroll Report Pivot'!$E:$H,4,FALSE)</f>
        <v>16.399999999999999</v>
      </c>
      <c r="N242" s="658">
        <f>IFERROR(VLOOKUP(Z242,[52]Payroll!$C$6:$M$61,11,FALSE),2.5%)</f>
        <v>3.6585365853658625E-2</v>
      </c>
      <c r="O242" s="659">
        <f t="shared" si="161"/>
        <v>17</v>
      </c>
      <c r="P242" s="660">
        <f t="shared" si="162"/>
        <v>30526.900016999996</v>
      </c>
      <c r="Q242" s="660">
        <f t="shared" si="154"/>
        <v>3575.9500170000001</v>
      </c>
      <c r="R242" s="660">
        <f t="shared" si="165"/>
        <v>0</v>
      </c>
      <c r="S242" s="649">
        <f t="shared" si="155"/>
        <v>35327.850033999996</v>
      </c>
      <c r="T242" s="649">
        <f t="shared" si="163"/>
        <v>0</v>
      </c>
      <c r="U242" s="652">
        <f t="shared" si="157"/>
        <v>35327.850033999996</v>
      </c>
      <c r="V242" s="598" t="s">
        <v>1488</v>
      </c>
      <c r="W242" s="598">
        <v>7002</v>
      </c>
      <c r="X242" s="599">
        <f t="shared" si="158"/>
        <v>999.92003399999521</v>
      </c>
      <c r="Z242" s="598">
        <f t="shared" si="159"/>
        <v>309681</v>
      </c>
    </row>
    <row r="243" spans="1:27">
      <c r="A243" s="655">
        <v>2180</v>
      </c>
      <c r="B243" s="577" t="s">
        <v>1631</v>
      </c>
      <c r="C243" s="656" t="s">
        <v>1632</v>
      </c>
      <c r="D243" s="657" t="str">
        <f>VLOOKUP(B243,'[51]2180 Job Descriptions'!$E$123:$G$200,3,FALSE)</f>
        <v>CSR</v>
      </c>
      <c r="E243" s="649">
        <f>+VLOOKUP($B243,'[51]Payroll Report Pivot'!$O:$Q,3,FALSE)</f>
        <v>2078.29</v>
      </c>
      <c r="F243" s="650">
        <f>+VLOOKUP($B243,'[51]Payroll Report Pivot'!$O:$R,4,FALSE)</f>
        <v>34379.400000000009</v>
      </c>
      <c r="G243" s="649">
        <f>IFERROR(VLOOKUP(B243,'[51]Payroll Report Pivot'!$Y:$AA,3,FALSE),0)</f>
        <v>179.10000599999998</v>
      </c>
      <c r="H243" s="650">
        <f>IFERROR(VLOOKUP($B243,'[51]Payroll Report Pivot'!$Y:$AB,4,FALSE),0)</f>
        <v>4477.6400000000012</v>
      </c>
      <c r="I243" s="650">
        <f t="shared" si="152"/>
        <v>38857.040000000008</v>
      </c>
      <c r="J243" s="649">
        <f>+IFERROR(VLOOKUP(B243,'[51]Payroll Report Pivot'!$AH:$AJ,3,FALSE),0)</f>
        <v>1760.0000000000002</v>
      </c>
      <c r="K243" s="649">
        <f>IFERROR(VLOOKUP(B243,'[51]Payroll Report Pivot'!$AP:$AR,3,FALSE),0)</f>
        <v>0</v>
      </c>
      <c r="L243" s="649">
        <f t="shared" si="153"/>
        <v>40617.040000000008</v>
      </c>
      <c r="M243" s="650">
        <f>+VLOOKUP(B243,'[51]Payroll Report Pivot'!$E:$H,4,FALSE)</f>
        <v>16.399999999999999</v>
      </c>
      <c r="N243" s="658">
        <f>IFERROR(VLOOKUP(Z243,[52]Payroll!$C$6:$M$61,11,FALSE),2.5%)</f>
        <v>9.7560975609756198E-2</v>
      </c>
      <c r="O243" s="659">
        <f t="shared" si="161"/>
        <v>18</v>
      </c>
      <c r="P243" s="660">
        <f t="shared" si="162"/>
        <v>37409.22</v>
      </c>
      <c r="Q243" s="660">
        <f t="shared" si="154"/>
        <v>4835.7001619999992</v>
      </c>
      <c r="R243" s="660">
        <f t="shared" si="165"/>
        <v>0</v>
      </c>
      <c r="S243" s="649">
        <f t="shared" si="155"/>
        <v>44004.920162000002</v>
      </c>
      <c r="T243" s="649">
        <f t="shared" si="163"/>
        <v>0</v>
      </c>
      <c r="U243" s="652">
        <f t="shared" si="157"/>
        <v>44004.920162000002</v>
      </c>
      <c r="V243" s="598" t="s">
        <v>1488</v>
      </c>
      <c r="W243" s="598">
        <v>7002</v>
      </c>
      <c r="X243" s="599">
        <f t="shared" si="158"/>
        <v>3387.880161999994</v>
      </c>
      <c r="Z243" s="598">
        <f t="shared" si="159"/>
        <v>304887</v>
      </c>
    </row>
    <row r="244" spans="1:27">
      <c r="A244" s="655">
        <v>2180</v>
      </c>
      <c r="B244" s="577" t="s">
        <v>1633</v>
      </c>
      <c r="C244" s="656" t="s">
        <v>1634</v>
      </c>
      <c r="D244" s="657" t="str">
        <f>VLOOKUP(B244,'[51]2180 Job Descriptions'!$E$123:$G$200,3,FALSE)</f>
        <v>CSR</v>
      </c>
      <c r="E244" s="649">
        <f>+VLOOKUP($B244,'[51]Payroll Report Pivot'!$O:$Q,3,FALSE)</f>
        <v>1911.7712980000003</v>
      </c>
      <c r="F244" s="650">
        <f>+VLOOKUP($B244,'[51]Payroll Report Pivot'!$O:$R,4,FALSE)</f>
        <v>33596.349999999991</v>
      </c>
      <c r="G244" s="649">
        <f>IFERROR(VLOOKUP(B244,'[51]Payroll Report Pivot'!$Y:$AA,3,FALSE),0)</f>
        <v>100.64999999999998</v>
      </c>
      <c r="H244" s="650">
        <f>IFERROR(VLOOKUP($B244,'[51]Payroll Report Pivot'!$Y:$AB,4,FALSE),0)</f>
        <v>2734.0499999999997</v>
      </c>
      <c r="I244" s="650">
        <f t="shared" si="152"/>
        <v>36330.399999999994</v>
      </c>
      <c r="J244" s="649">
        <f>+IFERROR(VLOOKUP(B244,'[51]Payroll Report Pivot'!$AH:$AJ,3,FALSE),0)</f>
        <v>485</v>
      </c>
      <c r="K244" s="649">
        <f>IFERROR(VLOOKUP(B244,'[51]Payroll Report Pivot'!$AP:$AR,3,FALSE),0)</f>
        <v>0</v>
      </c>
      <c r="L244" s="649">
        <f t="shared" si="153"/>
        <v>36815.399999999994</v>
      </c>
      <c r="M244" s="650">
        <f>+VLOOKUP(B244,'[51]Payroll Report Pivot'!$E:$H,4,FALSE)</f>
        <v>17.5</v>
      </c>
      <c r="N244" s="658">
        <f>IFERROR(VLOOKUP(Z244,[52]Payroll!$C$6:$M$61,11,FALSE),2.5%)</f>
        <v>2.8571428571428571E-2</v>
      </c>
      <c r="O244" s="659">
        <f t="shared" si="161"/>
        <v>18</v>
      </c>
      <c r="P244" s="660">
        <f t="shared" si="162"/>
        <v>34411.883364000008</v>
      </c>
      <c r="Q244" s="660">
        <f t="shared" si="154"/>
        <v>2717.5499999999993</v>
      </c>
      <c r="R244" s="660">
        <f t="shared" si="165"/>
        <v>0</v>
      </c>
      <c r="S244" s="649">
        <f t="shared" si="155"/>
        <v>37614.433364000011</v>
      </c>
      <c r="T244" s="649">
        <f t="shared" si="163"/>
        <v>0</v>
      </c>
      <c r="U244" s="652">
        <f t="shared" si="157"/>
        <v>37614.433364000011</v>
      </c>
      <c r="V244" s="598" t="s">
        <v>1488</v>
      </c>
      <c r="W244" s="598">
        <v>7002</v>
      </c>
      <c r="X244" s="599">
        <f t="shared" si="158"/>
        <v>799.03336400001717</v>
      </c>
      <c r="Z244" s="598">
        <f t="shared" si="159"/>
        <v>156471</v>
      </c>
    </row>
    <row r="245" spans="1:27">
      <c r="A245" s="655">
        <v>2180</v>
      </c>
      <c r="B245" s="656" t="s">
        <v>1635</v>
      </c>
      <c r="C245" s="656" t="s">
        <v>1636</v>
      </c>
      <c r="D245" s="657" t="str">
        <f>VLOOKUP(B245,'[51]2180 Job Descriptions'!$E$123:$G$200,3,FALSE)</f>
        <v>Admin</v>
      </c>
      <c r="E245" s="649">
        <f>+VLOOKUP($B245,'[51]Payroll Report Pivot'!$O:$Q,3,FALSE)</f>
        <v>2053.3833329999998</v>
      </c>
      <c r="F245" s="650">
        <f>+VLOOKUP($B245,'[51]Payroll Report Pivot'!$O:$R,4,FALSE)</f>
        <v>56577.880000000012</v>
      </c>
      <c r="G245" s="649">
        <f>IFERROR(VLOOKUP(B245,'[51]Payroll Report Pivot'!$Y:$AA,3,FALSE),0)</f>
        <v>224.50000900000001</v>
      </c>
      <c r="H245" s="650">
        <f>IFERROR(VLOOKUP($B245,'[51]Payroll Report Pivot'!$Y:$AB,4,FALSE),0)</f>
        <v>9181.31</v>
      </c>
      <c r="I245" s="650">
        <f t="shared" si="152"/>
        <v>65759.190000000017</v>
      </c>
      <c r="J245" s="649">
        <f>+IFERROR(VLOOKUP(B245,'[51]Payroll Report Pivot'!$AH:$AJ,3,FALSE),0)</f>
        <v>0</v>
      </c>
      <c r="K245" s="649">
        <f>IFERROR(VLOOKUP(B245,'[51]Payroll Report Pivot'!$AP:$AR,3,FALSE),0)</f>
        <v>213.2</v>
      </c>
      <c r="L245" s="649">
        <f t="shared" si="153"/>
        <v>65972.390000000014</v>
      </c>
      <c r="M245" s="650">
        <f>+VLOOKUP(B245,'[51]Payroll Report Pivot'!$E:$H,4,FALSE)</f>
        <v>27.31</v>
      </c>
      <c r="N245" s="658">
        <f>IFERROR(VLOOKUP(Z245,[52]Payroll!$C$6:$M$61,11,FALSE),2.5%)</f>
        <v>2.5265470523617769E-2</v>
      </c>
      <c r="O245" s="659">
        <f t="shared" si="161"/>
        <v>28</v>
      </c>
      <c r="P245" s="660">
        <f t="shared" si="162"/>
        <v>57494.733323999993</v>
      </c>
      <c r="Q245" s="660">
        <f t="shared" si="154"/>
        <v>9429.0003780000006</v>
      </c>
      <c r="R245" s="660">
        <f t="shared" si="165"/>
        <v>213.2</v>
      </c>
      <c r="S245" s="649">
        <f t="shared" si="155"/>
        <v>67136.933701999995</v>
      </c>
      <c r="T245" s="649">
        <f t="shared" si="163"/>
        <v>0</v>
      </c>
      <c r="U245" s="652">
        <f>+S245+T245</f>
        <v>67136.933701999995</v>
      </c>
      <c r="V245" s="598" t="s">
        <v>1488</v>
      </c>
      <c r="W245" s="598">
        <v>7002</v>
      </c>
      <c r="X245" s="599">
        <f t="shared" si="158"/>
        <v>1164.5437019999808</v>
      </c>
      <c r="Z245" s="598">
        <f t="shared" si="159"/>
        <v>116312</v>
      </c>
    </row>
    <row r="246" spans="1:27">
      <c r="A246" s="655">
        <v>2180</v>
      </c>
      <c r="B246" s="577" t="s">
        <v>1637</v>
      </c>
      <c r="C246" s="656" t="s">
        <v>1638</v>
      </c>
      <c r="D246" s="657" t="str">
        <f>VLOOKUP(B246,'[51]2180 Job Descriptions'!$E$123:$G$200,3,FALSE)</f>
        <v>CSR</v>
      </c>
      <c r="E246" s="649">
        <f>+VLOOKUP($B246,'[51]Payroll Report Pivot'!$O:$Q,3,FALSE)</f>
        <v>2033.4701660000003</v>
      </c>
      <c r="F246" s="650">
        <f>+VLOOKUP($B246,'[51]Payroll Report Pivot'!$O:$R,4,FALSE)</f>
        <v>35837.339999999997</v>
      </c>
      <c r="G246" s="649">
        <f>IFERROR(VLOOKUP(B246,'[51]Payroll Report Pivot'!$Y:$AA,3,FALSE),0)</f>
        <v>69.400004999999993</v>
      </c>
      <c r="H246" s="650">
        <f>IFERROR(VLOOKUP($B246,'[51]Payroll Report Pivot'!$Y:$AB,4,FALSE),0)</f>
        <v>1858.0400000000004</v>
      </c>
      <c r="I246" s="650">
        <f t="shared" si="152"/>
        <v>37695.379999999997</v>
      </c>
      <c r="J246" s="649">
        <f>+IFERROR(VLOOKUP(B246,'[51]Payroll Report Pivot'!$AH:$AJ,3,FALSE),0)</f>
        <v>1960</v>
      </c>
      <c r="K246" s="649">
        <f>IFERROR(VLOOKUP(B246,'[51]Payroll Report Pivot'!$AP:$AR,3,FALSE),0)</f>
        <v>0</v>
      </c>
      <c r="L246" s="649">
        <f t="shared" si="153"/>
        <v>39655.379999999997</v>
      </c>
      <c r="M246" s="650">
        <f>+VLOOKUP(B246,'[51]Payroll Report Pivot'!$E:$H,4,FALSE)</f>
        <v>17.5</v>
      </c>
      <c r="N246" s="658">
        <f>IFERROR(VLOOKUP(Z246,[52]Payroll!$C$6:$M$61,11,FALSE),2.5%)</f>
        <v>2.5142857142857217E-2</v>
      </c>
      <c r="O246" s="659">
        <f t="shared" si="161"/>
        <v>17.940000000000001</v>
      </c>
      <c r="P246" s="660">
        <f t="shared" si="162"/>
        <v>36480.45477804001</v>
      </c>
      <c r="Q246" s="660">
        <f t="shared" si="154"/>
        <v>1867.5541345500001</v>
      </c>
      <c r="R246" s="660">
        <f t="shared" si="165"/>
        <v>0</v>
      </c>
      <c r="S246" s="649">
        <f t="shared" si="155"/>
        <v>40308.008912590012</v>
      </c>
      <c r="T246" s="649">
        <f t="shared" si="163"/>
        <v>0</v>
      </c>
      <c r="U246" s="652">
        <f t="shared" si="157"/>
        <v>40308.008912590012</v>
      </c>
      <c r="V246" s="598" t="s">
        <v>1488</v>
      </c>
      <c r="W246" s="598">
        <v>7002</v>
      </c>
      <c r="X246" s="599">
        <f t="shared" si="158"/>
        <v>652.62891259001481</v>
      </c>
      <c r="Z246" s="598">
        <f t="shared" si="159"/>
        <v>156922</v>
      </c>
    </row>
    <row r="247" spans="1:27">
      <c r="A247" s="655">
        <v>2180</v>
      </c>
      <c r="B247" s="577" t="s">
        <v>1639</v>
      </c>
      <c r="C247" s="656" t="s">
        <v>1640</v>
      </c>
      <c r="D247" s="657" t="str">
        <f>VLOOKUP(B247,'[51]2180 Job Descriptions'!$E$123:$G$200,3,FALSE)</f>
        <v>Admin</v>
      </c>
      <c r="E247" s="649">
        <f>+VLOOKUP($B247,'[51]Payroll Report Pivot'!$O:$Q,3,FALSE)</f>
        <v>1803.1833320000001</v>
      </c>
      <c r="F247" s="650">
        <f>+VLOOKUP($B247,'[51]Payroll Report Pivot'!$O:$R,4,FALSE)</f>
        <v>41555.690000000024</v>
      </c>
      <c r="G247" s="649">
        <f>IFERROR(VLOOKUP(B247,'[51]Payroll Report Pivot'!$Y:$AA,3,FALSE),0)</f>
        <v>262.14999800000004</v>
      </c>
      <c r="H247" s="650">
        <f>IFERROR(VLOOKUP($B247,'[51]Payroll Report Pivot'!$Y:$AB,4,FALSE),0)</f>
        <v>9293.5799999999981</v>
      </c>
      <c r="I247" s="650">
        <f t="shared" si="152"/>
        <v>50849.270000000019</v>
      </c>
      <c r="J247" s="649">
        <f>+IFERROR(VLOOKUP(B247,'[51]Payroll Report Pivot'!$AH:$AJ,3,FALSE),0)</f>
        <v>3024.9999999999945</v>
      </c>
      <c r="K247" s="649">
        <f>IFERROR(VLOOKUP(B247,'[51]Payroll Report Pivot'!$AP:$AR,3,FALSE),0)</f>
        <v>1832.19</v>
      </c>
      <c r="L247" s="649">
        <f t="shared" si="153"/>
        <v>55706.460000000014</v>
      </c>
      <c r="M247" s="650">
        <f>+VLOOKUP(B247,'[51]Payroll Report Pivot'!$E:$H,4,FALSE)</f>
        <v>23.11</v>
      </c>
      <c r="N247" s="658">
        <f>IFERROR(VLOOKUP(Z247,[52]Payroll!$C$6:$M$61,11,FALSE),2.5%)</f>
        <v>2.5097360450021717E-2</v>
      </c>
      <c r="O247" s="659">
        <f t="shared" si="161"/>
        <v>23.69</v>
      </c>
      <c r="P247" s="660">
        <f t="shared" si="162"/>
        <v>42717.413135080002</v>
      </c>
      <c r="Q247" s="660">
        <f t="shared" si="154"/>
        <v>9315.5001789300022</v>
      </c>
      <c r="R247" s="660">
        <f t="shared" si="165"/>
        <v>1832.19</v>
      </c>
      <c r="S247" s="649">
        <f t="shared" si="155"/>
        <v>56890.103314009997</v>
      </c>
      <c r="T247" s="649">
        <f t="shared" si="163"/>
        <v>0</v>
      </c>
      <c r="U247" s="652">
        <f t="shared" si="157"/>
        <v>56890.103314009997</v>
      </c>
      <c r="V247" s="598" t="s">
        <v>1488</v>
      </c>
      <c r="W247" s="598">
        <v>7002</v>
      </c>
      <c r="X247" s="599">
        <f t="shared" si="158"/>
        <v>1183.6433140099834</v>
      </c>
      <c r="Z247" s="598">
        <f t="shared" si="159"/>
        <v>114255</v>
      </c>
    </row>
    <row r="248" spans="1:27">
      <c r="A248" s="655">
        <v>2180</v>
      </c>
      <c r="B248" s="577" t="s">
        <v>1641</v>
      </c>
      <c r="C248" s="656" t="s">
        <v>1642</v>
      </c>
      <c r="D248" s="657" t="str">
        <f>VLOOKUP(B248,'[51]2180 Job Descriptions'!$E$123:$G$200,3,FALSE)</f>
        <v>CSR</v>
      </c>
      <c r="E248" s="649">
        <f>+VLOOKUP($B248,'[51]Payroll Report Pivot'!$O:$Q,3,FALSE)</f>
        <v>2066.3833329999998</v>
      </c>
      <c r="F248" s="650">
        <f>+VLOOKUP($B248,'[51]Payroll Report Pivot'!$O:$R,4,FALSE)</f>
        <v>37892.050000000025</v>
      </c>
      <c r="G248" s="649">
        <f>IFERROR(VLOOKUP(B248,'[51]Payroll Report Pivot'!$Y:$AA,3,FALSE),0)</f>
        <v>237.16667100000006</v>
      </c>
      <c r="H248" s="650">
        <f>IFERROR(VLOOKUP($B248,'[51]Payroll Report Pivot'!$Y:$AB,4,FALSE),0)</f>
        <v>6765.4599999999991</v>
      </c>
      <c r="I248" s="650">
        <f t="shared" si="152"/>
        <v>44657.510000000024</v>
      </c>
      <c r="J248" s="649">
        <f>+IFERROR(VLOOKUP(B248,'[51]Payroll Report Pivot'!$AH:$AJ,3,FALSE),0)</f>
        <v>4775</v>
      </c>
      <c r="K248" s="649">
        <f>IFERROR(VLOOKUP(B248,'[51]Payroll Report Pivot'!$AP:$AR,3,FALSE),0)</f>
        <v>1193.01</v>
      </c>
      <c r="L248" s="649">
        <f t="shared" si="153"/>
        <v>50625.520000000026</v>
      </c>
      <c r="M248" s="650">
        <f>+VLOOKUP(B248,'[51]Payroll Report Pivot'!$E:$H,4,FALSE)</f>
        <v>18.309999999999999</v>
      </c>
      <c r="N248" s="658">
        <f>IFERROR(VLOOKUP(Z248,[52]Payroll!$C$6:$M$61,11,FALSE),2.5%)</f>
        <v>2.5122883670125662E-2</v>
      </c>
      <c r="O248" s="659">
        <f t="shared" si="161"/>
        <v>18.77</v>
      </c>
      <c r="P248" s="660">
        <f t="shared" si="162"/>
        <v>38786.015160409996</v>
      </c>
      <c r="Q248" s="660">
        <f t="shared" si="154"/>
        <v>6677.4276220050015</v>
      </c>
      <c r="R248" s="660">
        <f t="shared" si="165"/>
        <v>1193.01</v>
      </c>
      <c r="S248" s="649">
        <f t="shared" si="155"/>
        <v>51431.452782414999</v>
      </c>
      <c r="T248" s="649">
        <f t="shared" si="163"/>
        <v>0</v>
      </c>
      <c r="U248" s="652">
        <f t="shared" si="157"/>
        <v>51431.452782414999</v>
      </c>
      <c r="V248" s="598" t="s">
        <v>1488</v>
      </c>
      <c r="W248" s="598">
        <v>7002</v>
      </c>
      <c r="X248" s="599">
        <f t="shared" si="158"/>
        <v>805.93278241497319</v>
      </c>
      <c r="Z248" s="598">
        <f t="shared" si="159"/>
        <v>115438</v>
      </c>
    </row>
    <row r="249" spans="1:27">
      <c r="A249" s="655">
        <v>2180</v>
      </c>
      <c r="B249" s="577" t="s">
        <v>1643</v>
      </c>
      <c r="C249" s="656" t="s">
        <v>1644</v>
      </c>
      <c r="D249" s="657" t="str">
        <f>VLOOKUP(B249,'[51]2180 Job Descriptions'!$E$123:$G$200,3,FALSE)</f>
        <v>CSR</v>
      </c>
      <c r="E249" s="649">
        <f>+VLOOKUP($B249,'[51]Payroll Report Pivot'!$O:$Q,3,FALSE)</f>
        <v>636.5596680000001</v>
      </c>
      <c r="F249" s="650">
        <f>+VLOOKUP($B249,'[51]Payroll Report Pivot'!$O:$R,4,FALSE)</f>
        <v>10702.039999999999</v>
      </c>
      <c r="G249" s="649">
        <f>IFERROR(VLOOKUP(B249,'[51]Payroll Report Pivot'!$Y:$AA,3,FALSE),0)</f>
        <v>24.866667</v>
      </c>
      <c r="H249" s="650">
        <f>IFERROR(VLOOKUP($B249,'[51]Payroll Report Pivot'!$Y:$AB,4,FALSE),0)</f>
        <v>631.38000000000011</v>
      </c>
      <c r="I249" s="650">
        <f t="shared" si="152"/>
        <v>11333.419999999998</v>
      </c>
      <c r="J249" s="649">
        <f>+IFERROR(VLOOKUP(B249,'[51]Payroll Report Pivot'!$AH:$AJ,3,FALSE),0)</f>
        <v>470</v>
      </c>
      <c r="K249" s="649">
        <f>IFERROR(VLOOKUP(B249,'[51]Payroll Report Pivot'!$AP:$AR,3,FALSE),0)</f>
        <v>0</v>
      </c>
      <c r="L249" s="649">
        <f t="shared" si="153"/>
        <v>11803.419999999998</v>
      </c>
      <c r="M249" s="650">
        <f>+VLOOKUP(B249,'[51]Payroll Report Pivot'!$E:$H,4,FALSE)</f>
        <v>16.399999999999999</v>
      </c>
      <c r="N249" s="658">
        <f>IFERROR(VLOOKUP(Z249,[52]Payroll!$C$6:$M$61,11,FALSE),2.5%)</f>
        <v>3.6585365853658625E-2</v>
      </c>
      <c r="O249" s="659">
        <f t="shared" si="161"/>
        <v>17</v>
      </c>
      <c r="P249" s="660">
        <f t="shared" si="162"/>
        <v>10821.514356000001</v>
      </c>
      <c r="Q249" s="660">
        <f t="shared" si="154"/>
        <v>634.10000850000006</v>
      </c>
      <c r="R249" s="660">
        <f t="shared" si="165"/>
        <v>0</v>
      </c>
      <c r="S249" s="649">
        <f t="shared" si="155"/>
        <v>11925.614364500001</v>
      </c>
      <c r="T249" s="649">
        <f t="shared" si="163"/>
        <v>0</v>
      </c>
      <c r="U249" s="652">
        <f t="shared" si="157"/>
        <v>11925.614364500001</v>
      </c>
      <c r="V249" s="598" t="s">
        <v>1488</v>
      </c>
      <c r="W249" s="598">
        <v>7002</v>
      </c>
      <c r="X249" s="599">
        <f t="shared" si="158"/>
        <v>122.19436450000285</v>
      </c>
      <c r="Z249" s="598">
        <f t="shared" si="159"/>
        <v>313924</v>
      </c>
    </row>
    <row r="250" spans="1:27">
      <c r="A250" s="655">
        <v>2180</v>
      </c>
      <c r="B250" s="577" t="s">
        <v>1645</v>
      </c>
      <c r="C250" s="656" t="s">
        <v>1646</v>
      </c>
      <c r="D250" s="657" t="str">
        <f>VLOOKUP(B250,'[51]2180 Job Descriptions'!$E$123:$G$200,3,FALSE)</f>
        <v>CSR</v>
      </c>
      <c r="E250" s="649">
        <f>+VLOOKUP($B250,'[51]Payroll Report Pivot'!$O:$Q,3,FALSE)</f>
        <v>2092.533797</v>
      </c>
      <c r="F250" s="650">
        <f>+VLOOKUP($B250,'[51]Payroll Report Pivot'!$O:$R,4,FALSE)</f>
        <v>35476.250000000015</v>
      </c>
      <c r="G250" s="649">
        <f>IFERROR(VLOOKUP(B250,'[51]Payroll Report Pivot'!$Y:$AA,3,FALSE),0)</f>
        <v>142.19999099999998</v>
      </c>
      <c r="H250" s="650">
        <f>IFERROR(VLOOKUP($B250,'[51]Payroll Report Pivot'!$Y:$AB,4,FALSE),0)</f>
        <v>3593.5900000000006</v>
      </c>
      <c r="I250" s="650">
        <f t="shared" si="152"/>
        <v>39069.840000000018</v>
      </c>
      <c r="J250" s="649">
        <f>+IFERROR(VLOOKUP(B250,'[51]Payroll Report Pivot'!$AH:$AJ,3,FALSE),0)</f>
        <v>485</v>
      </c>
      <c r="K250" s="649">
        <f>IFERROR(VLOOKUP(B250,'[51]Payroll Report Pivot'!$AP:$AR,3,FALSE),0)</f>
        <v>0</v>
      </c>
      <c r="L250" s="649">
        <f t="shared" si="153"/>
        <v>39554.840000000018</v>
      </c>
      <c r="M250" s="650">
        <f>+VLOOKUP(B250,'[51]Payroll Report Pivot'!$E:$H,4,FALSE)</f>
        <v>16.809999999999999</v>
      </c>
      <c r="N250" s="658">
        <f>IFERROR(VLOOKUP(Z250,[52]Payroll!$C$6:$M$61,11,FALSE),2.5%)</f>
        <v>2.9744199881023201E-2</v>
      </c>
      <c r="O250" s="659">
        <f t="shared" si="161"/>
        <v>17.309999999999999</v>
      </c>
      <c r="P250" s="660">
        <f t="shared" si="162"/>
        <v>36221.760026069998</v>
      </c>
      <c r="Q250" s="660">
        <f t="shared" si="154"/>
        <v>3692.2227663149993</v>
      </c>
      <c r="R250" s="660">
        <f t="shared" si="165"/>
        <v>0</v>
      </c>
      <c r="S250" s="649">
        <f t="shared" si="155"/>
        <v>40398.982792384995</v>
      </c>
      <c r="T250" s="649">
        <f t="shared" si="163"/>
        <v>0</v>
      </c>
      <c r="U250" s="652">
        <f t="shared" si="157"/>
        <v>40398.982792384995</v>
      </c>
      <c r="V250" s="598" t="s">
        <v>1488</v>
      </c>
      <c r="W250" s="598">
        <v>7002</v>
      </c>
      <c r="X250" s="599">
        <f t="shared" si="158"/>
        <v>844.14279238497693</v>
      </c>
      <c r="Z250" s="598">
        <f t="shared" si="159"/>
        <v>300442</v>
      </c>
    </row>
    <row r="251" spans="1:27">
      <c r="A251" s="655">
        <v>2180</v>
      </c>
      <c r="B251" s="577" t="s">
        <v>1647</v>
      </c>
      <c r="C251" s="656" t="s">
        <v>1648</v>
      </c>
      <c r="D251" s="657" t="str">
        <f>VLOOKUP(B251,'[51]2180 Job Descriptions'!$E$123:$G$200,3,FALSE)</f>
        <v>CSR</v>
      </c>
      <c r="E251" s="649">
        <f>+VLOOKUP($B251,'[51]Payroll Report Pivot'!$O:$Q,3,FALSE)</f>
        <v>244.14000099999998</v>
      </c>
      <c r="F251" s="650">
        <f>+VLOOKUP($B251,'[51]Payroll Report Pivot'!$O:$R,4,FALSE)</f>
        <v>3906.27</v>
      </c>
      <c r="G251" s="649">
        <f>IFERROR(VLOOKUP(B251,'[51]Payroll Report Pivot'!$Y:$AA,3,FALSE),0)</f>
        <v>4.5333329999999998</v>
      </c>
      <c r="H251" s="650">
        <f>IFERROR(VLOOKUP($B251,'[51]Payroll Report Pivot'!$Y:$AB,4,FALSE),0)</f>
        <v>108.81</v>
      </c>
      <c r="I251" s="650">
        <f t="shared" si="152"/>
        <v>4015.08</v>
      </c>
      <c r="J251" s="649">
        <f>+IFERROR(VLOOKUP(B251,'[51]Payroll Report Pivot'!$AH:$AJ,3,FALSE),0)</f>
        <v>0</v>
      </c>
      <c r="K251" s="649">
        <f>IFERROR(VLOOKUP(B251,'[51]Payroll Report Pivot'!$AP:$AR,3,FALSE),0)</f>
        <v>0</v>
      </c>
      <c r="L251" s="649">
        <f t="shared" si="153"/>
        <v>4015.08</v>
      </c>
      <c r="M251" s="650">
        <f>+VLOOKUP(B251,'[51]Payroll Report Pivot'!$E:$H,4,FALSE)</f>
        <v>16</v>
      </c>
      <c r="N251" s="658">
        <f>IFERROR(VLOOKUP(Z251,[52]Payroll!$C$6:$M$61,11,FALSE),2.5%)</f>
        <v>2.5000000000000001E-2</v>
      </c>
      <c r="O251" s="659">
        <f t="shared" si="161"/>
        <v>16.399999999999999</v>
      </c>
      <c r="P251" s="660">
        <f t="shared" si="162"/>
        <v>4003.8960163999996</v>
      </c>
      <c r="Q251" s="660">
        <f t="shared" si="154"/>
        <v>111.51999179999999</v>
      </c>
      <c r="R251" s="660">
        <f t="shared" si="165"/>
        <v>0</v>
      </c>
      <c r="S251" s="649">
        <f t="shared" si="155"/>
        <v>4115.4160081999999</v>
      </c>
      <c r="T251" s="649">
        <f t="shared" si="163"/>
        <v>0</v>
      </c>
      <c r="U251" s="652">
        <f t="shared" si="157"/>
        <v>4115.4160081999999</v>
      </c>
      <c r="V251" s="598" t="s">
        <v>1488</v>
      </c>
      <c r="W251" s="598">
        <v>7002</v>
      </c>
      <c r="X251" s="599">
        <f t="shared" si="158"/>
        <v>100.33600819999992</v>
      </c>
      <c r="Z251" s="598">
        <f t="shared" si="159"/>
        <v>304432</v>
      </c>
    </row>
    <row r="252" spans="1:27">
      <c r="A252" s="655">
        <v>2180</v>
      </c>
      <c r="B252" s="577" t="s">
        <v>1649</v>
      </c>
      <c r="C252" s="656" t="s">
        <v>1650</v>
      </c>
      <c r="D252" s="657" t="str">
        <f>VLOOKUP(B252,'[51]2180 Job Descriptions'!$E$123:$G$200,3,FALSE)</f>
        <v>Accounting Clerk</v>
      </c>
      <c r="E252" s="649">
        <f>+VLOOKUP($B252,'[51]Payroll Report Pivot'!$O:$Q,3,FALSE)</f>
        <v>2090.0833339999999</v>
      </c>
      <c r="F252" s="650">
        <f>+VLOOKUP($B252,'[51]Payroll Report Pivot'!$O:$R,4,FALSE)</f>
        <v>58149.960000000006</v>
      </c>
      <c r="G252" s="649">
        <f>IFERROR(VLOOKUP(B252,'[51]Payroll Report Pivot'!$Y:$AA,3,FALSE),0)</f>
        <v>164.333337</v>
      </c>
      <c r="H252" s="650">
        <f>IFERROR(VLOOKUP($B252,'[51]Payroll Report Pivot'!$Y:$AB,4,FALSE),0)</f>
        <v>6835.9300000000012</v>
      </c>
      <c r="I252" s="650">
        <f t="shared" si="152"/>
        <v>64985.890000000007</v>
      </c>
      <c r="J252" s="649">
        <f>+IFERROR(VLOOKUP(B252,'[51]Payroll Report Pivot'!$AH:$AJ,3,FALSE),0)</f>
        <v>0</v>
      </c>
      <c r="K252" s="649">
        <f>IFERROR(VLOOKUP(B252,'[51]Payroll Report Pivot'!$AP:$AR,3,FALSE),0)</f>
        <v>434.4</v>
      </c>
      <c r="L252" s="649">
        <f t="shared" si="153"/>
        <v>65420.290000000008</v>
      </c>
      <c r="M252" s="650">
        <f>+VLOOKUP(B252,'[51]Payroll Report Pivot'!$E:$H,4,FALSE)</f>
        <v>27.55</v>
      </c>
      <c r="N252" s="658">
        <f>IFERROR(VLOOKUP(Z252,[52]Payroll!$C$6:$M$61,11,FALSE),2.5%)</f>
        <v>0</v>
      </c>
      <c r="O252" s="659">
        <f t="shared" si="161"/>
        <v>27.55</v>
      </c>
      <c r="P252" s="660">
        <f t="shared" si="162"/>
        <v>57581.795851700001</v>
      </c>
      <c r="Q252" s="660">
        <f t="shared" si="154"/>
        <v>6791.0751515250004</v>
      </c>
      <c r="R252" s="660">
        <f t="shared" si="165"/>
        <v>434.4</v>
      </c>
      <c r="S252" s="649">
        <f t="shared" si="155"/>
        <v>64807.271003225003</v>
      </c>
      <c r="T252" s="649">
        <f t="shared" si="163"/>
        <v>0</v>
      </c>
      <c r="U252" s="652">
        <f t="shared" si="157"/>
        <v>64807.271003225003</v>
      </c>
      <c r="V252" s="598" t="s">
        <v>1488</v>
      </c>
      <c r="W252" s="598">
        <v>7002</v>
      </c>
      <c r="X252" s="599">
        <f t="shared" si="158"/>
        <v>-613.01899677500478</v>
      </c>
      <c r="Z252" s="598">
        <f t="shared" si="159"/>
        <v>100110</v>
      </c>
    </row>
    <row r="253" spans="1:27">
      <c r="A253" s="655">
        <v>2180</v>
      </c>
      <c r="B253" s="577" t="s">
        <v>1651</v>
      </c>
      <c r="C253" s="656" t="s">
        <v>1652</v>
      </c>
      <c r="D253" s="657" t="str">
        <f>VLOOKUP(B253,'[51]2180 Job Descriptions'!$E$123:$G$200,3,FALSE)</f>
        <v>JBLM Coordinator</v>
      </c>
      <c r="E253" s="649">
        <f>+VLOOKUP($B253,'[51]Payroll Report Pivot'!$O:$Q,3,FALSE)</f>
        <v>2081.2499980000002</v>
      </c>
      <c r="F253" s="650">
        <f>+VLOOKUP($B253,'[51]Payroll Report Pivot'!$O:$R,4,FALSE)</f>
        <v>47305.099999999984</v>
      </c>
      <c r="G253" s="649">
        <f>IFERROR(VLOOKUP(B253,'[51]Payroll Report Pivot'!$Y:$AA,3,FALSE),0)</f>
        <v>108.43333799999999</v>
      </c>
      <c r="H253" s="650">
        <f>IFERROR(VLOOKUP($B253,'[51]Payroll Report Pivot'!$Y:$AB,4,FALSE),0)</f>
        <v>3731.6299999999997</v>
      </c>
      <c r="I253" s="650">
        <f>+F253+H253</f>
        <v>51036.729999999981</v>
      </c>
      <c r="J253" s="649">
        <f>+IFERROR(VLOOKUP(B253,'[51]Payroll Report Pivot'!$AH:$AJ,3,FALSE),0)</f>
        <v>1379.17</v>
      </c>
      <c r="K253" s="649">
        <f>IFERROR(VLOOKUP(B253,'[51]Payroll Report Pivot'!$AP:$AR,3,FALSE),0)</f>
        <v>88.28</v>
      </c>
      <c r="L253" s="649">
        <f>+K253+J253+I253</f>
        <v>52504.179999999978</v>
      </c>
      <c r="M253" s="650">
        <f>+VLOOKUP(B253,'[51]Payroll Report Pivot'!$E:$H,4,FALSE)</f>
        <v>22.62</v>
      </c>
      <c r="N253" s="658">
        <f>IFERROR(VLOOKUP(Z253,[52]Payroll!$C$6:$M$61,11,FALSE),2.5%)</f>
        <v>2.5198938992042452E-2</v>
      </c>
      <c r="O253" s="659">
        <f>IF(V253="PCS","27.85",M253*(1+N253))</f>
        <v>23.19</v>
      </c>
      <c r="P253" s="660">
        <f>+O253*E253</f>
        <v>48264.187453620005</v>
      </c>
      <c r="Q253" s="660">
        <f>+O253*G253*1.5</f>
        <v>3771.8536623300001</v>
      </c>
      <c r="R253" s="660">
        <f>+K253</f>
        <v>88.28</v>
      </c>
      <c r="S253" s="649">
        <f>SUM(P253:R253)+J253</f>
        <v>53503.491115950004</v>
      </c>
      <c r="T253" s="649">
        <f>+IF(V253="PCS",250,0)</f>
        <v>0</v>
      </c>
      <c r="U253" s="652">
        <f>+S253+T253</f>
        <v>53503.491115950004</v>
      </c>
      <c r="V253" s="598" t="s">
        <v>1488</v>
      </c>
      <c r="W253" s="598">
        <v>7002</v>
      </c>
      <c r="X253" s="599">
        <f>U253-L253</f>
        <v>999.31111595002585</v>
      </c>
      <c r="Z253" s="598">
        <f>+B253*1</f>
        <v>117935</v>
      </c>
    </row>
    <row r="254" spans="1:27">
      <c r="A254" s="655"/>
      <c r="B254" s="663"/>
      <c r="C254" s="664"/>
      <c r="D254" s="657"/>
      <c r="E254" s="649"/>
      <c r="F254" s="649"/>
      <c r="G254" s="649"/>
      <c r="H254" s="650"/>
      <c r="I254" s="649"/>
      <c r="J254" s="649"/>
      <c r="K254" s="649"/>
      <c r="L254" s="649"/>
      <c r="M254" s="649"/>
      <c r="N254" s="649"/>
      <c r="O254" s="651"/>
      <c r="P254" s="649"/>
      <c r="Q254" s="649"/>
      <c r="R254" s="649"/>
      <c r="S254" s="649"/>
      <c r="T254" s="649"/>
      <c r="U254" s="652"/>
    </row>
    <row r="255" spans="1:27">
      <c r="A255" s="655"/>
      <c r="B255" s="663"/>
      <c r="C255" s="680" t="s">
        <v>1653</v>
      </c>
      <c r="D255" s="657"/>
      <c r="E255" s="666">
        <f t="shared" ref="E255:M255" si="166">+SUM(E217:E254)</f>
        <v>58637.162471999996</v>
      </c>
      <c r="F255" s="666">
        <f t="shared" si="166"/>
        <v>1475819.9553846156</v>
      </c>
      <c r="G255" s="666">
        <f t="shared" si="166"/>
        <v>3546.3500439999993</v>
      </c>
      <c r="H255" s="686">
        <f t="shared" si="166"/>
        <v>107063.45</v>
      </c>
      <c r="I255" s="686">
        <f t="shared" si="166"/>
        <v>1582883.4053846151</v>
      </c>
      <c r="J255" s="686">
        <f t="shared" si="166"/>
        <v>31164.169999999991</v>
      </c>
      <c r="K255" s="686">
        <f t="shared" si="166"/>
        <v>11785.500000000002</v>
      </c>
      <c r="L255" s="686">
        <f t="shared" si="166"/>
        <v>1625833.0753846155</v>
      </c>
      <c r="M255" s="666">
        <f t="shared" si="166"/>
        <v>879.73798076923026</v>
      </c>
      <c r="N255" s="666"/>
      <c r="O255" s="678"/>
      <c r="P255" s="666"/>
      <c r="Q255" s="666"/>
      <c r="R255" s="666"/>
      <c r="S255" s="666">
        <f>+SUM(S217:S254)</f>
        <v>1737098.5584363509</v>
      </c>
      <c r="T255" s="666">
        <f>+SUM(T217:T254)</f>
        <v>0</v>
      </c>
      <c r="U255" s="667">
        <f>+SUM(U217:U254)</f>
        <v>1737098.5584363509</v>
      </c>
      <c r="X255" s="667">
        <f>+SUM(X217:X254)</f>
        <v>33861.678436351183</v>
      </c>
      <c r="Y255" s="667">
        <f>+SUM(Y217:Y254)</f>
        <v>77403.804615384608</v>
      </c>
    </row>
    <row r="256" spans="1:27" s="681" customFormat="1">
      <c r="A256" s="655"/>
      <c r="B256" s="663"/>
      <c r="C256" s="664"/>
      <c r="D256" s="657"/>
      <c r="E256" s="668"/>
      <c r="F256" s="668"/>
      <c r="G256" s="668"/>
      <c r="H256" s="682"/>
      <c r="I256" s="668"/>
      <c r="J256" s="668"/>
      <c r="K256" s="668"/>
      <c r="L256" s="668"/>
      <c r="M256" s="668"/>
      <c r="N256" s="668"/>
      <c r="O256" s="683"/>
      <c r="P256" s="668"/>
      <c r="Q256" s="668"/>
      <c r="R256" s="668"/>
      <c r="S256" s="668"/>
      <c r="T256" s="668"/>
      <c r="U256" s="652"/>
      <c r="V256" s="598"/>
      <c r="W256" s="598"/>
      <c r="X256" s="599"/>
      <c r="Y256" s="599"/>
      <c r="AA256" s="675">
        <f>SUM(X223:X252)</f>
        <v>18830.742320401256</v>
      </c>
    </row>
    <row r="257" spans="1:25" s="681" customFormat="1" ht="12" thickBot="1">
      <c r="A257" s="655"/>
      <c r="B257" s="663"/>
      <c r="C257" s="664"/>
      <c r="D257" s="657"/>
      <c r="E257" s="668"/>
      <c r="F257" s="668"/>
      <c r="G257" s="668"/>
      <c r="H257" s="682"/>
      <c r="I257" s="668"/>
      <c r="J257" s="668"/>
      <c r="K257" s="668"/>
      <c r="L257" s="668"/>
      <c r="M257" s="668"/>
      <c r="N257" s="668"/>
      <c r="O257" s="683"/>
      <c r="P257" s="668"/>
      <c r="Q257" s="668"/>
      <c r="R257" s="668"/>
      <c r="S257" s="668"/>
      <c r="T257" s="668"/>
      <c r="U257" s="652"/>
      <c r="V257" s="598"/>
      <c r="W257" s="598"/>
      <c r="X257" s="599"/>
      <c r="Y257" s="599"/>
    </row>
    <row r="258" spans="1:25" s="681" customFormat="1" ht="12" thickTop="1">
      <c r="A258" s="690"/>
      <c r="B258" s="691"/>
      <c r="C258" s="692" t="s">
        <v>1654</v>
      </c>
      <c r="D258" s="693"/>
      <c r="E258" s="668"/>
      <c r="F258" s="668"/>
      <c r="G258" s="668"/>
      <c r="H258" s="682"/>
      <c r="I258" s="668"/>
      <c r="J258" s="668"/>
      <c r="K258" s="668"/>
      <c r="L258" s="668"/>
      <c r="M258" s="668"/>
      <c r="N258" s="668"/>
      <c r="O258" s="683"/>
      <c r="P258" s="668"/>
      <c r="Q258" s="668"/>
      <c r="R258" s="668"/>
      <c r="S258" s="668"/>
      <c r="T258" s="668"/>
      <c r="U258" s="652"/>
      <c r="V258" s="598"/>
      <c r="W258" s="598"/>
      <c r="X258" s="599">
        <f>+S258-L258</f>
        <v>0</v>
      </c>
      <c r="Y258" s="599"/>
    </row>
    <row r="259" spans="1:25">
      <c r="A259" s="655">
        <v>2180</v>
      </c>
      <c r="B259" s="577" t="s">
        <v>1655</v>
      </c>
      <c r="C259" s="656" t="s">
        <v>1656</v>
      </c>
      <c r="D259" s="657" t="str">
        <f>VLOOKUP(B259,'[51]2180 Job Descriptions'!E:G,3,FALSE)</f>
        <v>Opps Supervisor</v>
      </c>
      <c r="E259" s="649">
        <f>+VLOOKUP($B259,'[51]Payroll Report Pivot'!$O:$Q,3,FALSE)</f>
        <v>600</v>
      </c>
      <c r="F259" s="650">
        <f>+VLOOKUP($B259,'[51]Payroll Report Pivot'!$O:$R,4,FALSE)</f>
        <v>20665.560000000001</v>
      </c>
      <c r="G259" s="649">
        <f>IFERROR(VLOOKUP(B259,'[51]Payroll Report Pivot'!$Y:$AA,3,FALSE),0)</f>
        <v>0</v>
      </c>
      <c r="H259" s="650">
        <f>IFERROR(VLOOKUP($B259,'[51]Payroll Report Pivot'!$Y:$AB,4,FALSE),0)</f>
        <v>0</v>
      </c>
      <c r="I259" s="650">
        <f t="shared" ref="I259:I264" si="167">+F259+H259</f>
        <v>20665.560000000001</v>
      </c>
      <c r="J259" s="649">
        <f>+IFERROR(VLOOKUP(B259,'[51]Payroll Report Pivot'!$AH:$AJ,3,FALSE),0)</f>
        <v>0</v>
      </c>
      <c r="K259" s="649"/>
      <c r="L259" s="649">
        <f t="shared" ref="L259:L264" si="168">+K259+J259+I259</f>
        <v>20665.560000000001</v>
      </c>
      <c r="M259" s="650">
        <f>+VLOOKUP(B259,'[51]Payroll Report Pivot'!$E:$H,4,FALSE)</f>
        <v>34.839043269230771</v>
      </c>
      <c r="N259" s="658">
        <f>IFERROR(VLOOKUP(Z259,[52]Payroll!$C$6:$M$61,11,FALSE),2.5%)</f>
        <v>2.5000000000000001E-2</v>
      </c>
      <c r="O259" s="659">
        <f t="shared" ref="O259:O264" si="169">IF(V259="PCS","27.85",M259*(1+N259))</f>
        <v>35.710019350961538</v>
      </c>
      <c r="P259" s="660">
        <f t="shared" ref="P259:P264" si="170">+O259*E259</f>
        <v>21426.011610576923</v>
      </c>
      <c r="Q259" s="660">
        <f t="shared" ref="Q259:Q264" si="171">+O259*G259*1.5</f>
        <v>0</v>
      </c>
      <c r="R259" s="660">
        <v>0</v>
      </c>
      <c r="S259" s="649">
        <f t="shared" ref="S259:S264" si="172">SUM(P259:R259)+J259</f>
        <v>21426.011610576923</v>
      </c>
      <c r="T259" s="649">
        <f t="shared" ref="T259:T264" si="173">+IF(V259="PCS",250,0)</f>
        <v>0</v>
      </c>
      <c r="U259" s="652">
        <f t="shared" ref="U259:U264" si="174">+S259+T259</f>
        <v>21426.011610576923</v>
      </c>
      <c r="V259" s="598" t="s">
        <v>1488</v>
      </c>
      <c r="W259" s="598">
        <v>5601</v>
      </c>
      <c r="X259" s="675">
        <f t="shared" ref="X259:X264" si="175">U259-L259</f>
        <v>760.45161057692167</v>
      </c>
      <c r="Y259" s="675"/>
    </row>
    <row r="260" spans="1:25">
      <c r="A260" s="655">
        <v>2180</v>
      </c>
      <c r="B260" s="577" t="s">
        <v>1657</v>
      </c>
      <c r="C260" s="656" t="s">
        <v>1658</v>
      </c>
      <c r="D260" s="657" t="str">
        <f>VLOOKUP(B260,'[51]2180 Job Descriptions'!E:G,3,FALSE)</f>
        <v>Opps Supervisor</v>
      </c>
      <c r="E260" s="649">
        <f>+VLOOKUP($B260,'[51]Payroll Report Pivot'!$O:$Q,3,FALSE)</f>
        <v>2080</v>
      </c>
      <c r="F260" s="650">
        <f>+VLOOKUP($B260,'[51]Payroll Report Pivot'!$O:$R,4,FALSE)</f>
        <v>66063.679999999993</v>
      </c>
      <c r="G260" s="649">
        <f>IFERROR(VLOOKUP(B260,'[51]Payroll Report Pivot'!$Y:$AA,3,FALSE),0)</f>
        <v>0</v>
      </c>
      <c r="H260" s="650">
        <f>IFERROR(VLOOKUP($B260,'[51]Payroll Report Pivot'!$Y:$AB,4,FALSE),0)</f>
        <v>154.82</v>
      </c>
      <c r="I260" s="650">
        <f t="shared" si="167"/>
        <v>66218.5</v>
      </c>
      <c r="J260" s="649">
        <f>+IFERROR(VLOOKUP(B260,'[51]Payroll Report Pivot'!$AH:$AJ,3,FALSE),0)</f>
        <v>2000.0000000000014</v>
      </c>
      <c r="K260" s="649">
        <f>IFERROR(VLOOKUP(B260,'[51]Payroll Report Pivot'!$AP:$AR,3,FALSE),0)</f>
        <v>1903.85</v>
      </c>
      <c r="L260" s="649">
        <f t="shared" si="168"/>
        <v>70122.350000000006</v>
      </c>
      <c r="M260" s="650">
        <f>+VLOOKUP(B260,'[51]Payroll Report Pivot'!$E:$H,4,FALSE)</f>
        <v>32.52403846153846</v>
      </c>
      <c r="N260" s="658">
        <f>IFERROR(VLOOKUP(Z260,[52]Payroll!$C$6:$M$61,11,FALSE),2.5%)</f>
        <v>2.5000000000000001E-2</v>
      </c>
      <c r="O260" s="659">
        <f t="shared" si="169"/>
        <v>33.33713942307692</v>
      </c>
      <c r="P260" s="660">
        <f t="shared" si="170"/>
        <v>69341.25</v>
      </c>
      <c r="Q260" s="660">
        <f t="shared" si="171"/>
        <v>0</v>
      </c>
      <c r="R260" s="660">
        <v>0</v>
      </c>
      <c r="S260" s="649">
        <f t="shared" si="172"/>
        <v>71341.25</v>
      </c>
      <c r="T260" s="649">
        <f t="shared" si="173"/>
        <v>0</v>
      </c>
      <c r="U260" s="652">
        <f t="shared" si="174"/>
        <v>71341.25</v>
      </c>
      <c r="V260" s="598" t="s">
        <v>1488</v>
      </c>
      <c r="W260" s="598">
        <v>5601</v>
      </c>
      <c r="X260" s="675">
        <f t="shared" si="175"/>
        <v>1218.8999999999942</v>
      </c>
      <c r="Y260" s="675"/>
    </row>
    <row r="261" spans="1:25">
      <c r="A261" s="655">
        <v>2180</v>
      </c>
      <c r="B261" s="577" t="s">
        <v>1659</v>
      </c>
      <c r="C261" s="656" t="s">
        <v>1660</v>
      </c>
      <c r="D261" s="657" t="str">
        <f>VLOOKUP(B261,'[51]2180 Job Descriptions'!E:G,3,FALSE)</f>
        <v>Opps Supervisor</v>
      </c>
      <c r="E261" s="649">
        <f>+VLOOKUP($B261,'[51]Payroll Report Pivot'!$O:$Q,3,FALSE)</f>
        <v>2160</v>
      </c>
      <c r="F261" s="650">
        <f>+VLOOKUP($B261,'[51]Payroll Report Pivot'!$O:$R,4,FALSE)</f>
        <v>66327.100000000006</v>
      </c>
      <c r="G261" s="649">
        <f>IFERROR(VLOOKUP(B261,'[51]Payroll Report Pivot'!$Y:$AA,3,FALSE),0)</f>
        <v>0</v>
      </c>
      <c r="H261" s="650">
        <f>IFERROR(VLOOKUP($B261,'[51]Payroll Report Pivot'!$Y:$AB,4,FALSE),0)</f>
        <v>0</v>
      </c>
      <c r="I261" s="650">
        <f t="shared" si="167"/>
        <v>66327.100000000006</v>
      </c>
      <c r="J261" s="649">
        <f>+IFERROR(VLOOKUP(B261,'[51]Payroll Report Pivot'!$AH:$AJ,3,FALSE),0)</f>
        <v>0</v>
      </c>
      <c r="K261" s="649">
        <f>IFERROR(VLOOKUP(B261,'[51]Payroll Report Pivot'!$AP:$AR,3,FALSE),0)</f>
        <v>2954.69</v>
      </c>
      <c r="L261" s="649">
        <f t="shared" si="168"/>
        <v>69281.790000000008</v>
      </c>
      <c r="M261" s="650">
        <f>+VLOOKUP(B261,'[51]Payroll Report Pivot'!$E:$H,4,FALSE)</f>
        <v>32.21153846153846</v>
      </c>
      <c r="N261" s="658">
        <f>IFERROR(VLOOKUP(Z261,[52]Payroll!$C$6:$M$61,11,FALSE),2.5%)</f>
        <v>2.5000000000000001E-2</v>
      </c>
      <c r="O261" s="659">
        <f t="shared" si="169"/>
        <v>33.01682692307692</v>
      </c>
      <c r="P261" s="660">
        <f t="shared" si="170"/>
        <v>71316.346153846142</v>
      </c>
      <c r="Q261" s="660">
        <f t="shared" si="171"/>
        <v>0</v>
      </c>
      <c r="R261" s="660">
        <v>0</v>
      </c>
      <c r="S261" s="649">
        <f t="shared" si="172"/>
        <v>71316.346153846142</v>
      </c>
      <c r="T261" s="649">
        <f t="shared" si="173"/>
        <v>0</v>
      </c>
      <c r="U261" s="652">
        <f t="shared" si="174"/>
        <v>71316.346153846142</v>
      </c>
      <c r="V261" s="598" t="s">
        <v>1488</v>
      </c>
      <c r="W261" s="598">
        <v>5601</v>
      </c>
      <c r="X261" s="675">
        <f t="shared" si="175"/>
        <v>2034.5561538461334</v>
      </c>
      <c r="Y261" s="675"/>
    </row>
    <row r="262" spans="1:25">
      <c r="A262" s="655">
        <v>2180</v>
      </c>
      <c r="B262" s="577" t="s">
        <v>1661</v>
      </c>
      <c r="C262" s="656" t="s">
        <v>1662</v>
      </c>
      <c r="D262" s="657" t="str">
        <f>VLOOKUP(B262,'[51]2180 Job Descriptions'!E:G,3,FALSE)</f>
        <v>Operations Manager</v>
      </c>
      <c r="E262" s="649">
        <f>+VLOOKUP($B262,'[51]Payroll Report Pivot'!$O:$Q,3,FALSE)</f>
        <v>1222.3</v>
      </c>
      <c r="F262" s="650">
        <f>+VLOOKUP($B262,'[51]Payroll Report Pivot'!$O:$R,4,FALSE)</f>
        <v>39745.51</v>
      </c>
      <c r="G262" s="649">
        <f>IFERROR(VLOOKUP(B262,'[51]Payroll Report Pivot'!$Y:$AA,3,FALSE),0)</f>
        <v>0</v>
      </c>
      <c r="H262" s="650">
        <f>IFERROR(VLOOKUP($B262,'[51]Payroll Report Pivot'!$Y:$AB,4,FALSE),0)</f>
        <v>25.57</v>
      </c>
      <c r="I262" s="650">
        <f t="shared" si="167"/>
        <v>39771.08</v>
      </c>
      <c r="J262" s="649">
        <f>+IFERROR(VLOOKUP(B262,'[51]Payroll Report Pivot'!$AH:$AJ,3,FALSE),0)</f>
        <v>400</v>
      </c>
      <c r="K262" s="649">
        <f>IFERROR(VLOOKUP(B262,'[51]Payroll Report Pivot'!$AP:$AR,3,FALSE),0)</f>
        <v>0</v>
      </c>
      <c r="L262" s="649">
        <f t="shared" si="168"/>
        <v>40171.08</v>
      </c>
      <c r="M262" s="650">
        <f>+VLOOKUP(B262,'[51]Payroll Report Pivot'!$E:$H,4,FALSE)</f>
        <v>31.73076923076923</v>
      </c>
      <c r="N262" s="658">
        <f>IFERROR(VLOOKUP(Z262,[52]Payroll!$C$6:$M$61,11,FALSE),2.5%)</f>
        <v>2.5000000000000001E-2</v>
      </c>
      <c r="O262" s="659">
        <f t="shared" si="169"/>
        <v>32.52403846153846</v>
      </c>
      <c r="P262" s="660">
        <f t="shared" si="170"/>
        <v>39754.132211538461</v>
      </c>
      <c r="Q262" s="660">
        <f t="shared" si="171"/>
        <v>0</v>
      </c>
      <c r="R262" s="660">
        <f t="shared" ref="R262:R264" si="176">+K262*(1+N262)</f>
        <v>0</v>
      </c>
      <c r="S262" s="649">
        <f t="shared" si="172"/>
        <v>40154.132211538461</v>
      </c>
      <c r="T262" s="649">
        <f t="shared" si="173"/>
        <v>0</v>
      </c>
      <c r="U262" s="652">
        <f t="shared" si="174"/>
        <v>40154.132211538461</v>
      </c>
      <c r="V262" s="598" t="s">
        <v>1488</v>
      </c>
      <c r="W262" s="598">
        <v>5601</v>
      </c>
      <c r="X262" s="675">
        <f t="shared" si="175"/>
        <v>-16.947788461540767</v>
      </c>
      <c r="Y262" s="675"/>
    </row>
    <row r="263" spans="1:25">
      <c r="A263" s="655">
        <v>2180</v>
      </c>
      <c r="B263" s="577" t="s">
        <v>1663</v>
      </c>
      <c r="C263" s="656" t="s">
        <v>1664</v>
      </c>
      <c r="D263" s="657" t="str">
        <f>VLOOKUP(B263,'[51]2180 Job Descriptions'!E:G,3,FALSE)</f>
        <v>Operations Manager</v>
      </c>
      <c r="E263" s="649">
        <f>+VLOOKUP($B263,'[51]Payroll Report Pivot'!$O:$Q,3,FALSE)</f>
        <v>2080</v>
      </c>
      <c r="F263" s="650">
        <f>+VLOOKUP($B263,'[51]Payroll Report Pivot'!$O:$R,4,FALSE)</f>
        <v>83182.850000000006</v>
      </c>
      <c r="G263" s="649">
        <f>IFERROR(VLOOKUP(B263,'[51]Payroll Report Pivot'!$Y:$AA,3,FALSE),0)</f>
        <v>0</v>
      </c>
      <c r="H263" s="650">
        <f>IFERROR(VLOOKUP($B263,'[51]Payroll Report Pivot'!$Y:$AB,4,FALSE),0)</f>
        <v>0</v>
      </c>
      <c r="I263" s="650">
        <f t="shared" si="167"/>
        <v>83182.850000000006</v>
      </c>
      <c r="J263" s="649">
        <f>+IFERROR(VLOOKUP(B263,'[51]Payroll Report Pivot'!$AH:$AJ,3,FALSE),0)</f>
        <v>0</v>
      </c>
      <c r="K263" s="649">
        <f>IFERROR(VLOOKUP(B263,'[51]Payroll Report Pivot'!$AP:$AR,3,FALSE),0)</f>
        <v>0</v>
      </c>
      <c r="L263" s="649">
        <f t="shared" si="168"/>
        <v>83182.850000000006</v>
      </c>
      <c r="M263" s="650">
        <f>+VLOOKUP(B263,'[51]Payroll Report Pivot'!$E:$H,4,FALSE)</f>
        <v>40.408653846153847</v>
      </c>
      <c r="N263" s="658">
        <f>IFERROR(VLOOKUP(Z263,[52]Payroll!$C$6:$M$61,11,FALSE),2.5%)</f>
        <v>2.5000000000000001E-2</v>
      </c>
      <c r="O263" s="659">
        <f t="shared" si="169"/>
        <v>41.418870192307686</v>
      </c>
      <c r="P263" s="660">
        <f t="shared" si="170"/>
        <v>86151.249999999985</v>
      </c>
      <c r="Q263" s="660">
        <f t="shared" si="171"/>
        <v>0</v>
      </c>
      <c r="R263" s="660">
        <f t="shared" si="176"/>
        <v>0</v>
      </c>
      <c r="S263" s="649">
        <f t="shared" si="172"/>
        <v>86151.249999999985</v>
      </c>
      <c r="T263" s="649">
        <f t="shared" si="173"/>
        <v>0</v>
      </c>
      <c r="U263" s="652">
        <f t="shared" si="174"/>
        <v>86151.249999999985</v>
      </c>
      <c r="V263" s="598" t="s">
        <v>1488</v>
      </c>
      <c r="W263" s="598">
        <v>5601</v>
      </c>
      <c r="X263" s="675">
        <f>U263-L263</f>
        <v>2968.3999999999796</v>
      </c>
      <c r="Y263" s="675"/>
    </row>
    <row r="264" spans="1:25">
      <c r="A264" s="655">
        <v>2180</v>
      </c>
      <c r="B264" s="577" t="s">
        <v>1665</v>
      </c>
      <c r="C264" s="656" t="s">
        <v>1666</v>
      </c>
      <c r="D264" s="657" t="str">
        <f>VLOOKUP(B264,'[51]2180 Job Descriptions'!E:G,3,FALSE)</f>
        <v>Opps Supervisor</v>
      </c>
      <c r="E264" s="649">
        <f>+VLOOKUP($B264,'[51]Payroll Report Pivot'!$O:$Q,3,FALSE)</f>
        <v>960</v>
      </c>
      <c r="F264" s="650">
        <f>+VLOOKUP($B264,'[51]Payroll Report Pivot'!$O:$R,4,FALSE)</f>
        <v>31500.059999999998</v>
      </c>
      <c r="G264" s="649">
        <f>IFERROR(VLOOKUP(B264,'[51]Payroll Report Pivot'!$Y:$AA,3,FALSE),0)</f>
        <v>0</v>
      </c>
      <c r="H264" s="650">
        <f>IFERROR(VLOOKUP($B264,'[51]Payroll Report Pivot'!$Y:$AB,4,FALSE),0)</f>
        <v>0</v>
      </c>
      <c r="I264" s="650">
        <f t="shared" si="167"/>
        <v>31500.059999999998</v>
      </c>
      <c r="J264" s="649">
        <f>+IFERROR(VLOOKUP(B264,'[51]Payroll Report Pivot'!$AH:$AJ,3,FALSE),0)</f>
        <v>0</v>
      </c>
      <c r="K264" s="649">
        <f>IFERROR(VLOOKUP(B264,'[51]Payroll Report Pivot'!$AP:$AR,3,FALSE),0)</f>
        <v>0</v>
      </c>
      <c r="L264" s="649">
        <f t="shared" si="168"/>
        <v>31500.059999999998</v>
      </c>
      <c r="M264" s="650">
        <f>+VLOOKUP(B264,'[51]Payroll Report Pivot'!$E:$H,4,FALSE)</f>
        <v>34.134615384615387</v>
      </c>
      <c r="N264" s="658">
        <f>IFERROR(VLOOKUP(Z264,[52]Payroll!$C$6:$M$61,11,FALSE),2.5%)</f>
        <v>2.5000000000000001E-2</v>
      </c>
      <c r="O264" s="659">
        <f t="shared" si="169"/>
        <v>34.987980769230766</v>
      </c>
      <c r="P264" s="660">
        <f t="shared" si="170"/>
        <v>33588.461538461539</v>
      </c>
      <c r="Q264" s="660">
        <f t="shared" si="171"/>
        <v>0</v>
      </c>
      <c r="R264" s="660">
        <f t="shared" si="176"/>
        <v>0</v>
      </c>
      <c r="S264" s="649">
        <f t="shared" si="172"/>
        <v>33588.461538461539</v>
      </c>
      <c r="T264" s="649">
        <f t="shared" si="173"/>
        <v>0</v>
      </c>
      <c r="U264" s="652">
        <f t="shared" si="174"/>
        <v>33588.461538461539</v>
      </c>
      <c r="V264" s="598" t="s">
        <v>1488</v>
      </c>
      <c r="W264" s="598">
        <v>5601</v>
      </c>
      <c r="X264" s="675">
        <f t="shared" si="175"/>
        <v>2088.4015384615413</v>
      </c>
      <c r="Y264" s="675"/>
    </row>
    <row r="265" spans="1:25">
      <c r="A265" s="635"/>
      <c r="B265" s="636"/>
      <c r="C265" s="637"/>
      <c r="D265" s="637"/>
      <c r="E265" s="638"/>
      <c r="F265" s="638"/>
      <c r="G265" s="638"/>
      <c r="H265" s="639"/>
      <c r="I265" s="638"/>
      <c r="J265" s="638"/>
      <c r="K265" s="638"/>
      <c r="L265" s="638"/>
      <c r="M265" s="638"/>
      <c r="N265" s="638"/>
      <c r="O265" s="638"/>
      <c r="P265" s="638"/>
      <c r="Q265" s="638"/>
      <c r="R265" s="638"/>
      <c r="S265" s="638"/>
      <c r="T265" s="638"/>
      <c r="U265" s="640"/>
    </row>
    <row r="266" spans="1:25">
      <c r="A266" s="635"/>
      <c r="B266" s="636"/>
      <c r="C266" s="680" t="s">
        <v>1667</v>
      </c>
      <c r="D266" s="637"/>
      <c r="E266" s="678">
        <f t="shared" ref="E266:L266" si="177">+SUM(E259:E265)</f>
        <v>9102.2999999999993</v>
      </c>
      <c r="F266" s="678">
        <f t="shared" si="177"/>
        <v>307484.76</v>
      </c>
      <c r="G266" s="678">
        <f t="shared" si="177"/>
        <v>0</v>
      </c>
      <c r="H266" s="694">
        <f t="shared" si="177"/>
        <v>180.39</v>
      </c>
      <c r="I266" s="694">
        <f t="shared" si="177"/>
        <v>307665.14999999997</v>
      </c>
      <c r="J266" s="694">
        <f t="shared" si="177"/>
        <v>2400.0000000000014</v>
      </c>
      <c r="K266" s="694">
        <f t="shared" si="177"/>
        <v>4858.54</v>
      </c>
      <c r="L266" s="694">
        <f t="shared" si="177"/>
        <v>314923.69</v>
      </c>
      <c r="M266" s="678">
        <f>+SUM(M259:M265)</f>
        <v>205.84865865384614</v>
      </c>
      <c r="N266" s="678"/>
      <c r="O266" s="678"/>
      <c r="P266" s="678"/>
      <c r="Q266" s="678"/>
      <c r="R266" s="678"/>
      <c r="S266" s="678">
        <f>+SUM(S259:S265)</f>
        <v>323977.45151442307</v>
      </c>
      <c r="T266" s="678">
        <f>+SUM(T259:T265)</f>
        <v>0</v>
      </c>
      <c r="U266" s="695">
        <f>+SUM(U259:U265)</f>
        <v>323977.45151442307</v>
      </c>
      <c r="X266" s="695">
        <f>+SUM(X259:X265)</f>
        <v>9053.7615144230294</v>
      </c>
      <c r="Y266" s="696"/>
    </row>
    <row r="267" spans="1:25">
      <c r="A267" s="635"/>
      <c r="B267" s="636"/>
      <c r="C267" s="637"/>
      <c r="D267" s="637"/>
      <c r="E267" s="638"/>
      <c r="F267" s="638"/>
      <c r="G267" s="638"/>
      <c r="H267" s="639"/>
      <c r="I267" s="638"/>
      <c r="J267" s="638"/>
      <c r="K267" s="638"/>
      <c r="L267" s="638"/>
      <c r="M267" s="638"/>
      <c r="N267" s="638"/>
      <c r="O267" s="638"/>
      <c r="P267" s="638"/>
      <c r="Q267" s="638"/>
      <c r="R267" s="638"/>
      <c r="S267" s="638"/>
      <c r="T267" s="638"/>
      <c r="U267" s="640"/>
      <c r="X267" s="599">
        <f>+S267-L267</f>
        <v>0</v>
      </c>
    </row>
    <row r="268" spans="1:25">
      <c r="A268" s="635"/>
      <c r="B268" s="636"/>
      <c r="C268" s="680" t="s">
        <v>1668</v>
      </c>
      <c r="D268" s="637"/>
      <c r="E268" s="678">
        <f t="shared" ref="E268:M268" si="178">+E266+E255+E187+E159+E213+E193</f>
        <v>322867.16586200002</v>
      </c>
      <c r="F268" s="678">
        <f t="shared" si="178"/>
        <v>8409340.2753846142</v>
      </c>
      <c r="G268" s="678">
        <f t="shared" si="178"/>
        <v>40362.736681999995</v>
      </c>
      <c r="H268" s="678">
        <f t="shared" si="178"/>
        <v>1574192.4900000002</v>
      </c>
      <c r="I268" s="678">
        <f t="shared" si="178"/>
        <v>9983532.7653846126</v>
      </c>
      <c r="J268" s="678">
        <f t="shared" si="178"/>
        <v>267921.30999999971</v>
      </c>
      <c r="K268" s="678">
        <f t="shared" si="178"/>
        <v>151415.01999999999</v>
      </c>
      <c r="L268" s="678">
        <f t="shared" si="178"/>
        <v>10402869.095384615</v>
      </c>
      <c r="M268" s="678">
        <f t="shared" si="178"/>
        <v>4819.9807596153832</v>
      </c>
      <c r="N268" s="678"/>
      <c r="O268" s="678"/>
      <c r="P268" s="678"/>
      <c r="Q268" s="678"/>
      <c r="R268" s="678"/>
      <c r="S268" s="678">
        <f>+S266+S255+S187+S159+S213+S193</f>
        <v>10879913.427126514</v>
      </c>
      <c r="T268" s="678">
        <f>+T266+T255+T187+T159+T213+T193</f>
        <v>13750</v>
      </c>
      <c r="U268" s="695">
        <f>+U266+U255+U187+U159+U213+U193</f>
        <v>10893663.427126514</v>
      </c>
      <c r="X268" s="695">
        <f>+X266+X255+X187+X159+X213+X193</f>
        <v>413390.52712651633</v>
      </c>
      <c r="Y268" s="695">
        <f>+Y266+Y255+Y187+Y159+Y213+Y193</f>
        <v>77403.804615384608</v>
      </c>
    </row>
    <row r="269" spans="1:25" ht="12" thickBot="1">
      <c r="A269" s="697"/>
      <c r="B269" s="698"/>
      <c r="C269" s="699"/>
      <c r="D269" s="699"/>
      <c r="E269" s="700">
        <f>+E268-'[51]Payroll Report Pivot'!Q145</f>
        <v>320787.592527</v>
      </c>
      <c r="F269" s="700"/>
      <c r="G269" s="700">
        <f>+G268-'[51]Payroll Report Pivot'!AA131</f>
        <v>40337.870014999993</v>
      </c>
      <c r="H269" s="700"/>
      <c r="I269" s="630"/>
      <c r="J269" s="700">
        <f>+J268-'[51]Payroll Report Pivot'!AJ72</f>
        <v>266896.30999999971</v>
      </c>
      <c r="K269" s="700">
        <f>+K268-'[51]Payroll Report Pivot'!AR113</f>
        <v>151415.01999999999</v>
      </c>
      <c r="L269" s="630"/>
      <c r="M269" s="630"/>
      <c r="N269" s="630"/>
      <c r="O269" s="630"/>
      <c r="P269" s="630"/>
      <c r="Q269" s="630"/>
      <c r="R269" s="630"/>
      <c r="S269" s="630"/>
      <c r="T269" s="630"/>
      <c r="U269" s="701"/>
    </row>
    <row r="270" spans="1:25" ht="9" customHeight="1"/>
    <row r="272" spans="1:25" ht="12.75" customHeight="1">
      <c r="A272" s="1561" t="s">
        <v>1669</v>
      </c>
      <c r="B272" s="1561"/>
      <c r="C272" s="1561"/>
      <c r="D272" s="1561"/>
      <c r="E272" s="702"/>
      <c r="F272" s="702"/>
      <c r="G272" s="702"/>
      <c r="H272" s="703"/>
      <c r="I272" s="702"/>
      <c r="J272" s="702"/>
      <c r="K272" s="702"/>
      <c r="L272" s="702"/>
      <c r="M272" s="702"/>
      <c r="N272" s="702"/>
      <c r="O272" s="704"/>
      <c r="P272" s="702"/>
      <c r="Q272" s="702"/>
      <c r="R272" s="702"/>
      <c r="S272" s="702"/>
      <c r="T272" s="702"/>
      <c r="U272" s="702"/>
    </row>
    <row r="274" spans="1:26">
      <c r="A274" s="705"/>
      <c r="B274" s="706"/>
      <c r="C274" s="707" t="s">
        <v>1670</v>
      </c>
      <c r="D274" s="708"/>
      <c r="E274" s="708"/>
      <c r="F274" s="708"/>
      <c r="G274" s="708"/>
      <c r="H274" s="709"/>
      <c r="I274" s="708"/>
      <c r="J274" s="708"/>
      <c r="K274" s="708"/>
      <c r="L274" s="708"/>
      <c r="M274" s="708"/>
      <c r="N274" s="708"/>
      <c r="O274" s="710"/>
      <c r="P274" s="708"/>
      <c r="Q274" s="708"/>
      <c r="R274" s="708"/>
      <c r="S274" s="708"/>
      <c r="T274" s="708"/>
      <c r="U274" s="711">
        <f>+L159</f>
        <v>6343858.6599999992</v>
      </c>
    </row>
    <row r="275" spans="1:26" ht="13.5" customHeight="1"/>
    <row r="276" spans="1:26">
      <c r="D276" s="712" t="s">
        <v>1671</v>
      </c>
      <c r="U276" s="713">
        <f>+'[51]JE Query - Drivers'!D2069</f>
        <v>-60116.989999999976</v>
      </c>
    </row>
    <row r="277" spans="1:26">
      <c r="D277" s="712"/>
      <c r="U277" s="714"/>
    </row>
    <row r="278" spans="1:26">
      <c r="D278" s="712"/>
    </row>
    <row r="279" spans="1:26">
      <c r="D279" s="598"/>
      <c r="E279" s="605"/>
      <c r="F279" s="605"/>
      <c r="G279" s="605"/>
      <c r="H279" s="606"/>
      <c r="I279" s="605"/>
      <c r="J279" s="605"/>
      <c r="K279" s="605"/>
      <c r="L279" s="605"/>
      <c r="M279" s="605"/>
      <c r="N279" s="605"/>
      <c r="O279" s="607"/>
      <c r="P279" s="605"/>
      <c r="Q279" s="605"/>
      <c r="R279" s="605"/>
      <c r="S279" s="605"/>
      <c r="T279" s="605"/>
      <c r="U279" s="715" t="s">
        <v>1672</v>
      </c>
    </row>
    <row r="280" spans="1:26">
      <c r="C280" s="712">
        <v>50010</v>
      </c>
      <c r="D280" s="712" t="s">
        <v>17</v>
      </c>
      <c r="E280" s="605"/>
      <c r="F280" s="605"/>
      <c r="G280" s="605"/>
      <c r="H280" s="606"/>
      <c r="I280" s="605"/>
      <c r="J280" s="605"/>
      <c r="K280" s="605"/>
      <c r="L280" s="605"/>
      <c r="M280" s="605"/>
      <c r="N280" s="605"/>
      <c r="O280" s="607"/>
      <c r="P280" s="605"/>
      <c r="Q280" s="605"/>
      <c r="R280" s="605"/>
      <c r="S280" s="605"/>
      <c r="T280" s="605"/>
      <c r="U280" s="716">
        <f>+IFERROR(VLOOKUP(C280,'[51]2180 IS 2018'!$D:$AH,31,FALSE),0)</f>
        <v>0</v>
      </c>
    </row>
    <row r="281" spans="1:26">
      <c r="C281" s="717">
        <v>50020</v>
      </c>
      <c r="D281" s="717" t="s">
        <v>25</v>
      </c>
      <c r="E281" s="718"/>
      <c r="F281" s="718"/>
      <c r="G281" s="718"/>
      <c r="H281" s="719"/>
      <c r="I281" s="718"/>
      <c r="J281" s="718"/>
      <c r="K281" s="718"/>
      <c r="L281" s="718"/>
      <c r="M281" s="718"/>
      <c r="N281" s="718"/>
      <c r="O281" s="720"/>
      <c r="P281" s="718"/>
      <c r="Q281" s="718"/>
      <c r="R281" s="718"/>
      <c r="S281" s="718"/>
      <c r="T281" s="718"/>
      <c r="U281" s="716">
        <f>+IFERROR(VLOOKUP(C281,'2180 IS (C)'!$D:$AH,31,FALSE),0)</f>
        <v>4548845.93</v>
      </c>
      <c r="V281" s="599"/>
      <c r="W281" s="599"/>
    </row>
    <row r="282" spans="1:26">
      <c r="C282" s="717">
        <v>50025</v>
      </c>
      <c r="D282" s="717" t="s">
        <v>26</v>
      </c>
      <c r="E282" s="718"/>
      <c r="F282" s="718"/>
      <c r="G282" s="718"/>
      <c r="H282" s="719"/>
      <c r="I282" s="718"/>
      <c r="J282" s="718"/>
      <c r="K282" s="718"/>
      <c r="L282" s="718"/>
      <c r="M282" s="718"/>
      <c r="N282" s="718"/>
      <c r="O282" s="720"/>
      <c r="P282" s="718"/>
      <c r="Q282" s="718"/>
      <c r="R282" s="718"/>
      <c r="S282" s="718"/>
      <c r="T282" s="718"/>
      <c r="U282" s="716">
        <f>+IFERROR(VLOOKUP(C282,'2180 IS (C)'!$D:$AH,31,FALSE),0)</f>
        <v>1230143.3500000001</v>
      </c>
      <c r="V282" s="681"/>
      <c r="W282" s="681"/>
      <c r="X282" s="675"/>
      <c r="Y282" s="675"/>
    </row>
    <row r="283" spans="1:26">
      <c r="C283" s="717">
        <v>50035</v>
      </c>
      <c r="D283" s="721" t="s">
        <v>27</v>
      </c>
      <c r="E283" s="718"/>
      <c r="F283" s="718"/>
      <c r="G283" s="718"/>
      <c r="H283" s="719"/>
      <c r="I283" s="718"/>
      <c r="J283" s="718"/>
      <c r="K283" s="718"/>
      <c r="L283" s="718"/>
      <c r="M283" s="718"/>
      <c r="N283" s="718"/>
      <c r="O283" s="720"/>
      <c r="P283" s="718"/>
      <c r="Q283" s="718"/>
      <c r="R283" s="718"/>
      <c r="S283" s="718"/>
      <c r="T283" s="718"/>
      <c r="U283" s="716">
        <f>+IFERROR(VLOOKUP(C283,'2180 IS (C)'!$D:$AH,31,FALSE),0)</f>
        <v>105072.70999999999</v>
      </c>
      <c r="V283" s="681"/>
      <c r="W283" s="681"/>
      <c r="X283" s="675"/>
      <c r="Y283" s="675"/>
      <c r="Z283" s="681"/>
    </row>
    <row r="284" spans="1:26">
      <c r="C284" s="717">
        <v>50036</v>
      </c>
      <c r="D284" s="721" t="s">
        <v>28</v>
      </c>
      <c r="E284" s="718"/>
      <c r="F284" s="718"/>
      <c r="G284" s="718"/>
      <c r="H284" s="719"/>
      <c r="I284" s="718"/>
      <c r="J284" s="718"/>
      <c r="K284" s="718"/>
      <c r="L284" s="718"/>
      <c r="M284" s="718"/>
      <c r="N284" s="718"/>
      <c r="O284" s="720"/>
      <c r="P284" s="718"/>
      <c r="Q284" s="718"/>
      <c r="R284" s="718"/>
      <c r="S284" s="718"/>
      <c r="T284" s="718"/>
      <c r="U284" s="716">
        <f>+IFERROR(VLOOKUP(C284,'2180 IS (C)'!$D:$AH,31,FALSE),0)</f>
        <v>26997.52</v>
      </c>
    </row>
    <row r="285" spans="1:26">
      <c r="C285" s="717">
        <v>50065</v>
      </c>
      <c r="D285" s="717" t="s">
        <v>22</v>
      </c>
      <c r="E285" s="718"/>
      <c r="F285" s="718"/>
      <c r="G285" s="718"/>
      <c r="H285" s="719"/>
      <c r="I285" s="718"/>
      <c r="J285" s="718"/>
      <c r="K285" s="718"/>
      <c r="L285" s="718"/>
      <c r="M285" s="718"/>
      <c r="N285" s="718"/>
      <c r="O285" s="720"/>
      <c r="P285" s="718"/>
      <c r="Q285" s="718"/>
      <c r="R285" s="718"/>
      <c r="S285" s="718"/>
      <c r="T285" s="718"/>
      <c r="U285" s="716">
        <f>+IFERROR(VLOOKUP(C285,'2180 IS (C)'!$D:$AH,31,FALSE),0)</f>
        <v>284932.15000000002</v>
      </c>
    </row>
    <row r="286" spans="1:26">
      <c r="C286" s="717">
        <v>50070</v>
      </c>
      <c r="D286" s="717" t="s">
        <v>23</v>
      </c>
      <c r="E286" s="718"/>
      <c r="F286" s="718"/>
      <c r="G286" s="718"/>
      <c r="H286" s="719"/>
      <c r="I286" s="718"/>
      <c r="J286" s="718"/>
      <c r="K286" s="718"/>
      <c r="L286" s="718"/>
      <c r="M286" s="718"/>
      <c r="N286" s="718"/>
      <c r="O286" s="720"/>
      <c r="P286" s="718"/>
      <c r="Q286" s="718"/>
      <c r="R286" s="718"/>
      <c r="S286" s="718"/>
      <c r="T286" s="718"/>
      <c r="U286" s="722">
        <f>+IFERROR(VLOOKUP(C286,'2180 IS (C)'!$D:$AH,31,FALSE),0)</f>
        <v>165516.32000000004</v>
      </c>
    </row>
    <row r="287" spans="1:26">
      <c r="C287" s="723"/>
      <c r="D287" s="723"/>
      <c r="E287" s="718"/>
      <c r="F287" s="718"/>
      <c r="G287" s="718"/>
      <c r="H287" s="719"/>
      <c r="I287" s="718"/>
      <c r="J287" s="718"/>
      <c r="K287" s="718"/>
      <c r="L287" s="718"/>
      <c r="M287" s="718"/>
      <c r="N287" s="718"/>
      <c r="O287" s="720"/>
      <c r="P287" s="718"/>
      <c r="Q287" s="718"/>
      <c r="R287" s="718"/>
      <c r="S287" s="718"/>
      <c r="T287" s="718"/>
      <c r="U287" s="668">
        <f>SUM(U280:U286)</f>
        <v>6361507.9799999995</v>
      </c>
    </row>
    <row r="288" spans="1:26">
      <c r="C288" s="723"/>
      <c r="D288" s="723"/>
      <c r="E288" s="718"/>
      <c r="F288" s="718"/>
      <c r="G288" s="718"/>
      <c r="H288" s="719"/>
      <c r="I288" s="718"/>
      <c r="J288" s="718"/>
      <c r="K288" s="718"/>
      <c r="L288" s="718"/>
      <c r="M288" s="718"/>
      <c r="N288" s="718"/>
      <c r="O288" s="720"/>
      <c r="P288" s="718"/>
      <c r="Q288" s="718"/>
      <c r="R288" s="718"/>
      <c r="S288" s="718"/>
      <c r="T288" s="718"/>
      <c r="U288" s="724"/>
    </row>
    <row r="289" spans="1:26">
      <c r="C289" s="723"/>
      <c r="D289" s="721" t="s">
        <v>316</v>
      </c>
      <c r="E289" s="725"/>
      <c r="F289" s="725"/>
      <c r="G289" s="725"/>
      <c r="H289" s="606"/>
      <c r="I289" s="725"/>
      <c r="J289" s="725"/>
      <c r="K289" s="725"/>
      <c r="L289" s="725"/>
      <c r="M289" s="725"/>
      <c r="N289" s="725"/>
      <c r="O289" s="726"/>
      <c r="P289" s="725"/>
      <c r="Q289" s="725"/>
      <c r="R289" s="725"/>
      <c r="S289" s="725"/>
      <c r="T289" s="725"/>
      <c r="U289" s="724">
        <f>U274+U276-U287</f>
        <v>-77766.310000000522</v>
      </c>
    </row>
    <row r="290" spans="1:26" s="593" customFormat="1">
      <c r="B290" s="592"/>
      <c r="C290" s="598"/>
      <c r="D290" s="594"/>
      <c r="E290" s="594"/>
      <c r="F290" s="594"/>
      <c r="G290" s="594"/>
      <c r="H290" s="595"/>
      <c r="I290" s="594"/>
      <c r="J290" s="594"/>
      <c r="K290" s="594"/>
      <c r="L290" s="594"/>
      <c r="M290" s="594"/>
      <c r="N290" s="594"/>
      <c r="O290" s="596"/>
      <c r="P290" s="594"/>
      <c r="Q290" s="594"/>
      <c r="R290" s="594"/>
      <c r="S290" s="594"/>
      <c r="T290" s="594"/>
      <c r="U290" s="668"/>
      <c r="V290" s="598"/>
      <c r="W290" s="598"/>
      <c r="X290" s="599"/>
      <c r="Y290" s="599"/>
    </row>
    <row r="291" spans="1:26">
      <c r="U291" s="727"/>
    </row>
    <row r="292" spans="1:26">
      <c r="A292" s="728"/>
      <c r="B292" s="729"/>
      <c r="C292" s="730" t="s">
        <v>1673</v>
      </c>
      <c r="D292" s="731"/>
      <c r="E292" s="731"/>
      <c r="F292" s="731"/>
      <c r="G292" s="731"/>
      <c r="H292" s="732"/>
      <c r="I292" s="731"/>
      <c r="J292" s="731"/>
      <c r="K292" s="731"/>
      <c r="L292" s="731"/>
      <c r="M292" s="731"/>
      <c r="N292" s="731"/>
      <c r="O292" s="733"/>
      <c r="P292" s="731"/>
      <c r="Q292" s="731"/>
      <c r="R292" s="731"/>
      <c r="S292" s="731"/>
      <c r="T292" s="731"/>
      <c r="U292" s="734">
        <f>L187</f>
        <v>1371833.3399999996</v>
      </c>
    </row>
    <row r="293" spans="1:26">
      <c r="D293" s="598"/>
    </row>
    <row r="294" spans="1:26">
      <c r="D294" s="712" t="s">
        <v>1671</v>
      </c>
      <c r="U294" s="713">
        <f>+'[51]JE Query - Mechanic'!D495</f>
        <v>-22005.59</v>
      </c>
    </row>
    <row r="295" spans="1:26">
      <c r="D295" s="712" t="s">
        <v>1674</v>
      </c>
    </row>
    <row r="296" spans="1:26">
      <c r="D296" s="712"/>
    </row>
    <row r="297" spans="1:26">
      <c r="D297" s="598"/>
      <c r="E297" s="605"/>
      <c r="F297" s="605"/>
      <c r="G297" s="605"/>
      <c r="H297" s="606"/>
      <c r="I297" s="605"/>
      <c r="J297" s="605"/>
      <c r="K297" s="605"/>
      <c r="L297" s="605"/>
      <c r="M297" s="605"/>
      <c r="N297" s="605"/>
      <c r="O297" s="607"/>
      <c r="P297" s="605"/>
      <c r="Q297" s="605"/>
      <c r="R297" s="605"/>
      <c r="S297" s="605"/>
      <c r="T297" s="605"/>
      <c r="U297" s="715" t="s">
        <v>1672</v>
      </c>
    </row>
    <row r="298" spans="1:26">
      <c r="C298" s="717">
        <v>52010</v>
      </c>
      <c r="D298" s="717" t="s">
        <v>17</v>
      </c>
      <c r="E298" s="605"/>
      <c r="F298" s="605"/>
      <c r="G298" s="605"/>
      <c r="H298" s="606"/>
      <c r="I298" s="605"/>
      <c r="J298" s="605"/>
      <c r="K298" s="605"/>
      <c r="L298" s="605"/>
      <c r="M298" s="605"/>
      <c r="N298" s="605"/>
      <c r="O298" s="607"/>
      <c r="P298" s="605"/>
      <c r="Q298" s="605"/>
      <c r="R298" s="605"/>
      <c r="S298" s="605"/>
      <c r="T298" s="605"/>
      <c r="U298" s="716">
        <f>+IFERROR(VLOOKUP(C298,'2180 IS (C)'!$D:$AH,31,FALSE),0)</f>
        <v>96980.63</v>
      </c>
    </row>
    <row r="299" spans="1:26">
      <c r="C299" s="717">
        <v>52020</v>
      </c>
      <c r="D299" s="717" t="s">
        <v>25</v>
      </c>
      <c r="E299" s="718"/>
      <c r="F299" s="718"/>
      <c r="G299" s="718"/>
      <c r="H299" s="719"/>
      <c r="I299" s="718"/>
      <c r="J299" s="718"/>
      <c r="K299" s="718"/>
      <c r="L299" s="718"/>
      <c r="M299" s="718"/>
      <c r="N299" s="718"/>
      <c r="O299" s="720"/>
      <c r="P299" s="718"/>
      <c r="Q299" s="718"/>
      <c r="R299" s="718"/>
      <c r="S299" s="718"/>
      <c r="T299" s="718"/>
      <c r="U299" s="716">
        <f>+IFERROR(VLOOKUP(C299,'2180 IS (C)'!$D:$AH,31,FALSE),0)</f>
        <v>960320.79999999993</v>
      </c>
    </row>
    <row r="300" spans="1:26">
      <c r="C300" s="717">
        <v>52025</v>
      </c>
      <c r="D300" s="717" t="s">
        <v>26</v>
      </c>
      <c r="E300" s="718"/>
      <c r="F300" s="718"/>
      <c r="G300" s="718"/>
      <c r="H300" s="719"/>
      <c r="I300" s="718"/>
      <c r="J300" s="718"/>
      <c r="K300" s="718"/>
      <c r="L300" s="718"/>
      <c r="M300" s="718"/>
      <c r="N300" s="718"/>
      <c r="O300" s="720"/>
      <c r="P300" s="718"/>
      <c r="Q300" s="718"/>
      <c r="R300" s="718"/>
      <c r="S300" s="718"/>
      <c r="T300" s="718"/>
      <c r="U300" s="716">
        <f>+IFERROR(VLOOKUP(C300,'2180 IS (C)'!$D:$AH,31,FALSE),0)</f>
        <v>194134.68</v>
      </c>
    </row>
    <row r="301" spans="1:26">
      <c r="C301" s="717">
        <v>52035</v>
      </c>
      <c r="D301" s="721" t="s">
        <v>27</v>
      </c>
      <c r="E301" s="718"/>
      <c r="F301" s="718"/>
      <c r="G301" s="718"/>
      <c r="H301" s="719"/>
      <c r="I301" s="718"/>
      <c r="J301" s="718"/>
      <c r="K301" s="718"/>
      <c r="L301" s="718"/>
      <c r="M301" s="718"/>
      <c r="N301" s="718"/>
      <c r="O301" s="720"/>
      <c r="P301" s="718"/>
      <c r="Q301" s="718"/>
      <c r="R301" s="718"/>
      <c r="S301" s="718"/>
      <c r="T301" s="718"/>
      <c r="U301" s="716">
        <f>+IFERROR(VLOOKUP(C301,'2180 IS (C)'!$D:$AH,31,FALSE),0)</f>
        <v>16977.619999999995</v>
      </c>
      <c r="V301" s="681"/>
      <c r="W301" s="681"/>
      <c r="X301" s="675"/>
      <c r="Y301" s="675"/>
      <c r="Z301" s="681"/>
    </row>
    <row r="302" spans="1:26">
      <c r="C302" s="717">
        <v>52036</v>
      </c>
      <c r="D302" s="721" t="s">
        <v>28</v>
      </c>
      <c r="E302" s="718"/>
      <c r="F302" s="718"/>
      <c r="G302" s="718"/>
      <c r="H302" s="719"/>
      <c r="I302" s="718"/>
      <c r="J302" s="718"/>
      <c r="K302" s="718"/>
      <c r="L302" s="718"/>
      <c r="M302" s="718"/>
      <c r="N302" s="718"/>
      <c r="O302" s="720"/>
      <c r="P302" s="718"/>
      <c r="Q302" s="718"/>
      <c r="R302" s="718"/>
      <c r="S302" s="718"/>
      <c r="T302" s="718"/>
      <c r="U302" s="716">
        <f>+IFERROR(VLOOKUP(C302,'2180 IS (C)'!$D:$AH,31,FALSE),0)</f>
        <v>5000</v>
      </c>
    </row>
    <row r="303" spans="1:26">
      <c r="C303" s="717">
        <v>52065</v>
      </c>
      <c r="D303" s="717" t="s">
        <v>22</v>
      </c>
      <c r="E303" s="718"/>
      <c r="F303" s="718"/>
      <c r="G303" s="718"/>
      <c r="H303" s="719"/>
      <c r="I303" s="718"/>
      <c r="J303" s="718"/>
      <c r="K303" s="718"/>
      <c r="L303" s="718"/>
      <c r="M303" s="718"/>
      <c r="N303" s="718"/>
      <c r="O303" s="720"/>
      <c r="P303" s="718"/>
      <c r="Q303" s="718"/>
      <c r="R303" s="718"/>
      <c r="S303" s="718"/>
      <c r="T303" s="718"/>
      <c r="U303" s="716">
        <f>+IFERROR(VLOOKUP(C303,'2180 IS (C)'!$D:$AH,31,FALSE),0)</f>
        <v>37848.560000000005</v>
      </c>
    </row>
    <row r="304" spans="1:26">
      <c r="C304" s="717">
        <v>52070</v>
      </c>
      <c r="D304" s="717" t="s">
        <v>23</v>
      </c>
      <c r="E304" s="718"/>
      <c r="F304" s="718"/>
      <c r="G304" s="718"/>
      <c r="H304" s="719"/>
      <c r="I304" s="718"/>
      <c r="J304" s="718"/>
      <c r="K304" s="718"/>
      <c r="L304" s="718"/>
      <c r="M304" s="718"/>
      <c r="N304" s="718"/>
      <c r="O304" s="720"/>
      <c r="P304" s="718"/>
      <c r="Q304" s="718"/>
      <c r="R304" s="718"/>
      <c r="S304" s="718"/>
      <c r="T304" s="718"/>
      <c r="U304" s="722">
        <f>+IFERROR(VLOOKUP(C304,'2180 IS (C)'!$D:$AH,31,FALSE),0)</f>
        <v>39828.94</v>
      </c>
    </row>
    <row r="305" spans="1:25">
      <c r="C305" s="723"/>
      <c r="D305" s="723"/>
      <c r="E305" s="718"/>
      <c r="F305" s="718"/>
      <c r="G305" s="718"/>
      <c r="H305" s="719"/>
      <c r="I305" s="718"/>
      <c r="J305" s="718"/>
      <c r="K305" s="718"/>
      <c r="L305" s="718"/>
      <c r="M305" s="718"/>
      <c r="N305" s="718"/>
      <c r="O305" s="720"/>
      <c r="P305" s="718"/>
      <c r="Q305" s="718"/>
      <c r="R305" s="718"/>
      <c r="S305" s="718"/>
      <c r="T305" s="718"/>
      <c r="U305" s="668">
        <f>SUM(U298:U304)</f>
        <v>1351091.23</v>
      </c>
    </row>
    <row r="306" spans="1:25">
      <c r="C306" s="723"/>
      <c r="D306" s="723"/>
      <c r="E306" s="718"/>
      <c r="F306" s="718"/>
      <c r="G306" s="718"/>
      <c r="H306" s="719"/>
      <c r="I306" s="718"/>
      <c r="J306" s="718"/>
      <c r="K306" s="718"/>
      <c r="L306" s="718"/>
      <c r="M306" s="718"/>
      <c r="N306" s="718"/>
      <c r="O306" s="720"/>
      <c r="P306" s="718"/>
      <c r="Q306" s="718"/>
      <c r="R306" s="718"/>
      <c r="S306" s="718"/>
      <c r="T306" s="718"/>
      <c r="U306" s="724"/>
    </row>
    <row r="307" spans="1:25">
      <c r="C307" s="723"/>
      <c r="D307" s="735" t="s">
        <v>316</v>
      </c>
      <c r="E307" s="725"/>
      <c r="F307" s="725"/>
      <c r="G307" s="725"/>
      <c r="H307" s="606"/>
      <c r="I307" s="725"/>
      <c r="J307" s="725"/>
      <c r="K307" s="725"/>
      <c r="L307" s="725"/>
      <c r="M307" s="725"/>
      <c r="N307" s="725"/>
      <c r="O307" s="726"/>
      <c r="P307" s="725"/>
      <c r="Q307" s="725"/>
      <c r="R307" s="725"/>
      <c r="S307" s="725"/>
      <c r="T307" s="725"/>
      <c r="U307" s="724">
        <f>U292+U294-U305</f>
        <v>-1263.480000000447</v>
      </c>
    </row>
    <row r="308" spans="1:25" s="593" customFormat="1">
      <c r="B308" s="592"/>
      <c r="C308" s="598"/>
      <c r="D308" s="594"/>
      <c r="E308" s="594"/>
      <c r="F308" s="594"/>
      <c r="G308" s="594"/>
      <c r="H308" s="595"/>
      <c r="I308" s="594"/>
      <c r="J308" s="594"/>
      <c r="K308" s="594"/>
      <c r="L308" s="594"/>
      <c r="M308" s="594"/>
      <c r="N308" s="594"/>
      <c r="O308" s="596"/>
      <c r="P308" s="594"/>
      <c r="Q308" s="594"/>
      <c r="R308" s="594"/>
      <c r="S308" s="594"/>
      <c r="T308" s="594"/>
      <c r="U308" s="597"/>
      <c r="V308" s="598"/>
      <c r="W308" s="598"/>
      <c r="X308" s="599"/>
      <c r="Y308" s="599"/>
    </row>
    <row r="309" spans="1:25">
      <c r="A309" s="736"/>
      <c r="B309" s="737"/>
      <c r="C309" s="738" t="s">
        <v>1675</v>
      </c>
      <c r="D309" s="739"/>
      <c r="E309" s="739"/>
      <c r="F309" s="739"/>
      <c r="G309" s="739"/>
      <c r="H309" s="740"/>
      <c r="I309" s="739"/>
      <c r="J309" s="739"/>
      <c r="K309" s="739"/>
      <c r="L309" s="739"/>
      <c r="M309" s="739"/>
      <c r="N309" s="739"/>
      <c r="O309" s="741"/>
      <c r="P309" s="739"/>
      <c r="Q309" s="739"/>
      <c r="R309" s="739"/>
      <c r="S309" s="739"/>
      <c r="T309" s="739"/>
      <c r="U309" s="742">
        <f>+L193</f>
        <v>103092.4</v>
      </c>
      <c r="V309" s="681"/>
      <c r="W309" s="681"/>
      <c r="X309" s="675"/>
      <c r="Y309" s="675"/>
    </row>
    <row r="310" spans="1:25" hidden="1">
      <c r="A310" s="728"/>
      <c r="B310" s="729"/>
      <c r="C310" s="730" t="s">
        <v>1676</v>
      </c>
      <c r="D310" s="731"/>
      <c r="E310" s="731"/>
      <c r="F310" s="731"/>
      <c r="G310" s="731"/>
      <c r="H310" s="732"/>
      <c r="I310" s="731"/>
      <c r="J310" s="731"/>
      <c r="K310" s="731"/>
      <c r="L310" s="731"/>
      <c r="M310" s="731"/>
      <c r="N310" s="731"/>
      <c r="O310" s="733"/>
      <c r="P310" s="731"/>
      <c r="Q310" s="731"/>
      <c r="R310" s="731"/>
      <c r="S310" s="731"/>
      <c r="T310" s="731"/>
      <c r="U310" s="743"/>
    </row>
    <row r="311" spans="1:25" hidden="1"/>
    <row r="312" spans="1:25" hidden="1">
      <c r="C312" s="712" t="s">
        <v>1677</v>
      </c>
    </row>
    <row r="313" spans="1:25" hidden="1">
      <c r="C313" s="712" t="s">
        <v>1678</v>
      </c>
    </row>
    <row r="314" spans="1:25" hidden="1">
      <c r="C314" s="712" t="s">
        <v>1679</v>
      </c>
    </row>
    <row r="315" spans="1:25" hidden="1">
      <c r="C315" s="712" t="s">
        <v>1680</v>
      </c>
    </row>
    <row r="316" spans="1:25" hidden="1">
      <c r="C316" s="712" t="s">
        <v>1681</v>
      </c>
    </row>
    <row r="317" spans="1:25" hidden="1">
      <c r="C317" s="712" t="s">
        <v>1682</v>
      </c>
    </row>
    <row r="318" spans="1:25" hidden="1">
      <c r="C318" s="712" t="s">
        <v>1683</v>
      </c>
    </row>
    <row r="319" spans="1:25" hidden="1">
      <c r="C319" s="712" t="s">
        <v>1684</v>
      </c>
    </row>
    <row r="320" spans="1:25" hidden="1">
      <c r="C320" s="712" t="s">
        <v>1685</v>
      </c>
    </row>
    <row r="321" spans="1:25" hidden="1">
      <c r="C321" s="712" t="s">
        <v>1686</v>
      </c>
    </row>
    <row r="322" spans="1:25" hidden="1"/>
    <row r="323" spans="1:25" hidden="1"/>
    <row r="324" spans="1:25" hidden="1">
      <c r="B324" s="744">
        <v>55020</v>
      </c>
      <c r="C324" s="717" t="s">
        <v>25</v>
      </c>
      <c r="D324" s="723"/>
      <c r="E324" s="723"/>
      <c r="F324" s="723"/>
      <c r="G324" s="723"/>
      <c r="H324" s="745"/>
      <c r="I324" s="723"/>
      <c r="J324" s="723"/>
      <c r="K324" s="723"/>
      <c r="L324" s="723"/>
      <c r="M324" s="723"/>
      <c r="N324" s="723"/>
      <c r="O324" s="746"/>
      <c r="P324" s="723"/>
      <c r="Q324" s="723"/>
      <c r="R324" s="723"/>
      <c r="S324" s="723"/>
      <c r="T324" s="723"/>
      <c r="U324" s="747"/>
    </row>
    <row r="325" spans="1:25" hidden="1">
      <c r="B325" s="744">
        <v>55025</v>
      </c>
      <c r="C325" s="717" t="s">
        <v>26</v>
      </c>
      <c r="D325" s="723"/>
      <c r="E325" s="723"/>
      <c r="F325" s="723"/>
      <c r="G325" s="723"/>
      <c r="H325" s="745"/>
      <c r="I325" s="723"/>
      <c r="J325" s="723"/>
      <c r="K325" s="723"/>
      <c r="L325" s="723"/>
      <c r="M325" s="723"/>
      <c r="N325" s="723"/>
      <c r="O325" s="746"/>
      <c r="P325" s="723"/>
      <c r="Q325" s="723"/>
      <c r="R325" s="723"/>
      <c r="S325" s="723"/>
      <c r="T325" s="723"/>
      <c r="U325" s="747"/>
    </row>
    <row r="326" spans="1:25" hidden="1">
      <c r="B326" s="744">
        <v>55035</v>
      </c>
      <c r="C326" s="721" t="s">
        <v>20</v>
      </c>
      <c r="D326" s="723"/>
      <c r="E326" s="723"/>
      <c r="F326" s="723"/>
      <c r="G326" s="723"/>
      <c r="H326" s="745"/>
      <c r="I326" s="723"/>
      <c r="J326" s="723"/>
      <c r="K326" s="723"/>
      <c r="L326" s="723"/>
      <c r="M326" s="723"/>
      <c r="N326" s="723"/>
      <c r="O326" s="746"/>
      <c r="P326" s="723"/>
      <c r="Q326" s="723"/>
      <c r="R326" s="723"/>
      <c r="S326" s="723"/>
      <c r="T326" s="723"/>
      <c r="U326" s="747"/>
    </row>
    <row r="327" spans="1:25" hidden="1">
      <c r="B327" s="744">
        <v>50065</v>
      </c>
      <c r="C327" s="717" t="s">
        <v>22</v>
      </c>
      <c r="D327" s="723"/>
      <c r="E327" s="723"/>
      <c r="F327" s="723"/>
      <c r="G327" s="723"/>
      <c r="H327" s="745"/>
      <c r="I327" s="723"/>
      <c r="J327" s="723"/>
      <c r="K327" s="723"/>
      <c r="L327" s="723"/>
      <c r="M327" s="723"/>
      <c r="N327" s="723"/>
      <c r="O327" s="746"/>
      <c r="P327" s="723"/>
      <c r="Q327" s="723"/>
      <c r="R327" s="723"/>
      <c r="S327" s="723"/>
      <c r="T327" s="723"/>
      <c r="U327" s="747"/>
    </row>
    <row r="328" spans="1:25" hidden="1">
      <c r="B328" s="744">
        <v>55070</v>
      </c>
      <c r="C328" s="717" t="s">
        <v>23</v>
      </c>
      <c r="D328" s="723"/>
      <c r="E328" s="723"/>
      <c r="F328" s="723"/>
      <c r="G328" s="723"/>
      <c r="H328" s="745"/>
      <c r="I328" s="723"/>
      <c r="J328" s="723"/>
      <c r="K328" s="723"/>
      <c r="L328" s="723"/>
      <c r="M328" s="723"/>
      <c r="N328" s="723"/>
      <c r="O328" s="746"/>
      <c r="P328" s="723"/>
      <c r="Q328" s="723"/>
      <c r="R328" s="723"/>
      <c r="S328" s="723"/>
      <c r="T328" s="723"/>
      <c r="U328" s="747"/>
    </row>
    <row r="329" spans="1:25" hidden="1">
      <c r="B329" s="748"/>
      <c r="C329" s="723"/>
      <c r="D329" s="723"/>
      <c r="E329" s="723"/>
      <c r="F329" s="723"/>
      <c r="G329" s="723"/>
      <c r="H329" s="745"/>
      <c r="I329" s="723"/>
      <c r="J329" s="723"/>
      <c r="K329" s="723"/>
      <c r="L329" s="723"/>
      <c r="M329" s="723"/>
      <c r="N329" s="723"/>
      <c r="O329" s="746"/>
      <c r="P329" s="723"/>
      <c r="Q329" s="723"/>
      <c r="R329" s="723"/>
      <c r="S329" s="723"/>
      <c r="T329" s="723"/>
      <c r="U329" s="747"/>
    </row>
    <row r="330" spans="1:25" hidden="1">
      <c r="B330" s="748"/>
      <c r="C330" s="723"/>
      <c r="D330" s="723"/>
      <c r="E330" s="723"/>
      <c r="F330" s="723"/>
      <c r="G330" s="723"/>
      <c r="H330" s="745"/>
      <c r="I330" s="723"/>
      <c r="J330" s="723"/>
      <c r="K330" s="723"/>
      <c r="L330" s="723"/>
      <c r="M330" s="723"/>
      <c r="N330" s="723"/>
      <c r="O330" s="746"/>
      <c r="P330" s="723"/>
      <c r="Q330" s="723"/>
      <c r="R330" s="723"/>
      <c r="S330" s="723"/>
      <c r="T330" s="723"/>
      <c r="U330" s="747"/>
    </row>
    <row r="331" spans="1:25" hidden="1">
      <c r="B331" s="748"/>
      <c r="C331" s="735" t="s">
        <v>316</v>
      </c>
      <c r="D331" s="735"/>
      <c r="E331" s="735"/>
      <c r="F331" s="735"/>
      <c r="G331" s="735"/>
      <c r="I331" s="735"/>
      <c r="J331" s="735"/>
      <c r="K331" s="735"/>
      <c r="L331" s="735"/>
      <c r="M331" s="735"/>
      <c r="N331" s="735"/>
      <c r="O331" s="749"/>
      <c r="P331" s="735"/>
      <c r="Q331" s="735"/>
      <c r="R331" s="735"/>
      <c r="S331" s="735"/>
      <c r="T331" s="735"/>
      <c r="U331" s="750"/>
      <c r="V331" s="681"/>
      <c r="W331" s="681"/>
      <c r="X331" s="675"/>
      <c r="Y331" s="675"/>
    </row>
    <row r="332" spans="1:25" s="751" customFormat="1" hidden="1">
      <c r="A332" s="598"/>
      <c r="B332" s="592"/>
      <c r="C332" s="598"/>
      <c r="D332" s="594"/>
      <c r="E332" s="594"/>
      <c r="F332" s="594"/>
      <c r="G332" s="594"/>
      <c r="H332" s="595"/>
      <c r="I332" s="594"/>
      <c r="J332" s="594"/>
      <c r="K332" s="594"/>
      <c r="L332" s="594"/>
      <c r="M332" s="594"/>
      <c r="N332" s="594"/>
      <c r="O332" s="596"/>
      <c r="P332" s="594"/>
      <c r="Q332" s="594"/>
      <c r="R332" s="594"/>
      <c r="S332" s="594"/>
      <c r="T332" s="594"/>
      <c r="U332" s="597"/>
      <c r="V332" s="681"/>
      <c r="W332" s="681"/>
      <c r="X332" s="675"/>
      <c r="Y332" s="675"/>
    </row>
    <row r="333" spans="1:25">
      <c r="V333" s="681"/>
      <c r="W333" s="681"/>
      <c r="X333" s="675"/>
      <c r="Y333" s="675"/>
    </row>
    <row r="334" spans="1:25">
      <c r="D334" s="712" t="s">
        <v>1671</v>
      </c>
      <c r="U334" s="713">
        <f>+'[51]JE Query - Sales'!D118</f>
        <v>-10021.739999999998</v>
      </c>
      <c r="V334" s="681"/>
      <c r="W334" s="681"/>
      <c r="X334" s="675"/>
      <c r="Y334" s="675"/>
    </row>
    <row r="335" spans="1:25">
      <c r="D335" s="712" t="s">
        <v>1674</v>
      </c>
      <c r="U335" s="598"/>
      <c r="V335" s="681"/>
      <c r="W335" s="681"/>
      <c r="X335" s="675"/>
      <c r="Y335" s="675"/>
    </row>
    <row r="336" spans="1:25">
      <c r="V336" s="681"/>
      <c r="W336" s="681"/>
      <c r="X336" s="675"/>
      <c r="Y336" s="675"/>
    </row>
    <row r="337" spans="1:25">
      <c r="U337" s="715" t="s">
        <v>1672</v>
      </c>
      <c r="V337" s="681"/>
      <c r="W337" s="681"/>
      <c r="X337" s="675"/>
      <c r="Y337" s="675"/>
    </row>
    <row r="338" spans="1:25">
      <c r="C338" s="717">
        <v>60010</v>
      </c>
      <c r="D338" s="717" t="s">
        <v>17</v>
      </c>
      <c r="U338" s="1020">
        <f>+IFERROR(VLOOKUP(C338,'2180 IS (C)'!$D:$AH,31,FALSE),0)</f>
        <v>87680.719999999972</v>
      </c>
      <c r="V338" s="681"/>
      <c r="W338" s="681"/>
      <c r="X338" s="675"/>
      <c r="Y338" s="675"/>
    </row>
    <row r="339" spans="1:25">
      <c r="C339" s="717">
        <v>60030</v>
      </c>
      <c r="D339" s="717" t="s">
        <v>25</v>
      </c>
      <c r="U339" s="716">
        <f>+IFERROR(VLOOKUP(C339,'2180 IS (C)'!$D:$AH,31,FALSE),0)</f>
        <v>0</v>
      </c>
      <c r="V339" s="681"/>
      <c r="W339" s="681"/>
      <c r="X339" s="675"/>
      <c r="Y339" s="675"/>
    </row>
    <row r="340" spans="1:25">
      <c r="C340" s="717">
        <v>60065</v>
      </c>
      <c r="D340" s="717" t="s">
        <v>22</v>
      </c>
      <c r="U340" s="716">
        <f>+IFERROR(VLOOKUP(C340,'2180 IS (C)'!$D:$AH,31,FALSE),0)</f>
        <v>0</v>
      </c>
      <c r="V340" s="681"/>
      <c r="W340" s="681"/>
      <c r="X340" s="675"/>
      <c r="Y340" s="675"/>
    </row>
    <row r="341" spans="1:25">
      <c r="C341" s="717">
        <v>60070</v>
      </c>
      <c r="D341" s="721" t="s">
        <v>23</v>
      </c>
      <c r="U341" s="722">
        <f>+IFERROR(VLOOKUP(C341,'2180 IS (C)'!$D:$AH,31,FALSE),0)</f>
        <v>121.57</v>
      </c>
      <c r="V341" s="681"/>
      <c r="W341" s="681"/>
      <c r="X341" s="675"/>
      <c r="Y341" s="675"/>
    </row>
    <row r="342" spans="1:25">
      <c r="U342" s="668">
        <f>+SUM(U338:U341)</f>
        <v>87802.289999999979</v>
      </c>
      <c r="V342" s="681"/>
      <c r="W342" s="681"/>
      <c r="X342" s="675"/>
      <c r="Y342" s="675"/>
    </row>
    <row r="343" spans="1:25">
      <c r="U343" s="718"/>
      <c r="V343" s="681"/>
      <c r="W343" s="681"/>
      <c r="X343" s="675"/>
      <c r="Y343" s="675"/>
    </row>
    <row r="344" spans="1:25">
      <c r="D344" s="735" t="s">
        <v>316</v>
      </c>
      <c r="E344" s="725"/>
      <c r="F344" s="725"/>
      <c r="G344" s="725"/>
      <c r="H344" s="606"/>
      <c r="I344" s="725"/>
      <c r="J344" s="725"/>
      <c r="K344" s="725"/>
      <c r="L344" s="725"/>
      <c r="M344" s="725"/>
      <c r="N344" s="725"/>
      <c r="O344" s="726"/>
      <c r="P344" s="725"/>
      <c r="Q344" s="725"/>
      <c r="R344" s="725"/>
      <c r="S344" s="725"/>
      <c r="T344" s="725"/>
      <c r="U344" s="724">
        <f>+U309+U334-U342</f>
        <v>5268.3700000000244</v>
      </c>
      <c r="V344" s="681"/>
      <c r="W344" s="681"/>
      <c r="X344" s="675"/>
      <c r="Y344" s="675"/>
    </row>
    <row r="345" spans="1:25">
      <c r="U345" s="718"/>
      <c r="V345" s="681"/>
      <c r="W345" s="681"/>
      <c r="X345" s="675"/>
      <c r="Y345" s="675"/>
    </row>
    <row r="346" spans="1:25">
      <c r="A346" s="736"/>
      <c r="B346" s="737"/>
      <c r="C346" s="738" t="s">
        <v>1687</v>
      </c>
      <c r="D346" s="739"/>
      <c r="E346" s="739"/>
      <c r="F346" s="739"/>
      <c r="G346" s="739"/>
      <c r="H346" s="740"/>
      <c r="I346" s="739"/>
      <c r="J346" s="739"/>
      <c r="K346" s="739"/>
      <c r="L346" s="739"/>
      <c r="M346" s="739"/>
      <c r="N346" s="739"/>
      <c r="O346" s="741"/>
      <c r="P346" s="739"/>
      <c r="Q346" s="739"/>
      <c r="R346" s="739"/>
      <c r="S346" s="739"/>
      <c r="T346" s="739"/>
      <c r="U346" s="742">
        <f>+L266</f>
        <v>314923.69</v>
      </c>
      <c r="V346" s="681"/>
      <c r="W346" s="681"/>
      <c r="X346" s="675"/>
      <c r="Y346" s="675"/>
    </row>
    <row r="347" spans="1:25">
      <c r="B347" s="752"/>
      <c r="C347" s="753"/>
      <c r="D347" s="597"/>
      <c r="E347" s="597"/>
      <c r="F347" s="597"/>
      <c r="G347" s="597"/>
      <c r="H347" s="754"/>
      <c r="I347" s="597"/>
      <c r="J347" s="597"/>
      <c r="K347" s="597"/>
      <c r="L347" s="597"/>
      <c r="M347" s="597"/>
      <c r="N347" s="597"/>
      <c r="O347" s="755"/>
      <c r="P347" s="597"/>
      <c r="Q347" s="597"/>
      <c r="R347" s="597"/>
      <c r="S347" s="597"/>
      <c r="T347" s="597"/>
      <c r="V347" s="681"/>
      <c r="W347" s="681"/>
      <c r="X347" s="675"/>
      <c r="Y347" s="675"/>
    </row>
    <row r="348" spans="1:25">
      <c r="D348" s="712" t="s">
        <v>1671</v>
      </c>
      <c r="U348" s="713">
        <f>+'[51]JE Query - Supervisor'!D161</f>
        <v>-20496.860000000004</v>
      </c>
      <c r="V348" s="681"/>
      <c r="W348" s="681"/>
      <c r="X348" s="675"/>
      <c r="Y348" s="675"/>
    </row>
    <row r="349" spans="1:25">
      <c r="D349" s="756" t="s">
        <v>1688</v>
      </c>
      <c r="V349" s="681"/>
      <c r="W349" s="681"/>
      <c r="X349" s="675"/>
      <c r="Y349" s="675"/>
    </row>
    <row r="350" spans="1:25">
      <c r="D350" s="712"/>
      <c r="V350" s="681"/>
      <c r="W350" s="681"/>
      <c r="X350" s="675"/>
      <c r="Y350" s="675"/>
    </row>
    <row r="351" spans="1:25">
      <c r="B351" s="757"/>
      <c r="D351" s="596"/>
      <c r="U351" s="715" t="s">
        <v>1672</v>
      </c>
      <c r="V351" s="681"/>
      <c r="W351" s="681"/>
      <c r="X351" s="675"/>
      <c r="Y351" s="675"/>
    </row>
    <row r="352" spans="1:25">
      <c r="C352" s="712">
        <v>56010</v>
      </c>
      <c r="D352" s="712" t="s">
        <v>17</v>
      </c>
      <c r="E352" s="605"/>
      <c r="F352" s="605"/>
      <c r="G352" s="605"/>
      <c r="H352" s="606"/>
      <c r="I352" s="605"/>
      <c r="J352" s="605"/>
      <c r="K352" s="605"/>
      <c r="L352" s="605"/>
      <c r="M352" s="605"/>
      <c r="N352" s="605"/>
      <c r="O352" s="607"/>
      <c r="P352" s="605"/>
      <c r="Q352" s="605"/>
      <c r="R352" s="605"/>
      <c r="S352" s="605"/>
      <c r="T352" s="605"/>
      <c r="U352" s="1020">
        <f>+IFERROR(VLOOKUP(C352,'2180 IS (C)'!$D:$AH,31,FALSE),0)</f>
        <v>362121.13</v>
      </c>
      <c r="V352" s="681"/>
      <c r="W352" s="681"/>
      <c r="X352" s="675"/>
      <c r="Y352" s="675"/>
    </row>
    <row r="353" spans="1:16383">
      <c r="C353" s="712">
        <v>56020</v>
      </c>
      <c r="D353" s="712" t="s">
        <v>25</v>
      </c>
      <c r="E353" s="605"/>
      <c r="F353" s="605"/>
      <c r="G353" s="605"/>
      <c r="H353" s="606"/>
      <c r="I353" s="605"/>
      <c r="J353" s="605"/>
      <c r="K353" s="605"/>
      <c r="L353" s="605"/>
      <c r="M353" s="605"/>
      <c r="N353" s="605"/>
      <c r="O353" s="607"/>
      <c r="P353" s="605"/>
      <c r="Q353" s="605"/>
      <c r="R353" s="605"/>
      <c r="S353" s="605"/>
      <c r="T353" s="605"/>
      <c r="U353" s="716">
        <f>+IFERROR(VLOOKUP(C353,'2180 IS (C)'!$D:$AH,31,FALSE),0)</f>
        <v>0</v>
      </c>
      <c r="V353" s="681"/>
      <c r="W353" s="681"/>
      <c r="X353" s="675"/>
      <c r="Y353" s="675"/>
    </row>
    <row r="354" spans="1:16383">
      <c r="C354" s="712">
        <v>56025</v>
      </c>
      <c r="D354" s="717" t="s">
        <v>26</v>
      </c>
      <c r="E354" s="605"/>
      <c r="F354" s="605"/>
      <c r="G354" s="605"/>
      <c r="H354" s="606"/>
      <c r="I354" s="605"/>
      <c r="J354" s="605"/>
      <c r="K354" s="605"/>
      <c r="L354" s="605"/>
      <c r="M354" s="605"/>
      <c r="N354" s="605"/>
      <c r="O354" s="607"/>
      <c r="P354" s="605"/>
      <c r="Q354" s="605"/>
      <c r="R354" s="605"/>
      <c r="S354" s="605"/>
      <c r="T354" s="605"/>
      <c r="U354" s="716">
        <f>+IFERROR(VLOOKUP(C354,'2180 IS (C)'!$D:$AH,31,FALSE),0)</f>
        <v>0</v>
      </c>
      <c r="V354" s="681"/>
      <c r="W354" s="681"/>
      <c r="X354" s="675"/>
      <c r="Y354" s="675"/>
    </row>
    <row r="355" spans="1:16383">
      <c r="C355" s="712">
        <v>56035</v>
      </c>
      <c r="D355" s="717" t="s">
        <v>20</v>
      </c>
      <c r="E355" s="605"/>
      <c r="F355" s="605"/>
      <c r="G355" s="605"/>
      <c r="H355" s="606"/>
      <c r="I355" s="605"/>
      <c r="J355" s="605"/>
      <c r="K355" s="605"/>
      <c r="L355" s="605"/>
      <c r="M355" s="605"/>
      <c r="N355" s="605"/>
      <c r="O355" s="607"/>
      <c r="P355" s="605"/>
      <c r="Q355" s="605"/>
      <c r="R355" s="605"/>
      <c r="S355" s="605"/>
      <c r="T355" s="605"/>
      <c r="U355" s="716">
        <f>+IFERROR(VLOOKUP(C355,'2180 IS (C)'!$D:$AH,31,FALSE),0)</f>
        <v>2400</v>
      </c>
      <c r="V355" s="681"/>
      <c r="W355" s="681"/>
      <c r="X355" s="675"/>
      <c r="Y355" s="675"/>
    </row>
    <row r="356" spans="1:16383">
      <c r="C356" s="712">
        <v>56036</v>
      </c>
      <c r="D356" s="721" t="s">
        <v>21</v>
      </c>
      <c r="E356" s="605"/>
      <c r="F356" s="605"/>
      <c r="G356" s="605"/>
      <c r="H356" s="606"/>
      <c r="I356" s="605"/>
      <c r="J356" s="605"/>
      <c r="K356" s="605"/>
      <c r="L356" s="605"/>
      <c r="M356" s="605"/>
      <c r="N356" s="605"/>
      <c r="O356" s="607"/>
      <c r="P356" s="605"/>
      <c r="Q356" s="605"/>
      <c r="R356" s="605"/>
      <c r="S356" s="605"/>
      <c r="T356" s="605"/>
      <c r="U356" s="716">
        <f>+IFERROR(VLOOKUP(C356,'2180 IS (C)'!$D:$AH,31,FALSE),0)</f>
        <v>0</v>
      </c>
      <c r="V356" s="681"/>
      <c r="W356" s="681"/>
      <c r="X356" s="675"/>
      <c r="Y356" s="675"/>
    </row>
    <row r="357" spans="1:16383">
      <c r="C357" s="712">
        <v>56065</v>
      </c>
      <c r="D357" s="721" t="s">
        <v>22</v>
      </c>
      <c r="E357" s="605"/>
      <c r="F357" s="605"/>
      <c r="G357" s="605"/>
      <c r="H357" s="606"/>
      <c r="I357" s="605"/>
      <c r="J357" s="605"/>
      <c r="K357" s="605"/>
      <c r="L357" s="605"/>
      <c r="M357" s="605"/>
      <c r="N357" s="605"/>
      <c r="O357" s="607"/>
      <c r="P357" s="605"/>
      <c r="Q357" s="605"/>
      <c r="R357" s="605"/>
      <c r="S357" s="605"/>
      <c r="T357" s="605"/>
      <c r="U357" s="716">
        <f>+IFERROR(VLOOKUP(C357,'2180 IS (C)'!$D:$AH,31,FALSE),0)</f>
        <v>-26878.79</v>
      </c>
      <c r="V357" s="681"/>
      <c r="W357" s="681"/>
      <c r="X357" s="675"/>
      <c r="Y357" s="675"/>
    </row>
    <row r="358" spans="1:16383">
      <c r="C358" s="712">
        <v>56070</v>
      </c>
      <c r="D358" s="721" t="s">
        <v>23</v>
      </c>
      <c r="E358" s="605"/>
      <c r="F358" s="605"/>
      <c r="G358" s="605"/>
      <c r="H358" s="606"/>
      <c r="I358" s="605"/>
      <c r="J358" s="605"/>
      <c r="K358" s="605"/>
      <c r="L358" s="605"/>
      <c r="M358" s="605"/>
      <c r="N358" s="605"/>
      <c r="O358" s="607"/>
      <c r="P358" s="605"/>
      <c r="Q358" s="605"/>
      <c r="R358" s="605"/>
      <c r="S358" s="605"/>
      <c r="T358" s="605"/>
      <c r="U358" s="722">
        <f>+IFERROR(VLOOKUP(C358,'2180 IS (C)'!$D:$AH,31,FALSE),0)</f>
        <v>-3046.15</v>
      </c>
      <c r="V358" s="681"/>
      <c r="W358" s="681"/>
      <c r="X358" s="675"/>
      <c r="Y358" s="675"/>
    </row>
    <row r="359" spans="1:16383">
      <c r="D359" s="598"/>
      <c r="U359" s="668">
        <f>SUM(U352:U358)</f>
        <v>334596.19</v>
      </c>
      <c r="V359" s="681"/>
      <c r="W359" s="681"/>
      <c r="X359" s="675"/>
      <c r="Y359" s="675"/>
    </row>
    <row r="360" spans="1:16383" s="751" customFormat="1">
      <c r="A360" s="681"/>
      <c r="B360" s="592"/>
      <c r="C360" s="681"/>
      <c r="D360" s="598"/>
      <c r="E360" s="594"/>
      <c r="F360" s="594"/>
      <c r="G360" s="594"/>
      <c r="H360" s="595"/>
      <c r="I360" s="594"/>
      <c r="J360" s="594"/>
      <c r="K360" s="594"/>
      <c r="L360" s="594"/>
      <c r="M360" s="594"/>
      <c r="N360" s="594"/>
      <c r="O360" s="596"/>
      <c r="P360" s="594"/>
      <c r="Q360" s="594"/>
      <c r="R360" s="594"/>
      <c r="S360" s="594"/>
      <c r="T360" s="594"/>
      <c r="U360" s="724"/>
      <c r="V360" s="681"/>
      <c r="W360" s="681"/>
      <c r="X360" s="675"/>
      <c r="Y360" s="675"/>
      <c r="Z360" s="598"/>
      <c r="AA360" s="598"/>
      <c r="AB360" s="598"/>
      <c r="AC360" s="598"/>
      <c r="AD360" s="598"/>
      <c r="AE360" s="598"/>
      <c r="AF360" s="598"/>
      <c r="AG360" s="598"/>
      <c r="AH360" s="598"/>
      <c r="AI360" s="598"/>
      <c r="AJ360" s="598"/>
      <c r="AK360" s="598"/>
      <c r="AL360" s="598"/>
      <c r="AM360" s="598"/>
      <c r="AN360" s="598"/>
      <c r="AO360" s="598"/>
      <c r="AP360" s="598"/>
      <c r="AQ360" s="598"/>
      <c r="AR360" s="598"/>
      <c r="AS360" s="598"/>
      <c r="AT360" s="598"/>
      <c r="AU360" s="598"/>
      <c r="AV360" s="598"/>
      <c r="AW360" s="598"/>
      <c r="AX360" s="598"/>
      <c r="AY360" s="598"/>
      <c r="AZ360" s="598"/>
      <c r="BA360" s="598"/>
      <c r="BB360" s="598"/>
      <c r="BC360" s="598"/>
      <c r="BD360" s="598"/>
      <c r="BE360" s="598"/>
      <c r="BF360" s="598"/>
      <c r="BG360" s="598"/>
      <c r="BH360" s="598"/>
      <c r="BI360" s="598"/>
      <c r="BJ360" s="598"/>
      <c r="BK360" s="598"/>
      <c r="BL360" s="598"/>
      <c r="BM360" s="598"/>
      <c r="BN360" s="598"/>
      <c r="BO360" s="598"/>
      <c r="BP360" s="598"/>
      <c r="BQ360" s="598"/>
      <c r="BR360" s="598"/>
      <c r="BS360" s="598"/>
      <c r="BT360" s="598"/>
      <c r="BU360" s="598"/>
      <c r="BV360" s="598"/>
      <c r="BW360" s="598"/>
      <c r="BX360" s="598"/>
      <c r="BY360" s="598"/>
      <c r="BZ360" s="598"/>
      <c r="CA360" s="598"/>
      <c r="CB360" s="598"/>
      <c r="CC360" s="598"/>
      <c r="CD360" s="598"/>
      <c r="CE360" s="598"/>
      <c r="CF360" s="598"/>
      <c r="CG360" s="598"/>
      <c r="CH360" s="598"/>
      <c r="CI360" s="598"/>
      <c r="CJ360" s="598"/>
      <c r="CK360" s="598"/>
      <c r="CL360" s="598"/>
      <c r="CM360" s="598"/>
      <c r="CN360" s="598"/>
      <c r="CO360" s="598"/>
      <c r="CP360" s="598"/>
      <c r="CQ360" s="598"/>
      <c r="CR360" s="598"/>
      <c r="CS360" s="598"/>
      <c r="CT360" s="598"/>
      <c r="CU360" s="598"/>
      <c r="CV360" s="598"/>
      <c r="CW360" s="598"/>
      <c r="CX360" s="598"/>
      <c r="CY360" s="598"/>
      <c r="CZ360" s="598"/>
      <c r="DA360" s="598"/>
      <c r="DB360" s="598"/>
      <c r="DC360" s="598"/>
      <c r="DD360" s="598"/>
      <c r="DE360" s="598"/>
      <c r="DF360" s="598"/>
      <c r="DG360" s="598"/>
      <c r="DH360" s="598"/>
      <c r="DI360" s="598"/>
      <c r="DJ360" s="598"/>
      <c r="DK360" s="598"/>
      <c r="DL360" s="598"/>
      <c r="DM360" s="598"/>
      <c r="DN360" s="598"/>
      <c r="DO360" s="598"/>
      <c r="DP360" s="598"/>
      <c r="DQ360" s="598"/>
      <c r="DR360" s="598"/>
      <c r="DS360" s="598"/>
      <c r="DT360" s="598"/>
      <c r="DU360" s="598"/>
      <c r="DV360" s="598"/>
      <c r="DW360" s="598"/>
      <c r="DX360" s="598"/>
      <c r="DY360" s="598"/>
      <c r="DZ360" s="598"/>
      <c r="EA360" s="598"/>
      <c r="EB360" s="598"/>
      <c r="EC360" s="598"/>
      <c r="ED360" s="598"/>
      <c r="EE360" s="598"/>
      <c r="EF360" s="598"/>
      <c r="EG360" s="598"/>
      <c r="EH360" s="598"/>
      <c r="EI360" s="598"/>
      <c r="EJ360" s="598"/>
      <c r="EK360" s="598"/>
      <c r="EL360" s="598"/>
      <c r="EM360" s="598"/>
      <c r="EN360" s="598"/>
      <c r="EO360" s="598"/>
      <c r="EP360" s="598"/>
      <c r="EQ360" s="598"/>
      <c r="ER360" s="598"/>
      <c r="ES360" s="598"/>
      <c r="ET360" s="598"/>
      <c r="EU360" s="598"/>
      <c r="EV360" s="598"/>
      <c r="EW360" s="598"/>
      <c r="EX360" s="598"/>
      <c r="EY360" s="598"/>
      <c r="EZ360" s="598"/>
      <c r="FA360" s="598"/>
      <c r="FB360" s="598"/>
      <c r="FC360" s="598"/>
      <c r="FD360" s="598"/>
      <c r="FE360" s="598"/>
      <c r="FF360" s="598"/>
      <c r="FG360" s="598"/>
      <c r="FH360" s="598"/>
      <c r="FI360" s="598"/>
      <c r="FJ360" s="598"/>
      <c r="FK360" s="598"/>
      <c r="FL360" s="598"/>
      <c r="FM360" s="598"/>
      <c r="FN360" s="598"/>
      <c r="FO360" s="598"/>
      <c r="FP360" s="598"/>
      <c r="FQ360" s="598"/>
      <c r="FR360" s="598"/>
      <c r="FS360" s="598"/>
      <c r="FT360" s="598"/>
      <c r="FU360" s="598"/>
      <c r="FV360" s="598"/>
      <c r="FW360" s="598"/>
      <c r="FX360" s="598"/>
      <c r="FY360" s="598"/>
      <c r="FZ360" s="598"/>
      <c r="GA360" s="598"/>
      <c r="GB360" s="598"/>
      <c r="GC360" s="598"/>
      <c r="GD360" s="598"/>
      <c r="GE360" s="598"/>
      <c r="GF360" s="598"/>
      <c r="GG360" s="598"/>
      <c r="GH360" s="598"/>
      <c r="GI360" s="598"/>
      <c r="GJ360" s="598"/>
      <c r="GK360" s="598"/>
      <c r="GL360" s="598"/>
      <c r="GM360" s="598"/>
      <c r="GN360" s="598"/>
      <c r="GO360" s="598"/>
      <c r="GP360" s="598"/>
      <c r="GQ360" s="598"/>
      <c r="GR360" s="598"/>
      <c r="GS360" s="598"/>
      <c r="GT360" s="598"/>
      <c r="GU360" s="598"/>
      <c r="GV360" s="598"/>
      <c r="GW360" s="598"/>
      <c r="GX360" s="598"/>
      <c r="GY360" s="598"/>
      <c r="GZ360" s="598"/>
      <c r="HA360" s="598"/>
      <c r="HB360" s="598"/>
      <c r="HC360" s="598"/>
      <c r="HD360" s="598"/>
      <c r="HE360" s="598"/>
      <c r="HF360" s="598"/>
      <c r="HG360" s="598"/>
      <c r="HH360" s="598"/>
      <c r="HI360" s="598"/>
      <c r="HJ360" s="598"/>
      <c r="HK360" s="598"/>
      <c r="HL360" s="598"/>
      <c r="HM360" s="598"/>
      <c r="HN360" s="598"/>
      <c r="HO360" s="598"/>
      <c r="HP360" s="598"/>
      <c r="HQ360" s="598"/>
      <c r="HR360" s="598"/>
      <c r="HS360" s="598"/>
      <c r="HT360" s="598"/>
      <c r="HU360" s="598"/>
      <c r="HV360" s="598"/>
      <c r="HW360" s="598"/>
      <c r="HX360" s="598"/>
      <c r="HY360" s="598"/>
      <c r="HZ360" s="598"/>
      <c r="IA360" s="598"/>
      <c r="IB360" s="598"/>
      <c r="IC360" s="598"/>
      <c r="ID360" s="598"/>
      <c r="IE360" s="598"/>
      <c r="IF360" s="598"/>
      <c r="IG360" s="598"/>
      <c r="IH360" s="598"/>
      <c r="II360" s="598"/>
      <c r="IJ360" s="598"/>
      <c r="IK360" s="598"/>
      <c r="IL360" s="598"/>
      <c r="IM360" s="598"/>
      <c r="IN360" s="598"/>
      <c r="IO360" s="598"/>
      <c r="IP360" s="598"/>
      <c r="IQ360" s="598"/>
      <c r="IR360" s="598"/>
      <c r="IS360" s="598"/>
      <c r="IT360" s="598"/>
      <c r="IU360" s="598"/>
      <c r="IV360" s="598"/>
      <c r="IW360" s="598"/>
      <c r="IX360" s="598"/>
      <c r="IY360" s="598"/>
      <c r="IZ360" s="598"/>
      <c r="JA360" s="598"/>
      <c r="JB360" s="598"/>
      <c r="JC360" s="598"/>
      <c r="JD360" s="598"/>
      <c r="JE360" s="598"/>
      <c r="JF360" s="598"/>
      <c r="JG360" s="598"/>
      <c r="JH360" s="598"/>
      <c r="JI360" s="598"/>
      <c r="JJ360" s="598"/>
      <c r="JK360" s="598"/>
      <c r="JL360" s="598"/>
      <c r="JM360" s="598"/>
      <c r="JN360" s="598"/>
      <c r="JO360" s="598"/>
      <c r="JP360" s="598"/>
      <c r="JQ360" s="598"/>
      <c r="JR360" s="598"/>
      <c r="JS360" s="598"/>
      <c r="JT360" s="598"/>
      <c r="JU360" s="598"/>
      <c r="JV360" s="598"/>
      <c r="JW360" s="598"/>
      <c r="JX360" s="598"/>
      <c r="JY360" s="598"/>
      <c r="JZ360" s="598"/>
      <c r="KA360" s="598"/>
      <c r="KB360" s="598"/>
      <c r="KC360" s="598"/>
      <c r="KD360" s="598"/>
      <c r="KE360" s="598"/>
      <c r="KF360" s="598"/>
      <c r="KG360" s="598"/>
      <c r="KH360" s="598"/>
      <c r="KI360" s="598"/>
      <c r="KJ360" s="598"/>
      <c r="KK360" s="598"/>
      <c r="KL360" s="598"/>
      <c r="KM360" s="598"/>
      <c r="KN360" s="598"/>
      <c r="KO360" s="598"/>
      <c r="KP360" s="598"/>
      <c r="KQ360" s="598"/>
      <c r="KR360" s="598"/>
      <c r="KS360" s="598"/>
      <c r="KT360" s="598"/>
      <c r="KU360" s="598"/>
      <c r="KV360" s="598"/>
      <c r="KW360" s="598"/>
      <c r="KX360" s="598"/>
      <c r="KY360" s="598"/>
      <c r="KZ360" s="598"/>
      <c r="LA360" s="598"/>
      <c r="LB360" s="598"/>
      <c r="LC360" s="598"/>
      <c r="LD360" s="598"/>
      <c r="LE360" s="598"/>
      <c r="LF360" s="598"/>
      <c r="LG360" s="598"/>
      <c r="LH360" s="598"/>
      <c r="LI360" s="598"/>
      <c r="LJ360" s="598"/>
      <c r="LK360" s="598"/>
      <c r="LL360" s="598"/>
      <c r="LM360" s="598"/>
      <c r="LN360" s="598"/>
      <c r="LO360" s="598"/>
      <c r="LP360" s="598"/>
      <c r="LQ360" s="598"/>
      <c r="LR360" s="598"/>
      <c r="LS360" s="598"/>
      <c r="LT360" s="598"/>
      <c r="LU360" s="598"/>
      <c r="LV360" s="598"/>
      <c r="LW360" s="598"/>
      <c r="LX360" s="598"/>
      <c r="LY360" s="598"/>
      <c r="LZ360" s="598"/>
      <c r="MA360" s="598"/>
      <c r="MB360" s="598"/>
      <c r="MC360" s="598"/>
      <c r="MD360" s="598"/>
      <c r="ME360" s="598"/>
      <c r="MF360" s="598"/>
      <c r="MG360" s="598"/>
      <c r="MH360" s="598"/>
      <c r="MI360" s="598"/>
      <c r="MJ360" s="598"/>
      <c r="MK360" s="598"/>
      <c r="ML360" s="598"/>
      <c r="MM360" s="598"/>
      <c r="MN360" s="598"/>
      <c r="MO360" s="598"/>
      <c r="MP360" s="598"/>
      <c r="MQ360" s="598"/>
      <c r="MR360" s="598"/>
      <c r="MS360" s="598"/>
      <c r="MT360" s="598"/>
      <c r="MU360" s="598"/>
      <c r="MV360" s="598"/>
      <c r="MW360" s="598"/>
      <c r="MX360" s="598"/>
      <c r="MY360" s="598"/>
      <c r="MZ360" s="598"/>
      <c r="NA360" s="598"/>
      <c r="NB360" s="598"/>
      <c r="NC360" s="598"/>
      <c r="ND360" s="598"/>
      <c r="NE360" s="598"/>
      <c r="NF360" s="598"/>
      <c r="NG360" s="598"/>
      <c r="NH360" s="598"/>
      <c r="NI360" s="598"/>
      <c r="NJ360" s="598"/>
      <c r="NK360" s="598"/>
      <c r="NL360" s="598"/>
      <c r="NM360" s="598"/>
      <c r="NN360" s="598"/>
      <c r="NO360" s="598"/>
      <c r="NP360" s="598"/>
      <c r="NQ360" s="598"/>
      <c r="NR360" s="598"/>
      <c r="NS360" s="598"/>
      <c r="NT360" s="598"/>
      <c r="NU360" s="598"/>
      <c r="NV360" s="598"/>
      <c r="NW360" s="598"/>
      <c r="NX360" s="598"/>
      <c r="NY360" s="598"/>
      <c r="NZ360" s="598"/>
      <c r="OA360" s="598"/>
      <c r="OB360" s="598"/>
      <c r="OC360" s="598"/>
      <c r="OD360" s="598"/>
      <c r="OE360" s="598"/>
      <c r="OF360" s="598"/>
      <c r="OG360" s="598"/>
      <c r="OH360" s="598"/>
      <c r="OI360" s="598"/>
      <c r="OJ360" s="598"/>
      <c r="OK360" s="598"/>
      <c r="OL360" s="598"/>
      <c r="OM360" s="598"/>
      <c r="ON360" s="598"/>
      <c r="OO360" s="598"/>
      <c r="OP360" s="598"/>
      <c r="OQ360" s="598"/>
      <c r="OR360" s="598"/>
      <c r="OS360" s="598"/>
      <c r="OT360" s="598"/>
      <c r="OU360" s="598"/>
      <c r="OV360" s="598"/>
      <c r="OW360" s="598"/>
      <c r="OX360" s="598"/>
      <c r="OY360" s="598"/>
      <c r="OZ360" s="598"/>
      <c r="PA360" s="598"/>
      <c r="PB360" s="598"/>
      <c r="PC360" s="598"/>
      <c r="PD360" s="598"/>
      <c r="PE360" s="598"/>
      <c r="PF360" s="598"/>
      <c r="PG360" s="598"/>
      <c r="PH360" s="598"/>
      <c r="PI360" s="598"/>
      <c r="PJ360" s="598"/>
      <c r="PK360" s="598"/>
      <c r="PL360" s="598"/>
      <c r="PM360" s="598"/>
      <c r="PN360" s="598"/>
      <c r="PO360" s="598"/>
      <c r="PP360" s="598"/>
      <c r="PQ360" s="598"/>
      <c r="PR360" s="598"/>
      <c r="PS360" s="598"/>
      <c r="PT360" s="598"/>
      <c r="PU360" s="598"/>
      <c r="PV360" s="598"/>
      <c r="PW360" s="598"/>
      <c r="PX360" s="598"/>
      <c r="PY360" s="598"/>
      <c r="PZ360" s="598"/>
      <c r="QA360" s="598"/>
      <c r="QB360" s="598"/>
      <c r="QC360" s="598"/>
      <c r="QD360" s="598"/>
      <c r="QE360" s="598"/>
      <c r="QF360" s="598"/>
      <c r="QG360" s="598"/>
      <c r="QH360" s="598"/>
      <c r="QI360" s="598"/>
      <c r="QJ360" s="598"/>
      <c r="QK360" s="598"/>
      <c r="QL360" s="598"/>
      <c r="QM360" s="598"/>
      <c r="QN360" s="598"/>
      <c r="QO360" s="598"/>
      <c r="QP360" s="598"/>
      <c r="QQ360" s="598"/>
      <c r="QR360" s="598"/>
      <c r="QS360" s="598"/>
      <c r="QT360" s="598"/>
      <c r="QU360" s="598"/>
      <c r="QV360" s="598"/>
      <c r="QW360" s="598"/>
      <c r="QX360" s="598"/>
      <c r="QY360" s="598"/>
      <c r="QZ360" s="598"/>
      <c r="RA360" s="598"/>
      <c r="RB360" s="598"/>
      <c r="RC360" s="598"/>
      <c r="RD360" s="598"/>
      <c r="RE360" s="598"/>
      <c r="RF360" s="598"/>
      <c r="RG360" s="598"/>
      <c r="RH360" s="598"/>
      <c r="RI360" s="598"/>
      <c r="RJ360" s="598"/>
      <c r="RK360" s="598"/>
      <c r="RL360" s="598"/>
      <c r="RM360" s="598"/>
      <c r="RN360" s="598"/>
      <c r="RO360" s="598"/>
      <c r="RP360" s="598"/>
      <c r="RQ360" s="598"/>
      <c r="RR360" s="598"/>
      <c r="RS360" s="598"/>
      <c r="RT360" s="598"/>
      <c r="RU360" s="598"/>
      <c r="RV360" s="598"/>
      <c r="RW360" s="598"/>
      <c r="RX360" s="598"/>
      <c r="RY360" s="598"/>
      <c r="RZ360" s="598"/>
      <c r="SA360" s="598"/>
      <c r="SB360" s="598"/>
      <c r="SC360" s="598"/>
      <c r="SD360" s="598"/>
      <c r="SE360" s="598"/>
      <c r="SF360" s="598"/>
      <c r="SG360" s="598"/>
      <c r="SH360" s="598"/>
      <c r="SI360" s="598"/>
      <c r="SJ360" s="598"/>
      <c r="SK360" s="598"/>
      <c r="SL360" s="598"/>
      <c r="SM360" s="598"/>
      <c r="SN360" s="598"/>
      <c r="SO360" s="598"/>
      <c r="SP360" s="598"/>
      <c r="SQ360" s="598"/>
      <c r="SR360" s="598"/>
      <c r="SS360" s="598"/>
      <c r="ST360" s="598"/>
      <c r="SU360" s="598"/>
      <c r="SV360" s="598"/>
      <c r="SW360" s="598"/>
      <c r="SX360" s="598"/>
      <c r="SY360" s="598"/>
      <c r="SZ360" s="598"/>
      <c r="TA360" s="598"/>
      <c r="TB360" s="598"/>
      <c r="TC360" s="598"/>
      <c r="TD360" s="598"/>
      <c r="TE360" s="598"/>
      <c r="TF360" s="598"/>
      <c r="TG360" s="598"/>
      <c r="TH360" s="598"/>
      <c r="TI360" s="598"/>
      <c r="TJ360" s="598"/>
      <c r="TK360" s="598"/>
      <c r="TL360" s="598"/>
      <c r="TM360" s="598"/>
      <c r="TN360" s="598"/>
      <c r="TO360" s="598"/>
      <c r="TP360" s="598"/>
      <c r="TQ360" s="598"/>
      <c r="TR360" s="598"/>
      <c r="TS360" s="598"/>
      <c r="TT360" s="598"/>
      <c r="TU360" s="598"/>
      <c r="TV360" s="598"/>
      <c r="TW360" s="598"/>
      <c r="TX360" s="598"/>
      <c r="TY360" s="598"/>
      <c r="TZ360" s="598"/>
      <c r="UA360" s="598"/>
      <c r="UB360" s="598"/>
      <c r="UC360" s="598"/>
      <c r="UD360" s="598"/>
      <c r="UE360" s="598"/>
      <c r="UF360" s="598"/>
      <c r="UG360" s="598"/>
      <c r="UH360" s="598"/>
      <c r="UI360" s="598"/>
      <c r="UJ360" s="598"/>
      <c r="UK360" s="598"/>
      <c r="UL360" s="598"/>
      <c r="UM360" s="598"/>
      <c r="UN360" s="598"/>
      <c r="UO360" s="598"/>
      <c r="UP360" s="598"/>
      <c r="UQ360" s="598"/>
      <c r="UR360" s="598"/>
      <c r="US360" s="598"/>
      <c r="UT360" s="598"/>
      <c r="UU360" s="598"/>
      <c r="UV360" s="598"/>
      <c r="UW360" s="598"/>
      <c r="UX360" s="598"/>
      <c r="UY360" s="598"/>
      <c r="UZ360" s="598"/>
      <c r="VA360" s="598"/>
      <c r="VB360" s="598"/>
      <c r="VC360" s="598"/>
      <c r="VD360" s="598"/>
      <c r="VE360" s="598"/>
      <c r="VF360" s="598"/>
      <c r="VG360" s="598"/>
      <c r="VH360" s="598"/>
      <c r="VI360" s="598"/>
      <c r="VJ360" s="598"/>
      <c r="VK360" s="598"/>
      <c r="VL360" s="598"/>
      <c r="VM360" s="598"/>
      <c r="VN360" s="598"/>
      <c r="VO360" s="598"/>
      <c r="VP360" s="598"/>
      <c r="VQ360" s="598"/>
      <c r="VR360" s="598"/>
      <c r="VS360" s="598"/>
      <c r="VT360" s="598"/>
      <c r="VU360" s="598"/>
      <c r="VV360" s="598"/>
      <c r="VW360" s="598"/>
      <c r="VX360" s="598"/>
      <c r="VY360" s="598"/>
      <c r="VZ360" s="598"/>
      <c r="WA360" s="598"/>
      <c r="WB360" s="598"/>
      <c r="WC360" s="598"/>
      <c r="WD360" s="598"/>
      <c r="WE360" s="598"/>
      <c r="WF360" s="598"/>
      <c r="WG360" s="598"/>
      <c r="WH360" s="598"/>
      <c r="WI360" s="598"/>
      <c r="WJ360" s="598"/>
      <c r="WK360" s="598"/>
      <c r="WL360" s="598"/>
      <c r="WM360" s="598"/>
      <c r="WN360" s="598"/>
      <c r="WO360" s="598"/>
      <c r="WP360" s="598"/>
      <c r="WQ360" s="598"/>
      <c r="WR360" s="598"/>
      <c r="WS360" s="598"/>
      <c r="WT360" s="598"/>
      <c r="WU360" s="598"/>
      <c r="WV360" s="598"/>
      <c r="WW360" s="598"/>
      <c r="WX360" s="598"/>
      <c r="WY360" s="598"/>
      <c r="WZ360" s="598"/>
      <c r="XA360" s="598"/>
      <c r="XB360" s="598"/>
      <c r="XC360" s="598"/>
      <c r="XD360" s="598"/>
      <c r="XE360" s="598"/>
      <c r="XF360" s="598"/>
      <c r="XG360" s="598"/>
      <c r="XH360" s="598"/>
      <c r="XI360" s="598"/>
      <c r="XJ360" s="598"/>
      <c r="XK360" s="598"/>
      <c r="XL360" s="598"/>
      <c r="XM360" s="598"/>
      <c r="XN360" s="598"/>
      <c r="XO360" s="598"/>
      <c r="XP360" s="598"/>
      <c r="XQ360" s="598"/>
      <c r="XR360" s="598"/>
      <c r="XS360" s="598"/>
      <c r="XT360" s="598"/>
      <c r="XU360" s="598"/>
      <c r="XV360" s="598"/>
      <c r="XW360" s="598"/>
      <c r="XX360" s="598"/>
      <c r="XY360" s="598"/>
      <c r="XZ360" s="598"/>
      <c r="YA360" s="598"/>
      <c r="YB360" s="598"/>
      <c r="YC360" s="598"/>
      <c r="YD360" s="598"/>
      <c r="YE360" s="598"/>
      <c r="YF360" s="598"/>
      <c r="YG360" s="598"/>
      <c r="YH360" s="598"/>
      <c r="YI360" s="598"/>
      <c r="YJ360" s="598"/>
      <c r="YK360" s="598"/>
      <c r="YL360" s="598"/>
      <c r="YM360" s="598"/>
      <c r="YN360" s="598"/>
      <c r="YO360" s="598"/>
      <c r="YP360" s="598"/>
      <c r="YQ360" s="598"/>
      <c r="YR360" s="598"/>
      <c r="YS360" s="598"/>
      <c r="YT360" s="598"/>
      <c r="YU360" s="598"/>
      <c r="YV360" s="598"/>
      <c r="YW360" s="598"/>
      <c r="YX360" s="598"/>
      <c r="YY360" s="598"/>
      <c r="YZ360" s="598"/>
      <c r="ZA360" s="598"/>
      <c r="ZB360" s="598"/>
      <c r="ZC360" s="598"/>
      <c r="ZD360" s="598"/>
      <c r="ZE360" s="598"/>
      <c r="ZF360" s="598"/>
      <c r="ZG360" s="598"/>
      <c r="ZH360" s="598"/>
      <c r="ZI360" s="598"/>
      <c r="ZJ360" s="598"/>
      <c r="ZK360" s="598"/>
      <c r="ZL360" s="598"/>
      <c r="ZM360" s="598"/>
      <c r="ZN360" s="598"/>
      <c r="ZO360" s="598"/>
      <c r="ZP360" s="598"/>
      <c r="ZQ360" s="598"/>
      <c r="ZR360" s="598"/>
      <c r="ZS360" s="598"/>
      <c r="ZT360" s="598"/>
      <c r="ZU360" s="598"/>
      <c r="ZV360" s="598"/>
      <c r="ZW360" s="598"/>
      <c r="ZX360" s="598"/>
      <c r="ZY360" s="598"/>
      <c r="ZZ360" s="598"/>
      <c r="AAA360" s="598"/>
      <c r="AAB360" s="598"/>
      <c r="AAC360" s="598"/>
      <c r="AAD360" s="598"/>
      <c r="AAE360" s="598"/>
      <c r="AAF360" s="598"/>
      <c r="AAG360" s="598"/>
      <c r="AAH360" s="598"/>
      <c r="AAI360" s="598"/>
      <c r="AAJ360" s="598"/>
      <c r="AAK360" s="598"/>
      <c r="AAL360" s="598"/>
      <c r="AAM360" s="598"/>
      <c r="AAN360" s="598"/>
      <c r="AAO360" s="598"/>
      <c r="AAP360" s="598"/>
      <c r="AAQ360" s="598"/>
      <c r="AAR360" s="598"/>
      <c r="AAS360" s="598"/>
      <c r="AAT360" s="598"/>
      <c r="AAU360" s="598"/>
      <c r="AAV360" s="598"/>
      <c r="AAW360" s="598"/>
      <c r="AAX360" s="598"/>
      <c r="AAY360" s="598"/>
      <c r="AAZ360" s="598"/>
      <c r="ABA360" s="598"/>
      <c r="ABB360" s="598"/>
      <c r="ABC360" s="598"/>
      <c r="ABD360" s="598"/>
      <c r="ABE360" s="598"/>
      <c r="ABF360" s="598"/>
      <c r="ABG360" s="598"/>
      <c r="ABH360" s="598"/>
      <c r="ABI360" s="598"/>
      <c r="ABJ360" s="598"/>
      <c r="ABK360" s="598"/>
      <c r="ABL360" s="598"/>
      <c r="ABM360" s="598"/>
      <c r="ABN360" s="598"/>
      <c r="ABO360" s="598"/>
      <c r="ABP360" s="598"/>
      <c r="ABQ360" s="598"/>
      <c r="ABR360" s="598"/>
      <c r="ABS360" s="598"/>
      <c r="ABT360" s="598"/>
      <c r="ABU360" s="598"/>
      <c r="ABV360" s="598"/>
      <c r="ABW360" s="598"/>
      <c r="ABX360" s="598"/>
      <c r="ABY360" s="598"/>
      <c r="ABZ360" s="598"/>
      <c r="ACA360" s="598"/>
      <c r="ACB360" s="598"/>
      <c r="ACC360" s="598"/>
      <c r="ACD360" s="598"/>
      <c r="ACE360" s="598"/>
      <c r="ACF360" s="598"/>
      <c r="ACG360" s="598"/>
      <c r="ACH360" s="598"/>
      <c r="ACI360" s="598"/>
      <c r="ACJ360" s="598"/>
      <c r="ACK360" s="598"/>
      <c r="ACL360" s="598"/>
      <c r="ACM360" s="598"/>
      <c r="ACN360" s="598"/>
      <c r="ACO360" s="598"/>
      <c r="ACP360" s="598"/>
      <c r="ACQ360" s="598"/>
      <c r="ACR360" s="598"/>
      <c r="ACS360" s="598"/>
      <c r="ACT360" s="598"/>
      <c r="ACU360" s="598"/>
      <c r="ACV360" s="598"/>
      <c r="ACW360" s="598"/>
      <c r="ACX360" s="598"/>
      <c r="ACY360" s="598"/>
      <c r="ACZ360" s="598"/>
      <c r="ADA360" s="598"/>
      <c r="ADB360" s="598"/>
      <c r="ADC360" s="598"/>
      <c r="ADD360" s="598"/>
      <c r="ADE360" s="598"/>
      <c r="ADF360" s="598"/>
      <c r="ADG360" s="598"/>
      <c r="ADH360" s="598"/>
      <c r="ADI360" s="598"/>
      <c r="ADJ360" s="598"/>
      <c r="ADK360" s="598"/>
      <c r="ADL360" s="598"/>
      <c r="ADM360" s="598"/>
      <c r="ADN360" s="598"/>
      <c r="ADO360" s="598"/>
      <c r="ADP360" s="598"/>
      <c r="ADQ360" s="598"/>
      <c r="ADR360" s="598"/>
      <c r="ADS360" s="598"/>
      <c r="ADT360" s="598"/>
      <c r="ADU360" s="598"/>
      <c r="ADV360" s="598"/>
      <c r="ADW360" s="598"/>
      <c r="ADX360" s="598"/>
      <c r="ADY360" s="598"/>
      <c r="ADZ360" s="598"/>
      <c r="AEA360" s="598"/>
      <c r="AEB360" s="598"/>
      <c r="AEC360" s="598"/>
      <c r="AED360" s="598"/>
      <c r="AEE360" s="598"/>
      <c r="AEF360" s="598"/>
      <c r="AEG360" s="598"/>
      <c r="AEH360" s="598"/>
      <c r="AEI360" s="598"/>
      <c r="AEJ360" s="598"/>
      <c r="AEK360" s="598"/>
      <c r="AEL360" s="598"/>
      <c r="AEM360" s="598"/>
      <c r="AEN360" s="598"/>
      <c r="AEO360" s="598"/>
      <c r="AEP360" s="598"/>
      <c r="AEQ360" s="598"/>
      <c r="AER360" s="598"/>
      <c r="AES360" s="598"/>
      <c r="AET360" s="598"/>
      <c r="AEU360" s="598"/>
      <c r="AEV360" s="598"/>
      <c r="AEW360" s="598"/>
      <c r="AEX360" s="598"/>
      <c r="AEY360" s="598"/>
      <c r="AEZ360" s="598"/>
      <c r="AFA360" s="598"/>
      <c r="AFB360" s="598"/>
      <c r="AFC360" s="598"/>
      <c r="AFD360" s="598"/>
      <c r="AFE360" s="598"/>
      <c r="AFF360" s="598"/>
      <c r="AFG360" s="598"/>
      <c r="AFH360" s="598"/>
      <c r="AFI360" s="598"/>
      <c r="AFJ360" s="598"/>
      <c r="AFK360" s="598"/>
      <c r="AFL360" s="598"/>
      <c r="AFM360" s="598"/>
      <c r="AFN360" s="598"/>
      <c r="AFO360" s="598"/>
      <c r="AFP360" s="598"/>
      <c r="AFQ360" s="598"/>
      <c r="AFR360" s="598"/>
      <c r="AFS360" s="598"/>
      <c r="AFT360" s="598"/>
      <c r="AFU360" s="598"/>
      <c r="AFV360" s="598"/>
      <c r="AFW360" s="598"/>
      <c r="AFX360" s="598"/>
      <c r="AFY360" s="598"/>
      <c r="AFZ360" s="598"/>
      <c r="AGA360" s="598"/>
      <c r="AGB360" s="598"/>
      <c r="AGC360" s="598"/>
      <c r="AGD360" s="598"/>
      <c r="AGE360" s="598"/>
      <c r="AGF360" s="598"/>
      <c r="AGG360" s="598"/>
      <c r="AGH360" s="598"/>
      <c r="AGI360" s="598"/>
      <c r="AGJ360" s="598"/>
      <c r="AGK360" s="598"/>
      <c r="AGL360" s="598"/>
      <c r="AGM360" s="598"/>
      <c r="AGN360" s="598"/>
      <c r="AGO360" s="598"/>
      <c r="AGP360" s="598"/>
      <c r="AGQ360" s="598"/>
      <c r="AGR360" s="598"/>
      <c r="AGS360" s="598"/>
      <c r="AGT360" s="598"/>
      <c r="AGU360" s="598"/>
      <c r="AGV360" s="598"/>
      <c r="AGW360" s="598"/>
      <c r="AGX360" s="598"/>
      <c r="AGY360" s="598"/>
      <c r="AGZ360" s="598"/>
      <c r="AHA360" s="598"/>
      <c r="AHB360" s="598"/>
      <c r="AHC360" s="598"/>
      <c r="AHD360" s="598"/>
      <c r="AHE360" s="598"/>
      <c r="AHF360" s="598"/>
      <c r="AHG360" s="598"/>
      <c r="AHH360" s="598"/>
      <c r="AHI360" s="598"/>
      <c r="AHJ360" s="598"/>
      <c r="AHK360" s="598"/>
      <c r="AHL360" s="598"/>
      <c r="AHM360" s="598"/>
      <c r="AHN360" s="598"/>
      <c r="AHO360" s="598"/>
      <c r="AHP360" s="598"/>
      <c r="AHQ360" s="598"/>
      <c r="AHR360" s="598"/>
      <c r="AHS360" s="598"/>
      <c r="AHT360" s="598"/>
      <c r="AHU360" s="598"/>
      <c r="AHV360" s="598"/>
      <c r="AHW360" s="598"/>
      <c r="AHX360" s="598"/>
      <c r="AHY360" s="598"/>
      <c r="AHZ360" s="598"/>
      <c r="AIA360" s="598"/>
      <c r="AIB360" s="598"/>
      <c r="AIC360" s="598"/>
      <c r="AID360" s="598"/>
      <c r="AIE360" s="598"/>
      <c r="AIF360" s="598"/>
      <c r="AIG360" s="598"/>
      <c r="AIH360" s="598"/>
      <c r="AII360" s="598"/>
      <c r="AIJ360" s="598"/>
      <c r="AIK360" s="598"/>
      <c r="AIL360" s="598"/>
      <c r="AIM360" s="598"/>
      <c r="AIN360" s="598"/>
      <c r="AIO360" s="598"/>
      <c r="AIP360" s="598"/>
      <c r="AIQ360" s="598"/>
      <c r="AIR360" s="598"/>
      <c r="AIS360" s="598"/>
      <c r="AIT360" s="598"/>
      <c r="AIU360" s="598"/>
      <c r="AIV360" s="598"/>
      <c r="AIW360" s="598"/>
      <c r="AIX360" s="598"/>
      <c r="AIY360" s="598"/>
      <c r="AIZ360" s="598"/>
      <c r="AJA360" s="598"/>
      <c r="AJB360" s="598"/>
      <c r="AJC360" s="598"/>
      <c r="AJD360" s="598"/>
      <c r="AJE360" s="598"/>
      <c r="AJF360" s="598"/>
      <c r="AJG360" s="598"/>
      <c r="AJH360" s="598"/>
      <c r="AJI360" s="598"/>
      <c r="AJJ360" s="598"/>
      <c r="AJK360" s="598"/>
      <c r="AJL360" s="598"/>
      <c r="AJM360" s="598"/>
      <c r="AJN360" s="598"/>
      <c r="AJO360" s="598"/>
      <c r="AJP360" s="598"/>
      <c r="AJQ360" s="598"/>
      <c r="AJR360" s="598"/>
      <c r="AJS360" s="598"/>
      <c r="AJT360" s="598"/>
      <c r="AJU360" s="598"/>
      <c r="AJV360" s="598"/>
      <c r="AJW360" s="598"/>
      <c r="AJX360" s="598"/>
      <c r="AJY360" s="598"/>
      <c r="AJZ360" s="598"/>
      <c r="AKA360" s="598"/>
      <c r="AKB360" s="598"/>
      <c r="AKC360" s="598"/>
      <c r="AKD360" s="598"/>
      <c r="AKE360" s="598"/>
      <c r="AKF360" s="598"/>
      <c r="AKG360" s="598"/>
      <c r="AKH360" s="598"/>
      <c r="AKI360" s="598"/>
      <c r="AKJ360" s="598"/>
      <c r="AKK360" s="598"/>
      <c r="AKL360" s="598"/>
      <c r="AKM360" s="598"/>
      <c r="AKN360" s="598"/>
      <c r="AKO360" s="598"/>
      <c r="AKP360" s="598"/>
      <c r="AKQ360" s="598"/>
      <c r="AKR360" s="598"/>
      <c r="AKS360" s="598"/>
      <c r="AKT360" s="598"/>
      <c r="AKU360" s="598"/>
      <c r="AKV360" s="598"/>
      <c r="AKW360" s="598"/>
      <c r="AKX360" s="598"/>
      <c r="AKY360" s="598"/>
      <c r="AKZ360" s="598"/>
      <c r="ALA360" s="598"/>
      <c r="ALB360" s="598"/>
      <c r="ALC360" s="598"/>
      <c r="ALD360" s="598"/>
      <c r="ALE360" s="598"/>
      <c r="ALF360" s="598"/>
      <c r="ALG360" s="598"/>
      <c r="ALH360" s="598"/>
      <c r="ALI360" s="598"/>
      <c r="ALJ360" s="598"/>
      <c r="ALK360" s="598"/>
      <c r="ALL360" s="598"/>
      <c r="ALM360" s="598"/>
      <c r="ALN360" s="598"/>
      <c r="ALO360" s="598"/>
      <c r="ALP360" s="598"/>
      <c r="ALQ360" s="598"/>
      <c r="ALR360" s="598"/>
      <c r="ALS360" s="598"/>
      <c r="ALT360" s="598"/>
      <c r="ALU360" s="598"/>
      <c r="ALV360" s="598"/>
      <c r="ALW360" s="598"/>
      <c r="ALX360" s="598"/>
      <c r="ALY360" s="598"/>
      <c r="ALZ360" s="598"/>
      <c r="AMA360" s="598"/>
      <c r="AMB360" s="598"/>
      <c r="AMC360" s="598"/>
      <c r="AMD360" s="598"/>
      <c r="AME360" s="598"/>
      <c r="AMF360" s="598"/>
      <c r="AMG360" s="598"/>
      <c r="AMH360" s="598"/>
      <c r="AMI360" s="598"/>
      <c r="AMJ360" s="598"/>
      <c r="AMK360" s="598"/>
      <c r="AML360" s="598"/>
      <c r="AMM360" s="598"/>
      <c r="AMN360" s="598"/>
      <c r="AMO360" s="598"/>
      <c r="AMP360" s="598"/>
      <c r="AMQ360" s="598"/>
      <c r="AMR360" s="598"/>
      <c r="AMS360" s="598"/>
      <c r="AMT360" s="598"/>
      <c r="AMU360" s="598"/>
      <c r="AMV360" s="598"/>
      <c r="AMW360" s="598"/>
      <c r="AMX360" s="598"/>
      <c r="AMY360" s="598"/>
      <c r="AMZ360" s="598"/>
      <c r="ANA360" s="598"/>
      <c r="ANB360" s="598"/>
      <c r="ANC360" s="598"/>
      <c r="AND360" s="598"/>
      <c r="ANE360" s="598"/>
      <c r="ANF360" s="598"/>
      <c r="ANG360" s="598"/>
      <c r="ANH360" s="598"/>
      <c r="ANI360" s="598"/>
      <c r="ANJ360" s="598"/>
      <c r="ANK360" s="598"/>
      <c r="ANL360" s="598"/>
      <c r="ANM360" s="598"/>
      <c r="ANN360" s="598"/>
      <c r="ANO360" s="598"/>
      <c r="ANP360" s="598"/>
      <c r="ANQ360" s="598"/>
      <c r="ANR360" s="598"/>
      <c r="ANS360" s="598"/>
      <c r="ANT360" s="598"/>
      <c r="ANU360" s="598"/>
      <c r="ANV360" s="598"/>
      <c r="ANW360" s="598"/>
      <c r="ANX360" s="598"/>
      <c r="ANY360" s="598"/>
      <c r="ANZ360" s="598"/>
      <c r="AOA360" s="598"/>
      <c r="AOB360" s="598"/>
      <c r="AOC360" s="598"/>
      <c r="AOD360" s="598"/>
      <c r="AOE360" s="598"/>
      <c r="AOF360" s="598"/>
      <c r="AOG360" s="598"/>
      <c r="AOH360" s="598"/>
      <c r="AOI360" s="598"/>
      <c r="AOJ360" s="598"/>
      <c r="AOK360" s="598"/>
      <c r="AOL360" s="598"/>
      <c r="AOM360" s="598"/>
      <c r="AON360" s="598"/>
      <c r="AOO360" s="598"/>
      <c r="AOP360" s="598"/>
      <c r="AOQ360" s="598"/>
      <c r="AOR360" s="598"/>
      <c r="AOS360" s="598"/>
      <c r="AOT360" s="598"/>
      <c r="AOU360" s="598"/>
      <c r="AOV360" s="598"/>
      <c r="AOW360" s="598"/>
      <c r="AOX360" s="598"/>
      <c r="AOY360" s="598"/>
      <c r="AOZ360" s="598"/>
      <c r="APA360" s="598"/>
      <c r="APB360" s="598"/>
      <c r="APC360" s="598"/>
      <c r="APD360" s="598"/>
      <c r="APE360" s="598"/>
      <c r="APF360" s="598"/>
      <c r="APG360" s="598"/>
      <c r="APH360" s="598"/>
      <c r="API360" s="598"/>
      <c r="APJ360" s="598"/>
      <c r="APK360" s="598"/>
      <c r="APL360" s="598"/>
      <c r="APM360" s="598"/>
      <c r="APN360" s="598"/>
      <c r="APO360" s="598"/>
      <c r="APP360" s="598"/>
      <c r="APQ360" s="598"/>
      <c r="APR360" s="598"/>
      <c r="APS360" s="598"/>
      <c r="APT360" s="598"/>
      <c r="APU360" s="598"/>
      <c r="APV360" s="598"/>
      <c r="APW360" s="598"/>
      <c r="APX360" s="598"/>
      <c r="APY360" s="598"/>
      <c r="APZ360" s="598"/>
      <c r="AQA360" s="598"/>
      <c r="AQB360" s="598"/>
      <c r="AQC360" s="598"/>
      <c r="AQD360" s="598"/>
      <c r="AQE360" s="598"/>
      <c r="AQF360" s="598"/>
      <c r="AQG360" s="598"/>
      <c r="AQH360" s="598"/>
      <c r="AQI360" s="598"/>
      <c r="AQJ360" s="598"/>
      <c r="AQK360" s="598"/>
      <c r="AQL360" s="598"/>
      <c r="AQM360" s="598"/>
      <c r="AQN360" s="598"/>
      <c r="AQO360" s="598"/>
      <c r="AQP360" s="598"/>
      <c r="AQQ360" s="598"/>
      <c r="AQR360" s="598"/>
      <c r="AQS360" s="598"/>
      <c r="AQT360" s="598"/>
      <c r="AQU360" s="598"/>
      <c r="AQV360" s="598"/>
      <c r="AQW360" s="598"/>
      <c r="AQX360" s="598"/>
      <c r="AQY360" s="598"/>
      <c r="AQZ360" s="598"/>
      <c r="ARA360" s="598"/>
      <c r="ARB360" s="598"/>
      <c r="ARC360" s="598"/>
      <c r="ARD360" s="598"/>
      <c r="ARE360" s="598"/>
      <c r="ARF360" s="598"/>
      <c r="ARG360" s="598"/>
      <c r="ARH360" s="598"/>
      <c r="ARI360" s="598"/>
      <c r="ARJ360" s="598"/>
      <c r="ARK360" s="598"/>
      <c r="ARL360" s="598"/>
      <c r="ARM360" s="598"/>
      <c r="ARN360" s="598"/>
      <c r="ARO360" s="598"/>
      <c r="ARP360" s="598"/>
      <c r="ARQ360" s="598"/>
      <c r="ARR360" s="598"/>
      <c r="ARS360" s="598"/>
      <c r="ART360" s="598"/>
      <c r="ARU360" s="598"/>
      <c r="ARV360" s="598"/>
      <c r="ARW360" s="598"/>
      <c r="ARX360" s="598"/>
      <c r="ARY360" s="598"/>
      <c r="ARZ360" s="598"/>
      <c r="ASA360" s="598"/>
      <c r="ASB360" s="598"/>
      <c r="ASC360" s="598"/>
      <c r="ASD360" s="598"/>
      <c r="ASE360" s="598"/>
      <c r="ASF360" s="598"/>
      <c r="ASG360" s="598"/>
      <c r="ASH360" s="598"/>
      <c r="ASI360" s="598"/>
      <c r="ASJ360" s="598"/>
      <c r="ASK360" s="598"/>
      <c r="ASL360" s="598"/>
      <c r="ASM360" s="598"/>
      <c r="ASN360" s="598"/>
      <c r="ASO360" s="598"/>
      <c r="ASP360" s="598"/>
      <c r="ASQ360" s="598"/>
      <c r="ASR360" s="598"/>
      <c r="ASS360" s="598"/>
      <c r="AST360" s="598"/>
      <c r="ASU360" s="598"/>
      <c r="ASV360" s="598"/>
      <c r="ASW360" s="598"/>
      <c r="ASX360" s="598"/>
      <c r="ASY360" s="598"/>
      <c r="ASZ360" s="598"/>
      <c r="ATA360" s="598"/>
      <c r="ATB360" s="598"/>
      <c r="ATC360" s="598"/>
      <c r="ATD360" s="598"/>
      <c r="ATE360" s="598"/>
      <c r="ATF360" s="598"/>
      <c r="ATG360" s="598"/>
      <c r="ATH360" s="598"/>
      <c r="ATI360" s="598"/>
      <c r="ATJ360" s="598"/>
      <c r="ATK360" s="598"/>
      <c r="ATL360" s="598"/>
      <c r="ATM360" s="598"/>
      <c r="ATN360" s="598"/>
      <c r="ATO360" s="598"/>
      <c r="ATP360" s="598"/>
      <c r="ATQ360" s="598"/>
      <c r="ATR360" s="598"/>
      <c r="ATS360" s="598"/>
      <c r="ATT360" s="598"/>
      <c r="ATU360" s="598"/>
      <c r="ATV360" s="598"/>
      <c r="ATW360" s="598"/>
      <c r="ATX360" s="598"/>
      <c r="ATY360" s="598"/>
      <c r="ATZ360" s="598"/>
      <c r="AUA360" s="598"/>
      <c r="AUB360" s="598"/>
      <c r="AUC360" s="598"/>
      <c r="AUD360" s="598"/>
      <c r="AUE360" s="598"/>
      <c r="AUF360" s="598"/>
      <c r="AUG360" s="598"/>
      <c r="AUH360" s="598"/>
      <c r="AUI360" s="598"/>
      <c r="AUJ360" s="598"/>
      <c r="AUK360" s="598"/>
      <c r="AUL360" s="598"/>
      <c r="AUM360" s="598"/>
      <c r="AUN360" s="598"/>
      <c r="AUO360" s="598"/>
      <c r="AUP360" s="598"/>
      <c r="AUQ360" s="598"/>
      <c r="AUR360" s="598"/>
      <c r="AUS360" s="598"/>
      <c r="AUT360" s="598"/>
      <c r="AUU360" s="598"/>
      <c r="AUV360" s="598"/>
      <c r="AUW360" s="598"/>
      <c r="AUX360" s="598"/>
      <c r="AUY360" s="598"/>
      <c r="AUZ360" s="598"/>
      <c r="AVA360" s="598"/>
      <c r="AVB360" s="598"/>
      <c r="AVC360" s="598"/>
      <c r="AVD360" s="598"/>
      <c r="AVE360" s="598"/>
      <c r="AVF360" s="598"/>
      <c r="AVG360" s="598"/>
      <c r="AVH360" s="598"/>
      <c r="AVI360" s="598"/>
      <c r="AVJ360" s="598"/>
      <c r="AVK360" s="598"/>
      <c r="AVL360" s="598"/>
      <c r="AVM360" s="598"/>
      <c r="AVN360" s="598"/>
      <c r="AVO360" s="598"/>
      <c r="AVP360" s="598"/>
      <c r="AVQ360" s="598"/>
      <c r="AVR360" s="598"/>
      <c r="AVS360" s="598"/>
      <c r="AVT360" s="598"/>
      <c r="AVU360" s="598"/>
      <c r="AVV360" s="598"/>
      <c r="AVW360" s="598"/>
      <c r="AVX360" s="598"/>
      <c r="AVY360" s="598"/>
      <c r="AVZ360" s="598"/>
      <c r="AWA360" s="598"/>
      <c r="AWB360" s="598"/>
      <c r="AWC360" s="598"/>
      <c r="AWD360" s="598"/>
      <c r="AWE360" s="598"/>
      <c r="AWF360" s="598"/>
      <c r="AWG360" s="598"/>
      <c r="AWH360" s="598"/>
      <c r="AWI360" s="598"/>
      <c r="AWJ360" s="598"/>
      <c r="AWK360" s="598"/>
      <c r="AWL360" s="598"/>
      <c r="AWM360" s="598"/>
      <c r="AWN360" s="598"/>
      <c r="AWO360" s="598"/>
      <c r="AWP360" s="598"/>
      <c r="AWQ360" s="598"/>
      <c r="AWR360" s="598"/>
      <c r="AWS360" s="598"/>
      <c r="AWT360" s="598"/>
      <c r="AWU360" s="598"/>
      <c r="AWV360" s="598"/>
      <c r="AWW360" s="598"/>
      <c r="AWX360" s="598"/>
      <c r="AWY360" s="598"/>
      <c r="AWZ360" s="598"/>
      <c r="AXA360" s="598"/>
      <c r="AXB360" s="598"/>
      <c r="AXC360" s="598"/>
      <c r="AXD360" s="598"/>
      <c r="AXE360" s="598"/>
      <c r="AXF360" s="598"/>
      <c r="AXG360" s="598"/>
      <c r="AXH360" s="598"/>
      <c r="AXI360" s="598"/>
      <c r="AXJ360" s="598"/>
      <c r="AXK360" s="598"/>
      <c r="AXL360" s="598"/>
      <c r="AXM360" s="598"/>
      <c r="AXN360" s="598"/>
      <c r="AXO360" s="598"/>
      <c r="AXP360" s="598"/>
      <c r="AXQ360" s="598"/>
      <c r="AXR360" s="598"/>
      <c r="AXS360" s="598"/>
      <c r="AXT360" s="598"/>
      <c r="AXU360" s="598"/>
      <c r="AXV360" s="598"/>
      <c r="AXW360" s="598"/>
      <c r="AXX360" s="598"/>
      <c r="AXY360" s="598"/>
      <c r="AXZ360" s="598"/>
      <c r="AYA360" s="598"/>
      <c r="AYB360" s="598"/>
      <c r="AYC360" s="598"/>
      <c r="AYD360" s="598"/>
      <c r="AYE360" s="598"/>
      <c r="AYF360" s="598"/>
      <c r="AYG360" s="598"/>
      <c r="AYH360" s="598"/>
      <c r="AYI360" s="598"/>
      <c r="AYJ360" s="598"/>
      <c r="AYK360" s="598"/>
      <c r="AYL360" s="598"/>
      <c r="AYM360" s="598"/>
      <c r="AYN360" s="598"/>
      <c r="AYO360" s="598"/>
      <c r="AYP360" s="598"/>
      <c r="AYQ360" s="598"/>
      <c r="AYR360" s="598"/>
      <c r="AYS360" s="598"/>
      <c r="AYT360" s="598"/>
      <c r="AYU360" s="598"/>
      <c r="AYV360" s="598"/>
      <c r="AYW360" s="598"/>
      <c r="AYX360" s="598"/>
      <c r="AYY360" s="598"/>
      <c r="AYZ360" s="598"/>
      <c r="AZA360" s="598"/>
      <c r="AZB360" s="598"/>
      <c r="AZC360" s="598"/>
      <c r="AZD360" s="598"/>
      <c r="AZE360" s="598"/>
      <c r="AZF360" s="598"/>
      <c r="AZG360" s="598"/>
      <c r="AZH360" s="598"/>
      <c r="AZI360" s="598"/>
      <c r="AZJ360" s="598"/>
      <c r="AZK360" s="598"/>
      <c r="AZL360" s="598"/>
      <c r="AZM360" s="598"/>
      <c r="AZN360" s="598"/>
      <c r="AZO360" s="598"/>
      <c r="AZP360" s="598"/>
      <c r="AZQ360" s="598"/>
      <c r="AZR360" s="598"/>
      <c r="AZS360" s="598"/>
      <c r="AZT360" s="598"/>
      <c r="AZU360" s="598"/>
      <c r="AZV360" s="598"/>
      <c r="AZW360" s="598"/>
      <c r="AZX360" s="598"/>
      <c r="AZY360" s="598"/>
      <c r="AZZ360" s="598"/>
      <c r="BAA360" s="598"/>
      <c r="BAB360" s="598"/>
      <c r="BAC360" s="598"/>
      <c r="BAD360" s="598"/>
      <c r="BAE360" s="598"/>
      <c r="BAF360" s="598"/>
      <c r="BAG360" s="598"/>
      <c r="BAH360" s="598"/>
      <c r="BAI360" s="598"/>
      <c r="BAJ360" s="598"/>
      <c r="BAK360" s="598"/>
      <c r="BAL360" s="598"/>
      <c r="BAM360" s="598"/>
      <c r="BAN360" s="598"/>
      <c r="BAO360" s="598"/>
      <c r="BAP360" s="598"/>
      <c r="BAQ360" s="598"/>
      <c r="BAR360" s="598"/>
      <c r="BAS360" s="598"/>
      <c r="BAT360" s="598"/>
      <c r="BAU360" s="598"/>
      <c r="BAV360" s="598"/>
      <c r="BAW360" s="598"/>
      <c r="BAX360" s="598"/>
      <c r="BAY360" s="598"/>
      <c r="BAZ360" s="598"/>
      <c r="BBA360" s="598"/>
      <c r="BBB360" s="598"/>
      <c r="BBC360" s="598"/>
      <c r="BBD360" s="598"/>
      <c r="BBE360" s="598"/>
      <c r="BBF360" s="598"/>
      <c r="BBG360" s="598"/>
      <c r="BBH360" s="598"/>
      <c r="BBI360" s="598"/>
      <c r="BBJ360" s="598"/>
      <c r="BBK360" s="598"/>
      <c r="BBL360" s="598"/>
      <c r="BBM360" s="598"/>
      <c r="BBN360" s="598"/>
      <c r="BBO360" s="598"/>
      <c r="BBP360" s="598"/>
      <c r="BBQ360" s="598"/>
      <c r="BBR360" s="598"/>
      <c r="BBS360" s="598"/>
      <c r="BBT360" s="598"/>
      <c r="BBU360" s="598"/>
      <c r="BBV360" s="598"/>
      <c r="BBW360" s="598"/>
      <c r="BBX360" s="598"/>
      <c r="BBY360" s="598"/>
      <c r="BBZ360" s="598"/>
      <c r="BCA360" s="598"/>
      <c r="BCB360" s="598"/>
      <c r="BCC360" s="598"/>
      <c r="BCD360" s="598"/>
      <c r="BCE360" s="598"/>
      <c r="BCF360" s="598"/>
      <c r="BCG360" s="598"/>
      <c r="BCH360" s="598"/>
      <c r="BCI360" s="598"/>
      <c r="BCJ360" s="598"/>
      <c r="BCK360" s="598"/>
      <c r="BCL360" s="598"/>
      <c r="BCM360" s="598"/>
      <c r="BCN360" s="598"/>
      <c r="BCO360" s="598"/>
      <c r="BCP360" s="598"/>
      <c r="BCQ360" s="598"/>
      <c r="BCR360" s="598"/>
      <c r="BCS360" s="598"/>
      <c r="BCT360" s="598"/>
      <c r="BCU360" s="598"/>
      <c r="BCV360" s="598"/>
      <c r="BCW360" s="598"/>
      <c r="BCX360" s="598"/>
      <c r="BCY360" s="598"/>
      <c r="BCZ360" s="598"/>
      <c r="BDA360" s="598"/>
      <c r="BDB360" s="598"/>
      <c r="BDC360" s="598"/>
      <c r="BDD360" s="598"/>
      <c r="BDE360" s="598"/>
      <c r="BDF360" s="598"/>
      <c r="BDG360" s="598"/>
      <c r="BDH360" s="598"/>
      <c r="BDI360" s="598"/>
      <c r="BDJ360" s="598"/>
      <c r="BDK360" s="598"/>
      <c r="BDL360" s="598"/>
      <c r="BDM360" s="598"/>
      <c r="BDN360" s="598"/>
      <c r="BDO360" s="598"/>
      <c r="BDP360" s="598"/>
      <c r="BDQ360" s="598"/>
      <c r="BDR360" s="598"/>
      <c r="BDS360" s="598"/>
      <c r="BDT360" s="598"/>
      <c r="BDU360" s="598"/>
      <c r="BDV360" s="598"/>
      <c r="BDW360" s="598"/>
      <c r="BDX360" s="598"/>
      <c r="BDY360" s="598"/>
      <c r="BDZ360" s="598"/>
      <c r="BEA360" s="598"/>
      <c r="BEB360" s="598"/>
      <c r="BEC360" s="598"/>
      <c r="BED360" s="598"/>
      <c r="BEE360" s="598"/>
      <c r="BEF360" s="598"/>
      <c r="BEG360" s="598"/>
      <c r="BEH360" s="598"/>
      <c r="BEI360" s="598"/>
      <c r="BEJ360" s="598"/>
      <c r="BEK360" s="598"/>
      <c r="BEL360" s="598"/>
      <c r="BEM360" s="598"/>
      <c r="BEN360" s="598"/>
      <c r="BEO360" s="598"/>
      <c r="BEP360" s="598"/>
      <c r="BEQ360" s="598"/>
      <c r="BER360" s="598"/>
      <c r="BES360" s="598"/>
      <c r="BET360" s="598"/>
      <c r="BEU360" s="598"/>
      <c r="BEV360" s="598"/>
      <c r="BEW360" s="598"/>
      <c r="BEX360" s="598"/>
      <c r="BEY360" s="598"/>
      <c r="BEZ360" s="598"/>
      <c r="BFA360" s="598"/>
      <c r="BFB360" s="598"/>
      <c r="BFC360" s="598"/>
      <c r="BFD360" s="598"/>
      <c r="BFE360" s="598"/>
      <c r="BFF360" s="598"/>
      <c r="BFG360" s="598"/>
      <c r="BFH360" s="598"/>
      <c r="BFI360" s="598"/>
      <c r="BFJ360" s="598"/>
      <c r="BFK360" s="598"/>
      <c r="BFL360" s="598"/>
      <c r="BFM360" s="598"/>
      <c r="BFN360" s="598"/>
      <c r="BFO360" s="598"/>
      <c r="BFP360" s="598"/>
      <c r="BFQ360" s="598"/>
      <c r="BFR360" s="598"/>
      <c r="BFS360" s="598"/>
      <c r="BFT360" s="598"/>
      <c r="BFU360" s="598"/>
      <c r="BFV360" s="598"/>
      <c r="BFW360" s="598"/>
      <c r="BFX360" s="598"/>
      <c r="BFY360" s="598"/>
      <c r="BFZ360" s="598"/>
      <c r="BGA360" s="598"/>
      <c r="BGB360" s="598"/>
      <c r="BGC360" s="598"/>
      <c r="BGD360" s="598"/>
      <c r="BGE360" s="598"/>
      <c r="BGF360" s="598"/>
      <c r="BGG360" s="598"/>
      <c r="BGH360" s="598"/>
      <c r="BGI360" s="598"/>
      <c r="BGJ360" s="598"/>
      <c r="BGK360" s="598"/>
      <c r="BGL360" s="598"/>
      <c r="BGM360" s="598"/>
      <c r="BGN360" s="598"/>
      <c r="BGO360" s="598"/>
      <c r="BGP360" s="598"/>
      <c r="BGQ360" s="598"/>
      <c r="BGR360" s="598"/>
      <c r="BGS360" s="598"/>
      <c r="BGT360" s="598"/>
      <c r="BGU360" s="598"/>
      <c r="BGV360" s="598"/>
      <c r="BGW360" s="598"/>
      <c r="BGX360" s="598"/>
      <c r="BGY360" s="598"/>
      <c r="BGZ360" s="598"/>
      <c r="BHA360" s="598"/>
      <c r="BHB360" s="598"/>
      <c r="BHC360" s="598"/>
      <c r="BHD360" s="598"/>
      <c r="BHE360" s="598"/>
      <c r="BHF360" s="598"/>
      <c r="BHG360" s="598"/>
      <c r="BHH360" s="598"/>
      <c r="BHI360" s="598"/>
      <c r="BHJ360" s="598"/>
      <c r="BHK360" s="598"/>
      <c r="BHL360" s="598"/>
      <c r="BHM360" s="598"/>
      <c r="BHN360" s="598"/>
      <c r="BHO360" s="598"/>
      <c r="BHP360" s="598"/>
      <c r="BHQ360" s="598"/>
      <c r="BHR360" s="598"/>
      <c r="BHS360" s="598"/>
      <c r="BHT360" s="598"/>
      <c r="BHU360" s="598"/>
      <c r="BHV360" s="598"/>
      <c r="BHW360" s="598"/>
      <c r="BHX360" s="598"/>
      <c r="BHY360" s="598"/>
      <c r="BHZ360" s="598"/>
      <c r="BIA360" s="598"/>
      <c r="BIB360" s="598"/>
      <c r="BIC360" s="598"/>
      <c r="BID360" s="598"/>
      <c r="BIE360" s="598"/>
      <c r="BIF360" s="598"/>
      <c r="BIG360" s="598"/>
      <c r="BIH360" s="598"/>
      <c r="BII360" s="598"/>
      <c r="BIJ360" s="598"/>
      <c r="BIK360" s="598"/>
      <c r="BIL360" s="598"/>
      <c r="BIM360" s="598"/>
      <c r="BIN360" s="598"/>
      <c r="BIO360" s="598"/>
      <c r="BIP360" s="598"/>
      <c r="BIQ360" s="598"/>
      <c r="BIR360" s="598"/>
      <c r="BIS360" s="598"/>
      <c r="BIT360" s="598"/>
      <c r="BIU360" s="598"/>
      <c r="BIV360" s="598"/>
      <c r="BIW360" s="598"/>
      <c r="BIX360" s="598"/>
      <c r="BIY360" s="598"/>
      <c r="BIZ360" s="598"/>
      <c r="BJA360" s="598"/>
      <c r="BJB360" s="598"/>
      <c r="BJC360" s="598"/>
      <c r="BJD360" s="598"/>
      <c r="BJE360" s="598"/>
      <c r="BJF360" s="598"/>
      <c r="BJG360" s="598"/>
      <c r="BJH360" s="598"/>
      <c r="BJI360" s="598"/>
      <c r="BJJ360" s="598"/>
      <c r="BJK360" s="598"/>
      <c r="BJL360" s="598"/>
      <c r="BJM360" s="598"/>
      <c r="BJN360" s="598"/>
      <c r="BJO360" s="598"/>
      <c r="BJP360" s="598"/>
      <c r="BJQ360" s="598"/>
      <c r="BJR360" s="598"/>
      <c r="BJS360" s="598"/>
      <c r="BJT360" s="598"/>
      <c r="BJU360" s="598"/>
      <c r="BJV360" s="598"/>
      <c r="BJW360" s="598"/>
      <c r="BJX360" s="598"/>
      <c r="BJY360" s="598"/>
      <c r="BJZ360" s="598"/>
      <c r="BKA360" s="598"/>
      <c r="BKB360" s="598"/>
      <c r="BKC360" s="598"/>
      <c r="BKD360" s="598"/>
      <c r="BKE360" s="598"/>
      <c r="BKF360" s="598"/>
      <c r="BKG360" s="598"/>
      <c r="BKH360" s="598"/>
      <c r="BKI360" s="598"/>
      <c r="BKJ360" s="598"/>
      <c r="BKK360" s="598"/>
      <c r="BKL360" s="598"/>
      <c r="BKM360" s="598"/>
      <c r="BKN360" s="598"/>
      <c r="BKO360" s="598"/>
      <c r="BKP360" s="598"/>
      <c r="BKQ360" s="598"/>
      <c r="BKR360" s="598"/>
      <c r="BKS360" s="598"/>
      <c r="BKT360" s="598"/>
      <c r="BKU360" s="598"/>
      <c r="BKV360" s="598"/>
      <c r="BKW360" s="598"/>
      <c r="BKX360" s="598"/>
      <c r="BKY360" s="598"/>
      <c r="BKZ360" s="598"/>
      <c r="BLA360" s="598"/>
      <c r="BLB360" s="598"/>
      <c r="BLC360" s="598"/>
      <c r="BLD360" s="598"/>
      <c r="BLE360" s="598"/>
      <c r="BLF360" s="598"/>
      <c r="BLG360" s="598"/>
      <c r="BLH360" s="598"/>
      <c r="BLI360" s="598"/>
      <c r="BLJ360" s="598"/>
      <c r="BLK360" s="598"/>
      <c r="BLL360" s="598"/>
      <c r="BLM360" s="598"/>
      <c r="BLN360" s="598"/>
      <c r="BLO360" s="598"/>
      <c r="BLP360" s="598"/>
      <c r="BLQ360" s="598"/>
      <c r="BLR360" s="598"/>
      <c r="BLS360" s="598"/>
      <c r="BLT360" s="598"/>
      <c r="BLU360" s="598"/>
      <c r="BLV360" s="598"/>
      <c r="BLW360" s="598"/>
      <c r="BLX360" s="598"/>
      <c r="BLY360" s="598"/>
      <c r="BLZ360" s="598"/>
      <c r="BMA360" s="598"/>
      <c r="BMB360" s="598"/>
      <c r="BMC360" s="598"/>
      <c r="BMD360" s="598"/>
      <c r="BME360" s="598"/>
      <c r="BMF360" s="598"/>
      <c r="BMG360" s="598"/>
      <c r="BMH360" s="598"/>
      <c r="BMI360" s="598"/>
      <c r="BMJ360" s="598"/>
      <c r="BMK360" s="598"/>
      <c r="BML360" s="598"/>
      <c r="BMM360" s="598"/>
      <c r="BMN360" s="598"/>
      <c r="BMO360" s="598"/>
      <c r="BMP360" s="598"/>
      <c r="BMQ360" s="598"/>
      <c r="BMR360" s="598"/>
      <c r="BMS360" s="598"/>
      <c r="BMT360" s="598"/>
      <c r="BMU360" s="598"/>
      <c r="BMV360" s="598"/>
      <c r="BMW360" s="598"/>
      <c r="BMX360" s="598"/>
      <c r="BMY360" s="598"/>
      <c r="BMZ360" s="598"/>
      <c r="BNA360" s="598"/>
      <c r="BNB360" s="598"/>
      <c r="BNC360" s="598"/>
      <c r="BND360" s="598"/>
      <c r="BNE360" s="598"/>
      <c r="BNF360" s="598"/>
      <c r="BNG360" s="598"/>
      <c r="BNH360" s="598"/>
      <c r="BNI360" s="598"/>
      <c r="BNJ360" s="598"/>
      <c r="BNK360" s="598"/>
      <c r="BNL360" s="598"/>
      <c r="BNM360" s="598"/>
      <c r="BNN360" s="598"/>
      <c r="BNO360" s="598"/>
      <c r="BNP360" s="598"/>
      <c r="BNQ360" s="598"/>
      <c r="BNR360" s="598"/>
      <c r="BNS360" s="598"/>
      <c r="BNT360" s="598"/>
      <c r="BNU360" s="598"/>
      <c r="BNV360" s="598"/>
      <c r="BNW360" s="598"/>
      <c r="BNX360" s="598"/>
      <c r="BNY360" s="598"/>
      <c r="BNZ360" s="598"/>
      <c r="BOA360" s="598"/>
      <c r="BOB360" s="598"/>
      <c r="BOC360" s="598"/>
      <c r="BOD360" s="598"/>
      <c r="BOE360" s="598"/>
      <c r="BOF360" s="598"/>
      <c r="BOG360" s="598"/>
      <c r="BOH360" s="598"/>
      <c r="BOI360" s="598"/>
      <c r="BOJ360" s="598"/>
      <c r="BOK360" s="598"/>
      <c r="BOL360" s="598"/>
      <c r="BOM360" s="598"/>
      <c r="BON360" s="598"/>
      <c r="BOO360" s="598"/>
      <c r="BOP360" s="598"/>
      <c r="BOQ360" s="598"/>
      <c r="BOR360" s="598"/>
      <c r="BOS360" s="598"/>
      <c r="BOT360" s="598"/>
      <c r="BOU360" s="598"/>
      <c r="BOV360" s="598"/>
      <c r="BOW360" s="598"/>
      <c r="BOX360" s="598"/>
      <c r="BOY360" s="598"/>
      <c r="BOZ360" s="598"/>
      <c r="BPA360" s="598"/>
      <c r="BPB360" s="598"/>
      <c r="BPC360" s="598"/>
      <c r="BPD360" s="598"/>
      <c r="BPE360" s="598"/>
      <c r="BPF360" s="598"/>
      <c r="BPG360" s="598"/>
      <c r="BPH360" s="598"/>
      <c r="BPI360" s="598"/>
      <c r="BPJ360" s="598"/>
      <c r="BPK360" s="598"/>
      <c r="BPL360" s="598"/>
      <c r="BPM360" s="598"/>
      <c r="BPN360" s="598"/>
      <c r="BPO360" s="598"/>
      <c r="BPP360" s="598"/>
      <c r="BPQ360" s="598"/>
      <c r="BPR360" s="598"/>
      <c r="BPS360" s="598"/>
      <c r="BPT360" s="598"/>
      <c r="BPU360" s="598"/>
      <c r="BPV360" s="598"/>
      <c r="BPW360" s="598"/>
      <c r="BPX360" s="598"/>
      <c r="BPY360" s="598"/>
      <c r="BPZ360" s="598"/>
      <c r="BQA360" s="598"/>
      <c r="BQB360" s="598"/>
      <c r="BQC360" s="598"/>
      <c r="BQD360" s="598"/>
      <c r="BQE360" s="598"/>
      <c r="BQF360" s="598"/>
      <c r="BQG360" s="598"/>
      <c r="BQH360" s="598"/>
      <c r="BQI360" s="598"/>
      <c r="BQJ360" s="598"/>
      <c r="BQK360" s="598"/>
      <c r="BQL360" s="598"/>
      <c r="BQM360" s="598"/>
      <c r="BQN360" s="598"/>
      <c r="BQO360" s="598"/>
      <c r="BQP360" s="598"/>
      <c r="BQQ360" s="598"/>
      <c r="BQR360" s="598"/>
      <c r="BQS360" s="598"/>
      <c r="BQT360" s="598"/>
      <c r="BQU360" s="598"/>
      <c r="BQV360" s="598"/>
      <c r="BQW360" s="598"/>
      <c r="BQX360" s="598"/>
      <c r="BQY360" s="598"/>
      <c r="BQZ360" s="598"/>
      <c r="BRA360" s="598"/>
      <c r="BRB360" s="598"/>
      <c r="BRC360" s="598"/>
      <c r="BRD360" s="598"/>
      <c r="BRE360" s="598"/>
      <c r="BRF360" s="598"/>
      <c r="BRG360" s="598"/>
      <c r="BRH360" s="598"/>
      <c r="BRI360" s="598"/>
      <c r="BRJ360" s="598"/>
      <c r="BRK360" s="598"/>
      <c r="BRL360" s="598"/>
      <c r="BRM360" s="598"/>
      <c r="BRN360" s="598"/>
      <c r="BRO360" s="598"/>
      <c r="BRP360" s="598"/>
      <c r="BRQ360" s="598"/>
      <c r="BRR360" s="598"/>
      <c r="BRS360" s="598"/>
      <c r="BRT360" s="598"/>
      <c r="BRU360" s="598"/>
      <c r="BRV360" s="598"/>
      <c r="BRW360" s="598"/>
      <c r="BRX360" s="598"/>
      <c r="BRY360" s="598"/>
      <c r="BRZ360" s="598"/>
      <c r="BSA360" s="598"/>
      <c r="BSB360" s="598"/>
      <c r="BSC360" s="598"/>
      <c r="BSD360" s="598"/>
      <c r="BSE360" s="598"/>
      <c r="BSF360" s="598"/>
      <c r="BSG360" s="598"/>
      <c r="BSH360" s="598"/>
      <c r="BSI360" s="598"/>
      <c r="BSJ360" s="598"/>
      <c r="BSK360" s="598"/>
      <c r="BSL360" s="598"/>
      <c r="BSM360" s="598"/>
      <c r="BSN360" s="598"/>
      <c r="BSO360" s="598"/>
      <c r="BSP360" s="598"/>
      <c r="BSQ360" s="598"/>
      <c r="BSR360" s="598"/>
      <c r="BSS360" s="598"/>
      <c r="BST360" s="598"/>
      <c r="BSU360" s="598"/>
      <c r="BSV360" s="598"/>
      <c r="BSW360" s="598"/>
      <c r="BSX360" s="598"/>
      <c r="BSY360" s="598"/>
      <c r="BSZ360" s="598"/>
      <c r="BTA360" s="598"/>
      <c r="BTB360" s="598"/>
      <c r="BTC360" s="598"/>
      <c r="BTD360" s="598"/>
      <c r="BTE360" s="598"/>
      <c r="BTF360" s="598"/>
      <c r="BTG360" s="598"/>
      <c r="BTH360" s="598"/>
      <c r="BTI360" s="598"/>
      <c r="BTJ360" s="598"/>
      <c r="BTK360" s="598"/>
      <c r="BTL360" s="598"/>
      <c r="BTM360" s="598"/>
      <c r="BTN360" s="598"/>
      <c r="BTO360" s="598"/>
      <c r="BTP360" s="598"/>
      <c r="BTQ360" s="598"/>
      <c r="BTR360" s="598"/>
      <c r="BTS360" s="598"/>
      <c r="BTT360" s="598"/>
      <c r="BTU360" s="598"/>
      <c r="BTV360" s="598"/>
      <c r="BTW360" s="598"/>
      <c r="BTX360" s="598"/>
      <c r="BTY360" s="598"/>
      <c r="BTZ360" s="598"/>
      <c r="BUA360" s="598"/>
      <c r="BUB360" s="598"/>
      <c r="BUC360" s="598"/>
      <c r="BUD360" s="598"/>
      <c r="BUE360" s="598"/>
      <c r="BUF360" s="598"/>
      <c r="BUG360" s="598"/>
      <c r="BUH360" s="598"/>
      <c r="BUI360" s="598"/>
      <c r="BUJ360" s="598"/>
      <c r="BUK360" s="598"/>
      <c r="BUL360" s="598"/>
      <c r="BUM360" s="598"/>
      <c r="BUN360" s="598"/>
      <c r="BUO360" s="598"/>
      <c r="BUP360" s="598"/>
      <c r="BUQ360" s="598"/>
      <c r="BUR360" s="598"/>
      <c r="BUS360" s="598"/>
      <c r="BUT360" s="598"/>
      <c r="BUU360" s="598"/>
      <c r="BUV360" s="598"/>
      <c r="BUW360" s="598"/>
      <c r="BUX360" s="598"/>
      <c r="BUY360" s="598"/>
      <c r="BUZ360" s="598"/>
      <c r="BVA360" s="598"/>
      <c r="BVB360" s="598"/>
      <c r="BVC360" s="598"/>
      <c r="BVD360" s="598"/>
      <c r="BVE360" s="598"/>
      <c r="BVF360" s="598"/>
      <c r="BVG360" s="598"/>
      <c r="BVH360" s="598"/>
      <c r="BVI360" s="598"/>
      <c r="BVJ360" s="598"/>
      <c r="BVK360" s="598"/>
      <c r="BVL360" s="598"/>
      <c r="BVM360" s="598"/>
      <c r="BVN360" s="598"/>
      <c r="BVO360" s="598"/>
      <c r="BVP360" s="598"/>
      <c r="BVQ360" s="598"/>
      <c r="BVR360" s="598"/>
      <c r="BVS360" s="598"/>
      <c r="BVT360" s="598"/>
      <c r="BVU360" s="598"/>
      <c r="BVV360" s="598"/>
      <c r="BVW360" s="598"/>
      <c r="BVX360" s="598"/>
      <c r="BVY360" s="598"/>
      <c r="BVZ360" s="598"/>
      <c r="BWA360" s="598"/>
      <c r="BWB360" s="598"/>
      <c r="BWC360" s="598"/>
      <c r="BWD360" s="598"/>
      <c r="BWE360" s="598"/>
      <c r="BWF360" s="598"/>
      <c r="BWG360" s="598"/>
      <c r="BWH360" s="598"/>
      <c r="BWI360" s="598"/>
      <c r="BWJ360" s="598"/>
      <c r="BWK360" s="598"/>
      <c r="BWL360" s="598"/>
      <c r="BWM360" s="598"/>
      <c r="BWN360" s="598"/>
      <c r="BWO360" s="598"/>
      <c r="BWP360" s="598"/>
      <c r="BWQ360" s="598"/>
      <c r="BWR360" s="598"/>
      <c r="BWS360" s="598"/>
      <c r="BWT360" s="598"/>
      <c r="BWU360" s="598"/>
      <c r="BWV360" s="598"/>
      <c r="BWW360" s="598"/>
      <c r="BWX360" s="598"/>
      <c r="BWY360" s="598"/>
      <c r="BWZ360" s="598"/>
      <c r="BXA360" s="598"/>
      <c r="BXB360" s="598"/>
      <c r="BXC360" s="598"/>
      <c r="BXD360" s="598"/>
      <c r="BXE360" s="598"/>
      <c r="BXF360" s="598"/>
      <c r="BXG360" s="598"/>
      <c r="BXH360" s="598"/>
      <c r="BXI360" s="598"/>
      <c r="BXJ360" s="598"/>
      <c r="BXK360" s="598"/>
      <c r="BXL360" s="598"/>
      <c r="BXM360" s="598"/>
      <c r="BXN360" s="598"/>
      <c r="BXO360" s="598"/>
      <c r="BXP360" s="598"/>
      <c r="BXQ360" s="598"/>
      <c r="BXR360" s="598"/>
      <c r="BXS360" s="598"/>
      <c r="BXT360" s="598"/>
      <c r="BXU360" s="598"/>
      <c r="BXV360" s="598"/>
      <c r="BXW360" s="598"/>
      <c r="BXX360" s="598"/>
      <c r="BXY360" s="598"/>
      <c r="BXZ360" s="598"/>
      <c r="BYA360" s="598"/>
      <c r="BYB360" s="598"/>
      <c r="BYC360" s="598"/>
      <c r="BYD360" s="598"/>
      <c r="BYE360" s="598"/>
      <c r="BYF360" s="598"/>
      <c r="BYG360" s="598"/>
      <c r="BYH360" s="598"/>
      <c r="BYI360" s="598"/>
      <c r="BYJ360" s="598"/>
      <c r="BYK360" s="598"/>
      <c r="BYL360" s="598"/>
      <c r="BYM360" s="598"/>
      <c r="BYN360" s="598"/>
      <c r="BYO360" s="598"/>
      <c r="BYP360" s="598"/>
      <c r="BYQ360" s="598"/>
      <c r="BYR360" s="598"/>
      <c r="BYS360" s="598"/>
      <c r="BYT360" s="598"/>
      <c r="BYU360" s="598"/>
      <c r="BYV360" s="598"/>
      <c r="BYW360" s="598"/>
      <c r="BYX360" s="598"/>
      <c r="BYY360" s="598"/>
      <c r="BYZ360" s="598"/>
      <c r="BZA360" s="598"/>
      <c r="BZB360" s="598"/>
      <c r="BZC360" s="598"/>
      <c r="BZD360" s="598"/>
      <c r="BZE360" s="598"/>
      <c r="BZF360" s="598"/>
      <c r="BZG360" s="598"/>
      <c r="BZH360" s="598"/>
      <c r="BZI360" s="598"/>
      <c r="BZJ360" s="598"/>
      <c r="BZK360" s="598"/>
      <c r="BZL360" s="598"/>
      <c r="BZM360" s="598"/>
      <c r="BZN360" s="598"/>
      <c r="BZO360" s="598"/>
      <c r="BZP360" s="598"/>
      <c r="BZQ360" s="598"/>
      <c r="BZR360" s="598"/>
      <c r="BZS360" s="598"/>
      <c r="BZT360" s="598"/>
      <c r="BZU360" s="598"/>
      <c r="BZV360" s="598"/>
      <c r="BZW360" s="598"/>
      <c r="BZX360" s="598"/>
      <c r="BZY360" s="598"/>
      <c r="BZZ360" s="598"/>
      <c r="CAA360" s="598"/>
      <c r="CAB360" s="598"/>
      <c r="CAC360" s="598"/>
      <c r="CAD360" s="598"/>
      <c r="CAE360" s="598"/>
      <c r="CAF360" s="598"/>
      <c r="CAG360" s="598"/>
      <c r="CAH360" s="598"/>
      <c r="CAI360" s="598"/>
      <c r="CAJ360" s="598"/>
      <c r="CAK360" s="598"/>
      <c r="CAL360" s="598"/>
      <c r="CAM360" s="598"/>
      <c r="CAN360" s="598"/>
      <c r="CAO360" s="598"/>
      <c r="CAP360" s="598"/>
      <c r="CAQ360" s="598"/>
      <c r="CAR360" s="598"/>
      <c r="CAS360" s="598"/>
      <c r="CAT360" s="598"/>
      <c r="CAU360" s="598"/>
      <c r="CAV360" s="598"/>
      <c r="CAW360" s="598"/>
      <c r="CAX360" s="598"/>
      <c r="CAY360" s="598"/>
      <c r="CAZ360" s="598"/>
      <c r="CBA360" s="598"/>
      <c r="CBB360" s="598"/>
      <c r="CBC360" s="598"/>
      <c r="CBD360" s="598"/>
      <c r="CBE360" s="598"/>
      <c r="CBF360" s="598"/>
      <c r="CBG360" s="598"/>
      <c r="CBH360" s="598"/>
      <c r="CBI360" s="598"/>
      <c r="CBJ360" s="598"/>
      <c r="CBK360" s="598"/>
      <c r="CBL360" s="598"/>
      <c r="CBM360" s="598"/>
      <c r="CBN360" s="598"/>
      <c r="CBO360" s="598"/>
      <c r="CBP360" s="598"/>
      <c r="CBQ360" s="598"/>
      <c r="CBR360" s="598"/>
      <c r="CBS360" s="598"/>
      <c r="CBT360" s="598"/>
      <c r="CBU360" s="598"/>
      <c r="CBV360" s="598"/>
      <c r="CBW360" s="598"/>
      <c r="CBX360" s="598"/>
      <c r="CBY360" s="598"/>
      <c r="CBZ360" s="598"/>
      <c r="CCA360" s="598"/>
      <c r="CCB360" s="598"/>
      <c r="CCC360" s="598"/>
      <c r="CCD360" s="598"/>
      <c r="CCE360" s="598"/>
      <c r="CCF360" s="598"/>
      <c r="CCG360" s="598"/>
      <c r="CCH360" s="598"/>
      <c r="CCI360" s="598"/>
      <c r="CCJ360" s="598"/>
      <c r="CCK360" s="598"/>
      <c r="CCL360" s="598"/>
      <c r="CCM360" s="598"/>
      <c r="CCN360" s="598"/>
      <c r="CCO360" s="598"/>
      <c r="CCP360" s="598"/>
      <c r="CCQ360" s="598"/>
      <c r="CCR360" s="598"/>
      <c r="CCS360" s="598"/>
      <c r="CCT360" s="598"/>
      <c r="CCU360" s="598"/>
      <c r="CCV360" s="598"/>
      <c r="CCW360" s="598"/>
      <c r="CCX360" s="598"/>
      <c r="CCY360" s="598"/>
      <c r="CCZ360" s="598"/>
      <c r="CDA360" s="598"/>
      <c r="CDB360" s="598"/>
      <c r="CDC360" s="598"/>
      <c r="CDD360" s="598"/>
      <c r="CDE360" s="598"/>
      <c r="CDF360" s="598"/>
      <c r="CDG360" s="598"/>
      <c r="CDH360" s="598"/>
      <c r="CDI360" s="598"/>
      <c r="CDJ360" s="598"/>
      <c r="CDK360" s="598"/>
      <c r="CDL360" s="598"/>
      <c r="CDM360" s="598"/>
      <c r="CDN360" s="598"/>
      <c r="CDO360" s="598"/>
      <c r="CDP360" s="598"/>
      <c r="CDQ360" s="598"/>
      <c r="CDR360" s="598"/>
      <c r="CDS360" s="598"/>
      <c r="CDT360" s="598"/>
      <c r="CDU360" s="598"/>
      <c r="CDV360" s="598"/>
      <c r="CDW360" s="598"/>
      <c r="CDX360" s="598"/>
      <c r="CDY360" s="598"/>
      <c r="CDZ360" s="598"/>
      <c r="CEA360" s="598"/>
      <c r="CEB360" s="598"/>
      <c r="CEC360" s="598"/>
      <c r="CED360" s="598"/>
      <c r="CEE360" s="598"/>
      <c r="CEF360" s="598"/>
      <c r="CEG360" s="598"/>
      <c r="CEH360" s="598"/>
      <c r="CEI360" s="598"/>
      <c r="CEJ360" s="598"/>
      <c r="CEK360" s="598"/>
      <c r="CEL360" s="598"/>
      <c r="CEM360" s="598"/>
      <c r="CEN360" s="598"/>
      <c r="CEO360" s="598"/>
      <c r="CEP360" s="598"/>
      <c r="CEQ360" s="598"/>
      <c r="CER360" s="598"/>
      <c r="CES360" s="598"/>
      <c r="CET360" s="598"/>
      <c r="CEU360" s="598"/>
      <c r="CEV360" s="598"/>
      <c r="CEW360" s="598"/>
      <c r="CEX360" s="598"/>
      <c r="CEY360" s="598"/>
      <c r="CEZ360" s="598"/>
      <c r="CFA360" s="598"/>
      <c r="CFB360" s="598"/>
      <c r="CFC360" s="598"/>
      <c r="CFD360" s="598"/>
      <c r="CFE360" s="598"/>
      <c r="CFF360" s="598"/>
      <c r="CFG360" s="598"/>
      <c r="CFH360" s="598"/>
      <c r="CFI360" s="598"/>
      <c r="CFJ360" s="598"/>
      <c r="CFK360" s="598"/>
      <c r="CFL360" s="598"/>
      <c r="CFM360" s="598"/>
      <c r="CFN360" s="598"/>
      <c r="CFO360" s="598"/>
      <c r="CFP360" s="598"/>
      <c r="CFQ360" s="598"/>
      <c r="CFR360" s="598"/>
      <c r="CFS360" s="598"/>
      <c r="CFT360" s="598"/>
      <c r="CFU360" s="598"/>
      <c r="CFV360" s="598"/>
      <c r="CFW360" s="598"/>
      <c r="CFX360" s="598"/>
      <c r="CFY360" s="598"/>
      <c r="CFZ360" s="598"/>
      <c r="CGA360" s="598"/>
      <c r="CGB360" s="598"/>
      <c r="CGC360" s="598"/>
      <c r="CGD360" s="598"/>
      <c r="CGE360" s="598"/>
      <c r="CGF360" s="598"/>
      <c r="CGG360" s="598"/>
      <c r="CGH360" s="598"/>
      <c r="CGI360" s="598"/>
      <c r="CGJ360" s="598"/>
      <c r="CGK360" s="598"/>
      <c r="CGL360" s="598"/>
      <c r="CGM360" s="598"/>
      <c r="CGN360" s="598"/>
      <c r="CGO360" s="598"/>
      <c r="CGP360" s="598"/>
      <c r="CGQ360" s="598"/>
      <c r="CGR360" s="598"/>
      <c r="CGS360" s="598"/>
      <c r="CGT360" s="598"/>
      <c r="CGU360" s="598"/>
      <c r="CGV360" s="598"/>
      <c r="CGW360" s="598"/>
      <c r="CGX360" s="598"/>
      <c r="CGY360" s="598"/>
      <c r="CGZ360" s="598"/>
      <c r="CHA360" s="598"/>
      <c r="CHB360" s="598"/>
      <c r="CHC360" s="598"/>
      <c r="CHD360" s="598"/>
      <c r="CHE360" s="598"/>
      <c r="CHF360" s="598"/>
      <c r="CHG360" s="598"/>
      <c r="CHH360" s="598"/>
      <c r="CHI360" s="598"/>
      <c r="CHJ360" s="598"/>
      <c r="CHK360" s="598"/>
      <c r="CHL360" s="598"/>
      <c r="CHM360" s="598"/>
      <c r="CHN360" s="598"/>
      <c r="CHO360" s="598"/>
      <c r="CHP360" s="598"/>
      <c r="CHQ360" s="598"/>
      <c r="CHR360" s="598"/>
      <c r="CHS360" s="598"/>
      <c r="CHT360" s="598"/>
      <c r="CHU360" s="598"/>
      <c r="CHV360" s="598"/>
      <c r="CHW360" s="598"/>
      <c r="CHX360" s="598"/>
      <c r="CHY360" s="598"/>
      <c r="CHZ360" s="598"/>
      <c r="CIA360" s="598"/>
      <c r="CIB360" s="598"/>
      <c r="CIC360" s="598"/>
      <c r="CID360" s="598"/>
      <c r="CIE360" s="598"/>
      <c r="CIF360" s="598"/>
      <c r="CIG360" s="598"/>
      <c r="CIH360" s="598"/>
      <c r="CII360" s="598"/>
      <c r="CIJ360" s="598"/>
      <c r="CIK360" s="598"/>
      <c r="CIL360" s="598"/>
      <c r="CIM360" s="598"/>
      <c r="CIN360" s="598"/>
      <c r="CIO360" s="598"/>
      <c r="CIP360" s="598"/>
      <c r="CIQ360" s="598"/>
      <c r="CIR360" s="598"/>
      <c r="CIS360" s="598"/>
      <c r="CIT360" s="598"/>
      <c r="CIU360" s="598"/>
      <c r="CIV360" s="598"/>
      <c r="CIW360" s="598"/>
      <c r="CIX360" s="598"/>
      <c r="CIY360" s="598"/>
      <c r="CIZ360" s="598"/>
      <c r="CJA360" s="598"/>
      <c r="CJB360" s="598"/>
      <c r="CJC360" s="598"/>
      <c r="CJD360" s="598"/>
      <c r="CJE360" s="598"/>
      <c r="CJF360" s="598"/>
      <c r="CJG360" s="598"/>
      <c r="CJH360" s="598"/>
      <c r="CJI360" s="598"/>
      <c r="CJJ360" s="598"/>
      <c r="CJK360" s="598"/>
      <c r="CJL360" s="598"/>
      <c r="CJM360" s="598"/>
      <c r="CJN360" s="598"/>
      <c r="CJO360" s="598"/>
      <c r="CJP360" s="598"/>
      <c r="CJQ360" s="598"/>
      <c r="CJR360" s="598"/>
      <c r="CJS360" s="598"/>
      <c r="CJT360" s="598"/>
      <c r="CJU360" s="598"/>
      <c r="CJV360" s="598"/>
      <c r="CJW360" s="598"/>
      <c r="CJX360" s="598"/>
      <c r="CJY360" s="598"/>
      <c r="CJZ360" s="598"/>
      <c r="CKA360" s="598"/>
      <c r="CKB360" s="598"/>
      <c r="CKC360" s="598"/>
      <c r="CKD360" s="598"/>
      <c r="CKE360" s="598"/>
      <c r="CKF360" s="598"/>
      <c r="CKG360" s="598"/>
      <c r="CKH360" s="598"/>
      <c r="CKI360" s="598"/>
      <c r="CKJ360" s="598"/>
      <c r="CKK360" s="598"/>
      <c r="CKL360" s="598"/>
      <c r="CKM360" s="598"/>
      <c r="CKN360" s="598"/>
      <c r="CKO360" s="598"/>
      <c r="CKP360" s="598"/>
      <c r="CKQ360" s="598"/>
      <c r="CKR360" s="598"/>
      <c r="CKS360" s="598"/>
      <c r="CKT360" s="598"/>
      <c r="CKU360" s="598"/>
      <c r="CKV360" s="598"/>
      <c r="CKW360" s="598"/>
      <c r="CKX360" s="598"/>
      <c r="CKY360" s="598"/>
      <c r="CKZ360" s="598"/>
      <c r="CLA360" s="598"/>
      <c r="CLB360" s="598"/>
      <c r="CLC360" s="598"/>
      <c r="CLD360" s="598"/>
      <c r="CLE360" s="598"/>
      <c r="CLF360" s="598"/>
      <c r="CLG360" s="598"/>
      <c r="CLH360" s="598"/>
      <c r="CLI360" s="598"/>
      <c r="CLJ360" s="598"/>
      <c r="CLK360" s="598"/>
      <c r="CLL360" s="598"/>
      <c r="CLM360" s="598"/>
      <c r="CLN360" s="598"/>
      <c r="CLO360" s="598"/>
      <c r="CLP360" s="598"/>
      <c r="CLQ360" s="598"/>
      <c r="CLR360" s="598"/>
      <c r="CLS360" s="598"/>
      <c r="CLT360" s="598"/>
      <c r="CLU360" s="598"/>
      <c r="CLV360" s="598"/>
      <c r="CLW360" s="598"/>
      <c r="CLX360" s="598"/>
      <c r="CLY360" s="598"/>
      <c r="CLZ360" s="598"/>
      <c r="CMA360" s="598"/>
      <c r="CMB360" s="598"/>
      <c r="CMC360" s="598"/>
      <c r="CMD360" s="598"/>
      <c r="CME360" s="598"/>
      <c r="CMF360" s="598"/>
      <c r="CMG360" s="598"/>
      <c r="CMH360" s="598"/>
      <c r="CMI360" s="598"/>
      <c r="CMJ360" s="598"/>
      <c r="CMK360" s="598"/>
      <c r="CML360" s="598"/>
      <c r="CMM360" s="598"/>
      <c r="CMN360" s="598"/>
      <c r="CMO360" s="598"/>
      <c r="CMP360" s="598"/>
      <c r="CMQ360" s="598"/>
      <c r="CMR360" s="598"/>
      <c r="CMS360" s="598"/>
      <c r="CMT360" s="598"/>
      <c r="CMU360" s="598"/>
      <c r="CMV360" s="598"/>
      <c r="CMW360" s="598"/>
      <c r="CMX360" s="598"/>
      <c r="CMY360" s="598"/>
      <c r="CMZ360" s="598"/>
      <c r="CNA360" s="598"/>
      <c r="CNB360" s="598"/>
      <c r="CNC360" s="598"/>
      <c r="CND360" s="598"/>
      <c r="CNE360" s="598"/>
      <c r="CNF360" s="598"/>
      <c r="CNG360" s="598"/>
      <c r="CNH360" s="598"/>
      <c r="CNI360" s="598"/>
      <c r="CNJ360" s="598"/>
      <c r="CNK360" s="598"/>
      <c r="CNL360" s="598"/>
      <c r="CNM360" s="598"/>
      <c r="CNN360" s="598"/>
      <c r="CNO360" s="598"/>
      <c r="CNP360" s="598"/>
      <c r="CNQ360" s="598"/>
      <c r="CNR360" s="598"/>
      <c r="CNS360" s="598"/>
      <c r="CNT360" s="598"/>
      <c r="CNU360" s="598"/>
      <c r="CNV360" s="598"/>
      <c r="CNW360" s="598"/>
      <c r="CNX360" s="598"/>
      <c r="CNY360" s="598"/>
      <c r="CNZ360" s="598"/>
      <c r="COA360" s="598"/>
      <c r="COB360" s="598"/>
      <c r="COC360" s="598"/>
      <c r="COD360" s="598"/>
      <c r="COE360" s="598"/>
      <c r="COF360" s="598"/>
      <c r="COG360" s="598"/>
      <c r="COH360" s="598"/>
      <c r="COI360" s="598"/>
      <c r="COJ360" s="598"/>
      <c r="COK360" s="598"/>
      <c r="COL360" s="598"/>
      <c r="COM360" s="598"/>
      <c r="CON360" s="598"/>
      <c r="COO360" s="598"/>
      <c r="COP360" s="598"/>
      <c r="COQ360" s="598"/>
      <c r="COR360" s="598"/>
      <c r="COS360" s="598"/>
      <c r="COT360" s="598"/>
      <c r="COU360" s="598"/>
      <c r="COV360" s="598"/>
      <c r="COW360" s="598"/>
      <c r="COX360" s="598"/>
      <c r="COY360" s="598"/>
      <c r="COZ360" s="598"/>
      <c r="CPA360" s="598"/>
      <c r="CPB360" s="598"/>
      <c r="CPC360" s="598"/>
      <c r="CPD360" s="598"/>
      <c r="CPE360" s="598"/>
      <c r="CPF360" s="598"/>
      <c r="CPG360" s="598"/>
      <c r="CPH360" s="598"/>
      <c r="CPI360" s="598"/>
      <c r="CPJ360" s="598"/>
      <c r="CPK360" s="598"/>
      <c r="CPL360" s="598"/>
      <c r="CPM360" s="598"/>
      <c r="CPN360" s="598"/>
      <c r="CPO360" s="598"/>
      <c r="CPP360" s="598"/>
      <c r="CPQ360" s="598"/>
      <c r="CPR360" s="598"/>
      <c r="CPS360" s="598"/>
      <c r="CPT360" s="598"/>
      <c r="CPU360" s="598"/>
      <c r="CPV360" s="598"/>
      <c r="CPW360" s="598"/>
      <c r="CPX360" s="598"/>
      <c r="CPY360" s="598"/>
      <c r="CPZ360" s="598"/>
      <c r="CQA360" s="598"/>
      <c r="CQB360" s="598"/>
      <c r="CQC360" s="598"/>
      <c r="CQD360" s="598"/>
      <c r="CQE360" s="598"/>
      <c r="CQF360" s="598"/>
      <c r="CQG360" s="598"/>
      <c r="CQH360" s="598"/>
      <c r="CQI360" s="598"/>
      <c r="CQJ360" s="598"/>
      <c r="CQK360" s="598"/>
      <c r="CQL360" s="598"/>
      <c r="CQM360" s="598"/>
      <c r="CQN360" s="598"/>
      <c r="CQO360" s="598"/>
      <c r="CQP360" s="598"/>
      <c r="CQQ360" s="598"/>
      <c r="CQR360" s="598"/>
      <c r="CQS360" s="598"/>
      <c r="CQT360" s="598"/>
      <c r="CQU360" s="598"/>
      <c r="CQV360" s="598"/>
      <c r="CQW360" s="598"/>
      <c r="CQX360" s="598"/>
      <c r="CQY360" s="598"/>
      <c r="CQZ360" s="598"/>
      <c r="CRA360" s="598"/>
      <c r="CRB360" s="598"/>
      <c r="CRC360" s="598"/>
      <c r="CRD360" s="598"/>
      <c r="CRE360" s="598"/>
      <c r="CRF360" s="598"/>
      <c r="CRG360" s="598"/>
      <c r="CRH360" s="598"/>
      <c r="CRI360" s="598"/>
      <c r="CRJ360" s="598"/>
      <c r="CRK360" s="598"/>
      <c r="CRL360" s="598"/>
      <c r="CRM360" s="598"/>
      <c r="CRN360" s="598"/>
      <c r="CRO360" s="598"/>
      <c r="CRP360" s="598"/>
      <c r="CRQ360" s="598"/>
      <c r="CRR360" s="598"/>
      <c r="CRS360" s="598"/>
      <c r="CRT360" s="598"/>
      <c r="CRU360" s="598"/>
      <c r="CRV360" s="598"/>
      <c r="CRW360" s="598"/>
      <c r="CRX360" s="598"/>
      <c r="CRY360" s="598"/>
      <c r="CRZ360" s="598"/>
      <c r="CSA360" s="598"/>
      <c r="CSB360" s="598"/>
      <c r="CSC360" s="598"/>
      <c r="CSD360" s="598"/>
      <c r="CSE360" s="598"/>
      <c r="CSF360" s="598"/>
      <c r="CSG360" s="598"/>
      <c r="CSH360" s="598"/>
      <c r="CSI360" s="598"/>
      <c r="CSJ360" s="598"/>
      <c r="CSK360" s="598"/>
      <c r="CSL360" s="598"/>
      <c r="CSM360" s="598"/>
      <c r="CSN360" s="598"/>
      <c r="CSO360" s="598"/>
      <c r="CSP360" s="598"/>
      <c r="CSQ360" s="598"/>
      <c r="CSR360" s="598"/>
      <c r="CSS360" s="598"/>
      <c r="CST360" s="598"/>
      <c r="CSU360" s="598"/>
      <c r="CSV360" s="598"/>
      <c r="CSW360" s="598"/>
      <c r="CSX360" s="598"/>
      <c r="CSY360" s="598"/>
      <c r="CSZ360" s="598"/>
      <c r="CTA360" s="598"/>
      <c r="CTB360" s="598"/>
      <c r="CTC360" s="598"/>
      <c r="CTD360" s="598"/>
      <c r="CTE360" s="598"/>
      <c r="CTF360" s="598"/>
      <c r="CTG360" s="598"/>
      <c r="CTH360" s="598"/>
      <c r="CTI360" s="598"/>
      <c r="CTJ360" s="598"/>
      <c r="CTK360" s="598"/>
      <c r="CTL360" s="598"/>
      <c r="CTM360" s="598"/>
      <c r="CTN360" s="598"/>
      <c r="CTO360" s="598"/>
      <c r="CTP360" s="598"/>
      <c r="CTQ360" s="598"/>
      <c r="CTR360" s="598"/>
      <c r="CTS360" s="598"/>
      <c r="CTT360" s="598"/>
      <c r="CTU360" s="598"/>
      <c r="CTV360" s="598"/>
      <c r="CTW360" s="598"/>
      <c r="CTX360" s="598"/>
      <c r="CTY360" s="598"/>
      <c r="CTZ360" s="598"/>
      <c r="CUA360" s="598"/>
      <c r="CUB360" s="598"/>
      <c r="CUC360" s="598"/>
      <c r="CUD360" s="598"/>
      <c r="CUE360" s="598"/>
      <c r="CUF360" s="598"/>
      <c r="CUG360" s="598"/>
      <c r="CUH360" s="598"/>
      <c r="CUI360" s="598"/>
      <c r="CUJ360" s="598"/>
      <c r="CUK360" s="598"/>
      <c r="CUL360" s="598"/>
      <c r="CUM360" s="598"/>
      <c r="CUN360" s="598"/>
      <c r="CUO360" s="598"/>
      <c r="CUP360" s="598"/>
      <c r="CUQ360" s="598"/>
      <c r="CUR360" s="598"/>
      <c r="CUS360" s="598"/>
      <c r="CUT360" s="598"/>
      <c r="CUU360" s="598"/>
      <c r="CUV360" s="598"/>
      <c r="CUW360" s="598"/>
      <c r="CUX360" s="598"/>
      <c r="CUY360" s="598"/>
      <c r="CUZ360" s="598"/>
      <c r="CVA360" s="598"/>
      <c r="CVB360" s="598"/>
      <c r="CVC360" s="598"/>
      <c r="CVD360" s="598"/>
      <c r="CVE360" s="598"/>
      <c r="CVF360" s="598"/>
      <c r="CVG360" s="598"/>
      <c r="CVH360" s="598"/>
      <c r="CVI360" s="598"/>
      <c r="CVJ360" s="598"/>
      <c r="CVK360" s="598"/>
      <c r="CVL360" s="598"/>
      <c r="CVM360" s="598"/>
      <c r="CVN360" s="598"/>
      <c r="CVO360" s="598"/>
      <c r="CVP360" s="598"/>
      <c r="CVQ360" s="598"/>
      <c r="CVR360" s="598"/>
      <c r="CVS360" s="598"/>
      <c r="CVT360" s="598"/>
      <c r="CVU360" s="598"/>
      <c r="CVV360" s="598"/>
      <c r="CVW360" s="598"/>
      <c r="CVX360" s="598"/>
      <c r="CVY360" s="598"/>
      <c r="CVZ360" s="598"/>
      <c r="CWA360" s="598"/>
      <c r="CWB360" s="598"/>
      <c r="CWC360" s="598"/>
      <c r="CWD360" s="598"/>
      <c r="CWE360" s="598"/>
      <c r="CWF360" s="598"/>
      <c r="CWG360" s="598"/>
      <c r="CWH360" s="598"/>
      <c r="CWI360" s="598"/>
      <c r="CWJ360" s="598"/>
      <c r="CWK360" s="598"/>
      <c r="CWL360" s="598"/>
      <c r="CWM360" s="598"/>
      <c r="CWN360" s="598"/>
      <c r="CWO360" s="598"/>
      <c r="CWP360" s="598"/>
      <c r="CWQ360" s="598"/>
      <c r="CWR360" s="598"/>
      <c r="CWS360" s="598"/>
      <c r="CWT360" s="598"/>
      <c r="CWU360" s="598"/>
      <c r="CWV360" s="598"/>
      <c r="CWW360" s="598"/>
      <c r="CWX360" s="598"/>
      <c r="CWY360" s="598"/>
      <c r="CWZ360" s="598"/>
      <c r="CXA360" s="598"/>
      <c r="CXB360" s="598"/>
      <c r="CXC360" s="598"/>
      <c r="CXD360" s="598"/>
      <c r="CXE360" s="598"/>
      <c r="CXF360" s="598"/>
      <c r="CXG360" s="598"/>
      <c r="CXH360" s="598"/>
      <c r="CXI360" s="598"/>
      <c r="CXJ360" s="598"/>
      <c r="CXK360" s="598"/>
      <c r="CXL360" s="598"/>
      <c r="CXM360" s="598"/>
      <c r="CXN360" s="598"/>
      <c r="CXO360" s="598"/>
      <c r="CXP360" s="598"/>
      <c r="CXQ360" s="598"/>
      <c r="CXR360" s="598"/>
      <c r="CXS360" s="598"/>
      <c r="CXT360" s="598"/>
      <c r="CXU360" s="598"/>
      <c r="CXV360" s="598"/>
      <c r="CXW360" s="598"/>
      <c r="CXX360" s="598"/>
      <c r="CXY360" s="598"/>
      <c r="CXZ360" s="598"/>
      <c r="CYA360" s="598"/>
      <c r="CYB360" s="598"/>
      <c r="CYC360" s="598"/>
      <c r="CYD360" s="598"/>
      <c r="CYE360" s="598"/>
      <c r="CYF360" s="598"/>
      <c r="CYG360" s="598"/>
      <c r="CYH360" s="598"/>
      <c r="CYI360" s="598"/>
      <c r="CYJ360" s="598"/>
      <c r="CYK360" s="598"/>
      <c r="CYL360" s="598"/>
      <c r="CYM360" s="598"/>
      <c r="CYN360" s="598"/>
      <c r="CYO360" s="598"/>
      <c r="CYP360" s="598"/>
      <c r="CYQ360" s="598"/>
      <c r="CYR360" s="598"/>
      <c r="CYS360" s="598"/>
      <c r="CYT360" s="598"/>
      <c r="CYU360" s="598"/>
      <c r="CYV360" s="598"/>
      <c r="CYW360" s="598"/>
      <c r="CYX360" s="598"/>
      <c r="CYY360" s="598"/>
      <c r="CYZ360" s="598"/>
      <c r="CZA360" s="598"/>
      <c r="CZB360" s="598"/>
      <c r="CZC360" s="598"/>
      <c r="CZD360" s="598"/>
      <c r="CZE360" s="598"/>
      <c r="CZF360" s="598"/>
      <c r="CZG360" s="598"/>
      <c r="CZH360" s="598"/>
      <c r="CZI360" s="598"/>
      <c r="CZJ360" s="598"/>
      <c r="CZK360" s="598"/>
      <c r="CZL360" s="598"/>
      <c r="CZM360" s="598"/>
      <c r="CZN360" s="598"/>
      <c r="CZO360" s="598"/>
      <c r="CZP360" s="598"/>
      <c r="CZQ360" s="598"/>
      <c r="CZR360" s="598"/>
      <c r="CZS360" s="598"/>
      <c r="CZT360" s="598"/>
      <c r="CZU360" s="598"/>
      <c r="CZV360" s="598"/>
      <c r="CZW360" s="598"/>
      <c r="CZX360" s="598"/>
      <c r="CZY360" s="598"/>
      <c r="CZZ360" s="598"/>
      <c r="DAA360" s="598"/>
      <c r="DAB360" s="598"/>
      <c r="DAC360" s="598"/>
      <c r="DAD360" s="598"/>
      <c r="DAE360" s="598"/>
      <c r="DAF360" s="598"/>
      <c r="DAG360" s="598"/>
      <c r="DAH360" s="598"/>
      <c r="DAI360" s="598"/>
      <c r="DAJ360" s="598"/>
      <c r="DAK360" s="598"/>
      <c r="DAL360" s="598"/>
      <c r="DAM360" s="598"/>
      <c r="DAN360" s="598"/>
      <c r="DAO360" s="598"/>
      <c r="DAP360" s="598"/>
      <c r="DAQ360" s="598"/>
      <c r="DAR360" s="598"/>
      <c r="DAS360" s="598"/>
      <c r="DAT360" s="598"/>
      <c r="DAU360" s="598"/>
      <c r="DAV360" s="598"/>
      <c r="DAW360" s="598"/>
      <c r="DAX360" s="598"/>
      <c r="DAY360" s="598"/>
      <c r="DAZ360" s="598"/>
      <c r="DBA360" s="598"/>
      <c r="DBB360" s="598"/>
      <c r="DBC360" s="598"/>
      <c r="DBD360" s="598"/>
      <c r="DBE360" s="598"/>
      <c r="DBF360" s="598"/>
      <c r="DBG360" s="598"/>
      <c r="DBH360" s="598"/>
      <c r="DBI360" s="598"/>
      <c r="DBJ360" s="598"/>
      <c r="DBK360" s="598"/>
      <c r="DBL360" s="598"/>
      <c r="DBM360" s="598"/>
      <c r="DBN360" s="598"/>
      <c r="DBO360" s="598"/>
      <c r="DBP360" s="598"/>
      <c r="DBQ360" s="598"/>
      <c r="DBR360" s="598"/>
      <c r="DBS360" s="598"/>
      <c r="DBT360" s="598"/>
      <c r="DBU360" s="598"/>
      <c r="DBV360" s="598"/>
      <c r="DBW360" s="598"/>
      <c r="DBX360" s="598"/>
      <c r="DBY360" s="598"/>
      <c r="DBZ360" s="598"/>
      <c r="DCA360" s="598"/>
      <c r="DCB360" s="598"/>
      <c r="DCC360" s="598"/>
      <c r="DCD360" s="598"/>
      <c r="DCE360" s="598"/>
      <c r="DCF360" s="598"/>
      <c r="DCG360" s="598"/>
      <c r="DCH360" s="598"/>
      <c r="DCI360" s="598"/>
      <c r="DCJ360" s="598"/>
      <c r="DCK360" s="598"/>
      <c r="DCL360" s="598"/>
      <c r="DCM360" s="598"/>
      <c r="DCN360" s="598"/>
      <c r="DCO360" s="598"/>
      <c r="DCP360" s="598"/>
      <c r="DCQ360" s="598"/>
      <c r="DCR360" s="598"/>
      <c r="DCS360" s="598"/>
      <c r="DCT360" s="598"/>
      <c r="DCU360" s="598"/>
      <c r="DCV360" s="598"/>
      <c r="DCW360" s="598"/>
      <c r="DCX360" s="598"/>
      <c r="DCY360" s="598"/>
      <c r="DCZ360" s="598"/>
      <c r="DDA360" s="598"/>
      <c r="DDB360" s="598"/>
      <c r="DDC360" s="598"/>
      <c r="DDD360" s="598"/>
      <c r="DDE360" s="598"/>
      <c r="DDF360" s="598"/>
      <c r="DDG360" s="598"/>
      <c r="DDH360" s="598"/>
      <c r="DDI360" s="598"/>
      <c r="DDJ360" s="598"/>
      <c r="DDK360" s="598"/>
      <c r="DDL360" s="598"/>
      <c r="DDM360" s="598"/>
      <c r="DDN360" s="598"/>
      <c r="DDO360" s="598"/>
      <c r="DDP360" s="598"/>
      <c r="DDQ360" s="598"/>
      <c r="DDR360" s="598"/>
      <c r="DDS360" s="598"/>
      <c r="DDT360" s="598"/>
      <c r="DDU360" s="598"/>
      <c r="DDV360" s="598"/>
      <c r="DDW360" s="598"/>
      <c r="DDX360" s="598"/>
      <c r="DDY360" s="598"/>
      <c r="DDZ360" s="598"/>
      <c r="DEA360" s="598"/>
      <c r="DEB360" s="598"/>
      <c r="DEC360" s="598"/>
      <c r="DED360" s="598"/>
      <c r="DEE360" s="598"/>
      <c r="DEF360" s="598"/>
      <c r="DEG360" s="598"/>
      <c r="DEH360" s="598"/>
      <c r="DEI360" s="598"/>
      <c r="DEJ360" s="598"/>
      <c r="DEK360" s="598"/>
      <c r="DEL360" s="598"/>
      <c r="DEM360" s="598"/>
      <c r="DEN360" s="598"/>
      <c r="DEO360" s="598"/>
      <c r="DEP360" s="598"/>
      <c r="DEQ360" s="598"/>
      <c r="DER360" s="598"/>
      <c r="DES360" s="598"/>
      <c r="DET360" s="598"/>
      <c r="DEU360" s="598"/>
      <c r="DEV360" s="598"/>
      <c r="DEW360" s="598"/>
      <c r="DEX360" s="598"/>
      <c r="DEY360" s="598"/>
      <c r="DEZ360" s="598"/>
      <c r="DFA360" s="598"/>
      <c r="DFB360" s="598"/>
      <c r="DFC360" s="598"/>
      <c r="DFD360" s="598"/>
      <c r="DFE360" s="598"/>
      <c r="DFF360" s="598"/>
      <c r="DFG360" s="598"/>
      <c r="DFH360" s="598"/>
      <c r="DFI360" s="598"/>
      <c r="DFJ360" s="598"/>
      <c r="DFK360" s="598"/>
      <c r="DFL360" s="598"/>
      <c r="DFM360" s="598"/>
      <c r="DFN360" s="598"/>
      <c r="DFO360" s="598"/>
      <c r="DFP360" s="598"/>
      <c r="DFQ360" s="598"/>
      <c r="DFR360" s="598"/>
      <c r="DFS360" s="598"/>
      <c r="DFT360" s="598"/>
      <c r="DFU360" s="598"/>
      <c r="DFV360" s="598"/>
      <c r="DFW360" s="598"/>
      <c r="DFX360" s="598"/>
      <c r="DFY360" s="598"/>
      <c r="DFZ360" s="598"/>
      <c r="DGA360" s="598"/>
      <c r="DGB360" s="598"/>
      <c r="DGC360" s="598"/>
      <c r="DGD360" s="598"/>
      <c r="DGE360" s="598"/>
      <c r="DGF360" s="598"/>
      <c r="DGG360" s="598"/>
      <c r="DGH360" s="598"/>
      <c r="DGI360" s="598"/>
      <c r="DGJ360" s="598"/>
      <c r="DGK360" s="598"/>
      <c r="DGL360" s="598"/>
      <c r="DGM360" s="598"/>
      <c r="DGN360" s="598"/>
      <c r="DGO360" s="598"/>
      <c r="DGP360" s="598"/>
      <c r="DGQ360" s="598"/>
      <c r="DGR360" s="598"/>
      <c r="DGS360" s="598"/>
      <c r="DGT360" s="598"/>
      <c r="DGU360" s="598"/>
      <c r="DGV360" s="598"/>
      <c r="DGW360" s="598"/>
      <c r="DGX360" s="598"/>
      <c r="DGY360" s="598"/>
      <c r="DGZ360" s="598"/>
      <c r="DHA360" s="598"/>
      <c r="DHB360" s="598"/>
      <c r="DHC360" s="598"/>
      <c r="DHD360" s="598"/>
      <c r="DHE360" s="598"/>
      <c r="DHF360" s="598"/>
      <c r="DHG360" s="598"/>
      <c r="DHH360" s="598"/>
      <c r="DHI360" s="598"/>
      <c r="DHJ360" s="598"/>
      <c r="DHK360" s="598"/>
      <c r="DHL360" s="598"/>
      <c r="DHM360" s="598"/>
      <c r="DHN360" s="598"/>
      <c r="DHO360" s="598"/>
      <c r="DHP360" s="598"/>
      <c r="DHQ360" s="598"/>
      <c r="DHR360" s="598"/>
      <c r="DHS360" s="598"/>
      <c r="DHT360" s="598"/>
      <c r="DHU360" s="598"/>
      <c r="DHV360" s="598"/>
      <c r="DHW360" s="598"/>
      <c r="DHX360" s="598"/>
      <c r="DHY360" s="598"/>
      <c r="DHZ360" s="598"/>
      <c r="DIA360" s="598"/>
      <c r="DIB360" s="598"/>
      <c r="DIC360" s="598"/>
      <c r="DID360" s="598"/>
      <c r="DIE360" s="598"/>
      <c r="DIF360" s="598"/>
      <c r="DIG360" s="598"/>
      <c r="DIH360" s="598"/>
      <c r="DII360" s="598"/>
      <c r="DIJ360" s="598"/>
      <c r="DIK360" s="598"/>
      <c r="DIL360" s="598"/>
      <c r="DIM360" s="598"/>
      <c r="DIN360" s="598"/>
      <c r="DIO360" s="598"/>
      <c r="DIP360" s="598"/>
      <c r="DIQ360" s="598"/>
      <c r="DIR360" s="598"/>
      <c r="DIS360" s="598"/>
      <c r="DIT360" s="598"/>
      <c r="DIU360" s="598"/>
      <c r="DIV360" s="598"/>
      <c r="DIW360" s="598"/>
      <c r="DIX360" s="598"/>
      <c r="DIY360" s="598"/>
      <c r="DIZ360" s="598"/>
      <c r="DJA360" s="598"/>
      <c r="DJB360" s="598"/>
      <c r="DJC360" s="598"/>
      <c r="DJD360" s="598"/>
      <c r="DJE360" s="598"/>
      <c r="DJF360" s="598"/>
      <c r="DJG360" s="598"/>
      <c r="DJH360" s="598"/>
      <c r="DJI360" s="598"/>
      <c r="DJJ360" s="598"/>
      <c r="DJK360" s="598"/>
      <c r="DJL360" s="598"/>
      <c r="DJM360" s="598"/>
      <c r="DJN360" s="598"/>
      <c r="DJO360" s="598"/>
      <c r="DJP360" s="598"/>
      <c r="DJQ360" s="598"/>
      <c r="DJR360" s="598"/>
      <c r="DJS360" s="598"/>
      <c r="DJT360" s="598"/>
      <c r="DJU360" s="598"/>
      <c r="DJV360" s="598"/>
      <c r="DJW360" s="598"/>
      <c r="DJX360" s="598"/>
      <c r="DJY360" s="598"/>
      <c r="DJZ360" s="598"/>
      <c r="DKA360" s="598"/>
      <c r="DKB360" s="598"/>
      <c r="DKC360" s="598"/>
      <c r="DKD360" s="598"/>
      <c r="DKE360" s="598"/>
      <c r="DKF360" s="598"/>
      <c r="DKG360" s="598"/>
      <c r="DKH360" s="598"/>
      <c r="DKI360" s="598"/>
      <c r="DKJ360" s="598"/>
      <c r="DKK360" s="598"/>
      <c r="DKL360" s="598"/>
      <c r="DKM360" s="598"/>
      <c r="DKN360" s="598"/>
      <c r="DKO360" s="598"/>
      <c r="DKP360" s="598"/>
      <c r="DKQ360" s="598"/>
      <c r="DKR360" s="598"/>
      <c r="DKS360" s="598"/>
      <c r="DKT360" s="598"/>
      <c r="DKU360" s="598"/>
      <c r="DKV360" s="598"/>
      <c r="DKW360" s="598"/>
      <c r="DKX360" s="598"/>
      <c r="DKY360" s="598"/>
      <c r="DKZ360" s="598"/>
      <c r="DLA360" s="598"/>
      <c r="DLB360" s="598"/>
      <c r="DLC360" s="598"/>
      <c r="DLD360" s="598"/>
      <c r="DLE360" s="598"/>
      <c r="DLF360" s="598"/>
      <c r="DLG360" s="598"/>
      <c r="DLH360" s="598"/>
      <c r="DLI360" s="598"/>
      <c r="DLJ360" s="598"/>
      <c r="DLK360" s="598"/>
      <c r="DLL360" s="598"/>
      <c r="DLM360" s="598"/>
      <c r="DLN360" s="598"/>
      <c r="DLO360" s="598"/>
      <c r="DLP360" s="598"/>
      <c r="DLQ360" s="598"/>
      <c r="DLR360" s="598"/>
      <c r="DLS360" s="598"/>
      <c r="DLT360" s="598"/>
      <c r="DLU360" s="598"/>
      <c r="DLV360" s="598"/>
      <c r="DLW360" s="598"/>
      <c r="DLX360" s="598"/>
      <c r="DLY360" s="598"/>
      <c r="DLZ360" s="598"/>
      <c r="DMA360" s="598"/>
      <c r="DMB360" s="598"/>
      <c r="DMC360" s="598"/>
      <c r="DMD360" s="598"/>
      <c r="DME360" s="598"/>
      <c r="DMF360" s="598"/>
      <c r="DMG360" s="598"/>
      <c r="DMH360" s="598"/>
      <c r="DMI360" s="598"/>
      <c r="DMJ360" s="598"/>
      <c r="DMK360" s="598"/>
      <c r="DML360" s="598"/>
      <c r="DMM360" s="598"/>
      <c r="DMN360" s="598"/>
      <c r="DMO360" s="598"/>
      <c r="DMP360" s="598"/>
      <c r="DMQ360" s="598"/>
      <c r="DMR360" s="598"/>
      <c r="DMS360" s="598"/>
      <c r="DMT360" s="598"/>
      <c r="DMU360" s="598"/>
      <c r="DMV360" s="598"/>
      <c r="DMW360" s="598"/>
      <c r="DMX360" s="598"/>
      <c r="DMY360" s="598"/>
      <c r="DMZ360" s="598"/>
      <c r="DNA360" s="598"/>
      <c r="DNB360" s="598"/>
      <c r="DNC360" s="598"/>
      <c r="DND360" s="598"/>
      <c r="DNE360" s="598"/>
      <c r="DNF360" s="598"/>
      <c r="DNG360" s="598"/>
      <c r="DNH360" s="598"/>
      <c r="DNI360" s="598"/>
      <c r="DNJ360" s="598"/>
      <c r="DNK360" s="598"/>
      <c r="DNL360" s="598"/>
      <c r="DNM360" s="598"/>
      <c r="DNN360" s="598"/>
      <c r="DNO360" s="598"/>
      <c r="DNP360" s="598"/>
      <c r="DNQ360" s="598"/>
      <c r="DNR360" s="598"/>
      <c r="DNS360" s="598"/>
      <c r="DNT360" s="598"/>
      <c r="DNU360" s="598"/>
      <c r="DNV360" s="598"/>
      <c r="DNW360" s="598"/>
      <c r="DNX360" s="598"/>
      <c r="DNY360" s="598"/>
      <c r="DNZ360" s="598"/>
      <c r="DOA360" s="598"/>
      <c r="DOB360" s="598"/>
      <c r="DOC360" s="598"/>
      <c r="DOD360" s="598"/>
      <c r="DOE360" s="598"/>
      <c r="DOF360" s="598"/>
      <c r="DOG360" s="598"/>
      <c r="DOH360" s="598"/>
      <c r="DOI360" s="598"/>
      <c r="DOJ360" s="598"/>
      <c r="DOK360" s="598"/>
      <c r="DOL360" s="598"/>
      <c r="DOM360" s="598"/>
      <c r="DON360" s="598"/>
      <c r="DOO360" s="598"/>
      <c r="DOP360" s="598"/>
      <c r="DOQ360" s="598"/>
      <c r="DOR360" s="598"/>
      <c r="DOS360" s="598"/>
      <c r="DOT360" s="598"/>
      <c r="DOU360" s="598"/>
      <c r="DOV360" s="598"/>
      <c r="DOW360" s="598"/>
      <c r="DOX360" s="598"/>
      <c r="DOY360" s="598"/>
      <c r="DOZ360" s="598"/>
      <c r="DPA360" s="598"/>
      <c r="DPB360" s="598"/>
      <c r="DPC360" s="598"/>
      <c r="DPD360" s="598"/>
      <c r="DPE360" s="598"/>
      <c r="DPF360" s="598"/>
      <c r="DPG360" s="598"/>
      <c r="DPH360" s="598"/>
      <c r="DPI360" s="598"/>
      <c r="DPJ360" s="598"/>
      <c r="DPK360" s="598"/>
      <c r="DPL360" s="598"/>
      <c r="DPM360" s="598"/>
      <c r="DPN360" s="598"/>
      <c r="DPO360" s="598"/>
      <c r="DPP360" s="598"/>
      <c r="DPQ360" s="598"/>
      <c r="DPR360" s="598"/>
      <c r="DPS360" s="598"/>
      <c r="DPT360" s="598"/>
      <c r="DPU360" s="598"/>
      <c r="DPV360" s="598"/>
      <c r="DPW360" s="598"/>
      <c r="DPX360" s="598"/>
      <c r="DPY360" s="598"/>
      <c r="DPZ360" s="598"/>
      <c r="DQA360" s="598"/>
      <c r="DQB360" s="598"/>
      <c r="DQC360" s="598"/>
      <c r="DQD360" s="598"/>
      <c r="DQE360" s="598"/>
      <c r="DQF360" s="598"/>
      <c r="DQG360" s="598"/>
      <c r="DQH360" s="598"/>
      <c r="DQI360" s="598"/>
      <c r="DQJ360" s="598"/>
      <c r="DQK360" s="598"/>
      <c r="DQL360" s="598"/>
      <c r="DQM360" s="598"/>
      <c r="DQN360" s="598"/>
      <c r="DQO360" s="598"/>
      <c r="DQP360" s="598"/>
      <c r="DQQ360" s="598"/>
      <c r="DQR360" s="598"/>
      <c r="DQS360" s="598"/>
      <c r="DQT360" s="598"/>
      <c r="DQU360" s="598"/>
      <c r="DQV360" s="598"/>
      <c r="DQW360" s="598"/>
      <c r="DQX360" s="598"/>
      <c r="DQY360" s="598"/>
      <c r="DQZ360" s="598"/>
      <c r="DRA360" s="598"/>
      <c r="DRB360" s="598"/>
      <c r="DRC360" s="598"/>
      <c r="DRD360" s="598"/>
      <c r="DRE360" s="598"/>
      <c r="DRF360" s="598"/>
      <c r="DRG360" s="598"/>
      <c r="DRH360" s="598"/>
      <c r="DRI360" s="598"/>
      <c r="DRJ360" s="598"/>
      <c r="DRK360" s="598"/>
      <c r="DRL360" s="598"/>
      <c r="DRM360" s="598"/>
      <c r="DRN360" s="598"/>
      <c r="DRO360" s="598"/>
      <c r="DRP360" s="598"/>
      <c r="DRQ360" s="598"/>
      <c r="DRR360" s="598"/>
      <c r="DRS360" s="598"/>
      <c r="DRT360" s="598"/>
      <c r="DRU360" s="598"/>
      <c r="DRV360" s="598"/>
      <c r="DRW360" s="598"/>
      <c r="DRX360" s="598"/>
      <c r="DRY360" s="598"/>
      <c r="DRZ360" s="598"/>
      <c r="DSA360" s="598"/>
      <c r="DSB360" s="598"/>
      <c r="DSC360" s="598"/>
      <c r="DSD360" s="598"/>
      <c r="DSE360" s="598"/>
      <c r="DSF360" s="598"/>
      <c r="DSG360" s="598"/>
      <c r="DSH360" s="598"/>
      <c r="DSI360" s="598"/>
      <c r="DSJ360" s="598"/>
      <c r="DSK360" s="598"/>
      <c r="DSL360" s="598"/>
      <c r="DSM360" s="598"/>
      <c r="DSN360" s="598"/>
      <c r="DSO360" s="598"/>
      <c r="DSP360" s="598"/>
      <c r="DSQ360" s="598"/>
      <c r="DSR360" s="598"/>
      <c r="DSS360" s="598"/>
      <c r="DST360" s="598"/>
      <c r="DSU360" s="598"/>
      <c r="DSV360" s="598"/>
      <c r="DSW360" s="598"/>
      <c r="DSX360" s="598"/>
      <c r="DSY360" s="598"/>
      <c r="DSZ360" s="598"/>
      <c r="DTA360" s="598"/>
      <c r="DTB360" s="598"/>
      <c r="DTC360" s="598"/>
      <c r="DTD360" s="598"/>
      <c r="DTE360" s="598"/>
      <c r="DTF360" s="598"/>
      <c r="DTG360" s="598"/>
      <c r="DTH360" s="598"/>
      <c r="DTI360" s="598"/>
      <c r="DTJ360" s="598"/>
      <c r="DTK360" s="598"/>
      <c r="DTL360" s="598"/>
      <c r="DTM360" s="598"/>
      <c r="DTN360" s="598"/>
      <c r="DTO360" s="598"/>
      <c r="DTP360" s="598"/>
      <c r="DTQ360" s="598"/>
      <c r="DTR360" s="598"/>
      <c r="DTS360" s="598"/>
      <c r="DTT360" s="598"/>
      <c r="DTU360" s="598"/>
      <c r="DTV360" s="598"/>
      <c r="DTW360" s="598"/>
      <c r="DTX360" s="598"/>
      <c r="DTY360" s="598"/>
      <c r="DTZ360" s="598"/>
      <c r="DUA360" s="598"/>
      <c r="DUB360" s="598"/>
      <c r="DUC360" s="598"/>
      <c r="DUD360" s="598"/>
      <c r="DUE360" s="598"/>
      <c r="DUF360" s="598"/>
      <c r="DUG360" s="598"/>
      <c r="DUH360" s="598"/>
      <c r="DUI360" s="598"/>
      <c r="DUJ360" s="598"/>
      <c r="DUK360" s="598"/>
      <c r="DUL360" s="598"/>
      <c r="DUM360" s="598"/>
      <c r="DUN360" s="598"/>
      <c r="DUO360" s="598"/>
      <c r="DUP360" s="598"/>
      <c r="DUQ360" s="598"/>
      <c r="DUR360" s="598"/>
      <c r="DUS360" s="598"/>
      <c r="DUT360" s="598"/>
      <c r="DUU360" s="598"/>
      <c r="DUV360" s="598"/>
      <c r="DUW360" s="598"/>
      <c r="DUX360" s="598"/>
      <c r="DUY360" s="598"/>
      <c r="DUZ360" s="598"/>
      <c r="DVA360" s="598"/>
      <c r="DVB360" s="598"/>
      <c r="DVC360" s="598"/>
      <c r="DVD360" s="598"/>
      <c r="DVE360" s="598"/>
      <c r="DVF360" s="598"/>
      <c r="DVG360" s="598"/>
      <c r="DVH360" s="598"/>
      <c r="DVI360" s="598"/>
      <c r="DVJ360" s="598"/>
      <c r="DVK360" s="598"/>
      <c r="DVL360" s="598"/>
      <c r="DVM360" s="598"/>
      <c r="DVN360" s="598"/>
      <c r="DVO360" s="598"/>
      <c r="DVP360" s="598"/>
      <c r="DVQ360" s="598"/>
      <c r="DVR360" s="598"/>
      <c r="DVS360" s="598"/>
      <c r="DVT360" s="598"/>
      <c r="DVU360" s="598"/>
      <c r="DVV360" s="598"/>
      <c r="DVW360" s="598"/>
      <c r="DVX360" s="598"/>
      <c r="DVY360" s="598"/>
      <c r="DVZ360" s="598"/>
      <c r="DWA360" s="598"/>
      <c r="DWB360" s="598"/>
      <c r="DWC360" s="598"/>
      <c r="DWD360" s="598"/>
      <c r="DWE360" s="598"/>
      <c r="DWF360" s="598"/>
      <c r="DWG360" s="598"/>
      <c r="DWH360" s="598"/>
      <c r="DWI360" s="598"/>
      <c r="DWJ360" s="598"/>
      <c r="DWK360" s="598"/>
      <c r="DWL360" s="598"/>
      <c r="DWM360" s="598"/>
      <c r="DWN360" s="598"/>
      <c r="DWO360" s="598"/>
      <c r="DWP360" s="598"/>
      <c r="DWQ360" s="598"/>
      <c r="DWR360" s="598"/>
      <c r="DWS360" s="598"/>
      <c r="DWT360" s="598"/>
      <c r="DWU360" s="598"/>
      <c r="DWV360" s="598"/>
      <c r="DWW360" s="598"/>
      <c r="DWX360" s="598"/>
      <c r="DWY360" s="598"/>
      <c r="DWZ360" s="598"/>
      <c r="DXA360" s="598"/>
      <c r="DXB360" s="598"/>
      <c r="DXC360" s="598"/>
      <c r="DXD360" s="598"/>
      <c r="DXE360" s="598"/>
      <c r="DXF360" s="598"/>
      <c r="DXG360" s="598"/>
      <c r="DXH360" s="598"/>
      <c r="DXI360" s="598"/>
      <c r="DXJ360" s="598"/>
      <c r="DXK360" s="598"/>
      <c r="DXL360" s="598"/>
      <c r="DXM360" s="598"/>
      <c r="DXN360" s="598"/>
      <c r="DXO360" s="598"/>
      <c r="DXP360" s="598"/>
      <c r="DXQ360" s="598"/>
      <c r="DXR360" s="598"/>
      <c r="DXS360" s="598"/>
      <c r="DXT360" s="598"/>
      <c r="DXU360" s="598"/>
      <c r="DXV360" s="598"/>
      <c r="DXW360" s="598"/>
      <c r="DXX360" s="598"/>
      <c r="DXY360" s="598"/>
      <c r="DXZ360" s="598"/>
      <c r="DYA360" s="598"/>
      <c r="DYB360" s="598"/>
      <c r="DYC360" s="598"/>
      <c r="DYD360" s="598"/>
      <c r="DYE360" s="598"/>
      <c r="DYF360" s="598"/>
      <c r="DYG360" s="598"/>
      <c r="DYH360" s="598"/>
      <c r="DYI360" s="598"/>
      <c r="DYJ360" s="598"/>
      <c r="DYK360" s="598"/>
      <c r="DYL360" s="598"/>
      <c r="DYM360" s="598"/>
      <c r="DYN360" s="598"/>
      <c r="DYO360" s="598"/>
      <c r="DYP360" s="598"/>
      <c r="DYQ360" s="598"/>
      <c r="DYR360" s="598"/>
      <c r="DYS360" s="598"/>
      <c r="DYT360" s="598"/>
      <c r="DYU360" s="598"/>
      <c r="DYV360" s="598"/>
      <c r="DYW360" s="598"/>
      <c r="DYX360" s="598"/>
      <c r="DYY360" s="598"/>
      <c r="DYZ360" s="598"/>
      <c r="DZA360" s="598"/>
      <c r="DZB360" s="598"/>
      <c r="DZC360" s="598"/>
      <c r="DZD360" s="598"/>
      <c r="DZE360" s="598"/>
      <c r="DZF360" s="598"/>
      <c r="DZG360" s="598"/>
      <c r="DZH360" s="598"/>
      <c r="DZI360" s="598"/>
      <c r="DZJ360" s="598"/>
      <c r="DZK360" s="598"/>
      <c r="DZL360" s="598"/>
      <c r="DZM360" s="598"/>
      <c r="DZN360" s="598"/>
      <c r="DZO360" s="598"/>
      <c r="DZP360" s="598"/>
      <c r="DZQ360" s="598"/>
      <c r="DZR360" s="598"/>
      <c r="DZS360" s="598"/>
      <c r="DZT360" s="598"/>
      <c r="DZU360" s="598"/>
      <c r="DZV360" s="598"/>
      <c r="DZW360" s="598"/>
      <c r="DZX360" s="598"/>
      <c r="DZY360" s="598"/>
      <c r="DZZ360" s="598"/>
      <c r="EAA360" s="598"/>
      <c r="EAB360" s="598"/>
      <c r="EAC360" s="598"/>
      <c r="EAD360" s="598"/>
      <c r="EAE360" s="598"/>
      <c r="EAF360" s="598"/>
      <c r="EAG360" s="598"/>
      <c r="EAH360" s="598"/>
      <c r="EAI360" s="598"/>
      <c r="EAJ360" s="598"/>
      <c r="EAK360" s="598"/>
      <c r="EAL360" s="598"/>
      <c r="EAM360" s="598"/>
      <c r="EAN360" s="598"/>
      <c r="EAO360" s="598"/>
      <c r="EAP360" s="598"/>
      <c r="EAQ360" s="598"/>
      <c r="EAR360" s="598"/>
      <c r="EAS360" s="598"/>
      <c r="EAT360" s="598"/>
      <c r="EAU360" s="598"/>
      <c r="EAV360" s="598"/>
      <c r="EAW360" s="598"/>
      <c r="EAX360" s="598"/>
      <c r="EAY360" s="598"/>
      <c r="EAZ360" s="598"/>
      <c r="EBA360" s="598"/>
      <c r="EBB360" s="598"/>
      <c r="EBC360" s="598"/>
      <c r="EBD360" s="598"/>
      <c r="EBE360" s="598"/>
      <c r="EBF360" s="598"/>
      <c r="EBG360" s="598"/>
      <c r="EBH360" s="598"/>
      <c r="EBI360" s="598"/>
      <c r="EBJ360" s="598"/>
      <c r="EBK360" s="598"/>
      <c r="EBL360" s="598"/>
      <c r="EBM360" s="598"/>
      <c r="EBN360" s="598"/>
      <c r="EBO360" s="598"/>
      <c r="EBP360" s="598"/>
      <c r="EBQ360" s="598"/>
      <c r="EBR360" s="598"/>
      <c r="EBS360" s="598"/>
      <c r="EBT360" s="598"/>
      <c r="EBU360" s="598"/>
      <c r="EBV360" s="598"/>
      <c r="EBW360" s="598"/>
      <c r="EBX360" s="598"/>
      <c r="EBY360" s="598"/>
      <c r="EBZ360" s="598"/>
      <c r="ECA360" s="598"/>
      <c r="ECB360" s="598"/>
      <c r="ECC360" s="598"/>
      <c r="ECD360" s="598"/>
      <c r="ECE360" s="598"/>
      <c r="ECF360" s="598"/>
      <c r="ECG360" s="598"/>
      <c r="ECH360" s="598"/>
      <c r="ECI360" s="598"/>
      <c r="ECJ360" s="598"/>
      <c r="ECK360" s="598"/>
      <c r="ECL360" s="598"/>
      <c r="ECM360" s="598"/>
      <c r="ECN360" s="598"/>
      <c r="ECO360" s="598"/>
      <c r="ECP360" s="598"/>
      <c r="ECQ360" s="598"/>
      <c r="ECR360" s="598"/>
      <c r="ECS360" s="598"/>
      <c r="ECT360" s="598"/>
      <c r="ECU360" s="598"/>
      <c r="ECV360" s="598"/>
      <c r="ECW360" s="598"/>
      <c r="ECX360" s="598"/>
      <c r="ECY360" s="598"/>
      <c r="ECZ360" s="598"/>
      <c r="EDA360" s="598"/>
      <c r="EDB360" s="598"/>
      <c r="EDC360" s="598"/>
      <c r="EDD360" s="598"/>
      <c r="EDE360" s="598"/>
      <c r="EDF360" s="598"/>
      <c r="EDG360" s="598"/>
      <c r="EDH360" s="598"/>
      <c r="EDI360" s="598"/>
      <c r="EDJ360" s="598"/>
      <c r="EDK360" s="598"/>
      <c r="EDL360" s="598"/>
      <c r="EDM360" s="598"/>
      <c r="EDN360" s="598"/>
      <c r="EDO360" s="598"/>
      <c r="EDP360" s="598"/>
      <c r="EDQ360" s="598"/>
      <c r="EDR360" s="598"/>
      <c r="EDS360" s="598"/>
      <c r="EDT360" s="598"/>
      <c r="EDU360" s="598"/>
      <c r="EDV360" s="598"/>
      <c r="EDW360" s="598"/>
      <c r="EDX360" s="598"/>
      <c r="EDY360" s="598"/>
      <c r="EDZ360" s="598"/>
      <c r="EEA360" s="598"/>
      <c r="EEB360" s="598"/>
      <c r="EEC360" s="598"/>
      <c r="EED360" s="598"/>
      <c r="EEE360" s="598"/>
      <c r="EEF360" s="598"/>
      <c r="EEG360" s="598"/>
      <c r="EEH360" s="598"/>
      <c r="EEI360" s="598"/>
      <c r="EEJ360" s="598"/>
      <c r="EEK360" s="598"/>
      <c r="EEL360" s="598"/>
      <c r="EEM360" s="598"/>
      <c r="EEN360" s="598"/>
      <c r="EEO360" s="598"/>
      <c r="EEP360" s="598"/>
      <c r="EEQ360" s="598"/>
      <c r="EER360" s="598"/>
      <c r="EES360" s="598"/>
      <c r="EET360" s="598"/>
      <c r="EEU360" s="598"/>
      <c r="EEV360" s="598"/>
      <c r="EEW360" s="598"/>
      <c r="EEX360" s="598"/>
      <c r="EEY360" s="598"/>
      <c r="EEZ360" s="598"/>
      <c r="EFA360" s="598"/>
      <c r="EFB360" s="598"/>
      <c r="EFC360" s="598"/>
      <c r="EFD360" s="598"/>
      <c r="EFE360" s="598"/>
      <c r="EFF360" s="598"/>
      <c r="EFG360" s="598"/>
      <c r="EFH360" s="598"/>
      <c r="EFI360" s="598"/>
      <c r="EFJ360" s="598"/>
      <c r="EFK360" s="598"/>
      <c r="EFL360" s="598"/>
      <c r="EFM360" s="598"/>
      <c r="EFN360" s="598"/>
      <c r="EFO360" s="598"/>
      <c r="EFP360" s="598"/>
      <c r="EFQ360" s="598"/>
      <c r="EFR360" s="598"/>
      <c r="EFS360" s="598"/>
      <c r="EFT360" s="598"/>
      <c r="EFU360" s="598"/>
      <c r="EFV360" s="598"/>
      <c r="EFW360" s="598"/>
      <c r="EFX360" s="598"/>
      <c r="EFY360" s="598"/>
      <c r="EFZ360" s="598"/>
      <c r="EGA360" s="598"/>
      <c r="EGB360" s="598"/>
      <c r="EGC360" s="598"/>
      <c r="EGD360" s="598"/>
      <c r="EGE360" s="598"/>
      <c r="EGF360" s="598"/>
      <c r="EGG360" s="598"/>
      <c r="EGH360" s="598"/>
      <c r="EGI360" s="598"/>
      <c r="EGJ360" s="598"/>
      <c r="EGK360" s="598"/>
      <c r="EGL360" s="598"/>
      <c r="EGM360" s="598"/>
      <c r="EGN360" s="598"/>
      <c r="EGO360" s="598"/>
      <c r="EGP360" s="598"/>
      <c r="EGQ360" s="598"/>
      <c r="EGR360" s="598"/>
      <c r="EGS360" s="598"/>
      <c r="EGT360" s="598"/>
      <c r="EGU360" s="598"/>
      <c r="EGV360" s="598"/>
      <c r="EGW360" s="598"/>
      <c r="EGX360" s="598"/>
      <c r="EGY360" s="598"/>
      <c r="EGZ360" s="598"/>
      <c r="EHA360" s="598"/>
      <c r="EHB360" s="598"/>
      <c r="EHC360" s="598"/>
      <c r="EHD360" s="598"/>
      <c r="EHE360" s="598"/>
      <c r="EHF360" s="598"/>
      <c r="EHG360" s="598"/>
      <c r="EHH360" s="598"/>
      <c r="EHI360" s="598"/>
      <c r="EHJ360" s="598"/>
      <c r="EHK360" s="598"/>
      <c r="EHL360" s="598"/>
      <c r="EHM360" s="598"/>
      <c r="EHN360" s="598"/>
      <c r="EHO360" s="598"/>
      <c r="EHP360" s="598"/>
      <c r="EHQ360" s="598"/>
      <c r="EHR360" s="598"/>
      <c r="EHS360" s="598"/>
      <c r="EHT360" s="598"/>
      <c r="EHU360" s="598"/>
      <c r="EHV360" s="598"/>
      <c r="EHW360" s="598"/>
      <c r="EHX360" s="598"/>
      <c r="EHY360" s="598"/>
      <c r="EHZ360" s="598"/>
      <c r="EIA360" s="598"/>
      <c r="EIB360" s="598"/>
      <c r="EIC360" s="598"/>
      <c r="EID360" s="598"/>
      <c r="EIE360" s="598"/>
      <c r="EIF360" s="598"/>
      <c r="EIG360" s="598"/>
      <c r="EIH360" s="598"/>
      <c r="EII360" s="598"/>
      <c r="EIJ360" s="598"/>
      <c r="EIK360" s="598"/>
      <c r="EIL360" s="598"/>
      <c r="EIM360" s="598"/>
      <c r="EIN360" s="598"/>
      <c r="EIO360" s="598"/>
      <c r="EIP360" s="598"/>
      <c r="EIQ360" s="598"/>
      <c r="EIR360" s="598"/>
      <c r="EIS360" s="598"/>
      <c r="EIT360" s="598"/>
      <c r="EIU360" s="598"/>
      <c r="EIV360" s="598"/>
      <c r="EIW360" s="598"/>
      <c r="EIX360" s="598"/>
      <c r="EIY360" s="598"/>
      <c r="EIZ360" s="598"/>
      <c r="EJA360" s="598"/>
      <c r="EJB360" s="598"/>
      <c r="EJC360" s="598"/>
      <c r="EJD360" s="598"/>
      <c r="EJE360" s="598"/>
      <c r="EJF360" s="598"/>
      <c r="EJG360" s="598"/>
      <c r="EJH360" s="598"/>
      <c r="EJI360" s="598"/>
      <c r="EJJ360" s="598"/>
      <c r="EJK360" s="598"/>
      <c r="EJL360" s="598"/>
      <c r="EJM360" s="598"/>
      <c r="EJN360" s="598"/>
      <c r="EJO360" s="598"/>
      <c r="EJP360" s="598"/>
      <c r="EJQ360" s="598"/>
      <c r="EJR360" s="598"/>
      <c r="EJS360" s="598"/>
      <c r="EJT360" s="598"/>
      <c r="EJU360" s="598"/>
      <c r="EJV360" s="598"/>
      <c r="EJW360" s="598"/>
      <c r="EJX360" s="598"/>
      <c r="EJY360" s="598"/>
      <c r="EJZ360" s="598"/>
      <c r="EKA360" s="598"/>
      <c r="EKB360" s="598"/>
      <c r="EKC360" s="598"/>
      <c r="EKD360" s="598"/>
      <c r="EKE360" s="598"/>
      <c r="EKF360" s="598"/>
      <c r="EKG360" s="598"/>
      <c r="EKH360" s="598"/>
      <c r="EKI360" s="598"/>
      <c r="EKJ360" s="598"/>
      <c r="EKK360" s="598"/>
      <c r="EKL360" s="598"/>
      <c r="EKM360" s="598"/>
      <c r="EKN360" s="598"/>
      <c r="EKO360" s="598"/>
      <c r="EKP360" s="598"/>
      <c r="EKQ360" s="598"/>
      <c r="EKR360" s="598"/>
      <c r="EKS360" s="598"/>
      <c r="EKT360" s="598"/>
      <c r="EKU360" s="598"/>
      <c r="EKV360" s="598"/>
      <c r="EKW360" s="598"/>
      <c r="EKX360" s="598"/>
      <c r="EKY360" s="598"/>
      <c r="EKZ360" s="598"/>
      <c r="ELA360" s="598"/>
      <c r="ELB360" s="598"/>
      <c r="ELC360" s="598"/>
      <c r="ELD360" s="598"/>
      <c r="ELE360" s="598"/>
      <c r="ELF360" s="598"/>
      <c r="ELG360" s="598"/>
      <c r="ELH360" s="598"/>
      <c r="ELI360" s="598"/>
      <c r="ELJ360" s="598"/>
      <c r="ELK360" s="598"/>
      <c r="ELL360" s="598"/>
      <c r="ELM360" s="598"/>
      <c r="ELN360" s="598"/>
      <c r="ELO360" s="598"/>
      <c r="ELP360" s="598"/>
      <c r="ELQ360" s="598"/>
      <c r="ELR360" s="598"/>
      <c r="ELS360" s="598"/>
      <c r="ELT360" s="598"/>
      <c r="ELU360" s="598"/>
      <c r="ELV360" s="598"/>
      <c r="ELW360" s="598"/>
      <c r="ELX360" s="598"/>
      <c r="ELY360" s="598"/>
      <c r="ELZ360" s="598"/>
      <c r="EMA360" s="598"/>
      <c r="EMB360" s="598"/>
      <c r="EMC360" s="598"/>
      <c r="EMD360" s="598"/>
      <c r="EME360" s="598"/>
      <c r="EMF360" s="598"/>
      <c r="EMG360" s="598"/>
      <c r="EMH360" s="598"/>
      <c r="EMI360" s="598"/>
      <c r="EMJ360" s="598"/>
      <c r="EMK360" s="598"/>
      <c r="EML360" s="598"/>
      <c r="EMM360" s="598"/>
      <c r="EMN360" s="598"/>
      <c r="EMO360" s="598"/>
      <c r="EMP360" s="598"/>
      <c r="EMQ360" s="598"/>
      <c r="EMR360" s="598"/>
      <c r="EMS360" s="598"/>
      <c r="EMT360" s="598"/>
      <c r="EMU360" s="598"/>
      <c r="EMV360" s="598"/>
      <c r="EMW360" s="598"/>
      <c r="EMX360" s="598"/>
      <c r="EMY360" s="598"/>
      <c r="EMZ360" s="598"/>
      <c r="ENA360" s="598"/>
      <c r="ENB360" s="598"/>
      <c r="ENC360" s="598"/>
      <c r="END360" s="598"/>
      <c r="ENE360" s="598"/>
      <c r="ENF360" s="598"/>
      <c r="ENG360" s="598"/>
      <c r="ENH360" s="598"/>
      <c r="ENI360" s="598"/>
      <c r="ENJ360" s="598"/>
      <c r="ENK360" s="598"/>
      <c r="ENL360" s="598"/>
      <c r="ENM360" s="598"/>
      <c r="ENN360" s="598"/>
      <c r="ENO360" s="598"/>
      <c r="ENP360" s="598"/>
      <c r="ENQ360" s="598"/>
      <c r="ENR360" s="598"/>
      <c r="ENS360" s="598"/>
      <c r="ENT360" s="598"/>
      <c r="ENU360" s="598"/>
      <c r="ENV360" s="598"/>
      <c r="ENW360" s="598"/>
      <c r="ENX360" s="598"/>
      <c r="ENY360" s="598"/>
      <c r="ENZ360" s="598"/>
      <c r="EOA360" s="598"/>
      <c r="EOB360" s="598"/>
      <c r="EOC360" s="598"/>
      <c r="EOD360" s="598"/>
      <c r="EOE360" s="598"/>
      <c r="EOF360" s="598"/>
      <c r="EOG360" s="598"/>
      <c r="EOH360" s="598"/>
      <c r="EOI360" s="598"/>
      <c r="EOJ360" s="598"/>
      <c r="EOK360" s="598"/>
      <c r="EOL360" s="598"/>
      <c r="EOM360" s="598"/>
      <c r="EON360" s="598"/>
      <c r="EOO360" s="598"/>
      <c r="EOP360" s="598"/>
      <c r="EOQ360" s="598"/>
      <c r="EOR360" s="598"/>
      <c r="EOS360" s="598"/>
      <c r="EOT360" s="598"/>
      <c r="EOU360" s="598"/>
      <c r="EOV360" s="598"/>
      <c r="EOW360" s="598"/>
      <c r="EOX360" s="598"/>
      <c r="EOY360" s="598"/>
      <c r="EOZ360" s="598"/>
      <c r="EPA360" s="598"/>
      <c r="EPB360" s="598"/>
      <c r="EPC360" s="598"/>
      <c r="EPD360" s="598"/>
      <c r="EPE360" s="598"/>
      <c r="EPF360" s="598"/>
      <c r="EPG360" s="598"/>
      <c r="EPH360" s="598"/>
      <c r="EPI360" s="598"/>
      <c r="EPJ360" s="598"/>
      <c r="EPK360" s="598"/>
      <c r="EPL360" s="598"/>
      <c r="EPM360" s="598"/>
      <c r="EPN360" s="598"/>
      <c r="EPO360" s="598"/>
      <c r="EPP360" s="598"/>
      <c r="EPQ360" s="598"/>
      <c r="EPR360" s="598"/>
      <c r="EPS360" s="598"/>
      <c r="EPT360" s="598"/>
      <c r="EPU360" s="598"/>
      <c r="EPV360" s="598"/>
      <c r="EPW360" s="598"/>
      <c r="EPX360" s="598"/>
      <c r="EPY360" s="598"/>
      <c r="EPZ360" s="598"/>
      <c r="EQA360" s="598"/>
      <c r="EQB360" s="598"/>
      <c r="EQC360" s="598"/>
      <c r="EQD360" s="598"/>
      <c r="EQE360" s="598"/>
      <c r="EQF360" s="598"/>
      <c r="EQG360" s="598"/>
      <c r="EQH360" s="598"/>
      <c r="EQI360" s="598"/>
      <c r="EQJ360" s="598"/>
      <c r="EQK360" s="598"/>
      <c r="EQL360" s="598"/>
      <c r="EQM360" s="598"/>
      <c r="EQN360" s="598"/>
      <c r="EQO360" s="598"/>
      <c r="EQP360" s="598"/>
      <c r="EQQ360" s="598"/>
      <c r="EQR360" s="598"/>
      <c r="EQS360" s="598"/>
      <c r="EQT360" s="598"/>
      <c r="EQU360" s="598"/>
      <c r="EQV360" s="598"/>
      <c r="EQW360" s="598"/>
      <c r="EQX360" s="598"/>
      <c r="EQY360" s="598"/>
      <c r="EQZ360" s="598"/>
      <c r="ERA360" s="598"/>
      <c r="ERB360" s="598"/>
      <c r="ERC360" s="598"/>
      <c r="ERD360" s="598"/>
      <c r="ERE360" s="598"/>
      <c r="ERF360" s="598"/>
      <c r="ERG360" s="598"/>
      <c r="ERH360" s="598"/>
      <c r="ERI360" s="598"/>
      <c r="ERJ360" s="598"/>
      <c r="ERK360" s="598"/>
      <c r="ERL360" s="598"/>
      <c r="ERM360" s="598"/>
      <c r="ERN360" s="598"/>
      <c r="ERO360" s="598"/>
      <c r="ERP360" s="598"/>
      <c r="ERQ360" s="598"/>
      <c r="ERR360" s="598"/>
      <c r="ERS360" s="598"/>
      <c r="ERT360" s="598"/>
      <c r="ERU360" s="598"/>
      <c r="ERV360" s="598"/>
      <c r="ERW360" s="598"/>
      <c r="ERX360" s="598"/>
      <c r="ERY360" s="598"/>
      <c r="ERZ360" s="598"/>
      <c r="ESA360" s="598"/>
      <c r="ESB360" s="598"/>
      <c r="ESC360" s="598"/>
      <c r="ESD360" s="598"/>
      <c r="ESE360" s="598"/>
      <c r="ESF360" s="598"/>
      <c r="ESG360" s="598"/>
      <c r="ESH360" s="598"/>
      <c r="ESI360" s="598"/>
      <c r="ESJ360" s="598"/>
      <c r="ESK360" s="598"/>
      <c r="ESL360" s="598"/>
      <c r="ESM360" s="598"/>
      <c r="ESN360" s="598"/>
      <c r="ESO360" s="598"/>
      <c r="ESP360" s="598"/>
      <c r="ESQ360" s="598"/>
      <c r="ESR360" s="598"/>
      <c r="ESS360" s="598"/>
      <c r="EST360" s="598"/>
      <c r="ESU360" s="598"/>
      <c r="ESV360" s="598"/>
      <c r="ESW360" s="598"/>
      <c r="ESX360" s="598"/>
      <c r="ESY360" s="598"/>
      <c r="ESZ360" s="598"/>
      <c r="ETA360" s="598"/>
      <c r="ETB360" s="598"/>
      <c r="ETC360" s="598"/>
      <c r="ETD360" s="598"/>
      <c r="ETE360" s="598"/>
      <c r="ETF360" s="598"/>
      <c r="ETG360" s="598"/>
      <c r="ETH360" s="598"/>
      <c r="ETI360" s="598"/>
      <c r="ETJ360" s="598"/>
      <c r="ETK360" s="598"/>
      <c r="ETL360" s="598"/>
      <c r="ETM360" s="598"/>
      <c r="ETN360" s="598"/>
      <c r="ETO360" s="598"/>
      <c r="ETP360" s="598"/>
      <c r="ETQ360" s="598"/>
      <c r="ETR360" s="598"/>
      <c r="ETS360" s="598"/>
      <c r="ETT360" s="598"/>
      <c r="ETU360" s="598"/>
      <c r="ETV360" s="598"/>
      <c r="ETW360" s="598"/>
      <c r="ETX360" s="598"/>
      <c r="ETY360" s="598"/>
      <c r="ETZ360" s="598"/>
      <c r="EUA360" s="598"/>
      <c r="EUB360" s="598"/>
      <c r="EUC360" s="598"/>
      <c r="EUD360" s="598"/>
      <c r="EUE360" s="598"/>
      <c r="EUF360" s="598"/>
      <c r="EUG360" s="598"/>
      <c r="EUH360" s="598"/>
      <c r="EUI360" s="598"/>
      <c r="EUJ360" s="598"/>
      <c r="EUK360" s="598"/>
      <c r="EUL360" s="598"/>
      <c r="EUM360" s="598"/>
      <c r="EUN360" s="598"/>
      <c r="EUO360" s="598"/>
      <c r="EUP360" s="598"/>
      <c r="EUQ360" s="598"/>
      <c r="EUR360" s="598"/>
      <c r="EUS360" s="598"/>
      <c r="EUT360" s="598"/>
      <c r="EUU360" s="598"/>
      <c r="EUV360" s="598"/>
      <c r="EUW360" s="598"/>
      <c r="EUX360" s="598"/>
      <c r="EUY360" s="598"/>
      <c r="EUZ360" s="598"/>
      <c r="EVA360" s="598"/>
      <c r="EVB360" s="598"/>
      <c r="EVC360" s="598"/>
      <c r="EVD360" s="598"/>
      <c r="EVE360" s="598"/>
      <c r="EVF360" s="598"/>
      <c r="EVG360" s="598"/>
      <c r="EVH360" s="598"/>
      <c r="EVI360" s="598"/>
      <c r="EVJ360" s="598"/>
      <c r="EVK360" s="598"/>
      <c r="EVL360" s="598"/>
      <c r="EVM360" s="598"/>
      <c r="EVN360" s="598"/>
      <c r="EVO360" s="598"/>
      <c r="EVP360" s="598"/>
      <c r="EVQ360" s="598"/>
      <c r="EVR360" s="598"/>
      <c r="EVS360" s="598"/>
      <c r="EVT360" s="598"/>
      <c r="EVU360" s="598"/>
      <c r="EVV360" s="598"/>
      <c r="EVW360" s="598"/>
      <c r="EVX360" s="598"/>
      <c r="EVY360" s="598"/>
      <c r="EVZ360" s="598"/>
      <c r="EWA360" s="598"/>
      <c r="EWB360" s="598"/>
      <c r="EWC360" s="598"/>
      <c r="EWD360" s="598"/>
      <c r="EWE360" s="598"/>
      <c r="EWF360" s="598"/>
      <c r="EWG360" s="598"/>
      <c r="EWH360" s="598"/>
      <c r="EWI360" s="598"/>
      <c r="EWJ360" s="598"/>
      <c r="EWK360" s="598"/>
      <c r="EWL360" s="598"/>
      <c r="EWM360" s="598"/>
      <c r="EWN360" s="598"/>
      <c r="EWO360" s="598"/>
      <c r="EWP360" s="598"/>
      <c r="EWQ360" s="598"/>
      <c r="EWR360" s="598"/>
      <c r="EWS360" s="598"/>
      <c r="EWT360" s="598"/>
      <c r="EWU360" s="598"/>
      <c r="EWV360" s="598"/>
      <c r="EWW360" s="598"/>
      <c r="EWX360" s="598"/>
      <c r="EWY360" s="598"/>
      <c r="EWZ360" s="598"/>
      <c r="EXA360" s="598"/>
      <c r="EXB360" s="598"/>
      <c r="EXC360" s="598"/>
      <c r="EXD360" s="598"/>
      <c r="EXE360" s="598"/>
      <c r="EXF360" s="598"/>
      <c r="EXG360" s="598"/>
      <c r="EXH360" s="598"/>
      <c r="EXI360" s="598"/>
      <c r="EXJ360" s="598"/>
      <c r="EXK360" s="598"/>
      <c r="EXL360" s="598"/>
      <c r="EXM360" s="598"/>
      <c r="EXN360" s="598"/>
      <c r="EXO360" s="598"/>
      <c r="EXP360" s="598"/>
      <c r="EXQ360" s="598"/>
      <c r="EXR360" s="598"/>
      <c r="EXS360" s="598"/>
      <c r="EXT360" s="598"/>
      <c r="EXU360" s="598"/>
      <c r="EXV360" s="598"/>
      <c r="EXW360" s="598"/>
      <c r="EXX360" s="598"/>
      <c r="EXY360" s="598"/>
      <c r="EXZ360" s="598"/>
      <c r="EYA360" s="598"/>
      <c r="EYB360" s="598"/>
      <c r="EYC360" s="598"/>
      <c r="EYD360" s="598"/>
      <c r="EYE360" s="598"/>
      <c r="EYF360" s="598"/>
      <c r="EYG360" s="598"/>
      <c r="EYH360" s="598"/>
      <c r="EYI360" s="598"/>
      <c r="EYJ360" s="598"/>
      <c r="EYK360" s="598"/>
      <c r="EYL360" s="598"/>
      <c r="EYM360" s="598"/>
      <c r="EYN360" s="598"/>
      <c r="EYO360" s="598"/>
      <c r="EYP360" s="598"/>
      <c r="EYQ360" s="598"/>
      <c r="EYR360" s="598"/>
      <c r="EYS360" s="598"/>
      <c r="EYT360" s="598"/>
      <c r="EYU360" s="598"/>
      <c r="EYV360" s="598"/>
      <c r="EYW360" s="598"/>
      <c r="EYX360" s="598"/>
      <c r="EYY360" s="598"/>
      <c r="EYZ360" s="598"/>
      <c r="EZA360" s="598"/>
      <c r="EZB360" s="598"/>
      <c r="EZC360" s="598"/>
      <c r="EZD360" s="598"/>
      <c r="EZE360" s="598"/>
      <c r="EZF360" s="598"/>
      <c r="EZG360" s="598"/>
      <c r="EZH360" s="598"/>
      <c r="EZI360" s="598"/>
      <c r="EZJ360" s="598"/>
      <c r="EZK360" s="598"/>
      <c r="EZL360" s="598"/>
      <c r="EZM360" s="598"/>
      <c r="EZN360" s="598"/>
      <c r="EZO360" s="598"/>
      <c r="EZP360" s="598"/>
      <c r="EZQ360" s="598"/>
      <c r="EZR360" s="598"/>
      <c r="EZS360" s="598"/>
      <c r="EZT360" s="598"/>
      <c r="EZU360" s="598"/>
      <c r="EZV360" s="598"/>
      <c r="EZW360" s="598"/>
      <c r="EZX360" s="598"/>
      <c r="EZY360" s="598"/>
      <c r="EZZ360" s="598"/>
      <c r="FAA360" s="598"/>
      <c r="FAB360" s="598"/>
      <c r="FAC360" s="598"/>
      <c r="FAD360" s="598"/>
      <c r="FAE360" s="598"/>
      <c r="FAF360" s="598"/>
      <c r="FAG360" s="598"/>
      <c r="FAH360" s="598"/>
      <c r="FAI360" s="598"/>
      <c r="FAJ360" s="598"/>
      <c r="FAK360" s="598"/>
      <c r="FAL360" s="598"/>
      <c r="FAM360" s="598"/>
      <c r="FAN360" s="598"/>
      <c r="FAO360" s="598"/>
      <c r="FAP360" s="598"/>
      <c r="FAQ360" s="598"/>
      <c r="FAR360" s="598"/>
      <c r="FAS360" s="598"/>
      <c r="FAT360" s="598"/>
      <c r="FAU360" s="598"/>
      <c r="FAV360" s="598"/>
      <c r="FAW360" s="598"/>
      <c r="FAX360" s="598"/>
      <c r="FAY360" s="598"/>
      <c r="FAZ360" s="598"/>
      <c r="FBA360" s="598"/>
      <c r="FBB360" s="598"/>
      <c r="FBC360" s="598"/>
      <c r="FBD360" s="598"/>
      <c r="FBE360" s="598"/>
      <c r="FBF360" s="598"/>
      <c r="FBG360" s="598"/>
      <c r="FBH360" s="598"/>
      <c r="FBI360" s="598"/>
      <c r="FBJ360" s="598"/>
      <c r="FBK360" s="598"/>
      <c r="FBL360" s="598"/>
      <c r="FBM360" s="598"/>
      <c r="FBN360" s="598"/>
      <c r="FBO360" s="598"/>
      <c r="FBP360" s="598"/>
      <c r="FBQ360" s="598"/>
      <c r="FBR360" s="598"/>
      <c r="FBS360" s="598"/>
      <c r="FBT360" s="598"/>
      <c r="FBU360" s="598"/>
      <c r="FBV360" s="598"/>
      <c r="FBW360" s="598"/>
      <c r="FBX360" s="598"/>
      <c r="FBY360" s="598"/>
      <c r="FBZ360" s="598"/>
      <c r="FCA360" s="598"/>
      <c r="FCB360" s="598"/>
      <c r="FCC360" s="598"/>
      <c r="FCD360" s="598"/>
      <c r="FCE360" s="598"/>
      <c r="FCF360" s="598"/>
      <c r="FCG360" s="598"/>
      <c r="FCH360" s="598"/>
      <c r="FCI360" s="598"/>
      <c r="FCJ360" s="598"/>
      <c r="FCK360" s="598"/>
      <c r="FCL360" s="598"/>
      <c r="FCM360" s="598"/>
      <c r="FCN360" s="598"/>
      <c r="FCO360" s="598"/>
      <c r="FCP360" s="598"/>
      <c r="FCQ360" s="598"/>
      <c r="FCR360" s="598"/>
      <c r="FCS360" s="598"/>
      <c r="FCT360" s="598"/>
      <c r="FCU360" s="598"/>
      <c r="FCV360" s="598"/>
      <c r="FCW360" s="598"/>
      <c r="FCX360" s="598"/>
      <c r="FCY360" s="598"/>
      <c r="FCZ360" s="598"/>
      <c r="FDA360" s="598"/>
      <c r="FDB360" s="598"/>
      <c r="FDC360" s="598"/>
      <c r="FDD360" s="598"/>
      <c r="FDE360" s="598"/>
      <c r="FDF360" s="598"/>
      <c r="FDG360" s="598"/>
      <c r="FDH360" s="598"/>
      <c r="FDI360" s="598"/>
      <c r="FDJ360" s="598"/>
      <c r="FDK360" s="598"/>
      <c r="FDL360" s="598"/>
      <c r="FDM360" s="598"/>
      <c r="FDN360" s="598"/>
      <c r="FDO360" s="598"/>
      <c r="FDP360" s="598"/>
      <c r="FDQ360" s="598"/>
      <c r="FDR360" s="598"/>
      <c r="FDS360" s="598"/>
      <c r="FDT360" s="598"/>
      <c r="FDU360" s="598"/>
      <c r="FDV360" s="598"/>
      <c r="FDW360" s="598"/>
      <c r="FDX360" s="598"/>
      <c r="FDY360" s="598"/>
      <c r="FDZ360" s="598"/>
      <c r="FEA360" s="598"/>
      <c r="FEB360" s="598"/>
      <c r="FEC360" s="598"/>
      <c r="FED360" s="598"/>
      <c r="FEE360" s="598"/>
      <c r="FEF360" s="598"/>
      <c r="FEG360" s="598"/>
      <c r="FEH360" s="598"/>
      <c r="FEI360" s="598"/>
      <c r="FEJ360" s="598"/>
      <c r="FEK360" s="598"/>
      <c r="FEL360" s="598"/>
      <c r="FEM360" s="598"/>
      <c r="FEN360" s="598"/>
      <c r="FEO360" s="598"/>
      <c r="FEP360" s="598"/>
      <c r="FEQ360" s="598"/>
      <c r="FER360" s="598"/>
      <c r="FES360" s="598"/>
      <c r="FET360" s="598"/>
      <c r="FEU360" s="598"/>
      <c r="FEV360" s="598"/>
      <c r="FEW360" s="598"/>
      <c r="FEX360" s="598"/>
      <c r="FEY360" s="598"/>
      <c r="FEZ360" s="598"/>
      <c r="FFA360" s="598"/>
      <c r="FFB360" s="598"/>
      <c r="FFC360" s="598"/>
      <c r="FFD360" s="598"/>
      <c r="FFE360" s="598"/>
      <c r="FFF360" s="598"/>
      <c r="FFG360" s="598"/>
      <c r="FFH360" s="598"/>
      <c r="FFI360" s="598"/>
      <c r="FFJ360" s="598"/>
      <c r="FFK360" s="598"/>
      <c r="FFL360" s="598"/>
      <c r="FFM360" s="598"/>
      <c r="FFN360" s="598"/>
      <c r="FFO360" s="598"/>
      <c r="FFP360" s="598"/>
      <c r="FFQ360" s="598"/>
      <c r="FFR360" s="598"/>
      <c r="FFS360" s="598"/>
      <c r="FFT360" s="598"/>
      <c r="FFU360" s="598"/>
      <c r="FFV360" s="598"/>
      <c r="FFW360" s="598"/>
      <c r="FFX360" s="598"/>
      <c r="FFY360" s="598"/>
      <c r="FFZ360" s="598"/>
      <c r="FGA360" s="598"/>
      <c r="FGB360" s="598"/>
      <c r="FGC360" s="598"/>
      <c r="FGD360" s="598"/>
      <c r="FGE360" s="598"/>
      <c r="FGF360" s="598"/>
      <c r="FGG360" s="598"/>
      <c r="FGH360" s="598"/>
      <c r="FGI360" s="598"/>
      <c r="FGJ360" s="598"/>
      <c r="FGK360" s="598"/>
      <c r="FGL360" s="598"/>
      <c r="FGM360" s="598"/>
      <c r="FGN360" s="598"/>
      <c r="FGO360" s="598"/>
      <c r="FGP360" s="598"/>
      <c r="FGQ360" s="598"/>
      <c r="FGR360" s="598"/>
      <c r="FGS360" s="598"/>
      <c r="FGT360" s="598"/>
      <c r="FGU360" s="598"/>
      <c r="FGV360" s="598"/>
      <c r="FGW360" s="598"/>
      <c r="FGX360" s="598"/>
      <c r="FGY360" s="598"/>
      <c r="FGZ360" s="598"/>
      <c r="FHA360" s="598"/>
      <c r="FHB360" s="598"/>
      <c r="FHC360" s="598"/>
      <c r="FHD360" s="598"/>
      <c r="FHE360" s="598"/>
      <c r="FHF360" s="598"/>
      <c r="FHG360" s="598"/>
      <c r="FHH360" s="598"/>
      <c r="FHI360" s="598"/>
      <c r="FHJ360" s="598"/>
      <c r="FHK360" s="598"/>
      <c r="FHL360" s="598"/>
      <c r="FHM360" s="598"/>
      <c r="FHN360" s="598"/>
      <c r="FHO360" s="598"/>
      <c r="FHP360" s="598"/>
      <c r="FHQ360" s="598"/>
      <c r="FHR360" s="598"/>
      <c r="FHS360" s="598"/>
      <c r="FHT360" s="598"/>
      <c r="FHU360" s="598"/>
      <c r="FHV360" s="598"/>
      <c r="FHW360" s="598"/>
      <c r="FHX360" s="598"/>
      <c r="FHY360" s="598"/>
      <c r="FHZ360" s="598"/>
      <c r="FIA360" s="598"/>
      <c r="FIB360" s="598"/>
      <c r="FIC360" s="598"/>
      <c r="FID360" s="598"/>
      <c r="FIE360" s="598"/>
      <c r="FIF360" s="598"/>
      <c r="FIG360" s="598"/>
      <c r="FIH360" s="598"/>
      <c r="FII360" s="598"/>
      <c r="FIJ360" s="598"/>
      <c r="FIK360" s="598"/>
      <c r="FIL360" s="598"/>
      <c r="FIM360" s="598"/>
      <c r="FIN360" s="598"/>
      <c r="FIO360" s="598"/>
      <c r="FIP360" s="598"/>
      <c r="FIQ360" s="598"/>
      <c r="FIR360" s="598"/>
      <c r="FIS360" s="598"/>
      <c r="FIT360" s="598"/>
      <c r="FIU360" s="598"/>
      <c r="FIV360" s="598"/>
      <c r="FIW360" s="598"/>
      <c r="FIX360" s="598"/>
      <c r="FIY360" s="598"/>
      <c r="FIZ360" s="598"/>
      <c r="FJA360" s="598"/>
      <c r="FJB360" s="598"/>
      <c r="FJC360" s="598"/>
      <c r="FJD360" s="598"/>
      <c r="FJE360" s="598"/>
      <c r="FJF360" s="598"/>
      <c r="FJG360" s="598"/>
      <c r="FJH360" s="598"/>
      <c r="FJI360" s="598"/>
      <c r="FJJ360" s="598"/>
      <c r="FJK360" s="598"/>
      <c r="FJL360" s="598"/>
      <c r="FJM360" s="598"/>
      <c r="FJN360" s="598"/>
      <c r="FJO360" s="598"/>
      <c r="FJP360" s="598"/>
      <c r="FJQ360" s="598"/>
      <c r="FJR360" s="598"/>
      <c r="FJS360" s="598"/>
      <c r="FJT360" s="598"/>
      <c r="FJU360" s="598"/>
      <c r="FJV360" s="598"/>
      <c r="FJW360" s="598"/>
      <c r="FJX360" s="598"/>
      <c r="FJY360" s="598"/>
      <c r="FJZ360" s="598"/>
      <c r="FKA360" s="598"/>
      <c r="FKB360" s="598"/>
      <c r="FKC360" s="598"/>
      <c r="FKD360" s="598"/>
      <c r="FKE360" s="598"/>
      <c r="FKF360" s="598"/>
      <c r="FKG360" s="598"/>
      <c r="FKH360" s="598"/>
      <c r="FKI360" s="598"/>
      <c r="FKJ360" s="598"/>
      <c r="FKK360" s="598"/>
      <c r="FKL360" s="598"/>
      <c r="FKM360" s="598"/>
      <c r="FKN360" s="598"/>
      <c r="FKO360" s="598"/>
      <c r="FKP360" s="598"/>
      <c r="FKQ360" s="598"/>
      <c r="FKR360" s="598"/>
      <c r="FKS360" s="598"/>
      <c r="FKT360" s="598"/>
      <c r="FKU360" s="598"/>
      <c r="FKV360" s="598"/>
      <c r="FKW360" s="598"/>
      <c r="FKX360" s="598"/>
      <c r="FKY360" s="598"/>
      <c r="FKZ360" s="598"/>
      <c r="FLA360" s="598"/>
      <c r="FLB360" s="598"/>
      <c r="FLC360" s="598"/>
      <c r="FLD360" s="598"/>
      <c r="FLE360" s="598"/>
      <c r="FLF360" s="598"/>
      <c r="FLG360" s="598"/>
      <c r="FLH360" s="598"/>
      <c r="FLI360" s="598"/>
      <c r="FLJ360" s="598"/>
      <c r="FLK360" s="598"/>
      <c r="FLL360" s="598"/>
      <c r="FLM360" s="598"/>
      <c r="FLN360" s="598"/>
      <c r="FLO360" s="598"/>
      <c r="FLP360" s="598"/>
      <c r="FLQ360" s="598"/>
      <c r="FLR360" s="598"/>
      <c r="FLS360" s="598"/>
      <c r="FLT360" s="598"/>
      <c r="FLU360" s="598"/>
      <c r="FLV360" s="598"/>
      <c r="FLW360" s="598"/>
      <c r="FLX360" s="598"/>
      <c r="FLY360" s="598"/>
      <c r="FLZ360" s="598"/>
      <c r="FMA360" s="598"/>
      <c r="FMB360" s="598"/>
      <c r="FMC360" s="598"/>
      <c r="FMD360" s="598"/>
      <c r="FME360" s="598"/>
      <c r="FMF360" s="598"/>
      <c r="FMG360" s="598"/>
      <c r="FMH360" s="598"/>
      <c r="FMI360" s="598"/>
      <c r="FMJ360" s="598"/>
      <c r="FMK360" s="598"/>
      <c r="FML360" s="598"/>
      <c r="FMM360" s="598"/>
      <c r="FMN360" s="598"/>
      <c r="FMO360" s="598"/>
      <c r="FMP360" s="598"/>
      <c r="FMQ360" s="598"/>
      <c r="FMR360" s="598"/>
      <c r="FMS360" s="598"/>
      <c r="FMT360" s="598"/>
      <c r="FMU360" s="598"/>
      <c r="FMV360" s="598"/>
      <c r="FMW360" s="598"/>
      <c r="FMX360" s="598"/>
      <c r="FMY360" s="598"/>
      <c r="FMZ360" s="598"/>
      <c r="FNA360" s="598"/>
      <c r="FNB360" s="598"/>
      <c r="FNC360" s="598"/>
      <c r="FND360" s="598"/>
      <c r="FNE360" s="598"/>
      <c r="FNF360" s="598"/>
      <c r="FNG360" s="598"/>
      <c r="FNH360" s="598"/>
      <c r="FNI360" s="598"/>
      <c r="FNJ360" s="598"/>
      <c r="FNK360" s="598"/>
      <c r="FNL360" s="598"/>
      <c r="FNM360" s="598"/>
      <c r="FNN360" s="598"/>
      <c r="FNO360" s="598"/>
      <c r="FNP360" s="598"/>
      <c r="FNQ360" s="598"/>
      <c r="FNR360" s="598"/>
      <c r="FNS360" s="598"/>
      <c r="FNT360" s="598"/>
      <c r="FNU360" s="598"/>
      <c r="FNV360" s="598"/>
      <c r="FNW360" s="598"/>
      <c r="FNX360" s="598"/>
      <c r="FNY360" s="598"/>
      <c r="FNZ360" s="598"/>
      <c r="FOA360" s="598"/>
      <c r="FOB360" s="598"/>
      <c r="FOC360" s="598"/>
      <c r="FOD360" s="598"/>
      <c r="FOE360" s="598"/>
      <c r="FOF360" s="598"/>
      <c r="FOG360" s="598"/>
      <c r="FOH360" s="598"/>
      <c r="FOI360" s="598"/>
      <c r="FOJ360" s="598"/>
      <c r="FOK360" s="598"/>
      <c r="FOL360" s="598"/>
      <c r="FOM360" s="598"/>
      <c r="FON360" s="598"/>
      <c r="FOO360" s="598"/>
      <c r="FOP360" s="598"/>
      <c r="FOQ360" s="598"/>
      <c r="FOR360" s="598"/>
      <c r="FOS360" s="598"/>
      <c r="FOT360" s="598"/>
      <c r="FOU360" s="598"/>
      <c r="FOV360" s="598"/>
      <c r="FOW360" s="598"/>
      <c r="FOX360" s="598"/>
      <c r="FOY360" s="598"/>
      <c r="FOZ360" s="598"/>
      <c r="FPA360" s="598"/>
      <c r="FPB360" s="598"/>
      <c r="FPC360" s="598"/>
      <c r="FPD360" s="598"/>
      <c r="FPE360" s="598"/>
      <c r="FPF360" s="598"/>
      <c r="FPG360" s="598"/>
      <c r="FPH360" s="598"/>
      <c r="FPI360" s="598"/>
      <c r="FPJ360" s="598"/>
      <c r="FPK360" s="598"/>
      <c r="FPL360" s="598"/>
      <c r="FPM360" s="598"/>
      <c r="FPN360" s="598"/>
      <c r="FPO360" s="598"/>
      <c r="FPP360" s="598"/>
      <c r="FPQ360" s="598"/>
      <c r="FPR360" s="598"/>
      <c r="FPS360" s="598"/>
      <c r="FPT360" s="598"/>
      <c r="FPU360" s="598"/>
      <c r="FPV360" s="598"/>
      <c r="FPW360" s="598"/>
      <c r="FPX360" s="598"/>
      <c r="FPY360" s="598"/>
      <c r="FPZ360" s="598"/>
      <c r="FQA360" s="598"/>
      <c r="FQB360" s="598"/>
      <c r="FQC360" s="598"/>
      <c r="FQD360" s="598"/>
      <c r="FQE360" s="598"/>
      <c r="FQF360" s="598"/>
      <c r="FQG360" s="598"/>
      <c r="FQH360" s="598"/>
      <c r="FQI360" s="598"/>
      <c r="FQJ360" s="598"/>
      <c r="FQK360" s="598"/>
      <c r="FQL360" s="598"/>
      <c r="FQM360" s="598"/>
      <c r="FQN360" s="598"/>
      <c r="FQO360" s="598"/>
      <c r="FQP360" s="598"/>
      <c r="FQQ360" s="598"/>
      <c r="FQR360" s="598"/>
      <c r="FQS360" s="598"/>
      <c r="FQT360" s="598"/>
      <c r="FQU360" s="598"/>
      <c r="FQV360" s="598"/>
      <c r="FQW360" s="598"/>
      <c r="FQX360" s="598"/>
      <c r="FQY360" s="598"/>
      <c r="FQZ360" s="598"/>
      <c r="FRA360" s="598"/>
      <c r="FRB360" s="598"/>
      <c r="FRC360" s="598"/>
      <c r="FRD360" s="598"/>
      <c r="FRE360" s="598"/>
      <c r="FRF360" s="598"/>
      <c r="FRG360" s="598"/>
      <c r="FRH360" s="598"/>
      <c r="FRI360" s="598"/>
      <c r="FRJ360" s="598"/>
      <c r="FRK360" s="598"/>
      <c r="FRL360" s="598"/>
      <c r="FRM360" s="598"/>
      <c r="FRN360" s="598"/>
      <c r="FRO360" s="598"/>
      <c r="FRP360" s="598"/>
      <c r="FRQ360" s="598"/>
      <c r="FRR360" s="598"/>
      <c r="FRS360" s="598"/>
      <c r="FRT360" s="598"/>
      <c r="FRU360" s="598"/>
      <c r="FRV360" s="598"/>
      <c r="FRW360" s="598"/>
      <c r="FRX360" s="598"/>
      <c r="FRY360" s="598"/>
      <c r="FRZ360" s="598"/>
      <c r="FSA360" s="598"/>
      <c r="FSB360" s="598"/>
      <c r="FSC360" s="598"/>
      <c r="FSD360" s="598"/>
      <c r="FSE360" s="598"/>
      <c r="FSF360" s="598"/>
      <c r="FSG360" s="598"/>
      <c r="FSH360" s="598"/>
      <c r="FSI360" s="598"/>
      <c r="FSJ360" s="598"/>
      <c r="FSK360" s="598"/>
      <c r="FSL360" s="598"/>
      <c r="FSM360" s="598"/>
      <c r="FSN360" s="598"/>
      <c r="FSO360" s="598"/>
      <c r="FSP360" s="598"/>
      <c r="FSQ360" s="598"/>
      <c r="FSR360" s="598"/>
      <c r="FSS360" s="598"/>
      <c r="FST360" s="598"/>
      <c r="FSU360" s="598"/>
      <c r="FSV360" s="598"/>
      <c r="FSW360" s="598"/>
      <c r="FSX360" s="598"/>
      <c r="FSY360" s="598"/>
      <c r="FSZ360" s="598"/>
      <c r="FTA360" s="598"/>
      <c r="FTB360" s="598"/>
      <c r="FTC360" s="598"/>
      <c r="FTD360" s="598"/>
      <c r="FTE360" s="598"/>
      <c r="FTF360" s="598"/>
      <c r="FTG360" s="598"/>
      <c r="FTH360" s="598"/>
      <c r="FTI360" s="598"/>
      <c r="FTJ360" s="598"/>
      <c r="FTK360" s="598"/>
      <c r="FTL360" s="598"/>
      <c r="FTM360" s="598"/>
      <c r="FTN360" s="598"/>
      <c r="FTO360" s="598"/>
      <c r="FTP360" s="598"/>
      <c r="FTQ360" s="598"/>
      <c r="FTR360" s="598"/>
      <c r="FTS360" s="598"/>
      <c r="FTT360" s="598"/>
      <c r="FTU360" s="598"/>
      <c r="FTV360" s="598"/>
      <c r="FTW360" s="598"/>
      <c r="FTX360" s="598"/>
      <c r="FTY360" s="598"/>
      <c r="FTZ360" s="598"/>
      <c r="FUA360" s="598"/>
      <c r="FUB360" s="598"/>
      <c r="FUC360" s="598"/>
      <c r="FUD360" s="598"/>
      <c r="FUE360" s="598"/>
      <c r="FUF360" s="598"/>
      <c r="FUG360" s="598"/>
      <c r="FUH360" s="598"/>
      <c r="FUI360" s="598"/>
      <c r="FUJ360" s="598"/>
      <c r="FUK360" s="598"/>
      <c r="FUL360" s="598"/>
      <c r="FUM360" s="598"/>
      <c r="FUN360" s="598"/>
      <c r="FUO360" s="598"/>
      <c r="FUP360" s="598"/>
      <c r="FUQ360" s="598"/>
      <c r="FUR360" s="598"/>
      <c r="FUS360" s="598"/>
      <c r="FUT360" s="598"/>
      <c r="FUU360" s="598"/>
      <c r="FUV360" s="598"/>
      <c r="FUW360" s="598"/>
      <c r="FUX360" s="598"/>
      <c r="FUY360" s="598"/>
      <c r="FUZ360" s="598"/>
      <c r="FVA360" s="598"/>
      <c r="FVB360" s="598"/>
      <c r="FVC360" s="598"/>
      <c r="FVD360" s="598"/>
      <c r="FVE360" s="598"/>
      <c r="FVF360" s="598"/>
      <c r="FVG360" s="598"/>
      <c r="FVH360" s="598"/>
      <c r="FVI360" s="598"/>
      <c r="FVJ360" s="598"/>
      <c r="FVK360" s="598"/>
      <c r="FVL360" s="598"/>
      <c r="FVM360" s="598"/>
      <c r="FVN360" s="598"/>
      <c r="FVO360" s="598"/>
      <c r="FVP360" s="598"/>
      <c r="FVQ360" s="598"/>
      <c r="FVR360" s="598"/>
      <c r="FVS360" s="598"/>
      <c r="FVT360" s="598"/>
      <c r="FVU360" s="598"/>
      <c r="FVV360" s="598"/>
      <c r="FVW360" s="598"/>
      <c r="FVX360" s="598"/>
      <c r="FVY360" s="598"/>
      <c r="FVZ360" s="598"/>
      <c r="FWA360" s="598"/>
      <c r="FWB360" s="598"/>
      <c r="FWC360" s="598"/>
      <c r="FWD360" s="598"/>
      <c r="FWE360" s="598"/>
      <c r="FWF360" s="598"/>
      <c r="FWG360" s="598"/>
      <c r="FWH360" s="598"/>
      <c r="FWI360" s="598"/>
      <c r="FWJ360" s="598"/>
      <c r="FWK360" s="598"/>
      <c r="FWL360" s="598"/>
      <c r="FWM360" s="598"/>
      <c r="FWN360" s="598"/>
      <c r="FWO360" s="598"/>
      <c r="FWP360" s="598"/>
      <c r="FWQ360" s="598"/>
      <c r="FWR360" s="598"/>
      <c r="FWS360" s="598"/>
      <c r="FWT360" s="598"/>
      <c r="FWU360" s="598"/>
      <c r="FWV360" s="598"/>
      <c r="FWW360" s="598"/>
      <c r="FWX360" s="598"/>
      <c r="FWY360" s="598"/>
      <c r="FWZ360" s="598"/>
      <c r="FXA360" s="598"/>
      <c r="FXB360" s="598"/>
      <c r="FXC360" s="598"/>
      <c r="FXD360" s="598"/>
      <c r="FXE360" s="598"/>
      <c r="FXF360" s="598"/>
      <c r="FXG360" s="598"/>
      <c r="FXH360" s="598"/>
      <c r="FXI360" s="598"/>
      <c r="FXJ360" s="598"/>
      <c r="FXK360" s="598"/>
      <c r="FXL360" s="598"/>
      <c r="FXM360" s="598"/>
      <c r="FXN360" s="598"/>
      <c r="FXO360" s="598"/>
      <c r="FXP360" s="598"/>
      <c r="FXQ360" s="598"/>
      <c r="FXR360" s="598"/>
      <c r="FXS360" s="598"/>
      <c r="FXT360" s="598"/>
      <c r="FXU360" s="598"/>
      <c r="FXV360" s="598"/>
      <c r="FXW360" s="598"/>
      <c r="FXX360" s="598"/>
      <c r="FXY360" s="598"/>
      <c r="FXZ360" s="598"/>
      <c r="FYA360" s="598"/>
      <c r="FYB360" s="598"/>
      <c r="FYC360" s="598"/>
      <c r="FYD360" s="598"/>
      <c r="FYE360" s="598"/>
      <c r="FYF360" s="598"/>
      <c r="FYG360" s="598"/>
      <c r="FYH360" s="598"/>
      <c r="FYI360" s="598"/>
      <c r="FYJ360" s="598"/>
      <c r="FYK360" s="598"/>
      <c r="FYL360" s="598"/>
      <c r="FYM360" s="598"/>
      <c r="FYN360" s="598"/>
      <c r="FYO360" s="598"/>
      <c r="FYP360" s="598"/>
      <c r="FYQ360" s="598"/>
      <c r="FYR360" s="598"/>
      <c r="FYS360" s="598"/>
      <c r="FYT360" s="598"/>
      <c r="FYU360" s="598"/>
      <c r="FYV360" s="598"/>
      <c r="FYW360" s="598"/>
      <c r="FYX360" s="598"/>
      <c r="FYY360" s="598"/>
      <c r="FYZ360" s="598"/>
      <c r="FZA360" s="598"/>
      <c r="FZB360" s="598"/>
      <c r="FZC360" s="598"/>
      <c r="FZD360" s="598"/>
      <c r="FZE360" s="598"/>
      <c r="FZF360" s="598"/>
      <c r="FZG360" s="598"/>
      <c r="FZH360" s="598"/>
      <c r="FZI360" s="598"/>
      <c r="FZJ360" s="598"/>
      <c r="FZK360" s="598"/>
      <c r="FZL360" s="598"/>
      <c r="FZM360" s="598"/>
      <c r="FZN360" s="598"/>
      <c r="FZO360" s="598"/>
      <c r="FZP360" s="598"/>
      <c r="FZQ360" s="598"/>
      <c r="FZR360" s="598"/>
      <c r="FZS360" s="598"/>
      <c r="FZT360" s="598"/>
      <c r="FZU360" s="598"/>
      <c r="FZV360" s="598"/>
      <c r="FZW360" s="598"/>
      <c r="FZX360" s="598"/>
      <c r="FZY360" s="598"/>
      <c r="FZZ360" s="598"/>
      <c r="GAA360" s="598"/>
      <c r="GAB360" s="598"/>
      <c r="GAC360" s="598"/>
      <c r="GAD360" s="598"/>
      <c r="GAE360" s="598"/>
      <c r="GAF360" s="598"/>
      <c r="GAG360" s="598"/>
      <c r="GAH360" s="598"/>
      <c r="GAI360" s="598"/>
      <c r="GAJ360" s="598"/>
      <c r="GAK360" s="598"/>
      <c r="GAL360" s="598"/>
      <c r="GAM360" s="598"/>
      <c r="GAN360" s="598"/>
      <c r="GAO360" s="598"/>
      <c r="GAP360" s="598"/>
      <c r="GAQ360" s="598"/>
      <c r="GAR360" s="598"/>
      <c r="GAS360" s="598"/>
      <c r="GAT360" s="598"/>
      <c r="GAU360" s="598"/>
      <c r="GAV360" s="598"/>
      <c r="GAW360" s="598"/>
      <c r="GAX360" s="598"/>
      <c r="GAY360" s="598"/>
      <c r="GAZ360" s="598"/>
      <c r="GBA360" s="598"/>
      <c r="GBB360" s="598"/>
      <c r="GBC360" s="598"/>
      <c r="GBD360" s="598"/>
      <c r="GBE360" s="598"/>
      <c r="GBF360" s="598"/>
      <c r="GBG360" s="598"/>
      <c r="GBH360" s="598"/>
      <c r="GBI360" s="598"/>
      <c r="GBJ360" s="598"/>
      <c r="GBK360" s="598"/>
      <c r="GBL360" s="598"/>
      <c r="GBM360" s="598"/>
      <c r="GBN360" s="598"/>
      <c r="GBO360" s="598"/>
      <c r="GBP360" s="598"/>
      <c r="GBQ360" s="598"/>
      <c r="GBR360" s="598"/>
      <c r="GBS360" s="598"/>
      <c r="GBT360" s="598"/>
      <c r="GBU360" s="598"/>
      <c r="GBV360" s="598"/>
      <c r="GBW360" s="598"/>
      <c r="GBX360" s="598"/>
      <c r="GBY360" s="598"/>
      <c r="GBZ360" s="598"/>
      <c r="GCA360" s="598"/>
      <c r="GCB360" s="598"/>
      <c r="GCC360" s="598"/>
      <c r="GCD360" s="598"/>
      <c r="GCE360" s="598"/>
      <c r="GCF360" s="598"/>
      <c r="GCG360" s="598"/>
      <c r="GCH360" s="598"/>
      <c r="GCI360" s="598"/>
      <c r="GCJ360" s="598"/>
      <c r="GCK360" s="598"/>
      <c r="GCL360" s="598"/>
      <c r="GCM360" s="598"/>
      <c r="GCN360" s="598"/>
      <c r="GCO360" s="598"/>
      <c r="GCP360" s="598"/>
      <c r="GCQ360" s="598"/>
      <c r="GCR360" s="598"/>
      <c r="GCS360" s="598"/>
      <c r="GCT360" s="598"/>
      <c r="GCU360" s="598"/>
      <c r="GCV360" s="598"/>
      <c r="GCW360" s="598"/>
      <c r="GCX360" s="598"/>
      <c r="GCY360" s="598"/>
      <c r="GCZ360" s="598"/>
      <c r="GDA360" s="598"/>
      <c r="GDB360" s="598"/>
      <c r="GDC360" s="598"/>
      <c r="GDD360" s="598"/>
      <c r="GDE360" s="598"/>
      <c r="GDF360" s="598"/>
      <c r="GDG360" s="598"/>
      <c r="GDH360" s="598"/>
      <c r="GDI360" s="598"/>
      <c r="GDJ360" s="598"/>
      <c r="GDK360" s="598"/>
      <c r="GDL360" s="598"/>
      <c r="GDM360" s="598"/>
      <c r="GDN360" s="598"/>
      <c r="GDO360" s="598"/>
      <c r="GDP360" s="598"/>
      <c r="GDQ360" s="598"/>
      <c r="GDR360" s="598"/>
      <c r="GDS360" s="598"/>
      <c r="GDT360" s="598"/>
      <c r="GDU360" s="598"/>
      <c r="GDV360" s="598"/>
      <c r="GDW360" s="598"/>
      <c r="GDX360" s="598"/>
      <c r="GDY360" s="598"/>
      <c r="GDZ360" s="598"/>
      <c r="GEA360" s="598"/>
      <c r="GEB360" s="598"/>
      <c r="GEC360" s="598"/>
      <c r="GED360" s="598"/>
      <c r="GEE360" s="598"/>
      <c r="GEF360" s="598"/>
      <c r="GEG360" s="598"/>
      <c r="GEH360" s="598"/>
      <c r="GEI360" s="598"/>
      <c r="GEJ360" s="598"/>
      <c r="GEK360" s="598"/>
      <c r="GEL360" s="598"/>
      <c r="GEM360" s="598"/>
      <c r="GEN360" s="598"/>
      <c r="GEO360" s="598"/>
      <c r="GEP360" s="598"/>
      <c r="GEQ360" s="598"/>
      <c r="GER360" s="598"/>
      <c r="GES360" s="598"/>
      <c r="GET360" s="598"/>
      <c r="GEU360" s="598"/>
      <c r="GEV360" s="598"/>
      <c r="GEW360" s="598"/>
      <c r="GEX360" s="598"/>
      <c r="GEY360" s="598"/>
      <c r="GEZ360" s="598"/>
      <c r="GFA360" s="598"/>
      <c r="GFB360" s="598"/>
      <c r="GFC360" s="598"/>
      <c r="GFD360" s="598"/>
      <c r="GFE360" s="598"/>
      <c r="GFF360" s="598"/>
      <c r="GFG360" s="598"/>
      <c r="GFH360" s="598"/>
      <c r="GFI360" s="598"/>
      <c r="GFJ360" s="598"/>
      <c r="GFK360" s="598"/>
      <c r="GFL360" s="598"/>
      <c r="GFM360" s="598"/>
      <c r="GFN360" s="598"/>
      <c r="GFO360" s="598"/>
      <c r="GFP360" s="598"/>
      <c r="GFQ360" s="598"/>
      <c r="GFR360" s="598"/>
      <c r="GFS360" s="598"/>
      <c r="GFT360" s="598"/>
      <c r="GFU360" s="598"/>
      <c r="GFV360" s="598"/>
      <c r="GFW360" s="598"/>
      <c r="GFX360" s="598"/>
      <c r="GFY360" s="598"/>
      <c r="GFZ360" s="598"/>
      <c r="GGA360" s="598"/>
      <c r="GGB360" s="598"/>
      <c r="GGC360" s="598"/>
      <c r="GGD360" s="598"/>
      <c r="GGE360" s="598"/>
      <c r="GGF360" s="598"/>
      <c r="GGG360" s="598"/>
      <c r="GGH360" s="598"/>
      <c r="GGI360" s="598"/>
      <c r="GGJ360" s="598"/>
      <c r="GGK360" s="598"/>
      <c r="GGL360" s="598"/>
      <c r="GGM360" s="598"/>
      <c r="GGN360" s="598"/>
      <c r="GGO360" s="598"/>
      <c r="GGP360" s="598"/>
      <c r="GGQ360" s="598"/>
      <c r="GGR360" s="598"/>
      <c r="GGS360" s="598"/>
      <c r="GGT360" s="598"/>
      <c r="GGU360" s="598"/>
      <c r="GGV360" s="598"/>
      <c r="GGW360" s="598"/>
      <c r="GGX360" s="598"/>
      <c r="GGY360" s="598"/>
      <c r="GGZ360" s="598"/>
      <c r="GHA360" s="598"/>
      <c r="GHB360" s="598"/>
      <c r="GHC360" s="598"/>
      <c r="GHD360" s="598"/>
      <c r="GHE360" s="598"/>
      <c r="GHF360" s="598"/>
      <c r="GHG360" s="598"/>
      <c r="GHH360" s="598"/>
      <c r="GHI360" s="598"/>
      <c r="GHJ360" s="598"/>
      <c r="GHK360" s="598"/>
      <c r="GHL360" s="598"/>
      <c r="GHM360" s="598"/>
      <c r="GHN360" s="598"/>
      <c r="GHO360" s="598"/>
      <c r="GHP360" s="598"/>
      <c r="GHQ360" s="598"/>
      <c r="GHR360" s="598"/>
      <c r="GHS360" s="598"/>
      <c r="GHT360" s="598"/>
      <c r="GHU360" s="598"/>
      <c r="GHV360" s="598"/>
      <c r="GHW360" s="598"/>
      <c r="GHX360" s="598"/>
      <c r="GHY360" s="598"/>
      <c r="GHZ360" s="598"/>
      <c r="GIA360" s="598"/>
      <c r="GIB360" s="598"/>
      <c r="GIC360" s="598"/>
      <c r="GID360" s="598"/>
      <c r="GIE360" s="598"/>
      <c r="GIF360" s="598"/>
      <c r="GIG360" s="598"/>
      <c r="GIH360" s="598"/>
      <c r="GII360" s="598"/>
      <c r="GIJ360" s="598"/>
      <c r="GIK360" s="598"/>
      <c r="GIL360" s="598"/>
      <c r="GIM360" s="598"/>
      <c r="GIN360" s="598"/>
      <c r="GIO360" s="598"/>
      <c r="GIP360" s="598"/>
      <c r="GIQ360" s="598"/>
      <c r="GIR360" s="598"/>
      <c r="GIS360" s="598"/>
      <c r="GIT360" s="598"/>
      <c r="GIU360" s="598"/>
      <c r="GIV360" s="598"/>
      <c r="GIW360" s="598"/>
      <c r="GIX360" s="598"/>
      <c r="GIY360" s="598"/>
      <c r="GIZ360" s="598"/>
      <c r="GJA360" s="598"/>
      <c r="GJB360" s="598"/>
      <c r="GJC360" s="598"/>
      <c r="GJD360" s="598"/>
      <c r="GJE360" s="598"/>
      <c r="GJF360" s="598"/>
      <c r="GJG360" s="598"/>
      <c r="GJH360" s="598"/>
      <c r="GJI360" s="598"/>
      <c r="GJJ360" s="598"/>
      <c r="GJK360" s="598"/>
      <c r="GJL360" s="598"/>
      <c r="GJM360" s="598"/>
      <c r="GJN360" s="598"/>
      <c r="GJO360" s="598"/>
      <c r="GJP360" s="598"/>
      <c r="GJQ360" s="598"/>
      <c r="GJR360" s="598"/>
      <c r="GJS360" s="598"/>
      <c r="GJT360" s="598"/>
      <c r="GJU360" s="598"/>
      <c r="GJV360" s="598"/>
      <c r="GJW360" s="598"/>
      <c r="GJX360" s="598"/>
      <c r="GJY360" s="598"/>
      <c r="GJZ360" s="598"/>
      <c r="GKA360" s="598"/>
      <c r="GKB360" s="598"/>
      <c r="GKC360" s="598"/>
      <c r="GKD360" s="598"/>
      <c r="GKE360" s="598"/>
      <c r="GKF360" s="598"/>
      <c r="GKG360" s="598"/>
      <c r="GKH360" s="598"/>
      <c r="GKI360" s="598"/>
      <c r="GKJ360" s="598"/>
      <c r="GKK360" s="598"/>
      <c r="GKL360" s="598"/>
      <c r="GKM360" s="598"/>
      <c r="GKN360" s="598"/>
      <c r="GKO360" s="598"/>
      <c r="GKP360" s="598"/>
      <c r="GKQ360" s="598"/>
      <c r="GKR360" s="598"/>
      <c r="GKS360" s="598"/>
      <c r="GKT360" s="598"/>
      <c r="GKU360" s="598"/>
      <c r="GKV360" s="598"/>
      <c r="GKW360" s="598"/>
      <c r="GKX360" s="598"/>
      <c r="GKY360" s="598"/>
      <c r="GKZ360" s="598"/>
      <c r="GLA360" s="598"/>
      <c r="GLB360" s="598"/>
      <c r="GLC360" s="598"/>
      <c r="GLD360" s="598"/>
      <c r="GLE360" s="598"/>
      <c r="GLF360" s="598"/>
      <c r="GLG360" s="598"/>
      <c r="GLH360" s="598"/>
      <c r="GLI360" s="598"/>
      <c r="GLJ360" s="598"/>
      <c r="GLK360" s="598"/>
      <c r="GLL360" s="598"/>
      <c r="GLM360" s="598"/>
      <c r="GLN360" s="598"/>
      <c r="GLO360" s="598"/>
      <c r="GLP360" s="598"/>
      <c r="GLQ360" s="598"/>
      <c r="GLR360" s="598"/>
      <c r="GLS360" s="598"/>
      <c r="GLT360" s="598"/>
      <c r="GLU360" s="598"/>
      <c r="GLV360" s="598"/>
      <c r="GLW360" s="598"/>
      <c r="GLX360" s="598"/>
      <c r="GLY360" s="598"/>
      <c r="GLZ360" s="598"/>
      <c r="GMA360" s="598"/>
      <c r="GMB360" s="598"/>
      <c r="GMC360" s="598"/>
      <c r="GMD360" s="598"/>
      <c r="GME360" s="598"/>
      <c r="GMF360" s="598"/>
      <c r="GMG360" s="598"/>
      <c r="GMH360" s="598"/>
      <c r="GMI360" s="598"/>
      <c r="GMJ360" s="598"/>
      <c r="GMK360" s="598"/>
      <c r="GML360" s="598"/>
      <c r="GMM360" s="598"/>
      <c r="GMN360" s="598"/>
      <c r="GMO360" s="598"/>
      <c r="GMP360" s="598"/>
      <c r="GMQ360" s="598"/>
      <c r="GMR360" s="598"/>
      <c r="GMS360" s="598"/>
      <c r="GMT360" s="598"/>
      <c r="GMU360" s="598"/>
      <c r="GMV360" s="598"/>
      <c r="GMW360" s="598"/>
      <c r="GMX360" s="598"/>
      <c r="GMY360" s="598"/>
      <c r="GMZ360" s="598"/>
      <c r="GNA360" s="598"/>
      <c r="GNB360" s="598"/>
      <c r="GNC360" s="598"/>
      <c r="GND360" s="598"/>
      <c r="GNE360" s="598"/>
      <c r="GNF360" s="598"/>
      <c r="GNG360" s="598"/>
      <c r="GNH360" s="598"/>
      <c r="GNI360" s="598"/>
      <c r="GNJ360" s="598"/>
      <c r="GNK360" s="598"/>
      <c r="GNL360" s="598"/>
      <c r="GNM360" s="598"/>
      <c r="GNN360" s="598"/>
      <c r="GNO360" s="598"/>
      <c r="GNP360" s="598"/>
      <c r="GNQ360" s="598"/>
      <c r="GNR360" s="598"/>
      <c r="GNS360" s="598"/>
      <c r="GNT360" s="598"/>
      <c r="GNU360" s="598"/>
      <c r="GNV360" s="598"/>
      <c r="GNW360" s="598"/>
      <c r="GNX360" s="598"/>
      <c r="GNY360" s="598"/>
      <c r="GNZ360" s="598"/>
      <c r="GOA360" s="598"/>
      <c r="GOB360" s="598"/>
      <c r="GOC360" s="598"/>
      <c r="GOD360" s="598"/>
      <c r="GOE360" s="598"/>
      <c r="GOF360" s="598"/>
      <c r="GOG360" s="598"/>
      <c r="GOH360" s="598"/>
      <c r="GOI360" s="598"/>
      <c r="GOJ360" s="598"/>
      <c r="GOK360" s="598"/>
      <c r="GOL360" s="598"/>
      <c r="GOM360" s="598"/>
      <c r="GON360" s="598"/>
      <c r="GOO360" s="598"/>
      <c r="GOP360" s="598"/>
      <c r="GOQ360" s="598"/>
      <c r="GOR360" s="598"/>
      <c r="GOS360" s="598"/>
      <c r="GOT360" s="598"/>
      <c r="GOU360" s="598"/>
      <c r="GOV360" s="598"/>
      <c r="GOW360" s="598"/>
      <c r="GOX360" s="598"/>
      <c r="GOY360" s="598"/>
      <c r="GOZ360" s="598"/>
      <c r="GPA360" s="598"/>
      <c r="GPB360" s="598"/>
      <c r="GPC360" s="598"/>
      <c r="GPD360" s="598"/>
      <c r="GPE360" s="598"/>
      <c r="GPF360" s="598"/>
      <c r="GPG360" s="598"/>
      <c r="GPH360" s="598"/>
      <c r="GPI360" s="598"/>
      <c r="GPJ360" s="598"/>
      <c r="GPK360" s="598"/>
      <c r="GPL360" s="598"/>
      <c r="GPM360" s="598"/>
      <c r="GPN360" s="598"/>
      <c r="GPO360" s="598"/>
      <c r="GPP360" s="598"/>
      <c r="GPQ360" s="598"/>
      <c r="GPR360" s="598"/>
      <c r="GPS360" s="598"/>
      <c r="GPT360" s="598"/>
      <c r="GPU360" s="598"/>
      <c r="GPV360" s="598"/>
      <c r="GPW360" s="598"/>
      <c r="GPX360" s="598"/>
      <c r="GPY360" s="598"/>
      <c r="GPZ360" s="598"/>
      <c r="GQA360" s="598"/>
      <c r="GQB360" s="598"/>
      <c r="GQC360" s="598"/>
      <c r="GQD360" s="598"/>
      <c r="GQE360" s="598"/>
      <c r="GQF360" s="598"/>
      <c r="GQG360" s="598"/>
      <c r="GQH360" s="598"/>
      <c r="GQI360" s="598"/>
      <c r="GQJ360" s="598"/>
      <c r="GQK360" s="598"/>
      <c r="GQL360" s="598"/>
      <c r="GQM360" s="598"/>
      <c r="GQN360" s="598"/>
      <c r="GQO360" s="598"/>
      <c r="GQP360" s="598"/>
      <c r="GQQ360" s="598"/>
      <c r="GQR360" s="598"/>
      <c r="GQS360" s="598"/>
      <c r="GQT360" s="598"/>
      <c r="GQU360" s="598"/>
      <c r="GQV360" s="598"/>
      <c r="GQW360" s="598"/>
      <c r="GQX360" s="598"/>
      <c r="GQY360" s="598"/>
      <c r="GQZ360" s="598"/>
      <c r="GRA360" s="598"/>
      <c r="GRB360" s="598"/>
      <c r="GRC360" s="598"/>
      <c r="GRD360" s="598"/>
      <c r="GRE360" s="598"/>
      <c r="GRF360" s="598"/>
      <c r="GRG360" s="598"/>
      <c r="GRH360" s="598"/>
      <c r="GRI360" s="598"/>
      <c r="GRJ360" s="598"/>
      <c r="GRK360" s="598"/>
      <c r="GRL360" s="598"/>
      <c r="GRM360" s="598"/>
      <c r="GRN360" s="598"/>
      <c r="GRO360" s="598"/>
      <c r="GRP360" s="598"/>
      <c r="GRQ360" s="598"/>
      <c r="GRR360" s="598"/>
      <c r="GRS360" s="598"/>
      <c r="GRT360" s="598"/>
      <c r="GRU360" s="598"/>
      <c r="GRV360" s="598"/>
      <c r="GRW360" s="598"/>
      <c r="GRX360" s="598"/>
      <c r="GRY360" s="598"/>
      <c r="GRZ360" s="598"/>
      <c r="GSA360" s="598"/>
      <c r="GSB360" s="598"/>
      <c r="GSC360" s="598"/>
      <c r="GSD360" s="598"/>
      <c r="GSE360" s="598"/>
      <c r="GSF360" s="598"/>
      <c r="GSG360" s="598"/>
      <c r="GSH360" s="598"/>
      <c r="GSI360" s="598"/>
      <c r="GSJ360" s="598"/>
      <c r="GSK360" s="598"/>
      <c r="GSL360" s="598"/>
      <c r="GSM360" s="598"/>
      <c r="GSN360" s="598"/>
      <c r="GSO360" s="598"/>
      <c r="GSP360" s="598"/>
      <c r="GSQ360" s="598"/>
      <c r="GSR360" s="598"/>
      <c r="GSS360" s="598"/>
      <c r="GST360" s="598"/>
      <c r="GSU360" s="598"/>
      <c r="GSV360" s="598"/>
      <c r="GSW360" s="598"/>
      <c r="GSX360" s="598"/>
      <c r="GSY360" s="598"/>
      <c r="GSZ360" s="598"/>
      <c r="GTA360" s="598"/>
      <c r="GTB360" s="598"/>
      <c r="GTC360" s="598"/>
      <c r="GTD360" s="598"/>
      <c r="GTE360" s="598"/>
      <c r="GTF360" s="598"/>
      <c r="GTG360" s="598"/>
      <c r="GTH360" s="598"/>
      <c r="GTI360" s="598"/>
      <c r="GTJ360" s="598"/>
      <c r="GTK360" s="598"/>
      <c r="GTL360" s="598"/>
      <c r="GTM360" s="598"/>
      <c r="GTN360" s="598"/>
      <c r="GTO360" s="598"/>
      <c r="GTP360" s="598"/>
      <c r="GTQ360" s="598"/>
      <c r="GTR360" s="598"/>
      <c r="GTS360" s="598"/>
      <c r="GTT360" s="598"/>
      <c r="GTU360" s="598"/>
      <c r="GTV360" s="598"/>
      <c r="GTW360" s="598"/>
      <c r="GTX360" s="598"/>
      <c r="GTY360" s="598"/>
      <c r="GTZ360" s="598"/>
      <c r="GUA360" s="598"/>
      <c r="GUB360" s="598"/>
      <c r="GUC360" s="598"/>
      <c r="GUD360" s="598"/>
      <c r="GUE360" s="598"/>
      <c r="GUF360" s="598"/>
      <c r="GUG360" s="598"/>
      <c r="GUH360" s="598"/>
      <c r="GUI360" s="598"/>
      <c r="GUJ360" s="598"/>
      <c r="GUK360" s="598"/>
      <c r="GUL360" s="598"/>
      <c r="GUM360" s="598"/>
      <c r="GUN360" s="598"/>
      <c r="GUO360" s="598"/>
      <c r="GUP360" s="598"/>
      <c r="GUQ360" s="598"/>
      <c r="GUR360" s="598"/>
      <c r="GUS360" s="598"/>
      <c r="GUT360" s="598"/>
      <c r="GUU360" s="598"/>
      <c r="GUV360" s="598"/>
      <c r="GUW360" s="598"/>
      <c r="GUX360" s="598"/>
      <c r="GUY360" s="598"/>
      <c r="GUZ360" s="598"/>
      <c r="GVA360" s="598"/>
      <c r="GVB360" s="598"/>
      <c r="GVC360" s="598"/>
      <c r="GVD360" s="598"/>
      <c r="GVE360" s="598"/>
      <c r="GVF360" s="598"/>
      <c r="GVG360" s="598"/>
      <c r="GVH360" s="598"/>
      <c r="GVI360" s="598"/>
      <c r="GVJ360" s="598"/>
      <c r="GVK360" s="598"/>
      <c r="GVL360" s="598"/>
      <c r="GVM360" s="598"/>
      <c r="GVN360" s="598"/>
      <c r="GVO360" s="598"/>
      <c r="GVP360" s="598"/>
      <c r="GVQ360" s="598"/>
      <c r="GVR360" s="598"/>
      <c r="GVS360" s="598"/>
      <c r="GVT360" s="598"/>
      <c r="GVU360" s="598"/>
      <c r="GVV360" s="598"/>
      <c r="GVW360" s="598"/>
      <c r="GVX360" s="598"/>
      <c r="GVY360" s="598"/>
      <c r="GVZ360" s="598"/>
      <c r="GWA360" s="598"/>
      <c r="GWB360" s="598"/>
      <c r="GWC360" s="598"/>
      <c r="GWD360" s="598"/>
      <c r="GWE360" s="598"/>
      <c r="GWF360" s="598"/>
      <c r="GWG360" s="598"/>
      <c r="GWH360" s="598"/>
      <c r="GWI360" s="598"/>
      <c r="GWJ360" s="598"/>
      <c r="GWK360" s="598"/>
      <c r="GWL360" s="598"/>
      <c r="GWM360" s="598"/>
      <c r="GWN360" s="598"/>
      <c r="GWO360" s="598"/>
      <c r="GWP360" s="598"/>
      <c r="GWQ360" s="598"/>
      <c r="GWR360" s="598"/>
      <c r="GWS360" s="598"/>
      <c r="GWT360" s="598"/>
      <c r="GWU360" s="598"/>
      <c r="GWV360" s="598"/>
      <c r="GWW360" s="598"/>
      <c r="GWX360" s="598"/>
      <c r="GWY360" s="598"/>
      <c r="GWZ360" s="598"/>
      <c r="GXA360" s="598"/>
      <c r="GXB360" s="598"/>
      <c r="GXC360" s="598"/>
      <c r="GXD360" s="598"/>
      <c r="GXE360" s="598"/>
      <c r="GXF360" s="598"/>
      <c r="GXG360" s="598"/>
      <c r="GXH360" s="598"/>
      <c r="GXI360" s="598"/>
      <c r="GXJ360" s="598"/>
      <c r="GXK360" s="598"/>
      <c r="GXL360" s="598"/>
      <c r="GXM360" s="598"/>
      <c r="GXN360" s="598"/>
      <c r="GXO360" s="598"/>
      <c r="GXP360" s="598"/>
      <c r="GXQ360" s="598"/>
      <c r="GXR360" s="598"/>
      <c r="GXS360" s="598"/>
      <c r="GXT360" s="598"/>
      <c r="GXU360" s="598"/>
      <c r="GXV360" s="598"/>
      <c r="GXW360" s="598"/>
      <c r="GXX360" s="598"/>
      <c r="GXY360" s="598"/>
      <c r="GXZ360" s="598"/>
      <c r="GYA360" s="598"/>
      <c r="GYB360" s="598"/>
      <c r="GYC360" s="598"/>
      <c r="GYD360" s="598"/>
      <c r="GYE360" s="598"/>
      <c r="GYF360" s="598"/>
      <c r="GYG360" s="598"/>
      <c r="GYH360" s="598"/>
      <c r="GYI360" s="598"/>
      <c r="GYJ360" s="598"/>
      <c r="GYK360" s="598"/>
      <c r="GYL360" s="598"/>
      <c r="GYM360" s="598"/>
      <c r="GYN360" s="598"/>
      <c r="GYO360" s="598"/>
      <c r="GYP360" s="598"/>
      <c r="GYQ360" s="598"/>
      <c r="GYR360" s="598"/>
      <c r="GYS360" s="598"/>
      <c r="GYT360" s="598"/>
      <c r="GYU360" s="598"/>
      <c r="GYV360" s="598"/>
      <c r="GYW360" s="598"/>
      <c r="GYX360" s="598"/>
      <c r="GYY360" s="598"/>
      <c r="GYZ360" s="598"/>
      <c r="GZA360" s="598"/>
      <c r="GZB360" s="598"/>
      <c r="GZC360" s="598"/>
      <c r="GZD360" s="598"/>
      <c r="GZE360" s="598"/>
      <c r="GZF360" s="598"/>
      <c r="GZG360" s="598"/>
      <c r="GZH360" s="598"/>
      <c r="GZI360" s="598"/>
      <c r="GZJ360" s="598"/>
      <c r="GZK360" s="598"/>
      <c r="GZL360" s="598"/>
      <c r="GZM360" s="598"/>
      <c r="GZN360" s="598"/>
      <c r="GZO360" s="598"/>
      <c r="GZP360" s="598"/>
      <c r="GZQ360" s="598"/>
      <c r="GZR360" s="598"/>
      <c r="GZS360" s="598"/>
      <c r="GZT360" s="598"/>
      <c r="GZU360" s="598"/>
      <c r="GZV360" s="598"/>
      <c r="GZW360" s="598"/>
      <c r="GZX360" s="598"/>
      <c r="GZY360" s="598"/>
      <c r="GZZ360" s="598"/>
      <c r="HAA360" s="598"/>
      <c r="HAB360" s="598"/>
      <c r="HAC360" s="598"/>
      <c r="HAD360" s="598"/>
      <c r="HAE360" s="598"/>
      <c r="HAF360" s="598"/>
      <c r="HAG360" s="598"/>
      <c r="HAH360" s="598"/>
      <c r="HAI360" s="598"/>
      <c r="HAJ360" s="598"/>
      <c r="HAK360" s="598"/>
      <c r="HAL360" s="598"/>
      <c r="HAM360" s="598"/>
      <c r="HAN360" s="598"/>
      <c r="HAO360" s="598"/>
      <c r="HAP360" s="598"/>
      <c r="HAQ360" s="598"/>
      <c r="HAR360" s="598"/>
      <c r="HAS360" s="598"/>
      <c r="HAT360" s="598"/>
      <c r="HAU360" s="598"/>
      <c r="HAV360" s="598"/>
      <c r="HAW360" s="598"/>
      <c r="HAX360" s="598"/>
      <c r="HAY360" s="598"/>
      <c r="HAZ360" s="598"/>
      <c r="HBA360" s="598"/>
      <c r="HBB360" s="598"/>
      <c r="HBC360" s="598"/>
      <c r="HBD360" s="598"/>
      <c r="HBE360" s="598"/>
      <c r="HBF360" s="598"/>
      <c r="HBG360" s="598"/>
      <c r="HBH360" s="598"/>
      <c r="HBI360" s="598"/>
      <c r="HBJ360" s="598"/>
      <c r="HBK360" s="598"/>
      <c r="HBL360" s="598"/>
      <c r="HBM360" s="598"/>
      <c r="HBN360" s="598"/>
      <c r="HBO360" s="598"/>
      <c r="HBP360" s="598"/>
      <c r="HBQ360" s="598"/>
      <c r="HBR360" s="598"/>
      <c r="HBS360" s="598"/>
      <c r="HBT360" s="598"/>
      <c r="HBU360" s="598"/>
      <c r="HBV360" s="598"/>
      <c r="HBW360" s="598"/>
      <c r="HBX360" s="598"/>
      <c r="HBY360" s="598"/>
      <c r="HBZ360" s="598"/>
      <c r="HCA360" s="598"/>
      <c r="HCB360" s="598"/>
      <c r="HCC360" s="598"/>
      <c r="HCD360" s="598"/>
      <c r="HCE360" s="598"/>
      <c r="HCF360" s="598"/>
      <c r="HCG360" s="598"/>
      <c r="HCH360" s="598"/>
      <c r="HCI360" s="598"/>
      <c r="HCJ360" s="598"/>
      <c r="HCK360" s="598"/>
      <c r="HCL360" s="598"/>
      <c r="HCM360" s="598"/>
      <c r="HCN360" s="598"/>
      <c r="HCO360" s="598"/>
      <c r="HCP360" s="598"/>
      <c r="HCQ360" s="598"/>
      <c r="HCR360" s="598"/>
      <c r="HCS360" s="598"/>
      <c r="HCT360" s="598"/>
      <c r="HCU360" s="598"/>
      <c r="HCV360" s="598"/>
      <c r="HCW360" s="598"/>
      <c r="HCX360" s="598"/>
      <c r="HCY360" s="598"/>
      <c r="HCZ360" s="598"/>
      <c r="HDA360" s="598"/>
      <c r="HDB360" s="598"/>
      <c r="HDC360" s="598"/>
      <c r="HDD360" s="598"/>
      <c r="HDE360" s="598"/>
      <c r="HDF360" s="598"/>
      <c r="HDG360" s="598"/>
      <c r="HDH360" s="598"/>
      <c r="HDI360" s="598"/>
      <c r="HDJ360" s="598"/>
      <c r="HDK360" s="598"/>
      <c r="HDL360" s="598"/>
      <c r="HDM360" s="598"/>
      <c r="HDN360" s="598"/>
      <c r="HDO360" s="598"/>
      <c r="HDP360" s="598"/>
      <c r="HDQ360" s="598"/>
      <c r="HDR360" s="598"/>
      <c r="HDS360" s="598"/>
      <c r="HDT360" s="598"/>
      <c r="HDU360" s="598"/>
      <c r="HDV360" s="598"/>
      <c r="HDW360" s="598"/>
      <c r="HDX360" s="598"/>
      <c r="HDY360" s="598"/>
      <c r="HDZ360" s="598"/>
      <c r="HEA360" s="598"/>
      <c r="HEB360" s="598"/>
      <c r="HEC360" s="598"/>
      <c r="HED360" s="598"/>
      <c r="HEE360" s="598"/>
      <c r="HEF360" s="598"/>
      <c r="HEG360" s="598"/>
      <c r="HEH360" s="598"/>
      <c r="HEI360" s="598"/>
      <c r="HEJ360" s="598"/>
      <c r="HEK360" s="598"/>
      <c r="HEL360" s="598"/>
      <c r="HEM360" s="598"/>
      <c r="HEN360" s="598"/>
      <c r="HEO360" s="598"/>
      <c r="HEP360" s="598"/>
      <c r="HEQ360" s="598"/>
      <c r="HER360" s="598"/>
      <c r="HES360" s="598"/>
      <c r="HET360" s="598"/>
      <c r="HEU360" s="598"/>
      <c r="HEV360" s="598"/>
      <c r="HEW360" s="598"/>
      <c r="HEX360" s="598"/>
      <c r="HEY360" s="598"/>
      <c r="HEZ360" s="598"/>
      <c r="HFA360" s="598"/>
      <c r="HFB360" s="598"/>
      <c r="HFC360" s="598"/>
      <c r="HFD360" s="598"/>
      <c r="HFE360" s="598"/>
      <c r="HFF360" s="598"/>
      <c r="HFG360" s="598"/>
      <c r="HFH360" s="598"/>
      <c r="HFI360" s="598"/>
      <c r="HFJ360" s="598"/>
      <c r="HFK360" s="598"/>
      <c r="HFL360" s="598"/>
      <c r="HFM360" s="598"/>
      <c r="HFN360" s="598"/>
      <c r="HFO360" s="598"/>
      <c r="HFP360" s="598"/>
      <c r="HFQ360" s="598"/>
      <c r="HFR360" s="598"/>
      <c r="HFS360" s="598"/>
      <c r="HFT360" s="598"/>
      <c r="HFU360" s="598"/>
      <c r="HFV360" s="598"/>
      <c r="HFW360" s="598"/>
      <c r="HFX360" s="598"/>
      <c r="HFY360" s="598"/>
      <c r="HFZ360" s="598"/>
      <c r="HGA360" s="598"/>
      <c r="HGB360" s="598"/>
      <c r="HGC360" s="598"/>
      <c r="HGD360" s="598"/>
      <c r="HGE360" s="598"/>
      <c r="HGF360" s="598"/>
      <c r="HGG360" s="598"/>
      <c r="HGH360" s="598"/>
      <c r="HGI360" s="598"/>
      <c r="HGJ360" s="598"/>
      <c r="HGK360" s="598"/>
      <c r="HGL360" s="598"/>
      <c r="HGM360" s="598"/>
      <c r="HGN360" s="598"/>
      <c r="HGO360" s="598"/>
      <c r="HGP360" s="598"/>
      <c r="HGQ360" s="598"/>
      <c r="HGR360" s="598"/>
      <c r="HGS360" s="598"/>
      <c r="HGT360" s="598"/>
      <c r="HGU360" s="598"/>
      <c r="HGV360" s="598"/>
      <c r="HGW360" s="598"/>
      <c r="HGX360" s="598"/>
      <c r="HGY360" s="598"/>
      <c r="HGZ360" s="598"/>
      <c r="HHA360" s="598"/>
      <c r="HHB360" s="598"/>
      <c r="HHC360" s="598"/>
      <c r="HHD360" s="598"/>
      <c r="HHE360" s="598"/>
      <c r="HHF360" s="598"/>
      <c r="HHG360" s="598"/>
      <c r="HHH360" s="598"/>
      <c r="HHI360" s="598"/>
      <c r="HHJ360" s="598"/>
      <c r="HHK360" s="598"/>
      <c r="HHL360" s="598"/>
      <c r="HHM360" s="598"/>
      <c r="HHN360" s="598"/>
      <c r="HHO360" s="598"/>
      <c r="HHP360" s="598"/>
      <c r="HHQ360" s="598"/>
      <c r="HHR360" s="598"/>
      <c r="HHS360" s="598"/>
      <c r="HHT360" s="598"/>
      <c r="HHU360" s="598"/>
      <c r="HHV360" s="598"/>
      <c r="HHW360" s="598"/>
      <c r="HHX360" s="598"/>
      <c r="HHY360" s="598"/>
      <c r="HHZ360" s="598"/>
      <c r="HIA360" s="598"/>
      <c r="HIB360" s="598"/>
      <c r="HIC360" s="598"/>
      <c r="HID360" s="598"/>
      <c r="HIE360" s="598"/>
      <c r="HIF360" s="598"/>
      <c r="HIG360" s="598"/>
      <c r="HIH360" s="598"/>
      <c r="HII360" s="598"/>
      <c r="HIJ360" s="598"/>
      <c r="HIK360" s="598"/>
      <c r="HIL360" s="598"/>
      <c r="HIM360" s="598"/>
      <c r="HIN360" s="598"/>
      <c r="HIO360" s="598"/>
      <c r="HIP360" s="598"/>
      <c r="HIQ360" s="598"/>
      <c r="HIR360" s="598"/>
      <c r="HIS360" s="598"/>
      <c r="HIT360" s="598"/>
      <c r="HIU360" s="598"/>
      <c r="HIV360" s="598"/>
      <c r="HIW360" s="598"/>
      <c r="HIX360" s="598"/>
      <c r="HIY360" s="598"/>
      <c r="HIZ360" s="598"/>
      <c r="HJA360" s="598"/>
      <c r="HJB360" s="598"/>
      <c r="HJC360" s="598"/>
      <c r="HJD360" s="598"/>
      <c r="HJE360" s="598"/>
      <c r="HJF360" s="598"/>
      <c r="HJG360" s="598"/>
      <c r="HJH360" s="598"/>
      <c r="HJI360" s="598"/>
      <c r="HJJ360" s="598"/>
      <c r="HJK360" s="598"/>
      <c r="HJL360" s="598"/>
      <c r="HJM360" s="598"/>
      <c r="HJN360" s="598"/>
      <c r="HJO360" s="598"/>
      <c r="HJP360" s="598"/>
      <c r="HJQ360" s="598"/>
      <c r="HJR360" s="598"/>
      <c r="HJS360" s="598"/>
      <c r="HJT360" s="598"/>
      <c r="HJU360" s="598"/>
      <c r="HJV360" s="598"/>
      <c r="HJW360" s="598"/>
      <c r="HJX360" s="598"/>
      <c r="HJY360" s="598"/>
      <c r="HJZ360" s="598"/>
      <c r="HKA360" s="598"/>
      <c r="HKB360" s="598"/>
      <c r="HKC360" s="598"/>
      <c r="HKD360" s="598"/>
      <c r="HKE360" s="598"/>
      <c r="HKF360" s="598"/>
      <c r="HKG360" s="598"/>
      <c r="HKH360" s="598"/>
      <c r="HKI360" s="598"/>
      <c r="HKJ360" s="598"/>
      <c r="HKK360" s="598"/>
      <c r="HKL360" s="598"/>
      <c r="HKM360" s="598"/>
      <c r="HKN360" s="598"/>
      <c r="HKO360" s="598"/>
      <c r="HKP360" s="598"/>
      <c r="HKQ360" s="598"/>
      <c r="HKR360" s="598"/>
      <c r="HKS360" s="598"/>
      <c r="HKT360" s="598"/>
      <c r="HKU360" s="598"/>
      <c r="HKV360" s="598"/>
      <c r="HKW360" s="598"/>
      <c r="HKX360" s="598"/>
      <c r="HKY360" s="598"/>
      <c r="HKZ360" s="598"/>
      <c r="HLA360" s="598"/>
      <c r="HLB360" s="598"/>
      <c r="HLC360" s="598"/>
      <c r="HLD360" s="598"/>
      <c r="HLE360" s="598"/>
      <c r="HLF360" s="598"/>
      <c r="HLG360" s="598"/>
      <c r="HLH360" s="598"/>
      <c r="HLI360" s="598"/>
      <c r="HLJ360" s="598"/>
      <c r="HLK360" s="598"/>
      <c r="HLL360" s="598"/>
      <c r="HLM360" s="598"/>
      <c r="HLN360" s="598"/>
      <c r="HLO360" s="598"/>
      <c r="HLP360" s="598"/>
      <c r="HLQ360" s="598"/>
      <c r="HLR360" s="598"/>
      <c r="HLS360" s="598"/>
      <c r="HLT360" s="598"/>
      <c r="HLU360" s="598"/>
      <c r="HLV360" s="598"/>
      <c r="HLW360" s="598"/>
      <c r="HLX360" s="598"/>
      <c r="HLY360" s="598"/>
      <c r="HLZ360" s="598"/>
      <c r="HMA360" s="598"/>
      <c r="HMB360" s="598"/>
      <c r="HMC360" s="598"/>
      <c r="HMD360" s="598"/>
      <c r="HME360" s="598"/>
      <c r="HMF360" s="598"/>
      <c r="HMG360" s="598"/>
      <c r="HMH360" s="598"/>
      <c r="HMI360" s="598"/>
      <c r="HMJ360" s="598"/>
      <c r="HMK360" s="598"/>
      <c r="HML360" s="598"/>
      <c r="HMM360" s="598"/>
      <c r="HMN360" s="598"/>
      <c r="HMO360" s="598"/>
      <c r="HMP360" s="598"/>
      <c r="HMQ360" s="598"/>
      <c r="HMR360" s="598"/>
      <c r="HMS360" s="598"/>
      <c r="HMT360" s="598"/>
      <c r="HMU360" s="598"/>
      <c r="HMV360" s="598"/>
      <c r="HMW360" s="598"/>
      <c r="HMX360" s="598"/>
      <c r="HMY360" s="598"/>
      <c r="HMZ360" s="598"/>
      <c r="HNA360" s="598"/>
      <c r="HNB360" s="598"/>
      <c r="HNC360" s="598"/>
      <c r="HND360" s="598"/>
      <c r="HNE360" s="598"/>
      <c r="HNF360" s="598"/>
      <c r="HNG360" s="598"/>
      <c r="HNH360" s="598"/>
      <c r="HNI360" s="598"/>
      <c r="HNJ360" s="598"/>
      <c r="HNK360" s="598"/>
      <c r="HNL360" s="598"/>
      <c r="HNM360" s="598"/>
      <c r="HNN360" s="598"/>
      <c r="HNO360" s="598"/>
      <c r="HNP360" s="598"/>
      <c r="HNQ360" s="598"/>
      <c r="HNR360" s="598"/>
      <c r="HNS360" s="598"/>
      <c r="HNT360" s="598"/>
      <c r="HNU360" s="598"/>
      <c r="HNV360" s="598"/>
      <c r="HNW360" s="598"/>
      <c r="HNX360" s="598"/>
      <c r="HNY360" s="598"/>
      <c r="HNZ360" s="598"/>
      <c r="HOA360" s="598"/>
      <c r="HOB360" s="598"/>
      <c r="HOC360" s="598"/>
      <c r="HOD360" s="598"/>
      <c r="HOE360" s="598"/>
      <c r="HOF360" s="598"/>
      <c r="HOG360" s="598"/>
      <c r="HOH360" s="598"/>
      <c r="HOI360" s="598"/>
      <c r="HOJ360" s="598"/>
      <c r="HOK360" s="598"/>
      <c r="HOL360" s="598"/>
      <c r="HOM360" s="598"/>
      <c r="HON360" s="598"/>
      <c r="HOO360" s="598"/>
      <c r="HOP360" s="598"/>
      <c r="HOQ360" s="598"/>
      <c r="HOR360" s="598"/>
      <c r="HOS360" s="598"/>
      <c r="HOT360" s="598"/>
      <c r="HOU360" s="598"/>
      <c r="HOV360" s="598"/>
      <c r="HOW360" s="598"/>
      <c r="HOX360" s="598"/>
      <c r="HOY360" s="598"/>
      <c r="HOZ360" s="598"/>
      <c r="HPA360" s="598"/>
      <c r="HPB360" s="598"/>
      <c r="HPC360" s="598"/>
      <c r="HPD360" s="598"/>
      <c r="HPE360" s="598"/>
      <c r="HPF360" s="598"/>
      <c r="HPG360" s="598"/>
      <c r="HPH360" s="598"/>
      <c r="HPI360" s="598"/>
      <c r="HPJ360" s="598"/>
      <c r="HPK360" s="598"/>
      <c r="HPL360" s="598"/>
      <c r="HPM360" s="598"/>
      <c r="HPN360" s="598"/>
      <c r="HPO360" s="598"/>
      <c r="HPP360" s="598"/>
      <c r="HPQ360" s="598"/>
      <c r="HPR360" s="598"/>
      <c r="HPS360" s="598"/>
      <c r="HPT360" s="598"/>
      <c r="HPU360" s="598"/>
      <c r="HPV360" s="598"/>
      <c r="HPW360" s="598"/>
      <c r="HPX360" s="598"/>
      <c r="HPY360" s="598"/>
      <c r="HPZ360" s="598"/>
      <c r="HQA360" s="598"/>
      <c r="HQB360" s="598"/>
      <c r="HQC360" s="598"/>
      <c r="HQD360" s="598"/>
      <c r="HQE360" s="598"/>
      <c r="HQF360" s="598"/>
      <c r="HQG360" s="598"/>
      <c r="HQH360" s="598"/>
      <c r="HQI360" s="598"/>
      <c r="HQJ360" s="598"/>
      <c r="HQK360" s="598"/>
      <c r="HQL360" s="598"/>
      <c r="HQM360" s="598"/>
      <c r="HQN360" s="598"/>
      <c r="HQO360" s="598"/>
      <c r="HQP360" s="598"/>
      <c r="HQQ360" s="598"/>
      <c r="HQR360" s="598"/>
      <c r="HQS360" s="598"/>
      <c r="HQT360" s="598"/>
      <c r="HQU360" s="598"/>
      <c r="HQV360" s="598"/>
      <c r="HQW360" s="598"/>
      <c r="HQX360" s="598"/>
      <c r="HQY360" s="598"/>
      <c r="HQZ360" s="598"/>
      <c r="HRA360" s="598"/>
      <c r="HRB360" s="598"/>
      <c r="HRC360" s="598"/>
      <c r="HRD360" s="598"/>
      <c r="HRE360" s="598"/>
      <c r="HRF360" s="598"/>
      <c r="HRG360" s="598"/>
      <c r="HRH360" s="598"/>
      <c r="HRI360" s="598"/>
      <c r="HRJ360" s="598"/>
      <c r="HRK360" s="598"/>
      <c r="HRL360" s="598"/>
      <c r="HRM360" s="598"/>
      <c r="HRN360" s="598"/>
      <c r="HRO360" s="598"/>
      <c r="HRP360" s="598"/>
      <c r="HRQ360" s="598"/>
      <c r="HRR360" s="598"/>
      <c r="HRS360" s="598"/>
      <c r="HRT360" s="598"/>
      <c r="HRU360" s="598"/>
      <c r="HRV360" s="598"/>
      <c r="HRW360" s="598"/>
      <c r="HRX360" s="598"/>
      <c r="HRY360" s="598"/>
      <c r="HRZ360" s="598"/>
      <c r="HSA360" s="598"/>
      <c r="HSB360" s="598"/>
      <c r="HSC360" s="598"/>
      <c r="HSD360" s="598"/>
      <c r="HSE360" s="598"/>
      <c r="HSF360" s="598"/>
      <c r="HSG360" s="598"/>
      <c r="HSH360" s="598"/>
      <c r="HSI360" s="598"/>
      <c r="HSJ360" s="598"/>
      <c r="HSK360" s="598"/>
      <c r="HSL360" s="598"/>
      <c r="HSM360" s="598"/>
      <c r="HSN360" s="598"/>
      <c r="HSO360" s="598"/>
      <c r="HSP360" s="598"/>
      <c r="HSQ360" s="598"/>
      <c r="HSR360" s="598"/>
      <c r="HSS360" s="598"/>
      <c r="HST360" s="598"/>
      <c r="HSU360" s="598"/>
      <c r="HSV360" s="598"/>
      <c r="HSW360" s="598"/>
      <c r="HSX360" s="598"/>
      <c r="HSY360" s="598"/>
      <c r="HSZ360" s="598"/>
      <c r="HTA360" s="598"/>
      <c r="HTB360" s="598"/>
      <c r="HTC360" s="598"/>
      <c r="HTD360" s="598"/>
      <c r="HTE360" s="598"/>
      <c r="HTF360" s="598"/>
      <c r="HTG360" s="598"/>
      <c r="HTH360" s="598"/>
      <c r="HTI360" s="598"/>
      <c r="HTJ360" s="598"/>
      <c r="HTK360" s="598"/>
      <c r="HTL360" s="598"/>
      <c r="HTM360" s="598"/>
      <c r="HTN360" s="598"/>
      <c r="HTO360" s="598"/>
      <c r="HTP360" s="598"/>
      <c r="HTQ360" s="598"/>
      <c r="HTR360" s="598"/>
      <c r="HTS360" s="598"/>
      <c r="HTT360" s="598"/>
      <c r="HTU360" s="598"/>
      <c r="HTV360" s="598"/>
      <c r="HTW360" s="598"/>
      <c r="HTX360" s="598"/>
      <c r="HTY360" s="598"/>
      <c r="HTZ360" s="598"/>
      <c r="HUA360" s="598"/>
      <c r="HUB360" s="598"/>
      <c r="HUC360" s="598"/>
      <c r="HUD360" s="598"/>
      <c r="HUE360" s="598"/>
      <c r="HUF360" s="598"/>
      <c r="HUG360" s="598"/>
      <c r="HUH360" s="598"/>
      <c r="HUI360" s="598"/>
      <c r="HUJ360" s="598"/>
      <c r="HUK360" s="598"/>
      <c r="HUL360" s="598"/>
      <c r="HUM360" s="598"/>
      <c r="HUN360" s="598"/>
      <c r="HUO360" s="598"/>
      <c r="HUP360" s="598"/>
      <c r="HUQ360" s="598"/>
      <c r="HUR360" s="598"/>
      <c r="HUS360" s="598"/>
      <c r="HUT360" s="598"/>
      <c r="HUU360" s="598"/>
      <c r="HUV360" s="598"/>
      <c r="HUW360" s="598"/>
      <c r="HUX360" s="598"/>
      <c r="HUY360" s="598"/>
      <c r="HUZ360" s="598"/>
      <c r="HVA360" s="598"/>
      <c r="HVB360" s="598"/>
      <c r="HVC360" s="598"/>
      <c r="HVD360" s="598"/>
      <c r="HVE360" s="598"/>
      <c r="HVF360" s="598"/>
      <c r="HVG360" s="598"/>
      <c r="HVH360" s="598"/>
      <c r="HVI360" s="598"/>
      <c r="HVJ360" s="598"/>
      <c r="HVK360" s="598"/>
      <c r="HVL360" s="598"/>
      <c r="HVM360" s="598"/>
      <c r="HVN360" s="598"/>
      <c r="HVO360" s="598"/>
      <c r="HVP360" s="598"/>
      <c r="HVQ360" s="598"/>
      <c r="HVR360" s="598"/>
      <c r="HVS360" s="598"/>
      <c r="HVT360" s="598"/>
      <c r="HVU360" s="598"/>
      <c r="HVV360" s="598"/>
      <c r="HVW360" s="598"/>
      <c r="HVX360" s="598"/>
      <c r="HVY360" s="598"/>
      <c r="HVZ360" s="598"/>
      <c r="HWA360" s="598"/>
      <c r="HWB360" s="598"/>
      <c r="HWC360" s="598"/>
      <c r="HWD360" s="598"/>
      <c r="HWE360" s="598"/>
      <c r="HWF360" s="598"/>
      <c r="HWG360" s="598"/>
      <c r="HWH360" s="598"/>
      <c r="HWI360" s="598"/>
      <c r="HWJ360" s="598"/>
      <c r="HWK360" s="598"/>
      <c r="HWL360" s="598"/>
      <c r="HWM360" s="598"/>
      <c r="HWN360" s="598"/>
      <c r="HWO360" s="598"/>
      <c r="HWP360" s="598"/>
      <c r="HWQ360" s="598"/>
      <c r="HWR360" s="598"/>
      <c r="HWS360" s="598"/>
      <c r="HWT360" s="598"/>
      <c r="HWU360" s="598"/>
      <c r="HWV360" s="598"/>
      <c r="HWW360" s="598"/>
      <c r="HWX360" s="598"/>
      <c r="HWY360" s="598"/>
      <c r="HWZ360" s="598"/>
      <c r="HXA360" s="598"/>
      <c r="HXB360" s="598"/>
      <c r="HXC360" s="598"/>
      <c r="HXD360" s="598"/>
      <c r="HXE360" s="598"/>
      <c r="HXF360" s="598"/>
      <c r="HXG360" s="598"/>
      <c r="HXH360" s="598"/>
      <c r="HXI360" s="598"/>
      <c r="HXJ360" s="598"/>
      <c r="HXK360" s="598"/>
      <c r="HXL360" s="598"/>
      <c r="HXM360" s="598"/>
      <c r="HXN360" s="598"/>
      <c r="HXO360" s="598"/>
      <c r="HXP360" s="598"/>
      <c r="HXQ360" s="598"/>
      <c r="HXR360" s="598"/>
      <c r="HXS360" s="598"/>
      <c r="HXT360" s="598"/>
      <c r="HXU360" s="598"/>
      <c r="HXV360" s="598"/>
      <c r="HXW360" s="598"/>
      <c r="HXX360" s="598"/>
      <c r="HXY360" s="598"/>
      <c r="HXZ360" s="598"/>
      <c r="HYA360" s="598"/>
      <c r="HYB360" s="598"/>
      <c r="HYC360" s="598"/>
      <c r="HYD360" s="598"/>
      <c r="HYE360" s="598"/>
      <c r="HYF360" s="598"/>
      <c r="HYG360" s="598"/>
      <c r="HYH360" s="598"/>
      <c r="HYI360" s="598"/>
      <c r="HYJ360" s="598"/>
      <c r="HYK360" s="598"/>
      <c r="HYL360" s="598"/>
      <c r="HYM360" s="598"/>
      <c r="HYN360" s="598"/>
      <c r="HYO360" s="598"/>
      <c r="HYP360" s="598"/>
      <c r="HYQ360" s="598"/>
      <c r="HYR360" s="598"/>
      <c r="HYS360" s="598"/>
      <c r="HYT360" s="598"/>
      <c r="HYU360" s="598"/>
      <c r="HYV360" s="598"/>
      <c r="HYW360" s="598"/>
      <c r="HYX360" s="598"/>
      <c r="HYY360" s="598"/>
      <c r="HYZ360" s="598"/>
      <c r="HZA360" s="598"/>
      <c r="HZB360" s="598"/>
      <c r="HZC360" s="598"/>
      <c r="HZD360" s="598"/>
      <c r="HZE360" s="598"/>
      <c r="HZF360" s="598"/>
      <c r="HZG360" s="598"/>
      <c r="HZH360" s="598"/>
      <c r="HZI360" s="598"/>
      <c r="HZJ360" s="598"/>
      <c r="HZK360" s="598"/>
      <c r="HZL360" s="598"/>
      <c r="HZM360" s="598"/>
      <c r="HZN360" s="598"/>
      <c r="HZO360" s="598"/>
      <c r="HZP360" s="598"/>
      <c r="HZQ360" s="598"/>
      <c r="HZR360" s="598"/>
      <c r="HZS360" s="598"/>
      <c r="HZT360" s="598"/>
      <c r="HZU360" s="598"/>
      <c r="HZV360" s="598"/>
      <c r="HZW360" s="598"/>
      <c r="HZX360" s="598"/>
      <c r="HZY360" s="598"/>
      <c r="HZZ360" s="598"/>
      <c r="IAA360" s="598"/>
      <c r="IAB360" s="598"/>
      <c r="IAC360" s="598"/>
      <c r="IAD360" s="598"/>
      <c r="IAE360" s="598"/>
      <c r="IAF360" s="598"/>
      <c r="IAG360" s="598"/>
      <c r="IAH360" s="598"/>
      <c r="IAI360" s="598"/>
      <c r="IAJ360" s="598"/>
      <c r="IAK360" s="598"/>
      <c r="IAL360" s="598"/>
      <c r="IAM360" s="598"/>
      <c r="IAN360" s="598"/>
      <c r="IAO360" s="598"/>
      <c r="IAP360" s="598"/>
      <c r="IAQ360" s="598"/>
      <c r="IAR360" s="598"/>
      <c r="IAS360" s="598"/>
      <c r="IAT360" s="598"/>
      <c r="IAU360" s="598"/>
      <c r="IAV360" s="598"/>
      <c r="IAW360" s="598"/>
      <c r="IAX360" s="598"/>
      <c r="IAY360" s="598"/>
      <c r="IAZ360" s="598"/>
      <c r="IBA360" s="598"/>
      <c r="IBB360" s="598"/>
      <c r="IBC360" s="598"/>
      <c r="IBD360" s="598"/>
      <c r="IBE360" s="598"/>
      <c r="IBF360" s="598"/>
      <c r="IBG360" s="598"/>
      <c r="IBH360" s="598"/>
      <c r="IBI360" s="598"/>
      <c r="IBJ360" s="598"/>
      <c r="IBK360" s="598"/>
      <c r="IBL360" s="598"/>
      <c r="IBM360" s="598"/>
      <c r="IBN360" s="598"/>
      <c r="IBO360" s="598"/>
      <c r="IBP360" s="598"/>
      <c r="IBQ360" s="598"/>
      <c r="IBR360" s="598"/>
      <c r="IBS360" s="598"/>
      <c r="IBT360" s="598"/>
      <c r="IBU360" s="598"/>
      <c r="IBV360" s="598"/>
      <c r="IBW360" s="598"/>
      <c r="IBX360" s="598"/>
      <c r="IBY360" s="598"/>
      <c r="IBZ360" s="598"/>
      <c r="ICA360" s="598"/>
      <c r="ICB360" s="598"/>
      <c r="ICC360" s="598"/>
      <c r="ICD360" s="598"/>
      <c r="ICE360" s="598"/>
      <c r="ICF360" s="598"/>
      <c r="ICG360" s="598"/>
      <c r="ICH360" s="598"/>
      <c r="ICI360" s="598"/>
      <c r="ICJ360" s="598"/>
      <c r="ICK360" s="598"/>
      <c r="ICL360" s="598"/>
      <c r="ICM360" s="598"/>
      <c r="ICN360" s="598"/>
      <c r="ICO360" s="598"/>
      <c r="ICP360" s="598"/>
      <c r="ICQ360" s="598"/>
      <c r="ICR360" s="598"/>
      <c r="ICS360" s="598"/>
      <c r="ICT360" s="598"/>
      <c r="ICU360" s="598"/>
      <c r="ICV360" s="598"/>
      <c r="ICW360" s="598"/>
      <c r="ICX360" s="598"/>
      <c r="ICY360" s="598"/>
      <c r="ICZ360" s="598"/>
      <c r="IDA360" s="598"/>
      <c r="IDB360" s="598"/>
      <c r="IDC360" s="598"/>
      <c r="IDD360" s="598"/>
      <c r="IDE360" s="598"/>
      <c r="IDF360" s="598"/>
      <c r="IDG360" s="598"/>
      <c r="IDH360" s="598"/>
      <c r="IDI360" s="598"/>
      <c r="IDJ360" s="598"/>
      <c r="IDK360" s="598"/>
      <c r="IDL360" s="598"/>
      <c r="IDM360" s="598"/>
      <c r="IDN360" s="598"/>
      <c r="IDO360" s="598"/>
      <c r="IDP360" s="598"/>
      <c r="IDQ360" s="598"/>
      <c r="IDR360" s="598"/>
      <c r="IDS360" s="598"/>
      <c r="IDT360" s="598"/>
      <c r="IDU360" s="598"/>
      <c r="IDV360" s="598"/>
      <c r="IDW360" s="598"/>
      <c r="IDX360" s="598"/>
      <c r="IDY360" s="598"/>
      <c r="IDZ360" s="598"/>
      <c r="IEA360" s="598"/>
      <c r="IEB360" s="598"/>
      <c r="IEC360" s="598"/>
      <c r="IED360" s="598"/>
      <c r="IEE360" s="598"/>
      <c r="IEF360" s="598"/>
      <c r="IEG360" s="598"/>
      <c r="IEH360" s="598"/>
      <c r="IEI360" s="598"/>
      <c r="IEJ360" s="598"/>
      <c r="IEK360" s="598"/>
      <c r="IEL360" s="598"/>
      <c r="IEM360" s="598"/>
      <c r="IEN360" s="598"/>
      <c r="IEO360" s="598"/>
      <c r="IEP360" s="598"/>
      <c r="IEQ360" s="598"/>
      <c r="IER360" s="598"/>
      <c r="IES360" s="598"/>
      <c r="IET360" s="598"/>
      <c r="IEU360" s="598"/>
      <c r="IEV360" s="598"/>
      <c r="IEW360" s="598"/>
      <c r="IEX360" s="598"/>
      <c r="IEY360" s="598"/>
      <c r="IEZ360" s="598"/>
      <c r="IFA360" s="598"/>
      <c r="IFB360" s="598"/>
      <c r="IFC360" s="598"/>
      <c r="IFD360" s="598"/>
      <c r="IFE360" s="598"/>
      <c r="IFF360" s="598"/>
      <c r="IFG360" s="598"/>
      <c r="IFH360" s="598"/>
      <c r="IFI360" s="598"/>
      <c r="IFJ360" s="598"/>
      <c r="IFK360" s="598"/>
      <c r="IFL360" s="598"/>
      <c r="IFM360" s="598"/>
      <c r="IFN360" s="598"/>
      <c r="IFO360" s="598"/>
      <c r="IFP360" s="598"/>
      <c r="IFQ360" s="598"/>
      <c r="IFR360" s="598"/>
      <c r="IFS360" s="598"/>
      <c r="IFT360" s="598"/>
      <c r="IFU360" s="598"/>
      <c r="IFV360" s="598"/>
      <c r="IFW360" s="598"/>
      <c r="IFX360" s="598"/>
      <c r="IFY360" s="598"/>
      <c r="IFZ360" s="598"/>
      <c r="IGA360" s="598"/>
      <c r="IGB360" s="598"/>
      <c r="IGC360" s="598"/>
      <c r="IGD360" s="598"/>
      <c r="IGE360" s="598"/>
      <c r="IGF360" s="598"/>
      <c r="IGG360" s="598"/>
      <c r="IGH360" s="598"/>
      <c r="IGI360" s="598"/>
      <c r="IGJ360" s="598"/>
      <c r="IGK360" s="598"/>
      <c r="IGL360" s="598"/>
      <c r="IGM360" s="598"/>
      <c r="IGN360" s="598"/>
      <c r="IGO360" s="598"/>
      <c r="IGP360" s="598"/>
      <c r="IGQ360" s="598"/>
      <c r="IGR360" s="598"/>
      <c r="IGS360" s="598"/>
      <c r="IGT360" s="598"/>
      <c r="IGU360" s="598"/>
      <c r="IGV360" s="598"/>
      <c r="IGW360" s="598"/>
      <c r="IGX360" s="598"/>
      <c r="IGY360" s="598"/>
      <c r="IGZ360" s="598"/>
      <c r="IHA360" s="598"/>
      <c r="IHB360" s="598"/>
      <c r="IHC360" s="598"/>
      <c r="IHD360" s="598"/>
      <c r="IHE360" s="598"/>
      <c r="IHF360" s="598"/>
      <c r="IHG360" s="598"/>
      <c r="IHH360" s="598"/>
      <c r="IHI360" s="598"/>
      <c r="IHJ360" s="598"/>
      <c r="IHK360" s="598"/>
      <c r="IHL360" s="598"/>
      <c r="IHM360" s="598"/>
      <c r="IHN360" s="598"/>
      <c r="IHO360" s="598"/>
      <c r="IHP360" s="598"/>
      <c r="IHQ360" s="598"/>
      <c r="IHR360" s="598"/>
      <c r="IHS360" s="598"/>
      <c r="IHT360" s="598"/>
      <c r="IHU360" s="598"/>
      <c r="IHV360" s="598"/>
      <c r="IHW360" s="598"/>
      <c r="IHX360" s="598"/>
      <c r="IHY360" s="598"/>
      <c r="IHZ360" s="598"/>
      <c r="IIA360" s="598"/>
      <c r="IIB360" s="598"/>
      <c r="IIC360" s="598"/>
      <c r="IID360" s="598"/>
      <c r="IIE360" s="598"/>
      <c r="IIF360" s="598"/>
      <c r="IIG360" s="598"/>
      <c r="IIH360" s="598"/>
      <c r="III360" s="598"/>
      <c r="IIJ360" s="598"/>
      <c r="IIK360" s="598"/>
      <c r="IIL360" s="598"/>
      <c r="IIM360" s="598"/>
      <c r="IIN360" s="598"/>
      <c r="IIO360" s="598"/>
      <c r="IIP360" s="598"/>
      <c r="IIQ360" s="598"/>
      <c r="IIR360" s="598"/>
      <c r="IIS360" s="598"/>
      <c r="IIT360" s="598"/>
      <c r="IIU360" s="598"/>
      <c r="IIV360" s="598"/>
      <c r="IIW360" s="598"/>
      <c r="IIX360" s="598"/>
      <c r="IIY360" s="598"/>
      <c r="IIZ360" s="598"/>
      <c r="IJA360" s="598"/>
      <c r="IJB360" s="598"/>
      <c r="IJC360" s="598"/>
      <c r="IJD360" s="598"/>
      <c r="IJE360" s="598"/>
      <c r="IJF360" s="598"/>
      <c r="IJG360" s="598"/>
      <c r="IJH360" s="598"/>
      <c r="IJI360" s="598"/>
      <c r="IJJ360" s="598"/>
      <c r="IJK360" s="598"/>
      <c r="IJL360" s="598"/>
      <c r="IJM360" s="598"/>
      <c r="IJN360" s="598"/>
      <c r="IJO360" s="598"/>
      <c r="IJP360" s="598"/>
      <c r="IJQ360" s="598"/>
      <c r="IJR360" s="598"/>
      <c r="IJS360" s="598"/>
      <c r="IJT360" s="598"/>
      <c r="IJU360" s="598"/>
      <c r="IJV360" s="598"/>
      <c r="IJW360" s="598"/>
      <c r="IJX360" s="598"/>
      <c r="IJY360" s="598"/>
      <c r="IJZ360" s="598"/>
      <c r="IKA360" s="598"/>
      <c r="IKB360" s="598"/>
      <c r="IKC360" s="598"/>
      <c r="IKD360" s="598"/>
      <c r="IKE360" s="598"/>
      <c r="IKF360" s="598"/>
      <c r="IKG360" s="598"/>
      <c r="IKH360" s="598"/>
      <c r="IKI360" s="598"/>
      <c r="IKJ360" s="598"/>
      <c r="IKK360" s="598"/>
      <c r="IKL360" s="598"/>
      <c r="IKM360" s="598"/>
      <c r="IKN360" s="598"/>
      <c r="IKO360" s="598"/>
      <c r="IKP360" s="598"/>
      <c r="IKQ360" s="598"/>
      <c r="IKR360" s="598"/>
      <c r="IKS360" s="598"/>
      <c r="IKT360" s="598"/>
      <c r="IKU360" s="598"/>
      <c r="IKV360" s="598"/>
      <c r="IKW360" s="598"/>
      <c r="IKX360" s="598"/>
      <c r="IKY360" s="598"/>
      <c r="IKZ360" s="598"/>
      <c r="ILA360" s="598"/>
      <c r="ILB360" s="598"/>
      <c r="ILC360" s="598"/>
      <c r="ILD360" s="598"/>
      <c r="ILE360" s="598"/>
      <c r="ILF360" s="598"/>
      <c r="ILG360" s="598"/>
      <c r="ILH360" s="598"/>
      <c r="ILI360" s="598"/>
      <c r="ILJ360" s="598"/>
      <c r="ILK360" s="598"/>
      <c r="ILL360" s="598"/>
      <c r="ILM360" s="598"/>
      <c r="ILN360" s="598"/>
      <c r="ILO360" s="598"/>
      <c r="ILP360" s="598"/>
      <c r="ILQ360" s="598"/>
      <c r="ILR360" s="598"/>
      <c r="ILS360" s="598"/>
      <c r="ILT360" s="598"/>
      <c r="ILU360" s="598"/>
      <c r="ILV360" s="598"/>
      <c r="ILW360" s="598"/>
      <c r="ILX360" s="598"/>
      <c r="ILY360" s="598"/>
      <c r="ILZ360" s="598"/>
      <c r="IMA360" s="598"/>
      <c r="IMB360" s="598"/>
      <c r="IMC360" s="598"/>
      <c r="IMD360" s="598"/>
      <c r="IME360" s="598"/>
      <c r="IMF360" s="598"/>
      <c r="IMG360" s="598"/>
      <c r="IMH360" s="598"/>
      <c r="IMI360" s="598"/>
      <c r="IMJ360" s="598"/>
      <c r="IMK360" s="598"/>
      <c r="IML360" s="598"/>
      <c r="IMM360" s="598"/>
      <c r="IMN360" s="598"/>
      <c r="IMO360" s="598"/>
      <c r="IMP360" s="598"/>
      <c r="IMQ360" s="598"/>
      <c r="IMR360" s="598"/>
      <c r="IMS360" s="598"/>
      <c r="IMT360" s="598"/>
      <c r="IMU360" s="598"/>
      <c r="IMV360" s="598"/>
      <c r="IMW360" s="598"/>
      <c r="IMX360" s="598"/>
      <c r="IMY360" s="598"/>
      <c r="IMZ360" s="598"/>
      <c r="INA360" s="598"/>
      <c r="INB360" s="598"/>
      <c r="INC360" s="598"/>
      <c r="IND360" s="598"/>
      <c r="INE360" s="598"/>
      <c r="INF360" s="598"/>
      <c r="ING360" s="598"/>
      <c r="INH360" s="598"/>
      <c r="INI360" s="598"/>
      <c r="INJ360" s="598"/>
      <c r="INK360" s="598"/>
      <c r="INL360" s="598"/>
      <c r="INM360" s="598"/>
      <c r="INN360" s="598"/>
      <c r="INO360" s="598"/>
      <c r="INP360" s="598"/>
      <c r="INQ360" s="598"/>
      <c r="INR360" s="598"/>
      <c r="INS360" s="598"/>
      <c r="INT360" s="598"/>
      <c r="INU360" s="598"/>
      <c r="INV360" s="598"/>
      <c r="INW360" s="598"/>
      <c r="INX360" s="598"/>
      <c r="INY360" s="598"/>
      <c r="INZ360" s="598"/>
      <c r="IOA360" s="598"/>
      <c r="IOB360" s="598"/>
      <c r="IOC360" s="598"/>
      <c r="IOD360" s="598"/>
      <c r="IOE360" s="598"/>
      <c r="IOF360" s="598"/>
      <c r="IOG360" s="598"/>
      <c r="IOH360" s="598"/>
      <c r="IOI360" s="598"/>
      <c r="IOJ360" s="598"/>
      <c r="IOK360" s="598"/>
      <c r="IOL360" s="598"/>
      <c r="IOM360" s="598"/>
      <c r="ION360" s="598"/>
      <c r="IOO360" s="598"/>
      <c r="IOP360" s="598"/>
      <c r="IOQ360" s="598"/>
      <c r="IOR360" s="598"/>
      <c r="IOS360" s="598"/>
      <c r="IOT360" s="598"/>
      <c r="IOU360" s="598"/>
      <c r="IOV360" s="598"/>
      <c r="IOW360" s="598"/>
      <c r="IOX360" s="598"/>
      <c r="IOY360" s="598"/>
      <c r="IOZ360" s="598"/>
      <c r="IPA360" s="598"/>
      <c r="IPB360" s="598"/>
      <c r="IPC360" s="598"/>
      <c r="IPD360" s="598"/>
      <c r="IPE360" s="598"/>
      <c r="IPF360" s="598"/>
      <c r="IPG360" s="598"/>
      <c r="IPH360" s="598"/>
      <c r="IPI360" s="598"/>
      <c r="IPJ360" s="598"/>
      <c r="IPK360" s="598"/>
      <c r="IPL360" s="598"/>
      <c r="IPM360" s="598"/>
      <c r="IPN360" s="598"/>
      <c r="IPO360" s="598"/>
      <c r="IPP360" s="598"/>
      <c r="IPQ360" s="598"/>
      <c r="IPR360" s="598"/>
      <c r="IPS360" s="598"/>
      <c r="IPT360" s="598"/>
      <c r="IPU360" s="598"/>
      <c r="IPV360" s="598"/>
      <c r="IPW360" s="598"/>
      <c r="IPX360" s="598"/>
      <c r="IPY360" s="598"/>
      <c r="IPZ360" s="598"/>
      <c r="IQA360" s="598"/>
      <c r="IQB360" s="598"/>
      <c r="IQC360" s="598"/>
      <c r="IQD360" s="598"/>
      <c r="IQE360" s="598"/>
      <c r="IQF360" s="598"/>
      <c r="IQG360" s="598"/>
      <c r="IQH360" s="598"/>
      <c r="IQI360" s="598"/>
      <c r="IQJ360" s="598"/>
      <c r="IQK360" s="598"/>
      <c r="IQL360" s="598"/>
      <c r="IQM360" s="598"/>
      <c r="IQN360" s="598"/>
      <c r="IQO360" s="598"/>
      <c r="IQP360" s="598"/>
      <c r="IQQ360" s="598"/>
      <c r="IQR360" s="598"/>
      <c r="IQS360" s="598"/>
      <c r="IQT360" s="598"/>
      <c r="IQU360" s="598"/>
      <c r="IQV360" s="598"/>
      <c r="IQW360" s="598"/>
      <c r="IQX360" s="598"/>
      <c r="IQY360" s="598"/>
      <c r="IQZ360" s="598"/>
      <c r="IRA360" s="598"/>
      <c r="IRB360" s="598"/>
      <c r="IRC360" s="598"/>
      <c r="IRD360" s="598"/>
      <c r="IRE360" s="598"/>
      <c r="IRF360" s="598"/>
      <c r="IRG360" s="598"/>
      <c r="IRH360" s="598"/>
      <c r="IRI360" s="598"/>
      <c r="IRJ360" s="598"/>
      <c r="IRK360" s="598"/>
      <c r="IRL360" s="598"/>
      <c r="IRM360" s="598"/>
      <c r="IRN360" s="598"/>
      <c r="IRO360" s="598"/>
      <c r="IRP360" s="598"/>
      <c r="IRQ360" s="598"/>
      <c r="IRR360" s="598"/>
      <c r="IRS360" s="598"/>
      <c r="IRT360" s="598"/>
      <c r="IRU360" s="598"/>
      <c r="IRV360" s="598"/>
      <c r="IRW360" s="598"/>
      <c r="IRX360" s="598"/>
      <c r="IRY360" s="598"/>
      <c r="IRZ360" s="598"/>
      <c r="ISA360" s="598"/>
      <c r="ISB360" s="598"/>
      <c r="ISC360" s="598"/>
      <c r="ISD360" s="598"/>
      <c r="ISE360" s="598"/>
      <c r="ISF360" s="598"/>
      <c r="ISG360" s="598"/>
      <c r="ISH360" s="598"/>
      <c r="ISI360" s="598"/>
      <c r="ISJ360" s="598"/>
      <c r="ISK360" s="598"/>
      <c r="ISL360" s="598"/>
      <c r="ISM360" s="598"/>
      <c r="ISN360" s="598"/>
      <c r="ISO360" s="598"/>
      <c r="ISP360" s="598"/>
      <c r="ISQ360" s="598"/>
      <c r="ISR360" s="598"/>
      <c r="ISS360" s="598"/>
      <c r="IST360" s="598"/>
      <c r="ISU360" s="598"/>
      <c r="ISV360" s="598"/>
      <c r="ISW360" s="598"/>
      <c r="ISX360" s="598"/>
      <c r="ISY360" s="598"/>
      <c r="ISZ360" s="598"/>
      <c r="ITA360" s="598"/>
      <c r="ITB360" s="598"/>
      <c r="ITC360" s="598"/>
      <c r="ITD360" s="598"/>
      <c r="ITE360" s="598"/>
      <c r="ITF360" s="598"/>
      <c r="ITG360" s="598"/>
      <c r="ITH360" s="598"/>
      <c r="ITI360" s="598"/>
      <c r="ITJ360" s="598"/>
      <c r="ITK360" s="598"/>
      <c r="ITL360" s="598"/>
      <c r="ITM360" s="598"/>
      <c r="ITN360" s="598"/>
      <c r="ITO360" s="598"/>
      <c r="ITP360" s="598"/>
      <c r="ITQ360" s="598"/>
      <c r="ITR360" s="598"/>
      <c r="ITS360" s="598"/>
      <c r="ITT360" s="598"/>
      <c r="ITU360" s="598"/>
      <c r="ITV360" s="598"/>
      <c r="ITW360" s="598"/>
      <c r="ITX360" s="598"/>
      <c r="ITY360" s="598"/>
      <c r="ITZ360" s="598"/>
      <c r="IUA360" s="598"/>
      <c r="IUB360" s="598"/>
      <c r="IUC360" s="598"/>
      <c r="IUD360" s="598"/>
      <c r="IUE360" s="598"/>
      <c r="IUF360" s="598"/>
      <c r="IUG360" s="598"/>
      <c r="IUH360" s="598"/>
      <c r="IUI360" s="598"/>
      <c r="IUJ360" s="598"/>
      <c r="IUK360" s="598"/>
      <c r="IUL360" s="598"/>
      <c r="IUM360" s="598"/>
      <c r="IUN360" s="598"/>
      <c r="IUO360" s="598"/>
      <c r="IUP360" s="598"/>
      <c r="IUQ360" s="598"/>
      <c r="IUR360" s="598"/>
      <c r="IUS360" s="598"/>
      <c r="IUT360" s="598"/>
      <c r="IUU360" s="598"/>
      <c r="IUV360" s="598"/>
      <c r="IUW360" s="598"/>
      <c r="IUX360" s="598"/>
      <c r="IUY360" s="598"/>
      <c r="IUZ360" s="598"/>
      <c r="IVA360" s="598"/>
      <c r="IVB360" s="598"/>
      <c r="IVC360" s="598"/>
      <c r="IVD360" s="598"/>
      <c r="IVE360" s="598"/>
      <c r="IVF360" s="598"/>
      <c r="IVG360" s="598"/>
      <c r="IVH360" s="598"/>
      <c r="IVI360" s="598"/>
      <c r="IVJ360" s="598"/>
      <c r="IVK360" s="598"/>
      <c r="IVL360" s="598"/>
      <c r="IVM360" s="598"/>
      <c r="IVN360" s="598"/>
      <c r="IVO360" s="598"/>
      <c r="IVP360" s="598"/>
      <c r="IVQ360" s="598"/>
      <c r="IVR360" s="598"/>
      <c r="IVS360" s="598"/>
      <c r="IVT360" s="598"/>
      <c r="IVU360" s="598"/>
      <c r="IVV360" s="598"/>
      <c r="IVW360" s="598"/>
      <c r="IVX360" s="598"/>
      <c r="IVY360" s="598"/>
      <c r="IVZ360" s="598"/>
      <c r="IWA360" s="598"/>
      <c r="IWB360" s="598"/>
      <c r="IWC360" s="598"/>
      <c r="IWD360" s="598"/>
      <c r="IWE360" s="598"/>
      <c r="IWF360" s="598"/>
      <c r="IWG360" s="598"/>
      <c r="IWH360" s="598"/>
      <c r="IWI360" s="598"/>
      <c r="IWJ360" s="598"/>
      <c r="IWK360" s="598"/>
      <c r="IWL360" s="598"/>
      <c r="IWM360" s="598"/>
      <c r="IWN360" s="598"/>
      <c r="IWO360" s="598"/>
      <c r="IWP360" s="598"/>
      <c r="IWQ360" s="598"/>
      <c r="IWR360" s="598"/>
      <c r="IWS360" s="598"/>
      <c r="IWT360" s="598"/>
      <c r="IWU360" s="598"/>
      <c r="IWV360" s="598"/>
      <c r="IWW360" s="598"/>
      <c r="IWX360" s="598"/>
      <c r="IWY360" s="598"/>
      <c r="IWZ360" s="598"/>
      <c r="IXA360" s="598"/>
      <c r="IXB360" s="598"/>
      <c r="IXC360" s="598"/>
      <c r="IXD360" s="598"/>
      <c r="IXE360" s="598"/>
      <c r="IXF360" s="598"/>
      <c r="IXG360" s="598"/>
      <c r="IXH360" s="598"/>
      <c r="IXI360" s="598"/>
      <c r="IXJ360" s="598"/>
      <c r="IXK360" s="598"/>
      <c r="IXL360" s="598"/>
      <c r="IXM360" s="598"/>
      <c r="IXN360" s="598"/>
      <c r="IXO360" s="598"/>
      <c r="IXP360" s="598"/>
      <c r="IXQ360" s="598"/>
      <c r="IXR360" s="598"/>
      <c r="IXS360" s="598"/>
      <c r="IXT360" s="598"/>
      <c r="IXU360" s="598"/>
      <c r="IXV360" s="598"/>
      <c r="IXW360" s="598"/>
      <c r="IXX360" s="598"/>
      <c r="IXY360" s="598"/>
      <c r="IXZ360" s="598"/>
      <c r="IYA360" s="598"/>
      <c r="IYB360" s="598"/>
      <c r="IYC360" s="598"/>
      <c r="IYD360" s="598"/>
      <c r="IYE360" s="598"/>
      <c r="IYF360" s="598"/>
      <c r="IYG360" s="598"/>
      <c r="IYH360" s="598"/>
      <c r="IYI360" s="598"/>
      <c r="IYJ360" s="598"/>
      <c r="IYK360" s="598"/>
      <c r="IYL360" s="598"/>
      <c r="IYM360" s="598"/>
      <c r="IYN360" s="598"/>
      <c r="IYO360" s="598"/>
      <c r="IYP360" s="598"/>
      <c r="IYQ360" s="598"/>
      <c r="IYR360" s="598"/>
      <c r="IYS360" s="598"/>
      <c r="IYT360" s="598"/>
      <c r="IYU360" s="598"/>
      <c r="IYV360" s="598"/>
      <c r="IYW360" s="598"/>
      <c r="IYX360" s="598"/>
      <c r="IYY360" s="598"/>
      <c r="IYZ360" s="598"/>
      <c r="IZA360" s="598"/>
      <c r="IZB360" s="598"/>
      <c r="IZC360" s="598"/>
      <c r="IZD360" s="598"/>
      <c r="IZE360" s="598"/>
      <c r="IZF360" s="598"/>
      <c r="IZG360" s="598"/>
      <c r="IZH360" s="598"/>
      <c r="IZI360" s="598"/>
      <c r="IZJ360" s="598"/>
      <c r="IZK360" s="598"/>
      <c r="IZL360" s="598"/>
      <c r="IZM360" s="598"/>
      <c r="IZN360" s="598"/>
      <c r="IZO360" s="598"/>
      <c r="IZP360" s="598"/>
      <c r="IZQ360" s="598"/>
      <c r="IZR360" s="598"/>
      <c r="IZS360" s="598"/>
      <c r="IZT360" s="598"/>
      <c r="IZU360" s="598"/>
      <c r="IZV360" s="598"/>
      <c r="IZW360" s="598"/>
      <c r="IZX360" s="598"/>
      <c r="IZY360" s="598"/>
      <c r="IZZ360" s="598"/>
      <c r="JAA360" s="598"/>
      <c r="JAB360" s="598"/>
      <c r="JAC360" s="598"/>
      <c r="JAD360" s="598"/>
      <c r="JAE360" s="598"/>
      <c r="JAF360" s="598"/>
      <c r="JAG360" s="598"/>
      <c r="JAH360" s="598"/>
      <c r="JAI360" s="598"/>
      <c r="JAJ360" s="598"/>
      <c r="JAK360" s="598"/>
      <c r="JAL360" s="598"/>
      <c r="JAM360" s="598"/>
      <c r="JAN360" s="598"/>
      <c r="JAO360" s="598"/>
      <c r="JAP360" s="598"/>
      <c r="JAQ360" s="598"/>
      <c r="JAR360" s="598"/>
      <c r="JAS360" s="598"/>
      <c r="JAT360" s="598"/>
      <c r="JAU360" s="598"/>
      <c r="JAV360" s="598"/>
      <c r="JAW360" s="598"/>
      <c r="JAX360" s="598"/>
      <c r="JAY360" s="598"/>
      <c r="JAZ360" s="598"/>
      <c r="JBA360" s="598"/>
      <c r="JBB360" s="598"/>
      <c r="JBC360" s="598"/>
      <c r="JBD360" s="598"/>
      <c r="JBE360" s="598"/>
      <c r="JBF360" s="598"/>
      <c r="JBG360" s="598"/>
      <c r="JBH360" s="598"/>
      <c r="JBI360" s="598"/>
      <c r="JBJ360" s="598"/>
      <c r="JBK360" s="598"/>
      <c r="JBL360" s="598"/>
      <c r="JBM360" s="598"/>
      <c r="JBN360" s="598"/>
      <c r="JBO360" s="598"/>
      <c r="JBP360" s="598"/>
      <c r="JBQ360" s="598"/>
      <c r="JBR360" s="598"/>
      <c r="JBS360" s="598"/>
      <c r="JBT360" s="598"/>
      <c r="JBU360" s="598"/>
      <c r="JBV360" s="598"/>
      <c r="JBW360" s="598"/>
      <c r="JBX360" s="598"/>
      <c r="JBY360" s="598"/>
      <c r="JBZ360" s="598"/>
      <c r="JCA360" s="598"/>
      <c r="JCB360" s="598"/>
      <c r="JCC360" s="598"/>
      <c r="JCD360" s="598"/>
      <c r="JCE360" s="598"/>
      <c r="JCF360" s="598"/>
      <c r="JCG360" s="598"/>
      <c r="JCH360" s="598"/>
      <c r="JCI360" s="598"/>
      <c r="JCJ360" s="598"/>
      <c r="JCK360" s="598"/>
      <c r="JCL360" s="598"/>
      <c r="JCM360" s="598"/>
      <c r="JCN360" s="598"/>
      <c r="JCO360" s="598"/>
      <c r="JCP360" s="598"/>
      <c r="JCQ360" s="598"/>
      <c r="JCR360" s="598"/>
      <c r="JCS360" s="598"/>
      <c r="JCT360" s="598"/>
      <c r="JCU360" s="598"/>
      <c r="JCV360" s="598"/>
      <c r="JCW360" s="598"/>
      <c r="JCX360" s="598"/>
      <c r="JCY360" s="598"/>
      <c r="JCZ360" s="598"/>
      <c r="JDA360" s="598"/>
      <c r="JDB360" s="598"/>
      <c r="JDC360" s="598"/>
      <c r="JDD360" s="598"/>
      <c r="JDE360" s="598"/>
      <c r="JDF360" s="598"/>
      <c r="JDG360" s="598"/>
      <c r="JDH360" s="598"/>
      <c r="JDI360" s="598"/>
      <c r="JDJ360" s="598"/>
      <c r="JDK360" s="598"/>
      <c r="JDL360" s="598"/>
      <c r="JDM360" s="598"/>
      <c r="JDN360" s="598"/>
      <c r="JDO360" s="598"/>
      <c r="JDP360" s="598"/>
      <c r="JDQ360" s="598"/>
      <c r="JDR360" s="598"/>
      <c r="JDS360" s="598"/>
      <c r="JDT360" s="598"/>
      <c r="JDU360" s="598"/>
      <c r="JDV360" s="598"/>
      <c r="JDW360" s="598"/>
      <c r="JDX360" s="598"/>
      <c r="JDY360" s="598"/>
      <c r="JDZ360" s="598"/>
      <c r="JEA360" s="598"/>
      <c r="JEB360" s="598"/>
      <c r="JEC360" s="598"/>
      <c r="JED360" s="598"/>
      <c r="JEE360" s="598"/>
      <c r="JEF360" s="598"/>
      <c r="JEG360" s="598"/>
      <c r="JEH360" s="598"/>
      <c r="JEI360" s="598"/>
      <c r="JEJ360" s="598"/>
      <c r="JEK360" s="598"/>
      <c r="JEL360" s="598"/>
      <c r="JEM360" s="598"/>
      <c r="JEN360" s="598"/>
      <c r="JEO360" s="598"/>
      <c r="JEP360" s="598"/>
      <c r="JEQ360" s="598"/>
      <c r="JER360" s="598"/>
      <c r="JES360" s="598"/>
      <c r="JET360" s="598"/>
      <c r="JEU360" s="598"/>
      <c r="JEV360" s="598"/>
      <c r="JEW360" s="598"/>
      <c r="JEX360" s="598"/>
      <c r="JEY360" s="598"/>
      <c r="JEZ360" s="598"/>
      <c r="JFA360" s="598"/>
      <c r="JFB360" s="598"/>
      <c r="JFC360" s="598"/>
      <c r="JFD360" s="598"/>
      <c r="JFE360" s="598"/>
      <c r="JFF360" s="598"/>
      <c r="JFG360" s="598"/>
      <c r="JFH360" s="598"/>
      <c r="JFI360" s="598"/>
      <c r="JFJ360" s="598"/>
      <c r="JFK360" s="598"/>
      <c r="JFL360" s="598"/>
      <c r="JFM360" s="598"/>
      <c r="JFN360" s="598"/>
      <c r="JFO360" s="598"/>
      <c r="JFP360" s="598"/>
      <c r="JFQ360" s="598"/>
      <c r="JFR360" s="598"/>
      <c r="JFS360" s="598"/>
      <c r="JFT360" s="598"/>
      <c r="JFU360" s="598"/>
      <c r="JFV360" s="598"/>
      <c r="JFW360" s="598"/>
      <c r="JFX360" s="598"/>
      <c r="JFY360" s="598"/>
      <c r="JFZ360" s="598"/>
      <c r="JGA360" s="598"/>
      <c r="JGB360" s="598"/>
      <c r="JGC360" s="598"/>
      <c r="JGD360" s="598"/>
      <c r="JGE360" s="598"/>
      <c r="JGF360" s="598"/>
      <c r="JGG360" s="598"/>
      <c r="JGH360" s="598"/>
      <c r="JGI360" s="598"/>
      <c r="JGJ360" s="598"/>
      <c r="JGK360" s="598"/>
      <c r="JGL360" s="598"/>
      <c r="JGM360" s="598"/>
      <c r="JGN360" s="598"/>
      <c r="JGO360" s="598"/>
      <c r="JGP360" s="598"/>
      <c r="JGQ360" s="598"/>
      <c r="JGR360" s="598"/>
      <c r="JGS360" s="598"/>
      <c r="JGT360" s="598"/>
      <c r="JGU360" s="598"/>
      <c r="JGV360" s="598"/>
      <c r="JGW360" s="598"/>
      <c r="JGX360" s="598"/>
      <c r="JGY360" s="598"/>
      <c r="JGZ360" s="598"/>
      <c r="JHA360" s="598"/>
      <c r="JHB360" s="598"/>
      <c r="JHC360" s="598"/>
      <c r="JHD360" s="598"/>
      <c r="JHE360" s="598"/>
      <c r="JHF360" s="598"/>
      <c r="JHG360" s="598"/>
      <c r="JHH360" s="598"/>
      <c r="JHI360" s="598"/>
      <c r="JHJ360" s="598"/>
      <c r="JHK360" s="598"/>
      <c r="JHL360" s="598"/>
      <c r="JHM360" s="598"/>
      <c r="JHN360" s="598"/>
      <c r="JHO360" s="598"/>
      <c r="JHP360" s="598"/>
      <c r="JHQ360" s="598"/>
      <c r="JHR360" s="598"/>
      <c r="JHS360" s="598"/>
      <c r="JHT360" s="598"/>
      <c r="JHU360" s="598"/>
      <c r="JHV360" s="598"/>
      <c r="JHW360" s="598"/>
      <c r="JHX360" s="598"/>
      <c r="JHY360" s="598"/>
      <c r="JHZ360" s="598"/>
      <c r="JIA360" s="598"/>
      <c r="JIB360" s="598"/>
      <c r="JIC360" s="598"/>
      <c r="JID360" s="598"/>
      <c r="JIE360" s="598"/>
      <c r="JIF360" s="598"/>
      <c r="JIG360" s="598"/>
      <c r="JIH360" s="598"/>
      <c r="JII360" s="598"/>
      <c r="JIJ360" s="598"/>
      <c r="JIK360" s="598"/>
      <c r="JIL360" s="598"/>
      <c r="JIM360" s="598"/>
      <c r="JIN360" s="598"/>
      <c r="JIO360" s="598"/>
      <c r="JIP360" s="598"/>
      <c r="JIQ360" s="598"/>
      <c r="JIR360" s="598"/>
      <c r="JIS360" s="598"/>
      <c r="JIT360" s="598"/>
      <c r="JIU360" s="598"/>
      <c r="JIV360" s="598"/>
      <c r="JIW360" s="598"/>
      <c r="JIX360" s="598"/>
      <c r="JIY360" s="598"/>
      <c r="JIZ360" s="598"/>
      <c r="JJA360" s="598"/>
      <c r="JJB360" s="598"/>
      <c r="JJC360" s="598"/>
      <c r="JJD360" s="598"/>
      <c r="JJE360" s="598"/>
      <c r="JJF360" s="598"/>
      <c r="JJG360" s="598"/>
      <c r="JJH360" s="598"/>
      <c r="JJI360" s="598"/>
      <c r="JJJ360" s="598"/>
      <c r="JJK360" s="598"/>
      <c r="JJL360" s="598"/>
      <c r="JJM360" s="598"/>
      <c r="JJN360" s="598"/>
      <c r="JJO360" s="598"/>
      <c r="JJP360" s="598"/>
      <c r="JJQ360" s="598"/>
      <c r="JJR360" s="598"/>
      <c r="JJS360" s="598"/>
      <c r="JJT360" s="598"/>
      <c r="JJU360" s="598"/>
      <c r="JJV360" s="598"/>
      <c r="JJW360" s="598"/>
      <c r="JJX360" s="598"/>
      <c r="JJY360" s="598"/>
      <c r="JJZ360" s="598"/>
      <c r="JKA360" s="598"/>
      <c r="JKB360" s="598"/>
      <c r="JKC360" s="598"/>
      <c r="JKD360" s="598"/>
      <c r="JKE360" s="598"/>
      <c r="JKF360" s="598"/>
      <c r="JKG360" s="598"/>
      <c r="JKH360" s="598"/>
      <c r="JKI360" s="598"/>
      <c r="JKJ360" s="598"/>
      <c r="JKK360" s="598"/>
      <c r="JKL360" s="598"/>
      <c r="JKM360" s="598"/>
      <c r="JKN360" s="598"/>
      <c r="JKO360" s="598"/>
      <c r="JKP360" s="598"/>
      <c r="JKQ360" s="598"/>
      <c r="JKR360" s="598"/>
      <c r="JKS360" s="598"/>
      <c r="JKT360" s="598"/>
      <c r="JKU360" s="598"/>
      <c r="JKV360" s="598"/>
      <c r="JKW360" s="598"/>
      <c r="JKX360" s="598"/>
      <c r="JKY360" s="598"/>
      <c r="JKZ360" s="598"/>
      <c r="JLA360" s="598"/>
      <c r="JLB360" s="598"/>
      <c r="JLC360" s="598"/>
      <c r="JLD360" s="598"/>
      <c r="JLE360" s="598"/>
      <c r="JLF360" s="598"/>
      <c r="JLG360" s="598"/>
      <c r="JLH360" s="598"/>
      <c r="JLI360" s="598"/>
      <c r="JLJ360" s="598"/>
      <c r="JLK360" s="598"/>
      <c r="JLL360" s="598"/>
      <c r="JLM360" s="598"/>
      <c r="JLN360" s="598"/>
      <c r="JLO360" s="598"/>
      <c r="JLP360" s="598"/>
      <c r="JLQ360" s="598"/>
      <c r="JLR360" s="598"/>
      <c r="JLS360" s="598"/>
      <c r="JLT360" s="598"/>
      <c r="JLU360" s="598"/>
      <c r="JLV360" s="598"/>
      <c r="JLW360" s="598"/>
      <c r="JLX360" s="598"/>
      <c r="JLY360" s="598"/>
      <c r="JLZ360" s="598"/>
      <c r="JMA360" s="598"/>
      <c r="JMB360" s="598"/>
      <c r="JMC360" s="598"/>
      <c r="JMD360" s="598"/>
      <c r="JME360" s="598"/>
      <c r="JMF360" s="598"/>
      <c r="JMG360" s="598"/>
      <c r="JMH360" s="598"/>
      <c r="JMI360" s="598"/>
      <c r="JMJ360" s="598"/>
      <c r="JMK360" s="598"/>
      <c r="JML360" s="598"/>
      <c r="JMM360" s="598"/>
      <c r="JMN360" s="598"/>
      <c r="JMO360" s="598"/>
      <c r="JMP360" s="598"/>
      <c r="JMQ360" s="598"/>
      <c r="JMR360" s="598"/>
      <c r="JMS360" s="598"/>
      <c r="JMT360" s="598"/>
      <c r="JMU360" s="598"/>
      <c r="JMV360" s="598"/>
      <c r="JMW360" s="598"/>
      <c r="JMX360" s="598"/>
      <c r="JMY360" s="598"/>
      <c r="JMZ360" s="598"/>
      <c r="JNA360" s="598"/>
      <c r="JNB360" s="598"/>
      <c r="JNC360" s="598"/>
      <c r="JND360" s="598"/>
      <c r="JNE360" s="598"/>
      <c r="JNF360" s="598"/>
      <c r="JNG360" s="598"/>
      <c r="JNH360" s="598"/>
      <c r="JNI360" s="598"/>
      <c r="JNJ360" s="598"/>
      <c r="JNK360" s="598"/>
      <c r="JNL360" s="598"/>
      <c r="JNM360" s="598"/>
      <c r="JNN360" s="598"/>
      <c r="JNO360" s="598"/>
      <c r="JNP360" s="598"/>
      <c r="JNQ360" s="598"/>
      <c r="JNR360" s="598"/>
      <c r="JNS360" s="598"/>
      <c r="JNT360" s="598"/>
      <c r="JNU360" s="598"/>
      <c r="JNV360" s="598"/>
      <c r="JNW360" s="598"/>
      <c r="JNX360" s="598"/>
      <c r="JNY360" s="598"/>
      <c r="JNZ360" s="598"/>
      <c r="JOA360" s="598"/>
      <c r="JOB360" s="598"/>
      <c r="JOC360" s="598"/>
      <c r="JOD360" s="598"/>
      <c r="JOE360" s="598"/>
      <c r="JOF360" s="598"/>
      <c r="JOG360" s="598"/>
      <c r="JOH360" s="598"/>
      <c r="JOI360" s="598"/>
      <c r="JOJ360" s="598"/>
      <c r="JOK360" s="598"/>
      <c r="JOL360" s="598"/>
      <c r="JOM360" s="598"/>
      <c r="JON360" s="598"/>
      <c r="JOO360" s="598"/>
      <c r="JOP360" s="598"/>
      <c r="JOQ360" s="598"/>
      <c r="JOR360" s="598"/>
      <c r="JOS360" s="598"/>
      <c r="JOT360" s="598"/>
      <c r="JOU360" s="598"/>
      <c r="JOV360" s="598"/>
      <c r="JOW360" s="598"/>
      <c r="JOX360" s="598"/>
      <c r="JOY360" s="598"/>
      <c r="JOZ360" s="598"/>
      <c r="JPA360" s="598"/>
      <c r="JPB360" s="598"/>
      <c r="JPC360" s="598"/>
      <c r="JPD360" s="598"/>
      <c r="JPE360" s="598"/>
      <c r="JPF360" s="598"/>
      <c r="JPG360" s="598"/>
      <c r="JPH360" s="598"/>
      <c r="JPI360" s="598"/>
      <c r="JPJ360" s="598"/>
      <c r="JPK360" s="598"/>
      <c r="JPL360" s="598"/>
      <c r="JPM360" s="598"/>
      <c r="JPN360" s="598"/>
      <c r="JPO360" s="598"/>
      <c r="JPP360" s="598"/>
      <c r="JPQ360" s="598"/>
      <c r="JPR360" s="598"/>
      <c r="JPS360" s="598"/>
      <c r="JPT360" s="598"/>
      <c r="JPU360" s="598"/>
      <c r="JPV360" s="598"/>
      <c r="JPW360" s="598"/>
      <c r="JPX360" s="598"/>
      <c r="JPY360" s="598"/>
      <c r="JPZ360" s="598"/>
      <c r="JQA360" s="598"/>
      <c r="JQB360" s="598"/>
      <c r="JQC360" s="598"/>
      <c r="JQD360" s="598"/>
      <c r="JQE360" s="598"/>
      <c r="JQF360" s="598"/>
      <c r="JQG360" s="598"/>
      <c r="JQH360" s="598"/>
      <c r="JQI360" s="598"/>
      <c r="JQJ360" s="598"/>
      <c r="JQK360" s="598"/>
      <c r="JQL360" s="598"/>
      <c r="JQM360" s="598"/>
      <c r="JQN360" s="598"/>
      <c r="JQO360" s="598"/>
      <c r="JQP360" s="598"/>
      <c r="JQQ360" s="598"/>
      <c r="JQR360" s="598"/>
      <c r="JQS360" s="598"/>
      <c r="JQT360" s="598"/>
      <c r="JQU360" s="598"/>
      <c r="JQV360" s="598"/>
      <c r="JQW360" s="598"/>
      <c r="JQX360" s="598"/>
      <c r="JQY360" s="598"/>
      <c r="JQZ360" s="598"/>
      <c r="JRA360" s="598"/>
      <c r="JRB360" s="598"/>
      <c r="JRC360" s="598"/>
      <c r="JRD360" s="598"/>
      <c r="JRE360" s="598"/>
      <c r="JRF360" s="598"/>
      <c r="JRG360" s="598"/>
      <c r="JRH360" s="598"/>
      <c r="JRI360" s="598"/>
      <c r="JRJ360" s="598"/>
      <c r="JRK360" s="598"/>
      <c r="JRL360" s="598"/>
      <c r="JRM360" s="598"/>
      <c r="JRN360" s="598"/>
      <c r="JRO360" s="598"/>
      <c r="JRP360" s="598"/>
      <c r="JRQ360" s="598"/>
      <c r="JRR360" s="598"/>
      <c r="JRS360" s="598"/>
      <c r="JRT360" s="598"/>
      <c r="JRU360" s="598"/>
      <c r="JRV360" s="598"/>
      <c r="JRW360" s="598"/>
      <c r="JRX360" s="598"/>
      <c r="JRY360" s="598"/>
      <c r="JRZ360" s="598"/>
      <c r="JSA360" s="598"/>
      <c r="JSB360" s="598"/>
      <c r="JSC360" s="598"/>
      <c r="JSD360" s="598"/>
      <c r="JSE360" s="598"/>
      <c r="JSF360" s="598"/>
      <c r="JSG360" s="598"/>
      <c r="JSH360" s="598"/>
      <c r="JSI360" s="598"/>
      <c r="JSJ360" s="598"/>
      <c r="JSK360" s="598"/>
      <c r="JSL360" s="598"/>
      <c r="JSM360" s="598"/>
      <c r="JSN360" s="598"/>
      <c r="JSO360" s="598"/>
      <c r="JSP360" s="598"/>
      <c r="JSQ360" s="598"/>
      <c r="JSR360" s="598"/>
      <c r="JSS360" s="598"/>
      <c r="JST360" s="598"/>
      <c r="JSU360" s="598"/>
      <c r="JSV360" s="598"/>
      <c r="JSW360" s="598"/>
      <c r="JSX360" s="598"/>
      <c r="JSY360" s="598"/>
      <c r="JSZ360" s="598"/>
      <c r="JTA360" s="598"/>
      <c r="JTB360" s="598"/>
      <c r="JTC360" s="598"/>
      <c r="JTD360" s="598"/>
      <c r="JTE360" s="598"/>
      <c r="JTF360" s="598"/>
      <c r="JTG360" s="598"/>
      <c r="JTH360" s="598"/>
      <c r="JTI360" s="598"/>
      <c r="JTJ360" s="598"/>
      <c r="JTK360" s="598"/>
      <c r="JTL360" s="598"/>
      <c r="JTM360" s="598"/>
      <c r="JTN360" s="598"/>
      <c r="JTO360" s="598"/>
      <c r="JTP360" s="598"/>
      <c r="JTQ360" s="598"/>
      <c r="JTR360" s="598"/>
      <c r="JTS360" s="598"/>
      <c r="JTT360" s="598"/>
      <c r="JTU360" s="598"/>
      <c r="JTV360" s="598"/>
      <c r="JTW360" s="598"/>
      <c r="JTX360" s="598"/>
      <c r="JTY360" s="598"/>
      <c r="JTZ360" s="598"/>
      <c r="JUA360" s="598"/>
      <c r="JUB360" s="598"/>
      <c r="JUC360" s="598"/>
      <c r="JUD360" s="598"/>
      <c r="JUE360" s="598"/>
      <c r="JUF360" s="598"/>
      <c r="JUG360" s="598"/>
      <c r="JUH360" s="598"/>
      <c r="JUI360" s="598"/>
      <c r="JUJ360" s="598"/>
      <c r="JUK360" s="598"/>
      <c r="JUL360" s="598"/>
      <c r="JUM360" s="598"/>
      <c r="JUN360" s="598"/>
      <c r="JUO360" s="598"/>
      <c r="JUP360" s="598"/>
      <c r="JUQ360" s="598"/>
      <c r="JUR360" s="598"/>
      <c r="JUS360" s="598"/>
      <c r="JUT360" s="598"/>
      <c r="JUU360" s="598"/>
      <c r="JUV360" s="598"/>
      <c r="JUW360" s="598"/>
      <c r="JUX360" s="598"/>
      <c r="JUY360" s="598"/>
      <c r="JUZ360" s="598"/>
      <c r="JVA360" s="598"/>
      <c r="JVB360" s="598"/>
      <c r="JVC360" s="598"/>
      <c r="JVD360" s="598"/>
      <c r="JVE360" s="598"/>
      <c r="JVF360" s="598"/>
      <c r="JVG360" s="598"/>
      <c r="JVH360" s="598"/>
      <c r="JVI360" s="598"/>
      <c r="JVJ360" s="598"/>
      <c r="JVK360" s="598"/>
      <c r="JVL360" s="598"/>
      <c r="JVM360" s="598"/>
      <c r="JVN360" s="598"/>
      <c r="JVO360" s="598"/>
      <c r="JVP360" s="598"/>
      <c r="JVQ360" s="598"/>
      <c r="JVR360" s="598"/>
      <c r="JVS360" s="598"/>
      <c r="JVT360" s="598"/>
      <c r="JVU360" s="598"/>
      <c r="JVV360" s="598"/>
      <c r="JVW360" s="598"/>
      <c r="JVX360" s="598"/>
      <c r="JVY360" s="598"/>
      <c r="JVZ360" s="598"/>
      <c r="JWA360" s="598"/>
      <c r="JWB360" s="598"/>
      <c r="JWC360" s="598"/>
      <c r="JWD360" s="598"/>
      <c r="JWE360" s="598"/>
      <c r="JWF360" s="598"/>
      <c r="JWG360" s="598"/>
      <c r="JWH360" s="598"/>
      <c r="JWI360" s="598"/>
      <c r="JWJ360" s="598"/>
      <c r="JWK360" s="598"/>
      <c r="JWL360" s="598"/>
      <c r="JWM360" s="598"/>
      <c r="JWN360" s="598"/>
      <c r="JWO360" s="598"/>
      <c r="JWP360" s="598"/>
      <c r="JWQ360" s="598"/>
      <c r="JWR360" s="598"/>
      <c r="JWS360" s="598"/>
      <c r="JWT360" s="598"/>
      <c r="JWU360" s="598"/>
      <c r="JWV360" s="598"/>
      <c r="JWW360" s="598"/>
      <c r="JWX360" s="598"/>
      <c r="JWY360" s="598"/>
      <c r="JWZ360" s="598"/>
      <c r="JXA360" s="598"/>
      <c r="JXB360" s="598"/>
      <c r="JXC360" s="598"/>
      <c r="JXD360" s="598"/>
      <c r="JXE360" s="598"/>
      <c r="JXF360" s="598"/>
      <c r="JXG360" s="598"/>
      <c r="JXH360" s="598"/>
      <c r="JXI360" s="598"/>
      <c r="JXJ360" s="598"/>
      <c r="JXK360" s="598"/>
      <c r="JXL360" s="598"/>
      <c r="JXM360" s="598"/>
      <c r="JXN360" s="598"/>
      <c r="JXO360" s="598"/>
      <c r="JXP360" s="598"/>
      <c r="JXQ360" s="598"/>
      <c r="JXR360" s="598"/>
      <c r="JXS360" s="598"/>
      <c r="JXT360" s="598"/>
      <c r="JXU360" s="598"/>
      <c r="JXV360" s="598"/>
      <c r="JXW360" s="598"/>
      <c r="JXX360" s="598"/>
      <c r="JXY360" s="598"/>
      <c r="JXZ360" s="598"/>
      <c r="JYA360" s="598"/>
      <c r="JYB360" s="598"/>
      <c r="JYC360" s="598"/>
      <c r="JYD360" s="598"/>
      <c r="JYE360" s="598"/>
      <c r="JYF360" s="598"/>
      <c r="JYG360" s="598"/>
      <c r="JYH360" s="598"/>
      <c r="JYI360" s="598"/>
      <c r="JYJ360" s="598"/>
      <c r="JYK360" s="598"/>
      <c r="JYL360" s="598"/>
      <c r="JYM360" s="598"/>
      <c r="JYN360" s="598"/>
      <c r="JYO360" s="598"/>
      <c r="JYP360" s="598"/>
      <c r="JYQ360" s="598"/>
      <c r="JYR360" s="598"/>
      <c r="JYS360" s="598"/>
      <c r="JYT360" s="598"/>
      <c r="JYU360" s="598"/>
      <c r="JYV360" s="598"/>
      <c r="JYW360" s="598"/>
      <c r="JYX360" s="598"/>
      <c r="JYY360" s="598"/>
      <c r="JYZ360" s="598"/>
      <c r="JZA360" s="598"/>
      <c r="JZB360" s="598"/>
      <c r="JZC360" s="598"/>
      <c r="JZD360" s="598"/>
      <c r="JZE360" s="598"/>
      <c r="JZF360" s="598"/>
      <c r="JZG360" s="598"/>
      <c r="JZH360" s="598"/>
      <c r="JZI360" s="598"/>
      <c r="JZJ360" s="598"/>
      <c r="JZK360" s="598"/>
      <c r="JZL360" s="598"/>
      <c r="JZM360" s="598"/>
      <c r="JZN360" s="598"/>
      <c r="JZO360" s="598"/>
      <c r="JZP360" s="598"/>
      <c r="JZQ360" s="598"/>
      <c r="JZR360" s="598"/>
      <c r="JZS360" s="598"/>
      <c r="JZT360" s="598"/>
      <c r="JZU360" s="598"/>
      <c r="JZV360" s="598"/>
      <c r="JZW360" s="598"/>
      <c r="JZX360" s="598"/>
      <c r="JZY360" s="598"/>
      <c r="JZZ360" s="598"/>
      <c r="KAA360" s="598"/>
      <c r="KAB360" s="598"/>
      <c r="KAC360" s="598"/>
      <c r="KAD360" s="598"/>
      <c r="KAE360" s="598"/>
      <c r="KAF360" s="598"/>
      <c r="KAG360" s="598"/>
      <c r="KAH360" s="598"/>
      <c r="KAI360" s="598"/>
      <c r="KAJ360" s="598"/>
      <c r="KAK360" s="598"/>
      <c r="KAL360" s="598"/>
      <c r="KAM360" s="598"/>
      <c r="KAN360" s="598"/>
      <c r="KAO360" s="598"/>
      <c r="KAP360" s="598"/>
      <c r="KAQ360" s="598"/>
      <c r="KAR360" s="598"/>
      <c r="KAS360" s="598"/>
      <c r="KAT360" s="598"/>
      <c r="KAU360" s="598"/>
      <c r="KAV360" s="598"/>
      <c r="KAW360" s="598"/>
      <c r="KAX360" s="598"/>
      <c r="KAY360" s="598"/>
      <c r="KAZ360" s="598"/>
      <c r="KBA360" s="598"/>
      <c r="KBB360" s="598"/>
      <c r="KBC360" s="598"/>
      <c r="KBD360" s="598"/>
      <c r="KBE360" s="598"/>
      <c r="KBF360" s="598"/>
      <c r="KBG360" s="598"/>
      <c r="KBH360" s="598"/>
      <c r="KBI360" s="598"/>
      <c r="KBJ360" s="598"/>
      <c r="KBK360" s="598"/>
      <c r="KBL360" s="598"/>
      <c r="KBM360" s="598"/>
      <c r="KBN360" s="598"/>
      <c r="KBO360" s="598"/>
      <c r="KBP360" s="598"/>
      <c r="KBQ360" s="598"/>
      <c r="KBR360" s="598"/>
      <c r="KBS360" s="598"/>
      <c r="KBT360" s="598"/>
      <c r="KBU360" s="598"/>
      <c r="KBV360" s="598"/>
      <c r="KBW360" s="598"/>
      <c r="KBX360" s="598"/>
      <c r="KBY360" s="598"/>
      <c r="KBZ360" s="598"/>
      <c r="KCA360" s="598"/>
      <c r="KCB360" s="598"/>
      <c r="KCC360" s="598"/>
      <c r="KCD360" s="598"/>
      <c r="KCE360" s="598"/>
      <c r="KCF360" s="598"/>
      <c r="KCG360" s="598"/>
      <c r="KCH360" s="598"/>
      <c r="KCI360" s="598"/>
      <c r="KCJ360" s="598"/>
      <c r="KCK360" s="598"/>
      <c r="KCL360" s="598"/>
      <c r="KCM360" s="598"/>
      <c r="KCN360" s="598"/>
      <c r="KCO360" s="598"/>
      <c r="KCP360" s="598"/>
      <c r="KCQ360" s="598"/>
      <c r="KCR360" s="598"/>
      <c r="KCS360" s="598"/>
      <c r="KCT360" s="598"/>
      <c r="KCU360" s="598"/>
      <c r="KCV360" s="598"/>
      <c r="KCW360" s="598"/>
      <c r="KCX360" s="598"/>
      <c r="KCY360" s="598"/>
      <c r="KCZ360" s="598"/>
      <c r="KDA360" s="598"/>
      <c r="KDB360" s="598"/>
      <c r="KDC360" s="598"/>
      <c r="KDD360" s="598"/>
      <c r="KDE360" s="598"/>
      <c r="KDF360" s="598"/>
      <c r="KDG360" s="598"/>
      <c r="KDH360" s="598"/>
      <c r="KDI360" s="598"/>
      <c r="KDJ360" s="598"/>
      <c r="KDK360" s="598"/>
      <c r="KDL360" s="598"/>
      <c r="KDM360" s="598"/>
      <c r="KDN360" s="598"/>
      <c r="KDO360" s="598"/>
      <c r="KDP360" s="598"/>
      <c r="KDQ360" s="598"/>
      <c r="KDR360" s="598"/>
      <c r="KDS360" s="598"/>
      <c r="KDT360" s="598"/>
      <c r="KDU360" s="598"/>
      <c r="KDV360" s="598"/>
      <c r="KDW360" s="598"/>
      <c r="KDX360" s="598"/>
      <c r="KDY360" s="598"/>
      <c r="KDZ360" s="598"/>
      <c r="KEA360" s="598"/>
      <c r="KEB360" s="598"/>
      <c r="KEC360" s="598"/>
      <c r="KED360" s="598"/>
      <c r="KEE360" s="598"/>
      <c r="KEF360" s="598"/>
      <c r="KEG360" s="598"/>
      <c r="KEH360" s="598"/>
      <c r="KEI360" s="598"/>
      <c r="KEJ360" s="598"/>
      <c r="KEK360" s="598"/>
      <c r="KEL360" s="598"/>
      <c r="KEM360" s="598"/>
      <c r="KEN360" s="598"/>
      <c r="KEO360" s="598"/>
      <c r="KEP360" s="598"/>
      <c r="KEQ360" s="598"/>
      <c r="KER360" s="598"/>
      <c r="KES360" s="598"/>
      <c r="KET360" s="598"/>
      <c r="KEU360" s="598"/>
      <c r="KEV360" s="598"/>
      <c r="KEW360" s="598"/>
      <c r="KEX360" s="598"/>
      <c r="KEY360" s="598"/>
      <c r="KEZ360" s="598"/>
      <c r="KFA360" s="598"/>
      <c r="KFB360" s="598"/>
      <c r="KFC360" s="598"/>
      <c r="KFD360" s="598"/>
      <c r="KFE360" s="598"/>
      <c r="KFF360" s="598"/>
      <c r="KFG360" s="598"/>
      <c r="KFH360" s="598"/>
      <c r="KFI360" s="598"/>
      <c r="KFJ360" s="598"/>
      <c r="KFK360" s="598"/>
      <c r="KFL360" s="598"/>
      <c r="KFM360" s="598"/>
      <c r="KFN360" s="598"/>
      <c r="KFO360" s="598"/>
      <c r="KFP360" s="598"/>
      <c r="KFQ360" s="598"/>
      <c r="KFR360" s="598"/>
      <c r="KFS360" s="598"/>
      <c r="KFT360" s="598"/>
      <c r="KFU360" s="598"/>
      <c r="KFV360" s="598"/>
      <c r="KFW360" s="598"/>
      <c r="KFX360" s="598"/>
      <c r="KFY360" s="598"/>
      <c r="KFZ360" s="598"/>
      <c r="KGA360" s="598"/>
      <c r="KGB360" s="598"/>
      <c r="KGC360" s="598"/>
      <c r="KGD360" s="598"/>
      <c r="KGE360" s="598"/>
      <c r="KGF360" s="598"/>
      <c r="KGG360" s="598"/>
      <c r="KGH360" s="598"/>
      <c r="KGI360" s="598"/>
      <c r="KGJ360" s="598"/>
      <c r="KGK360" s="598"/>
      <c r="KGL360" s="598"/>
      <c r="KGM360" s="598"/>
      <c r="KGN360" s="598"/>
      <c r="KGO360" s="598"/>
      <c r="KGP360" s="598"/>
      <c r="KGQ360" s="598"/>
      <c r="KGR360" s="598"/>
      <c r="KGS360" s="598"/>
      <c r="KGT360" s="598"/>
      <c r="KGU360" s="598"/>
      <c r="KGV360" s="598"/>
      <c r="KGW360" s="598"/>
      <c r="KGX360" s="598"/>
      <c r="KGY360" s="598"/>
      <c r="KGZ360" s="598"/>
      <c r="KHA360" s="598"/>
      <c r="KHB360" s="598"/>
      <c r="KHC360" s="598"/>
      <c r="KHD360" s="598"/>
      <c r="KHE360" s="598"/>
      <c r="KHF360" s="598"/>
      <c r="KHG360" s="598"/>
      <c r="KHH360" s="598"/>
      <c r="KHI360" s="598"/>
      <c r="KHJ360" s="598"/>
      <c r="KHK360" s="598"/>
      <c r="KHL360" s="598"/>
      <c r="KHM360" s="598"/>
      <c r="KHN360" s="598"/>
      <c r="KHO360" s="598"/>
      <c r="KHP360" s="598"/>
      <c r="KHQ360" s="598"/>
      <c r="KHR360" s="598"/>
      <c r="KHS360" s="598"/>
      <c r="KHT360" s="598"/>
      <c r="KHU360" s="598"/>
      <c r="KHV360" s="598"/>
      <c r="KHW360" s="598"/>
      <c r="KHX360" s="598"/>
      <c r="KHY360" s="598"/>
      <c r="KHZ360" s="598"/>
      <c r="KIA360" s="598"/>
      <c r="KIB360" s="598"/>
      <c r="KIC360" s="598"/>
      <c r="KID360" s="598"/>
      <c r="KIE360" s="598"/>
      <c r="KIF360" s="598"/>
      <c r="KIG360" s="598"/>
      <c r="KIH360" s="598"/>
      <c r="KII360" s="598"/>
      <c r="KIJ360" s="598"/>
      <c r="KIK360" s="598"/>
      <c r="KIL360" s="598"/>
      <c r="KIM360" s="598"/>
      <c r="KIN360" s="598"/>
      <c r="KIO360" s="598"/>
      <c r="KIP360" s="598"/>
      <c r="KIQ360" s="598"/>
      <c r="KIR360" s="598"/>
      <c r="KIS360" s="598"/>
      <c r="KIT360" s="598"/>
      <c r="KIU360" s="598"/>
      <c r="KIV360" s="598"/>
      <c r="KIW360" s="598"/>
      <c r="KIX360" s="598"/>
      <c r="KIY360" s="598"/>
      <c r="KIZ360" s="598"/>
      <c r="KJA360" s="598"/>
      <c r="KJB360" s="598"/>
      <c r="KJC360" s="598"/>
      <c r="KJD360" s="598"/>
      <c r="KJE360" s="598"/>
      <c r="KJF360" s="598"/>
      <c r="KJG360" s="598"/>
      <c r="KJH360" s="598"/>
      <c r="KJI360" s="598"/>
      <c r="KJJ360" s="598"/>
      <c r="KJK360" s="598"/>
      <c r="KJL360" s="598"/>
      <c r="KJM360" s="598"/>
      <c r="KJN360" s="598"/>
      <c r="KJO360" s="598"/>
      <c r="KJP360" s="598"/>
      <c r="KJQ360" s="598"/>
      <c r="KJR360" s="598"/>
      <c r="KJS360" s="598"/>
      <c r="KJT360" s="598"/>
      <c r="KJU360" s="598"/>
      <c r="KJV360" s="598"/>
      <c r="KJW360" s="598"/>
      <c r="KJX360" s="598"/>
      <c r="KJY360" s="598"/>
      <c r="KJZ360" s="598"/>
      <c r="KKA360" s="598"/>
      <c r="KKB360" s="598"/>
      <c r="KKC360" s="598"/>
      <c r="KKD360" s="598"/>
      <c r="KKE360" s="598"/>
      <c r="KKF360" s="598"/>
      <c r="KKG360" s="598"/>
      <c r="KKH360" s="598"/>
      <c r="KKI360" s="598"/>
      <c r="KKJ360" s="598"/>
      <c r="KKK360" s="598"/>
      <c r="KKL360" s="598"/>
      <c r="KKM360" s="598"/>
      <c r="KKN360" s="598"/>
      <c r="KKO360" s="598"/>
      <c r="KKP360" s="598"/>
      <c r="KKQ360" s="598"/>
      <c r="KKR360" s="598"/>
      <c r="KKS360" s="598"/>
      <c r="KKT360" s="598"/>
      <c r="KKU360" s="598"/>
      <c r="KKV360" s="598"/>
      <c r="KKW360" s="598"/>
      <c r="KKX360" s="598"/>
      <c r="KKY360" s="598"/>
      <c r="KKZ360" s="598"/>
      <c r="KLA360" s="598"/>
      <c r="KLB360" s="598"/>
      <c r="KLC360" s="598"/>
      <c r="KLD360" s="598"/>
      <c r="KLE360" s="598"/>
      <c r="KLF360" s="598"/>
      <c r="KLG360" s="598"/>
      <c r="KLH360" s="598"/>
      <c r="KLI360" s="598"/>
      <c r="KLJ360" s="598"/>
      <c r="KLK360" s="598"/>
      <c r="KLL360" s="598"/>
      <c r="KLM360" s="598"/>
      <c r="KLN360" s="598"/>
      <c r="KLO360" s="598"/>
      <c r="KLP360" s="598"/>
      <c r="KLQ360" s="598"/>
      <c r="KLR360" s="598"/>
      <c r="KLS360" s="598"/>
      <c r="KLT360" s="598"/>
      <c r="KLU360" s="598"/>
      <c r="KLV360" s="598"/>
      <c r="KLW360" s="598"/>
      <c r="KLX360" s="598"/>
      <c r="KLY360" s="598"/>
      <c r="KLZ360" s="598"/>
      <c r="KMA360" s="598"/>
      <c r="KMB360" s="598"/>
      <c r="KMC360" s="598"/>
      <c r="KMD360" s="598"/>
      <c r="KME360" s="598"/>
      <c r="KMF360" s="598"/>
      <c r="KMG360" s="598"/>
      <c r="KMH360" s="598"/>
      <c r="KMI360" s="598"/>
      <c r="KMJ360" s="598"/>
      <c r="KMK360" s="598"/>
      <c r="KML360" s="598"/>
      <c r="KMM360" s="598"/>
      <c r="KMN360" s="598"/>
      <c r="KMO360" s="598"/>
      <c r="KMP360" s="598"/>
      <c r="KMQ360" s="598"/>
      <c r="KMR360" s="598"/>
      <c r="KMS360" s="598"/>
      <c r="KMT360" s="598"/>
      <c r="KMU360" s="598"/>
      <c r="KMV360" s="598"/>
      <c r="KMW360" s="598"/>
      <c r="KMX360" s="598"/>
      <c r="KMY360" s="598"/>
      <c r="KMZ360" s="598"/>
      <c r="KNA360" s="598"/>
      <c r="KNB360" s="598"/>
      <c r="KNC360" s="598"/>
      <c r="KND360" s="598"/>
      <c r="KNE360" s="598"/>
      <c r="KNF360" s="598"/>
      <c r="KNG360" s="598"/>
      <c r="KNH360" s="598"/>
      <c r="KNI360" s="598"/>
      <c r="KNJ360" s="598"/>
      <c r="KNK360" s="598"/>
      <c r="KNL360" s="598"/>
      <c r="KNM360" s="598"/>
      <c r="KNN360" s="598"/>
      <c r="KNO360" s="598"/>
      <c r="KNP360" s="598"/>
      <c r="KNQ360" s="598"/>
      <c r="KNR360" s="598"/>
      <c r="KNS360" s="598"/>
      <c r="KNT360" s="598"/>
      <c r="KNU360" s="598"/>
      <c r="KNV360" s="598"/>
      <c r="KNW360" s="598"/>
      <c r="KNX360" s="598"/>
      <c r="KNY360" s="598"/>
      <c r="KNZ360" s="598"/>
      <c r="KOA360" s="598"/>
      <c r="KOB360" s="598"/>
      <c r="KOC360" s="598"/>
      <c r="KOD360" s="598"/>
      <c r="KOE360" s="598"/>
      <c r="KOF360" s="598"/>
      <c r="KOG360" s="598"/>
      <c r="KOH360" s="598"/>
      <c r="KOI360" s="598"/>
      <c r="KOJ360" s="598"/>
      <c r="KOK360" s="598"/>
      <c r="KOL360" s="598"/>
      <c r="KOM360" s="598"/>
      <c r="KON360" s="598"/>
      <c r="KOO360" s="598"/>
      <c r="KOP360" s="598"/>
      <c r="KOQ360" s="598"/>
      <c r="KOR360" s="598"/>
      <c r="KOS360" s="598"/>
      <c r="KOT360" s="598"/>
      <c r="KOU360" s="598"/>
      <c r="KOV360" s="598"/>
      <c r="KOW360" s="598"/>
      <c r="KOX360" s="598"/>
      <c r="KOY360" s="598"/>
      <c r="KOZ360" s="598"/>
      <c r="KPA360" s="598"/>
      <c r="KPB360" s="598"/>
      <c r="KPC360" s="598"/>
      <c r="KPD360" s="598"/>
      <c r="KPE360" s="598"/>
      <c r="KPF360" s="598"/>
      <c r="KPG360" s="598"/>
      <c r="KPH360" s="598"/>
      <c r="KPI360" s="598"/>
      <c r="KPJ360" s="598"/>
      <c r="KPK360" s="598"/>
      <c r="KPL360" s="598"/>
      <c r="KPM360" s="598"/>
      <c r="KPN360" s="598"/>
      <c r="KPO360" s="598"/>
      <c r="KPP360" s="598"/>
      <c r="KPQ360" s="598"/>
      <c r="KPR360" s="598"/>
      <c r="KPS360" s="598"/>
      <c r="KPT360" s="598"/>
      <c r="KPU360" s="598"/>
      <c r="KPV360" s="598"/>
      <c r="KPW360" s="598"/>
      <c r="KPX360" s="598"/>
      <c r="KPY360" s="598"/>
      <c r="KPZ360" s="598"/>
      <c r="KQA360" s="598"/>
      <c r="KQB360" s="598"/>
      <c r="KQC360" s="598"/>
      <c r="KQD360" s="598"/>
      <c r="KQE360" s="598"/>
      <c r="KQF360" s="598"/>
      <c r="KQG360" s="598"/>
      <c r="KQH360" s="598"/>
      <c r="KQI360" s="598"/>
      <c r="KQJ360" s="598"/>
      <c r="KQK360" s="598"/>
      <c r="KQL360" s="598"/>
      <c r="KQM360" s="598"/>
      <c r="KQN360" s="598"/>
      <c r="KQO360" s="598"/>
      <c r="KQP360" s="598"/>
      <c r="KQQ360" s="598"/>
      <c r="KQR360" s="598"/>
      <c r="KQS360" s="598"/>
      <c r="KQT360" s="598"/>
      <c r="KQU360" s="598"/>
      <c r="KQV360" s="598"/>
      <c r="KQW360" s="598"/>
      <c r="KQX360" s="598"/>
      <c r="KQY360" s="598"/>
      <c r="KQZ360" s="598"/>
      <c r="KRA360" s="598"/>
      <c r="KRB360" s="598"/>
      <c r="KRC360" s="598"/>
      <c r="KRD360" s="598"/>
      <c r="KRE360" s="598"/>
      <c r="KRF360" s="598"/>
      <c r="KRG360" s="598"/>
      <c r="KRH360" s="598"/>
      <c r="KRI360" s="598"/>
      <c r="KRJ360" s="598"/>
      <c r="KRK360" s="598"/>
      <c r="KRL360" s="598"/>
      <c r="KRM360" s="598"/>
      <c r="KRN360" s="598"/>
      <c r="KRO360" s="598"/>
      <c r="KRP360" s="598"/>
      <c r="KRQ360" s="598"/>
      <c r="KRR360" s="598"/>
      <c r="KRS360" s="598"/>
      <c r="KRT360" s="598"/>
      <c r="KRU360" s="598"/>
      <c r="KRV360" s="598"/>
      <c r="KRW360" s="598"/>
      <c r="KRX360" s="598"/>
      <c r="KRY360" s="598"/>
      <c r="KRZ360" s="598"/>
      <c r="KSA360" s="598"/>
      <c r="KSB360" s="598"/>
      <c r="KSC360" s="598"/>
      <c r="KSD360" s="598"/>
      <c r="KSE360" s="598"/>
      <c r="KSF360" s="598"/>
      <c r="KSG360" s="598"/>
      <c r="KSH360" s="598"/>
      <c r="KSI360" s="598"/>
      <c r="KSJ360" s="598"/>
      <c r="KSK360" s="598"/>
      <c r="KSL360" s="598"/>
      <c r="KSM360" s="598"/>
      <c r="KSN360" s="598"/>
      <c r="KSO360" s="598"/>
      <c r="KSP360" s="598"/>
      <c r="KSQ360" s="598"/>
      <c r="KSR360" s="598"/>
      <c r="KSS360" s="598"/>
      <c r="KST360" s="598"/>
      <c r="KSU360" s="598"/>
      <c r="KSV360" s="598"/>
      <c r="KSW360" s="598"/>
      <c r="KSX360" s="598"/>
      <c r="KSY360" s="598"/>
      <c r="KSZ360" s="598"/>
      <c r="KTA360" s="598"/>
      <c r="KTB360" s="598"/>
      <c r="KTC360" s="598"/>
      <c r="KTD360" s="598"/>
      <c r="KTE360" s="598"/>
      <c r="KTF360" s="598"/>
      <c r="KTG360" s="598"/>
      <c r="KTH360" s="598"/>
      <c r="KTI360" s="598"/>
      <c r="KTJ360" s="598"/>
      <c r="KTK360" s="598"/>
      <c r="KTL360" s="598"/>
      <c r="KTM360" s="598"/>
      <c r="KTN360" s="598"/>
      <c r="KTO360" s="598"/>
      <c r="KTP360" s="598"/>
      <c r="KTQ360" s="598"/>
      <c r="KTR360" s="598"/>
      <c r="KTS360" s="598"/>
      <c r="KTT360" s="598"/>
      <c r="KTU360" s="598"/>
      <c r="KTV360" s="598"/>
      <c r="KTW360" s="598"/>
      <c r="KTX360" s="598"/>
      <c r="KTY360" s="598"/>
      <c r="KTZ360" s="598"/>
      <c r="KUA360" s="598"/>
      <c r="KUB360" s="598"/>
      <c r="KUC360" s="598"/>
      <c r="KUD360" s="598"/>
      <c r="KUE360" s="598"/>
      <c r="KUF360" s="598"/>
      <c r="KUG360" s="598"/>
      <c r="KUH360" s="598"/>
      <c r="KUI360" s="598"/>
      <c r="KUJ360" s="598"/>
      <c r="KUK360" s="598"/>
      <c r="KUL360" s="598"/>
      <c r="KUM360" s="598"/>
      <c r="KUN360" s="598"/>
      <c r="KUO360" s="598"/>
      <c r="KUP360" s="598"/>
      <c r="KUQ360" s="598"/>
      <c r="KUR360" s="598"/>
      <c r="KUS360" s="598"/>
      <c r="KUT360" s="598"/>
      <c r="KUU360" s="598"/>
      <c r="KUV360" s="598"/>
      <c r="KUW360" s="598"/>
      <c r="KUX360" s="598"/>
      <c r="KUY360" s="598"/>
      <c r="KUZ360" s="598"/>
      <c r="KVA360" s="598"/>
      <c r="KVB360" s="598"/>
      <c r="KVC360" s="598"/>
      <c r="KVD360" s="598"/>
      <c r="KVE360" s="598"/>
      <c r="KVF360" s="598"/>
      <c r="KVG360" s="598"/>
      <c r="KVH360" s="598"/>
      <c r="KVI360" s="598"/>
      <c r="KVJ360" s="598"/>
      <c r="KVK360" s="598"/>
      <c r="KVL360" s="598"/>
      <c r="KVM360" s="598"/>
      <c r="KVN360" s="598"/>
      <c r="KVO360" s="598"/>
      <c r="KVP360" s="598"/>
      <c r="KVQ360" s="598"/>
      <c r="KVR360" s="598"/>
      <c r="KVS360" s="598"/>
      <c r="KVT360" s="598"/>
      <c r="KVU360" s="598"/>
      <c r="KVV360" s="598"/>
      <c r="KVW360" s="598"/>
      <c r="KVX360" s="598"/>
      <c r="KVY360" s="598"/>
      <c r="KVZ360" s="598"/>
      <c r="KWA360" s="598"/>
      <c r="KWB360" s="598"/>
      <c r="KWC360" s="598"/>
      <c r="KWD360" s="598"/>
      <c r="KWE360" s="598"/>
      <c r="KWF360" s="598"/>
      <c r="KWG360" s="598"/>
      <c r="KWH360" s="598"/>
      <c r="KWI360" s="598"/>
      <c r="KWJ360" s="598"/>
      <c r="KWK360" s="598"/>
      <c r="KWL360" s="598"/>
      <c r="KWM360" s="598"/>
      <c r="KWN360" s="598"/>
      <c r="KWO360" s="598"/>
      <c r="KWP360" s="598"/>
      <c r="KWQ360" s="598"/>
      <c r="KWR360" s="598"/>
      <c r="KWS360" s="598"/>
      <c r="KWT360" s="598"/>
      <c r="KWU360" s="598"/>
      <c r="KWV360" s="598"/>
      <c r="KWW360" s="598"/>
      <c r="KWX360" s="598"/>
      <c r="KWY360" s="598"/>
      <c r="KWZ360" s="598"/>
      <c r="KXA360" s="598"/>
      <c r="KXB360" s="598"/>
      <c r="KXC360" s="598"/>
      <c r="KXD360" s="598"/>
      <c r="KXE360" s="598"/>
      <c r="KXF360" s="598"/>
      <c r="KXG360" s="598"/>
      <c r="KXH360" s="598"/>
      <c r="KXI360" s="598"/>
      <c r="KXJ360" s="598"/>
      <c r="KXK360" s="598"/>
      <c r="KXL360" s="598"/>
      <c r="KXM360" s="598"/>
      <c r="KXN360" s="598"/>
      <c r="KXO360" s="598"/>
      <c r="KXP360" s="598"/>
      <c r="KXQ360" s="598"/>
      <c r="KXR360" s="598"/>
      <c r="KXS360" s="598"/>
      <c r="KXT360" s="598"/>
      <c r="KXU360" s="598"/>
      <c r="KXV360" s="598"/>
      <c r="KXW360" s="598"/>
      <c r="KXX360" s="598"/>
      <c r="KXY360" s="598"/>
      <c r="KXZ360" s="598"/>
      <c r="KYA360" s="598"/>
      <c r="KYB360" s="598"/>
      <c r="KYC360" s="598"/>
      <c r="KYD360" s="598"/>
      <c r="KYE360" s="598"/>
      <c r="KYF360" s="598"/>
      <c r="KYG360" s="598"/>
      <c r="KYH360" s="598"/>
      <c r="KYI360" s="598"/>
      <c r="KYJ360" s="598"/>
      <c r="KYK360" s="598"/>
      <c r="KYL360" s="598"/>
      <c r="KYM360" s="598"/>
      <c r="KYN360" s="598"/>
      <c r="KYO360" s="598"/>
      <c r="KYP360" s="598"/>
      <c r="KYQ360" s="598"/>
      <c r="KYR360" s="598"/>
      <c r="KYS360" s="598"/>
      <c r="KYT360" s="598"/>
      <c r="KYU360" s="598"/>
      <c r="KYV360" s="598"/>
      <c r="KYW360" s="598"/>
      <c r="KYX360" s="598"/>
      <c r="KYY360" s="598"/>
      <c r="KYZ360" s="598"/>
      <c r="KZA360" s="598"/>
      <c r="KZB360" s="598"/>
      <c r="KZC360" s="598"/>
      <c r="KZD360" s="598"/>
      <c r="KZE360" s="598"/>
      <c r="KZF360" s="598"/>
      <c r="KZG360" s="598"/>
      <c r="KZH360" s="598"/>
      <c r="KZI360" s="598"/>
      <c r="KZJ360" s="598"/>
      <c r="KZK360" s="598"/>
      <c r="KZL360" s="598"/>
      <c r="KZM360" s="598"/>
      <c r="KZN360" s="598"/>
      <c r="KZO360" s="598"/>
      <c r="KZP360" s="598"/>
      <c r="KZQ360" s="598"/>
      <c r="KZR360" s="598"/>
      <c r="KZS360" s="598"/>
      <c r="KZT360" s="598"/>
      <c r="KZU360" s="598"/>
      <c r="KZV360" s="598"/>
      <c r="KZW360" s="598"/>
      <c r="KZX360" s="598"/>
      <c r="KZY360" s="598"/>
      <c r="KZZ360" s="598"/>
      <c r="LAA360" s="598"/>
      <c r="LAB360" s="598"/>
      <c r="LAC360" s="598"/>
      <c r="LAD360" s="598"/>
      <c r="LAE360" s="598"/>
      <c r="LAF360" s="598"/>
      <c r="LAG360" s="598"/>
      <c r="LAH360" s="598"/>
      <c r="LAI360" s="598"/>
      <c r="LAJ360" s="598"/>
      <c r="LAK360" s="598"/>
      <c r="LAL360" s="598"/>
      <c r="LAM360" s="598"/>
      <c r="LAN360" s="598"/>
      <c r="LAO360" s="598"/>
      <c r="LAP360" s="598"/>
      <c r="LAQ360" s="598"/>
      <c r="LAR360" s="598"/>
      <c r="LAS360" s="598"/>
      <c r="LAT360" s="598"/>
      <c r="LAU360" s="598"/>
      <c r="LAV360" s="598"/>
      <c r="LAW360" s="598"/>
      <c r="LAX360" s="598"/>
      <c r="LAY360" s="598"/>
      <c r="LAZ360" s="598"/>
      <c r="LBA360" s="598"/>
      <c r="LBB360" s="598"/>
      <c r="LBC360" s="598"/>
      <c r="LBD360" s="598"/>
      <c r="LBE360" s="598"/>
      <c r="LBF360" s="598"/>
      <c r="LBG360" s="598"/>
      <c r="LBH360" s="598"/>
      <c r="LBI360" s="598"/>
      <c r="LBJ360" s="598"/>
      <c r="LBK360" s="598"/>
      <c r="LBL360" s="598"/>
      <c r="LBM360" s="598"/>
      <c r="LBN360" s="598"/>
      <c r="LBO360" s="598"/>
      <c r="LBP360" s="598"/>
      <c r="LBQ360" s="598"/>
      <c r="LBR360" s="598"/>
      <c r="LBS360" s="598"/>
      <c r="LBT360" s="598"/>
      <c r="LBU360" s="598"/>
      <c r="LBV360" s="598"/>
      <c r="LBW360" s="598"/>
      <c r="LBX360" s="598"/>
      <c r="LBY360" s="598"/>
      <c r="LBZ360" s="598"/>
      <c r="LCA360" s="598"/>
      <c r="LCB360" s="598"/>
      <c r="LCC360" s="598"/>
      <c r="LCD360" s="598"/>
      <c r="LCE360" s="598"/>
      <c r="LCF360" s="598"/>
      <c r="LCG360" s="598"/>
      <c r="LCH360" s="598"/>
      <c r="LCI360" s="598"/>
      <c r="LCJ360" s="598"/>
      <c r="LCK360" s="598"/>
      <c r="LCL360" s="598"/>
      <c r="LCM360" s="598"/>
      <c r="LCN360" s="598"/>
      <c r="LCO360" s="598"/>
      <c r="LCP360" s="598"/>
      <c r="LCQ360" s="598"/>
      <c r="LCR360" s="598"/>
      <c r="LCS360" s="598"/>
      <c r="LCT360" s="598"/>
      <c r="LCU360" s="598"/>
      <c r="LCV360" s="598"/>
      <c r="LCW360" s="598"/>
      <c r="LCX360" s="598"/>
      <c r="LCY360" s="598"/>
      <c r="LCZ360" s="598"/>
      <c r="LDA360" s="598"/>
      <c r="LDB360" s="598"/>
      <c r="LDC360" s="598"/>
      <c r="LDD360" s="598"/>
      <c r="LDE360" s="598"/>
      <c r="LDF360" s="598"/>
      <c r="LDG360" s="598"/>
      <c r="LDH360" s="598"/>
      <c r="LDI360" s="598"/>
      <c r="LDJ360" s="598"/>
      <c r="LDK360" s="598"/>
      <c r="LDL360" s="598"/>
      <c r="LDM360" s="598"/>
      <c r="LDN360" s="598"/>
      <c r="LDO360" s="598"/>
      <c r="LDP360" s="598"/>
      <c r="LDQ360" s="598"/>
      <c r="LDR360" s="598"/>
      <c r="LDS360" s="598"/>
      <c r="LDT360" s="598"/>
      <c r="LDU360" s="598"/>
      <c r="LDV360" s="598"/>
      <c r="LDW360" s="598"/>
      <c r="LDX360" s="598"/>
      <c r="LDY360" s="598"/>
      <c r="LDZ360" s="598"/>
      <c r="LEA360" s="598"/>
      <c r="LEB360" s="598"/>
      <c r="LEC360" s="598"/>
      <c r="LED360" s="598"/>
      <c r="LEE360" s="598"/>
      <c r="LEF360" s="598"/>
      <c r="LEG360" s="598"/>
      <c r="LEH360" s="598"/>
      <c r="LEI360" s="598"/>
      <c r="LEJ360" s="598"/>
      <c r="LEK360" s="598"/>
      <c r="LEL360" s="598"/>
      <c r="LEM360" s="598"/>
      <c r="LEN360" s="598"/>
      <c r="LEO360" s="598"/>
      <c r="LEP360" s="598"/>
      <c r="LEQ360" s="598"/>
      <c r="LER360" s="598"/>
      <c r="LES360" s="598"/>
      <c r="LET360" s="598"/>
      <c r="LEU360" s="598"/>
      <c r="LEV360" s="598"/>
      <c r="LEW360" s="598"/>
      <c r="LEX360" s="598"/>
      <c r="LEY360" s="598"/>
      <c r="LEZ360" s="598"/>
      <c r="LFA360" s="598"/>
      <c r="LFB360" s="598"/>
      <c r="LFC360" s="598"/>
      <c r="LFD360" s="598"/>
      <c r="LFE360" s="598"/>
      <c r="LFF360" s="598"/>
      <c r="LFG360" s="598"/>
      <c r="LFH360" s="598"/>
      <c r="LFI360" s="598"/>
      <c r="LFJ360" s="598"/>
      <c r="LFK360" s="598"/>
      <c r="LFL360" s="598"/>
      <c r="LFM360" s="598"/>
      <c r="LFN360" s="598"/>
      <c r="LFO360" s="598"/>
      <c r="LFP360" s="598"/>
      <c r="LFQ360" s="598"/>
      <c r="LFR360" s="598"/>
      <c r="LFS360" s="598"/>
      <c r="LFT360" s="598"/>
      <c r="LFU360" s="598"/>
      <c r="LFV360" s="598"/>
      <c r="LFW360" s="598"/>
      <c r="LFX360" s="598"/>
      <c r="LFY360" s="598"/>
      <c r="LFZ360" s="598"/>
      <c r="LGA360" s="598"/>
      <c r="LGB360" s="598"/>
      <c r="LGC360" s="598"/>
      <c r="LGD360" s="598"/>
      <c r="LGE360" s="598"/>
      <c r="LGF360" s="598"/>
      <c r="LGG360" s="598"/>
      <c r="LGH360" s="598"/>
      <c r="LGI360" s="598"/>
      <c r="LGJ360" s="598"/>
      <c r="LGK360" s="598"/>
      <c r="LGL360" s="598"/>
      <c r="LGM360" s="598"/>
      <c r="LGN360" s="598"/>
      <c r="LGO360" s="598"/>
      <c r="LGP360" s="598"/>
      <c r="LGQ360" s="598"/>
      <c r="LGR360" s="598"/>
      <c r="LGS360" s="598"/>
      <c r="LGT360" s="598"/>
      <c r="LGU360" s="598"/>
      <c r="LGV360" s="598"/>
      <c r="LGW360" s="598"/>
      <c r="LGX360" s="598"/>
      <c r="LGY360" s="598"/>
      <c r="LGZ360" s="598"/>
      <c r="LHA360" s="598"/>
      <c r="LHB360" s="598"/>
      <c r="LHC360" s="598"/>
      <c r="LHD360" s="598"/>
      <c r="LHE360" s="598"/>
      <c r="LHF360" s="598"/>
      <c r="LHG360" s="598"/>
      <c r="LHH360" s="598"/>
      <c r="LHI360" s="598"/>
      <c r="LHJ360" s="598"/>
      <c r="LHK360" s="598"/>
      <c r="LHL360" s="598"/>
      <c r="LHM360" s="598"/>
      <c r="LHN360" s="598"/>
      <c r="LHO360" s="598"/>
      <c r="LHP360" s="598"/>
      <c r="LHQ360" s="598"/>
      <c r="LHR360" s="598"/>
      <c r="LHS360" s="598"/>
      <c r="LHT360" s="598"/>
      <c r="LHU360" s="598"/>
      <c r="LHV360" s="598"/>
      <c r="LHW360" s="598"/>
      <c r="LHX360" s="598"/>
      <c r="LHY360" s="598"/>
      <c r="LHZ360" s="598"/>
      <c r="LIA360" s="598"/>
      <c r="LIB360" s="598"/>
      <c r="LIC360" s="598"/>
      <c r="LID360" s="598"/>
      <c r="LIE360" s="598"/>
      <c r="LIF360" s="598"/>
      <c r="LIG360" s="598"/>
      <c r="LIH360" s="598"/>
      <c r="LII360" s="598"/>
      <c r="LIJ360" s="598"/>
      <c r="LIK360" s="598"/>
      <c r="LIL360" s="598"/>
      <c r="LIM360" s="598"/>
      <c r="LIN360" s="598"/>
      <c r="LIO360" s="598"/>
      <c r="LIP360" s="598"/>
      <c r="LIQ360" s="598"/>
      <c r="LIR360" s="598"/>
      <c r="LIS360" s="598"/>
      <c r="LIT360" s="598"/>
      <c r="LIU360" s="598"/>
      <c r="LIV360" s="598"/>
      <c r="LIW360" s="598"/>
      <c r="LIX360" s="598"/>
      <c r="LIY360" s="598"/>
      <c r="LIZ360" s="598"/>
      <c r="LJA360" s="598"/>
      <c r="LJB360" s="598"/>
      <c r="LJC360" s="598"/>
      <c r="LJD360" s="598"/>
      <c r="LJE360" s="598"/>
      <c r="LJF360" s="598"/>
      <c r="LJG360" s="598"/>
      <c r="LJH360" s="598"/>
      <c r="LJI360" s="598"/>
      <c r="LJJ360" s="598"/>
      <c r="LJK360" s="598"/>
      <c r="LJL360" s="598"/>
      <c r="LJM360" s="598"/>
      <c r="LJN360" s="598"/>
      <c r="LJO360" s="598"/>
      <c r="LJP360" s="598"/>
      <c r="LJQ360" s="598"/>
      <c r="LJR360" s="598"/>
      <c r="LJS360" s="598"/>
      <c r="LJT360" s="598"/>
      <c r="LJU360" s="598"/>
      <c r="LJV360" s="598"/>
      <c r="LJW360" s="598"/>
      <c r="LJX360" s="598"/>
      <c r="LJY360" s="598"/>
      <c r="LJZ360" s="598"/>
      <c r="LKA360" s="598"/>
      <c r="LKB360" s="598"/>
      <c r="LKC360" s="598"/>
      <c r="LKD360" s="598"/>
      <c r="LKE360" s="598"/>
      <c r="LKF360" s="598"/>
      <c r="LKG360" s="598"/>
      <c r="LKH360" s="598"/>
      <c r="LKI360" s="598"/>
      <c r="LKJ360" s="598"/>
      <c r="LKK360" s="598"/>
      <c r="LKL360" s="598"/>
      <c r="LKM360" s="598"/>
      <c r="LKN360" s="598"/>
      <c r="LKO360" s="598"/>
      <c r="LKP360" s="598"/>
      <c r="LKQ360" s="598"/>
      <c r="LKR360" s="598"/>
      <c r="LKS360" s="598"/>
      <c r="LKT360" s="598"/>
      <c r="LKU360" s="598"/>
      <c r="LKV360" s="598"/>
      <c r="LKW360" s="598"/>
      <c r="LKX360" s="598"/>
      <c r="LKY360" s="598"/>
      <c r="LKZ360" s="598"/>
      <c r="LLA360" s="598"/>
      <c r="LLB360" s="598"/>
      <c r="LLC360" s="598"/>
      <c r="LLD360" s="598"/>
      <c r="LLE360" s="598"/>
      <c r="LLF360" s="598"/>
      <c r="LLG360" s="598"/>
      <c r="LLH360" s="598"/>
      <c r="LLI360" s="598"/>
      <c r="LLJ360" s="598"/>
      <c r="LLK360" s="598"/>
      <c r="LLL360" s="598"/>
      <c r="LLM360" s="598"/>
      <c r="LLN360" s="598"/>
      <c r="LLO360" s="598"/>
      <c r="LLP360" s="598"/>
      <c r="LLQ360" s="598"/>
      <c r="LLR360" s="598"/>
      <c r="LLS360" s="598"/>
      <c r="LLT360" s="598"/>
      <c r="LLU360" s="598"/>
      <c r="LLV360" s="598"/>
      <c r="LLW360" s="598"/>
      <c r="LLX360" s="598"/>
      <c r="LLY360" s="598"/>
      <c r="LLZ360" s="598"/>
      <c r="LMA360" s="598"/>
      <c r="LMB360" s="598"/>
      <c r="LMC360" s="598"/>
      <c r="LMD360" s="598"/>
      <c r="LME360" s="598"/>
      <c r="LMF360" s="598"/>
      <c r="LMG360" s="598"/>
      <c r="LMH360" s="598"/>
      <c r="LMI360" s="598"/>
      <c r="LMJ360" s="598"/>
      <c r="LMK360" s="598"/>
      <c r="LML360" s="598"/>
      <c r="LMM360" s="598"/>
      <c r="LMN360" s="598"/>
      <c r="LMO360" s="598"/>
      <c r="LMP360" s="598"/>
      <c r="LMQ360" s="598"/>
      <c r="LMR360" s="598"/>
      <c r="LMS360" s="598"/>
      <c r="LMT360" s="598"/>
      <c r="LMU360" s="598"/>
      <c r="LMV360" s="598"/>
      <c r="LMW360" s="598"/>
      <c r="LMX360" s="598"/>
      <c r="LMY360" s="598"/>
      <c r="LMZ360" s="598"/>
      <c r="LNA360" s="598"/>
      <c r="LNB360" s="598"/>
      <c r="LNC360" s="598"/>
      <c r="LND360" s="598"/>
      <c r="LNE360" s="598"/>
      <c r="LNF360" s="598"/>
      <c r="LNG360" s="598"/>
      <c r="LNH360" s="598"/>
      <c r="LNI360" s="598"/>
      <c r="LNJ360" s="598"/>
      <c r="LNK360" s="598"/>
      <c r="LNL360" s="598"/>
      <c r="LNM360" s="598"/>
      <c r="LNN360" s="598"/>
      <c r="LNO360" s="598"/>
      <c r="LNP360" s="598"/>
      <c r="LNQ360" s="598"/>
      <c r="LNR360" s="598"/>
      <c r="LNS360" s="598"/>
      <c r="LNT360" s="598"/>
      <c r="LNU360" s="598"/>
      <c r="LNV360" s="598"/>
      <c r="LNW360" s="598"/>
      <c r="LNX360" s="598"/>
      <c r="LNY360" s="598"/>
      <c r="LNZ360" s="598"/>
      <c r="LOA360" s="598"/>
      <c r="LOB360" s="598"/>
      <c r="LOC360" s="598"/>
      <c r="LOD360" s="598"/>
      <c r="LOE360" s="598"/>
      <c r="LOF360" s="598"/>
      <c r="LOG360" s="598"/>
      <c r="LOH360" s="598"/>
      <c r="LOI360" s="598"/>
      <c r="LOJ360" s="598"/>
      <c r="LOK360" s="598"/>
      <c r="LOL360" s="598"/>
      <c r="LOM360" s="598"/>
      <c r="LON360" s="598"/>
      <c r="LOO360" s="598"/>
      <c r="LOP360" s="598"/>
      <c r="LOQ360" s="598"/>
      <c r="LOR360" s="598"/>
      <c r="LOS360" s="598"/>
      <c r="LOT360" s="598"/>
      <c r="LOU360" s="598"/>
      <c r="LOV360" s="598"/>
      <c r="LOW360" s="598"/>
      <c r="LOX360" s="598"/>
      <c r="LOY360" s="598"/>
      <c r="LOZ360" s="598"/>
      <c r="LPA360" s="598"/>
      <c r="LPB360" s="598"/>
      <c r="LPC360" s="598"/>
      <c r="LPD360" s="598"/>
      <c r="LPE360" s="598"/>
      <c r="LPF360" s="598"/>
      <c r="LPG360" s="598"/>
      <c r="LPH360" s="598"/>
      <c r="LPI360" s="598"/>
      <c r="LPJ360" s="598"/>
      <c r="LPK360" s="598"/>
      <c r="LPL360" s="598"/>
      <c r="LPM360" s="598"/>
      <c r="LPN360" s="598"/>
      <c r="LPO360" s="598"/>
      <c r="LPP360" s="598"/>
      <c r="LPQ360" s="598"/>
      <c r="LPR360" s="598"/>
      <c r="LPS360" s="598"/>
      <c r="LPT360" s="598"/>
      <c r="LPU360" s="598"/>
      <c r="LPV360" s="598"/>
      <c r="LPW360" s="598"/>
      <c r="LPX360" s="598"/>
      <c r="LPY360" s="598"/>
      <c r="LPZ360" s="598"/>
      <c r="LQA360" s="598"/>
      <c r="LQB360" s="598"/>
      <c r="LQC360" s="598"/>
      <c r="LQD360" s="598"/>
      <c r="LQE360" s="598"/>
      <c r="LQF360" s="598"/>
      <c r="LQG360" s="598"/>
      <c r="LQH360" s="598"/>
      <c r="LQI360" s="598"/>
      <c r="LQJ360" s="598"/>
      <c r="LQK360" s="598"/>
      <c r="LQL360" s="598"/>
      <c r="LQM360" s="598"/>
      <c r="LQN360" s="598"/>
      <c r="LQO360" s="598"/>
      <c r="LQP360" s="598"/>
      <c r="LQQ360" s="598"/>
      <c r="LQR360" s="598"/>
      <c r="LQS360" s="598"/>
      <c r="LQT360" s="598"/>
      <c r="LQU360" s="598"/>
      <c r="LQV360" s="598"/>
      <c r="LQW360" s="598"/>
      <c r="LQX360" s="598"/>
      <c r="LQY360" s="598"/>
      <c r="LQZ360" s="598"/>
      <c r="LRA360" s="598"/>
      <c r="LRB360" s="598"/>
      <c r="LRC360" s="598"/>
      <c r="LRD360" s="598"/>
      <c r="LRE360" s="598"/>
      <c r="LRF360" s="598"/>
      <c r="LRG360" s="598"/>
      <c r="LRH360" s="598"/>
      <c r="LRI360" s="598"/>
      <c r="LRJ360" s="598"/>
      <c r="LRK360" s="598"/>
      <c r="LRL360" s="598"/>
      <c r="LRM360" s="598"/>
      <c r="LRN360" s="598"/>
      <c r="LRO360" s="598"/>
      <c r="LRP360" s="598"/>
      <c r="LRQ360" s="598"/>
      <c r="LRR360" s="598"/>
      <c r="LRS360" s="598"/>
      <c r="LRT360" s="598"/>
      <c r="LRU360" s="598"/>
      <c r="LRV360" s="598"/>
      <c r="LRW360" s="598"/>
      <c r="LRX360" s="598"/>
      <c r="LRY360" s="598"/>
      <c r="LRZ360" s="598"/>
      <c r="LSA360" s="598"/>
      <c r="LSB360" s="598"/>
      <c r="LSC360" s="598"/>
      <c r="LSD360" s="598"/>
      <c r="LSE360" s="598"/>
      <c r="LSF360" s="598"/>
      <c r="LSG360" s="598"/>
      <c r="LSH360" s="598"/>
      <c r="LSI360" s="598"/>
      <c r="LSJ360" s="598"/>
      <c r="LSK360" s="598"/>
      <c r="LSL360" s="598"/>
      <c r="LSM360" s="598"/>
      <c r="LSN360" s="598"/>
      <c r="LSO360" s="598"/>
      <c r="LSP360" s="598"/>
      <c r="LSQ360" s="598"/>
      <c r="LSR360" s="598"/>
      <c r="LSS360" s="598"/>
      <c r="LST360" s="598"/>
      <c r="LSU360" s="598"/>
      <c r="LSV360" s="598"/>
      <c r="LSW360" s="598"/>
      <c r="LSX360" s="598"/>
      <c r="LSY360" s="598"/>
      <c r="LSZ360" s="598"/>
      <c r="LTA360" s="598"/>
      <c r="LTB360" s="598"/>
      <c r="LTC360" s="598"/>
      <c r="LTD360" s="598"/>
      <c r="LTE360" s="598"/>
      <c r="LTF360" s="598"/>
      <c r="LTG360" s="598"/>
      <c r="LTH360" s="598"/>
      <c r="LTI360" s="598"/>
      <c r="LTJ360" s="598"/>
      <c r="LTK360" s="598"/>
      <c r="LTL360" s="598"/>
      <c r="LTM360" s="598"/>
      <c r="LTN360" s="598"/>
      <c r="LTO360" s="598"/>
      <c r="LTP360" s="598"/>
      <c r="LTQ360" s="598"/>
      <c r="LTR360" s="598"/>
      <c r="LTS360" s="598"/>
      <c r="LTT360" s="598"/>
      <c r="LTU360" s="598"/>
      <c r="LTV360" s="598"/>
      <c r="LTW360" s="598"/>
      <c r="LTX360" s="598"/>
      <c r="LTY360" s="598"/>
      <c r="LTZ360" s="598"/>
      <c r="LUA360" s="598"/>
      <c r="LUB360" s="598"/>
      <c r="LUC360" s="598"/>
      <c r="LUD360" s="598"/>
      <c r="LUE360" s="598"/>
      <c r="LUF360" s="598"/>
      <c r="LUG360" s="598"/>
      <c r="LUH360" s="598"/>
      <c r="LUI360" s="598"/>
      <c r="LUJ360" s="598"/>
      <c r="LUK360" s="598"/>
      <c r="LUL360" s="598"/>
      <c r="LUM360" s="598"/>
      <c r="LUN360" s="598"/>
      <c r="LUO360" s="598"/>
      <c r="LUP360" s="598"/>
      <c r="LUQ360" s="598"/>
      <c r="LUR360" s="598"/>
      <c r="LUS360" s="598"/>
      <c r="LUT360" s="598"/>
      <c r="LUU360" s="598"/>
      <c r="LUV360" s="598"/>
      <c r="LUW360" s="598"/>
      <c r="LUX360" s="598"/>
      <c r="LUY360" s="598"/>
      <c r="LUZ360" s="598"/>
      <c r="LVA360" s="598"/>
      <c r="LVB360" s="598"/>
      <c r="LVC360" s="598"/>
      <c r="LVD360" s="598"/>
      <c r="LVE360" s="598"/>
      <c r="LVF360" s="598"/>
      <c r="LVG360" s="598"/>
      <c r="LVH360" s="598"/>
      <c r="LVI360" s="598"/>
      <c r="LVJ360" s="598"/>
      <c r="LVK360" s="598"/>
      <c r="LVL360" s="598"/>
      <c r="LVM360" s="598"/>
      <c r="LVN360" s="598"/>
      <c r="LVO360" s="598"/>
      <c r="LVP360" s="598"/>
      <c r="LVQ360" s="598"/>
      <c r="LVR360" s="598"/>
      <c r="LVS360" s="598"/>
      <c r="LVT360" s="598"/>
      <c r="LVU360" s="598"/>
      <c r="LVV360" s="598"/>
      <c r="LVW360" s="598"/>
      <c r="LVX360" s="598"/>
      <c r="LVY360" s="598"/>
      <c r="LVZ360" s="598"/>
      <c r="LWA360" s="598"/>
      <c r="LWB360" s="598"/>
      <c r="LWC360" s="598"/>
      <c r="LWD360" s="598"/>
      <c r="LWE360" s="598"/>
      <c r="LWF360" s="598"/>
      <c r="LWG360" s="598"/>
      <c r="LWH360" s="598"/>
      <c r="LWI360" s="598"/>
      <c r="LWJ360" s="598"/>
      <c r="LWK360" s="598"/>
      <c r="LWL360" s="598"/>
      <c r="LWM360" s="598"/>
      <c r="LWN360" s="598"/>
      <c r="LWO360" s="598"/>
      <c r="LWP360" s="598"/>
      <c r="LWQ360" s="598"/>
      <c r="LWR360" s="598"/>
      <c r="LWS360" s="598"/>
      <c r="LWT360" s="598"/>
      <c r="LWU360" s="598"/>
      <c r="LWV360" s="598"/>
      <c r="LWW360" s="598"/>
      <c r="LWX360" s="598"/>
      <c r="LWY360" s="598"/>
      <c r="LWZ360" s="598"/>
      <c r="LXA360" s="598"/>
      <c r="LXB360" s="598"/>
      <c r="LXC360" s="598"/>
      <c r="LXD360" s="598"/>
      <c r="LXE360" s="598"/>
      <c r="LXF360" s="598"/>
      <c r="LXG360" s="598"/>
      <c r="LXH360" s="598"/>
      <c r="LXI360" s="598"/>
      <c r="LXJ360" s="598"/>
      <c r="LXK360" s="598"/>
      <c r="LXL360" s="598"/>
      <c r="LXM360" s="598"/>
      <c r="LXN360" s="598"/>
      <c r="LXO360" s="598"/>
      <c r="LXP360" s="598"/>
      <c r="LXQ360" s="598"/>
      <c r="LXR360" s="598"/>
      <c r="LXS360" s="598"/>
      <c r="LXT360" s="598"/>
      <c r="LXU360" s="598"/>
      <c r="LXV360" s="598"/>
      <c r="LXW360" s="598"/>
      <c r="LXX360" s="598"/>
      <c r="LXY360" s="598"/>
      <c r="LXZ360" s="598"/>
      <c r="LYA360" s="598"/>
      <c r="LYB360" s="598"/>
      <c r="LYC360" s="598"/>
      <c r="LYD360" s="598"/>
      <c r="LYE360" s="598"/>
      <c r="LYF360" s="598"/>
      <c r="LYG360" s="598"/>
      <c r="LYH360" s="598"/>
      <c r="LYI360" s="598"/>
      <c r="LYJ360" s="598"/>
      <c r="LYK360" s="598"/>
      <c r="LYL360" s="598"/>
      <c r="LYM360" s="598"/>
      <c r="LYN360" s="598"/>
      <c r="LYO360" s="598"/>
      <c r="LYP360" s="598"/>
      <c r="LYQ360" s="598"/>
      <c r="LYR360" s="598"/>
      <c r="LYS360" s="598"/>
      <c r="LYT360" s="598"/>
      <c r="LYU360" s="598"/>
      <c r="LYV360" s="598"/>
      <c r="LYW360" s="598"/>
      <c r="LYX360" s="598"/>
      <c r="LYY360" s="598"/>
      <c r="LYZ360" s="598"/>
      <c r="LZA360" s="598"/>
      <c r="LZB360" s="598"/>
      <c r="LZC360" s="598"/>
      <c r="LZD360" s="598"/>
      <c r="LZE360" s="598"/>
      <c r="LZF360" s="598"/>
      <c r="LZG360" s="598"/>
      <c r="LZH360" s="598"/>
      <c r="LZI360" s="598"/>
      <c r="LZJ360" s="598"/>
      <c r="LZK360" s="598"/>
      <c r="LZL360" s="598"/>
      <c r="LZM360" s="598"/>
      <c r="LZN360" s="598"/>
      <c r="LZO360" s="598"/>
      <c r="LZP360" s="598"/>
      <c r="LZQ360" s="598"/>
      <c r="LZR360" s="598"/>
      <c r="LZS360" s="598"/>
      <c r="LZT360" s="598"/>
      <c r="LZU360" s="598"/>
      <c r="LZV360" s="598"/>
      <c r="LZW360" s="598"/>
      <c r="LZX360" s="598"/>
      <c r="LZY360" s="598"/>
      <c r="LZZ360" s="598"/>
      <c r="MAA360" s="598"/>
      <c r="MAB360" s="598"/>
      <c r="MAC360" s="598"/>
      <c r="MAD360" s="598"/>
      <c r="MAE360" s="598"/>
      <c r="MAF360" s="598"/>
      <c r="MAG360" s="598"/>
      <c r="MAH360" s="598"/>
      <c r="MAI360" s="598"/>
      <c r="MAJ360" s="598"/>
      <c r="MAK360" s="598"/>
      <c r="MAL360" s="598"/>
      <c r="MAM360" s="598"/>
      <c r="MAN360" s="598"/>
      <c r="MAO360" s="598"/>
      <c r="MAP360" s="598"/>
      <c r="MAQ360" s="598"/>
      <c r="MAR360" s="598"/>
      <c r="MAS360" s="598"/>
      <c r="MAT360" s="598"/>
      <c r="MAU360" s="598"/>
      <c r="MAV360" s="598"/>
      <c r="MAW360" s="598"/>
      <c r="MAX360" s="598"/>
      <c r="MAY360" s="598"/>
      <c r="MAZ360" s="598"/>
      <c r="MBA360" s="598"/>
      <c r="MBB360" s="598"/>
      <c r="MBC360" s="598"/>
      <c r="MBD360" s="598"/>
      <c r="MBE360" s="598"/>
      <c r="MBF360" s="598"/>
      <c r="MBG360" s="598"/>
      <c r="MBH360" s="598"/>
      <c r="MBI360" s="598"/>
      <c r="MBJ360" s="598"/>
      <c r="MBK360" s="598"/>
      <c r="MBL360" s="598"/>
      <c r="MBM360" s="598"/>
      <c r="MBN360" s="598"/>
      <c r="MBO360" s="598"/>
      <c r="MBP360" s="598"/>
      <c r="MBQ360" s="598"/>
      <c r="MBR360" s="598"/>
      <c r="MBS360" s="598"/>
      <c r="MBT360" s="598"/>
      <c r="MBU360" s="598"/>
      <c r="MBV360" s="598"/>
      <c r="MBW360" s="598"/>
      <c r="MBX360" s="598"/>
      <c r="MBY360" s="598"/>
      <c r="MBZ360" s="598"/>
      <c r="MCA360" s="598"/>
      <c r="MCB360" s="598"/>
      <c r="MCC360" s="598"/>
      <c r="MCD360" s="598"/>
      <c r="MCE360" s="598"/>
      <c r="MCF360" s="598"/>
      <c r="MCG360" s="598"/>
      <c r="MCH360" s="598"/>
      <c r="MCI360" s="598"/>
      <c r="MCJ360" s="598"/>
      <c r="MCK360" s="598"/>
      <c r="MCL360" s="598"/>
      <c r="MCM360" s="598"/>
      <c r="MCN360" s="598"/>
      <c r="MCO360" s="598"/>
      <c r="MCP360" s="598"/>
      <c r="MCQ360" s="598"/>
      <c r="MCR360" s="598"/>
      <c r="MCS360" s="598"/>
      <c r="MCT360" s="598"/>
      <c r="MCU360" s="598"/>
      <c r="MCV360" s="598"/>
      <c r="MCW360" s="598"/>
      <c r="MCX360" s="598"/>
      <c r="MCY360" s="598"/>
      <c r="MCZ360" s="598"/>
      <c r="MDA360" s="598"/>
      <c r="MDB360" s="598"/>
      <c r="MDC360" s="598"/>
      <c r="MDD360" s="598"/>
      <c r="MDE360" s="598"/>
      <c r="MDF360" s="598"/>
      <c r="MDG360" s="598"/>
      <c r="MDH360" s="598"/>
      <c r="MDI360" s="598"/>
      <c r="MDJ360" s="598"/>
      <c r="MDK360" s="598"/>
      <c r="MDL360" s="598"/>
      <c r="MDM360" s="598"/>
      <c r="MDN360" s="598"/>
      <c r="MDO360" s="598"/>
      <c r="MDP360" s="598"/>
      <c r="MDQ360" s="598"/>
      <c r="MDR360" s="598"/>
      <c r="MDS360" s="598"/>
      <c r="MDT360" s="598"/>
      <c r="MDU360" s="598"/>
      <c r="MDV360" s="598"/>
      <c r="MDW360" s="598"/>
      <c r="MDX360" s="598"/>
      <c r="MDY360" s="598"/>
      <c r="MDZ360" s="598"/>
      <c r="MEA360" s="598"/>
      <c r="MEB360" s="598"/>
      <c r="MEC360" s="598"/>
      <c r="MED360" s="598"/>
      <c r="MEE360" s="598"/>
      <c r="MEF360" s="598"/>
      <c r="MEG360" s="598"/>
      <c r="MEH360" s="598"/>
      <c r="MEI360" s="598"/>
      <c r="MEJ360" s="598"/>
      <c r="MEK360" s="598"/>
      <c r="MEL360" s="598"/>
      <c r="MEM360" s="598"/>
      <c r="MEN360" s="598"/>
      <c r="MEO360" s="598"/>
      <c r="MEP360" s="598"/>
      <c r="MEQ360" s="598"/>
      <c r="MER360" s="598"/>
      <c r="MES360" s="598"/>
      <c r="MET360" s="598"/>
      <c r="MEU360" s="598"/>
      <c r="MEV360" s="598"/>
      <c r="MEW360" s="598"/>
      <c r="MEX360" s="598"/>
      <c r="MEY360" s="598"/>
      <c r="MEZ360" s="598"/>
      <c r="MFA360" s="598"/>
      <c r="MFB360" s="598"/>
      <c r="MFC360" s="598"/>
      <c r="MFD360" s="598"/>
      <c r="MFE360" s="598"/>
      <c r="MFF360" s="598"/>
      <c r="MFG360" s="598"/>
      <c r="MFH360" s="598"/>
      <c r="MFI360" s="598"/>
      <c r="MFJ360" s="598"/>
      <c r="MFK360" s="598"/>
      <c r="MFL360" s="598"/>
      <c r="MFM360" s="598"/>
      <c r="MFN360" s="598"/>
      <c r="MFO360" s="598"/>
      <c r="MFP360" s="598"/>
      <c r="MFQ360" s="598"/>
      <c r="MFR360" s="598"/>
      <c r="MFS360" s="598"/>
      <c r="MFT360" s="598"/>
      <c r="MFU360" s="598"/>
      <c r="MFV360" s="598"/>
      <c r="MFW360" s="598"/>
      <c r="MFX360" s="598"/>
      <c r="MFY360" s="598"/>
      <c r="MFZ360" s="598"/>
      <c r="MGA360" s="598"/>
      <c r="MGB360" s="598"/>
      <c r="MGC360" s="598"/>
      <c r="MGD360" s="598"/>
      <c r="MGE360" s="598"/>
      <c r="MGF360" s="598"/>
      <c r="MGG360" s="598"/>
      <c r="MGH360" s="598"/>
      <c r="MGI360" s="598"/>
      <c r="MGJ360" s="598"/>
      <c r="MGK360" s="598"/>
      <c r="MGL360" s="598"/>
      <c r="MGM360" s="598"/>
      <c r="MGN360" s="598"/>
      <c r="MGO360" s="598"/>
      <c r="MGP360" s="598"/>
      <c r="MGQ360" s="598"/>
      <c r="MGR360" s="598"/>
      <c r="MGS360" s="598"/>
      <c r="MGT360" s="598"/>
      <c r="MGU360" s="598"/>
      <c r="MGV360" s="598"/>
      <c r="MGW360" s="598"/>
      <c r="MGX360" s="598"/>
      <c r="MGY360" s="598"/>
      <c r="MGZ360" s="598"/>
      <c r="MHA360" s="598"/>
      <c r="MHB360" s="598"/>
      <c r="MHC360" s="598"/>
      <c r="MHD360" s="598"/>
      <c r="MHE360" s="598"/>
      <c r="MHF360" s="598"/>
      <c r="MHG360" s="598"/>
      <c r="MHH360" s="598"/>
      <c r="MHI360" s="598"/>
      <c r="MHJ360" s="598"/>
      <c r="MHK360" s="598"/>
      <c r="MHL360" s="598"/>
      <c r="MHM360" s="598"/>
      <c r="MHN360" s="598"/>
      <c r="MHO360" s="598"/>
      <c r="MHP360" s="598"/>
      <c r="MHQ360" s="598"/>
      <c r="MHR360" s="598"/>
      <c r="MHS360" s="598"/>
      <c r="MHT360" s="598"/>
      <c r="MHU360" s="598"/>
      <c r="MHV360" s="598"/>
      <c r="MHW360" s="598"/>
      <c r="MHX360" s="598"/>
      <c r="MHY360" s="598"/>
      <c r="MHZ360" s="598"/>
      <c r="MIA360" s="598"/>
      <c r="MIB360" s="598"/>
      <c r="MIC360" s="598"/>
      <c r="MID360" s="598"/>
      <c r="MIE360" s="598"/>
      <c r="MIF360" s="598"/>
      <c r="MIG360" s="598"/>
      <c r="MIH360" s="598"/>
      <c r="MII360" s="598"/>
      <c r="MIJ360" s="598"/>
      <c r="MIK360" s="598"/>
      <c r="MIL360" s="598"/>
      <c r="MIM360" s="598"/>
      <c r="MIN360" s="598"/>
      <c r="MIO360" s="598"/>
      <c r="MIP360" s="598"/>
      <c r="MIQ360" s="598"/>
      <c r="MIR360" s="598"/>
      <c r="MIS360" s="598"/>
      <c r="MIT360" s="598"/>
      <c r="MIU360" s="598"/>
      <c r="MIV360" s="598"/>
      <c r="MIW360" s="598"/>
      <c r="MIX360" s="598"/>
      <c r="MIY360" s="598"/>
      <c r="MIZ360" s="598"/>
      <c r="MJA360" s="598"/>
      <c r="MJB360" s="598"/>
      <c r="MJC360" s="598"/>
      <c r="MJD360" s="598"/>
      <c r="MJE360" s="598"/>
      <c r="MJF360" s="598"/>
      <c r="MJG360" s="598"/>
      <c r="MJH360" s="598"/>
      <c r="MJI360" s="598"/>
      <c r="MJJ360" s="598"/>
      <c r="MJK360" s="598"/>
      <c r="MJL360" s="598"/>
      <c r="MJM360" s="598"/>
      <c r="MJN360" s="598"/>
      <c r="MJO360" s="598"/>
      <c r="MJP360" s="598"/>
      <c r="MJQ360" s="598"/>
      <c r="MJR360" s="598"/>
      <c r="MJS360" s="598"/>
      <c r="MJT360" s="598"/>
      <c r="MJU360" s="598"/>
      <c r="MJV360" s="598"/>
      <c r="MJW360" s="598"/>
      <c r="MJX360" s="598"/>
      <c r="MJY360" s="598"/>
      <c r="MJZ360" s="598"/>
      <c r="MKA360" s="598"/>
      <c r="MKB360" s="598"/>
      <c r="MKC360" s="598"/>
      <c r="MKD360" s="598"/>
      <c r="MKE360" s="598"/>
      <c r="MKF360" s="598"/>
      <c r="MKG360" s="598"/>
      <c r="MKH360" s="598"/>
      <c r="MKI360" s="598"/>
      <c r="MKJ360" s="598"/>
      <c r="MKK360" s="598"/>
      <c r="MKL360" s="598"/>
      <c r="MKM360" s="598"/>
      <c r="MKN360" s="598"/>
      <c r="MKO360" s="598"/>
      <c r="MKP360" s="598"/>
      <c r="MKQ360" s="598"/>
      <c r="MKR360" s="598"/>
      <c r="MKS360" s="598"/>
      <c r="MKT360" s="598"/>
      <c r="MKU360" s="598"/>
      <c r="MKV360" s="598"/>
      <c r="MKW360" s="598"/>
      <c r="MKX360" s="598"/>
      <c r="MKY360" s="598"/>
      <c r="MKZ360" s="598"/>
      <c r="MLA360" s="598"/>
      <c r="MLB360" s="598"/>
      <c r="MLC360" s="598"/>
      <c r="MLD360" s="598"/>
      <c r="MLE360" s="598"/>
      <c r="MLF360" s="598"/>
      <c r="MLG360" s="598"/>
      <c r="MLH360" s="598"/>
      <c r="MLI360" s="598"/>
      <c r="MLJ360" s="598"/>
      <c r="MLK360" s="598"/>
      <c r="MLL360" s="598"/>
      <c r="MLM360" s="598"/>
      <c r="MLN360" s="598"/>
      <c r="MLO360" s="598"/>
      <c r="MLP360" s="598"/>
      <c r="MLQ360" s="598"/>
      <c r="MLR360" s="598"/>
      <c r="MLS360" s="598"/>
      <c r="MLT360" s="598"/>
      <c r="MLU360" s="598"/>
      <c r="MLV360" s="598"/>
      <c r="MLW360" s="598"/>
      <c r="MLX360" s="598"/>
      <c r="MLY360" s="598"/>
      <c r="MLZ360" s="598"/>
      <c r="MMA360" s="598"/>
      <c r="MMB360" s="598"/>
      <c r="MMC360" s="598"/>
      <c r="MMD360" s="598"/>
      <c r="MME360" s="598"/>
      <c r="MMF360" s="598"/>
      <c r="MMG360" s="598"/>
      <c r="MMH360" s="598"/>
      <c r="MMI360" s="598"/>
      <c r="MMJ360" s="598"/>
      <c r="MMK360" s="598"/>
      <c r="MML360" s="598"/>
      <c r="MMM360" s="598"/>
      <c r="MMN360" s="598"/>
      <c r="MMO360" s="598"/>
      <c r="MMP360" s="598"/>
      <c r="MMQ360" s="598"/>
      <c r="MMR360" s="598"/>
      <c r="MMS360" s="598"/>
      <c r="MMT360" s="598"/>
      <c r="MMU360" s="598"/>
      <c r="MMV360" s="598"/>
      <c r="MMW360" s="598"/>
      <c r="MMX360" s="598"/>
      <c r="MMY360" s="598"/>
      <c r="MMZ360" s="598"/>
      <c r="MNA360" s="598"/>
      <c r="MNB360" s="598"/>
      <c r="MNC360" s="598"/>
      <c r="MND360" s="598"/>
      <c r="MNE360" s="598"/>
      <c r="MNF360" s="598"/>
      <c r="MNG360" s="598"/>
      <c r="MNH360" s="598"/>
      <c r="MNI360" s="598"/>
      <c r="MNJ360" s="598"/>
      <c r="MNK360" s="598"/>
      <c r="MNL360" s="598"/>
      <c r="MNM360" s="598"/>
      <c r="MNN360" s="598"/>
      <c r="MNO360" s="598"/>
      <c r="MNP360" s="598"/>
      <c r="MNQ360" s="598"/>
      <c r="MNR360" s="598"/>
      <c r="MNS360" s="598"/>
      <c r="MNT360" s="598"/>
      <c r="MNU360" s="598"/>
      <c r="MNV360" s="598"/>
      <c r="MNW360" s="598"/>
      <c r="MNX360" s="598"/>
      <c r="MNY360" s="598"/>
      <c r="MNZ360" s="598"/>
      <c r="MOA360" s="598"/>
      <c r="MOB360" s="598"/>
      <c r="MOC360" s="598"/>
      <c r="MOD360" s="598"/>
      <c r="MOE360" s="598"/>
      <c r="MOF360" s="598"/>
      <c r="MOG360" s="598"/>
      <c r="MOH360" s="598"/>
      <c r="MOI360" s="598"/>
      <c r="MOJ360" s="598"/>
      <c r="MOK360" s="598"/>
      <c r="MOL360" s="598"/>
      <c r="MOM360" s="598"/>
      <c r="MON360" s="598"/>
      <c r="MOO360" s="598"/>
      <c r="MOP360" s="598"/>
      <c r="MOQ360" s="598"/>
      <c r="MOR360" s="598"/>
      <c r="MOS360" s="598"/>
      <c r="MOT360" s="598"/>
      <c r="MOU360" s="598"/>
      <c r="MOV360" s="598"/>
      <c r="MOW360" s="598"/>
      <c r="MOX360" s="598"/>
      <c r="MOY360" s="598"/>
      <c r="MOZ360" s="598"/>
      <c r="MPA360" s="598"/>
      <c r="MPB360" s="598"/>
      <c r="MPC360" s="598"/>
      <c r="MPD360" s="598"/>
      <c r="MPE360" s="598"/>
      <c r="MPF360" s="598"/>
      <c r="MPG360" s="598"/>
      <c r="MPH360" s="598"/>
      <c r="MPI360" s="598"/>
      <c r="MPJ360" s="598"/>
      <c r="MPK360" s="598"/>
      <c r="MPL360" s="598"/>
      <c r="MPM360" s="598"/>
      <c r="MPN360" s="598"/>
      <c r="MPO360" s="598"/>
      <c r="MPP360" s="598"/>
      <c r="MPQ360" s="598"/>
      <c r="MPR360" s="598"/>
      <c r="MPS360" s="598"/>
      <c r="MPT360" s="598"/>
      <c r="MPU360" s="598"/>
      <c r="MPV360" s="598"/>
      <c r="MPW360" s="598"/>
      <c r="MPX360" s="598"/>
      <c r="MPY360" s="598"/>
      <c r="MPZ360" s="598"/>
      <c r="MQA360" s="598"/>
      <c r="MQB360" s="598"/>
      <c r="MQC360" s="598"/>
      <c r="MQD360" s="598"/>
      <c r="MQE360" s="598"/>
      <c r="MQF360" s="598"/>
      <c r="MQG360" s="598"/>
      <c r="MQH360" s="598"/>
      <c r="MQI360" s="598"/>
      <c r="MQJ360" s="598"/>
      <c r="MQK360" s="598"/>
      <c r="MQL360" s="598"/>
      <c r="MQM360" s="598"/>
      <c r="MQN360" s="598"/>
      <c r="MQO360" s="598"/>
      <c r="MQP360" s="598"/>
      <c r="MQQ360" s="598"/>
      <c r="MQR360" s="598"/>
      <c r="MQS360" s="598"/>
      <c r="MQT360" s="598"/>
      <c r="MQU360" s="598"/>
      <c r="MQV360" s="598"/>
      <c r="MQW360" s="598"/>
      <c r="MQX360" s="598"/>
      <c r="MQY360" s="598"/>
      <c r="MQZ360" s="598"/>
      <c r="MRA360" s="598"/>
      <c r="MRB360" s="598"/>
      <c r="MRC360" s="598"/>
      <c r="MRD360" s="598"/>
      <c r="MRE360" s="598"/>
      <c r="MRF360" s="598"/>
      <c r="MRG360" s="598"/>
      <c r="MRH360" s="598"/>
      <c r="MRI360" s="598"/>
      <c r="MRJ360" s="598"/>
      <c r="MRK360" s="598"/>
      <c r="MRL360" s="598"/>
      <c r="MRM360" s="598"/>
      <c r="MRN360" s="598"/>
      <c r="MRO360" s="598"/>
      <c r="MRP360" s="598"/>
      <c r="MRQ360" s="598"/>
      <c r="MRR360" s="598"/>
      <c r="MRS360" s="598"/>
      <c r="MRT360" s="598"/>
      <c r="MRU360" s="598"/>
      <c r="MRV360" s="598"/>
      <c r="MRW360" s="598"/>
      <c r="MRX360" s="598"/>
      <c r="MRY360" s="598"/>
      <c r="MRZ360" s="598"/>
      <c r="MSA360" s="598"/>
      <c r="MSB360" s="598"/>
      <c r="MSC360" s="598"/>
      <c r="MSD360" s="598"/>
      <c r="MSE360" s="598"/>
      <c r="MSF360" s="598"/>
      <c r="MSG360" s="598"/>
      <c r="MSH360" s="598"/>
      <c r="MSI360" s="598"/>
      <c r="MSJ360" s="598"/>
      <c r="MSK360" s="598"/>
      <c r="MSL360" s="598"/>
      <c r="MSM360" s="598"/>
      <c r="MSN360" s="598"/>
      <c r="MSO360" s="598"/>
      <c r="MSP360" s="598"/>
      <c r="MSQ360" s="598"/>
      <c r="MSR360" s="598"/>
      <c r="MSS360" s="598"/>
      <c r="MST360" s="598"/>
      <c r="MSU360" s="598"/>
      <c r="MSV360" s="598"/>
      <c r="MSW360" s="598"/>
      <c r="MSX360" s="598"/>
      <c r="MSY360" s="598"/>
      <c r="MSZ360" s="598"/>
      <c r="MTA360" s="598"/>
      <c r="MTB360" s="598"/>
      <c r="MTC360" s="598"/>
      <c r="MTD360" s="598"/>
      <c r="MTE360" s="598"/>
      <c r="MTF360" s="598"/>
      <c r="MTG360" s="598"/>
      <c r="MTH360" s="598"/>
      <c r="MTI360" s="598"/>
      <c r="MTJ360" s="598"/>
      <c r="MTK360" s="598"/>
      <c r="MTL360" s="598"/>
      <c r="MTM360" s="598"/>
      <c r="MTN360" s="598"/>
      <c r="MTO360" s="598"/>
      <c r="MTP360" s="598"/>
      <c r="MTQ360" s="598"/>
      <c r="MTR360" s="598"/>
      <c r="MTS360" s="598"/>
      <c r="MTT360" s="598"/>
      <c r="MTU360" s="598"/>
      <c r="MTV360" s="598"/>
      <c r="MTW360" s="598"/>
      <c r="MTX360" s="598"/>
      <c r="MTY360" s="598"/>
      <c r="MTZ360" s="598"/>
      <c r="MUA360" s="598"/>
      <c r="MUB360" s="598"/>
      <c r="MUC360" s="598"/>
      <c r="MUD360" s="598"/>
      <c r="MUE360" s="598"/>
      <c r="MUF360" s="598"/>
      <c r="MUG360" s="598"/>
      <c r="MUH360" s="598"/>
      <c r="MUI360" s="598"/>
      <c r="MUJ360" s="598"/>
      <c r="MUK360" s="598"/>
      <c r="MUL360" s="598"/>
      <c r="MUM360" s="598"/>
      <c r="MUN360" s="598"/>
      <c r="MUO360" s="598"/>
      <c r="MUP360" s="598"/>
      <c r="MUQ360" s="598"/>
      <c r="MUR360" s="598"/>
      <c r="MUS360" s="598"/>
      <c r="MUT360" s="598"/>
      <c r="MUU360" s="598"/>
      <c r="MUV360" s="598"/>
      <c r="MUW360" s="598"/>
      <c r="MUX360" s="598"/>
      <c r="MUY360" s="598"/>
      <c r="MUZ360" s="598"/>
      <c r="MVA360" s="598"/>
      <c r="MVB360" s="598"/>
      <c r="MVC360" s="598"/>
      <c r="MVD360" s="598"/>
      <c r="MVE360" s="598"/>
      <c r="MVF360" s="598"/>
      <c r="MVG360" s="598"/>
      <c r="MVH360" s="598"/>
      <c r="MVI360" s="598"/>
      <c r="MVJ360" s="598"/>
      <c r="MVK360" s="598"/>
      <c r="MVL360" s="598"/>
      <c r="MVM360" s="598"/>
      <c r="MVN360" s="598"/>
      <c r="MVO360" s="598"/>
      <c r="MVP360" s="598"/>
      <c r="MVQ360" s="598"/>
      <c r="MVR360" s="598"/>
      <c r="MVS360" s="598"/>
      <c r="MVT360" s="598"/>
      <c r="MVU360" s="598"/>
      <c r="MVV360" s="598"/>
      <c r="MVW360" s="598"/>
      <c r="MVX360" s="598"/>
      <c r="MVY360" s="598"/>
      <c r="MVZ360" s="598"/>
      <c r="MWA360" s="598"/>
      <c r="MWB360" s="598"/>
      <c r="MWC360" s="598"/>
      <c r="MWD360" s="598"/>
      <c r="MWE360" s="598"/>
      <c r="MWF360" s="598"/>
      <c r="MWG360" s="598"/>
      <c r="MWH360" s="598"/>
      <c r="MWI360" s="598"/>
      <c r="MWJ360" s="598"/>
      <c r="MWK360" s="598"/>
      <c r="MWL360" s="598"/>
      <c r="MWM360" s="598"/>
      <c r="MWN360" s="598"/>
      <c r="MWO360" s="598"/>
      <c r="MWP360" s="598"/>
      <c r="MWQ360" s="598"/>
      <c r="MWR360" s="598"/>
      <c r="MWS360" s="598"/>
      <c r="MWT360" s="598"/>
      <c r="MWU360" s="598"/>
      <c r="MWV360" s="598"/>
      <c r="MWW360" s="598"/>
      <c r="MWX360" s="598"/>
      <c r="MWY360" s="598"/>
      <c r="MWZ360" s="598"/>
      <c r="MXA360" s="598"/>
      <c r="MXB360" s="598"/>
      <c r="MXC360" s="598"/>
      <c r="MXD360" s="598"/>
      <c r="MXE360" s="598"/>
      <c r="MXF360" s="598"/>
      <c r="MXG360" s="598"/>
      <c r="MXH360" s="598"/>
      <c r="MXI360" s="598"/>
      <c r="MXJ360" s="598"/>
      <c r="MXK360" s="598"/>
      <c r="MXL360" s="598"/>
      <c r="MXM360" s="598"/>
      <c r="MXN360" s="598"/>
      <c r="MXO360" s="598"/>
      <c r="MXP360" s="598"/>
      <c r="MXQ360" s="598"/>
      <c r="MXR360" s="598"/>
      <c r="MXS360" s="598"/>
      <c r="MXT360" s="598"/>
      <c r="MXU360" s="598"/>
      <c r="MXV360" s="598"/>
      <c r="MXW360" s="598"/>
      <c r="MXX360" s="598"/>
      <c r="MXY360" s="598"/>
      <c r="MXZ360" s="598"/>
      <c r="MYA360" s="598"/>
      <c r="MYB360" s="598"/>
      <c r="MYC360" s="598"/>
      <c r="MYD360" s="598"/>
      <c r="MYE360" s="598"/>
      <c r="MYF360" s="598"/>
      <c r="MYG360" s="598"/>
      <c r="MYH360" s="598"/>
      <c r="MYI360" s="598"/>
      <c r="MYJ360" s="598"/>
      <c r="MYK360" s="598"/>
      <c r="MYL360" s="598"/>
      <c r="MYM360" s="598"/>
      <c r="MYN360" s="598"/>
      <c r="MYO360" s="598"/>
      <c r="MYP360" s="598"/>
      <c r="MYQ360" s="598"/>
      <c r="MYR360" s="598"/>
      <c r="MYS360" s="598"/>
      <c r="MYT360" s="598"/>
      <c r="MYU360" s="598"/>
      <c r="MYV360" s="598"/>
      <c r="MYW360" s="598"/>
      <c r="MYX360" s="598"/>
      <c r="MYY360" s="598"/>
      <c r="MYZ360" s="598"/>
      <c r="MZA360" s="598"/>
      <c r="MZB360" s="598"/>
      <c r="MZC360" s="598"/>
      <c r="MZD360" s="598"/>
      <c r="MZE360" s="598"/>
      <c r="MZF360" s="598"/>
      <c r="MZG360" s="598"/>
      <c r="MZH360" s="598"/>
      <c r="MZI360" s="598"/>
      <c r="MZJ360" s="598"/>
      <c r="MZK360" s="598"/>
      <c r="MZL360" s="598"/>
      <c r="MZM360" s="598"/>
      <c r="MZN360" s="598"/>
      <c r="MZO360" s="598"/>
      <c r="MZP360" s="598"/>
      <c r="MZQ360" s="598"/>
      <c r="MZR360" s="598"/>
      <c r="MZS360" s="598"/>
      <c r="MZT360" s="598"/>
      <c r="MZU360" s="598"/>
      <c r="MZV360" s="598"/>
      <c r="MZW360" s="598"/>
      <c r="MZX360" s="598"/>
      <c r="MZY360" s="598"/>
      <c r="MZZ360" s="598"/>
      <c r="NAA360" s="598"/>
      <c r="NAB360" s="598"/>
      <c r="NAC360" s="598"/>
      <c r="NAD360" s="598"/>
      <c r="NAE360" s="598"/>
      <c r="NAF360" s="598"/>
      <c r="NAG360" s="598"/>
      <c r="NAH360" s="598"/>
      <c r="NAI360" s="598"/>
      <c r="NAJ360" s="598"/>
      <c r="NAK360" s="598"/>
      <c r="NAL360" s="598"/>
      <c r="NAM360" s="598"/>
      <c r="NAN360" s="598"/>
      <c r="NAO360" s="598"/>
      <c r="NAP360" s="598"/>
      <c r="NAQ360" s="598"/>
      <c r="NAR360" s="598"/>
      <c r="NAS360" s="598"/>
      <c r="NAT360" s="598"/>
      <c r="NAU360" s="598"/>
      <c r="NAV360" s="598"/>
      <c r="NAW360" s="598"/>
      <c r="NAX360" s="598"/>
      <c r="NAY360" s="598"/>
      <c r="NAZ360" s="598"/>
      <c r="NBA360" s="598"/>
      <c r="NBB360" s="598"/>
      <c r="NBC360" s="598"/>
      <c r="NBD360" s="598"/>
      <c r="NBE360" s="598"/>
      <c r="NBF360" s="598"/>
      <c r="NBG360" s="598"/>
      <c r="NBH360" s="598"/>
      <c r="NBI360" s="598"/>
      <c r="NBJ360" s="598"/>
      <c r="NBK360" s="598"/>
      <c r="NBL360" s="598"/>
      <c r="NBM360" s="598"/>
      <c r="NBN360" s="598"/>
      <c r="NBO360" s="598"/>
      <c r="NBP360" s="598"/>
      <c r="NBQ360" s="598"/>
      <c r="NBR360" s="598"/>
      <c r="NBS360" s="598"/>
      <c r="NBT360" s="598"/>
      <c r="NBU360" s="598"/>
      <c r="NBV360" s="598"/>
      <c r="NBW360" s="598"/>
      <c r="NBX360" s="598"/>
      <c r="NBY360" s="598"/>
      <c r="NBZ360" s="598"/>
      <c r="NCA360" s="598"/>
      <c r="NCB360" s="598"/>
      <c r="NCC360" s="598"/>
      <c r="NCD360" s="598"/>
      <c r="NCE360" s="598"/>
      <c r="NCF360" s="598"/>
      <c r="NCG360" s="598"/>
      <c r="NCH360" s="598"/>
      <c r="NCI360" s="598"/>
      <c r="NCJ360" s="598"/>
      <c r="NCK360" s="598"/>
      <c r="NCL360" s="598"/>
      <c r="NCM360" s="598"/>
      <c r="NCN360" s="598"/>
      <c r="NCO360" s="598"/>
      <c r="NCP360" s="598"/>
      <c r="NCQ360" s="598"/>
      <c r="NCR360" s="598"/>
      <c r="NCS360" s="598"/>
      <c r="NCT360" s="598"/>
      <c r="NCU360" s="598"/>
      <c r="NCV360" s="598"/>
      <c r="NCW360" s="598"/>
      <c r="NCX360" s="598"/>
      <c r="NCY360" s="598"/>
      <c r="NCZ360" s="598"/>
      <c r="NDA360" s="598"/>
      <c r="NDB360" s="598"/>
      <c r="NDC360" s="598"/>
      <c r="NDD360" s="598"/>
      <c r="NDE360" s="598"/>
      <c r="NDF360" s="598"/>
      <c r="NDG360" s="598"/>
      <c r="NDH360" s="598"/>
      <c r="NDI360" s="598"/>
      <c r="NDJ360" s="598"/>
      <c r="NDK360" s="598"/>
      <c r="NDL360" s="598"/>
      <c r="NDM360" s="598"/>
      <c r="NDN360" s="598"/>
      <c r="NDO360" s="598"/>
      <c r="NDP360" s="598"/>
      <c r="NDQ360" s="598"/>
      <c r="NDR360" s="598"/>
      <c r="NDS360" s="598"/>
      <c r="NDT360" s="598"/>
      <c r="NDU360" s="598"/>
      <c r="NDV360" s="598"/>
      <c r="NDW360" s="598"/>
      <c r="NDX360" s="598"/>
      <c r="NDY360" s="598"/>
      <c r="NDZ360" s="598"/>
      <c r="NEA360" s="598"/>
      <c r="NEB360" s="598"/>
      <c r="NEC360" s="598"/>
      <c r="NED360" s="598"/>
      <c r="NEE360" s="598"/>
      <c r="NEF360" s="598"/>
      <c r="NEG360" s="598"/>
      <c r="NEH360" s="598"/>
      <c r="NEI360" s="598"/>
      <c r="NEJ360" s="598"/>
      <c r="NEK360" s="598"/>
      <c r="NEL360" s="598"/>
      <c r="NEM360" s="598"/>
      <c r="NEN360" s="598"/>
      <c r="NEO360" s="598"/>
      <c r="NEP360" s="598"/>
      <c r="NEQ360" s="598"/>
      <c r="NER360" s="598"/>
      <c r="NES360" s="598"/>
      <c r="NET360" s="598"/>
      <c r="NEU360" s="598"/>
      <c r="NEV360" s="598"/>
      <c r="NEW360" s="598"/>
      <c r="NEX360" s="598"/>
      <c r="NEY360" s="598"/>
      <c r="NEZ360" s="598"/>
      <c r="NFA360" s="598"/>
      <c r="NFB360" s="598"/>
      <c r="NFC360" s="598"/>
      <c r="NFD360" s="598"/>
      <c r="NFE360" s="598"/>
      <c r="NFF360" s="598"/>
      <c r="NFG360" s="598"/>
      <c r="NFH360" s="598"/>
      <c r="NFI360" s="598"/>
      <c r="NFJ360" s="598"/>
      <c r="NFK360" s="598"/>
      <c r="NFL360" s="598"/>
      <c r="NFM360" s="598"/>
      <c r="NFN360" s="598"/>
      <c r="NFO360" s="598"/>
      <c r="NFP360" s="598"/>
      <c r="NFQ360" s="598"/>
      <c r="NFR360" s="598"/>
      <c r="NFS360" s="598"/>
      <c r="NFT360" s="598"/>
      <c r="NFU360" s="598"/>
      <c r="NFV360" s="598"/>
      <c r="NFW360" s="598"/>
      <c r="NFX360" s="598"/>
      <c r="NFY360" s="598"/>
      <c r="NFZ360" s="598"/>
      <c r="NGA360" s="598"/>
      <c r="NGB360" s="598"/>
      <c r="NGC360" s="598"/>
      <c r="NGD360" s="598"/>
      <c r="NGE360" s="598"/>
      <c r="NGF360" s="598"/>
      <c r="NGG360" s="598"/>
      <c r="NGH360" s="598"/>
      <c r="NGI360" s="598"/>
      <c r="NGJ360" s="598"/>
      <c r="NGK360" s="598"/>
      <c r="NGL360" s="598"/>
      <c r="NGM360" s="598"/>
      <c r="NGN360" s="598"/>
      <c r="NGO360" s="598"/>
      <c r="NGP360" s="598"/>
      <c r="NGQ360" s="598"/>
      <c r="NGR360" s="598"/>
      <c r="NGS360" s="598"/>
      <c r="NGT360" s="598"/>
      <c r="NGU360" s="598"/>
      <c r="NGV360" s="598"/>
      <c r="NGW360" s="598"/>
      <c r="NGX360" s="598"/>
      <c r="NGY360" s="598"/>
      <c r="NGZ360" s="598"/>
      <c r="NHA360" s="598"/>
      <c r="NHB360" s="598"/>
      <c r="NHC360" s="598"/>
      <c r="NHD360" s="598"/>
      <c r="NHE360" s="598"/>
      <c r="NHF360" s="598"/>
      <c r="NHG360" s="598"/>
      <c r="NHH360" s="598"/>
      <c r="NHI360" s="598"/>
      <c r="NHJ360" s="598"/>
      <c r="NHK360" s="598"/>
      <c r="NHL360" s="598"/>
      <c r="NHM360" s="598"/>
      <c r="NHN360" s="598"/>
      <c r="NHO360" s="598"/>
      <c r="NHP360" s="598"/>
      <c r="NHQ360" s="598"/>
      <c r="NHR360" s="598"/>
      <c r="NHS360" s="598"/>
      <c r="NHT360" s="598"/>
      <c r="NHU360" s="598"/>
      <c r="NHV360" s="598"/>
      <c r="NHW360" s="598"/>
      <c r="NHX360" s="598"/>
      <c r="NHY360" s="598"/>
      <c r="NHZ360" s="598"/>
      <c r="NIA360" s="598"/>
      <c r="NIB360" s="598"/>
      <c r="NIC360" s="598"/>
      <c r="NID360" s="598"/>
      <c r="NIE360" s="598"/>
      <c r="NIF360" s="598"/>
      <c r="NIG360" s="598"/>
      <c r="NIH360" s="598"/>
      <c r="NII360" s="598"/>
      <c r="NIJ360" s="598"/>
      <c r="NIK360" s="598"/>
      <c r="NIL360" s="598"/>
      <c r="NIM360" s="598"/>
      <c r="NIN360" s="598"/>
      <c r="NIO360" s="598"/>
      <c r="NIP360" s="598"/>
      <c r="NIQ360" s="598"/>
      <c r="NIR360" s="598"/>
      <c r="NIS360" s="598"/>
      <c r="NIT360" s="598"/>
      <c r="NIU360" s="598"/>
      <c r="NIV360" s="598"/>
      <c r="NIW360" s="598"/>
      <c r="NIX360" s="598"/>
      <c r="NIY360" s="598"/>
      <c r="NIZ360" s="598"/>
      <c r="NJA360" s="598"/>
      <c r="NJB360" s="598"/>
      <c r="NJC360" s="598"/>
      <c r="NJD360" s="598"/>
      <c r="NJE360" s="598"/>
      <c r="NJF360" s="598"/>
      <c r="NJG360" s="598"/>
      <c r="NJH360" s="598"/>
      <c r="NJI360" s="598"/>
      <c r="NJJ360" s="598"/>
      <c r="NJK360" s="598"/>
      <c r="NJL360" s="598"/>
      <c r="NJM360" s="598"/>
      <c r="NJN360" s="598"/>
      <c r="NJO360" s="598"/>
      <c r="NJP360" s="598"/>
      <c r="NJQ360" s="598"/>
      <c r="NJR360" s="598"/>
      <c r="NJS360" s="598"/>
      <c r="NJT360" s="598"/>
      <c r="NJU360" s="598"/>
      <c r="NJV360" s="598"/>
      <c r="NJW360" s="598"/>
      <c r="NJX360" s="598"/>
      <c r="NJY360" s="598"/>
      <c r="NJZ360" s="598"/>
      <c r="NKA360" s="598"/>
      <c r="NKB360" s="598"/>
      <c r="NKC360" s="598"/>
      <c r="NKD360" s="598"/>
      <c r="NKE360" s="598"/>
      <c r="NKF360" s="598"/>
      <c r="NKG360" s="598"/>
      <c r="NKH360" s="598"/>
      <c r="NKI360" s="598"/>
      <c r="NKJ360" s="598"/>
      <c r="NKK360" s="598"/>
      <c r="NKL360" s="598"/>
      <c r="NKM360" s="598"/>
      <c r="NKN360" s="598"/>
      <c r="NKO360" s="598"/>
      <c r="NKP360" s="598"/>
      <c r="NKQ360" s="598"/>
      <c r="NKR360" s="598"/>
      <c r="NKS360" s="598"/>
      <c r="NKT360" s="598"/>
      <c r="NKU360" s="598"/>
      <c r="NKV360" s="598"/>
      <c r="NKW360" s="598"/>
      <c r="NKX360" s="598"/>
      <c r="NKY360" s="598"/>
      <c r="NKZ360" s="598"/>
      <c r="NLA360" s="598"/>
      <c r="NLB360" s="598"/>
      <c r="NLC360" s="598"/>
      <c r="NLD360" s="598"/>
      <c r="NLE360" s="598"/>
      <c r="NLF360" s="598"/>
      <c r="NLG360" s="598"/>
      <c r="NLH360" s="598"/>
      <c r="NLI360" s="598"/>
      <c r="NLJ360" s="598"/>
      <c r="NLK360" s="598"/>
      <c r="NLL360" s="598"/>
      <c r="NLM360" s="598"/>
      <c r="NLN360" s="598"/>
      <c r="NLO360" s="598"/>
      <c r="NLP360" s="598"/>
      <c r="NLQ360" s="598"/>
      <c r="NLR360" s="598"/>
      <c r="NLS360" s="598"/>
      <c r="NLT360" s="598"/>
      <c r="NLU360" s="598"/>
      <c r="NLV360" s="598"/>
      <c r="NLW360" s="598"/>
      <c r="NLX360" s="598"/>
      <c r="NLY360" s="598"/>
      <c r="NLZ360" s="598"/>
      <c r="NMA360" s="598"/>
      <c r="NMB360" s="598"/>
      <c r="NMC360" s="598"/>
      <c r="NMD360" s="598"/>
      <c r="NME360" s="598"/>
      <c r="NMF360" s="598"/>
      <c r="NMG360" s="598"/>
      <c r="NMH360" s="598"/>
      <c r="NMI360" s="598"/>
      <c r="NMJ360" s="598"/>
      <c r="NMK360" s="598"/>
      <c r="NML360" s="598"/>
      <c r="NMM360" s="598"/>
      <c r="NMN360" s="598"/>
      <c r="NMO360" s="598"/>
      <c r="NMP360" s="598"/>
      <c r="NMQ360" s="598"/>
      <c r="NMR360" s="598"/>
      <c r="NMS360" s="598"/>
      <c r="NMT360" s="598"/>
      <c r="NMU360" s="598"/>
      <c r="NMV360" s="598"/>
      <c r="NMW360" s="598"/>
      <c r="NMX360" s="598"/>
      <c r="NMY360" s="598"/>
      <c r="NMZ360" s="598"/>
      <c r="NNA360" s="598"/>
      <c r="NNB360" s="598"/>
      <c r="NNC360" s="598"/>
      <c r="NND360" s="598"/>
      <c r="NNE360" s="598"/>
      <c r="NNF360" s="598"/>
      <c r="NNG360" s="598"/>
      <c r="NNH360" s="598"/>
      <c r="NNI360" s="598"/>
      <c r="NNJ360" s="598"/>
      <c r="NNK360" s="598"/>
      <c r="NNL360" s="598"/>
      <c r="NNM360" s="598"/>
      <c r="NNN360" s="598"/>
      <c r="NNO360" s="598"/>
      <c r="NNP360" s="598"/>
      <c r="NNQ360" s="598"/>
      <c r="NNR360" s="598"/>
      <c r="NNS360" s="598"/>
      <c r="NNT360" s="598"/>
      <c r="NNU360" s="598"/>
      <c r="NNV360" s="598"/>
      <c r="NNW360" s="598"/>
      <c r="NNX360" s="598"/>
      <c r="NNY360" s="598"/>
      <c r="NNZ360" s="598"/>
      <c r="NOA360" s="598"/>
      <c r="NOB360" s="598"/>
      <c r="NOC360" s="598"/>
      <c r="NOD360" s="598"/>
      <c r="NOE360" s="598"/>
      <c r="NOF360" s="598"/>
      <c r="NOG360" s="598"/>
      <c r="NOH360" s="598"/>
      <c r="NOI360" s="598"/>
      <c r="NOJ360" s="598"/>
      <c r="NOK360" s="598"/>
      <c r="NOL360" s="598"/>
      <c r="NOM360" s="598"/>
      <c r="NON360" s="598"/>
      <c r="NOO360" s="598"/>
      <c r="NOP360" s="598"/>
      <c r="NOQ360" s="598"/>
      <c r="NOR360" s="598"/>
      <c r="NOS360" s="598"/>
      <c r="NOT360" s="598"/>
      <c r="NOU360" s="598"/>
      <c r="NOV360" s="598"/>
      <c r="NOW360" s="598"/>
      <c r="NOX360" s="598"/>
      <c r="NOY360" s="598"/>
      <c r="NOZ360" s="598"/>
      <c r="NPA360" s="598"/>
      <c r="NPB360" s="598"/>
      <c r="NPC360" s="598"/>
      <c r="NPD360" s="598"/>
      <c r="NPE360" s="598"/>
      <c r="NPF360" s="598"/>
      <c r="NPG360" s="598"/>
      <c r="NPH360" s="598"/>
      <c r="NPI360" s="598"/>
      <c r="NPJ360" s="598"/>
      <c r="NPK360" s="598"/>
      <c r="NPL360" s="598"/>
      <c r="NPM360" s="598"/>
      <c r="NPN360" s="598"/>
      <c r="NPO360" s="598"/>
      <c r="NPP360" s="598"/>
      <c r="NPQ360" s="598"/>
      <c r="NPR360" s="598"/>
      <c r="NPS360" s="598"/>
      <c r="NPT360" s="598"/>
      <c r="NPU360" s="598"/>
      <c r="NPV360" s="598"/>
      <c r="NPW360" s="598"/>
      <c r="NPX360" s="598"/>
      <c r="NPY360" s="598"/>
      <c r="NPZ360" s="598"/>
      <c r="NQA360" s="598"/>
      <c r="NQB360" s="598"/>
      <c r="NQC360" s="598"/>
      <c r="NQD360" s="598"/>
      <c r="NQE360" s="598"/>
      <c r="NQF360" s="598"/>
      <c r="NQG360" s="598"/>
      <c r="NQH360" s="598"/>
      <c r="NQI360" s="598"/>
      <c r="NQJ360" s="598"/>
      <c r="NQK360" s="598"/>
      <c r="NQL360" s="598"/>
      <c r="NQM360" s="598"/>
      <c r="NQN360" s="598"/>
      <c r="NQO360" s="598"/>
      <c r="NQP360" s="598"/>
      <c r="NQQ360" s="598"/>
      <c r="NQR360" s="598"/>
      <c r="NQS360" s="598"/>
      <c r="NQT360" s="598"/>
      <c r="NQU360" s="598"/>
      <c r="NQV360" s="598"/>
      <c r="NQW360" s="598"/>
      <c r="NQX360" s="598"/>
      <c r="NQY360" s="598"/>
      <c r="NQZ360" s="598"/>
      <c r="NRA360" s="598"/>
      <c r="NRB360" s="598"/>
      <c r="NRC360" s="598"/>
      <c r="NRD360" s="598"/>
      <c r="NRE360" s="598"/>
      <c r="NRF360" s="598"/>
      <c r="NRG360" s="598"/>
      <c r="NRH360" s="598"/>
      <c r="NRI360" s="598"/>
      <c r="NRJ360" s="598"/>
      <c r="NRK360" s="598"/>
      <c r="NRL360" s="598"/>
      <c r="NRM360" s="598"/>
      <c r="NRN360" s="598"/>
      <c r="NRO360" s="598"/>
      <c r="NRP360" s="598"/>
      <c r="NRQ360" s="598"/>
      <c r="NRR360" s="598"/>
      <c r="NRS360" s="598"/>
      <c r="NRT360" s="598"/>
      <c r="NRU360" s="598"/>
      <c r="NRV360" s="598"/>
      <c r="NRW360" s="598"/>
      <c r="NRX360" s="598"/>
      <c r="NRY360" s="598"/>
      <c r="NRZ360" s="598"/>
      <c r="NSA360" s="598"/>
      <c r="NSB360" s="598"/>
      <c r="NSC360" s="598"/>
      <c r="NSD360" s="598"/>
      <c r="NSE360" s="598"/>
      <c r="NSF360" s="598"/>
      <c r="NSG360" s="598"/>
      <c r="NSH360" s="598"/>
      <c r="NSI360" s="598"/>
      <c r="NSJ360" s="598"/>
      <c r="NSK360" s="598"/>
      <c r="NSL360" s="598"/>
      <c r="NSM360" s="598"/>
      <c r="NSN360" s="598"/>
      <c r="NSO360" s="598"/>
      <c r="NSP360" s="598"/>
      <c r="NSQ360" s="598"/>
      <c r="NSR360" s="598"/>
      <c r="NSS360" s="598"/>
      <c r="NST360" s="598"/>
      <c r="NSU360" s="598"/>
      <c r="NSV360" s="598"/>
      <c r="NSW360" s="598"/>
      <c r="NSX360" s="598"/>
      <c r="NSY360" s="598"/>
      <c r="NSZ360" s="598"/>
      <c r="NTA360" s="598"/>
      <c r="NTB360" s="598"/>
      <c r="NTC360" s="598"/>
      <c r="NTD360" s="598"/>
      <c r="NTE360" s="598"/>
      <c r="NTF360" s="598"/>
      <c r="NTG360" s="598"/>
      <c r="NTH360" s="598"/>
      <c r="NTI360" s="598"/>
      <c r="NTJ360" s="598"/>
      <c r="NTK360" s="598"/>
      <c r="NTL360" s="598"/>
      <c r="NTM360" s="598"/>
      <c r="NTN360" s="598"/>
      <c r="NTO360" s="598"/>
      <c r="NTP360" s="598"/>
      <c r="NTQ360" s="598"/>
      <c r="NTR360" s="598"/>
      <c r="NTS360" s="598"/>
      <c r="NTT360" s="598"/>
      <c r="NTU360" s="598"/>
      <c r="NTV360" s="598"/>
      <c r="NTW360" s="598"/>
      <c r="NTX360" s="598"/>
      <c r="NTY360" s="598"/>
      <c r="NTZ360" s="598"/>
      <c r="NUA360" s="598"/>
      <c r="NUB360" s="598"/>
      <c r="NUC360" s="598"/>
      <c r="NUD360" s="598"/>
      <c r="NUE360" s="598"/>
      <c r="NUF360" s="598"/>
      <c r="NUG360" s="598"/>
      <c r="NUH360" s="598"/>
      <c r="NUI360" s="598"/>
      <c r="NUJ360" s="598"/>
      <c r="NUK360" s="598"/>
      <c r="NUL360" s="598"/>
      <c r="NUM360" s="598"/>
      <c r="NUN360" s="598"/>
      <c r="NUO360" s="598"/>
      <c r="NUP360" s="598"/>
      <c r="NUQ360" s="598"/>
      <c r="NUR360" s="598"/>
      <c r="NUS360" s="598"/>
      <c r="NUT360" s="598"/>
      <c r="NUU360" s="598"/>
      <c r="NUV360" s="598"/>
      <c r="NUW360" s="598"/>
      <c r="NUX360" s="598"/>
      <c r="NUY360" s="598"/>
      <c r="NUZ360" s="598"/>
      <c r="NVA360" s="598"/>
      <c r="NVB360" s="598"/>
      <c r="NVC360" s="598"/>
      <c r="NVD360" s="598"/>
      <c r="NVE360" s="598"/>
      <c r="NVF360" s="598"/>
      <c r="NVG360" s="598"/>
      <c r="NVH360" s="598"/>
      <c r="NVI360" s="598"/>
      <c r="NVJ360" s="598"/>
      <c r="NVK360" s="598"/>
      <c r="NVL360" s="598"/>
      <c r="NVM360" s="598"/>
      <c r="NVN360" s="598"/>
      <c r="NVO360" s="598"/>
      <c r="NVP360" s="598"/>
      <c r="NVQ360" s="598"/>
      <c r="NVR360" s="598"/>
      <c r="NVS360" s="598"/>
      <c r="NVT360" s="598"/>
      <c r="NVU360" s="598"/>
      <c r="NVV360" s="598"/>
      <c r="NVW360" s="598"/>
      <c r="NVX360" s="598"/>
      <c r="NVY360" s="598"/>
      <c r="NVZ360" s="598"/>
      <c r="NWA360" s="598"/>
      <c r="NWB360" s="598"/>
      <c r="NWC360" s="598"/>
      <c r="NWD360" s="598"/>
      <c r="NWE360" s="598"/>
      <c r="NWF360" s="598"/>
      <c r="NWG360" s="598"/>
      <c r="NWH360" s="598"/>
      <c r="NWI360" s="598"/>
      <c r="NWJ360" s="598"/>
      <c r="NWK360" s="598"/>
      <c r="NWL360" s="598"/>
      <c r="NWM360" s="598"/>
      <c r="NWN360" s="598"/>
      <c r="NWO360" s="598"/>
      <c r="NWP360" s="598"/>
      <c r="NWQ360" s="598"/>
      <c r="NWR360" s="598"/>
      <c r="NWS360" s="598"/>
      <c r="NWT360" s="598"/>
      <c r="NWU360" s="598"/>
      <c r="NWV360" s="598"/>
      <c r="NWW360" s="598"/>
      <c r="NWX360" s="598"/>
      <c r="NWY360" s="598"/>
      <c r="NWZ360" s="598"/>
      <c r="NXA360" s="598"/>
      <c r="NXB360" s="598"/>
      <c r="NXC360" s="598"/>
      <c r="NXD360" s="598"/>
      <c r="NXE360" s="598"/>
      <c r="NXF360" s="598"/>
      <c r="NXG360" s="598"/>
      <c r="NXH360" s="598"/>
      <c r="NXI360" s="598"/>
      <c r="NXJ360" s="598"/>
      <c r="NXK360" s="598"/>
      <c r="NXL360" s="598"/>
      <c r="NXM360" s="598"/>
      <c r="NXN360" s="598"/>
      <c r="NXO360" s="598"/>
      <c r="NXP360" s="598"/>
      <c r="NXQ360" s="598"/>
      <c r="NXR360" s="598"/>
      <c r="NXS360" s="598"/>
      <c r="NXT360" s="598"/>
      <c r="NXU360" s="598"/>
      <c r="NXV360" s="598"/>
      <c r="NXW360" s="598"/>
      <c r="NXX360" s="598"/>
      <c r="NXY360" s="598"/>
      <c r="NXZ360" s="598"/>
      <c r="NYA360" s="598"/>
      <c r="NYB360" s="598"/>
      <c r="NYC360" s="598"/>
      <c r="NYD360" s="598"/>
      <c r="NYE360" s="598"/>
      <c r="NYF360" s="598"/>
      <c r="NYG360" s="598"/>
      <c r="NYH360" s="598"/>
      <c r="NYI360" s="598"/>
      <c r="NYJ360" s="598"/>
      <c r="NYK360" s="598"/>
      <c r="NYL360" s="598"/>
      <c r="NYM360" s="598"/>
      <c r="NYN360" s="598"/>
      <c r="NYO360" s="598"/>
      <c r="NYP360" s="598"/>
      <c r="NYQ360" s="598"/>
      <c r="NYR360" s="598"/>
      <c r="NYS360" s="598"/>
      <c r="NYT360" s="598"/>
      <c r="NYU360" s="598"/>
      <c r="NYV360" s="598"/>
      <c r="NYW360" s="598"/>
      <c r="NYX360" s="598"/>
      <c r="NYY360" s="598"/>
      <c r="NYZ360" s="598"/>
      <c r="NZA360" s="598"/>
      <c r="NZB360" s="598"/>
      <c r="NZC360" s="598"/>
      <c r="NZD360" s="598"/>
      <c r="NZE360" s="598"/>
      <c r="NZF360" s="598"/>
      <c r="NZG360" s="598"/>
      <c r="NZH360" s="598"/>
      <c r="NZI360" s="598"/>
      <c r="NZJ360" s="598"/>
      <c r="NZK360" s="598"/>
      <c r="NZL360" s="598"/>
      <c r="NZM360" s="598"/>
      <c r="NZN360" s="598"/>
      <c r="NZO360" s="598"/>
      <c r="NZP360" s="598"/>
      <c r="NZQ360" s="598"/>
      <c r="NZR360" s="598"/>
      <c r="NZS360" s="598"/>
      <c r="NZT360" s="598"/>
      <c r="NZU360" s="598"/>
      <c r="NZV360" s="598"/>
      <c r="NZW360" s="598"/>
      <c r="NZX360" s="598"/>
      <c r="NZY360" s="598"/>
      <c r="NZZ360" s="598"/>
      <c r="OAA360" s="598"/>
      <c r="OAB360" s="598"/>
      <c r="OAC360" s="598"/>
      <c r="OAD360" s="598"/>
      <c r="OAE360" s="598"/>
      <c r="OAF360" s="598"/>
      <c r="OAG360" s="598"/>
      <c r="OAH360" s="598"/>
      <c r="OAI360" s="598"/>
      <c r="OAJ360" s="598"/>
      <c r="OAK360" s="598"/>
      <c r="OAL360" s="598"/>
      <c r="OAM360" s="598"/>
      <c r="OAN360" s="598"/>
      <c r="OAO360" s="598"/>
      <c r="OAP360" s="598"/>
      <c r="OAQ360" s="598"/>
      <c r="OAR360" s="598"/>
      <c r="OAS360" s="598"/>
      <c r="OAT360" s="598"/>
      <c r="OAU360" s="598"/>
      <c r="OAV360" s="598"/>
      <c r="OAW360" s="598"/>
      <c r="OAX360" s="598"/>
      <c r="OAY360" s="598"/>
      <c r="OAZ360" s="598"/>
      <c r="OBA360" s="598"/>
      <c r="OBB360" s="598"/>
      <c r="OBC360" s="598"/>
      <c r="OBD360" s="598"/>
      <c r="OBE360" s="598"/>
      <c r="OBF360" s="598"/>
      <c r="OBG360" s="598"/>
      <c r="OBH360" s="598"/>
      <c r="OBI360" s="598"/>
      <c r="OBJ360" s="598"/>
      <c r="OBK360" s="598"/>
      <c r="OBL360" s="598"/>
      <c r="OBM360" s="598"/>
      <c r="OBN360" s="598"/>
      <c r="OBO360" s="598"/>
      <c r="OBP360" s="598"/>
      <c r="OBQ360" s="598"/>
      <c r="OBR360" s="598"/>
      <c r="OBS360" s="598"/>
      <c r="OBT360" s="598"/>
      <c r="OBU360" s="598"/>
      <c r="OBV360" s="598"/>
      <c r="OBW360" s="598"/>
      <c r="OBX360" s="598"/>
      <c r="OBY360" s="598"/>
      <c r="OBZ360" s="598"/>
      <c r="OCA360" s="598"/>
      <c r="OCB360" s="598"/>
      <c r="OCC360" s="598"/>
      <c r="OCD360" s="598"/>
      <c r="OCE360" s="598"/>
      <c r="OCF360" s="598"/>
      <c r="OCG360" s="598"/>
      <c r="OCH360" s="598"/>
      <c r="OCI360" s="598"/>
      <c r="OCJ360" s="598"/>
      <c r="OCK360" s="598"/>
      <c r="OCL360" s="598"/>
      <c r="OCM360" s="598"/>
      <c r="OCN360" s="598"/>
      <c r="OCO360" s="598"/>
      <c r="OCP360" s="598"/>
      <c r="OCQ360" s="598"/>
      <c r="OCR360" s="598"/>
      <c r="OCS360" s="598"/>
      <c r="OCT360" s="598"/>
      <c r="OCU360" s="598"/>
      <c r="OCV360" s="598"/>
      <c r="OCW360" s="598"/>
      <c r="OCX360" s="598"/>
      <c r="OCY360" s="598"/>
      <c r="OCZ360" s="598"/>
      <c r="ODA360" s="598"/>
      <c r="ODB360" s="598"/>
      <c r="ODC360" s="598"/>
      <c r="ODD360" s="598"/>
      <c r="ODE360" s="598"/>
      <c r="ODF360" s="598"/>
      <c r="ODG360" s="598"/>
      <c r="ODH360" s="598"/>
      <c r="ODI360" s="598"/>
      <c r="ODJ360" s="598"/>
      <c r="ODK360" s="598"/>
      <c r="ODL360" s="598"/>
      <c r="ODM360" s="598"/>
      <c r="ODN360" s="598"/>
      <c r="ODO360" s="598"/>
      <c r="ODP360" s="598"/>
      <c r="ODQ360" s="598"/>
      <c r="ODR360" s="598"/>
      <c r="ODS360" s="598"/>
      <c r="ODT360" s="598"/>
      <c r="ODU360" s="598"/>
      <c r="ODV360" s="598"/>
      <c r="ODW360" s="598"/>
      <c r="ODX360" s="598"/>
      <c r="ODY360" s="598"/>
      <c r="ODZ360" s="598"/>
      <c r="OEA360" s="598"/>
      <c r="OEB360" s="598"/>
      <c r="OEC360" s="598"/>
      <c r="OED360" s="598"/>
      <c r="OEE360" s="598"/>
      <c r="OEF360" s="598"/>
      <c r="OEG360" s="598"/>
      <c r="OEH360" s="598"/>
      <c r="OEI360" s="598"/>
      <c r="OEJ360" s="598"/>
      <c r="OEK360" s="598"/>
      <c r="OEL360" s="598"/>
      <c r="OEM360" s="598"/>
      <c r="OEN360" s="598"/>
      <c r="OEO360" s="598"/>
      <c r="OEP360" s="598"/>
      <c r="OEQ360" s="598"/>
      <c r="OER360" s="598"/>
      <c r="OES360" s="598"/>
      <c r="OET360" s="598"/>
      <c r="OEU360" s="598"/>
      <c r="OEV360" s="598"/>
      <c r="OEW360" s="598"/>
      <c r="OEX360" s="598"/>
      <c r="OEY360" s="598"/>
      <c r="OEZ360" s="598"/>
      <c r="OFA360" s="598"/>
      <c r="OFB360" s="598"/>
      <c r="OFC360" s="598"/>
      <c r="OFD360" s="598"/>
      <c r="OFE360" s="598"/>
      <c r="OFF360" s="598"/>
      <c r="OFG360" s="598"/>
      <c r="OFH360" s="598"/>
      <c r="OFI360" s="598"/>
      <c r="OFJ360" s="598"/>
      <c r="OFK360" s="598"/>
      <c r="OFL360" s="598"/>
      <c r="OFM360" s="598"/>
      <c r="OFN360" s="598"/>
      <c r="OFO360" s="598"/>
      <c r="OFP360" s="598"/>
      <c r="OFQ360" s="598"/>
      <c r="OFR360" s="598"/>
      <c r="OFS360" s="598"/>
      <c r="OFT360" s="598"/>
      <c r="OFU360" s="598"/>
      <c r="OFV360" s="598"/>
      <c r="OFW360" s="598"/>
      <c r="OFX360" s="598"/>
      <c r="OFY360" s="598"/>
      <c r="OFZ360" s="598"/>
      <c r="OGA360" s="598"/>
      <c r="OGB360" s="598"/>
      <c r="OGC360" s="598"/>
      <c r="OGD360" s="598"/>
      <c r="OGE360" s="598"/>
      <c r="OGF360" s="598"/>
      <c r="OGG360" s="598"/>
      <c r="OGH360" s="598"/>
      <c r="OGI360" s="598"/>
      <c r="OGJ360" s="598"/>
      <c r="OGK360" s="598"/>
      <c r="OGL360" s="598"/>
      <c r="OGM360" s="598"/>
      <c r="OGN360" s="598"/>
      <c r="OGO360" s="598"/>
      <c r="OGP360" s="598"/>
      <c r="OGQ360" s="598"/>
      <c r="OGR360" s="598"/>
      <c r="OGS360" s="598"/>
      <c r="OGT360" s="598"/>
      <c r="OGU360" s="598"/>
      <c r="OGV360" s="598"/>
      <c r="OGW360" s="598"/>
      <c r="OGX360" s="598"/>
      <c r="OGY360" s="598"/>
      <c r="OGZ360" s="598"/>
      <c r="OHA360" s="598"/>
      <c r="OHB360" s="598"/>
      <c r="OHC360" s="598"/>
      <c r="OHD360" s="598"/>
      <c r="OHE360" s="598"/>
      <c r="OHF360" s="598"/>
      <c r="OHG360" s="598"/>
      <c r="OHH360" s="598"/>
      <c r="OHI360" s="598"/>
      <c r="OHJ360" s="598"/>
      <c r="OHK360" s="598"/>
      <c r="OHL360" s="598"/>
      <c r="OHM360" s="598"/>
      <c r="OHN360" s="598"/>
      <c r="OHO360" s="598"/>
      <c r="OHP360" s="598"/>
      <c r="OHQ360" s="598"/>
      <c r="OHR360" s="598"/>
      <c r="OHS360" s="598"/>
      <c r="OHT360" s="598"/>
      <c r="OHU360" s="598"/>
      <c r="OHV360" s="598"/>
      <c r="OHW360" s="598"/>
      <c r="OHX360" s="598"/>
      <c r="OHY360" s="598"/>
      <c r="OHZ360" s="598"/>
      <c r="OIA360" s="598"/>
      <c r="OIB360" s="598"/>
      <c r="OIC360" s="598"/>
      <c r="OID360" s="598"/>
      <c r="OIE360" s="598"/>
      <c r="OIF360" s="598"/>
      <c r="OIG360" s="598"/>
      <c r="OIH360" s="598"/>
      <c r="OII360" s="598"/>
      <c r="OIJ360" s="598"/>
      <c r="OIK360" s="598"/>
      <c r="OIL360" s="598"/>
      <c r="OIM360" s="598"/>
      <c r="OIN360" s="598"/>
      <c r="OIO360" s="598"/>
      <c r="OIP360" s="598"/>
      <c r="OIQ360" s="598"/>
      <c r="OIR360" s="598"/>
      <c r="OIS360" s="598"/>
      <c r="OIT360" s="598"/>
      <c r="OIU360" s="598"/>
      <c r="OIV360" s="598"/>
      <c r="OIW360" s="598"/>
      <c r="OIX360" s="598"/>
      <c r="OIY360" s="598"/>
      <c r="OIZ360" s="598"/>
      <c r="OJA360" s="598"/>
      <c r="OJB360" s="598"/>
      <c r="OJC360" s="598"/>
      <c r="OJD360" s="598"/>
      <c r="OJE360" s="598"/>
      <c r="OJF360" s="598"/>
      <c r="OJG360" s="598"/>
      <c r="OJH360" s="598"/>
      <c r="OJI360" s="598"/>
      <c r="OJJ360" s="598"/>
      <c r="OJK360" s="598"/>
      <c r="OJL360" s="598"/>
      <c r="OJM360" s="598"/>
      <c r="OJN360" s="598"/>
      <c r="OJO360" s="598"/>
      <c r="OJP360" s="598"/>
      <c r="OJQ360" s="598"/>
      <c r="OJR360" s="598"/>
      <c r="OJS360" s="598"/>
      <c r="OJT360" s="598"/>
      <c r="OJU360" s="598"/>
      <c r="OJV360" s="598"/>
      <c r="OJW360" s="598"/>
      <c r="OJX360" s="598"/>
      <c r="OJY360" s="598"/>
      <c r="OJZ360" s="598"/>
      <c r="OKA360" s="598"/>
      <c r="OKB360" s="598"/>
      <c r="OKC360" s="598"/>
      <c r="OKD360" s="598"/>
      <c r="OKE360" s="598"/>
      <c r="OKF360" s="598"/>
      <c r="OKG360" s="598"/>
      <c r="OKH360" s="598"/>
      <c r="OKI360" s="598"/>
      <c r="OKJ360" s="598"/>
      <c r="OKK360" s="598"/>
      <c r="OKL360" s="598"/>
      <c r="OKM360" s="598"/>
      <c r="OKN360" s="598"/>
      <c r="OKO360" s="598"/>
      <c r="OKP360" s="598"/>
      <c r="OKQ360" s="598"/>
      <c r="OKR360" s="598"/>
      <c r="OKS360" s="598"/>
      <c r="OKT360" s="598"/>
      <c r="OKU360" s="598"/>
      <c r="OKV360" s="598"/>
      <c r="OKW360" s="598"/>
      <c r="OKX360" s="598"/>
      <c r="OKY360" s="598"/>
      <c r="OKZ360" s="598"/>
      <c r="OLA360" s="598"/>
      <c r="OLB360" s="598"/>
      <c r="OLC360" s="598"/>
      <c r="OLD360" s="598"/>
      <c r="OLE360" s="598"/>
      <c r="OLF360" s="598"/>
      <c r="OLG360" s="598"/>
      <c r="OLH360" s="598"/>
      <c r="OLI360" s="598"/>
      <c r="OLJ360" s="598"/>
      <c r="OLK360" s="598"/>
      <c r="OLL360" s="598"/>
      <c r="OLM360" s="598"/>
      <c r="OLN360" s="598"/>
      <c r="OLO360" s="598"/>
      <c r="OLP360" s="598"/>
      <c r="OLQ360" s="598"/>
      <c r="OLR360" s="598"/>
      <c r="OLS360" s="598"/>
      <c r="OLT360" s="598"/>
      <c r="OLU360" s="598"/>
      <c r="OLV360" s="598"/>
      <c r="OLW360" s="598"/>
      <c r="OLX360" s="598"/>
      <c r="OLY360" s="598"/>
      <c r="OLZ360" s="598"/>
      <c r="OMA360" s="598"/>
      <c r="OMB360" s="598"/>
      <c r="OMC360" s="598"/>
      <c r="OMD360" s="598"/>
      <c r="OME360" s="598"/>
      <c r="OMF360" s="598"/>
      <c r="OMG360" s="598"/>
      <c r="OMH360" s="598"/>
      <c r="OMI360" s="598"/>
      <c r="OMJ360" s="598"/>
      <c r="OMK360" s="598"/>
      <c r="OML360" s="598"/>
      <c r="OMM360" s="598"/>
      <c r="OMN360" s="598"/>
      <c r="OMO360" s="598"/>
      <c r="OMP360" s="598"/>
      <c r="OMQ360" s="598"/>
      <c r="OMR360" s="598"/>
      <c r="OMS360" s="598"/>
      <c r="OMT360" s="598"/>
      <c r="OMU360" s="598"/>
      <c r="OMV360" s="598"/>
      <c r="OMW360" s="598"/>
      <c r="OMX360" s="598"/>
      <c r="OMY360" s="598"/>
      <c r="OMZ360" s="598"/>
      <c r="ONA360" s="598"/>
      <c r="ONB360" s="598"/>
      <c r="ONC360" s="598"/>
      <c r="OND360" s="598"/>
      <c r="ONE360" s="598"/>
      <c r="ONF360" s="598"/>
      <c r="ONG360" s="598"/>
      <c r="ONH360" s="598"/>
      <c r="ONI360" s="598"/>
      <c r="ONJ360" s="598"/>
      <c r="ONK360" s="598"/>
      <c r="ONL360" s="598"/>
      <c r="ONM360" s="598"/>
      <c r="ONN360" s="598"/>
      <c r="ONO360" s="598"/>
      <c r="ONP360" s="598"/>
      <c r="ONQ360" s="598"/>
      <c r="ONR360" s="598"/>
      <c r="ONS360" s="598"/>
      <c r="ONT360" s="598"/>
      <c r="ONU360" s="598"/>
      <c r="ONV360" s="598"/>
      <c r="ONW360" s="598"/>
      <c r="ONX360" s="598"/>
      <c r="ONY360" s="598"/>
      <c r="ONZ360" s="598"/>
      <c r="OOA360" s="598"/>
      <c r="OOB360" s="598"/>
      <c r="OOC360" s="598"/>
      <c r="OOD360" s="598"/>
      <c r="OOE360" s="598"/>
      <c r="OOF360" s="598"/>
      <c r="OOG360" s="598"/>
      <c r="OOH360" s="598"/>
      <c r="OOI360" s="598"/>
      <c r="OOJ360" s="598"/>
      <c r="OOK360" s="598"/>
      <c r="OOL360" s="598"/>
      <c r="OOM360" s="598"/>
      <c r="OON360" s="598"/>
      <c r="OOO360" s="598"/>
      <c r="OOP360" s="598"/>
      <c r="OOQ360" s="598"/>
      <c r="OOR360" s="598"/>
      <c r="OOS360" s="598"/>
      <c r="OOT360" s="598"/>
      <c r="OOU360" s="598"/>
      <c r="OOV360" s="598"/>
      <c r="OOW360" s="598"/>
      <c r="OOX360" s="598"/>
      <c r="OOY360" s="598"/>
      <c r="OOZ360" s="598"/>
      <c r="OPA360" s="598"/>
      <c r="OPB360" s="598"/>
      <c r="OPC360" s="598"/>
      <c r="OPD360" s="598"/>
      <c r="OPE360" s="598"/>
      <c r="OPF360" s="598"/>
      <c r="OPG360" s="598"/>
      <c r="OPH360" s="598"/>
      <c r="OPI360" s="598"/>
      <c r="OPJ360" s="598"/>
      <c r="OPK360" s="598"/>
      <c r="OPL360" s="598"/>
      <c r="OPM360" s="598"/>
      <c r="OPN360" s="598"/>
      <c r="OPO360" s="598"/>
      <c r="OPP360" s="598"/>
      <c r="OPQ360" s="598"/>
      <c r="OPR360" s="598"/>
      <c r="OPS360" s="598"/>
      <c r="OPT360" s="598"/>
      <c r="OPU360" s="598"/>
      <c r="OPV360" s="598"/>
      <c r="OPW360" s="598"/>
      <c r="OPX360" s="598"/>
      <c r="OPY360" s="598"/>
      <c r="OPZ360" s="598"/>
      <c r="OQA360" s="598"/>
      <c r="OQB360" s="598"/>
      <c r="OQC360" s="598"/>
      <c r="OQD360" s="598"/>
      <c r="OQE360" s="598"/>
      <c r="OQF360" s="598"/>
      <c r="OQG360" s="598"/>
      <c r="OQH360" s="598"/>
      <c r="OQI360" s="598"/>
      <c r="OQJ360" s="598"/>
      <c r="OQK360" s="598"/>
      <c r="OQL360" s="598"/>
      <c r="OQM360" s="598"/>
      <c r="OQN360" s="598"/>
      <c r="OQO360" s="598"/>
      <c r="OQP360" s="598"/>
      <c r="OQQ360" s="598"/>
      <c r="OQR360" s="598"/>
      <c r="OQS360" s="598"/>
      <c r="OQT360" s="598"/>
      <c r="OQU360" s="598"/>
      <c r="OQV360" s="598"/>
      <c r="OQW360" s="598"/>
      <c r="OQX360" s="598"/>
      <c r="OQY360" s="598"/>
      <c r="OQZ360" s="598"/>
      <c r="ORA360" s="598"/>
      <c r="ORB360" s="598"/>
      <c r="ORC360" s="598"/>
      <c r="ORD360" s="598"/>
      <c r="ORE360" s="598"/>
      <c r="ORF360" s="598"/>
      <c r="ORG360" s="598"/>
      <c r="ORH360" s="598"/>
      <c r="ORI360" s="598"/>
      <c r="ORJ360" s="598"/>
      <c r="ORK360" s="598"/>
      <c r="ORL360" s="598"/>
      <c r="ORM360" s="598"/>
      <c r="ORN360" s="598"/>
      <c r="ORO360" s="598"/>
      <c r="ORP360" s="598"/>
      <c r="ORQ360" s="598"/>
      <c r="ORR360" s="598"/>
      <c r="ORS360" s="598"/>
      <c r="ORT360" s="598"/>
      <c r="ORU360" s="598"/>
      <c r="ORV360" s="598"/>
      <c r="ORW360" s="598"/>
      <c r="ORX360" s="598"/>
      <c r="ORY360" s="598"/>
      <c r="ORZ360" s="598"/>
      <c r="OSA360" s="598"/>
      <c r="OSB360" s="598"/>
      <c r="OSC360" s="598"/>
      <c r="OSD360" s="598"/>
      <c r="OSE360" s="598"/>
      <c r="OSF360" s="598"/>
      <c r="OSG360" s="598"/>
      <c r="OSH360" s="598"/>
      <c r="OSI360" s="598"/>
      <c r="OSJ360" s="598"/>
      <c r="OSK360" s="598"/>
      <c r="OSL360" s="598"/>
      <c r="OSM360" s="598"/>
      <c r="OSN360" s="598"/>
      <c r="OSO360" s="598"/>
      <c r="OSP360" s="598"/>
      <c r="OSQ360" s="598"/>
      <c r="OSR360" s="598"/>
      <c r="OSS360" s="598"/>
      <c r="OST360" s="598"/>
      <c r="OSU360" s="598"/>
      <c r="OSV360" s="598"/>
      <c r="OSW360" s="598"/>
      <c r="OSX360" s="598"/>
      <c r="OSY360" s="598"/>
      <c r="OSZ360" s="598"/>
      <c r="OTA360" s="598"/>
      <c r="OTB360" s="598"/>
      <c r="OTC360" s="598"/>
      <c r="OTD360" s="598"/>
      <c r="OTE360" s="598"/>
      <c r="OTF360" s="598"/>
      <c r="OTG360" s="598"/>
      <c r="OTH360" s="598"/>
      <c r="OTI360" s="598"/>
      <c r="OTJ360" s="598"/>
      <c r="OTK360" s="598"/>
      <c r="OTL360" s="598"/>
      <c r="OTM360" s="598"/>
      <c r="OTN360" s="598"/>
      <c r="OTO360" s="598"/>
      <c r="OTP360" s="598"/>
      <c r="OTQ360" s="598"/>
      <c r="OTR360" s="598"/>
      <c r="OTS360" s="598"/>
      <c r="OTT360" s="598"/>
      <c r="OTU360" s="598"/>
      <c r="OTV360" s="598"/>
      <c r="OTW360" s="598"/>
      <c r="OTX360" s="598"/>
      <c r="OTY360" s="598"/>
      <c r="OTZ360" s="598"/>
      <c r="OUA360" s="598"/>
      <c r="OUB360" s="598"/>
      <c r="OUC360" s="598"/>
      <c r="OUD360" s="598"/>
      <c r="OUE360" s="598"/>
      <c r="OUF360" s="598"/>
      <c r="OUG360" s="598"/>
      <c r="OUH360" s="598"/>
      <c r="OUI360" s="598"/>
      <c r="OUJ360" s="598"/>
      <c r="OUK360" s="598"/>
      <c r="OUL360" s="598"/>
      <c r="OUM360" s="598"/>
      <c r="OUN360" s="598"/>
      <c r="OUO360" s="598"/>
      <c r="OUP360" s="598"/>
      <c r="OUQ360" s="598"/>
      <c r="OUR360" s="598"/>
      <c r="OUS360" s="598"/>
      <c r="OUT360" s="598"/>
      <c r="OUU360" s="598"/>
      <c r="OUV360" s="598"/>
      <c r="OUW360" s="598"/>
      <c r="OUX360" s="598"/>
      <c r="OUY360" s="598"/>
      <c r="OUZ360" s="598"/>
      <c r="OVA360" s="598"/>
      <c r="OVB360" s="598"/>
      <c r="OVC360" s="598"/>
      <c r="OVD360" s="598"/>
      <c r="OVE360" s="598"/>
      <c r="OVF360" s="598"/>
      <c r="OVG360" s="598"/>
      <c r="OVH360" s="598"/>
      <c r="OVI360" s="598"/>
      <c r="OVJ360" s="598"/>
      <c r="OVK360" s="598"/>
      <c r="OVL360" s="598"/>
      <c r="OVM360" s="598"/>
      <c r="OVN360" s="598"/>
      <c r="OVO360" s="598"/>
      <c r="OVP360" s="598"/>
      <c r="OVQ360" s="598"/>
      <c r="OVR360" s="598"/>
      <c r="OVS360" s="598"/>
      <c r="OVT360" s="598"/>
      <c r="OVU360" s="598"/>
      <c r="OVV360" s="598"/>
      <c r="OVW360" s="598"/>
      <c r="OVX360" s="598"/>
      <c r="OVY360" s="598"/>
      <c r="OVZ360" s="598"/>
      <c r="OWA360" s="598"/>
      <c r="OWB360" s="598"/>
      <c r="OWC360" s="598"/>
      <c r="OWD360" s="598"/>
      <c r="OWE360" s="598"/>
      <c r="OWF360" s="598"/>
      <c r="OWG360" s="598"/>
      <c r="OWH360" s="598"/>
      <c r="OWI360" s="598"/>
      <c r="OWJ360" s="598"/>
      <c r="OWK360" s="598"/>
      <c r="OWL360" s="598"/>
      <c r="OWM360" s="598"/>
      <c r="OWN360" s="598"/>
      <c r="OWO360" s="598"/>
      <c r="OWP360" s="598"/>
      <c r="OWQ360" s="598"/>
      <c r="OWR360" s="598"/>
      <c r="OWS360" s="598"/>
      <c r="OWT360" s="598"/>
      <c r="OWU360" s="598"/>
      <c r="OWV360" s="598"/>
      <c r="OWW360" s="598"/>
      <c r="OWX360" s="598"/>
      <c r="OWY360" s="598"/>
      <c r="OWZ360" s="598"/>
      <c r="OXA360" s="598"/>
      <c r="OXB360" s="598"/>
      <c r="OXC360" s="598"/>
      <c r="OXD360" s="598"/>
      <c r="OXE360" s="598"/>
      <c r="OXF360" s="598"/>
      <c r="OXG360" s="598"/>
      <c r="OXH360" s="598"/>
      <c r="OXI360" s="598"/>
      <c r="OXJ360" s="598"/>
      <c r="OXK360" s="598"/>
      <c r="OXL360" s="598"/>
      <c r="OXM360" s="598"/>
      <c r="OXN360" s="598"/>
      <c r="OXO360" s="598"/>
      <c r="OXP360" s="598"/>
      <c r="OXQ360" s="598"/>
      <c r="OXR360" s="598"/>
      <c r="OXS360" s="598"/>
      <c r="OXT360" s="598"/>
      <c r="OXU360" s="598"/>
      <c r="OXV360" s="598"/>
      <c r="OXW360" s="598"/>
      <c r="OXX360" s="598"/>
      <c r="OXY360" s="598"/>
      <c r="OXZ360" s="598"/>
      <c r="OYA360" s="598"/>
      <c r="OYB360" s="598"/>
      <c r="OYC360" s="598"/>
      <c r="OYD360" s="598"/>
      <c r="OYE360" s="598"/>
      <c r="OYF360" s="598"/>
      <c r="OYG360" s="598"/>
      <c r="OYH360" s="598"/>
      <c r="OYI360" s="598"/>
      <c r="OYJ360" s="598"/>
      <c r="OYK360" s="598"/>
      <c r="OYL360" s="598"/>
      <c r="OYM360" s="598"/>
      <c r="OYN360" s="598"/>
      <c r="OYO360" s="598"/>
      <c r="OYP360" s="598"/>
      <c r="OYQ360" s="598"/>
      <c r="OYR360" s="598"/>
      <c r="OYS360" s="598"/>
      <c r="OYT360" s="598"/>
      <c r="OYU360" s="598"/>
      <c r="OYV360" s="598"/>
      <c r="OYW360" s="598"/>
      <c r="OYX360" s="598"/>
      <c r="OYY360" s="598"/>
      <c r="OYZ360" s="598"/>
      <c r="OZA360" s="598"/>
      <c r="OZB360" s="598"/>
      <c r="OZC360" s="598"/>
      <c r="OZD360" s="598"/>
      <c r="OZE360" s="598"/>
      <c r="OZF360" s="598"/>
      <c r="OZG360" s="598"/>
      <c r="OZH360" s="598"/>
      <c r="OZI360" s="598"/>
      <c r="OZJ360" s="598"/>
      <c r="OZK360" s="598"/>
      <c r="OZL360" s="598"/>
      <c r="OZM360" s="598"/>
      <c r="OZN360" s="598"/>
      <c r="OZO360" s="598"/>
      <c r="OZP360" s="598"/>
      <c r="OZQ360" s="598"/>
      <c r="OZR360" s="598"/>
      <c r="OZS360" s="598"/>
      <c r="OZT360" s="598"/>
      <c r="OZU360" s="598"/>
      <c r="OZV360" s="598"/>
      <c r="OZW360" s="598"/>
      <c r="OZX360" s="598"/>
      <c r="OZY360" s="598"/>
      <c r="OZZ360" s="598"/>
      <c r="PAA360" s="598"/>
      <c r="PAB360" s="598"/>
      <c r="PAC360" s="598"/>
      <c r="PAD360" s="598"/>
      <c r="PAE360" s="598"/>
      <c r="PAF360" s="598"/>
      <c r="PAG360" s="598"/>
      <c r="PAH360" s="598"/>
      <c r="PAI360" s="598"/>
      <c r="PAJ360" s="598"/>
      <c r="PAK360" s="598"/>
      <c r="PAL360" s="598"/>
      <c r="PAM360" s="598"/>
      <c r="PAN360" s="598"/>
      <c r="PAO360" s="598"/>
      <c r="PAP360" s="598"/>
      <c r="PAQ360" s="598"/>
      <c r="PAR360" s="598"/>
      <c r="PAS360" s="598"/>
      <c r="PAT360" s="598"/>
      <c r="PAU360" s="598"/>
      <c r="PAV360" s="598"/>
      <c r="PAW360" s="598"/>
      <c r="PAX360" s="598"/>
      <c r="PAY360" s="598"/>
      <c r="PAZ360" s="598"/>
      <c r="PBA360" s="598"/>
      <c r="PBB360" s="598"/>
      <c r="PBC360" s="598"/>
      <c r="PBD360" s="598"/>
      <c r="PBE360" s="598"/>
      <c r="PBF360" s="598"/>
      <c r="PBG360" s="598"/>
      <c r="PBH360" s="598"/>
      <c r="PBI360" s="598"/>
      <c r="PBJ360" s="598"/>
      <c r="PBK360" s="598"/>
      <c r="PBL360" s="598"/>
      <c r="PBM360" s="598"/>
      <c r="PBN360" s="598"/>
      <c r="PBO360" s="598"/>
      <c r="PBP360" s="598"/>
      <c r="PBQ360" s="598"/>
      <c r="PBR360" s="598"/>
      <c r="PBS360" s="598"/>
      <c r="PBT360" s="598"/>
      <c r="PBU360" s="598"/>
      <c r="PBV360" s="598"/>
      <c r="PBW360" s="598"/>
      <c r="PBX360" s="598"/>
      <c r="PBY360" s="598"/>
      <c r="PBZ360" s="598"/>
      <c r="PCA360" s="598"/>
      <c r="PCB360" s="598"/>
      <c r="PCC360" s="598"/>
      <c r="PCD360" s="598"/>
      <c r="PCE360" s="598"/>
      <c r="PCF360" s="598"/>
      <c r="PCG360" s="598"/>
      <c r="PCH360" s="598"/>
      <c r="PCI360" s="598"/>
      <c r="PCJ360" s="598"/>
      <c r="PCK360" s="598"/>
      <c r="PCL360" s="598"/>
      <c r="PCM360" s="598"/>
      <c r="PCN360" s="598"/>
      <c r="PCO360" s="598"/>
      <c r="PCP360" s="598"/>
      <c r="PCQ360" s="598"/>
      <c r="PCR360" s="598"/>
      <c r="PCS360" s="598"/>
      <c r="PCT360" s="598"/>
      <c r="PCU360" s="598"/>
      <c r="PCV360" s="598"/>
      <c r="PCW360" s="598"/>
      <c r="PCX360" s="598"/>
      <c r="PCY360" s="598"/>
      <c r="PCZ360" s="598"/>
      <c r="PDA360" s="598"/>
      <c r="PDB360" s="598"/>
      <c r="PDC360" s="598"/>
      <c r="PDD360" s="598"/>
      <c r="PDE360" s="598"/>
      <c r="PDF360" s="598"/>
      <c r="PDG360" s="598"/>
      <c r="PDH360" s="598"/>
      <c r="PDI360" s="598"/>
      <c r="PDJ360" s="598"/>
      <c r="PDK360" s="598"/>
      <c r="PDL360" s="598"/>
      <c r="PDM360" s="598"/>
      <c r="PDN360" s="598"/>
      <c r="PDO360" s="598"/>
      <c r="PDP360" s="598"/>
      <c r="PDQ360" s="598"/>
      <c r="PDR360" s="598"/>
      <c r="PDS360" s="598"/>
      <c r="PDT360" s="598"/>
      <c r="PDU360" s="598"/>
      <c r="PDV360" s="598"/>
      <c r="PDW360" s="598"/>
      <c r="PDX360" s="598"/>
      <c r="PDY360" s="598"/>
      <c r="PDZ360" s="598"/>
      <c r="PEA360" s="598"/>
      <c r="PEB360" s="598"/>
      <c r="PEC360" s="598"/>
      <c r="PED360" s="598"/>
      <c r="PEE360" s="598"/>
      <c r="PEF360" s="598"/>
      <c r="PEG360" s="598"/>
      <c r="PEH360" s="598"/>
      <c r="PEI360" s="598"/>
      <c r="PEJ360" s="598"/>
      <c r="PEK360" s="598"/>
      <c r="PEL360" s="598"/>
      <c r="PEM360" s="598"/>
      <c r="PEN360" s="598"/>
      <c r="PEO360" s="598"/>
      <c r="PEP360" s="598"/>
      <c r="PEQ360" s="598"/>
      <c r="PER360" s="598"/>
      <c r="PES360" s="598"/>
      <c r="PET360" s="598"/>
      <c r="PEU360" s="598"/>
      <c r="PEV360" s="598"/>
      <c r="PEW360" s="598"/>
      <c r="PEX360" s="598"/>
      <c r="PEY360" s="598"/>
      <c r="PEZ360" s="598"/>
      <c r="PFA360" s="598"/>
      <c r="PFB360" s="598"/>
      <c r="PFC360" s="598"/>
      <c r="PFD360" s="598"/>
      <c r="PFE360" s="598"/>
      <c r="PFF360" s="598"/>
      <c r="PFG360" s="598"/>
      <c r="PFH360" s="598"/>
      <c r="PFI360" s="598"/>
      <c r="PFJ360" s="598"/>
      <c r="PFK360" s="598"/>
      <c r="PFL360" s="598"/>
      <c r="PFM360" s="598"/>
      <c r="PFN360" s="598"/>
      <c r="PFO360" s="598"/>
      <c r="PFP360" s="598"/>
      <c r="PFQ360" s="598"/>
      <c r="PFR360" s="598"/>
      <c r="PFS360" s="598"/>
      <c r="PFT360" s="598"/>
      <c r="PFU360" s="598"/>
      <c r="PFV360" s="598"/>
      <c r="PFW360" s="598"/>
      <c r="PFX360" s="598"/>
      <c r="PFY360" s="598"/>
      <c r="PFZ360" s="598"/>
      <c r="PGA360" s="598"/>
      <c r="PGB360" s="598"/>
      <c r="PGC360" s="598"/>
      <c r="PGD360" s="598"/>
      <c r="PGE360" s="598"/>
      <c r="PGF360" s="598"/>
      <c r="PGG360" s="598"/>
      <c r="PGH360" s="598"/>
      <c r="PGI360" s="598"/>
      <c r="PGJ360" s="598"/>
      <c r="PGK360" s="598"/>
      <c r="PGL360" s="598"/>
      <c r="PGM360" s="598"/>
      <c r="PGN360" s="598"/>
      <c r="PGO360" s="598"/>
      <c r="PGP360" s="598"/>
      <c r="PGQ360" s="598"/>
      <c r="PGR360" s="598"/>
      <c r="PGS360" s="598"/>
      <c r="PGT360" s="598"/>
      <c r="PGU360" s="598"/>
      <c r="PGV360" s="598"/>
      <c r="PGW360" s="598"/>
      <c r="PGX360" s="598"/>
      <c r="PGY360" s="598"/>
      <c r="PGZ360" s="598"/>
      <c r="PHA360" s="598"/>
      <c r="PHB360" s="598"/>
      <c r="PHC360" s="598"/>
      <c r="PHD360" s="598"/>
      <c r="PHE360" s="598"/>
      <c r="PHF360" s="598"/>
      <c r="PHG360" s="598"/>
      <c r="PHH360" s="598"/>
      <c r="PHI360" s="598"/>
      <c r="PHJ360" s="598"/>
      <c r="PHK360" s="598"/>
      <c r="PHL360" s="598"/>
      <c r="PHM360" s="598"/>
      <c r="PHN360" s="598"/>
      <c r="PHO360" s="598"/>
      <c r="PHP360" s="598"/>
      <c r="PHQ360" s="598"/>
      <c r="PHR360" s="598"/>
      <c r="PHS360" s="598"/>
      <c r="PHT360" s="598"/>
      <c r="PHU360" s="598"/>
      <c r="PHV360" s="598"/>
      <c r="PHW360" s="598"/>
      <c r="PHX360" s="598"/>
      <c r="PHY360" s="598"/>
      <c r="PHZ360" s="598"/>
      <c r="PIA360" s="598"/>
      <c r="PIB360" s="598"/>
      <c r="PIC360" s="598"/>
      <c r="PID360" s="598"/>
      <c r="PIE360" s="598"/>
      <c r="PIF360" s="598"/>
      <c r="PIG360" s="598"/>
      <c r="PIH360" s="598"/>
      <c r="PII360" s="598"/>
      <c r="PIJ360" s="598"/>
      <c r="PIK360" s="598"/>
      <c r="PIL360" s="598"/>
      <c r="PIM360" s="598"/>
      <c r="PIN360" s="598"/>
      <c r="PIO360" s="598"/>
      <c r="PIP360" s="598"/>
      <c r="PIQ360" s="598"/>
      <c r="PIR360" s="598"/>
      <c r="PIS360" s="598"/>
      <c r="PIT360" s="598"/>
      <c r="PIU360" s="598"/>
      <c r="PIV360" s="598"/>
      <c r="PIW360" s="598"/>
      <c r="PIX360" s="598"/>
      <c r="PIY360" s="598"/>
      <c r="PIZ360" s="598"/>
      <c r="PJA360" s="598"/>
      <c r="PJB360" s="598"/>
      <c r="PJC360" s="598"/>
      <c r="PJD360" s="598"/>
      <c r="PJE360" s="598"/>
      <c r="PJF360" s="598"/>
      <c r="PJG360" s="598"/>
      <c r="PJH360" s="598"/>
      <c r="PJI360" s="598"/>
      <c r="PJJ360" s="598"/>
      <c r="PJK360" s="598"/>
      <c r="PJL360" s="598"/>
      <c r="PJM360" s="598"/>
      <c r="PJN360" s="598"/>
      <c r="PJO360" s="598"/>
      <c r="PJP360" s="598"/>
      <c r="PJQ360" s="598"/>
      <c r="PJR360" s="598"/>
      <c r="PJS360" s="598"/>
      <c r="PJT360" s="598"/>
      <c r="PJU360" s="598"/>
      <c r="PJV360" s="598"/>
      <c r="PJW360" s="598"/>
      <c r="PJX360" s="598"/>
      <c r="PJY360" s="598"/>
      <c r="PJZ360" s="598"/>
      <c r="PKA360" s="598"/>
      <c r="PKB360" s="598"/>
      <c r="PKC360" s="598"/>
      <c r="PKD360" s="598"/>
      <c r="PKE360" s="598"/>
      <c r="PKF360" s="598"/>
      <c r="PKG360" s="598"/>
      <c r="PKH360" s="598"/>
      <c r="PKI360" s="598"/>
      <c r="PKJ360" s="598"/>
      <c r="PKK360" s="598"/>
      <c r="PKL360" s="598"/>
      <c r="PKM360" s="598"/>
      <c r="PKN360" s="598"/>
      <c r="PKO360" s="598"/>
      <c r="PKP360" s="598"/>
      <c r="PKQ360" s="598"/>
      <c r="PKR360" s="598"/>
      <c r="PKS360" s="598"/>
      <c r="PKT360" s="598"/>
      <c r="PKU360" s="598"/>
      <c r="PKV360" s="598"/>
      <c r="PKW360" s="598"/>
      <c r="PKX360" s="598"/>
      <c r="PKY360" s="598"/>
      <c r="PKZ360" s="598"/>
      <c r="PLA360" s="598"/>
      <c r="PLB360" s="598"/>
      <c r="PLC360" s="598"/>
      <c r="PLD360" s="598"/>
      <c r="PLE360" s="598"/>
      <c r="PLF360" s="598"/>
      <c r="PLG360" s="598"/>
      <c r="PLH360" s="598"/>
      <c r="PLI360" s="598"/>
      <c r="PLJ360" s="598"/>
      <c r="PLK360" s="598"/>
      <c r="PLL360" s="598"/>
      <c r="PLM360" s="598"/>
      <c r="PLN360" s="598"/>
      <c r="PLO360" s="598"/>
      <c r="PLP360" s="598"/>
      <c r="PLQ360" s="598"/>
      <c r="PLR360" s="598"/>
      <c r="PLS360" s="598"/>
      <c r="PLT360" s="598"/>
      <c r="PLU360" s="598"/>
      <c r="PLV360" s="598"/>
      <c r="PLW360" s="598"/>
      <c r="PLX360" s="598"/>
      <c r="PLY360" s="598"/>
      <c r="PLZ360" s="598"/>
      <c r="PMA360" s="598"/>
      <c r="PMB360" s="598"/>
      <c r="PMC360" s="598"/>
      <c r="PMD360" s="598"/>
      <c r="PME360" s="598"/>
      <c r="PMF360" s="598"/>
      <c r="PMG360" s="598"/>
      <c r="PMH360" s="598"/>
      <c r="PMI360" s="598"/>
      <c r="PMJ360" s="598"/>
      <c r="PMK360" s="598"/>
      <c r="PML360" s="598"/>
      <c r="PMM360" s="598"/>
      <c r="PMN360" s="598"/>
      <c r="PMO360" s="598"/>
      <c r="PMP360" s="598"/>
      <c r="PMQ360" s="598"/>
      <c r="PMR360" s="598"/>
      <c r="PMS360" s="598"/>
      <c r="PMT360" s="598"/>
      <c r="PMU360" s="598"/>
      <c r="PMV360" s="598"/>
      <c r="PMW360" s="598"/>
      <c r="PMX360" s="598"/>
      <c r="PMY360" s="598"/>
      <c r="PMZ360" s="598"/>
      <c r="PNA360" s="598"/>
      <c r="PNB360" s="598"/>
      <c r="PNC360" s="598"/>
      <c r="PND360" s="598"/>
      <c r="PNE360" s="598"/>
      <c r="PNF360" s="598"/>
      <c r="PNG360" s="598"/>
      <c r="PNH360" s="598"/>
      <c r="PNI360" s="598"/>
      <c r="PNJ360" s="598"/>
      <c r="PNK360" s="598"/>
      <c r="PNL360" s="598"/>
      <c r="PNM360" s="598"/>
      <c r="PNN360" s="598"/>
      <c r="PNO360" s="598"/>
      <c r="PNP360" s="598"/>
      <c r="PNQ360" s="598"/>
      <c r="PNR360" s="598"/>
      <c r="PNS360" s="598"/>
      <c r="PNT360" s="598"/>
      <c r="PNU360" s="598"/>
      <c r="PNV360" s="598"/>
      <c r="PNW360" s="598"/>
      <c r="PNX360" s="598"/>
      <c r="PNY360" s="598"/>
      <c r="PNZ360" s="598"/>
      <c r="POA360" s="598"/>
      <c r="POB360" s="598"/>
      <c r="POC360" s="598"/>
      <c r="POD360" s="598"/>
      <c r="POE360" s="598"/>
      <c r="POF360" s="598"/>
      <c r="POG360" s="598"/>
      <c r="POH360" s="598"/>
      <c r="POI360" s="598"/>
      <c r="POJ360" s="598"/>
      <c r="POK360" s="598"/>
      <c r="POL360" s="598"/>
      <c r="POM360" s="598"/>
      <c r="PON360" s="598"/>
      <c r="POO360" s="598"/>
      <c r="POP360" s="598"/>
      <c r="POQ360" s="598"/>
      <c r="POR360" s="598"/>
      <c r="POS360" s="598"/>
      <c r="POT360" s="598"/>
      <c r="POU360" s="598"/>
      <c r="POV360" s="598"/>
      <c r="POW360" s="598"/>
      <c r="POX360" s="598"/>
      <c r="POY360" s="598"/>
      <c r="POZ360" s="598"/>
      <c r="PPA360" s="598"/>
      <c r="PPB360" s="598"/>
      <c r="PPC360" s="598"/>
      <c r="PPD360" s="598"/>
      <c r="PPE360" s="598"/>
      <c r="PPF360" s="598"/>
      <c r="PPG360" s="598"/>
      <c r="PPH360" s="598"/>
      <c r="PPI360" s="598"/>
      <c r="PPJ360" s="598"/>
      <c r="PPK360" s="598"/>
      <c r="PPL360" s="598"/>
      <c r="PPM360" s="598"/>
      <c r="PPN360" s="598"/>
      <c r="PPO360" s="598"/>
      <c r="PPP360" s="598"/>
      <c r="PPQ360" s="598"/>
      <c r="PPR360" s="598"/>
      <c r="PPS360" s="598"/>
      <c r="PPT360" s="598"/>
      <c r="PPU360" s="598"/>
      <c r="PPV360" s="598"/>
      <c r="PPW360" s="598"/>
      <c r="PPX360" s="598"/>
      <c r="PPY360" s="598"/>
      <c r="PPZ360" s="598"/>
      <c r="PQA360" s="598"/>
      <c r="PQB360" s="598"/>
      <c r="PQC360" s="598"/>
      <c r="PQD360" s="598"/>
      <c r="PQE360" s="598"/>
      <c r="PQF360" s="598"/>
      <c r="PQG360" s="598"/>
      <c r="PQH360" s="598"/>
      <c r="PQI360" s="598"/>
      <c r="PQJ360" s="598"/>
      <c r="PQK360" s="598"/>
      <c r="PQL360" s="598"/>
      <c r="PQM360" s="598"/>
      <c r="PQN360" s="598"/>
      <c r="PQO360" s="598"/>
      <c r="PQP360" s="598"/>
      <c r="PQQ360" s="598"/>
      <c r="PQR360" s="598"/>
      <c r="PQS360" s="598"/>
      <c r="PQT360" s="598"/>
      <c r="PQU360" s="598"/>
      <c r="PQV360" s="598"/>
      <c r="PQW360" s="598"/>
      <c r="PQX360" s="598"/>
      <c r="PQY360" s="598"/>
      <c r="PQZ360" s="598"/>
      <c r="PRA360" s="598"/>
      <c r="PRB360" s="598"/>
      <c r="PRC360" s="598"/>
      <c r="PRD360" s="598"/>
      <c r="PRE360" s="598"/>
      <c r="PRF360" s="598"/>
      <c r="PRG360" s="598"/>
      <c r="PRH360" s="598"/>
      <c r="PRI360" s="598"/>
      <c r="PRJ360" s="598"/>
      <c r="PRK360" s="598"/>
      <c r="PRL360" s="598"/>
      <c r="PRM360" s="598"/>
      <c r="PRN360" s="598"/>
      <c r="PRO360" s="598"/>
      <c r="PRP360" s="598"/>
      <c r="PRQ360" s="598"/>
      <c r="PRR360" s="598"/>
      <c r="PRS360" s="598"/>
      <c r="PRT360" s="598"/>
      <c r="PRU360" s="598"/>
      <c r="PRV360" s="598"/>
      <c r="PRW360" s="598"/>
      <c r="PRX360" s="598"/>
      <c r="PRY360" s="598"/>
      <c r="PRZ360" s="598"/>
      <c r="PSA360" s="598"/>
      <c r="PSB360" s="598"/>
      <c r="PSC360" s="598"/>
      <c r="PSD360" s="598"/>
      <c r="PSE360" s="598"/>
      <c r="PSF360" s="598"/>
      <c r="PSG360" s="598"/>
      <c r="PSH360" s="598"/>
      <c r="PSI360" s="598"/>
      <c r="PSJ360" s="598"/>
      <c r="PSK360" s="598"/>
      <c r="PSL360" s="598"/>
      <c r="PSM360" s="598"/>
      <c r="PSN360" s="598"/>
      <c r="PSO360" s="598"/>
      <c r="PSP360" s="598"/>
      <c r="PSQ360" s="598"/>
      <c r="PSR360" s="598"/>
      <c r="PSS360" s="598"/>
      <c r="PST360" s="598"/>
      <c r="PSU360" s="598"/>
      <c r="PSV360" s="598"/>
      <c r="PSW360" s="598"/>
      <c r="PSX360" s="598"/>
      <c r="PSY360" s="598"/>
      <c r="PSZ360" s="598"/>
      <c r="PTA360" s="598"/>
      <c r="PTB360" s="598"/>
      <c r="PTC360" s="598"/>
      <c r="PTD360" s="598"/>
      <c r="PTE360" s="598"/>
      <c r="PTF360" s="598"/>
      <c r="PTG360" s="598"/>
      <c r="PTH360" s="598"/>
      <c r="PTI360" s="598"/>
      <c r="PTJ360" s="598"/>
      <c r="PTK360" s="598"/>
      <c r="PTL360" s="598"/>
      <c r="PTM360" s="598"/>
      <c r="PTN360" s="598"/>
      <c r="PTO360" s="598"/>
      <c r="PTP360" s="598"/>
      <c r="PTQ360" s="598"/>
      <c r="PTR360" s="598"/>
      <c r="PTS360" s="598"/>
      <c r="PTT360" s="598"/>
      <c r="PTU360" s="598"/>
      <c r="PTV360" s="598"/>
      <c r="PTW360" s="598"/>
      <c r="PTX360" s="598"/>
      <c r="PTY360" s="598"/>
      <c r="PTZ360" s="598"/>
      <c r="PUA360" s="598"/>
      <c r="PUB360" s="598"/>
      <c r="PUC360" s="598"/>
      <c r="PUD360" s="598"/>
      <c r="PUE360" s="598"/>
      <c r="PUF360" s="598"/>
      <c r="PUG360" s="598"/>
      <c r="PUH360" s="598"/>
      <c r="PUI360" s="598"/>
      <c r="PUJ360" s="598"/>
      <c r="PUK360" s="598"/>
      <c r="PUL360" s="598"/>
      <c r="PUM360" s="598"/>
      <c r="PUN360" s="598"/>
      <c r="PUO360" s="598"/>
      <c r="PUP360" s="598"/>
      <c r="PUQ360" s="598"/>
      <c r="PUR360" s="598"/>
      <c r="PUS360" s="598"/>
      <c r="PUT360" s="598"/>
      <c r="PUU360" s="598"/>
      <c r="PUV360" s="598"/>
      <c r="PUW360" s="598"/>
      <c r="PUX360" s="598"/>
      <c r="PUY360" s="598"/>
      <c r="PUZ360" s="598"/>
      <c r="PVA360" s="598"/>
      <c r="PVB360" s="598"/>
      <c r="PVC360" s="598"/>
      <c r="PVD360" s="598"/>
      <c r="PVE360" s="598"/>
      <c r="PVF360" s="598"/>
      <c r="PVG360" s="598"/>
      <c r="PVH360" s="598"/>
      <c r="PVI360" s="598"/>
      <c r="PVJ360" s="598"/>
      <c r="PVK360" s="598"/>
      <c r="PVL360" s="598"/>
      <c r="PVM360" s="598"/>
      <c r="PVN360" s="598"/>
      <c r="PVO360" s="598"/>
      <c r="PVP360" s="598"/>
      <c r="PVQ360" s="598"/>
      <c r="PVR360" s="598"/>
      <c r="PVS360" s="598"/>
      <c r="PVT360" s="598"/>
      <c r="PVU360" s="598"/>
      <c r="PVV360" s="598"/>
      <c r="PVW360" s="598"/>
      <c r="PVX360" s="598"/>
      <c r="PVY360" s="598"/>
      <c r="PVZ360" s="598"/>
      <c r="PWA360" s="598"/>
      <c r="PWB360" s="598"/>
      <c r="PWC360" s="598"/>
      <c r="PWD360" s="598"/>
      <c r="PWE360" s="598"/>
      <c r="PWF360" s="598"/>
      <c r="PWG360" s="598"/>
      <c r="PWH360" s="598"/>
      <c r="PWI360" s="598"/>
      <c r="PWJ360" s="598"/>
      <c r="PWK360" s="598"/>
      <c r="PWL360" s="598"/>
      <c r="PWM360" s="598"/>
      <c r="PWN360" s="598"/>
      <c r="PWO360" s="598"/>
      <c r="PWP360" s="598"/>
      <c r="PWQ360" s="598"/>
      <c r="PWR360" s="598"/>
      <c r="PWS360" s="598"/>
      <c r="PWT360" s="598"/>
      <c r="PWU360" s="598"/>
      <c r="PWV360" s="598"/>
      <c r="PWW360" s="598"/>
      <c r="PWX360" s="598"/>
      <c r="PWY360" s="598"/>
      <c r="PWZ360" s="598"/>
      <c r="PXA360" s="598"/>
      <c r="PXB360" s="598"/>
      <c r="PXC360" s="598"/>
      <c r="PXD360" s="598"/>
      <c r="PXE360" s="598"/>
      <c r="PXF360" s="598"/>
      <c r="PXG360" s="598"/>
      <c r="PXH360" s="598"/>
      <c r="PXI360" s="598"/>
      <c r="PXJ360" s="598"/>
      <c r="PXK360" s="598"/>
      <c r="PXL360" s="598"/>
      <c r="PXM360" s="598"/>
      <c r="PXN360" s="598"/>
      <c r="PXO360" s="598"/>
      <c r="PXP360" s="598"/>
      <c r="PXQ360" s="598"/>
      <c r="PXR360" s="598"/>
      <c r="PXS360" s="598"/>
      <c r="PXT360" s="598"/>
      <c r="PXU360" s="598"/>
      <c r="PXV360" s="598"/>
      <c r="PXW360" s="598"/>
      <c r="PXX360" s="598"/>
      <c r="PXY360" s="598"/>
      <c r="PXZ360" s="598"/>
      <c r="PYA360" s="598"/>
      <c r="PYB360" s="598"/>
      <c r="PYC360" s="598"/>
      <c r="PYD360" s="598"/>
      <c r="PYE360" s="598"/>
      <c r="PYF360" s="598"/>
      <c r="PYG360" s="598"/>
      <c r="PYH360" s="598"/>
      <c r="PYI360" s="598"/>
      <c r="PYJ360" s="598"/>
      <c r="PYK360" s="598"/>
      <c r="PYL360" s="598"/>
      <c r="PYM360" s="598"/>
      <c r="PYN360" s="598"/>
      <c r="PYO360" s="598"/>
      <c r="PYP360" s="598"/>
      <c r="PYQ360" s="598"/>
      <c r="PYR360" s="598"/>
      <c r="PYS360" s="598"/>
      <c r="PYT360" s="598"/>
      <c r="PYU360" s="598"/>
      <c r="PYV360" s="598"/>
      <c r="PYW360" s="598"/>
      <c r="PYX360" s="598"/>
      <c r="PYY360" s="598"/>
      <c r="PYZ360" s="598"/>
      <c r="PZA360" s="598"/>
      <c r="PZB360" s="598"/>
      <c r="PZC360" s="598"/>
      <c r="PZD360" s="598"/>
      <c r="PZE360" s="598"/>
      <c r="PZF360" s="598"/>
      <c r="PZG360" s="598"/>
      <c r="PZH360" s="598"/>
      <c r="PZI360" s="598"/>
      <c r="PZJ360" s="598"/>
      <c r="PZK360" s="598"/>
      <c r="PZL360" s="598"/>
      <c r="PZM360" s="598"/>
      <c r="PZN360" s="598"/>
      <c r="PZO360" s="598"/>
      <c r="PZP360" s="598"/>
      <c r="PZQ360" s="598"/>
      <c r="PZR360" s="598"/>
      <c r="PZS360" s="598"/>
      <c r="PZT360" s="598"/>
      <c r="PZU360" s="598"/>
      <c r="PZV360" s="598"/>
      <c r="PZW360" s="598"/>
      <c r="PZX360" s="598"/>
      <c r="PZY360" s="598"/>
      <c r="PZZ360" s="598"/>
      <c r="QAA360" s="598"/>
      <c r="QAB360" s="598"/>
      <c r="QAC360" s="598"/>
      <c r="QAD360" s="598"/>
      <c r="QAE360" s="598"/>
      <c r="QAF360" s="598"/>
      <c r="QAG360" s="598"/>
      <c r="QAH360" s="598"/>
      <c r="QAI360" s="598"/>
      <c r="QAJ360" s="598"/>
      <c r="QAK360" s="598"/>
      <c r="QAL360" s="598"/>
      <c r="QAM360" s="598"/>
      <c r="QAN360" s="598"/>
      <c r="QAO360" s="598"/>
      <c r="QAP360" s="598"/>
      <c r="QAQ360" s="598"/>
      <c r="QAR360" s="598"/>
      <c r="QAS360" s="598"/>
      <c r="QAT360" s="598"/>
      <c r="QAU360" s="598"/>
      <c r="QAV360" s="598"/>
      <c r="QAW360" s="598"/>
      <c r="QAX360" s="598"/>
      <c r="QAY360" s="598"/>
      <c r="QAZ360" s="598"/>
      <c r="QBA360" s="598"/>
      <c r="QBB360" s="598"/>
      <c r="QBC360" s="598"/>
      <c r="QBD360" s="598"/>
      <c r="QBE360" s="598"/>
      <c r="QBF360" s="598"/>
      <c r="QBG360" s="598"/>
      <c r="QBH360" s="598"/>
      <c r="QBI360" s="598"/>
      <c r="QBJ360" s="598"/>
      <c r="QBK360" s="598"/>
      <c r="QBL360" s="598"/>
      <c r="QBM360" s="598"/>
      <c r="QBN360" s="598"/>
      <c r="QBO360" s="598"/>
      <c r="QBP360" s="598"/>
      <c r="QBQ360" s="598"/>
      <c r="QBR360" s="598"/>
      <c r="QBS360" s="598"/>
      <c r="QBT360" s="598"/>
      <c r="QBU360" s="598"/>
      <c r="QBV360" s="598"/>
      <c r="QBW360" s="598"/>
      <c r="QBX360" s="598"/>
      <c r="QBY360" s="598"/>
      <c r="QBZ360" s="598"/>
      <c r="QCA360" s="598"/>
      <c r="QCB360" s="598"/>
      <c r="QCC360" s="598"/>
      <c r="QCD360" s="598"/>
      <c r="QCE360" s="598"/>
      <c r="QCF360" s="598"/>
      <c r="QCG360" s="598"/>
      <c r="QCH360" s="598"/>
      <c r="QCI360" s="598"/>
      <c r="QCJ360" s="598"/>
      <c r="QCK360" s="598"/>
      <c r="QCL360" s="598"/>
      <c r="QCM360" s="598"/>
      <c r="QCN360" s="598"/>
      <c r="QCO360" s="598"/>
      <c r="QCP360" s="598"/>
      <c r="QCQ360" s="598"/>
      <c r="QCR360" s="598"/>
      <c r="QCS360" s="598"/>
      <c r="QCT360" s="598"/>
      <c r="QCU360" s="598"/>
      <c r="QCV360" s="598"/>
      <c r="QCW360" s="598"/>
      <c r="QCX360" s="598"/>
      <c r="QCY360" s="598"/>
      <c r="QCZ360" s="598"/>
      <c r="QDA360" s="598"/>
      <c r="QDB360" s="598"/>
      <c r="QDC360" s="598"/>
      <c r="QDD360" s="598"/>
      <c r="QDE360" s="598"/>
      <c r="QDF360" s="598"/>
      <c r="QDG360" s="598"/>
      <c r="QDH360" s="598"/>
      <c r="QDI360" s="598"/>
      <c r="QDJ360" s="598"/>
      <c r="QDK360" s="598"/>
      <c r="QDL360" s="598"/>
      <c r="QDM360" s="598"/>
      <c r="QDN360" s="598"/>
      <c r="QDO360" s="598"/>
      <c r="QDP360" s="598"/>
      <c r="QDQ360" s="598"/>
      <c r="QDR360" s="598"/>
      <c r="QDS360" s="598"/>
      <c r="QDT360" s="598"/>
      <c r="QDU360" s="598"/>
      <c r="QDV360" s="598"/>
      <c r="QDW360" s="598"/>
      <c r="QDX360" s="598"/>
      <c r="QDY360" s="598"/>
      <c r="QDZ360" s="598"/>
      <c r="QEA360" s="598"/>
      <c r="QEB360" s="598"/>
      <c r="QEC360" s="598"/>
      <c r="QED360" s="598"/>
      <c r="QEE360" s="598"/>
      <c r="QEF360" s="598"/>
      <c r="QEG360" s="598"/>
      <c r="QEH360" s="598"/>
      <c r="QEI360" s="598"/>
      <c r="QEJ360" s="598"/>
      <c r="QEK360" s="598"/>
      <c r="QEL360" s="598"/>
      <c r="QEM360" s="598"/>
      <c r="QEN360" s="598"/>
      <c r="QEO360" s="598"/>
      <c r="QEP360" s="598"/>
      <c r="QEQ360" s="598"/>
      <c r="QER360" s="598"/>
      <c r="QES360" s="598"/>
      <c r="QET360" s="598"/>
      <c r="QEU360" s="598"/>
      <c r="QEV360" s="598"/>
      <c r="QEW360" s="598"/>
      <c r="QEX360" s="598"/>
      <c r="QEY360" s="598"/>
      <c r="QEZ360" s="598"/>
      <c r="QFA360" s="598"/>
      <c r="QFB360" s="598"/>
      <c r="QFC360" s="598"/>
      <c r="QFD360" s="598"/>
      <c r="QFE360" s="598"/>
      <c r="QFF360" s="598"/>
      <c r="QFG360" s="598"/>
      <c r="QFH360" s="598"/>
      <c r="QFI360" s="598"/>
      <c r="QFJ360" s="598"/>
      <c r="QFK360" s="598"/>
      <c r="QFL360" s="598"/>
      <c r="QFM360" s="598"/>
      <c r="QFN360" s="598"/>
      <c r="QFO360" s="598"/>
      <c r="QFP360" s="598"/>
      <c r="QFQ360" s="598"/>
      <c r="QFR360" s="598"/>
      <c r="QFS360" s="598"/>
      <c r="QFT360" s="598"/>
      <c r="QFU360" s="598"/>
      <c r="QFV360" s="598"/>
      <c r="QFW360" s="598"/>
      <c r="QFX360" s="598"/>
      <c r="QFY360" s="598"/>
      <c r="QFZ360" s="598"/>
      <c r="QGA360" s="598"/>
      <c r="QGB360" s="598"/>
      <c r="QGC360" s="598"/>
      <c r="QGD360" s="598"/>
      <c r="QGE360" s="598"/>
      <c r="QGF360" s="598"/>
      <c r="QGG360" s="598"/>
      <c r="QGH360" s="598"/>
      <c r="QGI360" s="598"/>
      <c r="QGJ360" s="598"/>
      <c r="QGK360" s="598"/>
      <c r="QGL360" s="598"/>
      <c r="QGM360" s="598"/>
      <c r="QGN360" s="598"/>
      <c r="QGO360" s="598"/>
      <c r="QGP360" s="598"/>
      <c r="QGQ360" s="598"/>
      <c r="QGR360" s="598"/>
      <c r="QGS360" s="598"/>
      <c r="QGT360" s="598"/>
      <c r="QGU360" s="598"/>
      <c r="QGV360" s="598"/>
      <c r="QGW360" s="598"/>
      <c r="QGX360" s="598"/>
      <c r="QGY360" s="598"/>
      <c r="QGZ360" s="598"/>
      <c r="QHA360" s="598"/>
      <c r="QHB360" s="598"/>
      <c r="QHC360" s="598"/>
      <c r="QHD360" s="598"/>
      <c r="QHE360" s="598"/>
      <c r="QHF360" s="598"/>
      <c r="QHG360" s="598"/>
      <c r="QHH360" s="598"/>
      <c r="QHI360" s="598"/>
      <c r="QHJ360" s="598"/>
      <c r="QHK360" s="598"/>
      <c r="QHL360" s="598"/>
      <c r="QHM360" s="598"/>
      <c r="QHN360" s="598"/>
      <c r="QHO360" s="598"/>
      <c r="QHP360" s="598"/>
      <c r="QHQ360" s="598"/>
      <c r="QHR360" s="598"/>
      <c r="QHS360" s="598"/>
      <c r="QHT360" s="598"/>
      <c r="QHU360" s="598"/>
      <c r="QHV360" s="598"/>
      <c r="QHW360" s="598"/>
      <c r="QHX360" s="598"/>
      <c r="QHY360" s="598"/>
      <c r="QHZ360" s="598"/>
      <c r="QIA360" s="598"/>
      <c r="QIB360" s="598"/>
      <c r="QIC360" s="598"/>
      <c r="QID360" s="598"/>
      <c r="QIE360" s="598"/>
      <c r="QIF360" s="598"/>
      <c r="QIG360" s="598"/>
      <c r="QIH360" s="598"/>
      <c r="QII360" s="598"/>
      <c r="QIJ360" s="598"/>
      <c r="QIK360" s="598"/>
      <c r="QIL360" s="598"/>
      <c r="QIM360" s="598"/>
      <c r="QIN360" s="598"/>
      <c r="QIO360" s="598"/>
      <c r="QIP360" s="598"/>
      <c r="QIQ360" s="598"/>
      <c r="QIR360" s="598"/>
      <c r="QIS360" s="598"/>
      <c r="QIT360" s="598"/>
      <c r="QIU360" s="598"/>
      <c r="QIV360" s="598"/>
      <c r="QIW360" s="598"/>
      <c r="QIX360" s="598"/>
      <c r="QIY360" s="598"/>
      <c r="QIZ360" s="598"/>
      <c r="QJA360" s="598"/>
      <c r="QJB360" s="598"/>
      <c r="QJC360" s="598"/>
      <c r="QJD360" s="598"/>
      <c r="QJE360" s="598"/>
      <c r="QJF360" s="598"/>
      <c r="QJG360" s="598"/>
      <c r="QJH360" s="598"/>
      <c r="QJI360" s="598"/>
      <c r="QJJ360" s="598"/>
      <c r="QJK360" s="598"/>
      <c r="QJL360" s="598"/>
      <c r="QJM360" s="598"/>
      <c r="QJN360" s="598"/>
      <c r="QJO360" s="598"/>
      <c r="QJP360" s="598"/>
      <c r="QJQ360" s="598"/>
      <c r="QJR360" s="598"/>
      <c r="QJS360" s="598"/>
      <c r="QJT360" s="598"/>
      <c r="QJU360" s="598"/>
      <c r="QJV360" s="598"/>
      <c r="QJW360" s="598"/>
      <c r="QJX360" s="598"/>
      <c r="QJY360" s="598"/>
      <c r="QJZ360" s="598"/>
      <c r="QKA360" s="598"/>
      <c r="QKB360" s="598"/>
      <c r="QKC360" s="598"/>
      <c r="QKD360" s="598"/>
      <c r="QKE360" s="598"/>
      <c r="QKF360" s="598"/>
      <c r="QKG360" s="598"/>
      <c r="QKH360" s="598"/>
      <c r="QKI360" s="598"/>
      <c r="QKJ360" s="598"/>
      <c r="QKK360" s="598"/>
      <c r="QKL360" s="598"/>
      <c r="QKM360" s="598"/>
      <c r="QKN360" s="598"/>
      <c r="QKO360" s="598"/>
      <c r="QKP360" s="598"/>
      <c r="QKQ360" s="598"/>
      <c r="QKR360" s="598"/>
      <c r="QKS360" s="598"/>
      <c r="QKT360" s="598"/>
      <c r="QKU360" s="598"/>
      <c r="QKV360" s="598"/>
      <c r="QKW360" s="598"/>
      <c r="QKX360" s="598"/>
      <c r="QKY360" s="598"/>
      <c r="QKZ360" s="598"/>
      <c r="QLA360" s="598"/>
      <c r="QLB360" s="598"/>
      <c r="QLC360" s="598"/>
      <c r="QLD360" s="598"/>
      <c r="QLE360" s="598"/>
      <c r="QLF360" s="598"/>
      <c r="QLG360" s="598"/>
      <c r="QLH360" s="598"/>
      <c r="QLI360" s="598"/>
      <c r="QLJ360" s="598"/>
      <c r="QLK360" s="598"/>
      <c r="QLL360" s="598"/>
      <c r="QLM360" s="598"/>
      <c r="QLN360" s="598"/>
      <c r="QLO360" s="598"/>
      <c r="QLP360" s="598"/>
      <c r="QLQ360" s="598"/>
      <c r="QLR360" s="598"/>
      <c r="QLS360" s="598"/>
      <c r="QLT360" s="598"/>
      <c r="QLU360" s="598"/>
      <c r="QLV360" s="598"/>
      <c r="QLW360" s="598"/>
      <c r="QLX360" s="598"/>
      <c r="QLY360" s="598"/>
      <c r="QLZ360" s="598"/>
      <c r="QMA360" s="598"/>
      <c r="QMB360" s="598"/>
      <c r="QMC360" s="598"/>
      <c r="QMD360" s="598"/>
      <c r="QME360" s="598"/>
      <c r="QMF360" s="598"/>
      <c r="QMG360" s="598"/>
      <c r="QMH360" s="598"/>
      <c r="QMI360" s="598"/>
      <c r="QMJ360" s="598"/>
      <c r="QMK360" s="598"/>
      <c r="QML360" s="598"/>
      <c r="QMM360" s="598"/>
      <c r="QMN360" s="598"/>
      <c r="QMO360" s="598"/>
      <c r="QMP360" s="598"/>
      <c r="QMQ360" s="598"/>
      <c r="QMR360" s="598"/>
      <c r="QMS360" s="598"/>
      <c r="QMT360" s="598"/>
      <c r="QMU360" s="598"/>
      <c r="QMV360" s="598"/>
      <c r="QMW360" s="598"/>
      <c r="QMX360" s="598"/>
      <c r="QMY360" s="598"/>
      <c r="QMZ360" s="598"/>
      <c r="QNA360" s="598"/>
      <c r="QNB360" s="598"/>
      <c r="QNC360" s="598"/>
      <c r="QND360" s="598"/>
      <c r="QNE360" s="598"/>
      <c r="QNF360" s="598"/>
      <c r="QNG360" s="598"/>
      <c r="QNH360" s="598"/>
      <c r="QNI360" s="598"/>
      <c r="QNJ360" s="598"/>
      <c r="QNK360" s="598"/>
      <c r="QNL360" s="598"/>
      <c r="QNM360" s="598"/>
      <c r="QNN360" s="598"/>
      <c r="QNO360" s="598"/>
      <c r="QNP360" s="598"/>
      <c r="QNQ360" s="598"/>
      <c r="QNR360" s="598"/>
      <c r="QNS360" s="598"/>
      <c r="QNT360" s="598"/>
      <c r="QNU360" s="598"/>
      <c r="QNV360" s="598"/>
      <c r="QNW360" s="598"/>
      <c r="QNX360" s="598"/>
      <c r="QNY360" s="598"/>
      <c r="QNZ360" s="598"/>
      <c r="QOA360" s="598"/>
      <c r="QOB360" s="598"/>
      <c r="QOC360" s="598"/>
      <c r="QOD360" s="598"/>
      <c r="QOE360" s="598"/>
      <c r="QOF360" s="598"/>
      <c r="QOG360" s="598"/>
      <c r="QOH360" s="598"/>
      <c r="QOI360" s="598"/>
      <c r="QOJ360" s="598"/>
      <c r="QOK360" s="598"/>
      <c r="QOL360" s="598"/>
      <c r="QOM360" s="598"/>
      <c r="QON360" s="598"/>
      <c r="QOO360" s="598"/>
      <c r="QOP360" s="598"/>
      <c r="QOQ360" s="598"/>
      <c r="QOR360" s="598"/>
      <c r="QOS360" s="598"/>
      <c r="QOT360" s="598"/>
      <c r="QOU360" s="598"/>
      <c r="QOV360" s="598"/>
      <c r="QOW360" s="598"/>
      <c r="QOX360" s="598"/>
      <c r="QOY360" s="598"/>
      <c r="QOZ360" s="598"/>
      <c r="QPA360" s="598"/>
      <c r="QPB360" s="598"/>
      <c r="QPC360" s="598"/>
      <c r="QPD360" s="598"/>
      <c r="QPE360" s="598"/>
      <c r="QPF360" s="598"/>
      <c r="QPG360" s="598"/>
      <c r="QPH360" s="598"/>
      <c r="QPI360" s="598"/>
      <c r="QPJ360" s="598"/>
      <c r="QPK360" s="598"/>
      <c r="QPL360" s="598"/>
      <c r="QPM360" s="598"/>
      <c r="QPN360" s="598"/>
      <c r="QPO360" s="598"/>
      <c r="QPP360" s="598"/>
      <c r="QPQ360" s="598"/>
      <c r="QPR360" s="598"/>
      <c r="QPS360" s="598"/>
      <c r="QPT360" s="598"/>
      <c r="QPU360" s="598"/>
      <c r="QPV360" s="598"/>
      <c r="QPW360" s="598"/>
      <c r="QPX360" s="598"/>
      <c r="QPY360" s="598"/>
      <c r="QPZ360" s="598"/>
      <c r="QQA360" s="598"/>
      <c r="QQB360" s="598"/>
      <c r="QQC360" s="598"/>
      <c r="QQD360" s="598"/>
      <c r="QQE360" s="598"/>
      <c r="QQF360" s="598"/>
      <c r="QQG360" s="598"/>
      <c r="QQH360" s="598"/>
      <c r="QQI360" s="598"/>
      <c r="QQJ360" s="598"/>
      <c r="QQK360" s="598"/>
      <c r="QQL360" s="598"/>
      <c r="QQM360" s="598"/>
      <c r="QQN360" s="598"/>
      <c r="QQO360" s="598"/>
      <c r="QQP360" s="598"/>
      <c r="QQQ360" s="598"/>
      <c r="QQR360" s="598"/>
      <c r="QQS360" s="598"/>
      <c r="QQT360" s="598"/>
      <c r="QQU360" s="598"/>
      <c r="QQV360" s="598"/>
      <c r="QQW360" s="598"/>
      <c r="QQX360" s="598"/>
      <c r="QQY360" s="598"/>
      <c r="QQZ360" s="598"/>
      <c r="QRA360" s="598"/>
      <c r="QRB360" s="598"/>
      <c r="QRC360" s="598"/>
      <c r="QRD360" s="598"/>
      <c r="QRE360" s="598"/>
      <c r="QRF360" s="598"/>
      <c r="QRG360" s="598"/>
      <c r="QRH360" s="598"/>
      <c r="QRI360" s="598"/>
      <c r="QRJ360" s="598"/>
      <c r="QRK360" s="598"/>
      <c r="QRL360" s="598"/>
      <c r="QRM360" s="598"/>
      <c r="QRN360" s="598"/>
      <c r="QRO360" s="598"/>
      <c r="QRP360" s="598"/>
      <c r="QRQ360" s="598"/>
      <c r="QRR360" s="598"/>
      <c r="QRS360" s="598"/>
      <c r="QRT360" s="598"/>
      <c r="QRU360" s="598"/>
      <c r="QRV360" s="598"/>
      <c r="QRW360" s="598"/>
      <c r="QRX360" s="598"/>
      <c r="QRY360" s="598"/>
      <c r="QRZ360" s="598"/>
      <c r="QSA360" s="598"/>
      <c r="QSB360" s="598"/>
      <c r="QSC360" s="598"/>
      <c r="QSD360" s="598"/>
      <c r="QSE360" s="598"/>
      <c r="QSF360" s="598"/>
      <c r="QSG360" s="598"/>
      <c r="QSH360" s="598"/>
      <c r="QSI360" s="598"/>
      <c r="QSJ360" s="598"/>
      <c r="QSK360" s="598"/>
      <c r="QSL360" s="598"/>
      <c r="QSM360" s="598"/>
      <c r="QSN360" s="598"/>
      <c r="QSO360" s="598"/>
      <c r="QSP360" s="598"/>
      <c r="QSQ360" s="598"/>
      <c r="QSR360" s="598"/>
      <c r="QSS360" s="598"/>
      <c r="QST360" s="598"/>
      <c r="QSU360" s="598"/>
      <c r="QSV360" s="598"/>
      <c r="QSW360" s="598"/>
      <c r="QSX360" s="598"/>
      <c r="QSY360" s="598"/>
      <c r="QSZ360" s="598"/>
      <c r="QTA360" s="598"/>
      <c r="QTB360" s="598"/>
      <c r="QTC360" s="598"/>
      <c r="QTD360" s="598"/>
      <c r="QTE360" s="598"/>
      <c r="QTF360" s="598"/>
      <c r="QTG360" s="598"/>
      <c r="QTH360" s="598"/>
      <c r="QTI360" s="598"/>
      <c r="QTJ360" s="598"/>
      <c r="QTK360" s="598"/>
      <c r="QTL360" s="598"/>
      <c r="QTM360" s="598"/>
      <c r="QTN360" s="598"/>
      <c r="QTO360" s="598"/>
      <c r="QTP360" s="598"/>
      <c r="QTQ360" s="598"/>
      <c r="QTR360" s="598"/>
      <c r="QTS360" s="598"/>
      <c r="QTT360" s="598"/>
      <c r="QTU360" s="598"/>
      <c r="QTV360" s="598"/>
      <c r="QTW360" s="598"/>
      <c r="QTX360" s="598"/>
      <c r="QTY360" s="598"/>
      <c r="QTZ360" s="598"/>
      <c r="QUA360" s="598"/>
      <c r="QUB360" s="598"/>
      <c r="QUC360" s="598"/>
      <c r="QUD360" s="598"/>
      <c r="QUE360" s="598"/>
      <c r="QUF360" s="598"/>
      <c r="QUG360" s="598"/>
      <c r="QUH360" s="598"/>
      <c r="QUI360" s="598"/>
      <c r="QUJ360" s="598"/>
      <c r="QUK360" s="598"/>
      <c r="QUL360" s="598"/>
      <c r="QUM360" s="598"/>
      <c r="QUN360" s="598"/>
      <c r="QUO360" s="598"/>
      <c r="QUP360" s="598"/>
      <c r="QUQ360" s="598"/>
      <c r="QUR360" s="598"/>
      <c r="QUS360" s="598"/>
      <c r="QUT360" s="598"/>
      <c r="QUU360" s="598"/>
      <c r="QUV360" s="598"/>
      <c r="QUW360" s="598"/>
      <c r="QUX360" s="598"/>
      <c r="QUY360" s="598"/>
      <c r="QUZ360" s="598"/>
      <c r="QVA360" s="598"/>
      <c r="QVB360" s="598"/>
      <c r="QVC360" s="598"/>
      <c r="QVD360" s="598"/>
      <c r="QVE360" s="598"/>
      <c r="QVF360" s="598"/>
      <c r="QVG360" s="598"/>
      <c r="QVH360" s="598"/>
      <c r="QVI360" s="598"/>
      <c r="QVJ360" s="598"/>
      <c r="QVK360" s="598"/>
      <c r="QVL360" s="598"/>
      <c r="QVM360" s="598"/>
      <c r="QVN360" s="598"/>
      <c r="QVO360" s="598"/>
      <c r="QVP360" s="598"/>
      <c r="QVQ360" s="598"/>
      <c r="QVR360" s="598"/>
      <c r="QVS360" s="598"/>
      <c r="QVT360" s="598"/>
      <c r="QVU360" s="598"/>
      <c r="QVV360" s="598"/>
      <c r="QVW360" s="598"/>
      <c r="QVX360" s="598"/>
      <c r="QVY360" s="598"/>
      <c r="QVZ360" s="598"/>
      <c r="QWA360" s="598"/>
      <c r="QWB360" s="598"/>
      <c r="QWC360" s="598"/>
      <c r="QWD360" s="598"/>
      <c r="QWE360" s="598"/>
      <c r="QWF360" s="598"/>
      <c r="QWG360" s="598"/>
      <c r="QWH360" s="598"/>
      <c r="QWI360" s="598"/>
      <c r="QWJ360" s="598"/>
      <c r="QWK360" s="598"/>
      <c r="QWL360" s="598"/>
      <c r="QWM360" s="598"/>
      <c r="QWN360" s="598"/>
      <c r="QWO360" s="598"/>
      <c r="QWP360" s="598"/>
      <c r="QWQ360" s="598"/>
      <c r="QWR360" s="598"/>
      <c r="QWS360" s="598"/>
      <c r="QWT360" s="598"/>
      <c r="QWU360" s="598"/>
      <c r="QWV360" s="598"/>
      <c r="QWW360" s="598"/>
      <c r="QWX360" s="598"/>
      <c r="QWY360" s="598"/>
      <c r="QWZ360" s="598"/>
      <c r="QXA360" s="598"/>
      <c r="QXB360" s="598"/>
      <c r="QXC360" s="598"/>
      <c r="QXD360" s="598"/>
      <c r="QXE360" s="598"/>
      <c r="QXF360" s="598"/>
      <c r="QXG360" s="598"/>
      <c r="QXH360" s="598"/>
      <c r="QXI360" s="598"/>
      <c r="QXJ360" s="598"/>
      <c r="QXK360" s="598"/>
      <c r="QXL360" s="598"/>
      <c r="QXM360" s="598"/>
      <c r="QXN360" s="598"/>
      <c r="QXO360" s="598"/>
      <c r="QXP360" s="598"/>
      <c r="QXQ360" s="598"/>
      <c r="QXR360" s="598"/>
      <c r="QXS360" s="598"/>
      <c r="QXT360" s="598"/>
      <c r="QXU360" s="598"/>
      <c r="QXV360" s="598"/>
      <c r="QXW360" s="598"/>
      <c r="QXX360" s="598"/>
      <c r="QXY360" s="598"/>
      <c r="QXZ360" s="598"/>
      <c r="QYA360" s="598"/>
      <c r="QYB360" s="598"/>
      <c r="QYC360" s="598"/>
      <c r="QYD360" s="598"/>
      <c r="QYE360" s="598"/>
      <c r="QYF360" s="598"/>
      <c r="QYG360" s="598"/>
      <c r="QYH360" s="598"/>
      <c r="QYI360" s="598"/>
      <c r="QYJ360" s="598"/>
      <c r="QYK360" s="598"/>
      <c r="QYL360" s="598"/>
      <c r="QYM360" s="598"/>
      <c r="QYN360" s="598"/>
      <c r="QYO360" s="598"/>
      <c r="QYP360" s="598"/>
      <c r="QYQ360" s="598"/>
      <c r="QYR360" s="598"/>
      <c r="QYS360" s="598"/>
      <c r="QYT360" s="598"/>
      <c r="QYU360" s="598"/>
      <c r="QYV360" s="598"/>
      <c r="QYW360" s="598"/>
      <c r="QYX360" s="598"/>
      <c r="QYY360" s="598"/>
      <c r="QYZ360" s="598"/>
      <c r="QZA360" s="598"/>
      <c r="QZB360" s="598"/>
      <c r="QZC360" s="598"/>
      <c r="QZD360" s="598"/>
      <c r="QZE360" s="598"/>
      <c r="QZF360" s="598"/>
      <c r="QZG360" s="598"/>
      <c r="QZH360" s="598"/>
      <c r="QZI360" s="598"/>
      <c r="QZJ360" s="598"/>
      <c r="QZK360" s="598"/>
      <c r="QZL360" s="598"/>
      <c r="QZM360" s="598"/>
      <c r="QZN360" s="598"/>
      <c r="QZO360" s="598"/>
      <c r="QZP360" s="598"/>
      <c r="QZQ360" s="598"/>
      <c r="QZR360" s="598"/>
      <c r="QZS360" s="598"/>
      <c r="QZT360" s="598"/>
      <c r="QZU360" s="598"/>
      <c r="QZV360" s="598"/>
      <c r="QZW360" s="598"/>
      <c r="QZX360" s="598"/>
      <c r="QZY360" s="598"/>
      <c r="QZZ360" s="598"/>
      <c r="RAA360" s="598"/>
      <c r="RAB360" s="598"/>
      <c r="RAC360" s="598"/>
      <c r="RAD360" s="598"/>
      <c r="RAE360" s="598"/>
      <c r="RAF360" s="598"/>
      <c r="RAG360" s="598"/>
      <c r="RAH360" s="598"/>
      <c r="RAI360" s="598"/>
      <c r="RAJ360" s="598"/>
      <c r="RAK360" s="598"/>
      <c r="RAL360" s="598"/>
      <c r="RAM360" s="598"/>
      <c r="RAN360" s="598"/>
      <c r="RAO360" s="598"/>
      <c r="RAP360" s="598"/>
      <c r="RAQ360" s="598"/>
      <c r="RAR360" s="598"/>
      <c r="RAS360" s="598"/>
      <c r="RAT360" s="598"/>
      <c r="RAU360" s="598"/>
      <c r="RAV360" s="598"/>
      <c r="RAW360" s="598"/>
      <c r="RAX360" s="598"/>
      <c r="RAY360" s="598"/>
      <c r="RAZ360" s="598"/>
      <c r="RBA360" s="598"/>
      <c r="RBB360" s="598"/>
      <c r="RBC360" s="598"/>
      <c r="RBD360" s="598"/>
      <c r="RBE360" s="598"/>
      <c r="RBF360" s="598"/>
      <c r="RBG360" s="598"/>
      <c r="RBH360" s="598"/>
      <c r="RBI360" s="598"/>
      <c r="RBJ360" s="598"/>
      <c r="RBK360" s="598"/>
      <c r="RBL360" s="598"/>
      <c r="RBM360" s="598"/>
      <c r="RBN360" s="598"/>
      <c r="RBO360" s="598"/>
      <c r="RBP360" s="598"/>
      <c r="RBQ360" s="598"/>
      <c r="RBR360" s="598"/>
      <c r="RBS360" s="598"/>
      <c r="RBT360" s="598"/>
      <c r="RBU360" s="598"/>
      <c r="RBV360" s="598"/>
      <c r="RBW360" s="598"/>
      <c r="RBX360" s="598"/>
      <c r="RBY360" s="598"/>
      <c r="RBZ360" s="598"/>
      <c r="RCA360" s="598"/>
      <c r="RCB360" s="598"/>
      <c r="RCC360" s="598"/>
      <c r="RCD360" s="598"/>
      <c r="RCE360" s="598"/>
      <c r="RCF360" s="598"/>
      <c r="RCG360" s="598"/>
      <c r="RCH360" s="598"/>
      <c r="RCI360" s="598"/>
      <c r="RCJ360" s="598"/>
      <c r="RCK360" s="598"/>
      <c r="RCL360" s="598"/>
      <c r="RCM360" s="598"/>
      <c r="RCN360" s="598"/>
      <c r="RCO360" s="598"/>
      <c r="RCP360" s="598"/>
      <c r="RCQ360" s="598"/>
      <c r="RCR360" s="598"/>
      <c r="RCS360" s="598"/>
      <c r="RCT360" s="598"/>
      <c r="RCU360" s="598"/>
      <c r="RCV360" s="598"/>
      <c r="RCW360" s="598"/>
      <c r="RCX360" s="598"/>
      <c r="RCY360" s="598"/>
      <c r="RCZ360" s="598"/>
      <c r="RDA360" s="598"/>
      <c r="RDB360" s="598"/>
      <c r="RDC360" s="598"/>
      <c r="RDD360" s="598"/>
      <c r="RDE360" s="598"/>
      <c r="RDF360" s="598"/>
      <c r="RDG360" s="598"/>
      <c r="RDH360" s="598"/>
      <c r="RDI360" s="598"/>
      <c r="RDJ360" s="598"/>
      <c r="RDK360" s="598"/>
      <c r="RDL360" s="598"/>
      <c r="RDM360" s="598"/>
      <c r="RDN360" s="598"/>
      <c r="RDO360" s="598"/>
      <c r="RDP360" s="598"/>
      <c r="RDQ360" s="598"/>
      <c r="RDR360" s="598"/>
      <c r="RDS360" s="598"/>
      <c r="RDT360" s="598"/>
      <c r="RDU360" s="598"/>
      <c r="RDV360" s="598"/>
      <c r="RDW360" s="598"/>
      <c r="RDX360" s="598"/>
      <c r="RDY360" s="598"/>
      <c r="RDZ360" s="598"/>
      <c r="REA360" s="598"/>
      <c r="REB360" s="598"/>
      <c r="REC360" s="598"/>
      <c r="RED360" s="598"/>
      <c r="REE360" s="598"/>
      <c r="REF360" s="598"/>
      <c r="REG360" s="598"/>
      <c r="REH360" s="598"/>
      <c r="REI360" s="598"/>
      <c r="REJ360" s="598"/>
      <c r="REK360" s="598"/>
      <c r="REL360" s="598"/>
      <c r="REM360" s="598"/>
      <c r="REN360" s="598"/>
      <c r="REO360" s="598"/>
      <c r="REP360" s="598"/>
      <c r="REQ360" s="598"/>
      <c r="RER360" s="598"/>
      <c r="RES360" s="598"/>
      <c r="RET360" s="598"/>
      <c r="REU360" s="598"/>
      <c r="REV360" s="598"/>
      <c r="REW360" s="598"/>
      <c r="REX360" s="598"/>
      <c r="REY360" s="598"/>
      <c r="REZ360" s="598"/>
      <c r="RFA360" s="598"/>
      <c r="RFB360" s="598"/>
      <c r="RFC360" s="598"/>
      <c r="RFD360" s="598"/>
      <c r="RFE360" s="598"/>
      <c r="RFF360" s="598"/>
      <c r="RFG360" s="598"/>
      <c r="RFH360" s="598"/>
      <c r="RFI360" s="598"/>
      <c r="RFJ360" s="598"/>
      <c r="RFK360" s="598"/>
      <c r="RFL360" s="598"/>
      <c r="RFM360" s="598"/>
      <c r="RFN360" s="598"/>
      <c r="RFO360" s="598"/>
      <c r="RFP360" s="598"/>
      <c r="RFQ360" s="598"/>
      <c r="RFR360" s="598"/>
      <c r="RFS360" s="598"/>
      <c r="RFT360" s="598"/>
      <c r="RFU360" s="598"/>
      <c r="RFV360" s="598"/>
      <c r="RFW360" s="598"/>
      <c r="RFX360" s="598"/>
      <c r="RFY360" s="598"/>
      <c r="RFZ360" s="598"/>
      <c r="RGA360" s="598"/>
      <c r="RGB360" s="598"/>
      <c r="RGC360" s="598"/>
      <c r="RGD360" s="598"/>
      <c r="RGE360" s="598"/>
      <c r="RGF360" s="598"/>
      <c r="RGG360" s="598"/>
      <c r="RGH360" s="598"/>
      <c r="RGI360" s="598"/>
      <c r="RGJ360" s="598"/>
      <c r="RGK360" s="598"/>
      <c r="RGL360" s="598"/>
      <c r="RGM360" s="598"/>
      <c r="RGN360" s="598"/>
      <c r="RGO360" s="598"/>
      <c r="RGP360" s="598"/>
      <c r="RGQ360" s="598"/>
      <c r="RGR360" s="598"/>
      <c r="RGS360" s="598"/>
      <c r="RGT360" s="598"/>
      <c r="RGU360" s="598"/>
      <c r="RGV360" s="598"/>
      <c r="RGW360" s="598"/>
      <c r="RGX360" s="598"/>
      <c r="RGY360" s="598"/>
      <c r="RGZ360" s="598"/>
      <c r="RHA360" s="598"/>
      <c r="RHB360" s="598"/>
      <c r="RHC360" s="598"/>
      <c r="RHD360" s="598"/>
      <c r="RHE360" s="598"/>
      <c r="RHF360" s="598"/>
      <c r="RHG360" s="598"/>
      <c r="RHH360" s="598"/>
      <c r="RHI360" s="598"/>
      <c r="RHJ360" s="598"/>
      <c r="RHK360" s="598"/>
      <c r="RHL360" s="598"/>
      <c r="RHM360" s="598"/>
      <c r="RHN360" s="598"/>
      <c r="RHO360" s="598"/>
      <c r="RHP360" s="598"/>
      <c r="RHQ360" s="598"/>
      <c r="RHR360" s="598"/>
      <c r="RHS360" s="598"/>
      <c r="RHT360" s="598"/>
      <c r="RHU360" s="598"/>
      <c r="RHV360" s="598"/>
      <c r="RHW360" s="598"/>
      <c r="RHX360" s="598"/>
      <c r="RHY360" s="598"/>
      <c r="RHZ360" s="598"/>
      <c r="RIA360" s="598"/>
      <c r="RIB360" s="598"/>
      <c r="RIC360" s="598"/>
      <c r="RID360" s="598"/>
      <c r="RIE360" s="598"/>
      <c r="RIF360" s="598"/>
      <c r="RIG360" s="598"/>
      <c r="RIH360" s="598"/>
      <c r="RII360" s="598"/>
      <c r="RIJ360" s="598"/>
      <c r="RIK360" s="598"/>
      <c r="RIL360" s="598"/>
      <c r="RIM360" s="598"/>
      <c r="RIN360" s="598"/>
      <c r="RIO360" s="598"/>
      <c r="RIP360" s="598"/>
      <c r="RIQ360" s="598"/>
      <c r="RIR360" s="598"/>
      <c r="RIS360" s="598"/>
      <c r="RIT360" s="598"/>
      <c r="RIU360" s="598"/>
      <c r="RIV360" s="598"/>
      <c r="RIW360" s="598"/>
      <c r="RIX360" s="598"/>
      <c r="RIY360" s="598"/>
      <c r="RIZ360" s="598"/>
      <c r="RJA360" s="598"/>
      <c r="RJB360" s="598"/>
      <c r="RJC360" s="598"/>
      <c r="RJD360" s="598"/>
      <c r="RJE360" s="598"/>
      <c r="RJF360" s="598"/>
      <c r="RJG360" s="598"/>
      <c r="RJH360" s="598"/>
      <c r="RJI360" s="598"/>
      <c r="RJJ360" s="598"/>
      <c r="RJK360" s="598"/>
      <c r="RJL360" s="598"/>
      <c r="RJM360" s="598"/>
      <c r="RJN360" s="598"/>
      <c r="RJO360" s="598"/>
      <c r="RJP360" s="598"/>
      <c r="RJQ360" s="598"/>
      <c r="RJR360" s="598"/>
      <c r="RJS360" s="598"/>
      <c r="RJT360" s="598"/>
      <c r="RJU360" s="598"/>
      <c r="RJV360" s="598"/>
      <c r="RJW360" s="598"/>
      <c r="RJX360" s="598"/>
      <c r="RJY360" s="598"/>
      <c r="RJZ360" s="598"/>
      <c r="RKA360" s="598"/>
      <c r="RKB360" s="598"/>
      <c r="RKC360" s="598"/>
      <c r="RKD360" s="598"/>
      <c r="RKE360" s="598"/>
      <c r="RKF360" s="598"/>
      <c r="RKG360" s="598"/>
      <c r="RKH360" s="598"/>
      <c r="RKI360" s="598"/>
      <c r="RKJ360" s="598"/>
      <c r="RKK360" s="598"/>
      <c r="RKL360" s="598"/>
      <c r="RKM360" s="598"/>
      <c r="RKN360" s="598"/>
      <c r="RKO360" s="598"/>
      <c r="RKP360" s="598"/>
      <c r="RKQ360" s="598"/>
      <c r="RKR360" s="598"/>
      <c r="RKS360" s="598"/>
      <c r="RKT360" s="598"/>
      <c r="RKU360" s="598"/>
      <c r="RKV360" s="598"/>
      <c r="RKW360" s="598"/>
      <c r="RKX360" s="598"/>
      <c r="RKY360" s="598"/>
      <c r="RKZ360" s="598"/>
      <c r="RLA360" s="598"/>
      <c r="RLB360" s="598"/>
      <c r="RLC360" s="598"/>
      <c r="RLD360" s="598"/>
      <c r="RLE360" s="598"/>
      <c r="RLF360" s="598"/>
      <c r="RLG360" s="598"/>
      <c r="RLH360" s="598"/>
      <c r="RLI360" s="598"/>
      <c r="RLJ360" s="598"/>
      <c r="RLK360" s="598"/>
      <c r="RLL360" s="598"/>
      <c r="RLM360" s="598"/>
      <c r="RLN360" s="598"/>
      <c r="RLO360" s="598"/>
      <c r="RLP360" s="598"/>
      <c r="RLQ360" s="598"/>
      <c r="RLR360" s="598"/>
      <c r="RLS360" s="598"/>
      <c r="RLT360" s="598"/>
      <c r="RLU360" s="598"/>
      <c r="RLV360" s="598"/>
      <c r="RLW360" s="598"/>
      <c r="RLX360" s="598"/>
      <c r="RLY360" s="598"/>
      <c r="RLZ360" s="598"/>
      <c r="RMA360" s="598"/>
      <c r="RMB360" s="598"/>
      <c r="RMC360" s="598"/>
      <c r="RMD360" s="598"/>
      <c r="RME360" s="598"/>
      <c r="RMF360" s="598"/>
      <c r="RMG360" s="598"/>
      <c r="RMH360" s="598"/>
      <c r="RMI360" s="598"/>
      <c r="RMJ360" s="598"/>
      <c r="RMK360" s="598"/>
      <c r="RML360" s="598"/>
      <c r="RMM360" s="598"/>
      <c r="RMN360" s="598"/>
      <c r="RMO360" s="598"/>
      <c r="RMP360" s="598"/>
      <c r="RMQ360" s="598"/>
      <c r="RMR360" s="598"/>
      <c r="RMS360" s="598"/>
      <c r="RMT360" s="598"/>
      <c r="RMU360" s="598"/>
      <c r="RMV360" s="598"/>
      <c r="RMW360" s="598"/>
      <c r="RMX360" s="598"/>
      <c r="RMY360" s="598"/>
      <c r="RMZ360" s="598"/>
      <c r="RNA360" s="598"/>
      <c r="RNB360" s="598"/>
      <c r="RNC360" s="598"/>
      <c r="RND360" s="598"/>
      <c r="RNE360" s="598"/>
      <c r="RNF360" s="598"/>
      <c r="RNG360" s="598"/>
      <c r="RNH360" s="598"/>
      <c r="RNI360" s="598"/>
      <c r="RNJ360" s="598"/>
      <c r="RNK360" s="598"/>
      <c r="RNL360" s="598"/>
      <c r="RNM360" s="598"/>
      <c r="RNN360" s="598"/>
      <c r="RNO360" s="598"/>
      <c r="RNP360" s="598"/>
      <c r="RNQ360" s="598"/>
      <c r="RNR360" s="598"/>
      <c r="RNS360" s="598"/>
      <c r="RNT360" s="598"/>
      <c r="RNU360" s="598"/>
      <c r="RNV360" s="598"/>
      <c r="RNW360" s="598"/>
      <c r="RNX360" s="598"/>
      <c r="RNY360" s="598"/>
      <c r="RNZ360" s="598"/>
      <c r="ROA360" s="598"/>
      <c r="ROB360" s="598"/>
      <c r="ROC360" s="598"/>
      <c r="ROD360" s="598"/>
      <c r="ROE360" s="598"/>
      <c r="ROF360" s="598"/>
      <c r="ROG360" s="598"/>
      <c r="ROH360" s="598"/>
      <c r="ROI360" s="598"/>
      <c r="ROJ360" s="598"/>
      <c r="ROK360" s="598"/>
      <c r="ROL360" s="598"/>
      <c r="ROM360" s="598"/>
      <c r="RON360" s="598"/>
      <c r="ROO360" s="598"/>
      <c r="ROP360" s="598"/>
      <c r="ROQ360" s="598"/>
      <c r="ROR360" s="598"/>
      <c r="ROS360" s="598"/>
      <c r="ROT360" s="598"/>
      <c r="ROU360" s="598"/>
      <c r="ROV360" s="598"/>
      <c r="ROW360" s="598"/>
      <c r="ROX360" s="598"/>
      <c r="ROY360" s="598"/>
      <c r="ROZ360" s="598"/>
      <c r="RPA360" s="598"/>
      <c r="RPB360" s="598"/>
      <c r="RPC360" s="598"/>
      <c r="RPD360" s="598"/>
      <c r="RPE360" s="598"/>
      <c r="RPF360" s="598"/>
      <c r="RPG360" s="598"/>
      <c r="RPH360" s="598"/>
      <c r="RPI360" s="598"/>
      <c r="RPJ360" s="598"/>
      <c r="RPK360" s="598"/>
      <c r="RPL360" s="598"/>
      <c r="RPM360" s="598"/>
      <c r="RPN360" s="598"/>
      <c r="RPO360" s="598"/>
      <c r="RPP360" s="598"/>
      <c r="RPQ360" s="598"/>
      <c r="RPR360" s="598"/>
      <c r="RPS360" s="598"/>
      <c r="RPT360" s="598"/>
      <c r="RPU360" s="598"/>
      <c r="RPV360" s="598"/>
      <c r="RPW360" s="598"/>
      <c r="RPX360" s="598"/>
      <c r="RPY360" s="598"/>
      <c r="RPZ360" s="598"/>
      <c r="RQA360" s="598"/>
      <c r="RQB360" s="598"/>
      <c r="RQC360" s="598"/>
      <c r="RQD360" s="598"/>
      <c r="RQE360" s="598"/>
      <c r="RQF360" s="598"/>
      <c r="RQG360" s="598"/>
      <c r="RQH360" s="598"/>
      <c r="RQI360" s="598"/>
      <c r="RQJ360" s="598"/>
      <c r="RQK360" s="598"/>
      <c r="RQL360" s="598"/>
      <c r="RQM360" s="598"/>
      <c r="RQN360" s="598"/>
      <c r="RQO360" s="598"/>
      <c r="RQP360" s="598"/>
      <c r="RQQ360" s="598"/>
      <c r="RQR360" s="598"/>
      <c r="RQS360" s="598"/>
      <c r="RQT360" s="598"/>
      <c r="RQU360" s="598"/>
      <c r="RQV360" s="598"/>
      <c r="RQW360" s="598"/>
      <c r="RQX360" s="598"/>
      <c r="RQY360" s="598"/>
      <c r="RQZ360" s="598"/>
      <c r="RRA360" s="598"/>
      <c r="RRB360" s="598"/>
      <c r="RRC360" s="598"/>
      <c r="RRD360" s="598"/>
      <c r="RRE360" s="598"/>
      <c r="RRF360" s="598"/>
      <c r="RRG360" s="598"/>
      <c r="RRH360" s="598"/>
      <c r="RRI360" s="598"/>
      <c r="RRJ360" s="598"/>
      <c r="RRK360" s="598"/>
      <c r="RRL360" s="598"/>
      <c r="RRM360" s="598"/>
      <c r="RRN360" s="598"/>
      <c r="RRO360" s="598"/>
      <c r="RRP360" s="598"/>
      <c r="RRQ360" s="598"/>
      <c r="RRR360" s="598"/>
      <c r="RRS360" s="598"/>
      <c r="RRT360" s="598"/>
      <c r="RRU360" s="598"/>
      <c r="RRV360" s="598"/>
      <c r="RRW360" s="598"/>
      <c r="RRX360" s="598"/>
      <c r="RRY360" s="598"/>
      <c r="RRZ360" s="598"/>
      <c r="RSA360" s="598"/>
      <c r="RSB360" s="598"/>
      <c r="RSC360" s="598"/>
      <c r="RSD360" s="598"/>
      <c r="RSE360" s="598"/>
      <c r="RSF360" s="598"/>
      <c r="RSG360" s="598"/>
      <c r="RSH360" s="598"/>
      <c r="RSI360" s="598"/>
      <c r="RSJ360" s="598"/>
      <c r="RSK360" s="598"/>
      <c r="RSL360" s="598"/>
      <c r="RSM360" s="598"/>
      <c r="RSN360" s="598"/>
      <c r="RSO360" s="598"/>
      <c r="RSP360" s="598"/>
      <c r="RSQ360" s="598"/>
      <c r="RSR360" s="598"/>
      <c r="RSS360" s="598"/>
      <c r="RST360" s="598"/>
      <c r="RSU360" s="598"/>
      <c r="RSV360" s="598"/>
      <c r="RSW360" s="598"/>
      <c r="RSX360" s="598"/>
      <c r="RSY360" s="598"/>
      <c r="RSZ360" s="598"/>
      <c r="RTA360" s="598"/>
      <c r="RTB360" s="598"/>
      <c r="RTC360" s="598"/>
      <c r="RTD360" s="598"/>
      <c r="RTE360" s="598"/>
      <c r="RTF360" s="598"/>
      <c r="RTG360" s="598"/>
      <c r="RTH360" s="598"/>
      <c r="RTI360" s="598"/>
      <c r="RTJ360" s="598"/>
      <c r="RTK360" s="598"/>
      <c r="RTL360" s="598"/>
      <c r="RTM360" s="598"/>
      <c r="RTN360" s="598"/>
      <c r="RTO360" s="598"/>
      <c r="RTP360" s="598"/>
      <c r="RTQ360" s="598"/>
      <c r="RTR360" s="598"/>
      <c r="RTS360" s="598"/>
      <c r="RTT360" s="598"/>
      <c r="RTU360" s="598"/>
      <c r="RTV360" s="598"/>
      <c r="RTW360" s="598"/>
      <c r="RTX360" s="598"/>
      <c r="RTY360" s="598"/>
      <c r="RTZ360" s="598"/>
      <c r="RUA360" s="598"/>
      <c r="RUB360" s="598"/>
      <c r="RUC360" s="598"/>
      <c r="RUD360" s="598"/>
      <c r="RUE360" s="598"/>
      <c r="RUF360" s="598"/>
      <c r="RUG360" s="598"/>
      <c r="RUH360" s="598"/>
      <c r="RUI360" s="598"/>
      <c r="RUJ360" s="598"/>
      <c r="RUK360" s="598"/>
      <c r="RUL360" s="598"/>
      <c r="RUM360" s="598"/>
      <c r="RUN360" s="598"/>
      <c r="RUO360" s="598"/>
      <c r="RUP360" s="598"/>
      <c r="RUQ360" s="598"/>
      <c r="RUR360" s="598"/>
      <c r="RUS360" s="598"/>
      <c r="RUT360" s="598"/>
      <c r="RUU360" s="598"/>
      <c r="RUV360" s="598"/>
      <c r="RUW360" s="598"/>
      <c r="RUX360" s="598"/>
      <c r="RUY360" s="598"/>
      <c r="RUZ360" s="598"/>
      <c r="RVA360" s="598"/>
      <c r="RVB360" s="598"/>
      <c r="RVC360" s="598"/>
      <c r="RVD360" s="598"/>
      <c r="RVE360" s="598"/>
      <c r="RVF360" s="598"/>
      <c r="RVG360" s="598"/>
      <c r="RVH360" s="598"/>
      <c r="RVI360" s="598"/>
      <c r="RVJ360" s="598"/>
      <c r="RVK360" s="598"/>
      <c r="RVL360" s="598"/>
      <c r="RVM360" s="598"/>
      <c r="RVN360" s="598"/>
      <c r="RVO360" s="598"/>
      <c r="RVP360" s="598"/>
      <c r="RVQ360" s="598"/>
      <c r="RVR360" s="598"/>
      <c r="RVS360" s="598"/>
      <c r="RVT360" s="598"/>
      <c r="RVU360" s="598"/>
      <c r="RVV360" s="598"/>
      <c r="RVW360" s="598"/>
      <c r="RVX360" s="598"/>
      <c r="RVY360" s="598"/>
      <c r="RVZ360" s="598"/>
      <c r="RWA360" s="598"/>
      <c r="RWB360" s="598"/>
      <c r="RWC360" s="598"/>
      <c r="RWD360" s="598"/>
      <c r="RWE360" s="598"/>
      <c r="RWF360" s="598"/>
      <c r="RWG360" s="598"/>
      <c r="RWH360" s="598"/>
      <c r="RWI360" s="598"/>
      <c r="RWJ360" s="598"/>
      <c r="RWK360" s="598"/>
      <c r="RWL360" s="598"/>
      <c r="RWM360" s="598"/>
      <c r="RWN360" s="598"/>
      <c r="RWO360" s="598"/>
      <c r="RWP360" s="598"/>
      <c r="RWQ360" s="598"/>
      <c r="RWR360" s="598"/>
      <c r="RWS360" s="598"/>
      <c r="RWT360" s="598"/>
      <c r="RWU360" s="598"/>
      <c r="RWV360" s="598"/>
      <c r="RWW360" s="598"/>
      <c r="RWX360" s="598"/>
      <c r="RWY360" s="598"/>
      <c r="RWZ360" s="598"/>
      <c r="RXA360" s="598"/>
      <c r="RXB360" s="598"/>
      <c r="RXC360" s="598"/>
      <c r="RXD360" s="598"/>
      <c r="RXE360" s="598"/>
      <c r="RXF360" s="598"/>
      <c r="RXG360" s="598"/>
      <c r="RXH360" s="598"/>
      <c r="RXI360" s="598"/>
      <c r="RXJ360" s="598"/>
      <c r="RXK360" s="598"/>
      <c r="RXL360" s="598"/>
      <c r="RXM360" s="598"/>
      <c r="RXN360" s="598"/>
      <c r="RXO360" s="598"/>
      <c r="RXP360" s="598"/>
      <c r="RXQ360" s="598"/>
      <c r="RXR360" s="598"/>
      <c r="RXS360" s="598"/>
      <c r="RXT360" s="598"/>
      <c r="RXU360" s="598"/>
      <c r="RXV360" s="598"/>
      <c r="RXW360" s="598"/>
      <c r="RXX360" s="598"/>
      <c r="RXY360" s="598"/>
      <c r="RXZ360" s="598"/>
      <c r="RYA360" s="598"/>
      <c r="RYB360" s="598"/>
      <c r="RYC360" s="598"/>
      <c r="RYD360" s="598"/>
      <c r="RYE360" s="598"/>
      <c r="RYF360" s="598"/>
      <c r="RYG360" s="598"/>
      <c r="RYH360" s="598"/>
      <c r="RYI360" s="598"/>
      <c r="RYJ360" s="598"/>
      <c r="RYK360" s="598"/>
      <c r="RYL360" s="598"/>
      <c r="RYM360" s="598"/>
      <c r="RYN360" s="598"/>
      <c r="RYO360" s="598"/>
      <c r="RYP360" s="598"/>
      <c r="RYQ360" s="598"/>
      <c r="RYR360" s="598"/>
      <c r="RYS360" s="598"/>
      <c r="RYT360" s="598"/>
      <c r="RYU360" s="598"/>
      <c r="RYV360" s="598"/>
      <c r="RYW360" s="598"/>
      <c r="RYX360" s="598"/>
      <c r="RYY360" s="598"/>
      <c r="RYZ360" s="598"/>
      <c r="RZA360" s="598"/>
      <c r="RZB360" s="598"/>
      <c r="RZC360" s="598"/>
      <c r="RZD360" s="598"/>
      <c r="RZE360" s="598"/>
      <c r="RZF360" s="598"/>
      <c r="RZG360" s="598"/>
      <c r="RZH360" s="598"/>
      <c r="RZI360" s="598"/>
      <c r="RZJ360" s="598"/>
      <c r="RZK360" s="598"/>
      <c r="RZL360" s="598"/>
      <c r="RZM360" s="598"/>
      <c r="RZN360" s="598"/>
      <c r="RZO360" s="598"/>
      <c r="RZP360" s="598"/>
      <c r="RZQ360" s="598"/>
      <c r="RZR360" s="598"/>
      <c r="RZS360" s="598"/>
      <c r="RZT360" s="598"/>
      <c r="RZU360" s="598"/>
      <c r="RZV360" s="598"/>
      <c r="RZW360" s="598"/>
      <c r="RZX360" s="598"/>
      <c r="RZY360" s="598"/>
      <c r="RZZ360" s="598"/>
      <c r="SAA360" s="598"/>
      <c r="SAB360" s="598"/>
      <c r="SAC360" s="598"/>
      <c r="SAD360" s="598"/>
      <c r="SAE360" s="598"/>
      <c r="SAF360" s="598"/>
      <c r="SAG360" s="598"/>
      <c r="SAH360" s="598"/>
      <c r="SAI360" s="598"/>
      <c r="SAJ360" s="598"/>
      <c r="SAK360" s="598"/>
      <c r="SAL360" s="598"/>
      <c r="SAM360" s="598"/>
      <c r="SAN360" s="598"/>
      <c r="SAO360" s="598"/>
      <c r="SAP360" s="598"/>
      <c r="SAQ360" s="598"/>
      <c r="SAR360" s="598"/>
      <c r="SAS360" s="598"/>
      <c r="SAT360" s="598"/>
      <c r="SAU360" s="598"/>
      <c r="SAV360" s="598"/>
      <c r="SAW360" s="598"/>
      <c r="SAX360" s="598"/>
      <c r="SAY360" s="598"/>
      <c r="SAZ360" s="598"/>
      <c r="SBA360" s="598"/>
      <c r="SBB360" s="598"/>
      <c r="SBC360" s="598"/>
      <c r="SBD360" s="598"/>
      <c r="SBE360" s="598"/>
      <c r="SBF360" s="598"/>
      <c r="SBG360" s="598"/>
      <c r="SBH360" s="598"/>
      <c r="SBI360" s="598"/>
      <c r="SBJ360" s="598"/>
      <c r="SBK360" s="598"/>
      <c r="SBL360" s="598"/>
      <c r="SBM360" s="598"/>
      <c r="SBN360" s="598"/>
      <c r="SBO360" s="598"/>
      <c r="SBP360" s="598"/>
      <c r="SBQ360" s="598"/>
      <c r="SBR360" s="598"/>
      <c r="SBS360" s="598"/>
      <c r="SBT360" s="598"/>
      <c r="SBU360" s="598"/>
      <c r="SBV360" s="598"/>
      <c r="SBW360" s="598"/>
      <c r="SBX360" s="598"/>
      <c r="SBY360" s="598"/>
      <c r="SBZ360" s="598"/>
      <c r="SCA360" s="598"/>
      <c r="SCB360" s="598"/>
      <c r="SCC360" s="598"/>
      <c r="SCD360" s="598"/>
      <c r="SCE360" s="598"/>
      <c r="SCF360" s="598"/>
      <c r="SCG360" s="598"/>
      <c r="SCH360" s="598"/>
      <c r="SCI360" s="598"/>
      <c r="SCJ360" s="598"/>
      <c r="SCK360" s="598"/>
      <c r="SCL360" s="598"/>
      <c r="SCM360" s="598"/>
      <c r="SCN360" s="598"/>
      <c r="SCO360" s="598"/>
      <c r="SCP360" s="598"/>
      <c r="SCQ360" s="598"/>
      <c r="SCR360" s="598"/>
      <c r="SCS360" s="598"/>
      <c r="SCT360" s="598"/>
      <c r="SCU360" s="598"/>
      <c r="SCV360" s="598"/>
      <c r="SCW360" s="598"/>
      <c r="SCX360" s="598"/>
      <c r="SCY360" s="598"/>
      <c r="SCZ360" s="598"/>
      <c r="SDA360" s="598"/>
      <c r="SDB360" s="598"/>
      <c r="SDC360" s="598"/>
      <c r="SDD360" s="598"/>
      <c r="SDE360" s="598"/>
      <c r="SDF360" s="598"/>
      <c r="SDG360" s="598"/>
      <c r="SDH360" s="598"/>
      <c r="SDI360" s="598"/>
      <c r="SDJ360" s="598"/>
      <c r="SDK360" s="598"/>
      <c r="SDL360" s="598"/>
      <c r="SDM360" s="598"/>
      <c r="SDN360" s="598"/>
      <c r="SDO360" s="598"/>
      <c r="SDP360" s="598"/>
      <c r="SDQ360" s="598"/>
      <c r="SDR360" s="598"/>
      <c r="SDS360" s="598"/>
      <c r="SDT360" s="598"/>
      <c r="SDU360" s="598"/>
      <c r="SDV360" s="598"/>
      <c r="SDW360" s="598"/>
      <c r="SDX360" s="598"/>
      <c r="SDY360" s="598"/>
      <c r="SDZ360" s="598"/>
      <c r="SEA360" s="598"/>
      <c r="SEB360" s="598"/>
      <c r="SEC360" s="598"/>
      <c r="SED360" s="598"/>
      <c r="SEE360" s="598"/>
      <c r="SEF360" s="598"/>
      <c r="SEG360" s="598"/>
      <c r="SEH360" s="598"/>
      <c r="SEI360" s="598"/>
      <c r="SEJ360" s="598"/>
      <c r="SEK360" s="598"/>
      <c r="SEL360" s="598"/>
      <c r="SEM360" s="598"/>
      <c r="SEN360" s="598"/>
      <c r="SEO360" s="598"/>
      <c r="SEP360" s="598"/>
      <c r="SEQ360" s="598"/>
      <c r="SER360" s="598"/>
      <c r="SES360" s="598"/>
      <c r="SET360" s="598"/>
      <c r="SEU360" s="598"/>
      <c r="SEV360" s="598"/>
      <c r="SEW360" s="598"/>
      <c r="SEX360" s="598"/>
      <c r="SEY360" s="598"/>
      <c r="SEZ360" s="598"/>
      <c r="SFA360" s="598"/>
      <c r="SFB360" s="598"/>
      <c r="SFC360" s="598"/>
      <c r="SFD360" s="598"/>
      <c r="SFE360" s="598"/>
      <c r="SFF360" s="598"/>
      <c r="SFG360" s="598"/>
      <c r="SFH360" s="598"/>
      <c r="SFI360" s="598"/>
      <c r="SFJ360" s="598"/>
      <c r="SFK360" s="598"/>
      <c r="SFL360" s="598"/>
      <c r="SFM360" s="598"/>
      <c r="SFN360" s="598"/>
      <c r="SFO360" s="598"/>
      <c r="SFP360" s="598"/>
      <c r="SFQ360" s="598"/>
      <c r="SFR360" s="598"/>
      <c r="SFS360" s="598"/>
      <c r="SFT360" s="598"/>
      <c r="SFU360" s="598"/>
      <c r="SFV360" s="598"/>
      <c r="SFW360" s="598"/>
      <c r="SFX360" s="598"/>
      <c r="SFY360" s="598"/>
      <c r="SFZ360" s="598"/>
      <c r="SGA360" s="598"/>
      <c r="SGB360" s="598"/>
      <c r="SGC360" s="598"/>
      <c r="SGD360" s="598"/>
      <c r="SGE360" s="598"/>
      <c r="SGF360" s="598"/>
      <c r="SGG360" s="598"/>
      <c r="SGH360" s="598"/>
      <c r="SGI360" s="598"/>
      <c r="SGJ360" s="598"/>
      <c r="SGK360" s="598"/>
      <c r="SGL360" s="598"/>
      <c r="SGM360" s="598"/>
      <c r="SGN360" s="598"/>
      <c r="SGO360" s="598"/>
      <c r="SGP360" s="598"/>
      <c r="SGQ360" s="598"/>
      <c r="SGR360" s="598"/>
      <c r="SGS360" s="598"/>
      <c r="SGT360" s="598"/>
      <c r="SGU360" s="598"/>
      <c r="SGV360" s="598"/>
      <c r="SGW360" s="598"/>
      <c r="SGX360" s="598"/>
      <c r="SGY360" s="598"/>
      <c r="SGZ360" s="598"/>
      <c r="SHA360" s="598"/>
      <c r="SHB360" s="598"/>
      <c r="SHC360" s="598"/>
      <c r="SHD360" s="598"/>
      <c r="SHE360" s="598"/>
      <c r="SHF360" s="598"/>
      <c r="SHG360" s="598"/>
      <c r="SHH360" s="598"/>
      <c r="SHI360" s="598"/>
      <c r="SHJ360" s="598"/>
      <c r="SHK360" s="598"/>
      <c r="SHL360" s="598"/>
      <c r="SHM360" s="598"/>
      <c r="SHN360" s="598"/>
      <c r="SHO360" s="598"/>
      <c r="SHP360" s="598"/>
      <c r="SHQ360" s="598"/>
      <c r="SHR360" s="598"/>
      <c r="SHS360" s="598"/>
      <c r="SHT360" s="598"/>
      <c r="SHU360" s="598"/>
      <c r="SHV360" s="598"/>
      <c r="SHW360" s="598"/>
      <c r="SHX360" s="598"/>
      <c r="SHY360" s="598"/>
      <c r="SHZ360" s="598"/>
      <c r="SIA360" s="598"/>
      <c r="SIB360" s="598"/>
      <c r="SIC360" s="598"/>
      <c r="SID360" s="598"/>
      <c r="SIE360" s="598"/>
      <c r="SIF360" s="598"/>
      <c r="SIG360" s="598"/>
      <c r="SIH360" s="598"/>
      <c r="SII360" s="598"/>
      <c r="SIJ360" s="598"/>
      <c r="SIK360" s="598"/>
      <c r="SIL360" s="598"/>
      <c r="SIM360" s="598"/>
      <c r="SIN360" s="598"/>
      <c r="SIO360" s="598"/>
      <c r="SIP360" s="598"/>
      <c r="SIQ360" s="598"/>
      <c r="SIR360" s="598"/>
      <c r="SIS360" s="598"/>
      <c r="SIT360" s="598"/>
      <c r="SIU360" s="598"/>
      <c r="SIV360" s="598"/>
      <c r="SIW360" s="598"/>
      <c r="SIX360" s="598"/>
      <c r="SIY360" s="598"/>
      <c r="SIZ360" s="598"/>
      <c r="SJA360" s="598"/>
      <c r="SJB360" s="598"/>
      <c r="SJC360" s="598"/>
      <c r="SJD360" s="598"/>
      <c r="SJE360" s="598"/>
      <c r="SJF360" s="598"/>
      <c r="SJG360" s="598"/>
      <c r="SJH360" s="598"/>
      <c r="SJI360" s="598"/>
      <c r="SJJ360" s="598"/>
      <c r="SJK360" s="598"/>
      <c r="SJL360" s="598"/>
      <c r="SJM360" s="598"/>
      <c r="SJN360" s="598"/>
      <c r="SJO360" s="598"/>
      <c r="SJP360" s="598"/>
      <c r="SJQ360" s="598"/>
      <c r="SJR360" s="598"/>
      <c r="SJS360" s="598"/>
      <c r="SJT360" s="598"/>
      <c r="SJU360" s="598"/>
      <c r="SJV360" s="598"/>
      <c r="SJW360" s="598"/>
      <c r="SJX360" s="598"/>
      <c r="SJY360" s="598"/>
      <c r="SJZ360" s="598"/>
      <c r="SKA360" s="598"/>
      <c r="SKB360" s="598"/>
      <c r="SKC360" s="598"/>
      <c r="SKD360" s="598"/>
      <c r="SKE360" s="598"/>
      <c r="SKF360" s="598"/>
      <c r="SKG360" s="598"/>
      <c r="SKH360" s="598"/>
      <c r="SKI360" s="598"/>
      <c r="SKJ360" s="598"/>
      <c r="SKK360" s="598"/>
      <c r="SKL360" s="598"/>
      <c r="SKM360" s="598"/>
      <c r="SKN360" s="598"/>
      <c r="SKO360" s="598"/>
      <c r="SKP360" s="598"/>
      <c r="SKQ360" s="598"/>
      <c r="SKR360" s="598"/>
      <c r="SKS360" s="598"/>
      <c r="SKT360" s="598"/>
      <c r="SKU360" s="598"/>
      <c r="SKV360" s="598"/>
      <c r="SKW360" s="598"/>
      <c r="SKX360" s="598"/>
      <c r="SKY360" s="598"/>
      <c r="SKZ360" s="598"/>
      <c r="SLA360" s="598"/>
      <c r="SLB360" s="598"/>
      <c r="SLC360" s="598"/>
      <c r="SLD360" s="598"/>
      <c r="SLE360" s="598"/>
      <c r="SLF360" s="598"/>
      <c r="SLG360" s="598"/>
      <c r="SLH360" s="598"/>
      <c r="SLI360" s="598"/>
      <c r="SLJ360" s="598"/>
      <c r="SLK360" s="598"/>
      <c r="SLL360" s="598"/>
      <c r="SLM360" s="598"/>
      <c r="SLN360" s="598"/>
      <c r="SLO360" s="598"/>
      <c r="SLP360" s="598"/>
      <c r="SLQ360" s="598"/>
      <c r="SLR360" s="598"/>
      <c r="SLS360" s="598"/>
      <c r="SLT360" s="598"/>
      <c r="SLU360" s="598"/>
      <c r="SLV360" s="598"/>
      <c r="SLW360" s="598"/>
      <c r="SLX360" s="598"/>
      <c r="SLY360" s="598"/>
      <c r="SLZ360" s="598"/>
      <c r="SMA360" s="598"/>
      <c r="SMB360" s="598"/>
      <c r="SMC360" s="598"/>
      <c r="SMD360" s="598"/>
      <c r="SME360" s="598"/>
      <c r="SMF360" s="598"/>
      <c r="SMG360" s="598"/>
      <c r="SMH360" s="598"/>
      <c r="SMI360" s="598"/>
      <c r="SMJ360" s="598"/>
      <c r="SMK360" s="598"/>
      <c r="SML360" s="598"/>
      <c r="SMM360" s="598"/>
      <c r="SMN360" s="598"/>
      <c r="SMO360" s="598"/>
      <c r="SMP360" s="598"/>
      <c r="SMQ360" s="598"/>
      <c r="SMR360" s="598"/>
      <c r="SMS360" s="598"/>
      <c r="SMT360" s="598"/>
      <c r="SMU360" s="598"/>
      <c r="SMV360" s="598"/>
      <c r="SMW360" s="598"/>
      <c r="SMX360" s="598"/>
      <c r="SMY360" s="598"/>
      <c r="SMZ360" s="598"/>
      <c r="SNA360" s="598"/>
      <c r="SNB360" s="598"/>
      <c r="SNC360" s="598"/>
      <c r="SND360" s="598"/>
      <c r="SNE360" s="598"/>
      <c r="SNF360" s="598"/>
      <c r="SNG360" s="598"/>
      <c r="SNH360" s="598"/>
      <c r="SNI360" s="598"/>
      <c r="SNJ360" s="598"/>
      <c r="SNK360" s="598"/>
      <c r="SNL360" s="598"/>
      <c r="SNM360" s="598"/>
      <c r="SNN360" s="598"/>
      <c r="SNO360" s="598"/>
      <c r="SNP360" s="598"/>
      <c r="SNQ360" s="598"/>
      <c r="SNR360" s="598"/>
      <c r="SNS360" s="598"/>
      <c r="SNT360" s="598"/>
      <c r="SNU360" s="598"/>
      <c r="SNV360" s="598"/>
      <c r="SNW360" s="598"/>
      <c r="SNX360" s="598"/>
      <c r="SNY360" s="598"/>
      <c r="SNZ360" s="598"/>
      <c r="SOA360" s="598"/>
      <c r="SOB360" s="598"/>
      <c r="SOC360" s="598"/>
      <c r="SOD360" s="598"/>
      <c r="SOE360" s="598"/>
      <c r="SOF360" s="598"/>
      <c r="SOG360" s="598"/>
      <c r="SOH360" s="598"/>
      <c r="SOI360" s="598"/>
      <c r="SOJ360" s="598"/>
      <c r="SOK360" s="598"/>
      <c r="SOL360" s="598"/>
      <c r="SOM360" s="598"/>
      <c r="SON360" s="598"/>
      <c r="SOO360" s="598"/>
      <c r="SOP360" s="598"/>
      <c r="SOQ360" s="598"/>
      <c r="SOR360" s="598"/>
      <c r="SOS360" s="598"/>
      <c r="SOT360" s="598"/>
      <c r="SOU360" s="598"/>
      <c r="SOV360" s="598"/>
      <c r="SOW360" s="598"/>
      <c r="SOX360" s="598"/>
      <c r="SOY360" s="598"/>
      <c r="SOZ360" s="598"/>
      <c r="SPA360" s="598"/>
      <c r="SPB360" s="598"/>
      <c r="SPC360" s="598"/>
      <c r="SPD360" s="598"/>
      <c r="SPE360" s="598"/>
      <c r="SPF360" s="598"/>
      <c r="SPG360" s="598"/>
      <c r="SPH360" s="598"/>
      <c r="SPI360" s="598"/>
      <c r="SPJ360" s="598"/>
      <c r="SPK360" s="598"/>
      <c r="SPL360" s="598"/>
      <c r="SPM360" s="598"/>
      <c r="SPN360" s="598"/>
      <c r="SPO360" s="598"/>
      <c r="SPP360" s="598"/>
      <c r="SPQ360" s="598"/>
      <c r="SPR360" s="598"/>
      <c r="SPS360" s="598"/>
      <c r="SPT360" s="598"/>
      <c r="SPU360" s="598"/>
      <c r="SPV360" s="598"/>
      <c r="SPW360" s="598"/>
      <c r="SPX360" s="598"/>
      <c r="SPY360" s="598"/>
      <c r="SPZ360" s="598"/>
      <c r="SQA360" s="598"/>
      <c r="SQB360" s="598"/>
      <c r="SQC360" s="598"/>
      <c r="SQD360" s="598"/>
      <c r="SQE360" s="598"/>
      <c r="SQF360" s="598"/>
      <c r="SQG360" s="598"/>
      <c r="SQH360" s="598"/>
      <c r="SQI360" s="598"/>
      <c r="SQJ360" s="598"/>
      <c r="SQK360" s="598"/>
      <c r="SQL360" s="598"/>
      <c r="SQM360" s="598"/>
      <c r="SQN360" s="598"/>
      <c r="SQO360" s="598"/>
      <c r="SQP360" s="598"/>
      <c r="SQQ360" s="598"/>
      <c r="SQR360" s="598"/>
      <c r="SQS360" s="598"/>
      <c r="SQT360" s="598"/>
      <c r="SQU360" s="598"/>
      <c r="SQV360" s="598"/>
      <c r="SQW360" s="598"/>
      <c r="SQX360" s="598"/>
      <c r="SQY360" s="598"/>
      <c r="SQZ360" s="598"/>
      <c r="SRA360" s="598"/>
      <c r="SRB360" s="598"/>
      <c r="SRC360" s="598"/>
      <c r="SRD360" s="598"/>
      <c r="SRE360" s="598"/>
      <c r="SRF360" s="598"/>
      <c r="SRG360" s="598"/>
      <c r="SRH360" s="598"/>
      <c r="SRI360" s="598"/>
      <c r="SRJ360" s="598"/>
      <c r="SRK360" s="598"/>
      <c r="SRL360" s="598"/>
      <c r="SRM360" s="598"/>
      <c r="SRN360" s="598"/>
      <c r="SRO360" s="598"/>
      <c r="SRP360" s="598"/>
      <c r="SRQ360" s="598"/>
      <c r="SRR360" s="598"/>
      <c r="SRS360" s="598"/>
      <c r="SRT360" s="598"/>
      <c r="SRU360" s="598"/>
      <c r="SRV360" s="598"/>
      <c r="SRW360" s="598"/>
      <c r="SRX360" s="598"/>
      <c r="SRY360" s="598"/>
      <c r="SRZ360" s="598"/>
      <c r="SSA360" s="598"/>
      <c r="SSB360" s="598"/>
      <c r="SSC360" s="598"/>
      <c r="SSD360" s="598"/>
      <c r="SSE360" s="598"/>
      <c r="SSF360" s="598"/>
      <c r="SSG360" s="598"/>
      <c r="SSH360" s="598"/>
      <c r="SSI360" s="598"/>
      <c r="SSJ360" s="598"/>
      <c r="SSK360" s="598"/>
      <c r="SSL360" s="598"/>
      <c r="SSM360" s="598"/>
      <c r="SSN360" s="598"/>
      <c r="SSO360" s="598"/>
      <c r="SSP360" s="598"/>
      <c r="SSQ360" s="598"/>
      <c r="SSR360" s="598"/>
      <c r="SSS360" s="598"/>
      <c r="SST360" s="598"/>
      <c r="SSU360" s="598"/>
      <c r="SSV360" s="598"/>
      <c r="SSW360" s="598"/>
      <c r="SSX360" s="598"/>
      <c r="SSY360" s="598"/>
      <c r="SSZ360" s="598"/>
      <c r="STA360" s="598"/>
      <c r="STB360" s="598"/>
      <c r="STC360" s="598"/>
      <c r="STD360" s="598"/>
      <c r="STE360" s="598"/>
      <c r="STF360" s="598"/>
      <c r="STG360" s="598"/>
      <c r="STH360" s="598"/>
      <c r="STI360" s="598"/>
      <c r="STJ360" s="598"/>
      <c r="STK360" s="598"/>
      <c r="STL360" s="598"/>
      <c r="STM360" s="598"/>
      <c r="STN360" s="598"/>
      <c r="STO360" s="598"/>
      <c r="STP360" s="598"/>
      <c r="STQ360" s="598"/>
      <c r="STR360" s="598"/>
      <c r="STS360" s="598"/>
      <c r="STT360" s="598"/>
      <c r="STU360" s="598"/>
      <c r="STV360" s="598"/>
      <c r="STW360" s="598"/>
      <c r="STX360" s="598"/>
      <c r="STY360" s="598"/>
      <c r="STZ360" s="598"/>
      <c r="SUA360" s="598"/>
      <c r="SUB360" s="598"/>
      <c r="SUC360" s="598"/>
      <c r="SUD360" s="598"/>
      <c r="SUE360" s="598"/>
      <c r="SUF360" s="598"/>
      <c r="SUG360" s="598"/>
      <c r="SUH360" s="598"/>
      <c r="SUI360" s="598"/>
      <c r="SUJ360" s="598"/>
      <c r="SUK360" s="598"/>
      <c r="SUL360" s="598"/>
      <c r="SUM360" s="598"/>
      <c r="SUN360" s="598"/>
      <c r="SUO360" s="598"/>
      <c r="SUP360" s="598"/>
      <c r="SUQ360" s="598"/>
      <c r="SUR360" s="598"/>
      <c r="SUS360" s="598"/>
      <c r="SUT360" s="598"/>
      <c r="SUU360" s="598"/>
      <c r="SUV360" s="598"/>
      <c r="SUW360" s="598"/>
      <c r="SUX360" s="598"/>
      <c r="SUY360" s="598"/>
      <c r="SUZ360" s="598"/>
      <c r="SVA360" s="598"/>
      <c r="SVB360" s="598"/>
      <c r="SVC360" s="598"/>
      <c r="SVD360" s="598"/>
      <c r="SVE360" s="598"/>
      <c r="SVF360" s="598"/>
      <c r="SVG360" s="598"/>
      <c r="SVH360" s="598"/>
      <c r="SVI360" s="598"/>
      <c r="SVJ360" s="598"/>
      <c r="SVK360" s="598"/>
      <c r="SVL360" s="598"/>
      <c r="SVM360" s="598"/>
      <c r="SVN360" s="598"/>
      <c r="SVO360" s="598"/>
      <c r="SVP360" s="598"/>
      <c r="SVQ360" s="598"/>
      <c r="SVR360" s="598"/>
      <c r="SVS360" s="598"/>
      <c r="SVT360" s="598"/>
      <c r="SVU360" s="598"/>
      <c r="SVV360" s="598"/>
      <c r="SVW360" s="598"/>
      <c r="SVX360" s="598"/>
      <c r="SVY360" s="598"/>
      <c r="SVZ360" s="598"/>
      <c r="SWA360" s="598"/>
      <c r="SWB360" s="598"/>
      <c r="SWC360" s="598"/>
      <c r="SWD360" s="598"/>
      <c r="SWE360" s="598"/>
      <c r="SWF360" s="598"/>
      <c r="SWG360" s="598"/>
      <c r="SWH360" s="598"/>
      <c r="SWI360" s="598"/>
      <c r="SWJ360" s="598"/>
      <c r="SWK360" s="598"/>
      <c r="SWL360" s="598"/>
      <c r="SWM360" s="598"/>
      <c r="SWN360" s="598"/>
      <c r="SWO360" s="598"/>
      <c r="SWP360" s="598"/>
      <c r="SWQ360" s="598"/>
      <c r="SWR360" s="598"/>
      <c r="SWS360" s="598"/>
      <c r="SWT360" s="598"/>
      <c r="SWU360" s="598"/>
      <c r="SWV360" s="598"/>
      <c r="SWW360" s="598"/>
      <c r="SWX360" s="598"/>
      <c r="SWY360" s="598"/>
      <c r="SWZ360" s="598"/>
      <c r="SXA360" s="598"/>
      <c r="SXB360" s="598"/>
      <c r="SXC360" s="598"/>
      <c r="SXD360" s="598"/>
      <c r="SXE360" s="598"/>
      <c r="SXF360" s="598"/>
      <c r="SXG360" s="598"/>
      <c r="SXH360" s="598"/>
      <c r="SXI360" s="598"/>
      <c r="SXJ360" s="598"/>
      <c r="SXK360" s="598"/>
      <c r="SXL360" s="598"/>
      <c r="SXM360" s="598"/>
      <c r="SXN360" s="598"/>
      <c r="SXO360" s="598"/>
      <c r="SXP360" s="598"/>
      <c r="SXQ360" s="598"/>
      <c r="SXR360" s="598"/>
      <c r="SXS360" s="598"/>
      <c r="SXT360" s="598"/>
      <c r="SXU360" s="598"/>
      <c r="SXV360" s="598"/>
      <c r="SXW360" s="598"/>
      <c r="SXX360" s="598"/>
      <c r="SXY360" s="598"/>
      <c r="SXZ360" s="598"/>
      <c r="SYA360" s="598"/>
      <c r="SYB360" s="598"/>
      <c r="SYC360" s="598"/>
      <c r="SYD360" s="598"/>
      <c r="SYE360" s="598"/>
      <c r="SYF360" s="598"/>
      <c r="SYG360" s="598"/>
      <c r="SYH360" s="598"/>
      <c r="SYI360" s="598"/>
      <c r="SYJ360" s="598"/>
      <c r="SYK360" s="598"/>
      <c r="SYL360" s="598"/>
      <c r="SYM360" s="598"/>
      <c r="SYN360" s="598"/>
      <c r="SYO360" s="598"/>
      <c r="SYP360" s="598"/>
      <c r="SYQ360" s="598"/>
      <c r="SYR360" s="598"/>
      <c r="SYS360" s="598"/>
      <c r="SYT360" s="598"/>
      <c r="SYU360" s="598"/>
      <c r="SYV360" s="598"/>
      <c r="SYW360" s="598"/>
      <c r="SYX360" s="598"/>
      <c r="SYY360" s="598"/>
      <c r="SYZ360" s="598"/>
      <c r="SZA360" s="598"/>
      <c r="SZB360" s="598"/>
      <c r="SZC360" s="598"/>
      <c r="SZD360" s="598"/>
      <c r="SZE360" s="598"/>
      <c r="SZF360" s="598"/>
      <c r="SZG360" s="598"/>
      <c r="SZH360" s="598"/>
      <c r="SZI360" s="598"/>
      <c r="SZJ360" s="598"/>
      <c r="SZK360" s="598"/>
      <c r="SZL360" s="598"/>
      <c r="SZM360" s="598"/>
      <c r="SZN360" s="598"/>
      <c r="SZO360" s="598"/>
      <c r="SZP360" s="598"/>
      <c r="SZQ360" s="598"/>
      <c r="SZR360" s="598"/>
      <c r="SZS360" s="598"/>
      <c r="SZT360" s="598"/>
      <c r="SZU360" s="598"/>
      <c r="SZV360" s="598"/>
      <c r="SZW360" s="598"/>
      <c r="SZX360" s="598"/>
      <c r="SZY360" s="598"/>
      <c r="SZZ360" s="598"/>
      <c r="TAA360" s="598"/>
      <c r="TAB360" s="598"/>
      <c r="TAC360" s="598"/>
      <c r="TAD360" s="598"/>
      <c r="TAE360" s="598"/>
      <c r="TAF360" s="598"/>
      <c r="TAG360" s="598"/>
      <c r="TAH360" s="598"/>
      <c r="TAI360" s="598"/>
      <c r="TAJ360" s="598"/>
      <c r="TAK360" s="598"/>
      <c r="TAL360" s="598"/>
      <c r="TAM360" s="598"/>
      <c r="TAN360" s="598"/>
      <c r="TAO360" s="598"/>
      <c r="TAP360" s="598"/>
      <c r="TAQ360" s="598"/>
      <c r="TAR360" s="598"/>
      <c r="TAS360" s="598"/>
      <c r="TAT360" s="598"/>
      <c r="TAU360" s="598"/>
      <c r="TAV360" s="598"/>
      <c r="TAW360" s="598"/>
      <c r="TAX360" s="598"/>
      <c r="TAY360" s="598"/>
      <c r="TAZ360" s="598"/>
      <c r="TBA360" s="598"/>
      <c r="TBB360" s="598"/>
      <c r="TBC360" s="598"/>
      <c r="TBD360" s="598"/>
      <c r="TBE360" s="598"/>
      <c r="TBF360" s="598"/>
      <c r="TBG360" s="598"/>
      <c r="TBH360" s="598"/>
      <c r="TBI360" s="598"/>
      <c r="TBJ360" s="598"/>
      <c r="TBK360" s="598"/>
      <c r="TBL360" s="598"/>
      <c r="TBM360" s="598"/>
      <c r="TBN360" s="598"/>
      <c r="TBO360" s="598"/>
      <c r="TBP360" s="598"/>
      <c r="TBQ360" s="598"/>
      <c r="TBR360" s="598"/>
      <c r="TBS360" s="598"/>
      <c r="TBT360" s="598"/>
      <c r="TBU360" s="598"/>
      <c r="TBV360" s="598"/>
      <c r="TBW360" s="598"/>
      <c r="TBX360" s="598"/>
      <c r="TBY360" s="598"/>
      <c r="TBZ360" s="598"/>
      <c r="TCA360" s="598"/>
      <c r="TCB360" s="598"/>
      <c r="TCC360" s="598"/>
      <c r="TCD360" s="598"/>
      <c r="TCE360" s="598"/>
      <c r="TCF360" s="598"/>
      <c r="TCG360" s="598"/>
      <c r="TCH360" s="598"/>
      <c r="TCI360" s="598"/>
      <c r="TCJ360" s="598"/>
      <c r="TCK360" s="598"/>
      <c r="TCL360" s="598"/>
      <c r="TCM360" s="598"/>
      <c r="TCN360" s="598"/>
      <c r="TCO360" s="598"/>
      <c r="TCP360" s="598"/>
      <c r="TCQ360" s="598"/>
      <c r="TCR360" s="598"/>
      <c r="TCS360" s="598"/>
      <c r="TCT360" s="598"/>
      <c r="TCU360" s="598"/>
      <c r="TCV360" s="598"/>
      <c r="TCW360" s="598"/>
      <c r="TCX360" s="598"/>
      <c r="TCY360" s="598"/>
      <c r="TCZ360" s="598"/>
      <c r="TDA360" s="598"/>
      <c r="TDB360" s="598"/>
      <c r="TDC360" s="598"/>
      <c r="TDD360" s="598"/>
      <c r="TDE360" s="598"/>
      <c r="TDF360" s="598"/>
      <c r="TDG360" s="598"/>
      <c r="TDH360" s="598"/>
      <c r="TDI360" s="598"/>
      <c r="TDJ360" s="598"/>
      <c r="TDK360" s="598"/>
      <c r="TDL360" s="598"/>
      <c r="TDM360" s="598"/>
      <c r="TDN360" s="598"/>
      <c r="TDO360" s="598"/>
      <c r="TDP360" s="598"/>
      <c r="TDQ360" s="598"/>
      <c r="TDR360" s="598"/>
      <c r="TDS360" s="598"/>
      <c r="TDT360" s="598"/>
      <c r="TDU360" s="598"/>
      <c r="TDV360" s="598"/>
      <c r="TDW360" s="598"/>
      <c r="TDX360" s="598"/>
      <c r="TDY360" s="598"/>
      <c r="TDZ360" s="598"/>
      <c r="TEA360" s="598"/>
      <c r="TEB360" s="598"/>
      <c r="TEC360" s="598"/>
      <c r="TED360" s="598"/>
      <c r="TEE360" s="598"/>
      <c r="TEF360" s="598"/>
      <c r="TEG360" s="598"/>
      <c r="TEH360" s="598"/>
      <c r="TEI360" s="598"/>
      <c r="TEJ360" s="598"/>
      <c r="TEK360" s="598"/>
      <c r="TEL360" s="598"/>
      <c r="TEM360" s="598"/>
      <c r="TEN360" s="598"/>
      <c r="TEO360" s="598"/>
      <c r="TEP360" s="598"/>
      <c r="TEQ360" s="598"/>
      <c r="TER360" s="598"/>
      <c r="TES360" s="598"/>
      <c r="TET360" s="598"/>
      <c r="TEU360" s="598"/>
      <c r="TEV360" s="598"/>
      <c r="TEW360" s="598"/>
      <c r="TEX360" s="598"/>
      <c r="TEY360" s="598"/>
      <c r="TEZ360" s="598"/>
      <c r="TFA360" s="598"/>
      <c r="TFB360" s="598"/>
      <c r="TFC360" s="598"/>
      <c r="TFD360" s="598"/>
      <c r="TFE360" s="598"/>
      <c r="TFF360" s="598"/>
      <c r="TFG360" s="598"/>
      <c r="TFH360" s="598"/>
      <c r="TFI360" s="598"/>
      <c r="TFJ360" s="598"/>
      <c r="TFK360" s="598"/>
      <c r="TFL360" s="598"/>
      <c r="TFM360" s="598"/>
      <c r="TFN360" s="598"/>
      <c r="TFO360" s="598"/>
      <c r="TFP360" s="598"/>
      <c r="TFQ360" s="598"/>
      <c r="TFR360" s="598"/>
      <c r="TFS360" s="598"/>
      <c r="TFT360" s="598"/>
      <c r="TFU360" s="598"/>
      <c r="TFV360" s="598"/>
      <c r="TFW360" s="598"/>
      <c r="TFX360" s="598"/>
      <c r="TFY360" s="598"/>
      <c r="TFZ360" s="598"/>
      <c r="TGA360" s="598"/>
      <c r="TGB360" s="598"/>
      <c r="TGC360" s="598"/>
      <c r="TGD360" s="598"/>
      <c r="TGE360" s="598"/>
      <c r="TGF360" s="598"/>
      <c r="TGG360" s="598"/>
      <c r="TGH360" s="598"/>
      <c r="TGI360" s="598"/>
      <c r="TGJ360" s="598"/>
      <c r="TGK360" s="598"/>
      <c r="TGL360" s="598"/>
      <c r="TGM360" s="598"/>
      <c r="TGN360" s="598"/>
      <c r="TGO360" s="598"/>
      <c r="TGP360" s="598"/>
      <c r="TGQ360" s="598"/>
      <c r="TGR360" s="598"/>
      <c r="TGS360" s="598"/>
      <c r="TGT360" s="598"/>
      <c r="TGU360" s="598"/>
      <c r="TGV360" s="598"/>
      <c r="TGW360" s="598"/>
      <c r="TGX360" s="598"/>
      <c r="TGY360" s="598"/>
      <c r="TGZ360" s="598"/>
      <c r="THA360" s="598"/>
      <c r="THB360" s="598"/>
      <c r="THC360" s="598"/>
      <c r="THD360" s="598"/>
      <c r="THE360" s="598"/>
      <c r="THF360" s="598"/>
      <c r="THG360" s="598"/>
      <c r="THH360" s="598"/>
      <c r="THI360" s="598"/>
      <c r="THJ360" s="598"/>
      <c r="THK360" s="598"/>
      <c r="THL360" s="598"/>
      <c r="THM360" s="598"/>
      <c r="THN360" s="598"/>
      <c r="THO360" s="598"/>
      <c r="THP360" s="598"/>
      <c r="THQ360" s="598"/>
      <c r="THR360" s="598"/>
      <c r="THS360" s="598"/>
      <c r="THT360" s="598"/>
      <c r="THU360" s="598"/>
      <c r="THV360" s="598"/>
      <c r="THW360" s="598"/>
      <c r="THX360" s="598"/>
      <c r="THY360" s="598"/>
      <c r="THZ360" s="598"/>
      <c r="TIA360" s="598"/>
      <c r="TIB360" s="598"/>
      <c r="TIC360" s="598"/>
      <c r="TID360" s="598"/>
      <c r="TIE360" s="598"/>
      <c r="TIF360" s="598"/>
      <c r="TIG360" s="598"/>
      <c r="TIH360" s="598"/>
      <c r="TII360" s="598"/>
      <c r="TIJ360" s="598"/>
      <c r="TIK360" s="598"/>
      <c r="TIL360" s="598"/>
      <c r="TIM360" s="598"/>
      <c r="TIN360" s="598"/>
      <c r="TIO360" s="598"/>
      <c r="TIP360" s="598"/>
      <c r="TIQ360" s="598"/>
      <c r="TIR360" s="598"/>
      <c r="TIS360" s="598"/>
      <c r="TIT360" s="598"/>
      <c r="TIU360" s="598"/>
      <c r="TIV360" s="598"/>
      <c r="TIW360" s="598"/>
      <c r="TIX360" s="598"/>
      <c r="TIY360" s="598"/>
      <c r="TIZ360" s="598"/>
      <c r="TJA360" s="598"/>
      <c r="TJB360" s="598"/>
      <c r="TJC360" s="598"/>
      <c r="TJD360" s="598"/>
      <c r="TJE360" s="598"/>
      <c r="TJF360" s="598"/>
      <c r="TJG360" s="598"/>
      <c r="TJH360" s="598"/>
      <c r="TJI360" s="598"/>
      <c r="TJJ360" s="598"/>
      <c r="TJK360" s="598"/>
      <c r="TJL360" s="598"/>
      <c r="TJM360" s="598"/>
      <c r="TJN360" s="598"/>
      <c r="TJO360" s="598"/>
      <c r="TJP360" s="598"/>
      <c r="TJQ360" s="598"/>
      <c r="TJR360" s="598"/>
      <c r="TJS360" s="598"/>
      <c r="TJT360" s="598"/>
      <c r="TJU360" s="598"/>
      <c r="TJV360" s="598"/>
      <c r="TJW360" s="598"/>
      <c r="TJX360" s="598"/>
      <c r="TJY360" s="598"/>
      <c r="TJZ360" s="598"/>
      <c r="TKA360" s="598"/>
      <c r="TKB360" s="598"/>
      <c r="TKC360" s="598"/>
      <c r="TKD360" s="598"/>
      <c r="TKE360" s="598"/>
      <c r="TKF360" s="598"/>
      <c r="TKG360" s="598"/>
      <c r="TKH360" s="598"/>
      <c r="TKI360" s="598"/>
      <c r="TKJ360" s="598"/>
      <c r="TKK360" s="598"/>
      <c r="TKL360" s="598"/>
      <c r="TKM360" s="598"/>
      <c r="TKN360" s="598"/>
      <c r="TKO360" s="598"/>
      <c r="TKP360" s="598"/>
      <c r="TKQ360" s="598"/>
      <c r="TKR360" s="598"/>
      <c r="TKS360" s="598"/>
      <c r="TKT360" s="598"/>
      <c r="TKU360" s="598"/>
      <c r="TKV360" s="598"/>
      <c r="TKW360" s="598"/>
      <c r="TKX360" s="598"/>
      <c r="TKY360" s="598"/>
      <c r="TKZ360" s="598"/>
      <c r="TLA360" s="598"/>
      <c r="TLB360" s="598"/>
      <c r="TLC360" s="598"/>
      <c r="TLD360" s="598"/>
      <c r="TLE360" s="598"/>
      <c r="TLF360" s="598"/>
      <c r="TLG360" s="598"/>
      <c r="TLH360" s="598"/>
      <c r="TLI360" s="598"/>
      <c r="TLJ360" s="598"/>
      <c r="TLK360" s="598"/>
      <c r="TLL360" s="598"/>
      <c r="TLM360" s="598"/>
      <c r="TLN360" s="598"/>
      <c r="TLO360" s="598"/>
      <c r="TLP360" s="598"/>
      <c r="TLQ360" s="598"/>
      <c r="TLR360" s="598"/>
      <c r="TLS360" s="598"/>
      <c r="TLT360" s="598"/>
      <c r="TLU360" s="598"/>
      <c r="TLV360" s="598"/>
      <c r="TLW360" s="598"/>
      <c r="TLX360" s="598"/>
      <c r="TLY360" s="598"/>
      <c r="TLZ360" s="598"/>
      <c r="TMA360" s="598"/>
      <c r="TMB360" s="598"/>
      <c r="TMC360" s="598"/>
      <c r="TMD360" s="598"/>
      <c r="TME360" s="598"/>
      <c r="TMF360" s="598"/>
      <c r="TMG360" s="598"/>
      <c r="TMH360" s="598"/>
      <c r="TMI360" s="598"/>
      <c r="TMJ360" s="598"/>
      <c r="TMK360" s="598"/>
      <c r="TML360" s="598"/>
      <c r="TMM360" s="598"/>
      <c r="TMN360" s="598"/>
      <c r="TMO360" s="598"/>
      <c r="TMP360" s="598"/>
      <c r="TMQ360" s="598"/>
      <c r="TMR360" s="598"/>
      <c r="TMS360" s="598"/>
      <c r="TMT360" s="598"/>
      <c r="TMU360" s="598"/>
      <c r="TMV360" s="598"/>
      <c r="TMW360" s="598"/>
      <c r="TMX360" s="598"/>
      <c r="TMY360" s="598"/>
      <c r="TMZ360" s="598"/>
      <c r="TNA360" s="598"/>
      <c r="TNB360" s="598"/>
      <c r="TNC360" s="598"/>
      <c r="TND360" s="598"/>
      <c r="TNE360" s="598"/>
      <c r="TNF360" s="598"/>
      <c r="TNG360" s="598"/>
      <c r="TNH360" s="598"/>
      <c r="TNI360" s="598"/>
      <c r="TNJ360" s="598"/>
      <c r="TNK360" s="598"/>
      <c r="TNL360" s="598"/>
      <c r="TNM360" s="598"/>
      <c r="TNN360" s="598"/>
      <c r="TNO360" s="598"/>
      <c r="TNP360" s="598"/>
      <c r="TNQ360" s="598"/>
      <c r="TNR360" s="598"/>
      <c r="TNS360" s="598"/>
      <c r="TNT360" s="598"/>
      <c r="TNU360" s="598"/>
      <c r="TNV360" s="598"/>
      <c r="TNW360" s="598"/>
      <c r="TNX360" s="598"/>
      <c r="TNY360" s="598"/>
      <c r="TNZ360" s="598"/>
      <c r="TOA360" s="598"/>
      <c r="TOB360" s="598"/>
      <c r="TOC360" s="598"/>
      <c r="TOD360" s="598"/>
      <c r="TOE360" s="598"/>
      <c r="TOF360" s="598"/>
      <c r="TOG360" s="598"/>
      <c r="TOH360" s="598"/>
      <c r="TOI360" s="598"/>
      <c r="TOJ360" s="598"/>
      <c r="TOK360" s="598"/>
      <c r="TOL360" s="598"/>
      <c r="TOM360" s="598"/>
      <c r="TON360" s="598"/>
      <c r="TOO360" s="598"/>
      <c r="TOP360" s="598"/>
      <c r="TOQ360" s="598"/>
      <c r="TOR360" s="598"/>
      <c r="TOS360" s="598"/>
      <c r="TOT360" s="598"/>
      <c r="TOU360" s="598"/>
      <c r="TOV360" s="598"/>
      <c r="TOW360" s="598"/>
      <c r="TOX360" s="598"/>
      <c r="TOY360" s="598"/>
      <c r="TOZ360" s="598"/>
      <c r="TPA360" s="598"/>
      <c r="TPB360" s="598"/>
      <c r="TPC360" s="598"/>
      <c r="TPD360" s="598"/>
      <c r="TPE360" s="598"/>
      <c r="TPF360" s="598"/>
      <c r="TPG360" s="598"/>
      <c r="TPH360" s="598"/>
      <c r="TPI360" s="598"/>
      <c r="TPJ360" s="598"/>
      <c r="TPK360" s="598"/>
      <c r="TPL360" s="598"/>
      <c r="TPM360" s="598"/>
      <c r="TPN360" s="598"/>
      <c r="TPO360" s="598"/>
      <c r="TPP360" s="598"/>
      <c r="TPQ360" s="598"/>
      <c r="TPR360" s="598"/>
      <c r="TPS360" s="598"/>
      <c r="TPT360" s="598"/>
      <c r="TPU360" s="598"/>
      <c r="TPV360" s="598"/>
      <c r="TPW360" s="598"/>
      <c r="TPX360" s="598"/>
      <c r="TPY360" s="598"/>
      <c r="TPZ360" s="598"/>
      <c r="TQA360" s="598"/>
      <c r="TQB360" s="598"/>
      <c r="TQC360" s="598"/>
      <c r="TQD360" s="598"/>
      <c r="TQE360" s="598"/>
      <c r="TQF360" s="598"/>
      <c r="TQG360" s="598"/>
      <c r="TQH360" s="598"/>
      <c r="TQI360" s="598"/>
      <c r="TQJ360" s="598"/>
      <c r="TQK360" s="598"/>
      <c r="TQL360" s="598"/>
      <c r="TQM360" s="598"/>
      <c r="TQN360" s="598"/>
      <c r="TQO360" s="598"/>
      <c r="TQP360" s="598"/>
      <c r="TQQ360" s="598"/>
      <c r="TQR360" s="598"/>
      <c r="TQS360" s="598"/>
      <c r="TQT360" s="598"/>
      <c r="TQU360" s="598"/>
      <c r="TQV360" s="598"/>
      <c r="TQW360" s="598"/>
      <c r="TQX360" s="598"/>
      <c r="TQY360" s="598"/>
      <c r="TQZ360" s="598"/>
      <c r="TRA360" s="598"/>
      <c r="TRB360" s="598"/>
      <c r="TRC360" s="598"/>
      <c r="TRD360" s="598"/>
      <c r="TRE360" s="598"/>
      <c r="TRF360" s="598"/>
      <c r="TRG360" s="598"/>
      <c r="TRH360" s="598"/>
      <c r="TRI360" s="598"/>
      <c r="TRJ360" s="598"/>
      <c r="TRK360" s="598"/>
      <c r="TRL360" s="598"/>
      <c r="TRM360" s="598"/>
      <c r="TRN360" s="598"/>
      <c r="TRO360" s="598"/>
      <c r="TRP360" s="598"/>
      <c r="TRQ360" s="598"/>
      <c r="TRR360" s="598"/>
      <c r="TRS360" s="598"/>
      <c r="TRT360" s="598"/>
      <c r="TRU360" s="598"/>
      <c r="TRV360" s="598"/>
      <c r="TRW360" s="598"/>
      <c r="TRX360" s="598"/>
      <c r="TRY360" s="598"/>
      <c r="TRZ360" s="598"/>
      <c r="TSA360" s="598"/>
      <c r="TSB360" s="598"/>
      <c r="TSC360" s="598"/>
      <c r="TSD360" s="598"/>
      <c r="TSE360" s="598"/>
      <c r="TSF360" s="598"/>
      <c r="TSG360" s="598"/>
      <c r="TSH360" s="598"/>
      <c r="TSI360" s="598"/>
      <c r="TSJ360" s="598"/>
      <c r="TSK360" s="598"/>
      <c r="TSL360" s="598"/>
      <c r="TSM360" s="598"/>
      <c r="TSN360" s="598"/>
      <c r="TSO360" s="598"/>
      <c r="TSP360" s="598"/>
      <c r="TSQ360" s="598"/>
      <c r="TSR360" s="598"/>
      <c r="TSS360" s="598"/>
      <c r="TST360" s="598"/>
      <c r="TSU360" s="598"/>
      <c r="TSV360" s="598"/>
      <c r="TSW360" s="598"/>
      <c r="TSX360" s="598"/>
      <c r="TSY360" s="598"/>
      <c r="TSZ360" s="598"/>
      <c r="TTA360" s="598"/>
      <c r="TTB360" s="598"/>
      <c r="TTC360" s="598"/>
      <c r="TTD360" s="598"/>
      <c r="TTE360" s="598"/>
      <c r="TTF360" s="598"/>
      <c r="TTG360" s="598"/>
      <c r="TTH360" s="598"/>
      <c r="TTI360" s="598"/>
      <c r="TTJ360" s="598"/>
      <c r="TTK360" s="598"/>
      <c r="TTL360" s="598"/>
      <c r="TTM360" s="598"/>
      <c r="TTN360" s="598"/>
      <c r="TTO360" s="598"/>
      <c r="TTP360" s="598"/>
      <c r="TTQ360" s="598"/>
      <c r="TTR360" s="598"/>
      <c r="TTS360" s="598"/>
      <c r="TTT360" s="598"/>
      <c r="TTU360" s="598"/>
      <c r="TTV360" s="598"/>
      <c r="TTW360" s="598"/>
      <c r="TTX360" s="598"/>
      <c r="TTY360" s="598"/>
      <c r="TTZ360" s="598"/>
      <c r="TUA360" s="598"/>
      <c r="TUB360" s="598"/>
      <c r="TUC360" s="598"/>
      <c r="TUD360" s="598"/>
      <c r="TUE360" s="598"/>
      <c r="TUF360" s="598"/>
      <c r="TUG360" s="598"/>
      <c r="TUH360" s="598"/>
      <c r="TUI360" s="598"/>
      <c r="TUJ360" s="598"/>
      <c r="TUK360" s="598"/>
      <c r="TUL360" s="598"/>
      <c r="TUM360" s="598"/>
      <c r="TUN360" s="598"/>
      <c r="TUO360" s="598"/>
      <c r="TUP360" s="598"/>
      <c r="TUQ360" s="598"/>
      <c r="TUR360" s="598"/>
      <c r="TUS360" s="598"/>
      <c r="TUT360" s="598"/>
      <c r="TUU360" s="598"/>
      <c r="TUV360" s="598"/>
      <c r="TUW360" s="598"/>
      <c r="TUX360" s="598"/>
      <c r="TUY360" s="598"/>
      <c r="TUZ360" s="598"/>
      <c r="TVA360" s="598"/>
      <c r="TVB360" s="598"/>
      <c r="TVC360" s="598"/>
      <c r="TVD360" s="598"/>
      <c r="TVE360" s="598"/>
      <c r="TVF360" s="598"/>
      <c r="TVG360" s="598"/>
      <c r="TVH360" s="598"/>
      <c r="TVI360" s="598"/>
      <c r="TVJ360" s="598"/>
      <c r="TVK360" s="598"/>
      <c r="TVL360" s="598"/>
      <c r="TVM360" s="598"/>
      <c r="TVN360" s="598"/>
      <c r="TVO360" s="598"/>
      <c r="TVP360" s="598"/>
      <c r="TVQ360" s="598"/>
      <c r="TVR360" s="598"/>
      <c r="TVS360" s="598"/>
      <c r="TVT360" s="598"/>
      <c r="TVU360" s="598"/>
      <c r="TVV360" s="598"/>
      <c r="TVW360" s="598"/>
      <c r="TVX360" s="598"/>
      <c r="TVY360" s="598"/>
      <c r="TVZ360" s="598"/>
      <c r="TWA360" s="598"/>
      <c r="TWB360" s="598"/>
      <c r="TWC360" s="598"/>
      <c r="TWD360" s="598"/>
      <c r="TWE360" s="598"/>
      <c r="TWF360" s="598"/>
      <c r="TWG360" s="598"/>
      <c r="TWH360" s="598"/>
      <c r="TWI360" s="598"/>
      <c r="TWJ360" s="598"/>
      <c r="TWK360" s="598"/>
      <c r="TWL360" s="598"/>
      <c r="TWM360" s="598"/>
      <c r="TWN360" s="598"/>
      <c r="TWO360" s="598"/>
      <c r="TWP360" s="598"/>
      <c r="TWQ360" s="598"/>
      <c r="TWR360" s="598"/>
      <c r="TWS360" s="598"/>
      <c r="TWT360" s="598"/>
      <c r="TWU360" s="598"/>
      <c r="TWV360" s="598"/>
      <c r="TWW360" s="598"/>
      <c r="TWX360" s="598"/>
      <c r="TWY360" s="598"/>
      <c r="TWZ360" s="598"/>
      <c r="TXA360" s="598"/>
      <c r="TXB360" s="598"/>
      <c r="TXC360" s="598"/>
      <c r="TXD360" s="598"/>
      <c r="TXE360" s="598"/>
      <c r="TXF360" s="598"/>
      <c r="TXG360" s="598"/>
      <c r="TXH360" s="598"/>
      <c r="TXI360" s="598"/>
      <c r="TXJ360" s="598"/>
      <c r="TXK360" s="598"/>
      <c r="TXL360" s="598"/>
      <c r="TXM360" s="598"/>
      <c r="TXN360" s="598"/>
      <c r="TXO360" s="598"/>
      <c r="TXP360" s="598"/>
      <c r="TXQ360" s="598"/>
      <c r="TXR360" s="598"/>
      <c r="TXS360" s="598"/>
      <c r="TXT360" s="598"/>
      <c r="TXU360" s="598"/>
      <c r="TXV360" s="598"/>
      <c r="TXW360" s="598"/>
      <c r="TXX360" s="598"/>
      <c r="TXY360" s="598"/>
      <c r="TXZ360" s="598"/>
      <c r="TYA360" s="598"/>
      <c r="TYB360" s="598"/>
      <c r="TYC360" s="598"/>
      <c r="TYD360" s="598"/>
      <c r="TYE360" s="598"/>
      <c r="TYF360" s="598"/>
      <c r="TYG360" s="598"/>
      <c r="TYH360" s="598"/>
      <c r="TYI360" s="598"/>
      <c r="TYJ360" s="598"/>
      <c r="TYK360" s="598"/>
      <c r="TYL360" s="598"/>
      <c r="TYM360" s="598"/>
      <c r="TYN360" s="598"/>
      <c r="TYO360" s="598"/>
      <c r="TYP360" s="598"/>
      <c r="TYQ360" s="598"/>
      <c r="TYR360" s="598"/>
      <c r="TYS360" s="598"/>
      <c r="TYT360" s="598"/>
      <c r="TYU360" s="598"/>
      <c r="TYV360" s="598"/>
      <c r="TYW360" s="598"/>
      <c r="TYX360" s="598"/>
      <c r="TYY360" s="598"/>
      <c r="TYZ360" s="598"/>
      <c r="TZA360" s="598"/>
      <c r="TZB360" s="598"/>
      <c r="TZC360" s="598"/>
      <c r="TZD360" s="598"/>
      <c r="TZE360" s="598"/>
      <c r="TZF360" s="598"/>
      <c r="TZG360" s="598"/>
      <c r="TZH360" s="598"/>
      <c r="TZI360" s="598"/>
      <c r="TZJ360" s="598"/>
      <c r="TZK360" s="598"/>
      <c r="TZL360" s="598"/>
      <c r="TZM360" s="598"/>
      <c r="TZN360" s="598"/>
      <c r="TZO360" s="598"/>
      <c r="TZP360" s="598"/>
      <c r="TZQ360" s="598"/>
      <c r="TZR360" s="598"/>
      <c r="TZS360" s="598"/>
      <c r="TZT360" s="598"/>
      <c r="TZU360" s="598"/>
      <c r="TZV360" s="598"/>
      <c r="TZW360" s="598"/>
      <c r="TZX360" s="598"/>
      <c r="TZY360" s="598"/>
      <c r="TZZ360" s="598"/>
      <c r="UAA360" s="598"/>
      <c r="UAB360" s="598"/>
      <c r="UAC360" s="598"/>
      <c r="UAD360" s="598"/>
      <c r="UAE360" s="598"/>
      <c r="UAF360" s="598"/>
      <c r="UAG360" s="598"/>
      <c r="UAH360" s="598"/>
      <c r="UAI360" s="598"/>
      <c r="UAJ360" s="598"/>
      <c r="UAK360" s="598"/>
      <c r="UAL360" s="598"/>
      <c r="UAM360" s="598"/>
      <c r="UAN360" s="598"/>
      <c r="UAO360" s="598"/>
      <c r="UAP360" s="598"/>
      <c r="UAQ360" s="598"/>
      <c r="UAR360" s="598"/>
      <c r="UAS360" s="598"/>
      <c r="UAT360" s="598"/>
      <c r="UAU360" s="598"/>
      <c r="UAV360" s="598"/>
      <c r="UAW360" s="598"/>
      <c r="UAX360" s="598"/>
      <c r="UAY360" s="598"/>
      <c r="UAZ360" s="598"/>
      <c r="UBA360" s="598"/>
      <c r="UBB360" s="598"/>
      <c r="UBC360" s="598"/>
      <c r="UBD360" s="598"/>
      <c r="UBE360" s="598"/>
      <c r="UBF360" s="598"/>
      <c r="UBG360" s="598"/>
      <c r="UBH360" s="598"/>
      <c r="UBI360" s="598"/>
      <c r="UBJ360" s="598"/>
      <c r="UBK360" s="598"/>
      <c r="UBL360" s="598"/>
      <c r="UBM360" s="598"/>
      <c r="UBN360" s="598"/>
      <c r="UBO360" s="598"/>
      <c r="UBP360" s="598"/>
      <c r="UBQ360" s="598"/>
      <c r="UBR360" s="598"/>
      <c r="UBS360" s="598"/>
      <c r="UBT360" s="598"/>
      <c r="UBU360" s="598"/>
      <c r="UBV360" s="598"/>
      <c r="UBW360" s="598"/>
      <c r="UBX360" s="598"/>
      <c r="UBY360" s="598"/>
      <c r="UBZ360" s="598"/>
      <c r="UCA360" s="598"/>
      <c r="UCB360" s="598"/>
      <c r="UCC360" s="598"/>
      <c r="UCD360" s="598"/>
      <c r="UCE360" s="598"/>
      <c r="UCF360" s="598"/>
      <c r="UCG360" s="598"/>
      <c r="UCH360" s="598"/>
      <c r="UCI360" s="598"/>
      <c r="UCJ360" s="598"/>
      <c r="UCK360" s="598"/>
      <c r="UCL360" s="598"/>
      <c r="UCM360" s="598"/>
      <c r="UCN360" s="598"/>
      <c r="UCO360" s="598"/>
      <c r="UCP360" s="598"/>
      <c r="UCQ360" s="598"/>
      <c r="UCR360" s="598"/>
      <c r="UCS360" s="598"/>
      <c r="UCT360" s="598"/>
      <c r="UCU360" s="598"/>
      <c r="UCV360" s="598"/>
      <c r="UCW360" s="598"/>
      <c r="UCX360" s="598"/>
      <c r="UCY360" s="598"/>
      <c r="UCZ360" s="598"/>
      <c r="UDA360" s="598"/>
      <c r="UDB360" s="598"/>
      <c r="UDC360" s="598"/>
      <c r="UDD360" s="598"/>
      <c r="UDE360" s="598"/>
      <c r="UDF360" s="598"/>
      <c r="UDG360" s="598"/>
      <c r="UDH360" s="598"/>
      <c r="UDI360" s="598"/>
      <c r="UDJ360" s="598"/>
      <c r="UDK360" s="598"/>
      <c r="UDL360" s="598"/>
      <c r="UDM360" s="598"/>
      <c r="UDN360" s="598"/>
      <c r="UDO360" s="598"/>
      <c r="UDP360" s="598"/>
      <c r="UDQ360" s="598"/>
      <c r="UDR360" s="598"/>
      <c r="UDS360" s="598"/>
      <c r="UDT360" s="598"/>
      <c r="UDU360" s="598"/>
      <c r="UDV360" s="598"/>
      <c r="UDW360" s="598"/>
      <c r="UDX360" s="598"/>
      <c r="UDY360" s="598"/>
      <c r="UDZ360" s="598"/>
      <c r="UEA360" s="598"/>
      <c r="UEB360" s="598"/>
      <c r="UEC360" s="598"/>
      <c r="UED360" s="598"/>
      <c r="UEE360" s="598"/>
      <c r="UEF360" s="598"/>
      <c r="UEG360" s="598"/>
      <c r="UEH360" s="598"/>
      <c r="UEI360" s="598"/>
      <c r="UEJ360" s="598"/>
      <c r="UEK360" s="598"/>
      <c r="UEL360" s="598"/>
      <c r="UEM360" s="598"/>
      <c r="UEN360" s="598"/>
      <c r="UEO360" s="598"/>
      <c r="UEP360" s="598"/>
      <c r="UEQ360" s="598"/>
      <c r="UER360" s="598"/>
      <c r="UES360" s="598"/>
      <c r="UET360" s="598"/>
      <c r="UEU360" s="598"/>
      <c r="UEV360" s="598"/>
      <c r="UEW360" s="598"/>
      <c r="UEX360" s="598"/>
      <c r="UEY360" s="598"/>
      <c r="UEZ360" s="598"/>
      <c r="UFA360" s="598"/>
      <c r="UFB360" s="598"/>
      <c r="UFC360" s="598"/>
      <c r="UFD360" s="598"/>
      <c r="UFE360" s="598"/>
      <c r="UFF360" s="598"/>
      <c r="UFG360" s="598"/>
      <c r="UFH360" s="598"/>
      <c r="UFI360" s="598"/>
      <c r="UFJ360" s="598"/>
      <c r="UFK360" s="598"/>
      <c r="UFL360" s="598"/>
      <c r="UFM360" s="598"/>
      <c r="UFN360" s="598"/>
      <c r="UFO360" s="598"/>
      <c r="UFP360" s="598"/>
      <c r="UFQ360" s="598"/>
      <c r="UFR360" s="598"/>
      <c r="UFS360" s="598"/>
      <c r="UFT360" s="598"/>
      <c r="UFU360" s="598"/>
      <c r="UFV360" s="598"/>
      <c r="UFW360" s="598"/>
      <c r="UFX360" s="598"/>
      <c r="UFY360" s="598"/>
      <c r="UFZ360" s="598"/>
      <c r="UGA360" s="598"/>
      <c r="UGB360" s="598"/>
      <c r="UGC360" s="598"/>
      <c r="UGD360" s="598"/>
      <c r="UGE360" s="598"/>
      <c r="UGF360" s="598"/>
      <c r="UGG360" s="598"/>
      <c r="UGH360" s="598"/>
      <c r="UGI360" s="598"/>
      <c r="UGJ360" s="598"/>
      <c r="UGK360" s="598"/>
      <c r="UGL360" s="598"/>
      <c r="UGM360" s="598"/>
      <c r="UGN360" s="598"/>
      <c r="UGO360" s="598"/>
      <c r="UGP360" s="598"/>
      <c r="UGQ360" s="598"/>
      <c r="UGR360" s="598"/>
      <c r="UGS360" s="598"/>
      <c r="UGT360" s="598"/>
      <c r="UGU360" s="598"/>
      <c r="UGV360" s="598"/>
      <c r="UGW360" s="598"/>
      <c r="UGX360" s="598"/>
      <c r="UGY360" s="598"/>
      <c r="UGZ360" s="598"/>
      <c r="UHA360" s="598"/>
      <c r="UHB360" s="598"/>
      <c r="UHC360" s="598"/>
      <c r="UHD360" s="598"/>
      <c r="UHE360" s="598"/>
      <c r="UHF360" s="598"/>
      <c r="UHG360" s="598"/>
      <c r="UHH360" s="598"/>
      <c r="UHI360" s="598"/>
      <c r="UHJ360" s="598"/>
      <c r="UHK360" s="598"/>
      <c r="UHL360" s="598"/>
      <c r="UHM360" s="598"/>
      <c r="UHN360" s="598"/>
      <c r="UHO360" s="598"/>
      <c r="UHP360" s="598"/>
      <c r="UHQ360" s="598"/>
      <c r="UHR360" s="598"/>
      <c r="UHS360" s="598"/>
      <c r="UHT360" s="598"/>
      <c r="UHU360" s="598"/>
      <c r="UHV360" s="598"/>
      <c r="UHW360" s="598"/>
      <c r="UHX360" s="598"/>
      <c r="UHY360" s="598"/>
      <c r="UHZ360" s="598"/>
      <c r="UIA360" s="598"/>
      <c r="UIB360" s="598"/>
      <c r="UIC360" s="598"/>
      <c r="UID360" s="598"/>
      <c r="UIE360" s="598"/>
      <c r="UIF360" s="598"/>
      <c r="UIG360" s="598"/>
      <c r="UIH360" s="598"/>
      <c r="UII360" s="598"/>
      <c r="UIJ360" s="598"/>
      <c r="UIK360" s="598"/>
      <c r="UIL360" s="598"/>
      <c r="UIM360" s="598"/>
      <c r="UIN360" s="598"/>
      <c r="UIO360" s="598"/>
      <c r="UIP360" s="598"/>
      <c r="UIQ360" s="598"/>
      <c r="UIR360" s="598"/>
      <c r="UIS360" s="598"/>
      <c r="UIT360" s="598"/>
      <c r="UIU360" s="598"/>
      <c r="UIV360" s="598"/>
      <c r="UIW360" s="598"/>
      <c r="UIX360" s="598"/>
      <c r="UIY360" s="598"/>
      <c r="UIZ360" s="598"/>
      <c r="UJA360" s="598"/>
      <c r="UJB360" s="598"/>
      <c r="UJC360" s="598"/>
      <c r="UJD360" s="598"/>
      <c r="UJE360" s="598"/>
      <c r="UJF360" s="598"/>
      <c r="UJG360" s="598"/>
      <c r="UJH360" s="598"/>
      <c r="UJI360" s="598"/>
      <c r="UJJ360" s="598"/>
      <c r="UJK360" s="598"/>
      <c r="UJL360" s="598"/>
      <c r="UJM360" s="598"/>
      <c r="UJN360" s="598"/>
      <c r="UJO360" s="598"/>
      <c r="UJP360" s="598"/>
      <c r="UJQ360" s="598"/>
      <c r="UJR360" s="598"/>
      <c r="UJS360" s="598"/>
      <c r="UJT360" s="598"/>
      <c r="UJU360" s="598"/>
      <c r="UJV360" s="598"/>
      <c r="UJW360" s="598"/>
      <c r="UJX360" s="598"/>
      <c r="UJY360" s="598"/>
      <c r="UJZ360" s="598"/>
      <c r="UKA360" s="598"/>
      <c r="UKB360" s="598"/>
      <c r="UKC360" s="598"/>
      <c r="UKD360" s="598"/>
      <c r="UKE360" s="598"/>
      <c r="UKF360" s="598"/>
      <c r="UKG360" s="598"/>
      <c r="UKH360" s="598"/>
      <c r="UKI360" s="598"/>
      <c r="UKJ360" s="598"/>
      <c r="UKK360" s="598"/>
      <c r="UKL360" s="598"/>
      <c r="UKM360" s="598"/>
      <c r="UKN360" s="598"/>
      <c r="UKO360" s="598"/>
      <c r="UKP360" s="598"/>
      <c r="UKQ360" s="598"/>
      <c r="UKR360" s="598"/>
      <c r="UKS360" s="598"/>
      <c r="UKT360" s="598"/>
      <c r="UKU360" s="598"/>
      <c r="UKV360" s="598"/>
      <c r="UKW360" s="598"/>
      <c r="UKX360" s="598"/>
      <c r="UKY360" s="598"/>
      <c r="UKZ360" s="598"/>
      <c r="ULA360" s="598"/>
      <c r="ULB360" s="598"/>
      <c r="ULC360" s="598"/>
      <c r="ULD360" s="598"/>
      <c r="ULE360" s="598"/>
      <c r="ULF360" s="598"/>
      <c r="ULG360" s="598"/>
      <c r="ULH360" s="598"/>
      <c r="ULI360" s="598"/>
      <c r="ULJ360" s="598"/>
      <c r="ULK360" s="598"/>
      <c r="ULL360" s="598"/>
      <c r="ULM360" s="598"/>
      <c r="ULN360" s="598"/>
      <c r="ULO360" s="598"/>
      <c r="ULP360" s="598"/>
      <c r="ULQ360" s="598"/>
      <c r="ULR360" s="598"/>
      <c r="ULS360" s="598"/>
      <c r="ULT360" s="598"/>
      <c r="ULU360" s="598"/>
      <c r="ULV360" s="598"/>
      <c r="ULW360" s="598"/>
      <c r="ULX360" s="598"/>
      <c r="ULY360" s="598"/>
      <c r="ULZ360" s="598"/>
      <c r="UMA360" s="598"/>
      <c r="UMB360" s="598"/>
      <c r="UMC360" s="598"/>
      <c r="UMD360" s="598"/>
      <c r="UME360" s="598"/>
      <c r="UMF360" s="598"/>
      <c r="UMG360" s="598"/>
      <c r="UMH360" s="598"/>
      <c r="UMI360" s="598"/>
      <c r="UMJ360" s="598"/>
      <c r="UMK360" s="598"/>
      <c r="UML360" s="598"/>
      <c r="UMM360" s="598"/>
      <c r="UMN360" s="598"/>
      <c r="UMO360" s="598"/>
      <c r="UMP360" s="598"/>
      <c r="UMQ360" s="598"/>
      <c r="UMR360" s="598"/>
      <c r="UMS360" s="598"/>
      <c r="UMT360" s="598"/>
      <c r="UMU360" s="598"/>
      <c r="UMV360" s="598"/>
      <c r="UMW360" s="598"/>
      <c r="UMX360" s="598"/>
      <c r="UMY360" s="598"/>
      <c r="UMZ360" s="598"/>
      <c r="UNA360" s="598"/>
      <c r="UNB360" s="598"/>
      <c r="UNC360" s="598"/>
      <c r="UND360" s="598"/>
      <c r="UNE360" s="598"/>
      <c r="UNF360" s="598"/>
      <c r="UNG360" s="598"/>
      <c r="UNH360" s="598"/>
      <c r="UNI360" s="598"/>
      <c r="UNJ360" s="598"/>
      <c r="UNK360" s="598"/>
      <c r="UNL360" s="598"/>
      <c r="UNM360" s="598"/>
      <c r="UNN360" s="598"/>
      <c r="UNO360" s="598"/>
      <c r="UNP360" s="598"/>
      <c r="UNQ360" s="598"/>
      <c r="UNR360" s="598"/>
      <c r="UNS360" s="598"/>
      <c r="UNT360" s="598"/>
      <c r="UNU360" s="598"/>
      <c r="UNV360" s="598"/>
      <c r="UNW360" s="598"/>
      <c r="UNX360" s="598"/>
      <c r="UNY360" s="598"/>
      <c r="UNZ360" s="598"/>
      <c r="UOA360" s="598"/>
      <c r="UOB360" s="598"/>
      <c r="UOC360" s="598"/>
      <c r="UOD360" s="598"/>
      <c r="UOE360" s="598"/>
      <c r="UOF360" s="598"/>
      <c r="UOG360" s="598"/>
      <c r="UOH360" s="598"/>
      <c r="UOI360" s="598"/>
      <c r="UOJ360" s="598"/>
      <c r="UOK360" s="598"/>
      <c r="UOL360" s="598"/>
      <c r="UOM360" s="598"/>
      <c r="UON360" s="598"/>
      <c r="UOO360" s="598"/>
      <c r="UOP360" s="598"/>
      <c r="UOQ360" s="598"/>
      <c r="UOR360" s="598"/>
      <c r="UOS360" s="598"/>
      <c r="UOT360" s="598"/>
      <c r="UOU360" s="598"/>
      <c r="UOV360" s="598"/>
      <c r="UOW360" s="598"/>
      <c r="UOX360" s="598"/>
      <c r="UOY360" s="598"/>
      <c r="UOZ360" s="598"/>
      <c r="UPA360" s="598"/>
      <c r="UPB360" s="598"/>
      <c r="UPC360" s="598"/>
      <c r="UPD360" s="598"/>
      <c r="UPE360" s="598"/>
      <c r="UPF360" s="598"/>
      <c r="UPG360" s="598"/>
      <c r="UPH360" s="598"/>
      <c r="UPI360" s="598"/>
      <c r="UPJ360" s="598"/>
      <c r="UPK360" s="598"/>
      <c r="UPL360" s="598"/>
      <c r="UPM360" s="598"/>
      <c r="UPN360" s="598"/>
      <c r="UPO360" s="598"/>
      <c r="UPP360" s="598"/>
      <c r="UPQ360" s="598"/>
      <c r="UPR360" s="598"/>
      <c r="UPS360" s="598"/>
      <c r="UPT360" s="598"/>
      <c r="UPU360" s="598"/>
      <c r="UPV360" s="598"/>
      <c r="UPW360" s="598"/>
      <c r="UPX360" s="598"/>
      <c r="UPY360" s="598"/>
      <c r="UPZ360" s="598"/>
      <c r="UQA360" s="598"/>
      <c r="UQB360" s="598"/>
      <c r="UQC360" s="598"/>
      <c r="UQD360" s="598"/>
      <c r="UQE360" s="598"/>
      <c r="UQF360" s="598"/>
      <c r="UQG360" s="598"/>
      <c r="UQH360" s="598"/>
      <c r="UQI360" s="598"/>
      <c r="UQJ360" s="598"/>
      <c r="UQK360" s="598"/>
      <c r="UQL360" s="598"/>
      <c r="UQM360" s="598"/>
      <c r="UQN360" s="598"/>
      <c r="UQO360" s="598"/>
      <c r="UQP360" s="598"/>
      <c r="UQQ360" s="598"/>
      <c r="UQR360" s="598"/>
      <c r="UQS360" s="598"/>
      <c r="UQT360" s="598"/>
      <c r="UQU360" s="598"/>
      <c r="UQV360" s="598"/>
      <c r="UQW360" s="598"/>
      <c r="UQX360" s="598"/>
      <c r="UQY360" s="598"/>
      <c r="UQZ360" s="598"/>
      <c r="URA360" s="598"/>
      <c r="URB360" s="598"/>
      <c r="URC360" s="598"/>
      <c r="URD360" s="598"/>
      <c r="URE360" s="598"/>
      <c r="URF360" s="598"/>
      <c r="URG360" s="598"/>
      <c r="URH360" s="598"/>
      <c r="URI360" s="598"/>
      <c r="URJ360" s="598"/>
      <c r="URK360" s="598"/>
      <c r="URL360" s="598"/>
      <c r="URM360" s="598"/>
      <c r="URN360" s="598"/>
      <c r="URO360" s="598"/>
      <c r="URP360" s="598"/>
      <c r="URQ360" s="598"/>
      <c r="URR360" s="598"/>
      <c r="URS360" s="598"/>
      <c r="URT360" s="598"/>
      <c r="URU360" s="598"/>
      <c r="URV360" s="598"/>
      <c r="URW360" s="598"/>
      <c r="URX360" s="598"/>
      <c r="URY360" s="598"/>
      <c r="URZ360" s="598"/>
      <c r="USA360" s="598"/>
      <c r="USB360" s="598"/>
      <c r="USC360" s="598"/>
      <c r="USD360" s="598"/>
      <c r="USE360" s="598"/>
      <c r="USF360" s="598"/>
      <c r="USG360" s="598"/>
      <c r="USH360" s="598"/>
      <c r="USI360" s="598"/>
      <c r="USJ360" s="598"/>
      <c r="USK360" s="598"/>
      <c r="USL360" s="598"/>
      <c r="USM360" s="598"/>
      <c r="USN360" s="598"/>
      <c r="USO360" s="598"/>
      <c r="USP360" s="598"/>
      <c r="USQ360" s="598"/>
      <c r="USR360" s="598"/>
      <c r="USS360" s="598"/>
      <c r="UST360" s="598"/>
      <c r="USU360" s="598"/>
      <c r="USV360" s="598"/>
      <c r="USW360" s="598"/>
      <c r="USX360" s="598"/>
      <c r="USY360" s="598"/>
      <c r="USZ360" s="598"/>
      <c r="UTA360" s="598"/>
      <c r="UTB360" s="598"/>
      <c r="UTC360" s="598"/>
      <c r="UTD360" s="598"/>
      <c r="UTE360" s="598"/>
      <c r="UTF360" s="598"/>
      <c r="UTG360" s="598"/>
      <c r="UTH360" s="598"/>
      <c r="UTI360" s="598"/>
      <c r="UTJ360" s="598"/>
      <c r="UTK360" s="598"/>
      <c r="UTL360" s="598"/>
      <c r="UTM360" s="598"/>
      <c r="UTN360" s="598"/>
      <c r="UTO360" s="598"/>
      <c r="UTP360" s="598"/>
      <c r="UTQ360" s="598"/>
      <c r="UTR360" s="598"/>
      <c r="UTS360" s="598"/>
      <c r="UTT360" s="598"/>
      <c r="UTU360" s="598"/>
      <c r="UTV360" s="598"/>
      <c r="UTW360" s="598"/>
      <c r="UTX360" s="598"/>
      <c r="UTY360" s="598"/>
      <c r="UTZ360" s="598"/>
      <c r="UUA360" s="598"/>
      <c r="UUB360" s="598"/>
      <c r="UUC360" s="598"/>
      <c r="UUD360" s="598"/>
      <c r="UUE360" s="598"/>
      <c r="UUF360" s="598"/>
      <c r="UUG360" s="598"/>
      <c r="UUH360" s="598"/>
      <c r="UUI360" s="598"/>
      <c r="UUJ360" s="598"/>
      <c r="UUK360" s="598"/>
      <c r="UUL360" s="598"/>
      <c r="UUM360" s="598"/>
      <c r="UUN360" s="598"/>
      <c r="UUO360" s="598"/>
      <c r="UUP360" s="598"/>
      <c r="UUQ360" s="598"/>
      <c r="UUR360" s="598"/>
      <c r="UUS360" s="598"/>
      <c r="UUT360" s="598"/>
      <c r="UUU360" s="598"/>
      <c r="UUV360" s="598"/>
      <c r="UUW360" s="598"/>
      <c r="UUX360" s="598"/>
      <c r="UUY360" s="598"/>
      <c r="UUZ360" s="598"/>
      <c r="UVA360" s="598"/>
      <c r="UVB360" s="598"/>
      <c r="UVC360" s="598"/>
      <c r="UVD360" s="598"/>
      <c r="UVE360" s="598"/>
      <c r="UVF360" s="598"/>
      <c r="UVG360" s="598"/>
      <c r="UVH360" s="598"/>
      <c r="UVI360" s="598"/>
      <c r="UVJ360" s="598"/>
      <c r="UVK360" s="598"/>
      <c r="UVL360" s="598"/>
      <c r="UVM360" s="598"/>
      <c r="UVN360" s="598"/>
      <c r="UVO360" s="598"/>
      <c r="UVP360" s="598"/>
      <c r="UVQ360" s="598"/>
      <c r="UVR360" s="598"/>
      <c r="UVS360" s="598"/>
      <c r="UVT360" s="598"/>
      <c r="UVU360" s="598"/>
      <c r="UVV360" s="598"/>
      <c r="UVW360" s="598"/>
      <c r="UVX360" s="598"/>
      <c r="UVY360" s="598"/>
      <c r="UVZ360" s="598"/>
      <c r="UWA360" s="598"/>
      <c r="UWB360" s="598"/>
      <c r="UWC360" s="598"/>
      <c r="UWD360" s="598"/>
      <c r="UWE360" s="598"/>
      <c r="UWF360" s="598"/>
      <c r="UWG360" s="598"/>
      <c r="UWH360" s="598"/>
      <c r="UWI360" s="598"/>
      <c r="UWJ360" s="598"/>
      <c r="UWK360" s="598"/>
      <c r="UWL360" s="598"/>
      <c r="UWM360" s="598"/>
      <c r="UWN360" s="598"/>
      <c r="UWO360" s="598"/>
      <c r="UWP360" s="598"/>
      <c r="UWQ360" s="598"/>
      <c r="UWR360" s="598"/>
      <c r="UWS360" s="598"/>
      <c r="UWT360" s="598"/>
      <c r="UWU360" s="598"/>
      <c r="UWV360" s="598"/>
      <c r="UWW360" s="598"/>
      <c r="UWX360" s="598"/>
      <c r="UWY360" s="598"/>
      <c r="UWZ360" s="598"/>
      <c r="UXA360" s="598"/>
      <c r="UXB360" s="598"/>
      <c r="UXC360" s="598"/>
      <c r="UXD360" s="598"/>
      <c r="UXE360" s="598"/>
      <c r="UXF360" s="598"/>
      <c r="UXG360" s="598"/>
      <c r="UXH360" s="598"/>
      <c r="UXI360" s="598"/>
      <c r="UXJ360" s="598"/>
      <c r="UXK360" s="598"/>
      <c r="UXL360" s="598"/>
      <c r="UXM360" s="598"/>
      <c r="UXN360" s="598"/>
      <c r="UXO360" s="598"/>
      <c r="UXP360" s="598"/>
      <c r="UXQ360" s="598"/>
      <c r="UXR360" s="598"/>
      <c r="UXS360" s="598"/>
      <c r="UXT360" s="598"/>
      <c r="UXU360" s="598"/>
      <c r="UXV360" s="598"/>
      <c r="UXW360" s="598"/>
      <c r="UXX360" s="598"/>
      <c r="UXY360" s="598"/>
      <c r="UXZ360" s="598"/>
      <c r="UYA360" s="598"/>
      <c r="UYB360" s="598"/>
      <c r="UYC360" s="598"/>
      <c r="UYD360" s="598"/>
      <c r="UYE360" s="598"/>
      <c r="UYF360" s="598"/>
      <c r="UYG360" s="598"/>
      <c r="UYH360" s="598"/>
      <c r="UYI360" s="598"/>
      <c r="UYJ360" s="598"/>
      <c r="UYK360" s="598"/>
      <c r="UYL360" s="598"/>
      <c r="UYM360" s="598"/>
      <c r="UYN360" s="598"/>
      <c r="UYO360" s="598"/>
      <c r="UYP360" s="598"/>
      <c r="UYQ360" s="598"/>
      <c r="UYR360" s="598"/>
      <c r="UYS360" s="598"/>
      <c r="UYT360" s="598"/>
      <c r="UYU360" s="598"/>
      <c r="UYV360" s="598"/>
      <c r="UYW360" s="598"/>
      <c r="UYX360" s="598"/>
      <c r="UYY360" s="598"/>
      <c r="UYZ360" s="598"/>
      <c r="UZA360" s="598"/>
      <c r="UZB360" s="598"/>
      <c r="UZC360" s="598"/>
      <c r="UZD360" s="598"/>
      <c r="UZE360" s="598"/>
      <c r="UZF360" s="598"/>
      <c r="UZG360" s="598"/>
      <c r="UZH360" s="598"/>
      <c r="UZI360" s="598"/>
      <c r="UZJ360" s="598"/>
      <c r="UZK360" s="598"/>
      <c r="UZL360" s="598"/>
      <c r="UZM360" s="598"/>
      <c r="UZN360" s="598"/>
      <c r="UZO360" s="598"/>
      <c r="UZP360" s="598"/>
      <c r="UZQ360" s="598"/>
      <c r="UZR360" s="598"/>
      <c r="UZS360" s="598"/>
      <c r="UZT360" s="598"/>
      <c r="UZU360" s="598"/>
      <c r="UZV360" s="598"/>
      <c r="UZW360" s="598"/>
      <c r="UZX360" s="598"/>
      <c r="UZY360" s="598"/>
      <c r="UZZ360" s="598"/>
      <c r="VAA360" s="598"/>
      <c r="VAB360" s="598"/>
      <c r="VAC360" s="598"/>
      <c r="VAD360" s="598"/>
      <c r="VAE360" s="598"/>
      <c r="VAF360" s="598"/>
      <c r="VAG360" s="598"/>
      <c r="VAH360" s="598"/>
      <c r="VAI360" s="598"/>
      <c r="VAJ360" s="598"/>
      <c r="VAK360" s="598"/>
      <c r="VAL360" s="598"/>
      <c r="VAM360" s="598"/>
      <c r="VAN360" s="598"/>
      <c r="VAO360" s="598"/>
      <c r="VAP360" s="598"/>
      <c r="VAQ360" s="598"/>
      <c r="VAR360" s="598"/>
      <c r="VAS360" s="598"/>
      <c r="VAT360" s="598"/>
      <c r="VAU360" s="598"/>
      <c r="VAV360" s="598"/>
      <c r="VAW360" s="598"/>
      <c r="VAX360" s="598"/>
      <c r="VAY360" s="598"/>
      <c r="VAZ360" s="598"/>
      <c r="VBA360" s="598"/>
      <c r="VBB360" s="598"/>
      <c r="VBC360" s="598"/>
      <c r="VBD360" s="598"/>
      <c r="VBE360" s="598"/>
      <c r="VBF360" s="598"/>
      <c r="VBG360" s="598"/>
      <c r="VBH360" s="598"/>
      <c r="VBI360" s="598"/>
      <c r="VBJ360" s="598"/>
      <c r="VBK360" s="598"/>
      <c r="VBL360" s="598"/>
      <c r="VBM360" s="598"/>
      <c r="VBN360" s="598"/>
      <c r="VBO360" s="598"/>
      <c r="VBP360" s="598"/>
      <c r="VBQ360" s="598"/>
      <c r="VBR360" s="598"/>
      <c r="VBS360" s="598"/>
      <c r="VBT360" s="598"/>
      <c r="VBU360" s="598"/>
      <c r="VBV360" s="598"/>
      <c r="VBW360" s="598"/>
      <c r="VBX360" s="598"/>
      <c r="VBY360" s="598"/>
      <c r="VBZ360" s="598"/>
      <c r="VCA360" s="598"/>
      <c r="VCB360" s="598"/>
      <c r="VCC360" s="598"/>
      <c r="VCD360" s="598"/>
      <c r="VCE360" s="598"/>
      <c r="VCF360" s="598"/>
      <c r="VCG360" s="598"/>
      <c r="VCH360" s="598"/>
      <c r="VCI360" s="598"/>
      <c r="VCJ360" s="598"/>
      <c r="VCK360" s="598"/>
      <c r="VCL360" s="598"/>
      <c r="VCM360" s="598"/>
      <c r="VCN360" s="598"/>
      <c r="VCO360" s="598"/>
      <c r="VCP360" s="598"/>
      <c r="VCQ360" s="598"/>
      <c r="VCR360" s="598"/>
      <c r="VCS360" s="598"/>
      <c r="VCT360" s="598"/>
      <c r="VCU360" s="598"/>
      <c r="VCV360" s="598"/>
      <c r="VCW360" s="598"/>
      <c r="VCX360" s="598"/>
      <c r="VCY360" s="598"/>
      <c r="VCZ360" s="598"/>
      <c r="VDA360" s="598"/>
      <c r="VDB360" s="598"/>
      <c r="VDC360" s="598"/>
      <c r="VDD360" s="598"/>
      <c r="VDE360" s="598"/>
      <c r="VDF360" s="598"/>
      <c r="VDG360" s="598"/>
      <c r="VDH360" s="598"/>
      <c r="VDI360" s="598"/>
      <c r="VDJ360" s="598"/>
      <c r="VDK360" s="598"/>
      <c r="VDL360" s="598"/>
      <c r="VDM360" s="598"/>
      <c r="VDN360" s="598"/>
      <c r="VDO360" s="598"/>
      <c r="VDP360" s="598"/>
      <c r="VDQ360" s="598"/>
      <c r="VDR360" s="598"/>
      <c r="VDS360" s="598"/>
      <c r="VDT360" s="598"/>
      <c r="VDU360" s="598"/>
      <c r="VDV360" s="598"/>
      <c r="VDW360" s="598"/>
      <c r="VDX360" s="598"/>
      <c r="VDY360" s="598"/>
      <c r="VDZ360" s="598"/>
      <c r="VEA360" s="598"/>
      <c r="VEB360" s="598"/>
      <c r="VEC360" s="598"/>
      <c r="VED360" s="598"/>
      <c r="VEE360" s="598"/>
      <c r="VEF360" s="598"/>
      <c r="VEG360" s="598"/>
      <c r="VEH360" s="598"/>
      <c r="VEI360" s="598"/>
      <c r="VEJ360" s="598"/>
      <c r="VEK360" s="598"/>
      <c r="VEL360" s="598"/>
      <c r="VEM360" s="598"/>
      <c r="VEN360" s="598"/>
      <c r="VEO360" s="598"/>
      <c r="VEP360" s="598"/>
      <c r="VEQ360" s="598"/>
      <c r="VER360" s="598"/>
      <c r="VES360" s="598"/>
      <c r="VET360" s="598"/>
      <c r="VEU360" s="598"/>
      <c r="VEV360" s="598"/>
      <c r="VEW360" s="598"/>
      <c r="VEX360" s="598"/>
      <c r="VEY360" s="598"/>
      <c r="VEZ360" s="598"/>
      <c r="VFA360" s="598"/>
      <c r="VFB360" s="598"/>
      <c r="VFC360" s="598"/>
      <c r="VFD360" s="598"/>
      <c r="VFE360" s="598"/>
      <c r="VFF360" s="598"/>
      <c r="VFG360" s="598"/>
      <c r="VFH360" s="598"/>
      <c r="VFI360" s="598"/>
      <c r="VFJ360" s="598"/>
      <c r="VFK360" s="598"/>
      <c r="VFL360" s="598"/>
      <c r="VFM360" s="598"/>
      <c r="VFN360" s="598"/>
      <c r="VFO360" s="598"/>
      <c r="VFP360" s="598"/>
      <c r="VFQ360" s="598"/>
      <c r="VFR360" s="598"/>
      <c r="VFS360" s="598"/>
      <c r="VFT360" s="598"/>
      <c r="VFU360" s="598"/>
      <c r="VFV360" s="598"/>
      <c r="VFW360" s="598"/>
      <c r="VFX360" s="598"/>
      <c r="VFY360" s="598"/>
      <c r="VFZ360" s="598"/>
      <c r="VGA360" s="598"/>
      <c r="VGB360" s="598"/>
      <c r="VGC360" s="598"/>
      <c r="VGD360" s="598"/>
      <c r="VGE360" s="598"/>
      <c r="VGF360" s="598"/>
      <c r="VGG360" s="598"/>
      <c r="VGH360" s="598"/>
      <c r="VGI360" s="598"/>
      <c r="VGJ360" s="598"/>
      <c r="VGK360" s="598"/>
      <c r="VGL360" s="598"/>
      <c r="VGM360" s="598"/>
      <c r="VGN360" s="598"/>
      <c r="VGO360" s="598"/>
      <c r="VGP360" s="598"/>
      <c r="VGQ360" s="598"/>
      <c r="VGR360" s="598"/>
      <c r="VGS360" s="598"/>
      <c r="VGT360" s="598"/>
      <c r="VGU360" s="598"/>
      <c r="VGV360" s="598"/>
      <c r="VGW360" s="598"/>
      <c r="VGX360" s="598"/>
      <c r="VGY360" s="598"/>
      <c r="VGZ360" s="598"/>
      <c r="VHA360" s="598"/>
      <c r="VHB360" s="598"/>
      <c r="VHC360" s="598"/>
      <c r="VHD360" s="598"/>
      <c r="VHE360" s="598"/>
      <c r="VHF360" s="598"/>
      <c r="VHG360" s="598"/>
      <c r="VHH360" s="598"/>
      <c r="VHI360" s="598"/>
      <c r="VHJ360" s="598"/>
      <c r="VHK360" s="598"/>
      <c r="VHL360" s="598"/>
      <c r="VHM360" s="598"/>
      <c r="VHN360" s="598"/>
      <c r="VHO360" s="598"/>
      <c r="VHP360" s="598"/>
      <c r="VHQ360" s="598"/>
      <c r="VHR360" s="598"/>
      <c r="VHS360" s="598"/>
      <c r="VHT360" s="598"/>
      <c r="VHU360" s="598"/>
      <c r="VHV360" s="598"/>
      <c r="VHW360" s="598"/>
      <c r="VHX360" s="598"/>
      <c r="VHY360" s="598"/>
      <c r="VHZ360" s="598"/>
      <c r="VIA360" s="598"/>
      <c r="VIB360" s="598"/>
      <c r="VIC360" s="598"/>
      <c r="VID360" s="598"/>
      <c r="VIE360" s="598"/>
      <c r="VIF360" s="598"/>
      <c r="VIG360" s="598"/>
      <c r="VIH360" s="598"/>
      <c r="VII360" s="598"/>
      <c r="VIJ360" s="598"/>
      <c r="VIK360" s="598"/>
      <c r="VIL360" s="598"/>
      <c r="VIM360" s="598"/>
      <c r="VIN360" s="598"/>
      <c r="VIO360" s="598"/>
      <c r="VIP360" s="598"/>
      <c r="VIQ360" s="598"/>
      <c r="VIR360" s="598"/>
      <c r="VIS360" s="598"/>
      <c r="VIT360" s="598"/>
      <c r="VIU360" s="598"/>
      <c r="VIV360" s="598"/>
      <c r="VIW360" s="598"/>
      <c r="VIX360" s="598"/>
      <c r="VIY360" s="598"/>
      <c r="VIZ360" s="598"/>
      <c r="VJA360" s="598"/>
      <c r="VJB360" s="598"/>
      <c r="VJC360" s="598"/>
      <c r="VJD360" s="598"/>
      <c r="VJE360" s="598"/>
      <c r="VJF360" s="598"/>
      <c r="VJG360" s="598"/>
      <c r="VJH360" s="598"/>
      <c r="VJI360" s="598"/>
      <c r="VJJ360" s="598"/>
      <c r="VJK360" s="598"/>
      <c r="VJL360" s="598"/>
      <c r="VJM360" s="598"/>
      <c r="VJN360" s="598"/>
      <c r="VJO360" s="598"/>
      <c r="VJP360" s="598"/>
      <c r="VJQ360" s="598"/>
      <c r="VJR360" s="598"/>
      <c r="VJS360" s="598"/>
      <c r="VJT360" s="598"/>
      <c r="VJU360" s="598"/>
      <c r="VJV360" s="598"/>
      <c r="VJW360" s="598"/>
      <c r="VJX360" s="598"/>
      <c r="VJY360" s="598"/>
      <c r="VJZ360" s="598"/>
      <c r="VKA360" s="598"/>
      <c r="VKB360" s="598"/>
      <c r="VKC360" s="598"/>
      <c r="VKD360" s="598"/>
      <c r="VKE360" s="598"/>
      <c r="VKF360" s="598"/>
      <c r="VKG360" s="598"/>
      <c r="VKH360" s="598"/>
      <c r="VKI360" s="598"/>
      <c r="VKJ360" s="598"/>
      <c r="VKK360" s="598"/>
      <c r="VKL360" s="598"/>
      <c r="VKM360" s="598"/>
      <c r="VKN360" s="598"/>
      <c r="VKO360" s="598"/>
      <c r="VKP360" s="598"/>
      <c r="VKQ360" s="598"/>
      <c r="VKR360" s="598"/>
      <c r="VKS360" s="598"/>
      <c r="VKT360" s="598"/>
      <c r="VKU360" s="598"/>
      <c r="VKV360" s="598"/>
      <c r="VKW360" s="598"/>
      <c r="VKX360" s="598"/>
      <c r="VKY360" s="598"/>
      <c r="VKZ360" s="598"/>
      <c r="VLA360" s="598"/>
      <c r="VLB360" s="598"/>
      <c r="VLC360" s="598"/>
      <c r="VLD360" s="598"/>
      <c r="VLE360" s="598"/>
      <c r="VLF360" s="598"/>
      <c r="VLG360" s="598"/>
      <c r="VLH360" s="598"/>
      <c r="VLI360" s="598"/>
      <c r="VLJ360" s="598"/>
      <c r="VLK360" s="598"/>
      <c r="VLL360" s="598"/>
      <c r="VLM360" s="598"/>
      <c r="VLN360" s="598"/>
      <c r="VLO360" s="598"/>
      <c r="VLP360" s="598"/>
      <c r="VLQ360" s="598"/>
      <c r="VLR360" s="598"/>
      <c r="VLS360" s="598"/>
      <c r="VLT360" s="598"/>
      <c r="VLU360" s="598"/>
      <c r="VLV360" s="598"/>
      <c r="VLW360" s="598"/>
      <c r="VLX360" s="598"/>
      <c r="VLY360" s="598"/>
      <c r="VLZ360" s="598"/>
      <c r="VMA360" s="598"/>
      <c r="VMB360" s="598"/>
      <c r="VMC360" s="598"/>
      <c r="VMD360" s="598"/>
      <c r="VME360" s="598"/>
      <c r="VMF360" s="598"/>
      <c r="VMG360" s="598"/>
      <c r="VMH360" s="598"/>
      <c r="VMI360" s="598"/>
      <c r="VMJ360" s="598"/>
      <c r="VMK360" s="598"/>
      <c r="VML360" s="598"/>
      <c r="VMM360" s="598"/>
      <c r="VMN360" s="598"/>
      <c r="VMO360" s="598"/>
      <c r="VMP360" s="598"/>
      <c r="VMQ360" s="598"/>
      <c r="VMR360" s="598"/>
      <c r="VMS360" s="598"/>
      <c r="VMT360" s="598"/>
      <c r="VMU360" s="598"/>
      <c r="VMV360" s="598"/>
      <c r="VMW360" s="598"/>
      <c r="VMX360" s="598"/>
      <c r="VMY360" s="598"/>
      <c r="VMZ360" s="598"/>
      <c r="VNA360" s="598"/>
      <c r="VNB360" s="598"/>
      <c r="VNC360" s="598"/>
      <c r="VND360" s="598"/>
      <c r="VNE360" s="598"/>
      <c r="VNF360" s="598"/>
      <c r="VNG360" s="598"/>
      <c r="VNH360" s="598"/>
      <c r="VNI360" s="598"/>
      <c r="VNJ360" s="598"/>
      <c r="VNK360" s="598"/>
      <c r="VNL360" s="598"/>
      <c r="VNM360" s="598"/>
      <c r="VNN360" s="598"/>
      <c r="VNO360" s="598"/>
      <c r="VNP360" s="598"/>
      <c r="VNQ360" s="598"/>
      <c r="VNR360" s="598"/>
      <c r="VNS360" s="598"/>
      <c r="VNT360" s="598"/>
      <c r="VNU360" s="598"/>
      <c r="VNV360" s="598"/>
      <c r="VNW360" s="598"/>
      <c r="VNX360" s="598"/>
      <c r="VNY360" s="598"/>
      <c r="VNZ360" s="598"/>
      <c r="VOA360" s="598"/>
      <c r="VOB360" s="598"/>
      <c r="VOC360" s="598"/>
      <c r="VOD360" s="598"/>
      <c r="VOE360" s="598"/>
      <c r="VOF360" s="598"/>
      <c r="VOG360" s="598"/>
      <c r="VOH360" s="598"/>
      <c r="VOI360" s="598"/>
      <c r="VOJ360" s="598"/>
      <c r="VOK360" s="598"/>
      <c r="VOL360" s="598"/>
      <c r="VOM360" s="598"/>
      <c r="VON360" s="598"/>
      <c r="VOO360" s="598"/>
      <c r="VOP360" s="598"/>
      <c r="VOQ360" s="598"/>
      <c r="VOR360" s="598"/>
      <c r="VOS360" s="598"/>
      <c r="VOT360" s="598"/>
      <c r="VOU360" s="598"/>
      <c r="VOV360" s="598"/>
      <c r="VOW360" s="598"/>
      <c r="VOX360" s="598"/>
      <c r="VOY360" s="598"/>
      <c r="VOZ360" s="598"/>
      <c r="VPA360" s="598"/>
      <c r="VPB360" s="598"/>
      <c r="VPC360" s="598"/>
      <c r="VPD360" s="598"/>
      <c r="VPE360" s="598"/>
      <c r="VPF360" s="598"/>
      <c r="VPG360" s="598"/>
      <c r="VPH360" s="598"/>
      <c r="VPI360" s="598"/>
      <c r="VPJ360" s="598"/>
      <c r="VPK360" s="598"/>
      <c r="VPL360" s="598"/>
      <c r="VPM360" s="598"/>
      <c r="VPN360" s="598"/>
      <c r="VPO360" s="598"/>
      <c r="VPP360" s="598"/>
      <c r="VPQ360" s="598"/>
      <c r="VPR360" s="598"/>
      <c r="VPS360" s="598"/>
      <c r="VPT360" s="598"/>
      <c r="VPU360" s="598"/>
      <c r="VPV360" s="598"/>
      <c r="VPW360" s="598"/>
      <c r="VPX360" s="598"/>
      <c r="VPY360" s="598"/>
      <c r="VPZ360" s="598"/>
      <c r="VQA360" s="598"/>
      <c r="VQB360" s="598"/>
      <c r="VQC360" s="598"/>
      <c r="VQD360" s="598"/>
      <c r="VQE360" s="598"/>
      <c r="VQF360" s="598"/>
      <c r="VQG360" s="598"/>
      <c r="VQH360" s="598"/>
      <c r="VQI360" s="598"/>
      <c r="VQJ360" s="598"/>
      <c r="VQK360" s="598"/>
      <c r="VQL360" s="598"/>
      <c r="VQM360" s="598"/>
      <c r="VQN360" s="598"/>
      <c r="VQO360" s="598"/>
      <c r="VQP360" s="598"/>
      <c r="VQQ360" s="598"/>
      <c r="VQR360" s="598"/>
      <c r="VQS360" s="598"/>
      <c r="VQT360" s="598"/>
      <c r="VQU360" s="598"/>
      <c r="VQV360" s="598"/>
      <c r="VQW360" s="598"/>
      <c r="VQX360" s="598"/>
      <c r="VQY360" s="598"/>
      <c r="VQZ360" s="598"/>
      <c r="VRA360" s="598"/>
      <c r="VRB360" s="598"/>
      <c r="VRC360" s="598"/>
      <c r="VRD360" s="598"/>
      <c r="VRE360" s="598"/>
      <c r="VRF360" s="598"/>
      <c r="VRG360" s="598"/>
      <c r="VRH360" s="598"/>
      <c r="VRI360" s="598"/>
      <c r="VRJ360" s="598"/>
      <c r="VRK360" s="598"/>
      <c r="VRL360" s="598"/>
      <c r="VRM360" s="598"/>
      <c r="VRN360" s="598"/>
      <c r="VRO360" s="598"/>
      <c r="VRP360" s="598"/>
      <c r="VRQ360" s="598"/>
      <c r="VRR360" s="598"/>
      <c r="VRS360" s="598"/>
      <c r="VRT360" s="598"/>
      <c r="VRU360" s="598"/>
      <c r="VRV360" s="598"/>
      <c r="VRW360" s="598"/>
      <c r="VRX360" s="598"/>
      <c r="VRY360" s="598"/>
      <c r="VRZ360" s="598"/>
      <c r="VSA360" s="598"/>
      <c r="VSB360" s="598"/>
      <c r="VSC360" s="598"/>
      <c r="VSD360" s="598"/>
      <c r="VSE360" s="598"/>
      <c r="VSF360" s="598"/>
      <c r="VSG360" s="598"/>
      <c r="VSH360" s="598"/>
      <c r="VSI360" s="598"/>
      <c r="VSJ360" s="598"/>
      <c r="VSK360" s="598"/>
      <c r="VSL360" s="598"/>
      <c r="VSM360" s="598"/>
      <c r="VSN360" s="598"/>
      <c r="VSO360" s="598"/>
      <c r="VSP360" s="598"/>
      <c r="VSQ360" s="598"/>
      <c r="VSR360" s="598"/>
      <c r="VSS360" s="598"/>
      <c r="VST360" s="598"/>
      <c r="VSU360" s="598"/>
      <c r="VSV360" s="598"/>
      <c r="VSW360" s="598"/>
      <c r="VSX360" s="598"/>
      <c r="VSY360" s="598"/>
      <c r="VSZ360" s="598"/>
      <c r="VTA360" s="598"/>
      <c r="VTB360" s="598"/>
      <c r="VTC360" s="598"/>
      <c r="VTD360" s="598"/>
      <c r="VTE360" s="598"/>
      <c r="VTF360" s="598"/>
      <c r="VTG360" s="598"/>
      <c r="VTH360" s="598"/>
      <c r="VTI360" s="598"/>
      <c r="VTJ360" s="598"/>
      <c r="VTK360" s="598"/>
      <c r="VTL360" s="598"/>
      <c r="VTM360" s="598"/>
      <c r="VTN360" s="598"/>
      <c r="VTO360" s="598"/>
      <c r="VTP360" s="598"/>
      <c r="VTQ360" s="598"/>
      <c r="VTR360" s="598"/>
      <c r="VTS360" s="598"/>
      <c r="VTT360" s="598"/>
      <c r="VTU360" s="598"/>
      <c r="VTV360" s="598"/>
      <c r="VTW360" s="598"/>
      <c r="VTX360" s="598"/>
      <c r="VTY360" s="598"/>
      <c r="VTZ360" s="598"/>
      <c r="VUA360" s="598"/>
      <c r="VUB360" s="598"/>
      <c r="VUC360" s="598"/>
      <c r="VUD360" s="598"/>
      <c r="VUE360" s="598"/>
      <c r="VUF360" s="598"/>
      <c r="VUG360" s="598"/>
      <c r="VUH360" s="598"/>
      <c r="VUI360" s="598"/>
      <c r="VUJ360" s="598"/>
      <c r="VUK360" s="598"/>
      <c r="VUL360" s="598"/>
      <c r="VUM360" s="598"/>
      <c r="VUN360" s="598"/>
      <c r="VUO360" s="598"/>
      <c r="VUP360" s="598"/>
      <c r="VUQ360" s="598"/>
      <c r="VUR360" s="598"/>
      <c r="VUS360" s="598"/>
      <c r="VUT360" s="598"/>
      <c r="VUU360" s="598"/>
      <c r="VUV360" s="598"/>
      <c r="VUW360" s="598"/>
      <c r="VUX360" s="598"/>
      <c r="VUY360" s="598"/>
      <c r="VUZ360" s="598"/>
      <c r="VVA360" s="598"/>
      <c r="VVB360" s="598"/>
      <c r="VVC360" s="598"/>
      <c r="VVD360" s="598"/>
      <c r="VVE360" s="598"/>
      <c r="VVF360" s="598"/>
      <c r="VVG360" s="598"/>
      <c r="VVH360" s="598"/>
      <c r="VVI360" s="598"/>
      <c r="VVJ360" s="598"/>
      <c r="VVK360" s="598"/>
      <c r="VVL360" s="598"/>
      <c r="VVM360" s="598"/>
      <c r="VVN360" s="598"/>
      <c r="VVO360" s="598"/>
      <c r="VVP360" s="598"/>
      <c r="VVQ360" s="598"/>
      <c r="VVR360" s="598"/>
      <c r="VVS360" s="598"/>
      <c r="VVT360" s="598"/>
      <c r="VVU360" s="598"/>
      <c r="VVV360" s="598"/>
      <c r="VVW360" s="598"/>
      <c r="VVX360" s="598"/>
      <c r="VVY360" s="598"/>
      <c r="VVZ360" s="598"/>
      <c r="VWA360" s="598"/>
      <c r="VWB360" s="598"/>
      <c r="VWC360" s="598"/>
      <c r="VWD360" s="598"/>
      <c r="VWE360" s="598"/>
      <c r="VWF360" s="598"/>
      <c r="VWG360" s="598"/>
      <c r="VWH360" s="598"/>
      <c r="VWI360" s="598"/>
      <c r="VWJ360" s="598"/>
      <c r="VWK360" s="598"/>
      <c r="VWL360" s="598"/>
      <c r="VWM360" s="598"/>
      <c r="VWN360" s="598"/>
      <c r="VWO360" s="598"/>
      <c r="VWP360" s="598"/>
      <c r="VWQ360" s="598"/>
      <c r="VWR360" s="598"/>
      <c r="VWS360" s="598"/>
      <c r="VWT360" s="598"/>
      <c r="VWU360" s="598"/>
      <c r="VWV360" s="598"/>
      <c r="VWW360" s="598"/>
      <c r="VWX360" s="598"/>
      <c r="VWY360" s="598"/>
      <c r="VWZ360" s="598"/>
      <c r="VXA360" s="598"/>
      <c r="VXB360" s="598"/>
      <c r="VXC360" s="598"/>
      <c r="VXD360" s="598"/>
      <c r="VXE360" s="598"/>
      <c r="VXF360" s="598"/>
      <c r="VXG360" s="598"/>
      <c r="VXH360" s="598"/>
      <c r="VXI360" s="598"/>
      <c r="VXJ360" s="598"/>
      <c r="VXK360" s="598"/>
      <c r="VXL360" s="598"/>
      <c r="VXM360" s="598"/>
      <c r="VXN360" s="598"/>
      <c r="VXO360" s="598"/>
      <c r="VXP360" s="598"/>
      <c r="VXQ360" s="598"/>
      <c r="VXR360" s="598"/>
      <c r="VXS360" s="598"/>
      <c r="VXT360" s="598"/>
      <c r="VXU360" s="598"/>
      <c r="VXV360" s="598"/>
      <c r="VXW360" s="598"/>
      <c r="VXX360" s="598"/>
      <c r="VXY360" s="598"/>
      <c r="VXZ360" s="598"/>
      <c r="VYA360" s="598"/>
      <c r="VYB360" s="598"/>
      <c r="VYC360" s="598"/>
      <c r="VYD360" s="598"/>
      <c r="VYE360" s="598"/>
      <c r="VYF360" s="598"/>
      <c r="VYG360" s="598"/>
      <c r="VYH360" s="598"/>
      <c r="VYI360" s="598"/>
      <c r="VYJ360" s="598"/>
      <c r="VYK360" s="598"/>
      <c r="VYL360" s="598"/>
      <c r="VYM360" s="598"/>
      <c r="VYN360" s="598"/>
      <c r="VYO360" s="598"/>
      <c r="VYP360" s="598"/>
      <c r="VYQ360" s="598"/>
      <c r="VYR360" s="598"/>
      <c r="VYS360" s="598"/>
      <c r="VYT360" s="598"/>
      <c r="VYU360" s="598"/>
      <c r="VYV360" s="598"/>
      <c r="VYW360" s="598"/>
      <c r="VYX360" s="598"/>
      <c r="VYY360" s="598"/>
      <c r="VYZ360" s="598"/>
      <c r="VZA360" s="598"/>
      <c r="VZB360" s="598"/>
      <c r="VZC360" s="598"/>
      <c r="VZD360" s="598"/>
      <c r="VZE360" s="598"/>
      <c r="VZF360" s="598"/>
      <c r="VZG360" s="598"/>
      <c r="VZH360" s="598"/>
      <c r="VZI360" s="598"/>
      <c r="VZJ360" s="598"/>
      <c r="VZK360" s="598"/>
      <c r="VZL360" s="598"/>
      <c r="VZM360" s="598"/>
      <c r="VZN360" s="598"/>
      <c r="VZO360" s="598"/>
      <c r="VZP360" s="598"/>
      <c r="VZQ360" s="598"/>
      <c r="VZR360" s="598"/>
      <c r="VZS360" s="598"/>
      <c r="VZT360" s="598"/>
      <c r="VZU360" s="598"/>
      <c r="VZV360" s="598"/>
      <c r="VZW360" s="598"/>
      <c r="VZX360" s="598"/>
      <c r="VZY360" s="598"/>
      <c r="VZZ360" s="598"/>
      <c r="WAA360" s="598"/>
      <c r="WAB360" s="598"/>
      <c r="WAC360" s="598"/>
      <c r="WAD360" s="598"/>
      <c r="WAE360" s="598"/>
      <c r="WAF360" s="598"/>
      <c r="WAG360" s="598"/>
      <c r="WAH360" s="598"/>
      <c r="WAI360" s="598"/>
      <c r="WAJ360" s="598"/>
      <c r="WAK360" s="598"/>
      <c r="WAL360" s="598"/>
      <c r="WAM360" s="598"/>
      <c r="WAN360" s="598"/>
      <c r="WAO360" s="598"/>
      <c r="WAP360" s="598"/>
      <c r="WAQ360" s="598"/>
      <c r="WAR360" s="598"/>
      <c r="WAS360" s="598"/>
      <c r="WAT360" s="598"/>
      <c r="WAU360" s="598"/>
      <c r="WAV360" s="598"/>
      <c r="WAW360" s="598"/>
      <c r="WAX360" s="598"/>
      <c r="WAY360" s="598"/>
      <c r="WAZ360" s="598"/>
      <c r="WBA360" s="598"/>
      <c r="WBB360" s="598"/>
      <c r="WBC360" s="598"/>
      <c r="WBD360" s="598"/>
      <c r="WBE360" s="598"/>
      <c r="WBF360" s="598"/>
      <c r="WBG360" s="598"/>
      <c r="WBH360" s="598"/>
      <c r="WBI360" s="598"/>
      <c r="WBJ360" s="598"/>
      <c r="WBK360" s="598"/>
      <c r="WBL360" s="598"/>
      <c r="WBM360" s="598"/>
      <c r="WBN360" s="598"/>
      <c r="WBO360" s="598"/>
      <c r="WBP360" s="598"/>
      <c r="WBQ360" s="598"/>
      <c r="WBR360" s="598"/>
      <c r="WBS360" s="598"/>
      <c r="WBT360" s="598"/>
      <c r="WBU360" s="598"/>
      <c r="WBV360" s="598"/>
      <c r="WBW360" s="598"/>
      <c r="WBX360" s="598"/>
      <c r="WBY360" s="598"/>
      <c r="WBZ360" s="598"/>
      <c r="WCA360" s="598"/>
      <c r="WCB360" s="598"/>
      <c r="WCC360" s="598"/>
      <c r="WCD360" s="598"/>
      <c r="WCE360" s="598"/>
      <c r="WCF360" s="598"/>
      <c r="WCG360" s="598"/>
      <c r="WCH360" s="598"/>
      <c r="WCI360" s="598"/>
      <c r="WCJ360" s="598"/>
      <c r="WCK360" s="598"/>
      <c r="WCL360" s="598"/>
      <c r="WCM360" s="598"/>
      <c r="WCN360" s="598"/>
      <c r="WCO360" s="598"/>
      <c r="WCP360" s="598"/>
      <c r="WCQ360" s="598"/>
      <c r="WCR360" s="598"/>
      <c r="WCS360" s="598"/>
      <c r="WCT360" s="598"/>
      <c r="WCU360" s="598"/>
      <c r="WCV360" s="598"/>
      <c r="WCW360" s="598"/>
      <c r="WCX360" s="598"/>
      <c r="WCY360" s="598"/>
      <c r="WCZ360" s="598"/>
      <c r="WDA360" s="598"/>
      <c r="WDB360" s="598"/>
      <c r="WDC360" s="598"/>
      <c r="WDD360" s="598"/>
      <c r="WDE360" s="598"/>
      <c r="WDF360" s="598"/>
      <c r="WDG360" s="598"/>
      <c r="WDH360" s="598"/>
      <c r="WDI360" s="598"/>
      <c r="WDJ360" s="598"/>
      <c r="WDK360" s="598"/>
      <c r="WDL360" s="598"/>
      <c r="WDM360" s="598"/>
      <c r="WDN360" s="598"/>
      <c r="WDO360" s="598"/>
      <c r="WDP360" s="598"/>
      <c r="WDQ360" s="598"/>
      <c r="WDR360" s="598"/>
      <c r="WDS360" s="598"/>
      <c r="WDT360" s="598"/>
      <c r="WDU360" s="598"/>
      <c r="WDV360" s="598"/>
      <c r="WDW360" s="598"/>
      <c r="WDX360" s="598"/>
      <c r="WDY360" s="598"/>
      <c r="WDZ360" s="598"/>
      <c r="WEA360" s="598"/>
      <c r="WEB360" s="598"/>
      <c r="WEC360" s="598"/>
      <c r="WED360" s="598"/>
      <c r="WEE360" s="598"/>
      <c r="WEF360" s="598"/>
      <c r="WEG360" s="598"/>
      <c r="WEH360" s="598"/>
      <c r="WEI360" s="598"/>
      <c r="WEJ360" s="598"/>
      <c r="WEK360" s="598"/>
      <c r="WEL360" s="598"/>
      <c r="WEM360" s="598"/>
      <c r="WEN360" s="598"/>
      <c r="WEO360" s="598"/>
      <c r="WEP360" s="598"/>
      <c r="WEQ360" s="598"/>
      <c r="WER360" s="598"/>
      <c r="WES360" s="598"/>
      <c r="WET360" s="598"/>
      <c r="WEU360" s="598"/>
      <c r="WEV360" s="598"/>
      <c r="WEW360" s="598"/>
      <c r="WEX360" s="598"/>
      <c r="WEY360" s="598"/>
      <c r="WEZ360" s="598"/>
      <c r="WFA360" s="598"/>
      <c r="WFB360" s="598"/>
      <c r="WFC360" s="598"/>
      <c r="WFD360" s="598"/>
      <c r="WFE360" s="598"/>
      <c r="WFF360" s="598"/>
      <c r="WFG360" s="598"/>
      <c r="WFH360" s="598"/>
      <c r="WFI360" s="598"/>
      <c r="WFJ360" s="598"/>
      <c r="WFK360" s="598"/>
      <c r="WFL360" s="598"/>
      <c r="WFM360" s="598"/>
      <c r="WFN360" s="598"/>
      <c r="WFO360" s="598"/>
      <c r="WFP360" s="598"/>
      <c r="WFQ360" s="598"/>
      <c r="WFR360" s="598"/>
      <c r="WFS360" s="598"/>
      <c r="WFT360" s="598"/>
      <c r="WFU360" s="598"/>
      <c r="WFV360" s="598"/>
      <c r="WFW360" s="598"/>
      <c r="WFX360" s="598"/>
      <c r="WFY360" s="598"/>
      <c r="WFZ360" s="598"/>
      <c r="WGA360" s="598"/>
      <c r="WGB360" s="598"/>
      <c r="WGC360" s="598"/>
      <c r="WGD360" s="598"/>
      <c r="WGE360" s="598"/>
      <c r="WGF360" s="598"/>
      <c r="WGG360" s="598"/>
      <c r="WGH360" s="598"/>
      <c r="WGI360" s="598"/>
      <c r="WGJ360" s="598"/>
      <c r="WGK360" s="598"/>
      <c r="WGL360" s="598"/>
      <c r="WGM360" s="598"/>
      <c r="WGN360" s="598"/>
      <c r="WGO360" s="598"/>
      <c r="WGP360" s="598"/>
      <c r="WGQ360" s="598"/>
      <c r="WGR360" s="598"/>
      <c r="WGS360" s="598"/>
      <c r="WGT360" s="598"/>
      <c r="WGU360" s="598"/>
      <c r="WGV360" s="598"/>
      <c r="WGW360" s="598"/>
      <c r="WGX360" s="598"/>
      <c r="WGY360" s="598"/>
      <c r="WGZ360" s="598"/>
      <c r="WHA360" s="598"/>
      <c r="WHB360" s="598"/>
      <c r="WHC360" s="598"/>
      <c r="WHD360" s="598"/>
      <c r="WHE360" s="598"/>
      <c r="WHF360" s="598"/>
      <c r="WHG360" s="598"/>
      <c r="WHH360" s="598"/>
      <c r="WHI360" s="598"/>
      <c r="WHJ360" s="598"/>
      <c r="WHK360" s="598"/>
      <c r="WHL360" s="598"/>
      <c r="WHM360" s="598"/>
      <c r="WHN360" s="598"/>
      <c r="WHO360" s="598"/>
      <c r="WHP360" s="598"/>
      <c r="WHQ360" s="598"/>
      <c r="WHR360" s="598"/>
      <c r="WHS360" s="598"/>
      <c r="WHT360" s="598"/>
      <c r="WHU360" s="598"/>
      <c r="WHV360" s="598"/>
      <c r="WHW360" s="598"/>
      <c r="WHX360" s="598"/>
      <c r="WHY360" s="598"/>
      <c r="WHZ360" s="598"/>
      <c r="WIA360" s="598"/>
      <c r="WIB360" s="598"/>
      <c r="WIC360" s="598"/>
      <c r="WID360" s="598"/>
      <c r="WIE360" s="598"/>
      <c r="WIF360" s="598"/>
      <c r="WIG360" s="598"/>
      <c r="WIH360" s="598"/>
      <c r="WII360" s="598"/>
      <c r="WIJ360" s="598"/>
      <c r="WIK360" s="598"/>
      <c r="WIL360" s="598"/>
      <c r="WIM360" s="598"/>
      <c r="WIN360" s="598"/>
      <c r="WIO360" s="598"/>
      <c r="WIP360" s="598"/>
      <c r="WIQ360" s="598"/>
      <c r="WIR360" s="598"/>
      <c r="WIS360" s="598"/>
      <c r="WIT360" s="598"/>
      <c r="WIU360" s="598"/>
      <c r="WIV360" s="598"/>
      <c r="WIW360" s="598"/>
      <c r="WIX360" s="598"/>
      <c r="WIY360" s="598"/>
      <c r="WIZ360" s="598"/>
      <c r="WJA360" s="598"/>
      <c r="WJB360" s="598"/>
      <c r="WJC360" s="598"/>
      <c r="WJD360" s="598"/>
      <c r="WJE360" s="598"/>
      <c r="WJF360" s="598"/>
      <c r="WJG360" s="598"/>
      <c r="WJH360" s="598"/>
      <c r="WJI360" s="598"/>
      <c r="WJJ360" s="598"/>
      <c r="WJK360" s="598"/>
      <c r="WJL360" s="598"/>
      <c r="WJM360" s="598"/>
      <c r="WJN360" s="598"/>
      <c r="WJO360" s="598"/>
      <c r="WJP360" s="598"/>
      <c r="WJQ360" s="598"/>
      <c r="WJR360" s="598"/>
      <c r="WJS360" s="598"/>
      <c r="WJT360" s="598"/>
      <c r="WJU360" s="598"/>
      <c r="WJV360" s="598"/>
      <c r="WJW360" s="598"/>
      <c r="WJX360" s="598"/>
      <c r="WJY360" s="598"/>
      <c r="WJZ360" s="598"/>
      <c r="WKA360" s="598"/>
      <c r="WKB360" s="598"/>
      <c r="WKC360" s="598"/>
      <c r="WKD360" s="598"/>
      <c r="WKE360" s="598"/>
      <c r="WKF360" s="598"/>
      <c r="WKG360" s="598"/>
      <c r="WKH360" s="598"/>
      <c r="WKI360" s="598"/>
      <c r="WKJ360" s="598"/>
      <c r="WKK360" s="598"/>
      <c r="WKL360" s="598"/>
      <c r="WKM360" s="598"/>
      <c r="WKN360" s="598"/>
      <c r="WKO360" s="598"/>
      <c r="WKP360" s="598"/>
      <c r="WKQ360" s="598"/>
      <c r="WKR360" s="598"/>
      <c r="WKS360" s="598"/>
      <c r="WKT360" s="598"/>
      <c r="WKU360" s="598"/>
      <c r="WKV360" s="598"/>
      <c r="WKW360" s="598"/>
      <c r="WKX360" s="598"/>
      <c r="WKY360" s="598"/>
      <c r="WKZ360" s="598"/>
      <c r="WLA360" s="598"/>
      <c r="WLB360" s="598"/>
      <c r="WLC360" s="598"/>
      <c r="WLD360" s="598"/>
      <c r="WLE360" s="598"/>
      <c r="WLF360" s="598"/>
      <c r="WLG360" s="598"/>
      <c r="WLH360" s="598"/>
      <c r="WLI360" s="598"/>
      <c r="WLJ360" s="598"/>
      <c r="WLK360" s="598"/>
      <c r="WLL360" s="598"/>
      <c r="WLM360" s="598"/>
      <c r="WLN360" s="598"/>
      <c r="WLO360" s="598"/>
      <c r="WLP360" s="598"/>
      <c r="WLQ360" s="598"/>
      <c r="WLR360" s="598"/>
      <c r="WLS360" s="598"/>
      <c r="WLT360" s="598"/>
      <c r="WLU360" s="598"/>
      <c r="WLV360" s="598"/>
      <c r="WLW360" s="598"/>
      <c r="WLX360" s="598"/>
      <c r="WLY360" s="598"/>
      <c r="WLZ360" s="598"/>
      <c r="WMA360" s="598"/>
      <c r="WMB360" s="598"/>
      <c r="WMC360" s="598"/>
      <c r="WMD360" s="598"/>
      <c r="WME360" s="598"/>
      <c r="WMF360" s="598"/>
      <c r="WMG360" s="598"/>
      <c r="WMH360" s="598"/>
      <c r="WMI360" s="598"/>
      <c r="WMJ360" s="598"/>
      <c r="WMK360" s="598"/>
      <c r="WML360" s="598"/>
      <c r="WMM360" s="598"/>
      <c r="WMN360" s="598"/>
      <c r="WMO360" s="598"/>
      <c r="WMP360" s="598"/>
      <c r="WMQ360" s="598"/>
      <c r="WMR360" s="598"/>
      <c r="WMS360" s="598"/>
      <c r="WMT360" s="598"/>
      <c r="WMU360" s="598"/>
      <c r="WMV360" s="598"/>
      <c r="WMW360" s="598"/>
      <c r="WMX360" s="598"/>
      <c r="WMY360" s="598"/>
      <c r="WMZ360" s="598"/>
      <c r="WNA360" s="598"/>
      <c r="WNB360" s="598"/>
      <c r="WNC360" s="598"/>
      <c r="WND360" s="598"/>
      <c r="WNE360" s="598"/>
      <c r="WNF360" s="598"/>
      <c r="WNG360" s="598"/>
      <c r="WNH360" s="598"/>
      <c r="WNI360" s="598"/>
      <c r="WNJ360" s="598"/>
      <c r="WNK360" s="598"/>
      <c r="WNL360" s="598"/>
      <c r="WNM360" s="598"/>
      <c r="WNN360" s="598"/>
      <c r="WNO360" s="598"/>
      <c r="WNP360" s="598"/>
      <c r="WNQ360" s="598"/>
      <c r="WNR360" s="598"/>
      <c r="WNS360" s="598"/>
      <c r="WNT360" s="598"/>
      <c r="WNU360" s="598"/>
      <c r="WNV360" s="598"/>
      <c r="WNW360" s="598"/>
      <c r="WNX360" s="598"/>
      <c r="WNY360" s="598"/>
      <c r="WNZ360" s="598"/>
      <c r="WOA360" s="598"/>
      <c r="WOB360" s="598"/>
      <c r="WOC360" s="598"/>
      <c r="WOD360" s="598"/>
      <c r="WOE360" s="598"/>
      <c r="WOF360" s="598"/>
      <c r="WOG360" s="598"/>
      <c r="WOH360" s="598"/>
      <c r="WOI360" s="598"/>
      <c r="WOJ360" s="598"/>
      <c r="WOK360" s="598"/>
      <c r="WOL360" s="598"/>
      <c r="WOM360" s="598"/>
      <c r="WON360" s="598"/>
      <c r="WOO360" s="598"/>
      <c r="WOP360" s="598"/>
      <c r="WOQ360" s="598"/>
      <c r="WOR360" s="598"/>
      <c r="WOS360" s="598"/>
      <c r="WOT360" s="598"/>
      <c r="WOU360" s="598"/>
      <c r="WOV360" s="598"/>
      <c r="WOW360" s="598"/>
      <c r="WOX360" s="598"/>
      <c r="WOY360" s="598"/>
      <c r="WOZ360" s="598"/>
      <c r="WPA360" s="598"/>
      <c r="WPB360" s="598"/>
      <c r="WPC360" s="598"/>
      <c r="WPD360" s="598"/>
      <c r="WPE360" s="598"/>
      <c r="WPF360" s="598"/>
      <c r="WPG360" s="598"/>
      <c r="WPH360" s="598"/>
      <c r="WPI360" s="598"/>
      <c r="WPJ360" s="598"/>
      <c r="WPK360" s="598"/>
      <c r="WPL360" s="598"/>
      <c r="WPM360" s="598"/>
      <c r="WPN360" s="598"/>
      <c r="WPO360" s="598"/>
      <c r="WPP360" s="598"/>
      <c r="WPQ360" s="598"/>
      <c r="WPR360" s="598"/>
      <c r="WPS360" s="598"/>
      <c r="WPT360" s="598"/>
      <c r="WPU360" s="598"/>
      <c r="WPV360" s="598"/>
      <c r="WPW360" s="598"/>
      <c r="WPX360" s="598"/>
      <c r="WPY360" s="598"/>
      <c r="WPZ360" s="598"/>
      <c r="WQA360" s="598"/>
      <c r="WQB360" s="598"/>
      <c r="WQC360" s="598"/>
      <c r="WQD360" s="598"/>
      <c r="WQE360" s="598"/>
      <c r="WQF360" s="598"/>
      <c r="WQG360" s="598"/>
      <c r="WQH360" s="598"/>
      <c r="WQI360" s="598"/>
      <c r="WQJ360" s="598"/>
      <c r="WQK360" s="598"/>
      <c r="WQL360" s="598"/>
      <c r="WQM360" s="598"/>
      <c r="WQN360" s="598"/>
      <c r="WQO360" s="598"/>
      <c r="WQP360" s="598"/>
      <c r="WQQ360" s="598"/>
      <c r="WQR360" s="598"/>
      <c r="WQS360" s="598"/>
      <c r="WQT360" s="598"/>
      <c r="WQU360" s="598"/>
      <c r="WQV360" s="598"/>
      <c r="WQW360" s="598"/>
      <c r="WQX360" s="598"/>
      <c r="WQY360" s="598"/>
      <c r="WQZ360" s="598"/>
      <c r="WRA360" s="598"/>
      <c r="WRB360" s="598"/>
      <c r="WRC360" s="598"/>
      <c r="WRD360" s="598"/>
      <c r="WRE360" s="598"/>
      <c r="WRF360" s="598"/>
      <c r="WRG360" s="598"/>
      <c r="WRH360" s="598"/>
      <c r="WRI360" s="598"/>
      <c r="WRJ360" s="598"/>
      <c r="WRK360" s="598"/>
      <c r="WRL360" s="598"/>
      <c r="WRM360" s="598"/>
      <c r="WRN360" s="598"/>
      <c r="WRO360" s="598"/>
      <c r="WRP360" s="598"/>
      <c r="WRQ360" s="598"/>
      <c r="WRR360" s="598"/>
      <c r="WRS360" s="598"/>
      <c r="WRT360" s="598"/>
      <c r="WRU360" s="598"/>
      <c r="WRV360" s="598"/>
      <c r="WRW360" s="598"/>
      <c r="WRX360" s="598"/>
      <c r="WRY360" s="598"/>
      <c r="WRZ360" s="598"/>
      <c r="WSA360" s="598"/>
      <c r="WSB360" s="598"/>
      <c r="WSC360" s="598"/>
      <c r="WSD360" s="598"/>
      <c r="WSE360" s="598"/>
      <c r="WSF360" s="598"/>
      <c r="WSG360" s="598"/>
      <c r="WSH360" s="598"/>
      <c r="WSI360" s="598"/>
      <c r="WSJ360" s="598"/>
      <c r="WSK360" s="598"/>
      <c r="WSL360" s="598"/>
      <c r="WSM360" s="598"/>
      <c r="WSN360" s="598"/>
      <c r="WSO360" s="598"/>
      <c r="WSP360" s="598"/>
      <c r="WSQ360" s="598"/>
      <c r="WSR360" s="598"/>
      <c r="WSS360" s="598"/>
      <c r="WST360" s="598"/>
      <c r="WSU360" s="598"/>
      <c r="WSV360" s="598"/>
      <c r="WSW360" s="598"/>
      <c r="WSX360" s="598"/>
      <c r="WSY360" s="598"/>
      <c r="WSZ360" s="598"/>
      <c r="WTA360" s="598"/>
      <c r="WTB360" s="598"/>
      <c r="WTC360" s="598"/>
      <c r="WTD360" s="598"/>
      <c r="WTE360" s="598"/>
      <c r="WTF360" s="598"/>
      <c r="WTG360" s="598"/>
      <c r="WTH360" s="598"/>
      <c r="WTI360" s="598"/>
      <c r="WTJ360" s="598"/>
      <c r="WTK360" s="598"/>
      <c r="WTL360" s="598"/>
      <c r="WTM360" s="598"/>
      <c r="WTN360" s="598"/>
      <c r="WTO360" s="598"/>
      <c r="WTP360" s="598"/>
      <c r="WTQ360" s="598"/>
      <c r="WTR360" s="598"/>
      <c r="WTS360" s="598"/>
      <c r="WTT360" s="598"/>
      <c r="WTU360" s="598"/>
      <c r="WTV360" s="598"/>
      <c r="WTW360" s="598"/>
      <c r="WTX360" s="598"/>
      <c r="WTY360" s="598"/>
      <c r="WTZ360" s="598"/>
      <c r="WUA360" s="598"/>
      <c r="WUB360" s="598"/>
      <c r="WUC360" s="598"/>
      <c r="WUD360" s="598"/>
      <c r="WUE360" s="598"/>
      <c r="WUF360" s="598"/>
      <c r="WUG360" s="598"/>
      <c r="WUH360" s="598"/>
      <c r="WUI360" s="598"/>
      <c r="WUJ360" s="598"/>
      <c r="WUK360" s="598"/>
      <c r="WUL360" s="598"/>
      <c r="WUM360" s="598"/>
      <c r="WUN360" s="598"/>
      <c r="WUO360" s="598"/>
      <c r="WUP360" s="598"/>
      <c r="WUQ360" s="598"/>
      <c r="WUR360" s="598"/>
      <c r="WUS360" s="598"/>
      <c r="WUT360" s="598"/>
      <c r="WUU360" s="598"/>
      <c r="WUV360" s="598"/>
      <c r="WUW360" s="598"/>
      <c r="WUX360" s="598"/>
      <c r="WUY360" s="598"/>
      <c r="WUZ360" s="598"/>
      <c r="WVA360" s="598"/>
      <c r="WVB360" s="598"/>
      <c r="WVC360" s="598"/>
      <c r="WVD360" s="598"/>
      <c r="WVE360" s="598"/>
      <c r="WVF360" s="598"/>
      <c r="WVG360" s="598"/>
      <c r="WVH360" s="598"/>
      <c r="WVI360" s="598"/>
      <c r="WVJ360" s="598"/>
      <c r="WVK360" s="598"/>
      <c r="WVL360" s="598"/>
      <c r="WVM360" s="598"/>
      <c r="WVN360" s="598"/>
      <c r="WVO360" s="598"/>
      <c r="WVP360" s="598"/>
      <c r="WVQ360" s="598"/>
      <c r="WVR360" s="598"/>
      <c r="WVS360" s="598"/>
      <c r="WVT360" s="598"/>
      <c r="WVU360" s="598"/>
      <c r="WVV360" s="598"/>
      <c r="WVW360" s="598"/>
      <c r="WVX360" s="598"/>
      <c r="WVY360" s="598"/>
      <c r="WVZ360" s="598"/>
      <c r="WWA360" s="598"/>
      <c r="WWB360" s="598"/>
      <c r="WWC360" s="598"/>
      <c r="WWD360" s="598"/>
      <c r="WWE360" s="598"/>
      <c r="WWF360" s="598"/>
      <c r="WWG360" s="598"/>
      <c r="WWH360" s="598"/>
      <c r="WWI360" s="598"/>
      <c r="WWJ360" s="598"/>
      <c r="WWK360" s="598"/>
      <c r="WWL360" s="598"/>
      <c r="WWM360" s="598"/>
      <c r="WWN360" s="598"/>
      <c r="WWO360" s="598"/>
      <c r="WWP360" s="598"/>
      <c r="WWQ360" s="598"/>
      <c r="WWR360" s="598"/>
      <c r="WWS360" s="598"/>
      <c r="WWT360" s="598"/>
      <c r="WWU360" s="598"/>
      <c r="WWV360" s="598"/>
      <c r="WWW360" s="598"/>
      <c r="WWX360" s="598"/>
      <c r="WWY360" s="598"/>
      <c r="WWZ360" s="598"/>
      <c r="WXA360" s="598"/>
      <c r="WXB360" s="598"/>
      <c r="WXC360" s="598"/>
      <c r="WXD360" s="598"/>
      <c r="WXE360" s="598"/>
      <c r="WXF360" s="598"/>
      <c r="WXG360" s="598"/>
      <c r="WXH360" s="598"/>
      <c r="WXI360" s="598"/>
      <c r="WXJ360" s="598"/>
      <c r="WXK360" s="598"/>
      <c r="WXL360" s="598"/>
      <c r="WXM360" s="598"/>
      <c r="WXN360" s="598"/>
      <c r="WXO360" s="598"/>
      <c r="WXP360" s="598"/>
      <c r="WXQ360" s="598"/>
      <c r="WXR360" s="598"/>
      <c r="WXS360" s="598"/>
      <c r="WXT360" s="598"/>
      <c r="WXU360" s="598"/>
      <c r="WXV360" s="598"/>
      <c r="WXW360" s="598"/>
      <c r="WXX360" s="598"/>
      <c r="WXY360" s="598"/>
      <c r="WXZ360" s="598"/>
      <c r="WYA360" s="598"/>
      <c r="WYB360" s="598"/>
      <c r="WYC360" s="598"/>
      <c r="WYD360" s="598"/>
      <c r="WYE360" s="598"/>
      <c r="WYF360" s="598"/>
      <c r="WYG360" s="598"/>
      <c r="WYH360" s="598"/>
      <c r="WYI360" s="598"/>
      <c r="WYJ360" s="598"/>
      <c r="WYK360" s="598"/>
      <c r="WYL360" s="598"/>
      <c r="WYM360" s="598"/>
      <c r="WYN360" s="598"/>
      <c r="WYO360" s="598"/>
      <c r="WYP360" s="598"/>
      <c r="WYQ360" s="598"/>
      <c r="WYR360" s="598"/>
      <c r="WYS360" s="598"/>
      <c r="WYT360" s="598"/>
      <c r="WYU360" s="598"/>
      <c r="WYV360" s="598"/>
      <c r="WYW360" s="598"/>
      <c r="WYX360" s="598"/>
      <c r="WYY360" s="598"/>
      <c r="WYZ360" s="598"/>
      <c r="WZA360" s="598"/>
      <c r="WZB360" s="598"/>
      <c r="WZC360" s="598"/>
      <c r="WZD360" s="598"/>
      <c r="WZE360" s="598"/>
      <c r="WZF360" s="598"/>
      <c r="WZG360" s="598"/>
      <c r="WZH360" s="598"/>
      <c r="WZI360" s="598"/>
      <c r="WZJ360" s="598"/>
      <c r="WZK360" s="598"/>
      <c r="WZL360" s="598"/>
      <c r="WZM360" s="598"/>
      <c r="WZN360" s="598"/>
      <c r="WZO360" s="598"/>
      <c r="WZP360" s="598"/>
      <c r="WZQ360" s="598"/>
      <c r="WZR360" s="598"/>
      <c r="WZS360" s="598"/>
      <c r="WZT360" s="598"/>
      <c r="WZU360" s="598"/>
      <c r="WZV360" s="598"/>
      <c r="WZW360" s="598"/>
      <c r="WZX360" s="598"/>
      <c r="WZY360" s="598"/>
      <c r="WZZ360" s="598"/>
      <c r="XAA360" s="598"/>
      <c r="XAB360" s="598"/>
      <c r="XAC360" s="598"/>
      <c r="XAD360" s="598"/>
      <c r="XAE360" s="598"/>
      <c r="XAF360" s="598"/>
      <c r="XAG360" s="598"/>
      <c r="XAH360" s="598"/>
      <c r="XAI360" s="598"/>
      <c r="XAJ360" s="598"/>
      <c r="XAK360" s="598"/>
      <c r="XAL360" s="598"/>
      <c r="XAM360" s="598"/>
      <c r="XAN360" s="598"/>
      <c r="XAO360" s="598"/>
      <c r="XAP360" s="598"/>
      <c r="XAQ360" s="598"/>
      <c r="XAR360" s="598"/>
      <c r="XAS360" s="598"/>
      <c r="XAT360" s="598"/>
      <c r="XAU360" s="598"/>
      <c r="XAV360" s="598"/>
      <c r="XAW360" s="598"/>
      <c r="XAX360" s="598"/>
      <c r="XAY360" s="598"/>
      <c r="XAZ360" s="598"/>
      <c r="XBA360" s="598"/>
      <c r="XBB360" s="598"/>
      <c r="XBC360" s="598"/>
      <c r="XBD360" s="598"/>
      <c r="XBE360" s="598"/>
      <c r="XBF360" s="598"/>
      <c r="XBG360" s="598"/>
      <c r="XBH360" s="598"/>
      <c r="XBI360" s="598"/>
      <c r="XBJ360" s="598"/>
      <c r="XBK360" s="598"/>
      <c r="XBL360" s="598"/>
      <c r="XBM360" s="598"/>
      <c r="XBN360" s="598"/>
      <c r="XBO360" s="598"/>
      <c r="XBP360" s="598"/>
      <c r="XBQ360" s="598"/>
      <c r="XBR360" s="598"/>
      <c r="XBS360" s="598"/>
      <c r="XBT360" s="598"/>
      <c r="XBU360" s="598"/>
      <c r="XBV360" s="598"/>
      <c r="XBW360" s="598"/>
      <c r="XBX360" s="598"/>
      <c r="XBY360" s="598"/>
      <c r="XBZ360" s="598"/>
      <c r="XCA360" s="598"/>
      <c r="XCB360" s="598"/>
      <c r="XCC360" s="598"/>
      <c r="XCD360" s="598"/>
      <c r="XCE360" s="598"/>
      <c r="XCF360" s="598"/>
      <c r="XCG360" s="598"/>
      <c r="XCH360" s="598"/>
      <c r="XCI360" s="598"/>
      <c r="XCJ360" s="598"/>
      <c r="XCK360" s="598"/>
      <c r="XCL360" s="598"/>
      <c r="XCM360" s="598"/>
      <c r="XCN360" s="598"/>
      <c r="XCO360" s="598"/>
      <c r="XCP360" s="598"/>
      <c r="XCQ360" s="598"/>
      <c r="XCR360" s="598"/>
      <c r="XCS360" s="598"/>
      <c r="XCT360" s="598"/>
      <c r="XCU360" s="598"/>
      <c r="XCV360" s="598"/>
      <c r="XCW360" s="598"/>
      <c r="XCX360" s="598"/>
      <c r="XCY360" s="598"/>
      <c r="XCZ360" s="598"/>
      <c r="XDA360" s="598"/>
      <c r="XDB360" s="598"/>
      <c r="XDC360" s="598"/>
      <c r="XDD360" s="598"/>
      <c r="XDE360" s="598"/>
      <c r="XDF360" s="598"/>
      <c r="XDG360" s="598"/>
      <c r="XDH360" s="598"/>
      <c r="XDI360" s="598"/>
      <c r="XDJ360" s="598"/>
      <c r="XDK360" s="598"/>
      <c r="XDL360" s="598"/>
      <c r="XDM360" s="598"/>
      <c r="XDN360" s="598"/>
      <c r="XDO360" s="598"/>
      <c r="XDP360" s="598"/>
      <c r="XDQ360" s="598"/>
      <c r="XDR360" s="598"/>
      <c r="XDS360" s="598"/>
      <c r="XDT360" s="598"/>
      <c r="XDU360" s="598"/>
      <c r="XDV360" s="598"/>
      <c r="XDW360" s="598"/>
      <c r="XDX360" s="598"/>
      <c r="XDY360" s="598"/>
      <c r="XDZ360" s="598"/>
      <c r="XEA360" s="598"/>
      <c r="XEB360" s="598"/>
      <c r="XEC360" s="598"/>
      <c r="XED360" s="598"/>
      <c r="XEE360" s="598"/>
      <c r="XEF360" s="598"/>
      <c r="XEG360" s="598"/>
      <c r="XEH360" s="598"/>
      <c r="XEI360" s="598"/>
      <c r="XEJ360" s="598"/>
      <c r="XEK360" s="598"/>
      <c r="XEL360" s="598"/>
      <c r="XEM360" s="598"/>
      <c r="XEN360" s="598"/>
      <c r="XEO360" s="598"/>
      <c r="XEP360" s="598"/>
      <c r="XEQ360" s="598"/>
      <c r="XER360" s="598"/>
      <c r="XES360" s="598"/>
      <c r="XET360" s="598"/>
      <c r="XEU360" s="598"/>
      <c r="XEV360" s="598"/>
      <c r="XEW360" s="598"/>
      <c r="XEX360" s="598"/>
      <c r="XEY360" s="598"/>
      <c r="XEZ360" s="598"/>
      <c r="XFA360" s="598"/>
      <c r="XFB360" s="598"/>
      <c r="XFC360" s="598"/>
    </row>
    <row r="361" spans="1:16383">
      <c r="D361" s="712" t="s">
        <v>316</v>
      </c>
      <c r="U361" s="724">
        <f>U346+U348-U359</f>
        <v>-40169.359999999986</v>
      </c>
      <c r="V361" s="681"/>
      <c r="W361" s="681"/>
      <c r="X361" s="675"/>
      <c r="Y361" s="675"/>
    </row>
    <row r="362" spans="1:16383">
      <c r="C362" s="712"/>
      <c r="U362" s="758"/>
      <c r="V362" s="681"/>
      <c r="W362" s="681"/>
      <c r="X362" s="675"/>
      <c r="Y362" s="675"/>
    </row>
    <row r="363" spans="1:16383">
      <c r="A363" s="736"/>
      <c r="B363" s="737"/>
      <c r="C363" s="738" t="s">
        <v>1689</v>
      </c>
      <c r="D363" s="739"/>
      <c r="E363" s="739"/>
      <c r="F363" s="739"/>
      <c r="G363" s="739"/>
      <c r="H363" s="740"/>
      <c r="I363" s="739"/>
      <c r="J363" s="739"/>
      <c r="K363" s="739"/>
      <c r="L363" s="739"/>
      <c r="M363" s="739"/>
      <c r="N363" s="739"/>
      <c r="O363" s="741"/>
      <c r="P363" s="739"/>
      <c r="Q363" s="739"/>
      <c r="R363" s="739"/>
      <c r="S363" s="739"/>
      <c r="T363" s="739"/>
      <c r="U363" s="742">
        <f>+L255</f>
        <v>1625833.0753846155</v>
      </c>
      <c r="V363" s="681"/>
      <c r="W363" s="681"/>
      <c r="X363" s="675"/>
      <c r="Y363" s="675"/>
    </row>
    <row r="364" spans="1:16383">
      <c r="B364" s="752"/>
      <c r="C364" s="753"/>
      <c r="D364" s="597"/>
      <c r="E364" s="597"/>
      <c r="F364" s="597"/>
      <c r="G364" s="597"/>
      <c r="H364" s="754"/>
      <c r="I364" s="597"/>
      <c r="J364" s="597"/>
      <c r="K364" s="597"/>
      <c r="L364" s="597"/>
      <c r="M364" s="597"/>
      <c r="N364" s="597"/>
      <c r="O364" s="755"/>
      <c r="P364" s="597"/>
      <c r="Q364" s="597"/>
      <c r="R364" s="597"/>
      <c r="S364" s="597"/>
      <c r="T364" s="597"/>
      <c r="V364" s="681"/>
      <c r="W364" s="681"/>
      <c r="X364" s="675"/>
      <c r="Y364" s="675"/>
    </row>
    <row r="365" spans="1:16383">
      <c r="D365" s="712" t="s">
        <v>1690</v>
      </c>
      <c r="U365" s="713">
        <f>+'[51]JE Query - G&amp;A'!D1427</f>
        <v>423173.2099999999</v>
      </c>
      <c r="V365" s="681"/>
      <c r="W365" s="681"/>
      <c r="X365" s="675"/>
      <c r="Y365" s="675"/>
    </row>
    <row r="366" spans="1:16383">
      <c r="D366" s="756" t="s">
        <v>1691</v>
      </c>
      <c r="V366" s="681"/>
      <c r="W366" s="681"/>
      <c r="X366" s="675"/>
      <c r="Y366" s="675"/>
    </row>
    <row r="367" spans="1:16383">
      <c r="C367" s="712"/>
      <c r="D367" s="712"/>
      <c r="U367" s="714"/>
      <c r="V367" s="681"/>
      <c r="W367" s="681"/>
      <c r="X367" s="675"/>
      <c r="Y367" s="675"/>
    </row>
    <row r="368" spans="1:16383" s="596" customFormat="1">
      <c r="B368" s="757"/>
      <c r="D368" s="594"/>
      <c r="E368" s="594"/>
      <c r="F368" s="594"/>
      <c r="G368" s="594"/>
      <c r="H368" s="595"/>
      <c r="I368" s="594"/>
      <c r="J368" s="594"/>
      <c r="K368" s="594"/>
      <c r="L368" s="594"/>
      <c r="M368" s="594"/>
      <c r="N368" s="594"/>
      <c r="P368" s="594"/>
      <c r="Q368" s="594"/>
      <c r="R368" s="594"/>
      <c r="S368" s="594"/>
      <c r="T368" s="594"/>
      <c r="U368" s="715" t="s">
        <v>1672</v>
      </c>
      <c r="V368" s="755"/>
      <c r="W368" s="755"/>
      <c r="X368" s="625"/>
      <c r="Y368" s="625"/>
    </row>
    <row r="369" spans="1:25">
      <c r="C369" s="717">
        <v>70010</v>
      </c>
      <c r="D369" s="712" t="s">
        <v>17</v>
      </c>
      <c r="E369" s="605"/>
      <c r="F369" s="605"/>
      <c r="G369" s="605"/>
      <c r="H369" s="606"/>
      <c r="I369" s="605"/>
      <c r="J369" s="605"/>
      <c r="K369" s="605"/>
      <c r="L369" s="605"/>
      <c r="M369" s="605"/>
      <c r="N369" s="605"/>
      <c r="O369" s="607"/>
      <c r="P369" s="605"/>
      <c r="Q369" s="605"/>
      <c r="R369" s="605"/>
      <c r="S369" s="605"/>
      <c r="T369" s="605"/>
      <c r="U369" s="1020">
        <f>+IFERROR(VLOOKUP(C369,'2180 IS (C)'!$D:$AH,31,FALSE),0)</f>
        <v>900283.37999999989</v>
      </c>
      <c r="V369" s="681"/>
      <c r="W369" s="681"/>
      <c r="X369" s="675"/>
      <c r="Y369" s="675"/>
    </row>
    <row r="370" spans="1:25">
      <c r="C370" s="717">
        <v>70020</v>
      </c>
      <c r="D370" s="717" t="s">
        <v>25</v>
      </c>
      <c r="E370" s="605"/>
      <c r="F370" s="605"/>
      <c r="G370" s="605"/>
      <c r="H370" s="606"/>
      <c r="I370" s="605"/>
      <c r="J370" s="605"/>
      <c r="K370" s="605"/>
      <c r="L370" s="605"/>
      <c r="M370" s="605"/>
      <c r="N370" s="605"/>
      <c r="O370" s="607"/>
      <c r="P370" s="605"/>
      <c r="Q370" s="605"/>
      <c r="R370" s="605"/>
      <c r="S370" s="605"/>
      <c r="T370" s="605"/>
      <c r="U370" s="716">
        <f>+IFERROR(VLOOKUP(C370,'2180 IS (C)'!$D:$AH,31,FALSE),0)</f>
        <v>913791.09000000008</v>
      </c>
      <c r="V370" s="681"/>
      <c r="W370" s="681"/>
      <c r="X370" s="675"/>
      <c r="Y370" s="675"/>
    </row>
    <row r="371" spans="1:25">
      <c r="C371" s="717">
        <v>70025</v>
      </c>
      <c r="D371" s="717" t="s">
        <v>26</v>
      </c>
      <c r="E371" s="605"/>
      <c r="F371" s="605"/>
      <c r="G371" s="605"/>
      <c r="H371" s="606"/>
      <c r="I371" s="605"/>
      <c r="J371" s="605"/>
      <c r="K371" s="605"/>
      <c r="L371" s="605"/>
      <c r="M371" s="605"/>
      <c r="N371" s="605"/>
      <c r="O371" s="607"/>
      <c r="P371" s="605"/>
      <c r="Q371" s="605"/>
      <c r="R371" s="605"/>
      <c r="S371" s="605"/>
      <c r="T371" s="605"/>
      <c r="U371" s="716">
        <f>+IFERROR(VLOOKUP(C371,'2180 IS (C)'!$D:$AH,31,FALSE),0)</f>
        <v>106213.51999999999</v>
      </c>
      <c r="V371" s="681"/>
      <c r="W371" s="681"/>
      <c r="X371" s="675"/>
      <c r="Y371" s="675"/>
    </row>
    <row r="372" spans="1:25">
      <c r="C372" s="717">
        <v>70035</v>
      </c>
      <c r="D372" s="717" t="s">
        <v>27</v>
      </c>
      <c r="E372" s="605"/>
      <c r="F372" s="605"/>
      <c r="G372" s="605"/>
      <c r="H372" s="606"/>
      <c r="I372" s="605"/>
      <c r="J372" s="605"/>
      <c r="K372" s="605"/>
      <c r="L372" s="605"/>
      <c r="M372" s="605"/>
      <c r="N372" s="605"/>
      <c r="O372" s="607"/>
      <c r="P372" s="605"/>
      <c r="Q372" s="605"/>
      <c r="R372" s="605"/>
      <c r="S372" s="605"/>
      <c r="T372" s="605"/>
      <c r="U372" s="716">
        <f>+IFERROR(VLOOKUP(C372,'2180 IS (C)'!$D:$AH,31,FALSE),0)</f>
        <v>5010.4600000000009</v>
      </c>
      <c r="V372" s="681"/>
      <c r="W372" s="681"/>
      <c r="X372" s="675"/>
      <c r="Y372" s="675"/>
    </row>
    <row r="373" spans="1:25">
      <c r="C373" s="717">
        <v>70036</v>
      </c>
      <c r="D373" s="721" t="s">
        <v>1692</v>
      </c>
      <c r="E373" s="605"/>
      <c r="F373" s="605"/>
      <c r="G373" s="605"/>
      <c r="H373" s="606"/>
      <c r="I373" s="605"/>
      <c r="J373" s="605"/>
      <c r="K373" s="605"/>
      <c r="L373" s="605"/>
      <c r="M373" s="605"/>
      <c r="N373" s="605"/>
      <c r="O373" s="607"/>
      <c r="P373" s="605"/>
      <c r="Q373" s="605"/>
      <c r="R373" s="605"/>
      <c r="S373" s="605"/>
      <c r="T373" s="605"/>
      <c r="U373" s="716">
        <f>+IFERROR(VLOOKUP(C373,'2180 IS (C)'!$D:$AH,31,FALSE),0)</f>
        <v>45309.479999999996</v>
      </c>
      <c r="V373" s="681"/>
      <c r="W373" s="681"/>
      <c r="X373" s="675"/>
      <c r="Y373" s="675"/>
    </row>
    <row r="374" spans="1:25">
      <c r="C374" s="717">
        <v>70065</v>
      </c>
      <c r="D374" s="717" t="s">
        <v>22</v>
      </c>
      <c r="E374" s="605"/>
      <c r="F374" s="605"/>
      <c r="G374" s="605"/>
      <c r="H374" s="606"/>
      <c r="I374" s="605"/>
      <c r="J374" s="605"/>
      <c r="K374" s="605"/>
      <c r="L374" s="605"/>
      <c r="M374" s="605"/>
      <c r="N374" s="605"/>
      <c r="O374" s="607"/>
      <c r="P374" s="605"/>
      <c r="Q374" s="605"/>
      <c r="R374" s="605"/>
      <c r="S374" s="605"/>
      <c r="T374" s="605"/>
      <c r="U374" s="716">
        <f>+IFERROR(VLOOKUP(C374,'2180 IS (C)'!$D:$AH,31,FALSE),0)</f>
        <v>6313.8100000000013</v>
      </c>
      <c r="V374" s="681"/>
      <c r="W374" s="681"/>
      <c r="X374" s="675"/>
      <c r="Y374" s="675"/>
    </row>
    <row r="375" spans="1:25">
      <c r="C375" s="717">
        <v>70070</v>
      </c>
      <c r="D375" s="717" t="s">
        <v>23</v>
      </c>
      <c r="E375" s="605"/>
      <c r="F375" s="605"/>
      <c r="G375" s="605"/>
      <c r="H375" s="606"/>
      <c r="I375" s="605"/>
      <c r="J375" s="605"/>
      <c r="K375" s="605"/>
      <c r="L375" s="605"/>
      <c r="M375" s="605"/>
      <c r="N375" s="605"/>
      <c r="O375" s="607"/>
      <c r="P375" s="605"/>
      <c r="Q375" s="605"/>
      <c r="R375" s="605"/>
      <c r="S375" s="605"/>
      <c r="T375" s="605"/>
      <c r="U375" s="722">
        <f>+IFERROR(VLOOKUP(C375,'2180 IS (C)'!$D:$AH,31,FALSE),0)</f>
        <v>38181.550000000003</v>
      </c>
      <c r="V375" s="681"/>
      <c r="W375" s="681"/>
      <c r="X375" s="675"/>
      <c r="Y375" s="675"/>
    </row>
    <row r="376" spans="1:25">
      <c r="D376" s="598"/>
      <c r="E376" s="605"/>
      <c r="F376" s="605"/>
      <c r="G376" s="605"/>
      <c r="H376" s="606"/>
      <c r="I376" s="605"/>
      <c r="J376" s="605"/>
      <c r="K376" s="605"/>
      <c r="L376" s="605"/>
      <c r="M376" s="605"/>
      <c r="N376" s="605"/>
      <c r="O376" s="607"/>
      <c r="P376" s="605"/>
      <c r="Q376" s="605"/>
      <c r="R376" s="605"/>
      <c r="S376" s="605"/>
      <c r="T376" s="605"/>
      <c r="U376" s="668">
        <f>SUM(U369:U375)</f>
        <v>2015103.29</v>
      </c>
      <c r="V376" s="681"/>
      <c r="W376" s="681"/>
      <c r="X376" s="675"/>
      <c r="Y376" s="675"/>
    </row>
    <row r="377" spans="1:25">
      <c r="C377" s="712"/>
      <c r="D377" s="712"/>
      <c r="E377" s="605"/>
      <c r="F377" s="605"/>
      <c r="G377" s="605"/>
      <c r="H377" s="606"/>
      <c r="I377" s="605"/>
      <c r="J377" s="605"/>
      <c r="K377" s="605"/>
      <c r="L377" s="605"/>
      <c r="M377" s="605"/>
      <c r="N377" s="605"/>
      <c r="O377" s="607"/>
      <c r="P377" s="605"/>
      <c r="Q377" s="605"/>
      <c r="R377" s="605"/>
      <c r="S377" s="605"/>
      <c r="T377" s="605"/>
      <c r="U377" s="608"/>
      <c r="V377" s="681"/>
      <c r="W377" s="681"/>
      <c r="X377" s="675"/>
      <c r="Y377" s="675"/>
    </row>
    <row r="378" spans="1:25">
      <c r="D378" s="712"/>
      <c r="E378" s="605"/>
      <c r="F378" s="605"/>
      <c r="G378" s="605"/>
      <c r="H378" s="606"/>
      <c r="I378" s="605"/>
      <c r="J378" s="605"/>
      <c r="K378" s="605"/>
      <c r="L378" s="605"/>
      <c r="M378" s="605"/>
      <c r="N378" s="605"/>
      <c r="O378" s="607"/>
      <c r="P378" s="605"/>
      <c r="Q378" s="605"/>
      <c r="R378" s="605"/>
      <c r="S378" s="605"/>
      <c r="T378" s="605"/>
      <c r="U378" s="608"/>
      <c r="V378" s="681"/>
      <c r="W378" s="681"/>
      <c r="X378" s="675"/>
      <c r="Y378" s="675"/>
    </row>
    <row r="379" spans="1:25">
      <c r="D379" s="712" t="s">
        <v>316</v>
      </c>
      <c r="U379" s="714">
        <f>U363+U365-U376</f>
        <v>33902.99538461538</v>
      </c>
      <c r="V379" s="681"/>
      <c r="W379" s="681"/>
      <c r="X379" s="675"/>
      <c r="Y379" s="675"/>
    </row>
    <row r="380" spans="1:25">
      <c r="U380" s="758"/>
      <c r="V380" s="681"/>
      <c r="W380" s="681"/>
      <c r="X380" s="675"/>
      <c r="Y380" s="675"/>
    </row>
    <row r="381" spans="1:25">
      <c r="D381" s="598"/>
      <c r="E381" s="598"/>
      <c r="F381" s="598"/>
      <c r="G381" s="598"/>
      <c r="H381" s="599"/>
      <c r="I381" s="598"/>
      <c r="J381" s="598"/>
      <c r="K381" s="598"/>
      <c r="L381" s="598"/>
      <c r="M381" s="598"/>
      <c r="N381" s="598"/>
      <c r="P381" s="598"/>
      <c r="Q381" s="598"/>
      <c r="R381" s="598"/>
      <c r="S381" s="598"/>
      <c r="T381" s="598"/>
      <c r="U381" s="681"/>
      <c r="V381" s="681"/>
      <c r="W381" s="681"/>
      <c r="X381" s="675"/>
      <c r="Y381" s="675"/>
    </row>
    <row r="382" spans="1:25">
      <c r="A382" s="728"/>
      <c r="B382" s="729"/>
      <c r="C382" s="730" t="s">
        <v>1693</v>
      </c>
      <c r="D382" s="731"/>
      <c r="E382" s="731"/>
      <c r="F382" s="731"/>
      <c r="G382" s="731"/>
      <c r="H382" s="732"/>
      <c r="I382" s="731"/>
      <c r="J382" s="731"/>
      <c r="K382" s="731"/>
      <c r="L382" s="731"/>
      <c r="M382" s="731"/>
      <c r="N382" s="731"/>
      <c r="O382" s="733"/>
      <c r="P382" s="731"/>
      <c r="Q382" s="731"/>
      <c r="R382" s="731"/>
      <c r="S382" s="731"/>
      <c r="T382" s="731"/>
      <c r="U382" s="734">
        <f>+L213</f>
        <v>643327.92999999993</v>
      </c>
    </row>
    <row r="383" spans="1:25">
      <c r="D383" s="598"/>
      <c r="E383" s="598"/>
      <c r="F383" s="598"/>
      <c r="G383" s="598"/>
      <c r="H383" s="599"/>
      <c r="I383" s="598"/>
      <c r="J383" s="598"/>
      <c r="K383" s="598"/>
      <c r="L383" s="598"/>
      <c r="M383" s="598"/>
      <c r="N383" s="598"/>
      <c r="P383" s="598"/>
      <c r="Q383" s="598"/>
      <c r="R383" s="598"/>
      <c r="S383" s="598"/>
      <c r="T383" s="598"/>
      <c r="V383" s="681"/>
      <c r="W383" s="681"/>
      <c r="X383" s="675"/>
      <c r="Y383" s="675"/>
    </row>
    <row r="384" spans="1:25">
      <c r="D384" s="712" t="s">
        <v>1671</v>
      </c>
      <c r="E384" s="598"/>
      <c r="F384" s="598"/>
      <c r="G384" s="598"/>
      <c r="H384" s="599"/>
      <c r="I384" s="598"/>
      <c r="J384" s="598"/>
      <c r="K384" s="598"/>
      <c r="L384" s="598"/>
      <c r="M384" s="598"/>
      <c r="N384" s="598"/>
      <c r="P384" s="598"/>
      <c r="Q384" s="598"/>
      <c r="R384" s="598"/>
      <c r="S384" s="598"/>
      <c r="T384" s="598"/>
      <c r="U384" s="713">
        <f>+'[51]JE Query - Container'!D528</f>
        <v>-18116.09</v>
      </c>
      <c r="V384" s="681"/>
      <c r="W384" s="681"/>
      <c r="X384" s="675"/>
      <c r="Y384" s="675"/>
    </row>
    <row r="385" spans="3:25">
      <c r="D385" s="712" t="s">
        <v>1674</v>
      </c>
      <c r="E385" s="598"/>
      <c r="F385" s="598"/>
      <c r="G385" s="598"/>
      <c r="H385" s="599"/>
      <c r="I385" s="598"/>
      <c r="J385" s="598"/>
      <c r="K385" s="598"/>
      <c r="L385" s="598"/>
      <c r="M385" s="598"/>
      <c r="N385" s="598"/>
      <c r="P385" s="598"/>
      <c r="Q385" s="598"/>
      <c r="R385" s="598"/>
      <c r="S385" s="598"/>
      <c r="T385" s="598"/>
      <c r="V385" s="681"/>
      <c r="W385" s="681"/>
      <c r="X385" s="675"/>
      <c r="Y385" s="675"/>
    </row>
    <row r="386" spans="3:25">
      <c r="D386" s="712"/>
      <c r="E386" s="598"/>
      <c r="F386" s="598"/>
      <c r="G386" s="598"/>
      <c r="H386" s="599"/>
      <c r="I386" s="598"/>
      <c r="J386" s="598"/>
      <c r="K386" s="598"/>
      <c r="L386" s="598"/>
      <c r="M386" s="598"/>
      <c r="N386" s="598"/>
      <c r="P386" s="598"/>
      <c r="Q386" s="598"/>
      <c r="R386" s="598"/>
      <c r="S386" s="598"/>
      <c r="T386" s="598"/>
      <c r="U386" s="714"/>
      <c r="V386" s="681"/>
      <c r="W386" s="681"/>
      <c r="X386" s="675"/>
      <c r="Y386" s="675"/>
    </row>
    <row r="387" spans="3:25">
      <c r="D387" s="598"/>
      <c r="E387" s="598"/>
      <c r="F387" s="598"/>
      <c r="G387" s="598"/>
      <c r="H387" s="599"/>
      <c r="I387" s="598"/>
      <c r="J387" s="598"/>
      <c r="K387" s="598"/>
      <c r="L387" s="598"/>
      <c r="M387" s="598"/>
      <c r="N387" s="598"/>
      <c r="P387" s="598"/>
      <c r="Q387" s="598"/>
      <c r="R387" s="598"/>
      <c r="S387" s="598"/>
      <c r="T387" s="598"/>
      <c r="U387" s="714"/>
      <c r="V387" s="681"/>
      <c r="W387" s="681"/>
      <c r="X387" s="675"/>
      <c r="Y387" s="675"/>
    </row>
    <row r="388" spans="3:25">
      <c r="C388" s="717"/>
      <c r="D388" s="717"/>
      <c r="E388" s="598"/>
      <c r="F388" s="598"/>
      <c r="G388" s="598"/>
      <c r="H388" s="599"/>
      <c r="I388" s="598"/>
      <c r="J388" s="598"/>
      <c r="K388" s="598"/>
      <c r="L388" s="598"/>
      <c r="M388" s="598"/>
      <c r="N388" s="598"/>
      <c r="P388" s="598"/>
      <c r="Q388" s="598"/>
      <c r="R388" s="598"/>
      <c r="S388" s="598"/>
      <c r="T388" s="598"/>
      <c r="U388" s="715" t="s">
        <v>1672</v>
      </c>
      <c r="V388" s="681"/>
      <c r="W388" s="681"/>
      <c r="X388" s="675"/>
      <c r="Y388" s="675"/>
    </row>
    <row r="389" spans="3:25">
      <c r="C389" s="717">
        <v>55020</v>
      </c>
      <c r="D389" s="717" t="s">
        <v>25</v>
      </c>
      <c r="E389" s="598"/>
      <c r="F389" s="598"/>
      <c r="G389" s="598"/>
      <c r="H389" s="599"/>
      <c r="I389" s="598"/>
      <c r="J389" s="598"/>
      <c r="K389" s="598"/>
      <c r="L389" s="598"/>
      <c r="M389" s="598"/>
      <c r="N389" s="598"/>
      <c r="P389" s="598"/>
      <c r="Q389" s="598"/>
      <c r="R389" s="598"/>
      <c r="S389" s="598"/>
      <c r="T389" s="598"/>
      <c r="U389" s="1020">
        <f>+IFERROR(VLOOKUP(C389,'2180 IS (C)'!$D:$AH,31,FALSE),0)</f>
        <v>464474.64</v>
      </c>
      <c r="V389" s="681"/>
      <c r="W389" s="681"/>
      <c r="X389" s="675"/>
      <c r="Y389" s="675"/>
    </row>
    <row r="390" spans="3:25">
      <c r="C390" s="717">
        <v>55025</v>
      </c>
      <c r="D390" s="717" t="s">
        <v>26</v>
      </c>
      <c r="E390" s="598"/>
      <c r="F390" s="598"/>
      <c r="G390" s="598"/>
      <c r="H390" s="599"/>
      <c r="I390" s="598"/>
      <c r="J390" s="598"/>
      <c r="K390" s="598"/>
      <c r="L390" s="598"/>
      <c r="M390" s="598"/>
      <c r="N390" s="598"/>
      <c r="P390" s="598"/>
      <c r="Q390" s="598"/>
      <c r="R390" s="598"/>
      <c r="S390" s="598"/>
      <c r="T390" s="598"/>
      <c r="U390" s="716">
        <f>+IFERROR(VLOOKUP(C390,'2180 IS (C)'!$D:$AH,31,FALSE),0)</f>
        <v>74085.83</v>
      </c>
      <c r="V390" s="681"/>
      <c r="W390" s="681"/>
      <c r="X390" s="675"/>
      <c r="Y390" s="675"/>
    </row>
    <row r="391" spans="3:25">
      <c r="C391" s="717">
        <v>55035</v>
      </c>
      <c r="D391" s="721" t="s">
        <v>27</v>
      </c>
      <c r="E391" s="598"/>
      <c r="F391" s="598"/>
      <c r="G391" s="598"/>
      <c r="H391" s="599"/>
      <c r="I391" s="598"/>
      <c r="J391" s="598"/>
      <c r="K391" s="598"/>
      <c r="L391" s="598"/>
      <c r="M391" s="598"/>
      <c r="N391" s="598"/>
      <c r="P391" s="598"/>
      <c r="Q391" s="598"/>
      <c r="R391" s="598"/>
      <c r="S391" s="598"/>
      <c r="T391" s="598"/>
      <c r="U391" s="716">
        <f>+IFERROR(VLOOKUP(C391,'2180 IS (C)'!$D:$AH,31,FALSE),0)</f>
        <v>10105.869999999999</v>
      </c>
      <c r="V391" s="681"/>
      <c r="W391" s="681"/>
      <c r="X391" s="675"/>
      <c r="Y391" s="675"/>
    </row>
    <row r="392" spans="3:25">
      <c r="C392" s="717">
        <v>55036</v>
      </c>
      <c r="D392" s="721" t="s">
        <v>28</v>
      </c>
      <c r="E392" s="598"/>
      <c r="F392" s="598"/>
      <c r="G392" s="598"/>
      <c r="H392" s="599"/>
      <c r="I392" s="598"/>
      <c r="J392" s="598"/>
      <c r="K392" s="598"/>
      <c r="L392" s="598"/>
      <c r="M392" s="598"/>
      <c r="N392" s="598"/>
      <c r="P392" s="598"/>
      <c r="Q392" s="598"/>
      <c r="R392" s="598"/>
      <c r="S392" s="598"/>
      <c r="T392" s="598"/>
      <c r="U392" s="716">
        <f>+IFERROR(VLOOKUP(C392,'2180 IS (C)'!$D:$AH,31,FALSE),0)</f>
        <v>466.13</v>
      </c>
      <c r="V392" s="681"/>
      <c r="W392" s="681"/>
      <c r="X392" s="675"/>
      <c r="Y392" s="675"/>
    </row>
    <row r="393" spans="3:25">
      <c r="C393" s="717">
        <v>55065</v>
      </c>
      <c r="D393" s="717" t="s">
        <v>22</v>
      </c>
      <c r="U393" s="716">
        <f>+IFERROR(VLOOKUP(C393,'2180 IS (C)'!$D:$AH,31,FALSE),0)</f>
        <v>25559.420000000002</v>
      </c>
      <c r="V393" s="681"/>
      <c r="W393" s="681"/>
      <c r="X393" s="675"/>
      <c r="Y393" s="675"/>
    </row>
    <row r="394" spans="3:25">
      <c r="C394" s="717">
        <v>55070</v>
      </c>
      <c r="D394" s="717" t="s">
        <v>23</v>
      </c>
      <c r="U394" s="722">
        <f>+IFERROR(VLOOKUP(C394,'2180 IS (C)'!$D:$AH,31,FALSE),0)</f>
        <v>20282.989999999998</v>
      </c>
      <c r="V394" s="681"/>
      <c r="W394" s="681"/>
      <c r="X394" s="675"/>
      <c r="Y394" s="675"/>
    </row>
    <row r="395" spans="3:25">
      <c r="C395" s="723"/>
      <c r="D395" s="723"/>
      <c r="U395" s="668">
        <f>SUM(U389:U394)</f>
        <v>594974.88</v>
      </c>
      <c r="V395" s="681"/>
      <c r="W395" s="681"/>
      <c r="X395" s="675"/>
      <c r="Y395" s="675"/>
    </row>
    <row r="396" spans="3:25">
      <c r="C396" s="723"/>
      <c r="D396" s="723"/>
      <c r="U396" s="608"/>
      <c r="V396" s="681"/>
      <c r="W396" s="681"/>
      <c r="X396" s="675"/>
      <c r="Y396" s="675"/>
    </row>
    <row r="397" spans="3:25">
      <c r="C397" s="723"/>
      <c r="D397" s="735" t="s">
        <v>316</v>
      </c>
      <c r="U397" s="608"/>
      <c r="V397" s="681"/>
      <c r="W397" s="681"/>
      <c r="X397" s="675"/>
      <c r="Y397" s="675"/>
    </row>
    <row r="398" spans="3:25">
      <c r="D398" s="598"/>
      <c r="E398" s="598"/>
      <c r="F398" s="598"/>
      <c r="G398" s="598"/>
      <c r="H398" s="599"/>
      <c r="I398" s="598"/>
      <c r="J398" s="598"/>
      <c r="K398" s="598"/>
      <c r="L398" s="598"/>
      <c r="M398" s="598"/>
      <c r="N398" s="598"/>
      <c r="P398" s="598"/>
      <c r="Q398" s="598"/>
      <c r="R398" s="598"/>
      <c r="S398" s="598"/>
      <c r="T398" s="598"/>
      <c r="U398" s="714">
        <f>U382+U384-U395</f>
        <v>30236.959999999963</v>
      </c>
      <c r="V398" s="681"/>
      <c r="W398" s="681"/>
      <c r="X398" s="675"/>
      <c r="Y398" s="675"/>
    </row>
    <row r="399" spans="3:25">
      <c r="D399" s="598"/>
      <c r="E399" s="598"/>
      <c r="F399" s="598"/>
      <c r="G399" s="598"/>
      <c r="H399" s="599"/>
      <c r="I399" s="598"/>
      <c r="J399" s="598"/>
      <c r="K399" s="598"/>
      <c r="L399" s="598"/>
      <c r="M399" s="598"/>
      <c r="N399" s="598"/>
      <c r="P399" s="598"/>
      <c r="Q399" s="598"/>
      <c r="R399" s="598"/>
      <c r="S399" s="598"/>
      <c r="T399" s="598"/>
      <c r="U399" s="681"/>
      <c r="V399" s="681"/>
      <c r="W399" s="681"/>
      <c r="X399" s="675"/>
      <c r="Y399" s="675"/>
    </row>
    <row r="400" spans="3:25">
      <c r="D400" s="598"/>
      <c r="E400" s="598"/>
      <c r="F400" s="598"/>
      <c r="G400" s="598"/>
      <c r="H400" s="599"/>
      <c r="I400" s="598"/>
      <c r="J400" s="598"/>
      <c r="K400" s="598"/>
      <c r="L400" s="598"/>
      <c r="M400" s="598"/>
      <c r="N400" s="598"/>
      <c r="P400" s="598"/>
      <c r="Q400" s="598"/>
      <c r="R400" s="598"/>
      <c r="S400" s="598"/>
      <c r="T400" s="598"/>
      <c r="U400" s="681"/>
      <c r="V400" s="681"/>
      <c r="W400" s="681"/>
      <c r="X400" s="675"/>
      <c r="Y400" s="675"/>
    </row>
    <row r="401" spans="1:25">
      <c r="D401" s="598"/>
      <c r="E401" s="598"/>
      <c r="F401" s="598"/>
      <c r="G401" s="598"/>
      <c r="H401" s="599"/>
      <c r="I401" s="598"/>
      <c r="J401" s="598"/>
      <c r="K401" s="598"/>
      <c r="L401" s="598"/>
      <c r="M401" s="598"/>
      <c r="N401" s="598"/>
      <c r="P401" s="598"/>
      <c r="Q401" s="598"/>
      <c r="R401" s="598"/>
      <c r="S401" s="598"/>
      <c r="T401" s="598"/>
      <c r="U401" s="681"/>
      <c r="V401" s="681"/>
      <c r="W401" s="681"/>
      <c r="X401" s="675"/>
      <c r="Y401" s="675"/>
    </row>
    <row r="402" spans="1:25">
      <c r="D402" s="598"/>
      <c r="E402" s="598"/>
      <c r="F402" s="598"/>
      <c r="G402" s="598"/>
      <c r="H402" s="599"/>
      <c r="I402" s="598"/>
      <c r="J402" s="598"/>
      <c r="K402" s="598"/>
      <c r="L402" s="598"/>
      <c r="M402" s="598"/>
      <c r="N402" s="598"/>
      <c r="P402" s="598"/>
      <c r="Q402" s="598"/>
      <c r="R402" s="598"/>
      <c r="S402" s="598"/>
      <c r="T402" s="598"/>
      <c r="U402" s="681"/>
      <c r="V402" s="681"/>
      <c r="W402" s="681"/>
      <c r="X402" s="675"/>
      <c r="Y402" s="675"/>
    </row>
    <row r="403" spans="1:25">
      <c r="D403" s="598"/>
      <c r="E403" s="598"/>
      <c r="F403" s="598"/>
      <c r="G403" s="598"/>
      <c r="H403" s="599"/>
      <c r="I403" s="598"/>
      <c r="J403" s="598"/>
      <c r="K403" s="598"/>
      <c r="L403" s="598"/>
      <c r="M403" s="598"/>
      <c r="N403" s="598"/>
      <c r="P403" s="598"/>
      <c r="Q403" s="598"/>
      <c r="R403" s="598"/>
      <c r="S403" s="598"/>
      <c r="T403" s="598"/>
      <c r="U403" s="759">
        <f>+U398+U379+U361+U307+U289+U344</f>
        <v>-49790.824615385587</v>
      </c>
      <c r="V403" s="681"/>
      <c r="W403" s="681"/>
      <c r="X403" s="675"/>
      <c r="Y403" s="675"/>
    </row>
    <row r="404" spans="1:25">
      <c r="D404" s="598"/>
      <c r="E404" s="598"/>
      <c r="F404" s="598"/>
      <c r="G404" s="598"/>
      <c r="H404" s="599"/>
      <c r="I404" s="598"/>
      <c r="J404" s="598"/>
      <c r="K404" s="598"/>
      <c r="L404" s="598"/>
      <c r="M404" s="598"/>
      <c r="N404" s="598"/>
      <c r="P404" s="598"/>
      <c r="Q404" s="598"/>
      <c r="R404" s="598"/>
      <c r="S404" s="598"/>
      <c r="T404" s="598"/>
      <c r="U404" s="760">
        <f>+U403/U268</f>
        <v>-4.5706226329152531E-3</v>
      </c>
      <c r="V404" s="761"/>
      <c r="W404" s="761"/>
      <c r="X404" s="675"/>
      <c r="Y404" s="675"/>
    </row>
    <row r="405" spans="1:25">
      <c r="D405" s="598"/>
      <c r="E405" s="598"/>
      <c r="F405" s="598"/>
      <c r="G405" s="598"/>
      <c r="H405" s="599"/>
      <c r="I405" s="598"/>
      <c r="J405" s="598"/>
      <c r="K405" s="598"/>
      <c r="L405" s="598"/>
      <c r="M405" s="598"/>
      <c r="N405" s="598"/>
      <c r="P405" s="598"/>
      <c r="Q405" s="598"/>
      <c r="R405" s="598"/>
      <c r="S405" s="598"/>
      <c r="T405" s="598"/>
      <c r="U405" s="758" t="s">
        <v>1694</v>
      </c>
      <c r="V405" s="681"/>
      <c r="W405" s="681"/>
      <c r="X405" s="675"/>
      <c r="Y405" s="675"/>
    </row>
    <row r="406" spans="1:25">
      <c r="D406" s="598"/>
      <c r="E406" s="598"/>
      <c r="F406" s="598"/>
      <c r="G406" s="598"/>
      <c r="H406" s="599"/>
      <c r="I406" s="598"/>
      <c r="J406" s="598"/>
      <c r="K406" s="598"/>
      <c r="L406" s="598"/>
      <c r="M406" s="598"/>
      <c r="N406" s="598"/>
      <c r="P406" s="598"/>
      <c r="Q406" s="598"/>
      <c r="R406" s="598"/>
      <c r="S406" s="598"/>
      <c r="T406" s="598"/>
      <c r="U406" s="681"/>
      <c r="V406" s="681"/>
      <c r="W406" s="681"/>
      <c r="X406" s="675"/>
      <c r="Y406" s="675"/>
    </row>
    <row r="407" spans="1:25">
      <c r="A407" s="593"/>
      <c r="D407" s="598"/>
      <c r="E407" s="598"/>
      <c r="F407" s="598"/>
      <c r="G407" s="598"/>
      <c r="H407" s="599"/>
      <c r="I407" s="598"/>
      <c r="J407" s="598"/>
      <c r="K407" s="598"/>
      <c r="L407" s="598"/>
      <c r="M407" s="598"/>
      <c r="N407" s="598"/>
      <c r="P407" s="598"/>
      <c r="Q407" s="598"/>
      <c r="R407" s="598"/>
      <c r="S407" s="598"/>
      <c r="T407" s="598"/>
      <c r="U407" s="681"/>
    </row>
    <row r="408" spans="1:25">
      <c r="A408" s="762"/>
      <c r="D408" s="598"/>
      <c r="E408" s="598"/>
      <c r="F408" s="598"/>
      <c r="G408" s="598"/>
      <c r="H408" s="599"/>
      <c r="I408" s="598"/>
      <c r="J408" s="598"/>
      <c r="K408" s="598"/>
      <c r="L408" s="598"/>
      <c r="M408" s="598"/>
      <c r="N408" s="598"/>
      <c r="P408" s="598"/>
      <c r="Q408" s="598"/>
      <c r="R408" s="598"/>
      <c r="S408" s="598"/>
      <c r="T408" s="598"/>
      <c r="U408" s="681"/>
    </row>
    <row r="409" spans="1:25">
      <c r="D409" s="598"/>
      <c r="E409" s="598"/>
      <c r="F409" s="598"/>
      <c r="G409" s="598"/>
      <c r="H409" s="599"/>
      <c r="I409" s="598"/>
      <c r="J409" s="598"/>
      <c r="K409" s="598"/>
      <c r="L409" s="598"/>
      <c r="M409" s="598"/>
      <c r="N409" s="598"/>
      <c r="P409" s="598"/>
      <c r="Q409" s="598"/>
      <c r="R409" s="598"/>
      <c r="S409" s="598"/>
      <c r="T409" s="598"/>
      <c r="U409" s="681"/>
    </row>
    <row r="410" spans="1:25">
      <c r="D410" s="598"/>
      <c r="E410" s="598"/>
      <c r="F410" s="598"/>
      <c r="G410" s="598"/>
      <c r="H410" s="599"/>
      <c r="I410" s="598"/>
      <c r="J410" s="598"/>
      <c r="K410" s="598"/>
      <c r="L410" s="598"/>
      <c r="M410" s="598"/>
      <c r="N410" s="598"/>
      <c r="P410" s="598"/>
      <c r="Q410" s="598"/>
      <c r="R410" s="598"/>
      <c r="S410" s="598"/>
      <c r="T410" s="598"/>
      <c r="U410" s="681"/>
    </row>
  </sheetData>
  <autoFilter ref="A13:U264"/>
  <customSheetViews>
    <customSheetView guid="{76FC386D-C488-46EF-BB9C-D1C49FEBAB90}" showAutoFilter="1" hiddenRows="1">
      <pane xSplit="4" ySplit="13" topLeftCell="K74" activePane="bottomRight" state="frozen"/>
      <selection pane="bottomRight" activeCell="T7" sqref="T7"/>
      <pageMargins left="0.75" right="0.75" top="1" bottom="1" header="0.5" footer="0.5"/>
      <pageSetup scale="90" orientation="landscape" horizontalDpi="4294967293" verticalDpi="300" r:id="rId1"/>
      <headerFooter alignWithMargins="0"/>
      <autoFilter ref="A13:U264"/>
    </customSheetView>
    <customSheetView guid="{16F8EA47-9864-4C0F-89A1-62B7CCC013F9}" showAutoFilter="1" hiddenRows="1">
      <pane xSplit="4" ySplit="13" topLeftCell="K237" activePane="bottomRight" state="frozen"/>
      <selection pane="bottomRight" activeCell="P393" sqref="P393"/>
      <pageMargins left="0.75" right="0.75" top="1" bottom="1" header="0.5" footer="0.5"/>
      <pageSetup scale="90" orientation="landscape" horizontalDpi="4294967293" verticalDpi="300" r:id="rId2"/>
      <headerFooter alignWithMargins="0"/>
      <autoFilter ref="A13:U264"/>
    </customSheetView>
  </customSheetViews>
  <mergeCells count="1">
    <mergeCell ref="A272:D272"/>
  </mergeCells>
  <conditionalFormatting sqref="B219:B232 B1:B60 B134:B152 B164:B180 B62:B124 B182:B217 B159:B162 B234:B1048576">
    <cfRule type="duplicateValues" dxfId="14" priority="8"/>
  </conditionalFormatting>
  <conditionalFormatting sqref="B218">
    <cfRule type="duplicateValues" dxfId="13" priority="7"/>
  </conditionalFormatting>
  <conditionalFormatting sqref="B125:B127 B130:B133">
    <cfRule type="duplicateValues" dxfId="12" priority="6"/>
  </conditionalFormatting>
  <conditionalFormatting sqref="B128:B129">
    <cfRule type="duplicateValues" dxfId="11" priority="5"/>
  </conditionalFormatting>
  <conditionalFormatting sqref="B163">
    <cfRule type="duplicateValues" dxfId="10" priority="4"/>
  </conditionalFormatting>
  <conditionalFormatting sqref="B233">
    <cfRule type="duplicateValues" dxfId="9" priority="3"/>
  </conditionalFormatting>
  <conditionalFormatting sqref="B61">
    <cfRule type="duplicateValues" dxfId="8" priority="2"/>
  </conditionalFormatting>
  <conditionalFormatting sqref="B181">
    <cfRule type="duplicateValues" dxfId="7" priority="1"/>
  </conditionalFormatting>
  <conditionalFormatting sqref="B153:B158">
    <cfRule type="duplicateValues" dxfId="6" priority="9"/>
  </conditionalFormatting>
  <pageMargins left="0.75" right="0.75" top="1" bottom="1" header="0.5" footer="0.5"/>
  <pageSetup scale="81" orientation="landscape" r:id="rId3"/>
  <headerFooter alignWithMargins="0"/>
  <rowBreaks count="6" manualBreakCount="6">
    <brk id="44" max="16383" man="1"/>
    <brk id="97" max="16383" man="1"/>
    <brk id="146" max="16383" man="1"/>
    <brk id="194" max="16383" man="1"/>
    <brk id="296" max="16383" man="1"/>
    <brk id="367" max="16383" man="1"/>
  </rowBreaks>
  <drawing r:id="rId4"/>
  <legacyDrawing r:id="rId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T127"/>
  <sheetViews>
    <sheetView view="pageBreakPreview" topLeftCell="A43" zoomScale="60" zoomScaleNormal="80" zoomScalePageLayoutView="55" workbookViewId="0">
      <selection activeCell="AP280" sqref="AP280"/>
    </sheetView>
  </sheetViews>
  <sheetFormatPr defaultRowHeight="15"/>
  <cols>
    <col min="1" max="1" width="21.28515625" customWidth="1"/>
    <col min="2" max="13" width="15.7109375" customWidth="1"/>
    <col min="14" max="14" width="16.28515625" bestFit="1" customWidth="1"/>
    <col min="15" max="15" width="44.28515625" customWidth="1"/>
    <col min="16" max="16" width="17.85546875" customWidth="1"/>
    <col min="17" max="19" width="16.28515625" bestFit="1" customWidth="1"/>
    <col min="20" max="20" width="15.140625" bestFit="1" customWidth="1"/>
    <col min="257" max="257" width="21.28515625" customWidth="1"/>
    <col min="258" max="269" width="15.7109375" customWidth="1"/>
    <col min="270" max="270" width="16.28515625" bestFit="1" customWidth="1"/>
    <col min="271" max="271" width="18" bestFit="1" customWidth="1"/>
    <col min="272" max="272" width="17.85546875" customWidth="1"/>
    <col min="273" max="275" width="16.28515625" bestFit="1" customWidth="1"/>
    <col min="276" max="276" width="15.140625" bestFit="1" customWidth="1"/>
    <col min="513" max="513" width="21.28515625" customWidth="1"/>
    <col min="514" max="525" width="15.7109375" customWidth="1"/>
    <col min="526" max="526" width="16.28515625" bestFit="1" customWidth="1"/>
    <col min="527" max="527" width="18" bestFit="1" customWidth="1"/>
    <col min="528" max="528" width="17.85546875" customWidth="1"/>
    <col min="529" max="531" width="16.28515625" bestFit="1" customWidth="1"/>
    <col min="532" max="532" width="15.140625" bestFit="1" customWidth="1"/>
    <col min="769" max="769" width="21.28515625" customWidth="1"/>
    <col min="770" max="781" width="15.7109375" customWidth="1"/>
    <col min="782" max="782" width="16.28515625" bestFit="1" customWidth="1"/>
    <col min="783" max="783" width="18" bestFit="1" customWidth="1"/>
    <col min="784" max="784" width="17.85546875" customWidth="1"/>
    <col min="785" max="787" width="16.28515625" bestFit="1" customWidth="1"/>
    <col min="788" max="788" width="15.140625" bestFit="1" customWidth="1"/>
    <col min="1025" max="1025" width="21.28515625" customWidth="1"/>
    <col min="1026" max="1037" width="15.7109375" customWidth="1"/>
    <col min="1038" max="1038" width="16.28515625" bestFit="1" customWidth="1"/>
    <col min="1039" max="1039" width="18" bestFit="1" customWidth="1"/>
    <col min="1040" max="1040" width="17.85546875" customWidth="1"/>
    <col min="1041" max="1043" width="16.28515625" bestFit="1" customWidth="1"/>
    <col min="1044" max="1044" width="15.140625" bestFit="1" customWidth="1"/>
    <col min="1281" max="1281" width="21.28515625" customWidth="1"/>
    <col min="1282" max="1293" width="15.7109375" customWidth="1"/>
    <col min="1294" max="1294" width="16.28515625" bestFit="1" customWidth="1"/>
    <col min="1295" max="1295" width="18" bestFit="1" customWidth="1"/>
    <col min="1296" max="1296" width="17.85546875" customWidth="1"/>
    <col min="1297" max="1299" width="16.28515625" bestFit="1" customWidth="1"/>
    <col min="1300" max="1300" width="15.140625" bestFit="1" customWidth="1"/>
    <col min="1537" max="1537" width="21.28515625" customWidth="1"/>
    <col min="1538" max="1549" width="15.7109375" customWidth="1"/>
    <col min="1550" max="1550" width="16.28515625" bestFit="1" customWidth="1"/>
    <col min="1551" max="1551" width="18" bestFit="1" customWidth="1"/>
    <col min="1552" max="1552" width="17.85546875" customWidth="1"/>
    <col min="1553" max="1555" width="16.28515625" bestFit="1" customWidth="1"/>
    <col min="1556" max="1556" width="15.140625" bestFit="1" customWidth="1"/>
    <col min="1793" max="1793" width="21.28515625" customWidth="1"/>
    <col min="1794" max="1805" width="15.7109375" customWidth="1"/>
    <col min="1806" max="1806" width="16.28515625" bestFit="1" customWidth="1"/>
    <col min="1807" max="1807" width="18" bestFit="1" customWidth="1"/>
    <col min="1808" max="1808" width="17.85546875" customWidth="1"/>
    <col min="1809" max="1811" width="16.28515625" bestFit="1" customWidth="1"/>
    <col min="1812" max="1812" width="15.140625" bestFit="1" customWidth="1"/>
    <col min="2049" max="2049" width="21.28515625" customWidth="1"/>
    <col min="2050" max="2061" width="15.7109375" customWidth="1"/>
    <col min="2062" max="2062" width="16.28515625" bestFit="1" customWidth="1"/>
    <col min="2063" max="2063" width="18" bestFit="1" customWidth="1"/>
    <col min="2064" max="2064" width="17.85546875" customWidth="1"/>
    <col min="2065" max="2067" width="16.28515625" bestFit="1" customWidth="1"/>
    <col min="2068" max="2068" width="15.140625" bestFit="1" customWidth="1"/>
    <col min="2305" max="2305" width="21.28515625" customWidth="1"/>
    <col min="2306" max="2317" width="15.7109375" customWidth="1"/>
    <col min="2318" max="2318" width="16.28515625" bestFit="1" customWidth="1"/>
    <col min="2319" max="2319" width="18" bestFit="1" customWidth="1"/>
    <col min="2320" max="2320" width="17.85546875" customWidth="1"/>
    <col min="2321" max="2323" width="16.28515625" bestFit="1" customWidth="1"/>
    <col min="2324" max="2324" width="15.140625" bestFit="1" customWidth="1"/>
    <col min="2561" max="2561" width="21.28515625" customWidth="1"/>
    <col min="2562" max="2573" width="15.7109375" customWidth="1"/>
    <col min="2574" max="2574" width="16.28515625" bestFit="1" customWidth="1"/>
    <col min="2575" max="2575" width="18" bestFit="1" customWidth="1"/>
    <col min="2576" max="2576" width="17.85546875" customWidth="1"/>
    <col min="2577" max="2579" width="16.28515625" bestFit="1" customWidth="1"/>
    <col min="2580" max="2580" width="15.140625" bestFit="1" customWidth="1"/>
    <col min="2817" max="2817" width="21.28515625" customWidth="1"/>
    <col min="2818" max="2829" width="15.7109375" customWidth="1"/>
    <col min="2830" max="2830" width="16.28515625" bestFit="1" customWidth="1"/>
    <col min="2831" max="2831" width="18" bestFit="1" customWidth="1"/>
    <col min="2832" max="2832" width="17.85546875" customWidth="1"/>
    <col min="2833" max="2835" width="16.28515625" bestFit="1" customWidth="1"/>
    <col min="2836" max="2836" width="15.140625" bestFit="1" customWidth="1"/>
    <col min="3073" max="3073" width="21.28515625" customWidth="1"/>
    <col min="3074" max="3085" width="15.7109375" customWidth="1"/>
    <col min="3086" max="3086" width="16.28515625" bestFit="1" customWidth="1"/>
    <col min="3087" max="3087" width="18" bestFit="1" customWidth="1"/>
    <col min="3088" max="3088" width="17.85546875" customWidth="1"/>
    <col min="3089" max="3091" width="16.28515625" bestFit="1" customWidth="1"/>
    <col min="3092" max="3092" width="15.140625" bestFit="1" customWidth="1"/>
    <col min="3329" max="3329" width="21.28515625" customWidth="1"/>
    <col min="3330" max="3341" width="15.7109375" customWidth="1"/>
    <col min="3342" max="3342" width="16.28515625" bestFit="1" customWidth="1"/>
    <col min="3343" max="3343" width="18" bestFit="1" customWidth="1"/>
    <col min="3344" max="3344" width="17.85546875" customWidth="1"/>
    <col min="3345" max="3347" width="16.28515625" bestFit="1" customWidth="1"/>
    <col min="3348" max="3348" width="15.140625" bestFit="1" customWidth="1"/>
    <col min="3585" max="3585" width="21.28515625" customWidth="1"/>
    <col min="3586" max="3597" width="15.7109375" customWidth="1"/>
    <col min="3598" max="3598" width="16.28515625" bestFit="1" customWidth="1"/>
    <col min="3599" max="3599" width="18" bestFit="1" customWidth="1"/>
    <col min="3600" max="3600" width="17.85546875" customWidth="1"/>
    <col min="3601" max="3603" width="16.28515625" bestFit="1" customWidth="1"/>
    <col min="3604" max="3604" width="15.140625" bestFit="1" customWidth="1"/>
    <col min="3841" max="3841" width="21.28515625" customWidth="1"/>
    <col min="3842" max="3853" width="15.7109375" customWidth="1"/>
    <col min="3854" max="3854" width="16.28515625" bestFit="1" customWidth="1"/>
    <col min="3855" max="3855" width="18" bestFit="1" customWidth="1"/>
    <col min="3856" max="3856" width="17.85546875" customWidth="1"/>
    <col min="3857" max="3859" width="16.28515625" bestFit="1" customWidth="1"/>
    <col min="3860" max="3860" width="15.140625" bestFit="1" customWidth="1"/>
    <col min="4097" max="4097" width="21.28515625" customWidth="1"/>
    <col min="4098" max="4109" width="15.7109375" customWidth="1"/>
    <col min="4110" max="4110" width="16.28515625" bestFit="1" customWidth="1"/>
    <col min="4111" max="4111" width="18" bestFit="1" customWidth="1"/>
    <col min="4112" max="4112" width="17.85546875" customWidth="1"/>
    <col min="4113" max="4115" width="16.28515625" bestFit="1" customWidth="1"/>
    <col min="4116" max="4116" width="15.140625" bestFit="1" customWidth="1"/>
    <col min="4353" max="4353" width="21.28515625" customWidth="1"/>
    <col min="4354" max="4365" width="15.7109375" customWidth="1"/>
    <col min="4366" max="4366" width="16.28515625" bestFit="1" customWidth="1"/>
    <col min="4367" max="4367" width="18" bestFit="1" customWidth="1"/>
    <col min="4368" max="4368" width="17.85546875" customWidth="1"/>
    <col min="4369" max="4371" width="16.28515625" bestFit="1" customWidth="1"/>
    <col min="4372" max="4372" width="15.140625" bestFit="1" customWidth="1"/>
    <col min="4609" max="4609" width="21.28515625" customWidth="1"/>
    <col min="4610" max="4621" width="15.7109375" customWidth="1"/>
    <col min="4622" max="4622" width="16.28515625" bestFit="1" customWidth="1"/>
    <col min="4623" max="4623" width="18" bestFit="1" customWidth="1"/>
    <col min="4624" max="4624" width="17.85546875" customWidth="1"/>
    <col min="4625" max="4627" width="16.28515625" bestFit="1" customWidth="1"/>
    <col min="4628" max="4628" width="15.140625" bestFit="1" customWidth="1"/>
    <col min="4865" max="4865" width="21.28515625" customWidth="1"/>
    <col min="4866" max="4877" width="15.7109375" customWidth="1"/>
    <col min="4878" max="4878" width="16.28515625" bestFit="1" customWidth="1"/>
    <col min="4879" max="4879" width="18" bestFit="1" customWidth="1"/>
    <col min="4880" max="4880" width="17.85546875" customWidth="1"/>
    <col min="4881" max="4883" width="16.28515625" bestFit="1" customWidth="1"/>
    <col min="4884" max="4884" width="15.140625" bestFit="1" customWidth="1"/>
    <col min="5121" max="5121" width="21.28515625" customWidth="1"/>
    <col min="5122" max="5133" width="15.7109375" customWidth="1"/>
    <col min="5134" max="5134" width="16.28515625" bestFit="1" customWidth="1"/>
    <col min="5135" max="5135" width="18" bestFit="1" customWidth="1"/>
    <col min="5136" max="5136" width="17.85546875" customWidth="1"/>
    <col min="5137" max="5139" width="16.28515625" bestFit="1" customWidth="1"/>
    <col min="5140" max="5140" width="15.140625" bestFit="1" customWidth="1"/>
    <col min="5377" max="5377" width="21.28515625" customWidth="1"/>
    <col min="5378" max="5389" width="15.7109375" customWidth="1"/>
    <col min="5390" max="5390" width="16.28515625" bestFit="1" customWidth="1"/>
    <col min="5391" max="5391" width="18" bestFit="1" customWidth="1"/>
    <col min="5392" max="5392" width="17.85546875" customWidth="1"/>
    <col min="5393" max="5395" width="16.28515625" bestFit="1" customWidth="1"/>
    <col min="5396" max="5396" width="15.140625" bestFit="1" customWidth="1"/>
    <col min="5633" max="5633" width="21.28515625" customWidth="1"/>
    <col min="5634" max="5645" width="15.7109375" customWidth="1"/>
    <col min="5646" max="5646" width="16.28515625" bestFit="1" customWidth="1"/>
    <col min="5647" max="5647" width="18" bestFit="1" customWidth="1"/>
    <col min="5648" max="5648" width="17.85546875" customWidth="1"/>
    <col min="5649" max="5651" width="16.28515625" bestFit="1" customWidth="1"/>
    <col min="5652" max="5652" width="15.140625" bestFit="1" customWidth="1"/>
    <col min="5889" max="5889" width="21.28515625" customWidth="1"/>
    <col min="5890" max="5901" width="15.7109375" customWidth="1"/>
    <col min="5902" max="5902" width="16.28515625" bestFit="1" customWidth="1"/>
    <col min="5903" max="5903" width="18" bestFit="1" customWidth="1"/>
    <col min="5904" max="5904" width="17.85546875" customWidth="1"/>
    <col min="5905" max="5907" width="16.28515625" bestFit="1" customWidth="1"/>
    <col min="5908" max="5908" width="15.140625" bestFit="1" customWidth="1"/>
    <col min="6145" max="6145" width="21.28515625" customWidth="1"/>
    <col min="6146" max="6157" width="15.7109375" customWidth="1"/>
    <col min="6158" max="6158" width="16.28515625" bestFit="1" customWidth="1"/>
    <col min="6159" max="6159" width="18" bestFit="1" customWidth="1"/>
    <col min="6160" max="6160" width="17.85546875" customWidth="1"/>
    <col min="6161" max="6163" width="16.28515625" bestFit="1" customWidth="1"/>
    <col min="6164" max="6164" width="15.140625" bestFit="1" customWidth="1"/>
    <col min="6401" max="6401" width="21.28515625" customWidth="1"/>
    <col min="6402" max="6413" width="15.7109375" customWidth="1"/>
    <col min="6414" max="6414" width="16.28515625" bestFit="1" customWidth="1"/>
    <col min="6415" max="6415" width="18" bestFit="1" customWidth="1"/>
    <col min="6416" max="6416" width="17.85546875" customWidth="1"/>
    <col min="6417" max="6419" width="16.28515625" bestFit="1" customWidth="1"/>
    <col min="6420" max="6420" width="15.140625" bestFit="1" customWidth="1"/>
    <col min="6657" max="6657" width="21.28515625" customWidth="1"/>
    <col min="6658" max="6669" width="15.7109375" customWidth="1"/>
    <col min="6670" max="6670" width="16.28515625" bestFit="1" customWidth="1"/>
    <col min="6671" max="6671" width="18" bestFit="1" customWidth="1"/>
    <col min="6672" max="6672" width="17.85546875" customWidth="1"/>
    <col min="6673" max="6675" width="16.28515625" bestFit="1" customWidth="1"/>
    <col min="6676" max="6676" width="15.140625" bestFit="1" customWidth="1"/>
    <col min="6913" max="6913" width="21.28515625" customWidth="1"/>
    <col min="6914" max="6925" width="15.7109375" customWidth="1"/>
    <col min="6926" max="6926" width="16.28515625" bestFit="1" customWidth="1"/>
    <col min="6927" max="6927" width="18" bestFit="1" customWidth="1"/>
    <col min="6928" max="6928" width="17.85546875" customWidth="1"/>
    <col min="6929" max="6931" width="16.28515625" bestFit="1" customWidth="1"/>
    <col min="6932" max="6932" width="15.140625" bestFit="1" customWidth="1"/>
    <col min="7169" max="7169" width="21.28515625" customWidth="1"/>
    <col min="7170" max="7181" width="15.7109375" customWidth="1"/>
    <col min="7182" max="7182" width="16.28515625" bestFit="1" customWidth="1"/>
    <col min="7183" max="7183" width="18" bestFit="1" customWidth="1"/>
    <col min="7184" max="7184" width="17.85546875" customWidth="1"/>
    <col min="7185" max="7187" width="16.28515625" bestFit="1" customWidth="1"/>
    <col min="7188" max="7188" width="15.140625" bestFit="1" customWidth="1"/>
    <col min="7425" max="7425" width="21.28515625" customWidth="1"/>
    <col min="7426" max="7437" width="15.7109375" customWidth="1"/>
    <col min="7438" max="7438" width="16.28515625" bestFit="1" customWidth="1"/>
    <col min="7439" max="7439" width="18" bestFit="1" customWidth="1"/>
    <col min="7440" max="7440" width="17.85546875" customWidth="1"/>
    <col min="7441" max="7443" width="16.28515625" bestFit="1" customWidth="1"/>
    <col min="7444" max="7444" width="15.140625" bestFit="1" customWidth="1"/>
    <col min="7681" max="7681" width="21.28515625" customWidth="1"/>
    <col min="7682" max="7693" width="15.7109375" customWidth="1"/>
    <col min="7694" max="7694" width="16.28515625" bestFit="1" customWidth="1"/>
    <col min="7695" max="7695" width="18" bestFit="1" customWidth="1"/>
    <col min="7696" max="7696" width="17.85546875" customWidth="1"/>
    <col min="7697" max="7699" width="16.28515625" bestFit="1" customWidth="1"/>
    <col min="7700" max="7700" width="15.140625" bestFit="1" customWidth="1"/>
    <col min="7937" max="7937" width="21.28515625" customWidth="1"/>
    <col min="7938" max="7949" width="15.7109375" customWidth="1"/>
    <col min="7950" max="7950" width="16.28515625" bestFit="1" customWidth="1"/>
    <col min="7951" max="7951" width="18" bestFit="1" customWidth="1"/>
    <col min="7952" max="7952" width="17.85546875" customWidth="1"/>
    <col min="7953" max="7955" width="16.28515625" bestFit="1" customWidth="1"/>
    <col min="7956" max="7956" width="15.140625" bestFit="1" customWidth="1"/>
    <col min="8193" max="8193" width="21.28515625" customWidth="1"/>
    <col min="8194" max="8205" width="15.7109375" customWidth="1"/>
    <col min="8206" max="8206" width="16.28515625" bestFit="1" customWidth="1"/>
    <col min="8207" max="8207" width="18" bestFit="1" customWidth="1"/>
    <col min="8208" max="8208" width="17.85546875" customWidth="1"/>
    <col min="8209" max="8211" width="16.28515625" bestFit="1" customWidth="1"/>
    <col min="8212" max="8212" width="15.140625" bestFit="1" customWidth="1"/>
    <col min="8449" max="8449" width="21.28515625" customWidth="1"/>
    <col min="8450" max="8461" width="15.7109375" customWidth="1"/>
    <col min="8462" max="8462" width="16.28515625" bestFit="1" customWidth="1"/>
    <col min="8463" max="8463" width="18" bestFit="1" customWidth="1"/>
    <col min="8464" max="8464" width="17.85546875" customWidth="1"/>
    <col min="8465" max="8467" width="16.28515625" bestFit="1" customWidth="1"/>
    <col min="8468" max="8468" width="15.140625" bestFit="1" customWidth="1"/>
    <col min="8705" max="8705" width="21.28515625" customWidth="1"/>
    <col min="8706" max="8717" width="15.7109375" customWidth="1"/>
    <col min="8718" max="8718" width="16.28515625" bestFit="1" customWidth="1"/>
    <col min="8719" max="8719" width="18" bestFit="1" customWidth="1"/>
    <col min="8720" max="8720" width="17.85546875" customWidth="1"/>
    <col min="8721" max="8723" width="16.28515625" bestFit="1" customWidth="1"/>
    <col min="8724" max="8724" width="15.140625" bestFit="1" customWidth="1"/>
    <col min="8961" max="8961" width="21.28515625" customWidth="1"/>
    <col min="8962" max="8973" width="15.7109375" customWidth="1"/>
    <col min="8974" max="8974" width="16.28515625" bestFit="1" customWidth="1"/>
    <col min="8975" max="8975" width="18" bestFit="1" customWidth="1"/>
    <col min="8976" max="8976" width="17.85546875" customWidth="1"/>
    <col min="8977" max="8979" width="16.28515625" bestFit="1" customWidth="1"/>
    <col min="8980" max="8980" width="15.140625" bestFit="1" customWidth="1"/>
    <col min="9217" max="9217" width="21.28515625" customWidth="1"/>
    <col min="9218" max="9229" width="15.7109375" customWidth="1"/>
    <col min="9230" max="9230" width="16.28515625" bestFit="1" customWidth="1"/>
    <col min="9231" max="9231" width="18" bestFit="1" customWidth="1"/>
    <col min="9232" max="9232" width="17.85546875" customWidth="1"/>
    <col min="9233" max="9235" width="16.28515625" bestFit="1" customWidth="1"/>
    <col min="9236" max="9236" width="15.140625" bestFit="1" customWidth="1"/>
    <col min="9473" max="9473" width="21.28515625" customWidth="1"/>
    <col min="9474" max="9485" width="15.7109375" customWidth="1"/>
    <col min="9486" max="9486" width="16.28515625" bestFit="1" customWidth="1"/>
    <col min="9487" max="9487" width="18" bestFit="1" customWidth="1"/>
    <col min="9488" max="9488" width="17.85546875" customWidth="1"/>
    <col min="9489" max="9491" width="16.28515625" bestFit="1" customWidth="1"/>
    <col min="9492" max="9492" width="15.140625" bestFit="1" customWidth="1"/>
    <col min="9729" max="9729" width="21.28515625" customWidth="1"/>
    <col min="9730" max="9741" width="15.7109375" customWidth="1"/>
    <col min="9742" max="9742" width="16.28515625" bestFit="1" customWidth="1"/>
    <col min="9743" max="9743" width="18" bestFit="1" customWidth="1"/>
    <col min="9744" max="9744" width="17.85546875" customWidth="1"/>
    <col min="9745" max="9747" width="16.28515625" bestFit="1" customWidth="1"/>
    <col min="9748" max="9748" width="15.140625" bestFit="1" customWidth="1"/>
    <col min="9985" max="9985" width="21.28515625" customWidth="1"/>
    <col min="9986" max="9997" width="15.7109375" customWidth="1"/>
    <col min="9998" max="9998" width="16.28515625" bestFit="1" customWidth="1"/>
    <col min="9999" max="9999" width="18" bestFit="1" customWidth="1"/>
    <col min="10000" max="10000" width="17.85546875" customWidth="1"/>
    <col min="10001" max="10003" width="16.28515625" bestFit="1" customWidth="1"/>
    <col min="10004" max="10004" width="15.140625" bestFit="1" customWidth="1"/>
    <col min="10241" max="10241" width="21.28515625" customWidth="1"/>
    <col min="10242" max="10253" width="15.7109375" customWidth="1"/>
    <col min="10254" max="10254" width="16.28515625" bestFit="1" customWidth="1"/>
    <col min="10255" max="10255" width="18" bestFit="1" customWidth="1"/>
    <col min="10256" max="10256" width="17.85546875" customWidth="1"/>
    <col min="10257" max="10259" width="16.28515625" bestFit="1" customWidth="1"/>
    <col min="10260" max="10260" width="15.140625" bestFit="1" customWidth="1"/>
    <col min="10497" max="10497" width="21.28515625" customWidth="1"/>
    <col min="10498" max="10509" width="15.7109375" customWidth="1"/>
    <col min="10510" max="10510" width="16.28515625" bestFit="1" customWidth="1"/>
    <col min="10511" max="10511" width="18" bestFit="1" customWidth="1"/>
    <col min="10512" max="10512" width="17.85546875" customWidth="1"/>
    <col min="10513" max="10515" width="16.28515625" bestFit="1" customWidth="1"/>
    <col min="10516" max="10516" width="15.140625" bestFit="1" customWidth="1"/>
    <col min="10753" max="10753" width="21.28515625" customWidth="1"/>
    <col min="10754" max="10765" width="15.7109375" customWidth="1"/>
    <col min="10766" max="10766" width="16.28515625" bestFit="1" customWidth="1"/>
    <col min="10767" max="10767" width="18" bestFit="1" customWidth="1"/>
    <col min="10768" max="10768" width="17.85546875" customWidth="1"/>
    <col min="10769" max="10771" width="16.28515625" bestFit="1" customWidth="1"/>
    <col min="10772" max="10772" width="15.140625" bestFit="1" customWidth="1"/>
    <col min="11009" max="11009" width="21.28515625" customWidth="1"/>
    <col min="11010" max="11021" width="15.7109375" customWidth="1"/>
    <col min="11022" max="11022" width="16.28515625" bestFit="1" customWidth="1"/>
    <col min="11023" max="11023" width="18" bestFit="1" customWidth="1"/>
    <col min="11024" max="11024" width="17.85546875" customWidth="1"/>
    <col min="11025" max="11027" width="16.28515625" bestFit="1" customWidth="1"/>
    <col min="11028" max="11028" width="15.140625" bestFit="1" customWidth="1"/>
    <col min="11265" max="11265" width="21.28515625" customWidth="1"/>
    <col min="11266" max="11277" width="15.7109375" customWidth="1"/>
    <col min="11278" max="11278" width="16.28515625" bestFit="1" customWidth="1"/>
    <col min="11279" max="11279" width="18" bestFit="1" customWidth="1"/>
    <col min="11280" max="11280" width="17.85546875" customWidth="1"/>
    <col min="11281" max="11283" width="16.28515625" bestFit="1" customWidth="1"/>
    <col min="11284" max="11284" width="15.140625" bestFit="1" customWidth="1"/>
    <col min="11521" max="11521" width="21.28515625" customWidth="1"/>
    <col min="11522" max="11533" width="15.7109375" customWidth="1"/>
    <col min="11534" max="11534" width="16.28515625" bestFit="1" customWidth="1"/>
    <col min="11535" max="11535" width="18" bestFit="1" customWidth="1"/>
    <col min="11536" max="11536" width="17.85546875" customWidth="1"/>
    <col min="11537" max="11539" width="16.28515625" bestFit="1" customWidth="1"/>
    <col min="11540" max="11540" width="15.140625" bestFit="1" customWidth="1"/>
    <col min="11777" max="11777" width="21.28515625" customWidth="1"/>
    <col min="11778" max="11789" width="15.7109375" customWidth="1"/>
    <col min="11790" max="11790" width="16.28515625" bestFit="1" customWidth="1"/>
    <col min="11791" max="11791" width="18" bestFit="1" customWidth="1"/>
    <col min="11792" max="11792" width="17.85546875" customWidth="1"/>
    <col min="11793" max="11795" width="16.28515625" bestFit="1" customWidth="1"/>
    <col min="11796" max="11796" width="15.140625" bestFit="1" customWidth="1"/>
    <col min="12033" max="12033" width="21.28515625" customWidth="1"/>
    <col min="12034" max="12045" width="15.7109375" customWidth="1"/>
    <col min="12046" max="12046" width="16.28515625" bestFit="1" customWidth="1"/>
    <col min="12047" max="12047" width="18" bestFit="1" customWidth="1"/>
    <col min="12048" max="12048" width="17.85546875" customWidth="1"/>
    <col min="12049" max="12051" width="16.28515625" bestFit="1" customWidth="1"/>
    <col min="12052" max="12052" width="15.140625" bestFit="1" customWidth="1"/>
    <col min="12289" max="12289" width="21.28515625" customWidth="1"/>
    <col min="12290" max="12301" width="15.7109375" customWidth="1"/>
    <col min="12302" max="12302" width="16.28515625" bestFit="1" customWidth="1"/>
    <col min="12303" max="12303" width="18" bestFit="1" customWidth="1"/>
    <col min="12304" max="12304" width="17.85546875" customWidth="1"/>
    <col min="12305" max="12307" width="16.28515625" bestFit="1" customWidth="1"/>
    <col min="12308" max="12308" width="15.140625" bestFit="1" customWidth="1"/>
    <col min="12545" max="12545" width="21.28515625" customWidth="1"/>
    <col min="12546" max="12557" width="15.7109375" customWidth="1"/>
    <col min="12558" max="12558" width="16.28515625" bestFit="1" customWidth="1"/>
    <col min="12559" max="12559" width="18" bestFit="1" customWidth="1"/>
    <col min="12560" max="12560" width="17.85546875" customWidth="1"/>
    <col min="12561" max="12563" width="16.28515625" bestFit="1" customWidth="1"/>
    <col min="12564" max="12564" width="15.140625" bestFit="1" customWidth="1"/>
    <col min="12801" max="12801" width="21.28515625" customWidth="1"/>
    <col min="12802" max="12813" width="15.7109375" customWidth="1"/>
    <col min="12814" max="12814" width="16.28515625" bestFit="1" customWidth="1"/>
    <col min="12815" max="12815" width="18" bestFit="1" customWidth="1"/>
    <col min="12816" max="12816" width="17.85546875" customWidth="1"/>
    <col min="12817" max="12819" width="16.28515625" bestFit="1" customWidth="1"/>
    <col min="12820" max="12820" width="15.140625" bestFit="1" customWidth="1"/>
    <col min="13057" max="13057" width="21.28515625" customWidth="1"/>
    <col min="13058" max="13069" width="15.7109375" customWidth="1"/>
    <col min="13070" max="13070" width="16.28515625" bestFit="1" customWidth="1"/>
    <col min="13071" max="13071" width="18" bestFit="1" customWidth="1"/>
    <col min="13072" max="13072" width="17.85546875" customWidth="1"/>
    <col min="13073" max="13075" width="16.28515625" bestFit="1" customWidth="1"/>
    <col min="13076" max="13076" width="15.140625" bestFit="1" customWidth="1"/>
    <col min="13313" max="13313" width="21.28515625" customWidth="1"/>
    <col min="13314" max="13325" width="15.7109375" customWidth="1"/>
    <col min="13326" max="13326" width="16.28515625" bestFit="1" customWidth="1"/>
    <col min="13327" max="13327" width="18" bestFit="1" customWidth="1"/>
    <col min="13328" max="13328" width="17.85546875" customWidth="1"/>
    <col min="13329" max="13331" width="16.28515625" bestFit="1" customWidth="1"/>
    <col min="13332" max="13332" width="15.140625" bestFit="1" customWidth="1"/>
    <col min="13569" max="13569" width="21.28515625" customWidth="1"/>
    <col min="13570" max="13581" width="15.7109375" customWidth="1"/>
    <col min="13582" max="13582" width="16.28515625" bestFit="1" customWidth="1"/>
    <col min="13583" max="13583" width="18" bestFit="1" customWidth="1"/>
    <col min="13584" max="13584" width="17.85546875" customWidth="1"/>
    <col min="13585" max="13587" width="16.28515625" bestFit="1" customWidth="1"/>
    <col min="13588" max="13588" width="15.140625" bestFit="1" customWidth="1"/>
    <col min="13825" max="13825" width="21.28515625" customWidth="1"/>
    <col min="13826" max="13837" width="15.7109375" customWidth="1"/>
    <col min="13838" max="13838" width="16.28515625" bestFit="1" customWidth="1"/>
    <col min="13839" max="13839" width="18" bestFit="1" customWidth="1"/>
    <col min="13840" max="13840" width="17.85546875" customWidth="1"/>
    <col min="13841" max="13843" width="16.28515625" bestFit="1" customWidth="1"/>
    <col min="13844" max="13844" width="15.140625" bestFit="1" customWidth="1"/>
    <col min="14081" max="14081" width="21.28515625" customWidth="1"/>
    <col min="14082" max="14093" width="15.7109375" customWidth="1"/>
    <col min="14094" max="14094" width="16.28515625" bestFit="1" customWidth="1"/>
    <col min="14095" max="14095" width="18" bestFit="1" customWidth="1"/>
    <col min="14096" max="14096" width="17.85546875" customWidth="1"/>
    <col min="14097" max="14099" width="16.28515625" bestFit="1" customWidth="1"/>
    <col min="14100" max="14100" width="15.140625" bestFit="1" customWidth="1"/>
    <col min="14337" max="14337" width="21.28515625" customWidth="1"/>
    <col min="14338" max="14349" width="15.7109375" customWidth="1"/>
    <col min="14350" max="14350" width="16.28515625" bestFit="1" customWidth="1"/>
    <col min="14351" max="14351" width="18" bestFit="1" customWidth="1"/>
    <col min="14352" max="14352" width="17.85546875" customWidth="1"/>
    <col min="14353" max="14355" width="16.28515625" bestFit="1" customWidth="1"/>
    <col min="14356" max="14356" width="15.140625" bestFit="1" customWidth="1"/>
    <col min="14593" max="14593" width="21.28515625" customWidth="1"/>
    <col min="14594" max="14605" width="15.7109375" customWidth="1"/>
    <col min="14606" max="14606" width="16.28515625" bestFit="1" customWidth="1"/>
    <col min="14607" max="14607" width="18" bestFit="1" customWidth="1"/>
    <col min="14608" max="14608" width="17.85546875" customWidth="1"/>
    <col min="14609" max="14611" width="16.28515625" bestFit="1" customWidth="1"/>
    <col min="14612" max="14612" width="15.140625" bestFit="1" customWidth="1"/>
    <col min="14849" max="14849" width="21.28515625" customWidth="1"/>
    <col min="14850" max="14861" width="15.7109375" customWidth="1"/>
    <col min="14862" max="14862" width="16.28515625" bestFit="1" customWidth="1"/>
    <col min="14863" max="14863" width="18" bestFit="1" customWidth="1"/>
    <col min="14864" max="14864" width="17.85546875" customWidth="1"/>
    <col min="14865" max="14867" width="16.28515625" bestFit="1" customWidth="1"/>
    <col min="14868" max="14868" width="15.140625" bestFit="1" customWidth="1"/>
    <col min="15105" max="15105" width="21.28515625" customWidth="1"/>
    <col min="15106" max="15117" width="15.7109375" customWidth="1"/>
    <col min="15118" max="15118" width="16.28515625" bestFit="1" customWidth="1"/>
    <col min="15119" max="15119" width="18" bestFit="1" customWidth="1"/>
    <col min="15120" max="15120" width="17.85546875" customWidth="1"/>
    <col min="15121" max="15123" width="16.28515625" bestFit="1" customWidth="1"/>
    <col min="15124" max="15124" width="15.140625" bestFit="1" customWidth="1"/>
    <col min="15361" max="15361" width="21.28515625" customWidth="1"/>
    <col min="15362" max="15373" width="15.7109375" customWidth="1"/>
    <col min="15374" max="15374" width="16.28515625" bestFit="1" customWidth="1"/>
    <col min="15375" max="15375" width="18" bestFit="1" customWidth="1"/>
    <col min="15376" max="15376" width="17.85546875" customWidth="1"/>
    <col min="15377" max="15379" width="16.28515625" bestFit="1" customWidth="1"/>
    <col min="15380" max="15380" width="15.140625" bestFit="1" customWidth="1"/>
    <col min="15617" max="15617" width="21.28515625" customWidth="1"/>
    <col min="15618" max="15629" width="15.7109375" customWidth="1"/>
    <col min="15630" max="15630" width="16.28515625" bestFit="1" customWidth="1"/>
    <col min="15631" max="15631" width="18" bestFit="1" customWidth="1"/>
    <col min="15632" max="15632" width="17.85546875" customWidth="1"/>
    <col min="15633" max="15635" width="16.28515625" bestFit="1" customWidth="1"/>
    <col min="15636" max="15636" width="15.140625" bestFit="1" customWidth="1"/>
    <col min="15873" max="15873" width="21.28515625" customWidth="1"/>
    <col min="15874" max="15885" width="15.7109375" customWidth="1"/>
    <col min="15886" max="15886" width="16.28515625" bestFit="1" customWidth="1"/>
    <col min="15887" max="15887" width="18" bestFit="1" customWidth="1"/>
    <col min="15888" max="15888" width="17.85546875" customWidth="1"/>
    <col min="15889" max="15891" width="16.28515625" bestFit="1" customWidth="1"/>
    <col min="15892" max="15892" width="15.140625" bestFit="1" customWidth="1"/>
    <col min="16129" max="16129" width="21.28515625" customWidth="1"/>
    <col min="16130" max="16141" width="15.7109375" customWidth="1"/>
    <col min="16142" max="16142" width="16.28515625" bestFit="1" customWidth="1"/>
    <col min="16143" max="16143" width="18" bestFit="1" customWidth="1"/>
    <col min="16144" max="16144" width="17.85546875" customWidth="1"/>
    <col min="16145" max="16147" width="16.28515625" bestFit="1" customWidth="1"/>
    <col min="16148" max="16148" width="15.140625" bestFit="1" customWidth="1"/>
  </cols>
  <sheetData>
    <row r="1" spans="1:17" ht="18">
      <c r="A1" s="1562" t="s">
        <v>1776</v>
      </c>
      <c r="B1" s="1563"/>
      <c r="C1" s="1563"/>
      <c r="D1" s="1563"/>
      <c r="E1" s="1563"/>
      <c r="F1" s="1563"/>
      <c r="G1" s="1563"/>
      <c r="H1" s="1563"/>
      <c r="I1" s="1563"/>
      <c r="J1" s="1563"/>
      <c r="K1" s="1563"/>
      <c r="L1" s="1563"/>
      <c r="M1" s="1563"/>
      <c r="N1" s="220"/>
      <c r="O1" s="220"/>
      <c r="P1" s="220"/>
      <c r="Q1" s="220"/>
    </row>
    <row r="2" spans="1:17" ht="18">
      <c r="A2" s="1562" t="s">
        <v>1777</v>
      </c>
      <c r="B2" s="1563"/>
      <c r="C2" s="1563"/>
      <c r="D2" s="1563"/>
      <c r="E2" s="1563"/>
      <c r="F2" s="1563"/>
      <c r="G2" s="1563"/>
      <c r="H2" s="1563"/>
      <c r="I2" s="1563"/>
      <c r="J2" s="1563"/>
      <c r="K2" s="1563"/>
      <c r="L2" s="1563"/>
      <c r="M2" s="1563"/>
      <c r="N2" s="220"/>
      <c r="O2" s="220"/>
      <c r="P2" s="220"/>
      <c r="Q2" s="220"/>
    </row>
    <row r="3" spans="1:17">
      <c r="A3" s="838"/>
      <c r="B3" s="838"/>
      <c r="C3" s="838"/>
      <c r="D3" s="838"/>
      <c r="E3" s="838"/>
      <c r="F3" s="838"/>
      <c r="G3" s="838"/>
      <c r="H3" s="838"/>
      <c r="I3" s="838"/>
      <c r="J3" s="838"/>
      <c r="K3" s="838"/>
      <c r="L3" s="838"/>
      <c r="M3" s="838"/>
      <c r="N3" s="220"/>
      <c r="O3" s="220"/>
      <c r="P3" s="220"/>
      <c r="Q3" s="220"/>
    </row>
    <row r="4" spans="1:17" ht="18">
      <c r="A4" s="1562" t="s">
        <v>1778</v>
      </c>
      <c r="B4" s="1563"/>
      <c r="C4" s="1563"/>
      <c r="D4" s="1563"/>
      <c r="E4" s="1563"/>
      <c r="F4" s="1563"/>
      <c r="G4" s="1563"/>
      <c r="H4" s="1563"/>
      <c r="I4" s="1563"/>
      <c r="J4" s="1563"/>
      <c r="K4" s="1563"/>
      <c r="L4" s="1563"/>
      <c r="M4" s="1563"/>
      <c r="N4" s="220"/>
      <c r="O4" s="220"/>
      <c r="P4" s="220"/>
      <c r="Q4" s="220"/>
    </row>
    <row r="5" spans="1:17">
      <c r="A5" s="838"/>
      <c r="B5" s="838"/>
      <c r="C5" s="838"/>
      <c r="D5" s="838"/>
      <c r="E5" s="838"/>
      <c r="F5" s="838"/>
      <c r="G5" s="838"/>
      <c r="H5" s="838"/>
      <c r="I5" s="838"/>
      <c r="J5" s="838"/>
      <c r="K5" s="838"/>
      <c r="L5" s="838"/>
      <c r="M5" s="838"/>
      <c r="N5" s="220"/>
      <c r="O5" s="220"/>
      <c r="P5" s="220"/>
      <c r="Q5" s="220"/>
    </row>
    <row r="6" spans="1:17">
      <c r="A6" s="1447" t="s">
        <v>1779</v>
      </c>
      <c r="B6" s="1448">
        <v>2018</v>
      </c>
      <c r="C6" s="1449">
        <v>2019</v>
      </c>
      <c r="D6" s="1449"/>
      <c r="E6" s="1449"/>
      <c r="F6" s="1449"/>
      <c r="G6" s="1449"/>
      <c r="H6" s="1449"/>
      <c r="I6" s="1449"/>
      <c r="J6" s="1449"/>
      <c r="K6" s="1449"/>
      <c r="L6" s="1449"/>
      <c r="M6" s="1449"/>
      <c r="N6" s="1450"/>
      <c r="O6" s="840"/>
      <c r="P6" s="220"/>
      <c r="Q6" s="220"/>
    </row>
    <row r="7" spans="1:17">
      <c r="A7" s="1451" t="s">
        <v>313</v>
      </c>
      <c r="B7" s="1452">
        <v>12</v>
      </c>
      <c r="C7" s="1452">
        <v>1</v>
      </c>
      <c r="D7" s="1452">
        <v>2</v>
      </c>
      <c r="E7" s="1452">
        <v>3</v>
      </c>
      <c r="F7" s="1452">
        <v>4</v>
      </c>
      <c r="G7" s="1452">
        <v>5</v>
      </c>
      <c r="H7" s="1452">
        <v>6</v>
      </c>
      <c r="I7" s="1452">
        <v>7</v>
      </c>
      <c r="J7" s="1452">
        <v>8</v>
      </c>
      <c r="K7" s="1452">
        <v>9</v>
      </c>
      <c r="L7" s="1452">
        <v>10</v>
      </c>
      <c r="M7" s="1452">
        <v>11</v>
      </c>
      <c r="N7" s="1453" t="s">
        <v>1780</v>
      </c>
      <c r="O7" s="840"/>
      <c r="P7" s="220"/>
      <c r="Q7" s="220"/>
    </row>
    <row r="8" spans="1:17" s="222" customFormat="1" ht="12.75">
      <c r="A8" s="1434" t="s">
        <v>7</v>
      </c>
      <c r="B8" s="1435">
        <v>43435</v>
      </c>
      <c r="C8" s="1435">
        <v>43466</v>
      </c>
      <c r="D8" s="1435">
        <v>43497</v>
      </c>
      <c r="E8" s="1435">
        <v>43525</v>
      </c>
      <c r="F8" s="1435">
        <v>43556</v>
      </c>
      <c r="G8" s="1435">
        <v>43586</v>
      </c>
      <c r="H8" s="1435">
        <v>43617</v>
      </c>
      <c r="I8" s="1435">
        <v>43647</v>
      </c>
      <c r="J8" s="1435">
        <v>43678</v>
      </c>
      <c r="K8" s="1435">
        <v>43709</v>
      </c>
      <c r="L8" s="1435">
        <v>43739</v>
      </c>
      <c r="M8" s="1435">
        <v>43770</v>
      </c>
      <c r="N8" s="1436" t="s">
        <v>1781</v>
      </c>
      <c r="O8" s="843"/>
    </row>
    <row r="9" spans="1:17">
      <c r="A9" s="1451" t="s">
        <v>351</v>
      </c>
      <c r="B9" s="1440">
        <v>1374.46</v>
      </c>
      <c r="C9" s="1440">
        <v>1674.07</v>
      </c>
      <c r="D9" s="1440">
        <v>1267.8399999999999</v>
      </c>
      <c r="E9" s="1440">
        <v>1546.28</v>
      </c>
      <c r="F9" s="1440">
        <v>1577.76</v>
      </c>
      <c r="G9" s="1440">
        <v>1659.87</v>
      </c>
      <c r="H9" s="1440">
        <v>1542.13</v>
      </c>
      <c r="I9" s="1440">
        <v>1582.13</v>
      </c>
      <c r="J9" s="1440">
        <v>1706.08</v>
      </c>
      <c r="K9" s="1440">
        <v>1617.64</v>
      </c>
      <c r="L9" s="1440">
        <v>1534.85</v>
      </c>
      <c r="M9" s="1440">
        <v>1417.38</v>
      </c>
      <c r="N9" s="1454">
        <f>SUM(B9:M9)</f>
        <v>18500.490000000002</v>
      </c>
      <c r="O9" s="840"/>
      <c r="P9" s="1564" t="s">
        <v>1782</v>
      </c>
      <c r="Q9" s="1564"/>
    </row>
    <row r="10" spans="1:17" s="553" customFormat="1">
      <c r="A10" s="1455" t="s">
        <v>342</v>
      </c>
      <c r="B10" s="1456">
        <v>157.38</v>
      </c>
      <c r="C10" s="1456">
        <v>157.38</v>
      </c>
      <c r="D10" s="1456">
        <v>157.38</v>
      </c>
      <c r="E10" s="1456">
        <v>164.34</v>
      </c>
      <c r="F10" s="1456">
        <v>164.34</v>
      </c>
      <c r="G10" s="1456">
        <v>164.34</v>
      </c>
      <c r="H10" s="1456">
        <v>164.34</v>
      </c>
      <c r="I10" s="1456">
        <v>164.34</v>
      </c>
      <c r="J10" s="1456">
        <v>164.34</v>
      </c>
      <c r="K10" s="1456">
        <v>164.34</v>
      </c>
      <c r="L10" s="1456">
        <v>164.34</v>
      </c>
      <c r="M10" s="1456">
        <v>164.34</v>
      </c>
      <c r="N10" s="1457"/>
      <c r="P10" s="847" t="s">
        <v>1783</v>
      </c>
      <c r="Q10" s="215">
        <f>N14+N19</f>
        <v>75044.530000000013</v>
      </c>
    </row>
    <row r="11" spans="1:17" s="553" customFormat="1">
      <c r="A11" s="1455" t="s">
        <v>1784</v>
      </c>
      <c r="B11" s="1458">
        <f>ROUND(B9*B10,2)</f>
        <v>216312.51</v>
      </c>
      <c r="C11" s="1459">
        <f t="shared" ref="C11:M11" si="0">ROUND(C9*C10,2)</f>
        <v>263465.14</v>
      </c>
      <c r="D11" s="1459">
        <f t="shared" si="0"/>
        <v>199532.66</v>
      </c>
      <c r="E11" s="1459">
        <f t="shared" si="0"/>
        <v>254115.66</v>
      </c>
      <c r="F11" s="1459">
        <f t="shared" si="0"/>
        <v>259289.08</v>
      </c>
      <c r="G11" s="1459">
        <f t="shared" si="0"/>
        <v>272783.03999999998</v>
      </c>
      <c r="H11" s="1459">
        <f t="shared" si="0"/>
        <v>253433.64</v>
      </c>
      <c r="I11" s="1459">
        <f t="shared" si="0"/>
        <v>260007.24</v>
      </c>
      <c r="J11" s="1459">
        <f t="shared" si="0"/>
        <v>280377.19</v>
      </c>
      <c r="K11" s="1459">
        <f t="shared" si="0"/>
        <v>265842.96000000002</v>
      </c>
      <c r="L11" s="1459">
        <f t="shared" si="0"/>
        <v>252237.25</v>
      </c>
      <c r="M11" s="1459">
        <f t="shared" si="0"/>
        <v>232932.23</v>
      </c>
      <c r="N11" s="1460">
        <f>SUM(B11:M11)</f>
        <v>3010328.6</v>
      </c>
      <c r="P11" s="847" t="s">
        <v>1785</v>
      </c>
      <c r="Q11" s="215">
        <f>N9</f>
        <v>18500.490000000002</v>
      </c>
    </row>
    <row r="12" spans="1:17">
      <c r="A12" s="1451"/>
      <c r="B12" s="1461"/>
      <c r="C12" s="1462"/>
      <c r="D12" s="1462"/>
      <c r="E12" s="1462"/>
      <c r="F12" s="1462"/>
      <c r="G12" s="1462"/>
      <c r="H12" s="1462"/>
      <c r="I12" s="1462"/>
      <c r="J12" s="1462"/>
      <c r="K12" s="1462"/>
      <c r="L12" s="1462"/>
      <c r="M12" s="1462"/>
      <c r="N12" s="1463"/>
      <c r="O12" s="220"/>
      <c r="P12" s="236" t="s">
        <v>1786</v>
      </c>
      <c r="Q12" s="215">
        <f>N32</f>
        <v>5726.24</v>
      </c>
    </row>
    <row r="13" spans="1:17">
      <c r="A13" s="1434" t="s">
        <v>1787</v>
      </c>
      <c r="B13" s="1452"/>
      <c r="C13" s="1452"/>
      <c r="D13" s="1452"/>
      <c r="E13" s="1452"/>
      <c r="F13" s="1452"/>
      <c r="G13" s="1452"/>
      <c r="H13" s="1452"/>
      <c r="I13" s="1452"/>
      <c r="J13" s="1452"/>
      <c r="K13" s="1452"/>
      <c r="L13" s="1452"/>
      <c r="M13" s="1452"/>
      <c r="N13" s="1453"/>
      <c r="O13" s="220"/>
      <c r="P13" s="236" t="s">
        <v>1788</v>
      </c>
      <c r="Q13" s="215">
        <f>P25+Q25</f>
        <v>1402.1599999999999</v>
      </c>
    </row>
    <row r="14" spans="1:17">
      <c r="A14" s="1451" t="s">
        <v>351</v>
      </c>
      <c r="B14" s="1440">
        <v>4099.88</v>
      </c>
      <c r="C14" s="1440">
        <v>4646.26</v>
      </c>
      <c r="D14" s="1440">
        <v>3692.1</v>
      </c>
      <c r="E14" s="1440">
        <v>4184.4799999999996</v>
      </c>
      <c r="F14" s="1440">
        <v>4480.3999999999996</v>
      </c>
      <c r="G14" s="1440">
        <v>4955.8100000000004</v>
      </c>
      <c r="H14" s="1440">
        <v>4286.2</v>
      </c>
      <c r="I14" s="1440">
        <v>4882.12</v>
      </c>
      <c r="J14" s="1440">
        <v>4765.1899999999996</v>
      </c>
      <c r="K14" s="1440">
        <v>4547.57</v>
      </c>
      <c r="L14" s="1440">
        <v>4640.91</v>
      </c>
      <c r="M14" s="1440">
        <v>4434.57</v>
      </c>
      <c r="N14" s="1454">
        <f>SUM(B14:M14)</f>
        <v>53615.490000000013</v>
      </c>
      <c r="O14" s="220"/>
      <c r="P14" s="220"/>
      <c r="Q14" s="220"/>
    </row>
    <row r="15" spans="1:17" s="553" customFormat="1" ht="12.75">
      <c r="A15" s="1455" t="s">
        <v>342</v>
      </c>
      <c r="B15" s="1456">
        <f>+B10</f>
        <v>157.38</v>
      </c>
      <c r="C15" s="1456">
        <f>+C10</f>
        <v>157.38</v>
      </c>
      <c r="D15" s="1456">
        <f t="shared" ref="D15:M15" si="1">+D10</f>
        <v>157.38</v>
      </c>
      <c r="E15" s="1456">
        <f t="shared" si="1"/>
        <v>164.34</v>
      </c>
      <c r="F15" s="1456">
        <f t="shared" si="1"/>
        <v>164.34</v>
      </c>
      <c r="G15" s="1456">
        <f t="shared" si="1"/>
        <v>164.34</v>
      </c>
      <c r="H15" s="1456">
        <f t="shared" si="1"/>
        <v>164.34</v>
      </c>
      <c r="I15" s="1456">
        <f t="shared" si="1"/>
        <v>164.34</v>
      </c>
      <c r="J15" s="1456">
        <f t="shared" si="1"/>
        <v>164.34</v>
      </c>
      <c r="K15" s="1456">
        <f t="shared" si="1"/>
        <v>164.34</v>
      </c>
      <c r="L15" s="1456">
        <f t="shared" si="1"/>
        <v>164.34</v>
      </c>
      <c r="M15" s="1456">
        <f t="shared" si="1"/>
        <v>164.34</v>
      </c>
      <c r="N15" s="1457"/>
    </row>
    <row r="16" spans="1:17" s="553" customFormat="1">
      <c r="A16" s="1455" t="s">
        <v>1784</v>
      </c>
      <c r="B16" s="1458">
        <f>ROUND(B14*B15,2)</f>
        <v>645239.11</v>
      </c>
      <c r="C16" s="1459">
        <f t="shared" ref="C16:M16" si="2">ROUND(C14*C15,2)</f>
        <v>731228.4</v>
      </c>
      <c r="D16" s="1459">
        <f t="shared" si="2"/>
        <v>581062.69999999995</v>
      </c>
      <c r="E16" s="1459">
        <f t="shared" si="2"/>
        <v>687677.43999999994</v>
      </c>
      <c r="F16" s="1459">
        <f t="shared" si="2"/>
        <v>736308.94</v>
      </c>
      <c r="G16" s="1459">
        <f t="shared" si="2"/>
        <v>814437.82</v>
      </c>
      <c r="H16" s="1459">
        <f t="shared" si="2"/>
        <v>704394.11</v>
      </c>
      <c r="I16" s="1459">
        <f t="shared" si="2"/>
        <v>802327.6</v>
      </c>
      <c r="J16" s="1459">
        <f t="shared" si="2"/>
        <v>783111.32</v>
      </c>
      <c r="K16" s="1459">
        <f t="shared" si="2"/>
        <v>747347.65</v>
      </c>
      <c r="L16" s="1459">
        <f t="shared" si="2"/>
        <v>762687.15</v>
      </c>
      <c r="M16" s="1459">
        <f t="shared" si="2"/>
        <v>728777.23</v>
      </c>
      <c r="N16" s="1460">
        <f>SUM(B16:M16)</f>
        <v>8724599.4700000007</v>
      </c>
      <c r="O16" s="840"/>
    </row>
    <row r="17" spans="1:20">
      <c r="A17" s="1451"/>
      <c r="B17" s="1461"/>
      <c r="C17" s="1462"/>
      <c r="D17" s="1462"/>
      <c r="E17" s="1462"/>
      <c r="F17" s="1462"/>
      <c r="G17" s="1462"/>
      <c r="H17" s="1462"/>
      <c r="I17" s="1462"/>
      <c r="J17" s="1462"/>
      <c r="K17" s="1462"/>
      <c r="L17" s="1462"/>
      <c r="M17" s="1462"/>
      <c r="N17" s="1463"/>
      <c r="O17" s="840"/>
      <c r="P17" s="427"/>
      <c r="Q17" s="220"/>
      <c r="R17" s="220"/>
      <c r="S17" s="220"/>
    </row>
    <row r="18" spans="1:20">
      <c r="A18" s="1434" t="s">
        <v>1789</v>
      </c>
      <c r="B18" s="1452"/>
      <c r="C18" s="1452"/>
      <c r="D18" s="1452"/>
      <c r="E18" s="1452"/>
      <c r="F18" s="1452"/>
      <c r="G18" s="1452"/>
      <c r="H18" s="1452"/>
      <c r="I18" s="1452"/>
      <c r="J18" s="1452"/>
      <c r="K18" s="1452"/>
      <c r="L18" s="1452"/>
      <c r="M18" s="1452"/>
      <c r="N18" s="1453"/>
      <c r="O18" s="840"/>
      <c r="P18" s="427"/>
      <c r="Q18" s="220"/>
      <c r="R18" s="220"/>
      <c r="S18" s="220"/>
    </row>
    <row r="19" spans="1:20">
      <c r="A19" s="1451" t="s">
        <v>351</v>
      </c>
      <c r="B19" s="1440">
        <v>1720.64</v>
      </c>
      <c r="C19" s="1440">
        <v>1889.95</v>
      </c>
      <c r="D19" s="1440">
        <v>1482.26</v>
      </c>
      <c r="E19" s="1440">
        <v>1716.51</v>
      </c>
      <c r="F19" s="1440">
        <v>1889.73</v>
      </c>
      <c r="G19" s="1440">
        <v>2002.99</v>
      </c>
      <c r="H19" s="1440">
        <v>1709.93</v>
      </c>
      <c r="I19" s="1440">
        <v>1846.87</v>
      </c>
      <c r="J19" s="1440">
        <v>1749.24</v>
      </c>
      <c r="K19" s="1440">
        <v>1769.69</v>
      </c>
      <c r="L19" s="1440">
        <v>1929.21</v>
      </c>
      <c r="M19" s="1440">
        <v>1722.02</v>
      </c>
      <c r="N19" s="1454">
        <f>SUM(B19:M19)</f>
        <v>21429.040000000001</v>
      </c>
      <c r="O19" s="840"/>
      <c r="P19" s="840"/>
      <c r="Q19" s="851"/>
      <c r="R19" s="220"/>
      <c r="S19" s="220"/>
    </row>
    <row r="20" spans="1:20" s="553" customFormat="1">
      <c r="A20" s="1455" t="s">
        <v>342</v>
      </c>
      <c r="B20" s="1456">
        <f>+B10</f>
        <v>157.38</v>
      </c>
      <c r="C20" s="1456">
        <f>+C10</f>
        <v>157.38</v>
      </c>
      <c r="D20" s="1456">
        <f t="shared" ref="D20:M20" si="3">+D10</f>
        <v>157.38</v>
      </c>
      <c r="E20" s="1456">
        <f t="shared" si="3"/>
        <v>164.34</v>
      </c>
      <c r="F20" s="1456">
        <f t="shared" si="3"/>
        <v>164.34</v>
      </c>
      <c r="G20" s="1456">
        <f t="shared" si="3"/>
        <v>164.34</v>
      </c>
      <c r="H20" s="1456">
        <f t="shared" si="3"/>
        <v>164.34</v>
      </c>
      <c r="I20" s="1456">
        <f t="shared" si="3"/>
        <v>164.34</v>
      </c>
      <c r="J20" s="1456">
        <f t="shared" si="3"/>
        <v>164.34</v>
      </c>
      <c r="K20" s="1456">
        <f t="shared" si="3"/>
        <v>164.34</v>
      </c>
      <c r="L20" s="1456">
        <f t="shared" si="3"/>
        <v>164.34</v>
      </c>
      <c r="M20" s="1456">
        <f t="shared" si="3"/>
        <v>164.34</v>
      </c>
      <c r="N20" s="1457"/>
      <c r="O20" s="840"/>
      <c r="P20" s="840"/>
    </row>
    <row r="21" spans="1:20" s="553" customFormat="1">
      <c r="A21" s="1455" t="s">
        <v>1784</v>
      </c>
      <c r="B21" s="1458">
        <f>ROUND(B19*B20,2)</f>
        <v>270794.32</v>
      </c>
      <c r="C21" s="1459">
        <f t="shared" ref="C21:M21" si="4">ROUND(C19*C20,2)</f>
        <v>297440.33</v>
      </c>
      <c r="D21" s="1459">
        <f t="shared" si="4"/>
        <v>233278.07999999999</v>
      </c>
      <c r="E21" s="1459">
        <f t="shared" si="4"/>
        <v>282091.25</v>
      </c>
      <c r="F21" s="1459">
        <f t="shared" si="4"/>
        <v>310558.23</v>
      </c>
      <c r="G21" s="1459">
        <f t="shared" si="4"/>
        <v>329171.38</v>
      </c>
      <c r="H21" s="1459">
        <f t="shared" si="4"/>
        <v>281009.90000000002</v>
      </c>
      <c r="I21" s="1459">
        <f t="shared" si="4"/>
        <v>303514.62</v>
      </c>
      <c r="J21" s="1459">
        <f t="shared" si="4"/>
        <v>287470.09999999998</v>
      </c>
      <c r="K21" s="1459">
        <f t="shared" si="4"/>
        <v>290830.84999999998</v>
      </c>
      <c r="L21" s="1459">
        <f t="shared" si="4"/>
        <v>317046.37</v>
      </c>
      <c r="M21" s="1459">
        <f t="shared" si="4"/>
        <v>282996.77</v>
      </c>
      <c r="N21" s="1460">
        <f>SUM(B21:M21)</f>
        <v>3486202.2</v>
      </c>
      <c r="O21" s="840"/>
    </row>
    <row r="22" spans="1:20" ht="15.75" thickBot="1">
      <c r="A22" s="1451"/>
      <c r="B22" s="1452"/>
      <c r="C22" s="1452"/>
      <c r="D22" s="1452"/>
      <c r="E22" s="1452"/>
      <c r="F22" s="1452"/>
      <c r="G22" s="1452"/>
      <c r="H22" s="1452"/>
      <c r="I22" s="1452"/>
      <c r="J22" s="1452"/>
      <c r="K22" s="1452"/>
      <c r="L22" s="1452"/>
      <c r="M22" s="1452"/>
      <c r="N22" s="1453"/>
      <c r="O22" s="840"/>
      <c r="P22" s="553"/>
      <c r="Q22" s="553"/>
      <c r="R22" s="553"/>
      <c r="S22" s="553"/>
    </row>
    <row r="23" spans="1:20" s="222" customFormat="1" ht="12.75">
      <c r="A23" s="1434" t="s">
        <v>1790</v>
      </c>
      <c r="B23" s="1437">
        <f>B11+B21+B16</f>
        <v>1132345.94</v>
      </c>
      <c r="C23" s="1438">
        <f t="shared" ref="C23:L23" si="5">C11+C21+C16</f>
        <v>1292133.8700000001</v>
      </c>
      <c r="D23" s="1438">
        <f t="shared" si="5"/>
        <v>1013873.44</v>
      </c>
      <c r="E23" s="1438">
        <f t="shared" si="5"/>
        <v>1223884.3500000001</v>
      </c>
      <c r="F23" s="1438">
        <f t="shared" si="5"/>
        <v>1306156.25</v>
      </c>
      <c r="G23" s="1438">
        <f t="shared" si="5"/>
        <v>1416392.2399999998</v>
      </c>
      <c r="H23" s="1438">
        <f t="shared" si="5"/>
        <v>1238837.6499999999</v>
      </c>
      <c r="I23" s="1438">
        <f t="shared" si="5"/>
        <v>1365849.46</v>
      </c>
      <c r="J23" s="1438">
        <f t="shared" si="5"/>
        <v>1350958.6099999999</v>
      </c>
      <c r="K23" s="1438">
        <f t="shared" si="5"/>
        <v>1304021.46</v>
      </c>
      <c r="L23" s="1438">
        <f t="shared" si="5"/>
        <v>1331970.77</v>
      </c>
      <c r="M23" s="1438">
        <f>M11+M21+M16</f>
        <v>1244706.23</v>
      </c>
      <c r="N23" s="1439">
        <f>SUM(C23:M23)</f>
        <v>14088784.330000002</v>
      </c>
      <c r="P23" s="852" t="s">
        <v>707</v>
      </c>
      <c r="Q23" s="852" t="s">
        <v>295</v>
      </c>
      <c r="R23" s="853" t="s">
        <v>295</v>
      </c>
      <c r="S23" s="852" t="s">
        <v>408</v>
      </c>
    </row>
    <row r="24" spans="1:20" ht="15.75" thickBot="1">
      <c r="A24" s="1447" t="s">
        <v>1791</v>
      </c>
      <c r="B24" s="1449"/>
      <c r="C24" s="1449"/>
      <c r="D24" s="1449"/>
      <c r="E24" s="1449"/>
      <c r="F24" s="1449"/>
      <c r="G24" s="1449"/>
      <c r="H24" s="1449"/>
      <c r="I24" s="1449"/>
      <c r="J24" s="1449"/>
      <c r="K24" s="1449"/>
      <c r="L24" s="1449"/>
      <c r="M24" s="1449"/>
      <c r="N24" s="1450"/>
      <c r="O24" s="840"/>
      <c r="P24" s="854">
        <v>2180</v>
      </c>
      <c r="Q24" s="854" t="s">
        <v>698</v>
      </c>
      <c r="R24" s="855" t="s">
        <v>708</v>
      </c>
      <c r="S24" s="854" t="s">
        <v>1792</v>
      </c>
    </row>
    <row r="25" spans="1:20">
      <c r="A25" s="1451" t="s">
        <v>313</v>
      </c>
      <c r="B25" s="1452"/>
      <c r="C25" s="1452"/>
      <c r="D25" s="1452"/>
      <c r="E25" s="1452"/>
      <c r="F25" s="1452"/>
      <c r="G25" s="1452"/>
      <c r="H25" s="1452"/>
      <c r="I25" s="1452"/>
      <c r="J25" s="1452"/>
      <c r="K25" s="1452"/>
      <c r="L25" s="1452"/>
      <c r="M25" s="1452"/>
      <c r="N25" s="1453"/>
      <c r="O25" s="840"/>
      <c r="P25" s="427">
        <f>+N27-Q25-S25</f>
        <v>611.9</v>
      </c>
      <c r="Q25" s="220">
        <v>790.26</v>
      </c>
      <c r="R25" s="220">
        <v>0</v>
      </c>
      <c r="S25" s="427">
        <v>312.38</v>
      </c>
    </row>
    <row r="26" spans="1:20" s="222" customFormat="1" ht="12.75">
      <c r="A26" s="1434" t="s">
        <v>7</v>
      </c>
      <c r="B26" s="1435">
        <f>B8</f>
        <v>43435</v>
      </c>
      <c r="C26" s="1435">
        <f>C8</f>
        <v>43466</v>
      </c>
      <c r="D26" s="1435">
        <f t="shared" ref="D26:M26" si="6">D8</f>
        <v>43497</v>
      </c>
      <c r="E26" s="1435">
        <f t="shared" si="6"/>
        <v>43525</v>
      </c>
      <c r="F26" s="1435">
        <f t="shared" si="6"/>
        <v>43556</v>
      </c>
      <c r="G26" s="1435">
        <f t="shared" si="6"/>
        <v>43586</v>
      </c>
      <c r="H26" s="1435">
        <f t="shared" si="6"/>
        <v>43617</v>
      </c>
      <c r="I26" s="1435">
        <f t="shared" si="6"/>
        <v>43647</v>
      </c>
      <c r="J26" s="1435">
        <f t="shared" si="6"/>
        <v>43678</v>
      </c>
      <c r="K26" s="1435">
        <f t="shared" si="6"/>
        <v>43709</v>
      </c>
      <c r="L26" s="1435">
        <f t="shared" si="6"/>
        <v>43739</v>
      </c>
      <c r="M26" s="1435">
        <f t="shared" si="6"/>
        <v>43770</v>
      </c>
      <c r="N26" s="1436" t="s">
        <v>1781</v>
      </c>
      <c r="P26" s="427">
        <f>P25/12*3</f>
        <v>152.97499999999999</v>
      </c>
      <c r="Q26" s="427">
        <f>Q25/12*3</f>
        <v>197.565</v>
      </c>
      <c r="R26" s="220"/>
      <c r="S26" s="220"/>
      <c r="T26" s="843" t="s">
        <v>2352</v>
      </c>
    </row>
    <row r="27" spans="1:20">
      <c r="A27" s="1451" t="s">
        <v>351</v>
      </c>
      <c r="B27" s="1440">
        <v>107.87</v>
      </c>
      <c r="C27" s="1440">
        <v>149.62</v>
      </c>
      <c r="D27" s="1440">
        <v>80.569999999999993</v>
      </c>
      <c r="E27" s="1440">
        <v>110.57</v>
      </c>
      <c r="F27" s="1440">
        <v>159.25</v>
      </c>
      <c r="G27" s="1440">
        <v>129.25</v>
      </c>
      <c r="H27" s="1440">
        <v>147.80000000000001</v>
      </c>
      <c r="I27" s="1440">
        <v>185.29</v>
      </c>
      <c r="J27" s="1440">
        <v>186.07</v>
      </c>
      <c r="K27" s="1440">
        <v>187</v>
      </c>
      <c r="L27" s="1440">
        <v>154.83000000000001</v>
      </c>
      <c r="M27" s="1440">
        <v>116.42</v>
      </c>
      <c r="N27" s="1454">
        <f>SUM(B27:M27)</f>
        <v>1714.54</v>
      </c>
      <c r="O27" s="840"/>
      <c r="P27" s="222"/>
      <c r="Q27" s="222"/>
      <c r="R27" s="222"/>
      <c r="S27" s="222"/>
    </row>
    <row r="28" spans="1:20" s="553" customFormat="1">
      <c r="A28" s="1455" t="s">
        <v>342</v>
      </c>
      <c r="B28" s="1456">
        <v>107.83</v>
      </c>
      <c r="C28" s="1456">
        <v>107.83</v>
      </c>
      <c r="D28" s="1456">
        <v>107.83</v>
      </c>
      <c r="E28" s="1456">
        <v>112.64</v>
      </c>
      <c r="F28" s="1456">
        <v>112.64</v>
      </c>
      <c r="G28" s="1456">
        <v>112.64</v>
      </c>
      <c r="H28" s="1456">
        <v>112.64</v>
      </c>
      <c r="I28" s="1456">
        <v>112.64</v>
      </c>
      <c r="J28" s="1456">
        <v>112.64</v>
      </c>
      <c r="K28" s="1456">
        <v>112.64</v>
      </c>
      <c r="L28" s="1456">
        <v>112.64</v>
      </c>
      <c r="M28" s="1456">
        <v>112.64</v>
      </c>
      <c r="N28" s="1457"/>
      <c r="O28" s="840"/>
    </row>
    <row r="29" spans="1:20" s="553" customFormat="1">
      <c r="A29" s="1455" t="s">
        <v>1784</v>
      </c>
      <c r="B29" s="1458">
        <f>ROUND(B27*B28,2)</f>
        <v>11631.62</v>
      </c>
      <c r="C29" s="1459">
        <f t="shared" ref="C29:M29" si="7">ROUND(C27*C28,2)</f>
        <v>16133.52</v>
      </c>
      <c r="D29" s="1459">
        <f t="shared" si="7"/>
        <v>8687.86</v>
      </c>
      <c r="E29" s="1459">
        <f t="shared" si="7"/>
        <v>12454.6</v>
      </c>
      <c r="F29" s="1459">
        <f t="shared" si="7"/>
        <v>17937.919999999998</v>
      </c>
      <c r="G29" s="1459">
        <f t="shared" si="7"/>
        <v>14558.72</v>
      </c>
      <c r="H29" s="1459">
        <f t="shared" si="7"/>
        <v>16648.189999999999</v>
      </c>
      <c r="I29" s="1459">
        <f>ROUND(I27*I28,2)</f>
        <v>20871.07</v>
      </c>
      <c r="J29" s="1459">
        <f>ROUND(J27*J28,2)</f>
        <v>20958.919999999998</v>
      </c>
      <c r="K29" s="1459">
        <f t="shared" si="7"/>
        <v>21063.68</v>
      </c>
      <c r="L29" s="1459">
        <f t="shared" si="7"/>
        <v>17440.05</v>
      </c>
      <c r="M29" s="1459">
        <f t="shared" si="7"/>
        <v>13113.55</v>
      </c>
      <c r="N29" s="1460">
        <f>SUM(B29:M29)</f>
        <v>191499.69999999995</v>
      </c>
      <c r="O29" s="840"/>
    </row>
    <row r="30" spans="1:20">
      <c r="A30" s="1451"/>
      <c r="B30" s="1461"/>
      <c r="C30" s="1462"/>
      <c r="D30" s="1462"/>
      <c r="E30" s="1462"/>
      <c r="F30" s="1462"/>
      <c r="G30" s="1462"/>
      <c r="H30" s="1462"/>
      <c r="I30" s="1462"/>
      <c r="J30" s="1462"/>
      <c r="K30" s="1462"/>
      <c r="L30" s="1462"/>
      <c r="M30" s="1462"/>
      <c r="N30" s="1463"/>
      <c r="O30" s="840"/>
      <c r="P30" s="220"/>
      <c r="Q30" s="220"/>
      <c r="R30" s="220"/>
      <c r="S30" s="220"/>
    </row>
    <row r="31" spans="1:20">
      <c r="A31" s="1434" t="s">
        <v>1787</v>
      </c>
      <c r="B31" s="1452"/>
      <c r="C31" s="1452"/>
      <c r="D31" s="1452"/>
      <c r="E31" s="1452"/>
      <c r="F31" s="1452"/>
      <c r="G31" s="1452"/>
      <c r="H31" s="1452"/>
      <c r="I31" s="1452"/>
      <c r="J31" s="1452"/>
      <c r="K31" s="1452"/>
      <c r="L31" s="1452"/>
      <c r="M31" s="1452"/>
      <c r="N31" s="1453"/>
      <c r="O31" s="840"/>
      <c r="P31" s="220"/>
      <c r="Q31" s="220"/>
      <c r="R31" s="220"/>
      <c r="S31" s="220"/>
    </row>
    <row r="32" spans="1:20">
      <c r="A32" s="1451" t="s">
        <v>351</v>
      </c>
      <c r="B32" s="1440">
        <v>593.24</v>
      </c>
      <c r="C32" s="1440">
        <v>502.62</v>
      </c>
      <c r="D32" s="1440">
        <v>405.71</v>
      </c>
      <c r="E32" s="1440">
        <v>448.91</v>
      </c>
      <c r="F32" s="1440">
        <v>486.94</v>
      </c>
      <c r="G32" s="1440">
        <v>526.39</v>
      </c>
      <c r="H32" s="1440">
        <v>470.58</v>
      </c>
      <c r="I32" s="1440">
        <v>497.61</v>
      </c>
      <c r="J32" s="1440">
        <v>475.32</v>
      </c>
      <c r="K32" s="1440">
        <v>434.01</v>
      </c>
      <c r="L32" s="1440">
        <v>464.24</v>
      </c>
      <c r="M32" s="1440">
        <v>420.67</v>
      </c>
      <c r="N32" s="1454">
        <f>SUM(B32:M32)</f>
        <v>5726.24</v>
      </c>
      <c r="O32" s="840"/>
      <c r="P32" s="220"/>
      <c r="Q32" s="220"/>
      <c r="R32" s="220"/>
      <c r="S32" s="220"/>
    </row>
    <row r="33" spans="1:16" s="553" customFormat="1">
      <c r="A33" s="1455" t="s">
        <v>342</v>
      </c>
      <c r="B33" s="1456">
        <f>+B28</f>
        <v>107.83</v>
      </c>
      <c r="C33" s="1456">
        <f>+C28</f>
        <v>107.83</v>
      </c>
      <c r="D33" s="1456">
        <f t="shared" ref="D33:M33" si="8">+D28</f>
        <v>107.83</v>
      </c>
      <c r="E33" s="1456">
        <f t="shared" si="8"/>
        <v>112.64</v>
      </c>
      <c r="F33" s="1456">
        <f t="shared" si="8"/>
        <v>112.64</v>
      </c>
      <c r="G33" s="1456">
        <f t="shared" si="8"/>
        <v>112.64</v>
      </c>
      <c r="H33" s="1456">
        <f t="shared" si="8"/>
        <v>112.64</v>
      </c>
      <c r="I33" s="1456">
        <f t="shared" si="8"/>
        <v>112.64</v>
      </c>
      <c r="J33" s="1456">
        <f t="shared" si="8"/>
        <v>112.64</v>
      </c>
      <c r="K33" s="1456">
        <f t="shared" si="8"/>
        <v>112.64</v>
      </c>
      <c r="L33" s="1456">
        <f t="shared" si="8"/>
        <v>112.64</v>
      </c>
      <c r="M33" s="1456">
        <f t="shared" si="8"/>
        <v>112.64</v>
      </c>
      <c r="N33" s="1457"/>
      <c r="O33" s="840"/>
    </row>
    <row r="34" spans="1:16" s="553" customFormat="1">
      <c r="A34" s="1455" t="s">
        <v>1784</v>
      </c>
      <c r="B34" s="1458">
        <f>ROUND(B32*B33,2)</f>
        <v>63969.07</v>
      </c>
      <c r="C34" s="1459">
        <f t="shared" ref="C34:M34" si="9">ROUND(C32*C33,2)</f>
        <v>54197.51</v>
      </c>
      <c r="D34" s="1459">
        <f t="shared" si="9"/>
        <v>43747.71</v>
      </c>
      <c r="E34" s="1459">
        <f t="shared" si="9"/>
        <v>50565.22</v>
      </c>
      <c r="F34" s="1459">
        <f t="shared" si="9"/>
        <v>54848.92</v>
      </c>
      <c r="G34" s="1459">
        <f t="shared" si="9"/>
        <v>59292.57</v>
      </c>
      <c r="H34" s="1459">
        <f t="shared" si="9"/>
        <v>53006.13</v>
      </c>
      <c r="I34" s="1459">
        <f t="shared" si="9"/>
        <v>56050.79</v>
      </c>
      <c r="J34" s="1459">
        <f t="shared" si="9"/>
        <v>53540.04</v>
      </c>
      <c r="K34" s="1459">
        <f t="shared" si="9"/>
        <v>48886.89</v>
      </c>
      <c r="L34" s="1459">
        <f t="shared" si="9"/>
        <v>52291.99</v>
      </c>
      <c r="M34" s="1459">
        <f t="shared" si="9"/>
        <v>47384.27</v>
      </c>
      <c r="N34" s="1460">
        <f>SUM(B34:M34)</f>
        <v>637781.11</v>
      </c>
      <c r="O34" s="1007" t="s">
        <v>2380</v>
      </c>
    </row>
    <row r="35" spans="1:16">
      <c r="A35" s="1451"/>
      <c r="B35" s="1461"/>
      <c r="C35" s="1462"/>
      <c r="D35" s="1462"/>
      <c r="E35" s="1462"/>
      <c r="F35" s="1462"/>
      <c r="G35" s="1462"/>
      <c r="H35" s="1462"/>
      <c r="I35" s="1462"/>
      <c r="J35" s="1462"/>
      <c r="K35" s="1462"/>
      <c r="L35" s="1462"/>
      <c r="M35" s="1462"/>
      <c r="N35" s="1463"/>
      <c r="O35" s="840"/>
      <c r="P35" s="220"/>
    </row>
    <row r="36" spans="1:16">
      <c r="A36" s="1434" t="s">
        <v>1789</v>
      </c>
      <c r="B36" s="1452"/>
      <c r="C36" s="1452"/>
      <c r="D36" s="1452"/>
      <c r="E36" s="1452"/>
      <c r="F36" s="1452"/>
      <c r="G36" s="1452"/>
      <c r="H36" s="1452"/>
      <c r="I36" s="1452"/>
      <c r="J36" s="1452"/>
      <c r="K36" s="1452"/>
      <c r="L36" s="1452"/>
      <c r="M36" s="1452"/>
      <c r="N36" s="1453"/>
      <c r="O36" s="840"/>
      <c r="P36" s="220"/>
    </row>
    <row r="37" spans="1:16">
      <c r="A37" s="1451" t="s">
        <v>351</v>
      </c>
      <c r="B37" s="1440">
        <v>865.94</v>
      </c>
      <c r="C37" s="1440">
        <v>825.47981136974761</v>
      </c>
      <c r="D37" s="1440">
        <v>698.65035333395167</v>
      </c>
      <c r="E37" s="1440">
        <v>813.94844460227284</v>
      </c>
      <c r="F37" s="1440">
        <v>1113.1321768465907</v>
      </c>
      <c r="G37" s="1440">
        <v>722.8497017045454</v>
      </c>
      <c r="H37" s="1440">
        <v>698.73993963068199</v>
      </c>
      <c r="I37" s="1440">
        <v>951.44046519886354</v>
      </c>
      <c r="J37" s="1440">
        <v>612.92986860795475</v>
      </c>
      <c r="K37" s="1440">
        <v>782.60993963068188</v>
      </c>
      <c r="L37" s="1440">
        <v>833.5498508522727</v>
      </c>
      <c r="M37" s="1440">
        <v>751.44990607244324</v>
      </c>
      <c r="N37" s="1454">
        <f>SUM(B37:M37)</f>
        <v>9670.7204578500059</v>
      </c>
      <c r="O37" s="840"/>
      <c r="P37" s="427"/>
    </row>
    <row r="38" spans="1:16" s="553" customFormat="1">
      <c r="A38" s="1455" t="s">
        <v>342</v>
      </c>
      <c r="B38" s="1456">
        <f>+B33</f>
        <v>107.83</v>
      </c>
      <c r="C38" s="1456">
        <f>+C33</f>
        <v>107.83</v>
      </c>
      <c r="D38" s="1456">
        <f t="shared" ref="D38:M38" si="10">+D33</f>
        <v>107.83</v>
      </c>
      <c r="E38" s="1456">
        <f t="shared" si="10"/>
        <v>112.64</v>
      </c>
      <c r="F38" s="1456">
        <f t="shared" si="10"/>
        <v>112.64</v>
      </c>
      <c r="G38" s="1456">
        <f t="shared" si="10"/>
        <v>112.64</v>
      </c>
      <c r="H38" s="1456">
        <f t="shared" si="10"/>
        <v>112.64</v>
      </c>
      <c r="I38" s="1456">
        <f t="shared" si="10"/>
        <v>112.64</v>
      </c>
      <c r="J38" s="1456">
        <f t="shared" si="10"/>
        <v>112.64</v>
      </c>
      <c r="K38" s="1456">
        <f t="shared" si="10"/>
        <v>112.64</v>
      </c>
      <c r="L38" s="1456">
        <f t="shared" si="10"/>
        <v>112.64</v>
      </c>
      <c r="M38" s="1456">
        <f t="shared" si="10"/>
        <v>112.64</v>
      </c>
      <c r="N38" s="1457"/>
      <c r="O38" s="840"/>
    </row>
    <row r="39" spans="1:16" s="553" customFormat="1">
      <c r="A39" s="1455" t="s">
        <v>1784</v>
      </c>
      <c r="B39" s="1458">
        <f>ROUND(B37*B38,2)</f>
        <v>93374.31</v>
      </c>
      <c r="C39" s="1459">
        <f t="shared" ref="C39:M39" si="11">ROUND(C37*C38,2)</f>
        <v>89011.49</v>
      </c>
      <c r="D39" s="1459">
        <f t="shared" si="11"/>
        <v>75335.47</v>
      </c>
      <c r="E39" s="1459">
        <f t="shared" si="11"/>
        <v>91683.15</v>
      </c>
      <c r="F39" s="1459">
        <f t="shared" si="11"/>
        <v>125383.21</v>
      </c>
      <c r="G39" s="1459">
        <f t="shared" si="11"/>
        <v>81421.789999999994</v>
      </c>
      <c r="H39" s="1459">
        <f t="shared" si="11"/>
        <v>78706.070000000007</v>
      </c>
      <c r="I39" s="1459">
        <f t="shared" si="11"/>
        <v>107170.25</v>
      </c>
      <c r="J39" s="1459">
        <f t="shared" si="11"/>
        <v>69040.42</v>
      </c>
      <c r="K39" s="1459">
        <f t="shared" si="11"/>
        <v>88153.18</v>
      </c>
      <c r="L39" s="1459">
        <f t="shared" si="11"/>
        <v>93891.06</v>
      </c>
      <c r="M39" s="1459">
        <f t="shared" si="11"/>
        <v>84643.32</v>
      </c>
      <c r="N39" s="1460">
        <f>SUM(B39:M39)</f>
        <v>1077813.7200000002</v>
      </c>
      <c r="O39" s="1007" t="s">
        <v>708</v>
      </c>
    </row>
    <row r="40" spans="1:16">
      <c r="A40" s="1451"/>
      <c r="B40" s="1452"/>
      <c r="C40" s="1452"/>
      <c r="D40" s="1452"/>
      <c r="E40" s="1452"/>
      <c r="F40" s="1452"/>
      <c r="G40" s="1452"/>
      <c r="H40" s="1452"/>
      <c r="I40" s="1452"/>
      <c r="J40" s="1452"/>
      <c r="K40" s="1452"/>
      <c r="L40" s="1452"/>
      <c r="M40" s="1452"/>
      <c r="N40" s="1453"/>
      <c r="O40" s="840"/>
      <c r="P40" s="220"/>
    </row>
    <row r="41" spans="1:16" s="222" customFormat="1" ht="12.75">
      <c r="A41" s="1434" t="s">
        <v>1790</v>
      </c>
      <c r="B41" s="1437">
        <f>B29+B39+B34</f>
        <v>168975</v>
      </c>
      <c r="C41" s="1438">
        <f t="shared" ref="C41:L41" si="12">C29+C39+C34</f>
        <v>159342.52000000002</v>
      </c>
      <c r="D41" s="1438">
        <f t="shared" si="12"/>
        <v>127771.04000000001</v>
      </c>
      <c r="E41" s="1438">
        <f t="shared" si="12"/>
        <v>154702.97</v>
      </c>
      <c r="F41" s="1438">
        <f t="shared" si="12"/>
        <v>198170.05</v>
      </c>
      <c r="G41" s="1438">
        <f t="shared" si="12"/>
        <v>155273.07999999999</v>
      </c>
      <c r="H41" s="1438">
        <f t="shared" si="12"/>
        <v>148360.39000000001</v>
      </c>
      <c r="I41" s="1438">
        <f t="shared" si="12"/>
        <v>184092.11000000002</v>
      </c>
      <c r="J41" s="1438">
        <f t="shared" si="12"/>
        <v>143539.38</v>
      </c>
      <c r="K41" s="1438">
        <f t="shared" si="12"/>
        <v>158103.75</v>
      </c>
      <c r="L41" s="1438">
        <f t="shared" si="12"/>
        <v>163623.1</v>
      </c>
      <c r="M41" s="1438">
        <f>M29+M39+M34</f>
        <v>145141.14000000001</v>
      </c>
      <c r="N41" s="1439">
        <f>SUM(C41:M41)</f>
        <v>1738119.5300000003</v>
      </c>
      <c r="O41" s="843"/>
    </row>
    <row r="42" spans="1:16">
      <c r="A42" s="1447" t="s">
        <v>1793</v>
      </c>
      <c r="B42" s="1449"/>
      <c r="C42" s="1449"/>
      <c r="D42" s="1449"/>
      <c r="E42" s="1449"/>
      <c r="F42" s="1449"/>
      <c r="G42" s="1449"/>
      <c r="H42" s="1449"/>
      <c r="I42" s="1449"/>
      <c r="J42" s="1449"/>
      <c r="K42" s="1449"/>
      <c r="L42" s="1449"/>
      <c r="M42" s="1449"/>
      <c r="N42" s="1450"/>
      <c r="O42" s="840"/>
      <c r="P42" s="220"/>
    </row>
    <row r="43" spans="1:16">
      <c r="A43" s="1451" t="s">
        <v>313</v>
      </c>
      <c r="B43" s="1452"/>
      <c r="C43" s="1452"/>
      <c r="D43" s="1452"/>
      <c r="E43" s="1452"/>
      <c r="F43" s="1452"/>
      <c r="G43" s="1452"/>
      <c r="H43" s="1452"/>
      <c r="I43" s="1452"/>
      <c r="J43" s="1452"/>
      <c r="K43" s="1452"/>
      <c r="L43" s="1452"/>
      <c r="M43" s="1452"/>
      <c r="N43" s="1453"/>
      <c r="O43" s="840"/>
      <c r="P43" s="220"/>
    </row>
    <row r="44" spans="1:16" s="222" customFormat="1" ht="12.75">
      <c r="A44" s="1434" t="s">
        <v>7</v>
      </c>
      <c r="B44" s="1435">
        <f>B8</f>
        <v>43435</v>
      </c>
      <c r="C44" s="1435">
        <f t="shared" ref="C44:M44" si="13">C8</f>
        <v>43466</v>
      </c>
      <c r="D44" s="1435">
        <f t="shared" si="13"/>
        <v>43497</v>
      </c>
      <c r="E44" s="1435">
        <f t="shared" si="13"/>
        <v>43525</v>
      </c>
      <c r="F44" s="1435">
        <f t="shared" si="13"/>
        <v>43556</v>
      </c>
      <c r="G44" s="1435">
        <f t="shared" si="13"/>
        <v>43586</v>
      </c>
      <c r="H44" s="1435">
        <f t="shared" si="13"/>
        <v>43617</v>
      </c>
      <c r="I44" s="1435">
        <f t="shared" si="13"/>
        <v>43647</v>
      </c>
      <c r="J44" s="1435">
        <f t="shared" si="13"/>
        <v>43678</v>
      </c>
      <c r="K44" s="1435">
        <f t="shared" si="13"/>
        <v>43709</v>
      </c>
      <c r="L44" s="1435">
        <f t="shared" si="13"/>
        <v>43739</v>
      </c>
      <c r="M44" s="1435">
        <f t="shared" si="13"/>
        <v>43770</v>
      </c>
      <c r="N44" s="1436" t="s">
        <v>1781</v>
      </c>
      <c r="O44" s="843"/>
    </row>
    <row r="45" spans="1:16">
      <c r="A45" s="1451" t="s">
        <v>351</v>
      </c>
      <c r="B45" s="1440">
        <v>1158.5999999999999</v>
      </c>
      <c r="C45" s="1440">
        <v>1256.2300000000002</v>
      </c>
      <c r="D45" s="1440">
        <v>1059.26</v>
      </c>
      <c r="E45" s="1440">
        <v>1135.45</v>
      </c>
      <c r="F45" s="1440">
        <v>1351.5000000000002</v>
      </c>
      <c r="G45" s="1440">
        <v>1296.92</v>
      </c>
      <c r="H45" s="1440">
        <v>1203.1399999999999</v>
      </c>
      <c r="I45" s="1440">
        <v>1138.5499999999997</v>
      </c>
      <c r="J45" s="1440">
        <v>1217.9099999999999</v>
      </c>
      <c r="K45" s="1440">
        <v>1209.76</v>
      </c>
      <c r="L45" s="1440">
        <v>1270.46</v>
      </c>
      <c r="M45" s="1440">
        <v>1137.06</v>
      </c>
      <c r="N45" s="1454">
        <f>SUM(B45:M45)</f>
        <v>14434.839999999998</v>
      </c>
      <c r="O45" s="840"/>
      <c r="P45" s="220"/>
    </row>
    <row r="46" spans="1:16" s="553" customFormat="1">
      <c r="A46" s="1455" t="s">
        <v>342</v>
      </c>
      <c r="B46" s="1456">
        <f>+B10</f>
        <v>157.38</v>
      </c>
      <c r="C46" s="1456">
        <f t="shared" ref="C46:M46" si="14">+C10</f>
        <v>157.38</v>
      </c>
      <c r="D46" s="1456">
        <f t="shared" si="14"/>
        <v>157.38</v>
      </c>
      <c r="E46" s="1456">
        <f t="shared" si="14"/>
        <v>164.34</v>
      </c>
      <c r="F46" s="1456">
        <f t="shared" si="14"/>
        <v>164.34</v>
      </c>
      <c r="G46" s="1456">
        <f t="shared" si="14"/>
        <v>164.34</v>
      </c>
      <c r="H46" s="1456">
        <f t="shared" si="14"/>
        <v>164.34</v>
      </c>
      <c r="I46" s="1456">
        <f t="shared" si="14"/>
        <v>164.34</v>
      </c>
      <c r="J46" s="1456">
        <f t="shared" si="14"/>
        <v>164.34</v>
      </c>
      <c r="K46" s="1456">
        <f t="shared" si="14"/>
        <v>164.34</v>
      </c>
      <c r="L46" s="1456">
        <f t="shared" si="14"/>
        <v>164.34</v>
      </c>
      <c r="M46" s="1456">
        <f t="shared" si="14"/>
        <v>164.34</v>
      </c>
      <c r="N46" s="1457"/>
      <c r="O46" s="840"/>
    </row>
    <row r="47" spans="1:16" s="553" customFormat="1">
      <c r="A47" s="1455" t="s">
        <v>1784</v>
      </c>
      <c r="B47" s="1458">
        <f t="shared" ref="B47:M47" si="15">ROUND(B45*B46,2)</f>
        <v>182340.47</v>
      </c>
      <c r="C47" s="1459">
        <f t="shared" si="15"/>
        <v>197705.48</v>
      </c>
      <c r="D47" s="1459">
        <f t="shared" si="15"/>
        <v>166706.34</v>
      </c>
      <c r="E47" s="1459">
        <f t="shared" si="15"/>
        <v>186599.85</v>
      </c>
      <c r="F47" s="1459">
        <f t="shared" si="15"/>
        <v>222105.51</v>
      </c>
      <c r="G47" s="1459">
        <f t="shared" si="15"/>
        <v>213135.83</v>
      </c>
      <c r="H47" s="1459">
        <f t="shared" si="15"/>
        <v>197724.03</v>
      </c>
      <c r="I47" s="1459">
        <f t="shared" si="15"/>
        <v>187109.31</v>
      </c>
      <c r="J47" s="1459">
        <f t="shared" si="15"/>
        <v>200151.33</v>
      </c>
      <c r="K47" s="1459">
        <f t="shared" si="15"/>
        <v>198811.96</v>
      </c>
      <c r="L47" s="1459">
        <f t="shared" si="15"/>
        <v>208787.4</v>
      </c>
      <c r="M47" s="1459">
        <f t="shared" si="15"/>
        <v>186864.44</v>
      </c>
      <c r="N47" s="1460">
        <f>SUM(B47:M47)</f>
        <v>2348041.9500000002</v>
      </c>
      <c r="O47" s="840"/>
    </row>
    <row r="48" spans="1:16">
      <c r="A48" s="1451"/>
      <c r="B48" s="1461"/>
      <c r="C48" s="1462"/>
      <c r="D48" s="1462"/>
      <c r="E48" s="1462"/>
      <c r="F48" s="1462"/>
      <c r="G48" s="1462"/>
      <c r="H48" s="1462"/>
      <c r="I48" s="1462"/>
      <c r="J48" s="1462"/>
      <c r="K48" s="1462"/>
      <c r="L48" s="1462"/>
      <c r="M48" s="1462"/>
      <c r="N48" s="1463"/>
      <c r="O48" s="840"/>
      <c r="P48" s="220"/>
    </row>
    <row r="49" spans="1:17">
      <c r="A49" s="1434" t="s">
        <v>1787</v>
      </c>
      <c r="B49" s="1452"/>
      <c r="C49" s="1452"/>
      <c r="D49" s="1452"/>
      <c r="E49" s="1452"/>
      <c r="F49" s="1452"/>
      <c r="G49" s="1452"/>
      <c r="H49" s="1452"/>
      <c r="I49" s="1452"/>
      <c r="J49" s="1452"/>
      <c r="K49" s="1452"/>
      <c r="L49" s="1452"/>
      <c r="M49" s="1452"/>
      <c r="N49" s="1453"/>
      <c r="O49" s="840"/>
      <c r="P49" s="427"/>
      <c r="Q49" s="220"/>
    </row>
    <row r="50" spans="1:17">
      <c r="A50" s="1451" t="s">
        <v>351</v>
      </c>
      <c r="B50" s="1440">
        <v>1272.98</v>
      </c>
      <c r="C50" s="1440">
        <v>1386.46</v>
      </c>
      <c r="D50" s="1440">
        <v>1078.82</v>
      </c>
      <c r="E50" s="1440">
        <v>1193.05</v>
      </c>
      <c r="F50" s="1440">
        <v>1398.12</v>
      </c>
      <c r="G50" s="1440">
        <v>1361.99</v>
      </c>
      <c r="H50" s="1440">
        <v>1253.1600000000001</v>
      </c>
      <c r="I50" s="1440">
        <v>1573.02</v>
      </c>
      <c r="J50" s="1440">
        <v>1303.8900000000001</v>
      </c>
      <c r="K50" s="1440">
        <v>1286.96</v>
      </c>
      <c r="L50" s="1440">
        <v>1418.22</v>
      </c>
      <c r="M50" s="1440">
        <v>1191.8</v>
      </c>
      <c r="N50" s="1454">
        <f>SUM(B50:M50)</f>
        <v>15718.47</v>
      </c>
      <c r="O50" s="840"/>
      <c r="P50" s="840"/>
      <c r="Q50" s="856"/>
    </row>
    <row r="51" spans="1:17" s="553" customFormat="1">
      <c r="A51" s="1455" t="s">
        <v>342</v>
      </c>
      <c r="B51" s="1456">
        <f>+B46</f>
        <v>157.38</v>
      </c>
      <c r="C51" s="1456">
        <f>+C46</f>
        <v>157.38</v>
      </c>
      <c r="D51" s="1456">
        <f t="shared" ref="D51:M51" si="16">+D46</f>
        <v>157.38</v>
      </c>
      <c r="E51" s="1456">
        <f t="shared" si="16"/>
        <v>164.34</v>
      </c>
      <c r="F51" s="1456">
        <f t="shared" si="16"/>
        <v>164.34</v>
      </c>
      <c r="G51" s="1456">
        <f t="shared" si="16"/>
        <v>164.34</v>
      </c>
      <c r="H51" s="1456">
        <f t="shared" si="16"/>
        <v>164.34</v>
      </c>
      <c r="I51" s="1456">
        <f t="shared" si="16"/>
        <v>164.34</v>
      </c>
      <c r="J51" s="1456">
        <f t="shared" si="16"/>
        <v>164.34</v>
      </c>
      <c r="K51" s="1456">
        <f t="shared" si="16"/>
        <v>164.34</v>
      </c>
      <c r="L51" s="1456">
        <f t="shared" si="16"/>
        <v>164.34</v>
      </c>
      <c r="M51" s="1456">
        <f t="shared" si="16"/>
        <v>164.34</v>
      </c>
      <c r="N51" s="1457"/>
      <c r="O51" s="840"/>
      <c r="P51" s="840"/>
    </row>
    <row r="52" spans="1:17" s="553" customFormat="1">
      <c r="A52" s="1455" t="s">
        <v>1784</v>
      </c>
      <c r="B52" s="1458">
        <f>ROUND(B50*B51,2)</f>
        <v>200341.59</v>
      </c>
      <c r="C52" s="1459">
        <f t="shared" ref="C52:M52" si="17">ROUND(C50*C51,2)</f>
        <v>218201.07</v>
      </c>
      <c r="D52" s="1459">
        <f t="shared" si="17"/>
        <v>169784.69</v>
      </c>
      <c r="E52" s="1459">
        <f t="shared" si="17"/>
        <v>196065.84</v>
      </c>
      <c r="F52" s="1459">
        <f t="shared" si="17"/>
        <v>229767.04000000001</v>
      </c>
      <c r="G52" s="1459">
        <f t="shared" si="17"/>
        <v>223829.44</v>
      </c>
      <c r="H52" s="1459">
        <f t="shared" si="17"/>
        <v>205944.31</v>
      </c>
      <c r="I52" s="1459">
        <f t="shared" si="17"/>
        <v>258510.11</v>
      </c>
      <c r="J52" s="1459">
        <f t="shared" si="17"/>
        <v>214281.28</v>
      </c>
      <c r="K52" s="1459">
        <f t="shared" si="17"/>
        <v>211499.01</v>
      </c>
      <c r="L52" s="1459">
        <f t="shared" si="17"/>
        <v>233070.27</v>
      </c>
      <c r="M52" s="1459">
        <f t="shared" si="17"/>
        <v>195860.41</v>
      </c>
      <c r="N52" s="1460">
        <f>SUM(B52:M52)</f>
        <v>2557155.0600000005</v>
      </c>
      <c r="O52" s="840"/>
    </row>
    <row r="53" spans="1:17">
      <c r="A53" s="1451"/>
      <c r="B53" s="1461"/>
      <c r="C53" s="1462"/>
      <c r="D53" s="1462"/>
      <c r="E53" s="1462"/>
      <c r="F53" s="1462"/>
      <c r="G53" s="1462"/>
      <c r="H53" s="1462"/>
      <c r="I53" s="1462"/>
      <c r="J53" s="1462"/>
      <c r="K53" s="1462"/>
      <c r="L53" s="1462"/>
      <c r="M53" s="1462"/>
      <c r="N53" s="1463"/>
      <c r="O53" s="840"/>
      <c r="P53" s="220"/>
      <c r="Q53" s="220"/>
    </row>
    <row r="54" spans="1:17">
      <c r="A54" s="1434" t="s">
        <v>1789</v>
      </c>
      <c r="B54" s="1452"/>
      <c r="C54" s="1452"/>
      <c r="D54" s="1452"/>
      <c r="E54" s="1452"/>
      <c r="F54" s="1452"/>
      <c r="G54" s="1452"/>
      <c r="H54" s="1452"/>
      <c r="I54" s="1452"/>
      <c r="J54" s="1452"/>
      <c r="K54" s="1452"/>
      <c r="L54" s="1452"/>
      <c r="M54" s="1452"/>
      <c r="N54" s="1453"/>
      <c r="O54" s="840"/>
      <c r="P54" s="427"/>
      <c r="Q54" s="220"/>
    </row>
    <row r="55" spans="1:17">
      <c r="A55" s="1451" t="s">
        <v>351</v>
      </c>
      <c r="B55" s="1440">
        <v>1714.38</v>
      </c>
      <c r="C55" s="1440">
        <v>1928.41</v>
      </c>
      <c r="D55" s="1440">
        <v>1656.65</v>
      </c>
      <c r="E55" s="1440">
        <v>1923.07</v>
      </c>
      <c r="F55" s="1440">
        <v>1838.04</v>
      </c>
      <c r="G55" s="1440">
        <v>2189.29</v>
      </c>
      <c r="H55" s="1440">
        <v>1837.55</v>
      </c>
      <c r="I55" s="1440">
        <v>2002.57</v>
      </c>
      <c r="J55" s="1440">
        <v>2097.98</v>
      </c>
      <c r="K55" s="1440">
        <v>1947.84</v>
      </c>
      <c r="L55" s="1440">
        <v>2181.4899999999998</v>
      </c>
      <c r="M55" s="1440">
        <v>1945.87</v>
      </c>
      <c r="N55" s="1454">
        <f>SUM(B55:M55)</f>
        <v>23263.139999999996</v>
      </c>
      <c r="O55" s="840"/>
      <c r="P55" s="840"/>
      <c r="Q55" s="856"/>
    </row>
    <row r="56" spans="1:17" s="553" customFormat="1">
      <c r="A56" s="1455" t="s">
        <v>342</v>
      </c>
      <c r="B56" s="1456">
        <f>+B46</f>
        <v>157.38</v>
      </c>
      <c r="C56" s="1456">
        <f>+C46</f>
        <v>157.38</v>
      </c>
      <c r="D56" s="1456">
        <f t="shared" ref="D56:M56" si="18">+D46</f>
        <v>157.38</v>
      </c>
      <c r="E56" s="1456">
        <f t="shared" si="18"/>
        <v>164.34</v>
      </c>
      <c r="F56" s="1456">
        <f t="shared" si="18"/>
        <v>164.34</v>
      </c>
      <c r="G56" s="1456">
        <f t="shared" si="18"/>
        <v>164.34</v>
      </c>
      <c r="H56" s="1456">
        <f t="shared" si="18"/>
        <v>164.34</v>
      </c>
      <c r="I56" s="1456">
        <f t="shared" si="18"/>
        <v>164.34</v>
      </c>
      <c r="J56" s="1456">
        <f t="shared" si="18"/>
        <v>164.34</v>
      </c>
      <c r="K56" s="1456">
        <f t="shared" si="18"/>
        <v>164.34</v>
      </c>
      <c r="L56" s="1456">
        <f t="shared" si="18"/>
        <v>164.34</v>
      </c>
      <c r="M56" s="1456">
        <f t="shared" si="18"/>
        <v>164.34</v>
      </c>
      <c r="N56" s="1457"/>
      <c r="O56" s="840"/>
      <c r="P56" s="840"/>
    </row>
    <row r="57" spans="1:17" s="553" customFormat="1">
      <c r="A57" s="1455" t="s">
        <v>1784</v>
      </c>
      <c r="B57" s="1458">
        <f>ROUND(B55*B56,2)</f>
        <v>269809.12</v>
      </c>
      <c r="C57" s="1459">
        <f t="shared" ref="C57:J57" si="19">ROUND(C55*C56,2)</f>
        <v>303493.17</v>
      </c>
      <c r="D57" s="1459">
        <f t="shared" si="19"/>
        <v>260723.58</v>
      </c>
      <c r="E57" s="1459">
        <f t="shared" si="19"/>
        <v>316037.32</v>
      </c>
      <c r="F57" s="1459">
        <f t="shared" si="19"/>
        <v>302063.49</v>
      </c>
      <c r="G57" s="1459">
        <f t="shared" si="19"/>
        <v>359787.92</v>
      </c>
      <c r="H57" s="1459">
        <f t="shared" si="19"/>
        <v>301982.96999999997</v>
      </c>
      <c r="I57" s="1459">
        <f t="shared" si="19"/>
        <v>329102.34999999998</v>
      </c>
      <c r="J57" s="1459">
        <f t="shared" si="19"/>
        <v>344782.03</v>
      </c>
      <c r="K57" s="1459">
        <f>ROUND(K55*K56,2)</f>
        <v>320108.03000000003</v>
      </c>
      <c r="L57" s="1459">
        <f>ROUND(L55*L56,2)</f>
        <v>358506.07</v>
      </c>
      <c r="M57" s="1459">
        <f>ROUND(M55*M56,2)</f>
        <v>319784.28000000003</v>
      </c>
      <c r="N57" s="1460">
        <f>SUM(B57:M57)</f>
        <v>3786180.33</v>
      </c>
      <c r="O57" s="840"/>
      <c r="P57" s="857"/>
    </row>
    <row r="58" spans="1:17">
      <c r="A58" s="1451"/>
      <c r="B58" s="1452"/>
      <c r="C58" s="1452"/>
      <c r="D58" s="1452"/>
      <c r="E58" s="1452"/>
      <c r="F58" s="1452"/>
      <c r="G58" s="1452"/>
      <c r="H58" s="1452"/>
      <c r="I58" s="1452"/>
      <c r="J58" s="1452"/>
      <c r="K58" s="1452"/>
      <c r="L58" s="1452"/>
      <c r="M58" s="1452"/>
      <c r="N58" s="1453"/>
      <c r="O58" s="840"/>
      <c r="P58" s="220"/>
      <c r="Q58" s="220"/>
    </row>
    <row r="59" spans="1:17" s="222" customFormat="1" ht="12.75">
      <c r="A59" s="1434" t="s">
        <v>1790</v>
      </c>
      <c r="B59" s="1437">
        <f>B47+B57+B52</f>
        <v>652491.17999999993</v>
      </c>
      <c r="C59" s="1438">
        <f t="shared" ref="C59:L59" si="20">C47+C57+C52</f>
        <v>719399.72</v>
      </c>
      <c r="D59" s="1438">
        <f t="shared" si="20"/>
        <v>597214.61</v>
      </c>
      <c r="E59" s="1438">
        <f t="shared" si="20"/>
        <v>698703.01</v>
      </c>
      <c r="F59" s="1438">
        <f t="shared" si="20"/>
        <v>753936.04</v>
      </c>
      <c r="G59" s="1438">
        <f t="shared" si="20"/>
        <v>796753.19</v>
      </c>
      <c r="H59" s="1438">
        <f t="shared" si="20"/>
        <v>705651.31</v>
      </c>
      <c r="I59" s="1438">
        <f t="shared" si="20"/>
        <v>774721.77</v>
      </c>
      <c r="J59" s="1438">
        <f t="shared" si="20"/>
        <v>759214.64</v>
      </c>
      <c r="K59" s="1438">
        <f t="shared" si="20"/>
        <v>730419</v>
      </c>
      <c r="L59" s="1438">
        <f t="shared" si="20"/>
        <v>800363.74</v>
      </c>
      <c r="M59" s="1438">
        <f>M47+M57+M52</f>
        <v>702509.13</v>
      </c>
      <c r="N59" s="1439">
        <f>SUM(C59:M59)</f>
        <v>8038886.1600000001</v>
      </c>
      <c r="O59" s="843"/>
    </row>
    <row r="60" spans="1:17">
      <c r="A60" s="1464"/>
      <c r="B60" s="1449"/>
      <c r="C60" s="1449"/>
      <c r="D60" s="1449"/>
      <c r="E60" s="1449"/>
      <c r="F60" s="1449"/>
      <c r="G60" s="1449"/>
      <c r="H60" s="1449"/>
      <c r="I60" s="1449"/>
      <c r="J60" s="1449"/>
      <c r="K60" s="1449"/>
      <c r="L60" s="1449"/>
      <c r="M60" s="1449"/>
      <c r="N60" s="1450"/>
      <c r="O60" s="840"/>
      <c r="P60" s="220"/>
      <c r="Q60" s="220"/>
    </row>
    <row r="61" spans="1:17">
      <c r="A61" s="1451" t="s">
        <v>1794</v>
      </c>
      <c r="B61" s="1452"/>
      <c r="C61" s="1452"/>
      <c r="D61" s="1452"/>
      <c r="E61" s="1452"/>
      <c r="F61" s="1452"/>
      <c r="G61" s="1452"/>
      <c r="H61" s="1452"/>
      <c r="I61" s="1452"/>
      <c r="J61" s="1452"/>
      <c r="K61" s="1452"/>
      <c r="L61" s="1452"/>
      <c r="M61" s="1452"/>
      <c r="N61" s="1453"/>
      <c r="O61" s="840"/>
      <c r="P61" s="220"/>
      <c r="Q61" s="220"/>
    </row>
    <row r="62" spans="1:17">
      <c r="A62" s="1451" t="s">
        <v>351</v>
      </c>
      <c r="B62" s="1440">
        <v>51.7</v>
      </c>
      <c r="C62" s="1452">
        <v>98.94</v>
      </c>
      <c r="D62" s="1452">
        <v>58.18</v>
      </c>
      <c r="E62" s="1452">
        <v>75.36</v>
      </c>
      <c r="F62" s="1452">
        <v>77.42</v>
      </c>
      <c r="G62" s="1452">
        <v>70.34</v>
      </c>
      <c r="H62" s="1452">
        <v>23.04</v>
      </c>
      <c r="I62" s="1452">
        <v>79.44</v>
      </c>
      <c r="J62" s="1440">
        <v>120.01</v>
      </c>
      <c r="K62" s="1440">
        <v>57.3</v>
      </c>
      <c r="L62" s="1440">
        <v>80.44</v>
      </c>
      <c r="M62" s="1440">
        <v>45.93</v>
      </c>
      <c r="N62" s="1454">
        <f>SUM(B62:M62)</f>
        <v>838.1</v>
      </c>
      <c r="O62" s="840"/>
      <c r="P62" s="220"/>
      <c r="Q62" s="220"/>
    </row>
    <row r="63" spans="1:17">
      <c r="A63" s="1455" t="s">
        <v>342</v>
      </c>
      <c r="B63" s="1441">
        <v>20</v>
      </c>
      <c r="C63" s="1456">
        <v>20</v>
      </c>
      <c r="D63" s="1456">
        <v>20</v>
      </c>
      <c r="E63" s="1456">
        <v>20</v>
      </c>
      <c r="F63" s="1456">
        <v>20</v>
      </c>
      <c r="G63" s="1456">
        <v>20</v>
      </c>
      <c r="H63" s="1456">
        <v>40</v>
      </c>
      <c r="I63" s="1456">
        <v>40</v>
      </c>
      <c r="J63" s="1456">
        <v>40</v>
      </c>
      <c r="K63" s="1456">
        <v>40</v>
      </c>
      <c r="L63" s="1456">
        <v>40</v>
      </c>
      <c r="M63" s="1456">
        <v>40</v>
      </c>
      <c r="N63" s="1453"/>
      <c r="O63" s="840"/>
      <c r="P63" s="220"/>
      <c r="Q63" s="220"/>
    </row>
    <row r="64" spans="1:17">
      <c r="A64" s="1455" t="s">
        <v>1784</v>
      </c>
      <c r="B64" s="1458">
        <f>ROUND(B62*B63,2)</f>
        <v>1034</v>
      </c>
      <c r="C64" s="1459">
        <f t="shared" ref="C64:I64" si="21">ROUND(C62*C63,2)</f>
        <v>1978.8</v>
      </c>
      <c r="D64" s="1459">
        <f t="shared" si="21"/>
        <v>1163.5999999999999</v>
      </c>
      <c r="E64" s="1459">
        <f t="shared" si="21"/>
        <v>1507.2</v>
      </c>
      <c r="F64" s="1459">
        <f t="shared" si="21"/>
        <v>1548.4</v>
      </c>
      <c r="G64" s="1459">
        <f t="shared" si="21"/>
        <v>1406.8</v>
      </c>
      <c r="H64" s="1459">
        <f t="shared" si="21"/>
        <v>921.6</v>
      </c>
      <c r="I64" s="1459">
        <f t="shared" si="21"/>
        <v>3177.6</v>
      </c>
      <c r="J64" s="1459">
        <f>ROUND(J62*J63,2)</f>
        <v>4800.3999999999996</v>
      </c>
      <c r="K64" s="1459">
        <f>ROUND(K62*K63,2)</f>
        <v>2292</v>
      </c>
      <c r="L64" s="1459">
        <f>ROUND(L62*L63,2)</f>
        <v>3217.6</v>
      </c>
      <c r="M64" s="1459">
        <f>ROUND(M62*M63,2)</f>
        <v>1837.2</v>
      </c>
      <c r="N64" s="1460">
        <f>SUM(B64:M64)</f>
        <v>24885.200000000001</v>
      </c>
      <c r="O64" s="840"/>
      <c r="P64" s="220"/>
      <c r="Q64" s="220"/>
    </row>
    <row r="65" spans="1:19">
      <c r="A65" s="1465"/>
      <c r="B65" s="1466"/>
      <c r="C65" s="1466"/>
      <c r="D65" s="1466"/>
      <c r="E65" s="1466"/>
      <c r="F65" s="1466"/>
      <c r="G65" s="1466"/>
      <c r="H65" s="1466"/>
      <c r="I65" s="1466"/>
      <c r="J65" s="1466"/>
      <c r="K65" s="1466"/>
      <c r="L65" s="1466"/>
      <c r="M65" s="1466"/>
      <c r="N65" s="1467"/>
      <c r="O65" s="840"/>
      <c r="P65" s="220"/>
      <c r="Q65" s="220"/>
      <c r="R65" s="220"/>
      <c r="S65" s="220"/>
    </row>
    <row r="66" spans="1:19">
      <c r="A66" s="1464"/>
      <c r="B66" s="1449"/>
      <c r="C66" s="1449"/>
      <c r="D66" s="1449"/>
      <c r="E66" s="1449"/>
      <c r="F66" s="1449"/>
      <c r="G66" s="1449"/>
      <c r="H66" s="1449"/>
      <c r="I66" s="1449"/>
      <c r="J66" s="1449"/>
      <c r="K66" s="1449"/>
      <c r="L66" s="1449"/>
      <c r="M66" s="1449"/>
      <c r="N66" s="1450"/>
      <c r="O66" s="840"/>
      <c r="P66" s="220"/>
      <c r="Q66" s="220"/>
      <c r="R66" s="220"/>
      <c r="S66" s="220"/>
    </row>
    <row r="67" spans="1:19">
      <c r="A67" s="1451" t="s">
        <v>1795</v>
      </c>
      <c r="B67" s="1452"/>
      <c r="C67" s="1452"/>
      <c r="D67" s="1452"/>
      <c r="E67" s="1452"/>
      <c r="F67" s="1452"/>
      <c r="G67" s="1452"/>
      <c r="H67" s="1452"/>
      <c r="I67" s="1452"/>
      <c r="J67" s="1452"/>
      <c r="K67" s="1452"/>
      <c r="L67" s="1452"/>
      <c r="M67" s="1452"/>
      <c r="N67" s="1453"/>
      <c r="O67" s="840"/>
      <c r="P67" s="220"/>
      <c r="Q67" s="220"/>
      <c r="R67" s="220"/>
      <c r="S67" s="220"/>
    </row>
    <row r="68" spans="1:19">
      <c r="A68" s="1451" t="s">
        <v>351</v>
      </c>
      <c r="B68" s="1440">
        <v>19.36</v>
      </c>
      <c r="C68" s="1452">
        <v>38.56</v>
      </c>
      <c r="D68" s="1452">
        <v>8.68</v>
      </c>
      <c r="E68" s="1452">
        <v>19.55</v>
      </c>
      <c r="F68" s="1452">
        <v>28.21</v>
      </c>
      <c r="G68" s="1452">
        <v>38.950000000000003</v>
      </c>
      <c r="H68" s="1452">
        <v>0</v>
      </c>
      <c r="I68" s="1452"/>
      <c r="J68" s="1440"/>
      <c r="K68" s="1440"/>
      <c r="L68" s="1440"/>
      <c r="M68" s="1440"/>
      <c r="N68" s="1454">
        <f>SUM(B68:M68)</f>
        <v>153.31</v>
      </c>
      <c r="O68" s="840"/>
      <c r="P68" s="220"/>
      <c r="Q68" s="220"/>
      <c r="R68" s="220"/>
      <c r="S68" s="220"/>
    </row>
    <row r="69" spans="1:19">
      <c r="A69" s="1455" t="s">
        <v>342</v>
      </c>
      <c r="B69" s="1441">
        <v>54.6</v>
      </c>
      <c r="C69" s="1456">
        <f>2297.33/38.56</f>
        <v>59.578060165975096</v>
      </c>
      <c r="D69" s="1456">
        <v>58.7</v>
      </c>
      <c r="E69" s="1456">
        <v>60.13</v>
      </c>
      <c r="F69" s="1456">
        <v>58.797199999999997</v>
      </c>
      <c r="G69" s="1456">
        <v>93.575900000000004</v>
      </c>
      <c r="H69" s="1456">
        <v>58.7</v>
      </c>
      <c r="I69" s="1456">
        <v>58.7</v>
      </c>
      <c r="J69" s="1456">
        <v>58.7</v>
      </c>
      <c r="K69" s="1456">
        <v>58.7</v>
      </c>
      <c r="L69" s="1456">
        <v>58.7</v>
      </c>
      <c r="M69" s="1456">
        <v>58.7</v>
      </c>
      <c r="N69" s="1453"/>
      <c r="O69" s="840"/>
      <c r="P69" s="220"/>
      <c r="Q69" s="220"/>
      <c r="R69" s="220"/>
      <c r="S69" s="220"/>
    </row>
    <row r="70" spans="1:19">
      <c r="A70" s="1455" t="s">
        <v>1784</v>
      </c>
      <c r="B70" s="1458">
        <f>ROUND(B68*B69,2)</f>
        <v>1057.06</v>
      </c>
      <c r="C70" s="1459">
        <f t="shared" ref="C70:I70" si="22">ROUND(C68*C69,2)</f>
        <v>2297.33</v>
      </c>
      <c r="D70" s="1459">
        <f t="shared" si="22"/>
        <v>509.52</v>
      </c>
      <c r="E70" s="1459">
        <f t="shared" si="22"/>
        <v>1175.54</v>
      </c>
      <c r="F70" s="1459">
        <f t="shared" si="22"/>
        <v>1658.67</v>
      </c>
      <c r="G70" s="1459">
        <f t="shared" si="22"/>
        <v>3644.78</v>
      </c>
      <c r="H70" s="1459">
        <f t="shared" si="22"/>
        <v>0</v>
      </c>
      <c r="I70" s="1459">
        <f t="shared" si="22"/>
        <v>0</v>
      </c>
      <c r="J70" s="1459">
        <f>ROUND(J68*J69,2)</f>
        <v>0</v>
      </c>
      <c r="K70" s="1459">
        <f>ROUND(K68*K69,2)</f>
        <v>0</v>
      </c>
      <c r="L70" s="1459">
        <f>ROUND(L68*L69,2)</f>
        <v>0</v>
      </c>
      <c r="M70" s="1459">
        <f>ROUND(M68*M69,2)</f>
        <v>0</v>
      </c>
      <c r="N70" s="1460">
        <f>SUM(B70:M70)</f>
        <v>10342.9</v>
      </c>
      <c r="O70" s="840"/>
      <c r="P70" s="220"/>
      <c r="Q70" s="220"/>
      <c r="R70" s="220"/>
      <c r="S70" s="220"/>
    </row>
    <row r="71" spans="1:19">
      <c r="A71" s="1465"/>
      <c r="B71" s="1466"/>
      <c r="C71" s="1466"/>
      <c r="D71" s="1466"/>
      <c r="E71" s="1466"/>
      <c r="F71" s="1466"/>
      <c r="G71" s="1466"/>
      <c r="H71" s="1466"/>
      <c r="I71" s="1466"/>
      <c r="J71" s="1466"/>
      <c r="K71" s="1466"/>
      <c r="L71" s="1466"/>
      <c r="M71" s="1466"/>
      <c r="N71" s="1467"/>
      <c r="O71" s="840"/>
      <c r="P71" s="220"/>
      <c r="Q71" s="220"/>
      <c r="R71" s="220"/>
      <c r="S71" s="220"/>
    </row>
    <row r="72" spans="1:19" s="553" customFormat="1">
      <c r="A72" s="1442" t="s">
        <v>1796</v>
      </c>
      <c r="B72" s="1443">
        <f>+B23+B59</f>
        <v>1784837.1199999999</v>
      </c>
      <c r="C72" s="1443">
        <f t="shared" ref="C72:M72" si="23">+C23+C59</f>
        <v>2011533.59</v>
      </c>
      <c r="D72" s="1443">
        <f t="shared" si="23"/>
        <v>1611088.0499999998</v>
      </c>
      <c r="E72" s="1443">
        <f t="shared" si="23"/>
        <v>1922587.36</v>
      </c>
      <c r="F72" s="1443">
        <f t="shared" si="23"/>
        <v>2060092.29</v>
      </c>
      <c r="G72" s="1443">
        <f t="shared" si="23"/>
        <v>2213145.4299999997</v>
      </c>
      <c r="H72" s="1443">
        <f t="shared" si="23"/>
        <v>1944488.96</v>
      </c>
      <c r="I72" s="1443">
        <f t="shared" si="23"/>
        <v>2140571.23</v>
      </c>
      <c r="J72" s="1443">
        <f t="shared" si="23"/>
        <v>2110173.25</v>
      </c>
      <c r="K72" s="1443">
        <f t="shared" si="23"/>
        <v>2034440.46</v>
      </c>
      <c r="L72" s="1443">
        <f t="shared" si="23"/>
        <v>2132334.5099999998</v>
      </c>
      <c r="M72" s="1443">
        <f t="shared" si="23"/>
        <v>1947215.3599999999</v>
      </c>
      <c r="N72" s="1444">
        <f>SUM(B72:M72)</f>
        <v>23912507.609999999</v>
      </c>
      <c r="O72" s="840"/>
    </row>
    <row r="73" spans="1:19" s="553" customFormat="1">
      <c r="A73" s="1442" t="s">
        <v>1797</v>
      </c>
      <c r="B73" s="1443">
        <f>-_xll.NGL(_xll.BSpec(40109,2180,"*","01"),B$7,"",$B$6,"Actual")</f>
        <v>1784836.89</v>
      </c>
      <c r="C73" s="1443">
        <f>-_xll.NGL(_xll.BSpec(40109,2180,"*","01"),C$7,"",$C$6,"Actual")</f>
        <v>2011532.5</v>
      </c>
      <c r="D73" s="1443">
        <f>-_xll.NGL(_xll.BSpec(40109,2180,"*","01"),D$7,"",$C$6,"Actual")</f>
        <v>1611088.4</v>
      </c>
      <c r="E73" s="1443">
        <f>-_xll.NGL(_xll.BSpec(40109,2180,"*","01"),E$7,"",$C$6,"Actual")</f>
        <v>1922585.53</v>
      </c>
      <c r="F73" s="1443">
        <f>-_xll.NGL(_xll.BSpec(40109,2180,"*","01"),F$7,"",$C$6,"Actual")</f>
        <v>2060091.58</v>
      </c>
      <c r="G73" s="1443">
        <f>-_xll.NGL(_xll.BSpec(40109,2180,"*","01"),G$7,"",$C$6,"Actual")</f>
        <v>2213144.88</v>
      </c>
      <c r="H73" s="1443">
        <f>-_xll.NGL(_xll.BSpec(40109,2180,"*","01"),H$7,"",$C$6,"Actual")</f>
        <v>1944488.51</v>
      </c>
      <c r="I73" s="1443">
        <f>-_xll.NGL(_xll.BSpec(40109,2180,"*","01"),I$7,"",$C$6,"Actual")</f>
        <v>2140571.17</v>
      </c>
      <c r="J73" s="1443">
        <f>-_xll.NGL(_xll.BSpec(40109,2180,"*","01"),J$7,"",$C$6,"Actual")</f>
        <v>2110172.77</v>
      </c>
      <c r="K73" s="1443">
        <f>-_xll.NGL(_xll.BSpec(40109,2180,"*","01"),K$7,"",$C$6,"Actual")</f>
        <v>2034441.19</v>
      </c>
      <c r="L73" s="1443">
        <f>-_xll.NGL(_xll.BSpec(40109,2180,"*","01"),L$7,"",$C$6,"Actual")</f>
        <v>2132334.02</v>
      </c>
      <c r="M73" s="1443">
        <f>-_xll.NGL(_xll.BSpec(40109,2180,"*","01"),M$7,"",$C$6,"Actual")</f>
        <v>1947214.83</v>
      </c>
      <c r="N73" s="1444">
        <f>SUM(B73:M73)</f>
        <v>23912502.269999996</v>
      </c>
      <c r="O73" s="840"/>
      <c r="P73" s="862"/>
    </row>
    <row r="74" spans="1:19" s="553" customFormat="1">
      <c r="A74" s="1455" t="s">
        <v>316</v>
      </c>
      <c r="B74" s="1461">
        <f>B72-B73</f>
        <v>0.22999999998137355</v>
      </c>
      <c r="C74" s="1462">
        <f>C72-C73</f>
        <v>1.090000000083819</v>
      </c>
      <c r="D74" s="1462">
        <f>D72-D73</f>
        <v>-0.35000000009313226</v>
      </c>
      <c r="E74" s="1462">
        <f t="shared" ref="E74:M74" si="24">E72-E73</f>
        <v>1.8300000000745058</v>
      </c>
      <c r="F74" s="1462">
        <f t="shared" si="24"/>
        <v>0.7099999999627471</v>
      </c>
      <c r="G74" s="1462">
        <f t="shared" si="24"/>
        <v>0.54999999981373549</v>
      </c>
      <c r="H74" s="1462">
        <f t="shared" si="24"/>
        <v>0.44999999995343387</v>
      </c>
      <c r="I74" s="1462">
        <f t="shared" si="24"/>
        <v>6.0000000055879354E-2</v>
      </c>
      <c r="J74" s="1462">
        <f t="shared" si="24"/>
        <v>0.47999999998137355</v>
      </c>
      <c r="K74" s="1462">
        <f t="shared" si="24"/>
        <v>-0.72999999998137355</v>
      </c>
      <c r="L74" s="1462">
        <f t="shared" si="24"/>
        <v>0.48999999975785613</v>
      </c>
      <c r="M74" s="1462">
        <f t="shared" si="24"/>
        <v>0.52999999979510903</v>
      </c>
      <c r="N74" s="1468">
        <f>SUM(B74:M74)</f>
        <v>5.3399999993853271</v>
      </c>
      <c r="O74" s="840"/>
      <c r="P74" s="862"/>
    </row>
    <row r="75" spans="1:19">
      <c r="A75" s="1451"/>
      <c r="B75" s="1452"/>
      <c r="C75" s="1452"/>
      <c r="D75" s="1452"/>
      <c r="E75" s="1469"/>
      <c r="F75" s="1452"/>
      <c r="G75" s="1452"/>
      <c r="H75" s="1452"/>
      <c r="I75" s="1452"/>
      <c r="J75" s="1443"/>
      <c r="K75" s="1456"/>
      <c r="L75" s="1456"/>
      <c r="M75" s="1452"/>
      <c r="N75" s="1453"/>
      <c r="O75" s="840"/>
      <c r="P75" s="862"/>
      <c r="Q75" s="220"/>
      <c r="R75" s="553"/>
      <c r="S75" s="553"/>
    </row>
    <row r="76" spans="1:19">
      <c r="A76" s="1451"/>
      <c r="B76" s="1452"/>
      <c r="C76" s="1452"/>
      <c r="D76" s="1452"/>
      <c r="E76" s="1469"/>
      <c r="F76" s="1452"/>
      <c r="G76" s="1452"/>
      <c r="H76" s="1452"/>
      <c r="I76" s="1452"/>
      <c r="J76" s="1443"/>
      <c r="K76" s="1456"/>
      <c r="L76" s="1456"/>
      <c r="M76" s="1452"/>
      <c r="N76" s="1453"/>
      <c r="O76" s="840"/>
      <c r="P76" s="862"/>
      <c r="Q76" s="220"/>
      <c r="R76" s="553"/>
      <c r="S76" s="553"/>
    </row>
    <row r="77" spans="1:19">
      <c r="A77" s="1442" t="s">
        <v>1798</v>
      </c>
      <c r="B77" s="1445">
        <f>+B41</f>
        <v>168975</v>
      </c>
      <c r="C77" s="1445">
        <f t="shared" ref="C77:M77" si="25">+C41</f>
        <v>159342.52000000002</v>
      </c>
      <c r="D77" s="1445">
        <f t="shared" si="25"/>
        <v>127771.04000000001</v>
      </c>
      <c r="E77" s="1445">
        <f t="shared" si="25"/>
        <v>154702.97</v>
      </c>
      <c r="F77" s="1445">
        <f>+F41</f>
        <v>198170.05</v>
      </c>
      <c r="G77" s="1445">
        <f t="shared" si="25"/>
        <v>155273.07999999999</v>
      </c>
      <c r="H77" s="1445">
        <f t="shared" si="25"/>
        <v>148360.39000000001</v>
      </c>
      <c r="I77" s="1445">
        <f t="shared" si="25"/>
        <v>184092.11000000002</v>
      </c>
      <c r="J77" s="1445">
        <f t="shared" si="25"/>
        <v>143539.38</v>
      </c>
      <c r="K77" s="1445">
        <f t="shared" si="25"/>
        <v>158103.75</v>
      </c>
      <c r="L77" s="1445">
        <f t="shared" si="25"/>
        <v>163623.1</v>
      </c>
      <c r="M77" s="1445">
        <f t="shared" si="25"/>
        <v>145141.14000000001</v>
      </c>
      <c r="N77" s="1444">
        <f>SUM(B77:M77)</f>
        <v>1907094.5300000003</v>
      </c>
      <c r="O77" s="840"/>
      <c r="P77" s="862"/>
      <c r="Q77" s="220"/>
      <c r="R77" s="553"/>
      <c r="S77" s="553"/>
    </row>
    <row r="78" spans="1:19">
      <c r="A78" s="1442" t="s">
        <v>1797</v>
      </c>
      <c r="B78" s="1443">
        <f>-_xll.NGL(_xll.BSpec(40109,2180,"*","02"),B$7,"",$B$6,"Actual")</f>
        <v>168975.03</v>
      </c>
      <c r="C78" s="1443">
        <f>-_xll.NGL(_xll.BSpec(40109,2180,"*","02"),C$7,"",$C$6,"Actual")</f>
        <v>159342.51</v>
      </c>
      <c r="D78" s="1443">
        <f>-_xll.NGL(_xll.BSpec(40109,2180,"*","02"),D$7,"",$C$6,"Actual")</f>
        <v>127771.04</v>
      </c>
      <c r="E78" s="1443">
        <f>-_xll.NGL(_xll.BSpec(40109,2180,"*","02"),E$7,"",$C$6,"Actual")</f>
        <v>154702.98000000001</v>
      </c>
      <c r="F78" s="1443">
        <f>-_xll.NGL(_xll.BSpec(40109,2180,"*","02"),F$7,"",$C$6,"Actual")</f>
        <v>198170.05</v>
      </c>
      <c r="G78" s="1443">
        <f>-_xll.NGL(_xll.BSpec(40109,2180,"*","02"),G$7,"",$C$6,"Actual")</f>
        <v>155273.07999999999</v>
      </c>
      <c r="H78" s="1443">
        <f>-_xll.NGL(_xll.BSpec(40109,2180,"*","02"),H$7,"",$C$6,"Actual")</f>
        <v>148360.39000000001</v>
      </c>
      <c r="I78" s="1443">
        <f>-_xll.NGL(_xll.BSpec(40109,2180,"*","02"),I$7,"",$C$6,"Actual")</f>
        <v>184092.11</v>
      </c>
      <c r="J78" s="1443">
        <f>-_xll.NGL(_xll.BSpec(40109,2180,"*","02"),J$7,"",$C$6,"Actual")</f>
        <v>143539.39000000001</v>
      </c>
      <c r="K78" s="1443">
        <f>-_xll.NGL(_xll.BSpec(40109,2180,"*","02"),K$7,"",$C$6,"Actual")</f>
        <v>158103.75</v>
      </c>
      <c r="L78" s="1443">
        <f>-_xll.NGL(_xll.BSpec(40109,2180,"*","02"),L$7,"",$C$6,"Actual")</f>
        <v>163623.1</v>
      </c>
      <c r="M78" s="1443">
        <f>-_xll.NGL(_xll.BSpec(40109,2180,"*","02"),M$7,"",$C$6,"Actual")</f>
        <v>145141.17000000001</v>
      </c>
      <c r="N78" s="1444">
        <f>SUM(B78:M78)</f>
        <v>1907094.6</v>
      </c>
      <c r="O78" s="840"/>
      <c r="P78" s="862"/>
      <c r="Q78" s="220"/>
      <c r="R78" s="553"/>
      <c r="S78" s="553"/>
    </row>
    <row r="79" spans="1:19">
      <c r="A79" s="1455" t="s">
        <v>316</v>
      </c>
      <c r="B79" s="1461">
        <f>B77-B78</f>
        <v>-2.9999999998835847E-2</v>
      </c>
      <c r="C79" s="1462">
        <f>C77-C78</f>
        <v>1.0000000009313226E-2</v>
      </c>
      <c r="D79" s="1462">
        <f>D77-D78</f>
        <v>0</v>
      </c>
      <c r="E79" s="1462">
        <f t="shared" ref="E79:M79" si="26">E77-E78</f>
        <v>-1.0000000009313226E-2</v>
      </c>
      <c r="F79" s="1462">
        <f t="shared" si="26"/>
        <v>0</v>
      </c>
      <c r="G79" s="1462">
        <f t="shared" si="26"/>
        <v>0</v>
      </c>
      <c r="H79" s="1462">
        <f t="shared" si="26"/>
        <v>0</v>
      </c>
      <c r="I79" s="1462">
        <f t="shared" si="26"/>
        <v>0</v>
      </c>
      <c r="J79" s="1462">
        <f t="shared" si="26"/>
        <v>-1.0000000009313226E-2</v>
      </c>
      <c r="K79" s="1462">
        <f t="shared" si="26"/>
        <v>0</v>
      </c>
      <c r="L79" s="1462">
        <f t="shared" si="26"/>
        <v>0</v>
      </c>
      <c r="M79" s="1462">
        <f t="shared" si="26"/>
        <v>-2.9999999998835847E-2</v>
      </c>
      <c r="N79" s="1444">
        <f>SUM(B79:M79)</f>
        <v>-7.0000000006984919E-2</v>
      </c>
      <c r="O79" s="840"/>
      <c r="P79" s="862"/>
      <c r="Q79" s="220"/>
      <c r="R79" s="553"/>
      <c r="S79" s="553"/>
    </row>
    <row r="80" spans="1:19">
      <c r="A80" s="1451"/>
      <c r="B80" s="1452"/>
      <c r="C80" s="1452"/>
      <c r="D80" s="1452"/>
      <c r="E80" s="1469"/>
      <c r="F80" s="1452"/>
      <c r="G80" s="1452"/>
      <c r="H80" s="1452"/>
      <c r="I80" s="1452"/>
      <c r="J80" s="1443"/>
      <c r="K80" s="1456"/>
      <c r="L80" s="1456"/>
      <c r="M80" s="1452"/>
      <c r="N80" s="1453"/>
      <c r="O80" s="840"/>
      <c r="P80" s="862"/>
      <c r="Q80" s="220"/>
      <c r="R80" s="553"/>
      <c r="S80" s="553"/>
    </row>
    <row r="81" spans="1:19" s="864" customFormat="1">
      <c r="A81" s="1442" t="s">
        <v>1799</v>
      </c>
      <c r="B81" s="1446">
        <f>+B64+B70</f>
        <v>2091.06</v>
      </c>
      <c r="C81" s="1446">
        <f>+C64+C70</f>
        <v>4276.13</v>
      </c>
      <c r="D81" s="1446">
        <f t="shared" ref="D81:M81" si="27">+D64+D70</f>
        <v>1673.12</v>
      </c>
      <c r="E81" s="1446">
        <f t="shared" si="27"/>
        <v>2682.74</v>
      </c>
      <c r="F81" s="1446">
        <f t="shared" si="27"/>
        <v>3207.07</v>
      </c>
      <c r="G81" s="1446">
        <f t="shared" si="27"/>
        <v>5051.58</v>
      </c>
      <c r="H81" s="1446">
        <f t="shared" si="27"/>
        <v>921.6</v>
      </c>
      <c r="I81" s="1446">
        <f t="shared" si="27"/>
        <v>3177.6</v>
      </c>
      <c r="J81" s="1446">
        <f t="shared" si="27"/>
        <v>4800.3999999999996</v>
      </c>
      <c r="K81" s="1446">
        <f t="shared" si="27"/>
        <v>2292</v>
      </c>
      <c r="L81" s="1446">
        <f t="shared" si="27"/>
        <v>3217.6</v>
      </c>
      <c r="M81" s="1446">
        <f t="shared" si="27"/>
        <v>1837.2</v>
      </c>
      <c r="N81" s="1444">
        <f>SUM(B81:M81)</f>
        <v>35228.099999999991</v>
      </c>
      <c r="O81" s="843"/>
      <c r="P81" s="862"/>
      <c r="R81" s="553"/>
      <c r="S81" s="553"/>
    </row>
    <row r="82" spans="1:19" s="553" customFormat="1">
      <c r="A82" s="1442" t="s">
        <v>1797</v>
      </c>
      <c r="B82" s="1443">
        <f>-_xll.NGL(_xll.BSpec(40109,2180,"*","04"),B$7,"",$B$6,"Actual")</f>
        <v>2113.4</v>
      </c>
      <c r="C82" s="1443">
        <f>-_xll.NGL(_xll.BSpec(40109,2180,"*","04"),C$7,"",$C$6,"Actual")</f>
        <v>4276.13</v>
      </c>
      <c r="D82" s="1443">
        <f>-_xll.NGL(_xll.BSpec(40109,2180,"*","04"),D$7,"",$C$6,"Actual")</f>
        <v>1673.12</v>
      </c>
      <c r="E82" s="1443">
        <f>-_xll.NGL(_xll.BSpec(40109,2180,"*","04"),E$7,"",$C$6,"Actual")</f>
        <v>2682.76</v>
      </c>
      <c r="F82" s="1443">
        <f>-_xll.NGL(_xll.BSpec(40109,2180,"*","04"),F$7,"",$C$6,"Actual")</f>
        <v>3207.07</v>
      </c>
      <c r="G82" s="1443">
        <f>-_xll.NGL(_xll.BSpec(40109,2180,"*","04"),G$7,"",$C$6,"Actual")</f>
        <v>5051.58</v>
      </c>
      <c r="H82" s="1443">
        <f>-_xll.NGL(_xll.BSpec(40109,2180,"*","04"),H$7,"",$C$6,"Actual")</f>
        <v>1297.5999999999999</v>
      </c>
      <c r="I82" s="1443">
        <f>-_xll.NGL(_xll.BSpec(40109,2180,"*","04"),I$7,"",$C$6,"Actual")</f>
        <v>2801.6</v>
      </c>
      <c r="J82" s="1443">
        <f>-_xll.NGL(_xll.BSpec(40109,2180,"*","04"),J$7,"",$C$6,"Actual")</f>
        <v>4800.3999999999996</v>
      </c>
      <c r="K82" s="1443">
        <f>-_xll.NGL(_xll.BSpec(40109,2180,"*","04"),K$7,"",$C$6,"Actual")</f>
        <v>2292</v>
      </c>
      <c r="L82" s="1443">
        <f>-_xll.NGL(_xll.BSpec(40109,2180,"*","04"),L$7,"",$C$6,"Actual")</f>
        <v>3217.6</v>
      </c>
      <c r="M82" s="1443">
        <f>-_xll.NGL(_xll.BSpec(40109,2180,"*","04"),M$7,"",$C$6,"Actual")</f>
        <v>1837.2</v>
      </c>
      <c r="N82" s="1444">
        <f>SUM(B82:M82)</f>
        <v>35250.459999999992</v>
      </c>
      <c r="O82" s="865"/>
    </row>
    <row r="83" spans="1:19" s="553" customFormat="1">
      <c r="A83" s="1455" t="s">
        <v>316</v>
      </c>
      <c r="B83" s="1461">
        <f>B81-B82</f>
        <v>-22.340000000000146</v>
      </c>
      <c r="C83" s="1462">
        <f>C81-C82</f>
        <v>0</v>
      </c>
      <c r="D83" s="1462">
        <f>D81-D82</f>
        <v>0</v>
      </c>
      <c r="E83" s="1462">
        <f t="shared" ref="E83:M83" si="28">E81-E82</f>
        <v>-2.0000000000436557E-2</v>
      </c>
      <c r="F83" s="1462">
        <f t="shared" si="28"/>
        <v>0</v>
      </c>
      <c r="G83" s="1462">
        <f t="shared" si="28"/>
        <v>0</v>
      </c>
      <c r="H83" s="1462">
        <f t="shared" si="28"/>
        <v>-375.99999999999989</v>
      </c>
      <c r="I83" s="1462">
        <f t="shared" si="28"/>
        <v>376</v>
      </c>
      <c r="J83" s="1462">
        <f t="shared" si="28"/>
        <v>0</v>
      </c>
      <c r="K83" s="1462">
        <f t="shared" si="28"/>
        <v>0</v>
      </c>
      <c r="L83" s="1462">
        <f t="shared" si="28"/>
        <v>0</v>
      </c>
      <c r="M83" s="1462">
        <f t="shared" si="28"/>
        <v>0</v>
      </c>
      <c r="N83" s="1468"/>
      <c r="O83" s="840"/>
      <c r="P83" s="840"/>
    </row>
    <row r="84" spans="1:19" s="553" customFormat="1">
      <c r="A84" s="1455"/>
      <c r="B84" s="1461"/>
      <c r="C84" s="1462"/>
      <c r="D84" s="1462"/>
      <c r="E84" s="1462"/>
      <c r="F84" s="1462"/>
      <c r="G84" s="1462"/>
      <c r="H84" s="1462"/>
      <c r="I84" s="1462"/>
      <c r="J84" s="1462"/>
      <c r="K84" s="1462"/>
      <c r="L84" s="1462"/>
      <c r="M84" s="1462"/>
      <c r="N84" s="1468"/>
      <c r="O84" s="840"/>
      <c r="P84" s="840"/>
    </row>
    <row r="85" spans="1:19" s="553" customFormat="1">
      <c r="A85" s="1442" t="s">
        <v>1800</v>
      </c>
      <c r="B85" s="1443">
        <f>B47+B29+B11</f>
        <v>410284.6</v>
      </c>
      <c r="C85" s="1443">
        <f t="shared" ref="C85:M85" si="29">C47+C29+C11</f>
        <v>477304.14</v>
      </c>
      <c r="D85" s="1443">
        <f t="shared" si="29"/>
        <v>374926.86</v>
      </c>
      <c r="E85" s="1443">
        <f t="shared" si="29"/>
        <v>453170.11</v>
      </c>
      <c r="F85" s="1443">
        <f t="shared" si="29"/>
        <v>499332.51</v>
      </c>
      <c r="G85" s="1443">
        <f t="shared" si="29"/>
        <v>500477.58999999997</v>
      </c>
      <c r="H85" s="1443">
        <f t="shared" si="29"/>
        <v>467805.86</v>
      </c>
      <c r="I85" s="1443">
        <f t="shared" si="29"/>
        <v>467987.62</v>
      </c>
      <c r="J85" s="1443">
        <f t="shared" si="29"/>
        <v>501487.44</v>
      </c>
      <c r="K85" s="1443">
        <f t="shared" si="29"/>
        <v>485718.6</v>
      </c>
      <c r="L85" s="1443">
        <f t="shared" si="29"/>
        <v>478464.69999999995</v>
      </c>
      <c r="M85" s="1443">
        <f t="shared" si="29"/>
        <v>432910.22</v>
      </c>
      <c r="N85" s="1444">
        <f>SUM(B85:M85)</f>
        <v>5549870.2499999991</v>
      </c>
      <c r="O85" s="840"/>
    </row>
    <row r="86" spans="1:19" s="553" customFormat="1">
      <c r="A86" s="1442" t="s">
        <v>1797</v>
      </c>
      <c r="B86" s="1443">
        <f>_xll.NGL(_xll.BSpec(31005,2180,"*","**"),B$7,"",$B$6,"Actual")</f>
        <v>417837.75</v>
      </c>
      <c r="C86" s="1443">
        <f>_xll.NGL(_xll.BSpec(31005,2180,"*","**"),C$7,"",$C$6,"Actual")</f>
        <v>485320.1</v>
      </c>
      <c r="D86" s="1443">
        <f>_xll.NGL(_xll.BSpec(31005,2180,"*","**"),D$7,"",$C$6,"Actual")</f>
        <v>381162.74</v>
      </c>
      <c r="E86" s="1443">
        <f>_xll.NGL(_xll.BSpec(31005,2180,"*","**"),E$7,"",$C$6,"Actual")</f>
        <v>469324.28</v>
      </c>
      <c r="F86" s="1443">
        <f>_xll.NGL(_xll.BSpec(31005,2180,"*","**"),F$7,"",$C$6,"Actual")</f>
        <v>508528.58</v>
      </c>
      <c r="G86" s="1443">
        <f>_xll.NGL(_xll.BSpec(31005,2180,"*","**"),G$7,"",$C$6,"Actual")</f>
        <v>508117.73</v>
      </c>
      <c r="H86" s="1443">
        <f>_xll.NGL(_xll.BSpec(31005,2180,"*","**"),H$7,"",$C$6,"Actual")</f>
        <v>473747.23</v>
      </c>
      <c r="I86" s="1443">
        <f>_xll.NGL(_xll.BSpec(31005,2180,"*","**"),I$7,"",$C$6,"Actual")</f>
        <v>478243.06</v>
      </c>
      <c r="J86" s="1443">
        <f>_xll.NGL(_xll.BSpec(31005,2180,"*","**"),J$7,"",$C$6,"Actual")</f>
        <v>512685.58</v>
      </c>
      <c r="K86" s="1443">
        <f>_xll.NGL(_xll.BSpec(31005,2180,"*","**"),K$7,"",$C$6,"Actual")</f>
        <v>493282.55</v>
      </c>
      <c r="L86" s="1443">
        <f>_xll.NGL(_xll.BSpec(31005,2180,"*","**"),L$7,"",$C$6,"Actual")</f>
        <v>487354.7</v>
      </c>
      <c r="M86" s="1443">
        <f>_xll.NGL(_xll.BSpec(31005,2180,"*","**"),M$7,"",$C$6,"Actual")</f>
        <v>440604.73</v>
      </c>
      <c r="N86" s="1444">
        <f>SUM(B86:M86)</f>
        <v>5656209.0299999993</v>
      </c>
      <c r="O86" s="840"/>
      <c r="P86" s="862"/>
    </row>
    <row r="87" spans="1:19" s="553" customFormat="1">
      <c r="A87" s="1455" t="s">
        <v>316</v>
      </c>
      <c r="B87" s="1461">
        <f>B85-B86</f>
        <v>-7553.1500000000233</v>
      </c>
      <c r="C87" s="1462">
        <f>C85-C86</f>
        <v>-8015.9599999999627</v>
      </c>
      <c r="D87" s="1462">
        <f>D85-D86</f>
        <v>-6235.8800000000047</v>
      </c>
      <c r="E87" s="1462">
        <f t="shared" ref="E87:M87" si="30">E85-E86</f>
        <v>-16154.170000000042</v>
      </c>
      <c r="F87" s="1462">
        <f t="shared" si="30"/>
        <v>-9196.070000000007</v>
      </c>
      <c r="G87" s="1462">
        <f t="shared" si="30"/>
        <v>-7640.140000000014</v>
      </c>
      <c r="H87" s="1462">
        <f t="shared" si="30"/>
        <v>-5941.3699999999953</v>
      </c>
      <c r="I87" s="1462">
        <f t="shared" si="30"/>
        <v>-10255.440000000002</v>
      </c>
      <c r="J87" s="1462">
        <f t="shared" si="30"/>
        <v>-11198.140000000014</v>
      </c>
      <c r="K87" s="1462">
        <f t="shared" si="30"/>
        <v>-7563.9500000000116</v>
      </c>
      <c r="L87" s="1462">
        <f t="shared" si="30"/>
        <v>-8890.0000000000582</v>
      </c>
      <c r="M87" s="1462">
        <f t="shared" si="30"/>
        <v>-7694.5100000000093</v>
      </c>
      <c r="N87" s="1468">
        <f>SUM(B87:M87)</f>
        <v>-106338.78000000014</v>
      </c>
      <c r="O87" s="840"/>
      <c r="P87" s="862"/>
    </row>
    <row r="88" spans="1:19" s="553" customFormat="1">
      <c r="A88" s="1455"/>
      <c r="B88" s="1461"/>
      <c r="C88" s="1462"/>
      <c r="D88" s="1462"/>
      <c r="E88" s="1462"/>
      <c r="F88" s="1462"/>
      <c r="G88" s="1462"/>
      <c r="H88" s="1462"/>
      <c r="I88" s="1462"/>
      <c r="J88" s="1462"/>
      <c r="K88" s="1462"/>
      <c r="L88" s="1462"/>
      <c r="M88" s="1462"/>
      <c r="N88" s="1468"/>
      <c r="O88" s="840"/>
      <c r="P88" s="840"/>
    </row>
    <row r="89" spans="1:19" s="553" customFormat="1">
      <c r="A89" s="1455" t="s">
        <v>1801</v>
      </c>
      <c r="B89" s="1461">
        <f>+B74+B79+B83</f>
        <v>-22.140000000017608</v>
      </c>
      <c r="C89" s="1462">
        <f>+C74+C79+C83</f>
        <v>1.1000000000931323</v>
      </c>
      <c r="D89" s="1462">
        <f>+D74+D79+D83</f>
        <v>-0.35000000009313226</v>
      </c>
      <c r="E89" s="1462">
        <f t="shared" ref="E89:M89" si="31">+E74+E79+E83</f>
        <v>1.800000000064756</v>
      </c>
      <c r="F89" s="1462">
        <f t="shared" si="31"/>
        <v>0.7099999999627471</v>
      </c>
      <c r="G89" s="1462">
        <f t="shared" si="31"/>
        <v>0.54999999981373549</v>
      </c>
      <c r="H89" s="1462">
        <f t="shared" si="31"/>
        <v>-375.55000000004645</v>
      </c>
      <c r="I89" s="1462">
        <f t="shared" si="31"/>
        <v>376.06000000005588</v>
      </c>
      <c r="J89" s="1462">
        <f t="shared" si="31"/>
        <v>0.46999999997206032</v>
      </c>
      <c r="K89" s="1462">
        <f t="shared" si="31"/>
        <v>-0.72999999998137355</v>
      </c>
      <c r="L89" s="1462">
        <f t="shared" si="31"/>
        <v>0.48999999975785613</v>
      </c>
      <c r="M89" s="1462">
        <f t="shared" si="31"/>
        <v>0.49999999979627319</v>
      </c>
      <c r="N89" s="1468"/>
      <c r="O89" s="840"/>
      <c r="P89" s="840"/>
    </row>
    <row r="90" spans="1:19">
      <c r="A90" s="1465"/>
      <c r="B90" s="1466"/>
      <c r="C90" s="1470"/>
      <c r="D90" s="1466"/>
      <c r="E90" s="1466"/>
      <c r="F90" s="1466"/>
      <c r="G90" s="1466"/>
      <c r="H90" s="1466"/>
      <c r="I90" s="1466"/>
      <c r="J90" s="1466"/>
      <c r="K90" s="1466"/>
      <c r="L90" s="1466"/>
      <c r="M90" s="1466"/>
      <c r="N90" s="1467"/>
      <c r="O90" s="575"/>
      <c r="P90" s="840"/>
      <c r="Q90" s="220"/>
      <c r="R90" s="220"/>
      <c r="S90" s="220"/>
    </row>
    <row r="91" spans="1:19">
      <c r="A91" s="220"/>
      <c r="B91" s="576"/>
      <c r="C91" s="576"/>
      <c r="D91" s="576"/>
      <c r="E91" s="576"/>
      <c r="F91" s="576"/>
      <c r="G91" s="576"/>
      <c r="H91" s="576"/>
      <c r="I91" s="576"/>
      <c r="J91" s="576"/>
      <c r="K91" s="576"/>
      <c r="L91" s="576"/>
      <c r="M91" s="576"/>
      <c r="N91" s="220"/>
      <c r="O91" s="575"/>
      <c r="P91" s="220"/>
      <c r="Q91" s="220"/>
      <c r="R91" s="220"/>
      <c r="S91" s="220"/>
    </row>
    <row r="92" spans="1:19">
      <c r="A92" s="220"/>
      <c r="B92" s="866"/>
      <c r="C92" s="867"/>
      <c r="D92" s="867"/>
      <c r="E92" s="867"/>
      <c r="F92" s="867"/>
      <c r="G92" s="867"/>
      <c r="H92" s="867"/>
      <c r="I92" s="867"/>
      <c r="J92" s="867"/>
      <c r="K92" s="867"/>
      <c r="L92" s="867"/>
      <c r="M92" s="867"/>
      <c r="N92" s="220"/>
      <c r="O92" s="220"/>
      <c r="P92" s="220"/>
      <c r="Q92" s="220"/>
      <c r="R92" s="220"/>
      <c r="S92" s="220"/>
    </row>
    <row r="93" spans="1:19">
      <c r="A93" s="220"/>
      <c r="B93" s="220"/>
      <c r="C93" s="220"/>
      <c r="D93" s="220"/>
      <c r="E93" s="220"/>
      <c r="F93" s="553"/>
      <c r="G93" s="220"/>
      <c r="H93" s="220"/>
      <c r="I93" s="220"/>
      <c r="J93" s="220"/>
      <c r="K93" s="220"/>
      <c r="L93" s="220"/>
      <c r="M93" s="220"/>
      <c r="N93" s="220"/>
      <c r="O93" s="220"/>
      <c r="P93" s="220"/>
      <c r="Q93" s="220"/>
      <c r="R93" s="220"/>
      <c r="S93" s="220"/>
    </row>
    <row r="94" spans="1:19" hidden="1">
      <c r="A94" s="868">
        <v>40122</v>
      </c>
      <c r="B94" s="839"/>
      <c r="C94" s="839"/>
      <c r="D94" s="839"/>
      <c r="E94" s="839"/>
      <c r="F94" s="869"/>
      <c r="G94" s="839"/>
      <c r="H94" s="839"/>
      <c r="I94" s="839"/>
      <c r="J94" s="839"/>
      <c r="K94" s="839"/>
      <c r="L94" s="839"/>
      <c r="M94" s="839"/>
      <c r="N94" s="220"/>
      <c r="O94" s="220"/>
      <c r="P94" s="220"/>
      <c r="Q94" s="220"/>
      <c r="R94" s="220"/>
      <c r="S94" s="220"/>
    </row>
    <row r="95" spans="1:19" hidden="1">
      <c r="A95" s="841"/>
      <c r="B95" s="845"/>
      <c r="C95" s="845"/>
      <c r="D95" s="845"/>
      <c r="E95" s="845"/>
      <c r="F95" s="845"/>
      <c r="G95" s="845"/>
      <c r="H95" s="845"/>
      <c r="I95" s="845"/>
      <c r="J95" s="845"/>
      <c r="K95" s="845"/>
      <c r="L95" s="845"/>
      <c r="M95" s="845"/>
      <c r="N95" s="220"/>
      <c r="O95" s="220"/>
      <c r="P95" s="220"/>
      <c r="Q95" s="220"/>
      <c r="R95" s="220"/>
      <c r="S95" s="220"/>
    </row>
    <row r="96" spans="1:19" hidden="1">
      <c r="A96" s="842" t="s">
        <v>352</v>
      </c>
      <c r="B96" s="221"/>
      <c r="C96" s="221"/>
      <c r="D96" s="221"/>
      <c r="E96" s="221"/>
      <c r="F96" s="221"/>
      <c r="G96" s="221"/>
      <c r="H96" s="221"/>
      <c r="I96" s="221"/>
      <c r="J96" s="221"/>
      <c r="K96" s="221"/>
      <c r="L96" s="221"/>
      <c r="M96" s="221"/>
      <c r="N96" s="220"/>
      <c r="O96" s="220"/>
      <c r="P96" s="220"/>
      <c r="Q96" s="220"/>
      <c r="R96" s="220"/>
      <c r="S96" s="220"/>
    </row>
    <row r="97" spans="1:15" hidden="1">
      <c r="A97" s="870" t="s">
        <v>351</v>
      </c>
      <c r="B97" s="844"/>
      <c r="C97" s="844"/>
      <c r="D97" s="844"/>
      <c r="E97" s="844"/>
      <c r="F97" s="844"/>
      <c r="G97" s="844"/>
      <c r="H97" s="844"/>
      <c r="I97" s="844"/>
      <c r="J97" s="844"/>
      <c r="K97" s="844"/>
      <c r="L97" s="844"/>
      <c r="M97" s="844"/>
      <c r="N97" s="220"/>
      <c r="O97" s="224" t="s">
        <v>352</v>
      </c>
    </row>
    <row r="98" spans="1:15" hidden="1">
      <c r="A98" s="870" t="s">
        <v>342</v>
      </c>
      <c r="B98" s="850">
        <v>30</v>
      </c>
      <c r="C98" s="850">
        <v>30</v>
      </c>
      <c r="D98" s="850">
        <v>30</v>
      </c>
      <c r="E98" s="850">
        <v>30</v>
      </c>
      <c r="F98" s="850">
        <v>30</v>
      </c>
      <c r="G98" s="850">
        <v>30</v>
      </c>
      <c r="H98" s="850">
        <v>30</v>
      </c>
      <c r="I98" s="850">
        <v>30</v>
      </c>
      <c r="J98" s="850">
        <v>30</v>
      </c>
      <c r="K98" s="850">
        <v>30</v>
      </c>
      <c r="L98" s="850">
        <v>30</v>
      </c>
      <c r="M98" s="850">
        <v>30</v>
      </c>
      <c r="N98" s="220"/>
      <c r="O98" s="220"/>
    </row>
    <row r="99" spans="1:15" hidden="1">
      <c r="A99" s="870" t="s">
        <v>1784</v>
      </c>
      <c r="B99" s="848">
        <f>+B97*B98</f>
        <v>0</v>
      </c>
      <c r="C99" s="848">
        <f t="shared" ref="C99:K99" si="32">+C97*C98</f>
        <v>0</v>
      </c>
      <c r="D99" s="848">
        <f t="shared" si="32"/>
        <v>0</v>
      </c>
      <c r="E99" s="848">
        <f t="shared" si="32"/>
        <v>0</v>
      </c>
      <c r="F99" s="848">
        <f t="shared" si="32"/>
        <v>0</v>
      </c>
      <c r="G99" s="848">
        <f t="shared" si="32"/>
        <v>0</v>
      </c>
      <c r="H99" s="848">
        <f t="shared" si="32"/>
        <v>0</v>
      </c>
      <c r="I99" s="848">
        <f t="shared" si="32"/>
        <v>0</v>
      </c>
      <c r="J99" s="848">
        <f t="shared" si="32"/>
        <v>0</v>
      </c>
      <c r="K99" s="848">
        <f t="shared" si="32"/>
        <v>0</v>
      </c>
      <c r="L99" s="848">
        <f>+L97*L98</f>
        <v>0</v>
      </c>
      <c r="M99" s="848">
        <f>+M97*M98</f>
        <v>0</v>
      </c>
      <c r="N99" s="220"/>
      <c r="O99" s="220"/>
    </row>
    <row r="100" spans="1:15" hidden="1">
      <c r="A100" s="841"/>
      <c r="B100" s="221"/>
      <c r="C100" s="221"/>
      <c r="D100" s="221"/>
      <c r="E100" s="221"/>
      <c r="F100" s="221"/>
      <c r="G100" s="221"/>
      <c r="H100" s="221"/>
      <c r="I100" s="221"/>
      <c r="J100" s="221"/>
      <c r="K100" s="221"/>
      <c r="L100" s="221"/>
      <c r="M100" s="221"/>
      <c r="N100" s="220"/>
      <c r="O100" s="220"/>
    </row>
    <row r="101" spans="1:15" hidden="1">
      <c r="A101" s="841"/>
      <c r="B101" s="221"/>
      <c r="C101" s="221"/>
      <c r="D101" s="221"/>
      <c r="E101" s="221"/>
      <c r="F101" s="221"/>
      <c r="G101" s="221"/>
      <c r="H101" s="221"/>
      <c r="I101" s="221"/>
      <c r="J101" s="221"/>
      <c r="K101" s="221"/>
      <c r="L101" s="221"/>
      <c r="M101" s="221"/>
      <c r="N101" s="220"/>
      <c r="O101" s="220"/>
    </row>
    <row r="102" spans="1:15" hidden="1">
      <c r="A102" s="871" t="s">
        <v>1802</v>
      </c>
      <c r="B102" s="221"/>
      <c r="C102" s="221"/>
      <c r="D102" s="221"/>
      <c r="E102" s="221"/>
      <c r="F102" s="221"/>
      <c r="G102" s="221"/>
      <c r="H102" s="221"/>
      <c r="I102" s="221"/>
      <c r="J102" s="221"/>
      <c r="K102" s="221"/>
      <c r="L102" s="221"/>
      <c r="M102" s="221"/>
      <c r="N102" s="220"/>
      <c r="O102" s="220"/>
    </row>
    <row r="103" spans="1:15" hidden="1">
      <c r="A103" s="870" t="s">
        <v>351</v>
      </c>
      <c r="B103" s="844"/>
      <c r="C103" s="844"/>
      <c r="D103" s="849"/>
      <c r="E103" s="844"/>
      <c r="F103" s="844"/>
      <c r="G103" s="844"/>
      <c r="H103" s="844"/>
      <c r="I103" s="844"/>
      <c r="J103" s="844"/>
      <c r="K103" s="844"/>
      <c r="L103" s="844"/>
      <c r="M103" s="844"/>
      <c r="N103" s="220"/>
      <c r="O103" s="224" t="s">
        <v>1803</v>
      </c>
    </row>
    <row r="104" spans="1:15" hidden="1">
      <c r="A104" s="870" t="s">
        <v>342</v>
      </c>
      <c r="B104" s="850">
        <v>75</v>
      </c>
      <c r="C104" s="850">
        <v>75</v>
      </c>
      <c r="D104" s="850">
        <v>75</v>
      </c>
      <c r="E104" s="850">
        <v>75</v>
      </c>
      <c r="F104" s="850">
        <v>75</v>
      </c>
      <c r="G104" s="850">
        <v>81.09</v>
      </c>
      <c r="H104" s="850">
        <v>75</v>
      </c>
      <c r="I104" s="850">
        <v>75</v>
      </c>
      <c r="J104" s="850">
        <v>75</v>
      </c>
      <c r="K104" s="850">
        <v>75</v>
      </c>
      <c r="L104" s="850">
        <v>75</v>
      </c>
      <c r="M104" s="850">
        <v>75</v>
      </c>
      <c r="N104" s="220"/>
      <c r="O104" s="220"/>
    </row>
    <row r="105" spans="1:15" hidden="1">
      <c r="A105" s="870" t="s">
        <v>1784</v>
      </c>
      <c r="B105" s="848">
        <f t="shared" ref="B105:K105" si="33">+B103*B104</f>
        <v>0</v>
      </c>
      <c r="C105" s="848">
        <f t="shared" si="33"/>
        <v>0</v>
      </c>
      <c r="D105" s="848">
        <f t="shared" si="33"/>
        <v>0</v>
      </c>
      <c r="E105" s="848">
        <f t="shared" si="33"/>
        <v>0</v>
      </c>
      <c r="F105" s="848">
        <f t="shared" si="33"/>
        <v>0</v>
      </c>
      <c r="G105" s="848">
        <f t="shared" si="33"/>
        <v>0</v>
      </c>
      <c r="H105" s="848">
        <f t="shared" si="33"/>
        <v>0</v>
      </c>
      <c r="I105" s="848">
        <f t="shared" si="33"/>
        <v>0</v>
      </c>
      <c r="J105" s="848">
        <f t="shared" si="33"/>
        <v>0</v>
      </c>
      <c r="K105" s="848">
        <f t="shared" si="33"/>
        <v>0</v>
      </c>
      <c r="L105" s="848">
        <f>+L103*L104</f>
        <v>0</v>
      </c>
      <c r="M105" s="848">
        <f>+M103*M104</f>
        <v>0</v>
      </c>
      <c r="N105" s="220"/>
      <c r="O105" s="220"/>
    </row>
    <row r="106" spans="1:15" hidden="1">
      <c r="A106" s="841"/>
      <c r="B106" s="221"/>
      <c r="C106" s="221"/>
      <c r="D106" s="221"/>
      <c r="E106" s="221"/>
      <c r="F106" s="221"/>
      <c r="G106" s="221"/>
      <c r="H106" s="221"/>
      <c r="I106" s="221"/>
      <c r="J106" s="221"/>
      <c r="K106" s="221"/>
      <c r="L106" s="221"/>
      <c r="M106" s="221"/>
      <c r="N106" s="220"/>
      <c r="O106" s="224"/>
    </row>
    <row r="107" spans="1:15" hidden="1">
      <c r="A107" s="841"/>
      <c r="B107" s="221"/>
      <c r="C107" s="221"/>
      <c r="D107" s="221"/>
      <c r="E107" s="221"/>
      <c r="F107" s="221"/>
      <c r="G107" s="221"/>
      <c r="H107" s="221"/>
      <c r="I107" s="221"/>
      <c r="J107" s="221"/>
      <c r="K107" s="221"/>
      <c r="L107" s="221"/>
      <c r="M107" s="221"/>
      <c r="N107" s="220"/>
      <c r="O107" s="220"/>
    </row>
    <row r="108" spans="1:15" hidden="1">
      <c r="A108" s="871" t="s">
        <v>228</v>
      </c>
      <c r="B108" s="221"/>
      <c r="C108" s="221"/>
      <c r="D108" s="221"/>
      <c r="E108" s="221"/>
      <c r="F108" s="221"/>
      <c r="G108" s="221"/>
      <c r="H108" s="221"/>
      <c r="I108" s="221"/>
      <c r="J108" s="221"/>
      <c r="K108" s="221"/>
      <c r="L108" s="221"/>
      <c r="M108" s="221"/>
      <c r="N108" s="220"/>
      <c r="O108" s="220"/>
    </row>
    <row r="109" spans="1:15" hidden="1">
      <c r="A109" s="870" t="s">
        <v>351</v>
      </c>
      <c r="B109" s="844"/>
      <c r="C109" s="844"/>
      <c r="D109" s="849"/>
      <c r="E109" s="844"/>
      <c r="F109" s="844"/>
      <c r="G109" s="844"/>
      <c r="H109" s="844"/>
      <c r="I109" s="844"/>
      <c r="J109" s="844"/>
      <c r="K109" s="844"/>
      <c r="L109" s="844"/>
      <c r="M109" s="844"/>
      <c r="N109" s="220"/>
      <c r="O109" s="224" t="s">
        <v>1803</v>
      </c>
    </row>
    <row r="110" spans="1:15" hidden="1">
      <c r="A110" s="870" t="s">
        <v>342</v>
      </c>
      <c r="B110" s="850"/>
      <c r="C110" s="850"/>
      <c r="D110" s="850"/>
      <c r="E110" s="850"/>
      <c r="F110" s="850"/>
      <c r="G110" s="850"/>
      <c r="H110" s="850"/>
      <c r="I110" s="850"/>
      <c r="J110" s="850"/>
      <c r="K110" s="850"/>
      <c r="L110" s="850"/>
      <c r="M110" s="850"/>
      <c r="N110" s="220"/>
      <c r="O110" s="220"/>
    </row>
    <row r="111" spans="1:15" hidden="1">
      <c r="A111" s="870" t="s">
        <v>1784</v>
      </c>
      <c r="B111" s="848">
        <f t="shared" ref="B111:M111" si="34">ROUND(B109*B110,2)</f>
        <v>0</v>
      </c>
      <c r="C111" s="848">
        <f t="shared" si="34"/>
        <v>0</v>
      </c>
      <c r="D111" s="848">
        <f t="shared" si="34"/>
        <v>0</v>
      </c>
      <c r="E111" s="848">
        <f t="shared" si="34"/>
        <v>0</v>
      </c>
      <c r="F111" s="848">
        <f t="shared" si="34"/>
        <v>0</v>
      </c>
      <c r="G111" s="848">
        <f t="shared" si="34"/>
        <v>0</v>
      </c>
      <c r="H111" s="848">
        <f t="shared" si="34"/>
        <v>0</v>
      </c>
      <c r="I111" s="848">
        <f t="shared" si="34"/>
        <v>0</v>
      </c>
      <c r="J111" s="848">
        <f t="shared" si="34"/>
        <v>0</v>
      </c>
      <c r="K111" s="848">
        <f t="shared" si="34"/>
        <v>0</v>
      </c>
      <c r="L111" s="848">
        <f t="shared" si="34"/>
        <v>0</v>
      </c>
      <c r="M111" s="848">
        <f t="shared" si="34"/>
        <v>0</v>
      </c>
      <c r="N111" s="220"/>
      <c r="O111" s="220"/>
    </row>
    <row r="112" spans="1:15" hidden="1">
      <c r="A112" s="841"/>
      <c r="B112" s="221"/>
      <c r="C112" s="221"/>
      <c r="D112" s="221"/>
      <c r="E112" s="221"/>
      <c r="F112" s="221"/>
      <c r="G112" s="221"/>
      <c r="H112" s="221"/>
      <c r="I112" s="221"/>
      <c r="J112" s="221"/>
      <c r="K112" s="221"/>
      <c r="L112" s="221"/>
      <c r="M112" s="221"/>
      <c r="N112" s="220"/>
      <c r="O112" s="224"/>
    </row>
    <row r="113" spans="1:15" hidden="1">
      <c r="A113" s="871" t="s">
        <v>1804</v>
      </c>
      <c r="B113" s="221"/>
      <c r="C113" s="221"/>
      <c r="D113" s="221"/>
      <c r="E113" s="221"/>
      <c r="F113" s="221"/>
      <c r="G113" s="221"/>
      <c r="H113" s="221"/>
      <c r="I113" s="221"/>
      <c r="J113" s="221"/>
      <c r="K113" s="221"/>
      <c r="L113" s="221"/>
      <c r="M113" s="221"/>
      <c r="N113" s="220"/>
      <c r="O113" s="220"/>
    </row>
    <row r="114" spans="1:15" hidden="1">
      <c r="A114" s="870" t="s">
        <v>351</v>
      </c>
      <c r="B114" s="844"/>
      <c r="C114" s="844"/>
      <c r="D114" s="849"/>
      <c r="E114" s="844"/>
      <c r="F114" s="844"/>
      <c r="G114" s="844"/>
      <c r="H114" s="844"/>
      <c r="I114" s="844"/>
      <c r="J114" s="844"/>
      <c r="K114" s="844"/>
      <c r="L114" s="844"/>
      <c r="M114" s="844"/>
      <c r="N114" s="220"/>
      <c r="O114" s="224" t="s">
        <v>1803</v>
      </c>
    </row>
    <row r="115" spans="1:15" hidden="1">
      <c r="A115" s="870" t="s">
        <v>342</v>
      </c>
      <c r="B115" s="850"/>
      <c r="C115" s="850"/>
      <c r="D115" s="850"/>
      <c r="E115" s="850"/>
      <c r="F115" s="850"/>
      <c r="G115" s="850"/>
      <c r="H115" s="850"/>
      <c r="I115" s="850"/>
      <c r="J115" s="850"/>
      <c r="K115" s="850"/>
      <c r="L115" s="850"/>
      <c r="M115" s="850"/>
      <c r="N115" s="220"/>
      <c r="O115" s="220"/>
    </row>
    <row r="116" spans="1:15" hidden="1">
      <c r="A116" s="870" t="s">
        <v>1784</v>
      </c>
      <c r="B116" s="848">
        <f t="shared" ref="B116:K116" si="35">+B114*B115</f>
        <v>0</v>
      </c>
      <c r="C116" s="848">
        <f t="shared" si="35"/>
        <v>0</v>
      </c>
      <c r="D116" s="848">
        <f t="shared" si="35"/>
        <v>0</v>
      </c>
      <c r="E116" s="848">
        <f t="shared" si="35"/>
        <v>0</v>
      </c>
      <c r="F116" s="848">
        <f t="shared" si="35"/>
        <v>0</v>
      </c>
      <c r="G116" s="848">
        <f t="shared" si="35"/>
        <v>0</v>
      </c>
      <c r="H116" s="848">
        <f t="shared" si="35"/>
        <v>0</v>
      </c>
      <c r="I116" s="848">
        <f t="shared" si="35"/>
        <v>0</v>
      </c>
      <c r="J116" s="848">
        <f t="shared" si="35"/>
        <v>0</v>
      </c>
      <c r="K116" s="848">
        <f t="shared" si="35"/>
        <v>0</v>
      </c>
      <c r="L116" s="848">
        <f>+L114*L115</f>
        <v>0</v>
      </c>
      <c r="M116" s="848">
        <f>+M114*M115</f>
        <v>0</v>
      </c>
      <c r="N116" s="220"/>
      <c r="O116" s="220"/>
    </row>
    <row r="117" spans="1:15" hidden="1">
      <c r="A117" s="841"/>
      <c r="B117" s="221"/>
      <c r="C117" s="221"/>
      <c r="D117" s="221"/>
      <c r="E117" s="221"/>
      <c r="F117" s="221"/>
      <c r="G117" s="221"/>
      <c r="H117" s="221"/>
      <c r="I117" s="221"/>
      <c r="J117" s="221"/>
      <c r="K117" s="221"/>
      <c r="L117" s="221"/>
      <c r="M117" s="221"/>
      <c r="N117" s="220"/>
      <c r="O117" s="224"/>
    </row>
    <row r="118" spans="1:15" hidden="1">
      <c r="A118" s="841"/>
      <c r="B118" s="221"/>
      <c r="C118" s="221"/>
      <c r="D118" s="221"/>
      <c r="E118" s="221"/>
      <c r="F118" s="221"/>
      <c r="G118" s="221"/>
      <c r="H118" s="221"/>
      <c r="I118" s="221"/>
      <c r="J118" s="221"/>
      <c r="K118" s="221"/>
      <c r="L118" s="221"/>
      <c r="M118" s="221"/>
      <c r="N118" s="220"/>
      <c r="O118" s="220"/>
    </row>
    <row r="119" spans="1:15" hidden="1">
      <c r="A119" s="860" t="s">
        <v>303</v>
      </c>
      <c r="B119" s="863">
        <f>+B99+B105+B111+B116</f>
        <v>0</v>
      </c>
      <c r="C119" s="863">
        <f t="shared" ref="C119:L119" si="36">+C99+C105+C111+C116</f>
        <v>0</v>
      </c>
      <c r="D119" s="863">
        <f t="shared" si="36"/>
        <v>0</v>
      </c>
      <c r="E119" s="863">
        <f t="shared" si="36"/>
        <v>0</v>
      </c>
      <c r="F119" s="863">
        <f t="shared" si="36"/>
        <v>0</v>
      </c>
      <c r="G119" s="863">
        <f t="shared" si="36"/>
        <v>0</v>
      </c>
      <c r="H119" s="863">
        <f t="shared" si="36"/>
        <v>0</v>
      </c>
      <c r="I119" s="863">
        <f t="shared" si="36"/>
        <v>0</v>
      </c>
      <c r="J119" s="863">
        <f t="shared" si="36"/>
        <v>0</v>
      </c>
      <c r="K119" s="863">
        <f t="shared" si="36"/>
        <v>0</v>
      </c>
      <c r="L119" s="863">
        <f t="shared" si="36"/>
        <v>0</v>
      </c>
      <c r="M119" s="863">
        <f>+M99+M105+M111+M116</f>
        <v>0</v>
      </c>
      <c r="N119" s="220"/>
      <c r="O119" s="220"/>
    </row>
    <row r="120" spans="1:15" hidden="1">
      <c r="A120" s="860" t="s">
        <v>1797</v>
      </c>
      <c r="B120" s="861"/>
      <c r="C120" s="861"/>
      <c r="D120" s="861"/>
      <c r="E120" s="861"/>
      <c r="F120" s="861"/>
      <c r="G120" s="861"/>
      <c r="H120" s="861"/>
      <c r="I120" s="861"/>
      <c r="J120" s="861"/>
      <c r="K120" s="861"/>
      <c r="L120" s="861"/>
      <c r="M120" s="861"/>
      <c r="N120" s="220"/>
      <c r="O120" s="220"/>
    </row>
    <row r="121" spans="1:15" hidden="1">
      <c r="A121" s="846" t="s">
        <v>316</v>
      </c>
      <c r="B121" s="850">
        <f>+B120-B119</f>
        <v>0</v>
      </c>
      <c r="C121" s="850">
        <f t="shared" ref="C121:M121" si="37">+C120-C119</f>
        <v>0</v>
      </c>
      <c r="D121" s="850">
        <f t="shared" si="37"/>
        <v>0</v>
      </c>
      <c r="E121" s="850">
        <f t="shared" si="37"/>
        <v>0</v>
      </c>
      <c r="F121" s="850">
        <f t="shared" si="37"/>
        <v>0</v>
      </c>
      <c r="G121" s="850">
        <f t="shared" si="37"/>
        <v>0</v>
      </c>
      <c r="H121" s="850">
        <f t="shared" si="37"/>
        <v>0</v>
      </c>
      <c r="I121" s="850">
        <f t="shared" si="37"/>
        <v>0</v>
      </c>
      <c r="J121" s="850">
        <f t="shared" si="37"/>
        <v>0</v>
      </c>
      <c r="K121" s="850">
        <f t="shared" si="37"/>
        <v>0</v>
      </c>
      <c r="L121" s="850">
        <f t="shared" si="37"/>
        <v>0</v>
      </c>
      <c r="M121" s="850">
        <f t="shared" si="37"/>
        <v>0</v>
      </c>
      <c r="N121" s="220"/>
      <c r="O121" s="220"/>
    </row>
    <row r="122" spans="1:15" hidden="1">
      <c r="A122" s="858"/>
      <c r="B122" s="859"/>
      <c r="C122" s="859"/>
      <c r="D122" s="859"/>
      <c r="E122" s="859"/>
      <c r="F122" s="859"/>
      <c r="G122" s="859"/>
      <c r="H122" s="859"/>
      <c r="I122" s="859"/>
      <c r="J122" s="859"/>
      <c r="K122" s="859"/>
      <c r="L122" s="859"/>
      <c r="M122" s="859"/>
      <c r="N122" s="220"/>
      <c r="O122" s="220"/>
    </row>
    <row r="123" spans="1:15" hidden="1">
      <c r="A123" s="220"/>
      <c r="B123" s="220"/>
      <c r="C123" s="220"/>
      <c r="D123" s="220"/>
      <c r="E123" s="220"/>
      <c r="F123" s="220"/>
      <c r="G123" s="220"/>
      <c r="H123" s="220"/>
      <c r="I123" s="220"/>
      <c r="J123" s="220"/>
      <c r="K123" s="220"/>
      <c r="L123" s="220"/>
      <c r="M123" s="220"/>
      <c r="N123" s="220"/>
      <c r="O123" s="220"/>
    </row>
    <row r="124" spans="1:15" hidden="1">
      <c r="A124" s="220"/>
      <c r="B124" s="220"/>
      <c r="C124" s="220"/>
      <c r="D124" s="220"/>
      <c r="E124" s="220"/>
      <c r="F124" s="220"/>
      <c r="G124" s="220"/>
      <c r="H124" s="220"/>
      <c r="I124" s="220"/>
      <c r="J124" s="220"/>
      <c r="K124" s="220"/>
      <c r="L124" s="220"/>
      <c r="M124" s="220"/>
      <c r="N124" s="220"/>
      <c r="O124" s="220"/>
    </row>
    <row r="125" spans="1:15" hidden="1">
      <c r="A125" s="220"/>
      <c r="B125" s="220"/>
      <c r="C125" s="220"/>
      <c r="D125" s="220"/>
      <c r="E125" s="220"/>
      <c r="F125" s="220"/>
      <c r="G125" s="220"/>
      <c r="H125" s="220"/>
      <c r="I125" s="220"/>
      <c r="J125" s="220"/>
      <c r="K125" s="220"/>
      <c r="L125" s="220"/>
      <c r="M125" s="220"/>
      <c r="N125" s="220"/>
      <c r="O125" s="220"/>
    </row>
    <row r="126" spans="1:15" hidden="1">
      <c r="A126" s="220"/>
      <c r="B126" s="220"/>
      <c r="C126" s="220"/>
      <c r="D126" s="220"/>
      <c r="E126" s="220"/>
      <c r="F126" s="220"/>
      <c r="G126" s="220"/>
      <c r="H126" s="220"/>
      <c r="I126" s="220"/>
      <c r="J126" s="220"/>
      <c r="K126" s="220"/>
      <c r="L126" s="220"/>
      <c r="M126" s="220"/>
      <c r="N126" s="220"/>
      <c r="O126" s="220"/>
    </row>
    <row r="127" spans="1:15">
      <c r="A127" s="220"/>
      <c r="B127" s="220"/>
      <c r="C127" s="220"/>
      <c r="D127" s="220"/>
      <c r="E127" s="220"/>
      <c r="F127" s="220"/>
      <c r="G127" s="220"/>
      <c r="H127" s="220"/>
      <c r="I127" s="220"/>
      <c r="J127" s="220"/>
      <c r="K127" s="220"/>
      <c r="L127" s="220"/>
      <c r="M127" s="220"/>
      <c r="N127" s="220"/>
      <c r="O127" s="220"/>
    </row>
  </sheetData>
  <customSheetViews>
    <customSheetView guid="{76FC386D-C488-46EF-BB9C-D1C49FEBAB90}" scale="80" fitToPage="1" hiddenRows="1">
      <pane xSplit="1" ySplit="8" topLeftCell="B45" activePane="bottomRight" state="frozen"/>
      <selection pane="bottomRight" activeCell="N62" sqref="N62"/>
      <pageMargins left="0.75" right="0.75" top="1" bottom="1" header="0.5" footer="0.5"/>
      <pageSetup scale="38" orientation="landscape" r:id="rId1"/>
      <headerFooter alignWithMargins="0"/>
    </customSheetView>
    <customSheetView guid="{16F8EA47-9864-4C0F-89A1-62B7CCC013F9}" scale="80" fitToPage="1" hiddenRows="1">
      <pane xSplit="1" ySplit="8" topLeftCell="B9" activePane="bottomRight" state="frozen"/>
      <selection pane="bottomRight" activeCell="O34" sqref="O34"/>
      <pageMargins left="0.75" right="0.75" top="1" bottom="1" header="0.5" footer="0.5"/>
      <pageSetup scale="38" orientation="landscape" r:id="rId2"/>
      <headerFooter alignWithMargins="0"/>
    </customSheetView>
  </customSheetViews>
  <mergeCells count="4">
    <mergeCell ref="A1:M1"/>
    <mergeCell ref="A2:M2"/>
    <mergeCell ref="A4:M4"/>
    <mergeCell ref="P9:Q9"/>
  </mergeCells>
  <pageMargins left="0.75" right="0.75" top="1" bottom="1" header="0.5" footer="0.5"/>
  <pageSetup scale="44" fitToHeight="2" orientation="landscape" r:id="rId3"/>
  <headerFooter alignWithMargins="0">
    <oddHeader xml:space="preserve">&amp;C&amp;"-,Bold"WAC 480-07-160&amp;"-,Regular"
</oddHeader>
  </headerFooter>
  <rowBreaks count="1" manualBreakCount="1">
    <brk id="41" max="14" man="1"/>
  </rowBreaks>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249977111117893"/>
  </sheetPr>
  <dimension ref="A1:AK514"/>
  <sheetViews>
    <sheetView showGridLines="0" view="pageBreakPreview" topLeftCell="D1" zoomScale="60" zoomScaleNormal="85" workbookViewId="0">
      <pane xSplit="4" ySplit="15" topLeftCell="H217" activePane="bottomRight" state="frozen"/>
      <selection activeCell="AP280" sqref="AP280"/>
      <selection pane="topRight" activeCell="AP280" sqref="AP280"/>
      <selection pane="bottomLeft" activeCell="AP280" sqref="AP280"/>
      <selection pane="bottomRight" activeCell="AP280" sqref="AP280"/>
    </sheetView>
  </sheetViews>
  <sheetFormatPr defaultColWidth="13.85546875" defaultRowHeight="12.75" outlineLevelRow="1"/>
  <cols>
    <col min="1" max="3" width="13.85546875" style="1" hidden="1" customWidth="1"/>
    <col min="4" max="4" width="7.85546875" style="1" customWidth="1"/>
    <col min="5" max="6" width="2.28515625" style="1" customWidth="1"/>
    <col min="7" max="7" width="23.85546875" style="1" customWidth="1"/>
    <col min="8" max="8" width="2.28515625" style="1" customWidth="1"/>
    <col min="9" max="9" width="2.140625" style="1" customWidth="1"/>
    <col min="10" max="10" width="12.28515625" style="63" customWidth="1"/>
    <col min="11" max="11" width="1.5703125" style="1" customWidth="1"/>
    <col min="12" max="12" width="12.28515625" style="63" customWidth="1"/>
    <col min="13" max="13" width="1.5703125" style="1" customWidth="1"/>
    <col min="14" max="14" width="12.28515625" style="63" customWidth="1"/>
    <col min="15" max="15" width="1.5703125" style="1" customWidth="1"/>
    <col min="16" max="16" width="13.5703125" style="63" customWidth="1"/>
    <col min="17" max="17" width="0.85546875" style="1" customWidth="1"/>
    <col min="18" max="18" width="12.28515625" style="63" customWidth="1"/>
    <col min="19" max="19" width="1.5703125" style="1" customWidth="1"/>
    <col min="20" max="20" width="12.28515625" style="63" customWidth="1"/>
    <col min="21" max="21" width="1.5703125" style="1" customWidth="1"/>
    <col min="22" max="22" width="12.28515625" style="63" customWidth="1"/>
    <col min="23" max="23" width="0.85546875" style="1" customWidth="1"/>
    <col min="24" max="24" width="12.28515625" style="63" customWidth="1"/>
    <col min="25" max="25" width="1.5703125" style="1" customWidth="1"/>
    <col min="26" max="26" width="12.28515625" style="63" customWidth="1"/>
    <col min="27" max="27" width="1.5703125" style="1" customWidth="1"/>
    <col min="28" max="28" width="12.28515625" style="63" customWidth="1"/>
    <col min="29" max="29" width="0.85546875" style="1" customWidth="1"/>
    <col min="30" max="30" width="12.28515625" style="63" customWidth="1"/>
    <col min="31" max="31" width="1.5703125" style="1" customWidth="1"/>
    <col min="32" max="32" width="12.28515625" style="63" customWidth="1"/>
    <col min="33" max="33" width="1.5703125" style="1" customWidth="1"/>
    <col min="34" max="34" width="12.28515625" style="63" customWidth="1"/>
    <col min="35" max="35" width="4.5703125" style="1" customWidth="1"/>
    <col min="36" max="36" width="1.42578125" style="1" customWidth="1"/>
    <col min="37" max="259" width="13.85546875" style="1"/>
    <col min="260" max="260" width="7.85546875" style="1" customWidth="1"/>
    <col min="261" max="262" width="2.28515625" style="1" customWidth="1"/>
    <col min="263" max="263" width="31.42578125" style="1" customWidth="1"/>
    <col min="264" max="264" width="2.28515625" style="1" customWidth="1"/>
    <col min="265" max="265" width="2.140625" style="1" customWidth="1"/>
    <col min="266" max="266" width="12.28515625" style="1" customWidth="1"/>
    <col min="267" max="267" width="1.5703125" style="1" customWidth="1"/>
    <col min="268" max="268" width="12.28515625" style="1" customWidth="1"/>
    <col min="269" max="269" width="1.5703125" style="1" customWidth="1"/>
    <col min="270" max="270" width="12.28515625" style="1" customWidth="1"/>
    <col min="271" max="271" width="1.5703125" style="1" customWidth="1"/>
    <col min="272" max="272" width="13.5703125" style="1" customWidth="1"/>
    <col min="273" max="273" width="0.85546875" style="1" customWidth="1"/>
    <col min="274" max="274" width="12.28515625" style="1" customWidth="1"/>
    <col min="275" max="275" width="1.5703125" style="1" customWidth="1"/>
    <col min="276" max="276" width="12.28515625" style="1" customWidth="1"/>
    <col min="277" max="277" width="1.5703125" style="1" customWidth="1"/>
    <col min="278" max="278" width="12.28515625" style="1" customWidth="1"/>
    <col min="279" max="279" width="0.85546875" style="1" customWidth="1"/>
    <col min="280" max="280" width="12.28515625" style="1" customWidth="1"/>
    <col min="281" max="281" width="1.5703125" style="1" customWidth="1"/>
    <col min="282" max="282" width="12.28515625" style="1" customWidth="1"/>
    <col min="283" max="283" width="1.5703125" style="1" customWidth="1"/>
    <col min="284" max="284" width="12.28515625" style="1" customWidth="1"/>
    <col min="285" max="285" width="0.85546875" style="1" customWidth="1"/>
    <col min="286" max="286" width="12.28515625" style="1" customWidth="1"/>
    <col min="287" max="287" width="1.5703125" style="1" customWidth="1"/>
    <col min="288" max="288" width="12.28515625" style="1" customWidth="1"/>
    <col min="289" max="289" width="1.5703125" style="1" customWidth="1"/>
    <col min="290" max="290" width="12.28515625" style="1" customWidth="1"/>
    <col min="291" max="291" width="4.5703125" style="1" customWidth="1"/>
    <col min="292" max="292" width="1.42578125" style="1" customWidth="1"/>
    <col min="293" max="515" width="13.85546875" style="1"/>
    <col min="516" max="516" width="7.85546875" style="1" customWidth="1"/>
    <col min="517" max="518" width="2.28515625" style="1" customWidth="1"/>
    <col min="519" max="519" width="31.42578125" style="1" customWidth="1"/>
    <col min="520" max="520" width="2.28515625" style="1" customWidth="1"/>
    <col min="521" max="521" width="2.140625" style="1" customWidth="1"/>
    <col min="522" max="522" width="12.28515625" style="1" customWidth="1"/>
    <col min="523" max="523" width="1.5703125" style="1" customWidth="1"/>
    <col min="524" max="524" width="12.28515625" style="1" customWidth="1"/>
    <col min="525" max="525" width="1.5703125" style="1" customWidth="1"/>
    <col min="526" max="526" width="12.28515625" style="1" customWidth="1"/>
    <col min="527" max="527" width="1.5703125" style="1" customWidth="1"/>
    <col min="528" max="528" width="13.5703125" style="1" customWidth="1"/>
    <col min="529" max="529" width="0.85546875" style="1" customWidth="1"/>
    <col min="530" max="530" width="12.28515625" style="1" customWidth="1"/>
    <col min="531" max="531" width="1.5703125" style="1" customWidth="1"/>
    <col min="532" max="532" width="12.28515625" style="1" customWidth="1"/>
    <col min="533" max="533" width="1.5703125" style="1" customWidth="1"/>
    <col min="534" max="534" width="12.28515625" style="1" customWidth="1"/>
    <col min="535" max="535" width="0.85546875" style="1" customWidth="1"/>
    <col min="536" max="536" width="12.28515625" style="1" customWidth="1"/>
    <col min="537" max="537" width="1.5703125" style="1" customWidth="1"/>
    <col min="538" max="538" width="12.28515625" style="1" customWidth="1"/>
    <col min="539" max="539" width="1.5703125" style="1" customWidth="1"/>
    <col min="540" max="540" width="12.28515625" style="1" customWidth="1"/>
    <col min="541" max="541" width="0.85546875" style="1" customWidth="1"/>
    <col min="542" max="542" width="12.28515625" style="1" customWidth="1"/>
    <col min="543" max="543" width="1.5703125" style="1" customWidth="1"/>
    <col min="544" max="544" width="12.28515625" style="1" customWidth="1"/>
    <col min="545" max="545" width="1.5703125" style="1" customWidth="1"/>
    <col min="546" max="546" width="12.28515625" style="1" customWidth="1"/>
    <col min="547" max="547" width="4.5703125" style="1" customWidth="1"/>
    <col min="548" max="548" width="1.42578125" style="1" customWidth="1"/>
    <col min="549" max="771" width="13.85546875" style="1"/>
    <col min="772" max="772" width="7.85546875" style="1" customWidth="1"/>
    <col min="773" max="774" width="2.28515625" style="1" customWidth="1"/>
    <col min="775" max="775" width="31.42578125" style="1" customWidth="1"/>
    <col min="776" max="776" width="2.28515625" style="1" customWidth="1"/>
    <col min="777" max="777" width="2.140625" style="1" customWidth="1"/>
    <col min="778" max="778" width="12.28515625" style="1" customWidth="1"/>
    <col min="779" max="779" width="1.5703125" style="1" customWidth="1"/>
    <col min="780" max="780" width="12.28515625" style="1" customWidth="1"/>
    <col min="781" max="781" width="1.5703125" style="1" customWidth="1"/>
    <col min="782" max="782" width="12.28515625" style="1" customWidth="1"/>
    <col min="783" max="783" width="1.5703125" style="1" customWidth="1"/>
    <col min="784" max="784" width="13.5703125" style="1" customWidth="1"/>
    <col min="785" max="785" width="0.85546875" style="1" customWidth="1"/>
    <col min="786" max="786" width="12.28515625" style="1" customWidth="1"/>
    <col min="787" max="787" width="1.5703125" style="1" customWidth="1"/>
    <col min="788" max="788" width="12.28515625" style="1" customWidth="1"/>
    <col min="789" max="789" width="1.5703125" style="1" customWidth="1"/>
    <col min="790" max="790" width="12.28515625" style="1" customWidth="1"/>
    <col min="791" max="791" width="0.85546875" style="1" customWidth="1"/>
    <col min="792" max="792" width="12.28515625" style="1" customWidth="1"/>
    <col min="793" max="793" width="1.5703125" style="1" customWidth="1"/>
    <col min="794" max="794" width="12.28515625" style="1" customWidth="1"/>
    <col min="795" max="795" width="1.5703125" style="1" customWidth="1"/>
    <col min="796" max="796" width="12.28515625" style="1" customWidth="1"/>
    <col min="797" max="797" width="0.85546875" style="1" customWidth="1"/>
    <col min="798" max="798" width="12.28515625" style="1" customWidth="1"/>
    <col min="799" max="799" width="1.5703125" style="1" customWidth="1"/>
    <col min="800" max="800" width="12.28515625" style="1" customWidth="1"/>
    <col min="801" max="801" width="1.5703125" style="1" customWidth="1"/>
    <col min="802" max="802" width="12.28515625" style="1" customWidth="1"/>
    <col min="803" max="803" width="4.5703125" style="1" customWidth="1"/>
    <col min="804" max="804" width="1.42578125" style="1" customWidth="1"/>
    <col min="805" max="1027" width="13.85546875" style="1"/>
    <col min="1028" max="1028" width="7.85546875" style="1" customWidth="1"/>
    <col min="1029" max="1030" width="2.28515625" style="1" customWidth="1"/>
    <col min="1031" max="1031" width="31.42578125" style="1" customWidth="1"/>
    <col min="1032" max="1032" width="2.28515625" style="1" customWidth="1"/>
    <col min="1033" max="1033" width="2.140625" style="1" customWidth="1"/>
    <col min="1034" max="1034" width="12.28515625" style="1" customWidth="1"/>
    <col min="1035" max="1035" width="1.5703125" style="1" customWidth="1"/>
    <col min="1036" max="1036" width="12.28515625" style="1" customWidth="1"/>
    <col min="1037" max="1037" width="1.5703125" style="1" customWidth="1"/>
    <col min="1038" max="1038" width="12.28515625" style="1" customWidth="1"/>
    <col min="1039" max="1039" width="1.5703125" style="1" customWidth="1"/>
    <col min="1040" max="1040" width="13.5703125" style="1" customWidth="1"/>
    <col min="1041" max="1041" width="0.85546875" style="1" customWidth="1"/>
    <col min="1042" max="1042" width="12.28515625" style="1" customWidth="1"/>
    <col min="1043" max="1043" width="1.5703125" style="1" customWidth="1"/>
    <col min="1044" max="1044" width="12.28515625" style="1" customWidth="1"/>
    <col min="1045" max="1045" width="1.5703125" style="1" customWidth="1"/>
    <col min="1046" max="1046" width="12.28515625" style="1" customWidth="1"/>
    <col min="1047" max="1047" width="0.85546875" style="1" customWidth="1"/>
    <col min="1048" max="1048" width="12.28515625" style="1" customWidth="1"/>
    <col min="1049" max="1049" width="1.5703125" style="1" customWidth="1"/>
    <col min="1050" max="1050" width="12.28515625" style="1" customWidth="1"/>
    <col min="1051" max="1051" width="1.5703125" style="1" customWidth="1"/>
    <col min="1052" max="1052" width="12.28515625" style="1" customWidth="1"/>
    <col min="1053" max="1053" width="0.85546875" style="1" customWidth="1"/>
    <col min="1054" max="1054" width="12.28515625" style="1" customWidth="1"/>
    <col min="1055" max="1055" width="1.5703125" style="1" customWidth="1"/>
    <col min="1056" max="1056" width="12.28515625" style="1" customWidth="1"/>
    <col min="1057" max="1057" width="1.5703125" style="1" customWidth="1"/>
    <col min="1058" max="1058" width="12.28515625" style="1" customWidth="1"/>
    <col min="1059" max="1059" width="4.5703125" style="1" customWidth="1"/>
    <col min="1060" max="1060" width="1.42578125" style="1" customWidth="1"/>
    <col min="1061" max="1283" width="13.85546875" style="1"/>
    <col min="1284" max="1284" width="7.85546875" style="1" customWidth="1"/>
    <col min="1285" max="1286" width="2.28515625" style="1" customWidth="1"/>
    <col min="1287" max="1287" width="31.42578125" style="1" customWidth="1"/>
    <col min="1288" max="1288" width="2.28515625" style="1" customWidth="1"/>
    <col min="1289" max="1289" width="2.140625" style="1" customWidth="1"/>
    <col min="1290" max="1290" width="12.28515625" style="1" customWidth="1"/>
    <col min="1291" max="1291" width="1.5703125" style="1" customWidth="1"/>
    <col min="1292" max="1292" width="12.28515625" style="1" customWidth="1"/>
    <col min="1293" max="1293" width="1.5703125" style="1" customWidth="1"/>
    <col min="1294" max="1294" width="12.28515625" style="1" customWidth="1"/>
    <col min="1295" max="1295" width="1.5703125" style="1" customWidth="1"/>
    <col min="1296" max="1296" width="13.5703125" style="1" customWidth="1"/>
    <col min="1297" max="1297" width="0.85546875" style="1" customWidth="1"/>
    <col min="1298" max="1298" width="12.28515625" style="1" customWidth="1"/>
    <col min="1299" max="1299" width="1.5703125" style="1" customWidth="1"/>
    <col min="1300" max="1300" width="12.28515625" style="1" customWidth="1"/>
    <col min="1301" max="1301" width="1.5703125" style="1" customWidth="1"/>
    <col min="1302" max="1302" width="12.28515625" style="1" customWidth="1"/>
    <col min="1303" max="1303" width="0.85546875" style="1" customWidth="1"/>
    <col min="1304" max="1304" width="12.28515625" style="1" customWidth="1"/>
    <col min="1305" max="1305" width="1.5703125" style="1" customWidth="1"/>
    <col min="1306" max="1306" width="12.28515625" style="1" customWidth="1"/>
    <col min="1307" max="1307" width="1.5703125" style="1" customWidth="1"/>
    <col min="1308" max="1308" width="12.28515625" style="1" customWidth="1"/>
    <col min="1309" max="1309" width="0.85546875" style="1" customWidth="1"/>
    <col min="1310" max="1310" width="12.28515625" style="1" customWidth="1"/>
    <col min="1311" max="1311" width="1.5703125" style="1" customWidth="1"/>
    <col min="1312" max="1312" width="12.28515625" style="1" customWidth="1"/>
    <col min="1313" max="1313" width="1.5703125" style="1" customWidth="1"/>
    <col min="1314" max="1314" width="12.28515625" style="1" customWidth="1"/>
    <col min="1315" max="1315" width="4.5703125" style="1" customWidth="1"/>
    <col min="1316" max="1316" width="1.42578125" style="1" customWidth="1"/>
    <col min="1317" max="1539" width="13.85546875" style="1"/>
    <col min="1540" max="1540" width="7.85546875" style="1" customWidth="1"/>
    <col min="1541" max="1542" width="2.28515625" style="1" customWidth="1"/>
    <col min="1543" max="1543" width="31.42578125" style="1" customWidth="1"/>
    <col min="1544" max="1544" width="2.28515625" style="1" customWidth="1"/>
    <col min="1545" max="1545" width="2.140625" style="1" customWidth="1"/>
    <col min="1546" max="1546" width="12.28515625" style="1" customWidth="1"/>
    <col min="1547" max="1547" width="1.5703125" style="1" customWidth="1"/>
    <col min="1548" max="1548" width="12.28515625" style="1" customWidth="1"/>
    <col min="1549" max="1549" width="1.5703125" style="1" customWidth="1"/>
    <col min="1550" max="1550" width="12.28515625" style="1" customWidth="1"/>
    <col min="1551" max="1551" width="1.5703125" style="1" customWidth="1"/>
    <col min="1552" max="1552" width="13.5703125" style="1" customWidth="1"/>
    <col min="1553" max="1553" width="0.85546875" style="1" customWidth="1"/>
    <col min="1554" max="1554" width="12.28515625" style="1" customWidth="1"/>
    <col min="1555" max="1555" width="1.5703125" style="1" customWidth="1"/>
    <col min="1556" max="1556" width="12.28515625" style="1" customWidth="1"/>
    <col min="1557" max="1557" width="1.5703125" style="1" customWidth="1"/>
    <col min="1558" max="1558" width="12.28515625" style="1" customWidth="1"/>
    <col min="1559" max="1559" width="0.85546875" style="1" customWidth="1"/>
    <col min="1560" max="1560" width="12.28515625" style="1" customWidth="1"/>
    <col min="1561" max="1561" width="1.5703125" style="1" customWidth="1"/>
    <col min="1562" max="1562" width="12.28515625" style="1" customWidth="1"/>
    <col min="1563" max="1563" width="1.5703125" style="1" customWidth="1"/>
    <col min="1564" max="1564" width="12.28515625" style="1" customWidth="1"/>
    <col min="1565" max="1565" width="0.85546875" style="1" customWidth="1"/>
    <col min="1566" max="1566" width="12.28515625" style="1" customWidth="1"/>
    <col min="1567" max="1567" width="1.5703125" style="1" customWidth="1"/>
    <col min="1568" max="1568" width="12.28515625" style="1" customWidth="1"/>
    <col min="1569" max="1569" width="1.5703125" style="1" customWidth="1"/>
    <col min="1570" max="1570" width="12.28515625" style="1" customWidth="1"/>
    <col min="1571" max="1571" width="4.5703125" style="1" customWidth="1"/>
    <col min="1572" max="1572" width="1.42578125" style="1" customWidth="1"/>
    <col min="1573" max="1795" width="13.85546875" style="1"/>
    <col min="1796" max="1796" width="7.85546875" style="1" customWidth="1"/>
    <col min="1797" max="1798" width="2.28515625" style="1" customWidth="1"/>
    <col min="1799" max="1799" width="31.42578125" style="1" customWidth="1"/>
    <col min="1800" max="1800" width="2.28515625" style="1" customWidth="1"/>
    <col min="1801" max="1801" width="2.140625" style="1" customWidth="1"/>
    <col min="1802" max="1802" width="12.28515625" style="1" customWidth="1"/>
    <col min="1803" max="1803" width="1.5703125" style="1" customWidth="1"/>
    <col min="1804" max="1804" width="12.28515625" style="1" customWidth="1"/>
    <col min="1805" max="1805" width="1.5703125" style="1" customWidth="1"/>
    <col min="1806" max="1806" width="12.28515625" style="1" customWidth="1"/>
    <col min="1807" max="1807" width="1.5703125" style="1" customWidth="1"/>
    <col min="1808" max="1808" width="13.5703125" style="1" customWidth="1"/>
    <col min="1809" max="1809" width="0.85546875" style="1" customWidth="1"/>
    <col min="1810" max="1810" width="12.28515625" style="1" customWidth="1"/>
    <col min="1811" max="1811" width="1.5703125" style="1" customWidth="1"/>
    <col min="1812" max="1812" width="12.28515625" style="1" customWidth="1"/>
    <col min="1813" max="1813" width="1.5703125" style="1" customWidth="1"/>
    <col min="1814" max="1814" width="12.28515625" style="1" customWidth="1"/>
    <col min="1815" max="1815" width="0.85546875" style="1" customWidth="1"/>
    <col min="1816" max="1816" width="12.28515625" style="1" customWidth="1"/>
    <col min="1817" max="1817" width="1.5703125" style="1" customWidth="1"/>
    <col min="1818" max="1818" width="12.28515625" style="1" customWidth="1"/>
    <col min="1819" max="1819" width="1.5703125" style="1" customWidth="1"/>
    <col min="1820" max="1820" width="12.28515625" style="1" customWidth="1"/>
    <col min="1821" max="1821" width="0.85546875" style="1" customWidth="1"/>
    <col min="1822" max="1822" width="12.28515625" style="1" customWidth="1"/>
    <col min="1823" max="1823" width="1.5703125" style="1" customWidth="1"/>
    <col min="1824" max="1824" width="12.28515625" style="1" customWidth="1"/>
    <col min="1825" max="1825" width="1.5703125" style="1" customWidth="1"/>
    <col min="1826" max="1826" width="12.28515625" style="1" customWidth="1"/>
    <col min="1827" max="1827" width="4.5703125" style="1" customWidth="1"/>
    <col min="1828" max="1828" width="1.42578125" style="1" customWidth="1"/>
    <col min="1829" max="2051" width="13.85546875" style="1"/>
    <col min="2052" max="2052" width="7.85546875" style="1" customWidth="1"/>
    <col min="2053" max="2054" width="2.28515625" style="1" customWidth="1"/>
    <col min="2055" max="2055" width="31.42578125" style="1" customWidth="1"/>
    <col min="2056" max="2056" width="2.28515625" style="1" customWidth="1"/>
    <col min="2057" max="2057" width="2.140625" style="1" customWidth="1"/>
    <col min="2058" max="2058" width="12.28515625" style="1" customWidth="1"/>
    <col min="2059" max="2059" width="1.5703125" style="1" customWidth="1"/>
    <col min="2060" max="2060" width="12.28515625" style="1" customWidth="1"/>
    <col min="2061" max="2061" width="1.5703125" style="1" customWidth="1"/>
    <col min="2062" max="2062" width="12.28515625" style="1" customWidth="1"/>
    <col min="2063" max="2063" width="1.5703125" style="1" customWidth="1"/>
    <col min="2064" max="2064" width="13.5703125" style="1" customWidth="1"/>
    <col min="2065" max="2065" width="0.85546875" style="1" customWidth="1"/>
    <col min="2066" max="2066" width="12.28515625" style="1" customWidth="1"/>
    <col min="2067" max="2067" width="1.5703125" style="1" customWidth="1"/>
    <col min="2068" max="2068" width="12.28515625" style="1" customWidth="1"/>
    <col min="2069" max="2069" width="1.5703125" style="1" customWidth="1"/>
    <col min="2070" max="2070" width="12.28515625" style="1" customWidth="1"/>
    <col min="2071" max="2071" width="0.85546875" style="1" customWidth="1"/>
    <col min="2072" max="2072" width="12.28515625" style="1" customWidth="1"/>
    <col min="2073" max="2073" width="1.5703125" style="1" customWidth="1"/>
    <col min="2074" max="2074" width="12.28515625" style="1" customWidth="1"/>
    <col min="2075" max="2075" width="1.5703125" style="1" customWidth="1"/>
    <col min="2076" max="2076" width="12.28515625" style="1" customWidth="1"/>
    <col min="2077" max="2077" width="0.85546875" style="1" customWidth="1"/>
    <col min="2078" max="2078" width="12.28515625" style="1" customWidth="1"/>
    <col min="2079" max="2079" width="1.5703125" style="1" customWidth="1"/>
    <col min="2080" max="2080" width="12.28515625" style="1" customWidth="1"/>
    <col min="2081" max="2081" width="1.5703125" style="1" customWidth="1"/>
    <col min="2082" max="2082" width="12.28515625" style="1" customWidth="1"/>
    <col min="2083" max="2083" width="4.5703125" style="1" customWidth="1"/>
    <col min="2084" max="2084" width="1.42578125" style="1" customWidth="1"/>
    <col min="2085" max="2307" width="13.85546875" style="1"/>
    <col min="2308" max="2308" width="7.85546875" style="1" customWidth="1"/>
    <col min="2309" max="2310" width="2.28515625" style="1" customWidth="1"/>
    <col min="2311" max="2311" width="31.42578125" style="1" customWidth="1"/>
    <col min="2312" max="2312" width="2.28515625" style="1" customWidth="1"/>
    <col min="2313" max="2313" width="2.140625" style="1" customWidth="1"/>
    <col min="2314" max="2314" width="12.28515625" style="1" customWidth="1"/>
    <col min="2315" max="2315" width="1.5703125" style="1" customWidth="1"/>
    <col min="2316" max="2316" width="12.28515625" style="1" customWidth="1"/>
    <col min="2317" max="2317" width="1.5703125" style="1" customWidth="1"/>
    <col min="2318" max="2318" width="12.28515625" style="1" customWidth="1"/>
    <col min="2319" max="2319" width="1.5703125" style="1" customWidth="1"/>
    <col min="2320" max="2320" width="13.5703125" style="1" customWidth="1"/>
    <col min="2321" max="2321" width="0.85546875" style="1" customWidth="1"/>
    <col min="2322" max="2322" width="12.28515625" style="1" customWidth="1"/>
    <col min="2323" max="2323" width="1.5703125" style="1" customWidth="1"/>
    <col min="2324" max="2324" width="12.28515625" style="1" customWidth="1"/>
    <col min="2325" max="2325" width="1.5703125" style="1" customWidth="1"/>
    <col min="2326" max="2326" width="12.28515625" style="1" customWidth="1"/>
    <col min="2327" max="2327" width="0.85546875" style="1" customWidth="1"/>
    <col min="2328" max="2328" width="12.28515625" style="1" customWidth="1"/>
    <col min="2329" max="2329" width="1.5703125" style="1" customWidth="1"/>
    <col min="2330" max="2330" width="12.28515625" style="1" customWidth="1"/>
    <col min="2331" max="2331" width="1.5703125" style="1" customWidth="1"/>
    <col min="2332" max="2332" width="12.28515625" style="1" customWidth="1"/>
    <col min="2333" max="2333" width="0.85546875" style="1" customWidth="1"/>
    <col min="2334" max="2334" width="12.28515625" style="1" customWidth="1"/>
    <col min="2335" max="2335" width="1.5703125" style="1" customWidth="1"/>
    <col min="2336" max="2336" width="12.28515625" style="1" customWidth="1"/>
    <col min="2337" max="2337" width="1.5703125" style="1" customWidth="1"/>
    <col min="2338" max="2338" width="12.28515625" style="1" customWidth="1"/>
    <col min="2339" max="2339" width="4.5703125" style="1" customWidth="1"/>
    <col min="2340" max="2340" width="1.42578125" style="1" customWidth="1"/>
    <col min="2341" max="2563" width="13.85546875" style="1"/>
    <col min="2564" max="2564" width="7.85546875" style="1" customWidth="1"/>
    <col min="2565" max="2566" width="2.28515625" style="1" customWidth="1"/>
    <col min="2567" max="2567" width="31.42578125" style="1" customWidth="1"/>
    <col min="2568" max="2568" width="2.28515625" style="1" customWidth="1"/>
    <col min="2569" max="2569" width="2.140625" style="1" customWidth="1"/>
    <col min="2570" max="2570" width="12.28515625" style="1" customWidth="1"/>
    <col min="2571" max="2571" width="1.5703125" style="1" customWidth="1"/>
    <col min="2572" max="2572" width="12.28515625" style="1" customWidth="1"/>
    <col min="2573" max="2573" width="1.5703125" style="1" customWidth="1"/>
    <col min="2574" max="2574" width="12.28515625" style="1" customWidth="1"/>
    <col min="2575" max="2575" width="1.5703125" style="1" customWidth="1"/>
    <col min="2576" max="2576" width="13.5703125" style="1" customWidth="1"/>
    <col min="2577" max="2577" width="0.85546875" style="1" customWidth="1"/>
    <col min="2578" max="2578" width="12.28515625" style="1" customWidth="1"/>
    <col min="2579" max="2579" width="1.5703125" style="1" customWidth="1"/>
    <col min="2580" max="2580" width="12.28515625" style="1" customWidth="1"/>
    <col min="2581" max="2581" width="1.5703125" style="1" customWidth="1"/>
    <col min="2582" max="2582" width="12.28515625" style="1" customWidth="1"/>
    <col min="2583" max="2583" width="0.85546875" style="1" customWidth="1"/>
    <col min="2584" max="2584" width="12.28515625" style="1" customWidth="1"/>
    <col min="2585" max="2585" width="1.5703125" style="1" customWidth="1"/>
    <col min="2586" max="2586" width="12.28515625" style="1" customWidth="1"/>
    <col min="2587" max="2587" width="1.5703125" style="1" customWidth="1"/>
    <col min="2588" max="2588" width="12.28515625" style="1" customWidth="1"/>
    <col min="2589" max="2589" width="0.85546875" style="1" customWidth="1"/>
    <col min="2590" max="2590" width="12.28515625" style="1" customWidth="1"/>
    <col min="2591" max="2591" width="1.5703125" style="1" customWidth="1"/>
    <col min="2592" max="2592" width="12.28515625" style="1" customWidth="1"/>
    <col min="2593" max="2593" width="1.5703125" style="1" customWidth="1"/>
    <col min="2594" max="2594" width="12.28515625" style="1" customWidth="1"/>
    <col min="2595" max="2595" width="4.5703125" style="1" customWidth="1"/>
    <col min="2596" max="2596" width="1.42578125" style="1" customWidth="1"/>
    <col min="2597" max="2819" width="13.85546875" style="1"/>
    <col min="2820" max="2820" width="7.85546875" style="1" customWidth="1"/>
    <col min="2821" max="2822" width="2.28515625" style="1" customWidth="1"/>
    <col min="2823" max="2823" width="31.42578125" style="1" customWidth="1"/>
    <col min="2824" max="2824" width="2.28515625" style="1" customWidth="1"/>
    <col min="2825" max="2825" width="2.140625" style="1" customWidth="1"/>
    <col min="2826" max="2826" width="12.28515625" style="1" customWidth="1"/>
    <col min="2827" max="2827" width="1.5703125" style="1" customWidth="1"/>
    <col min="2828" max="2828" width="12.28515625" style="1" customWidth="1"/>
    <col min="2829" max="2829" width="1.5703125" style="1" customWidth="1"/>
    <col min="2830" max="2830" width="12.28515625" style="1" customWidth="1"/>
    <col min="2831" max="2831" width="1.5703125" style="1" customWidth="1"/>
    <col min="2832" max="2832" width="13.5703125" style="1" customWidth="1"/>
    <col min="2833" max="2833" width="0.85546875" style="1" customWidth="1"/>
    <col min="2834" max="2834" width="12.28515625" style="1" customWidth="1"/>
    <col min="2835" max="2835" width="1.5703125" style="1" customWidth="1"/>
    <col min="2836" max="2836" width="12.28515625" style="1" customWidth="1"/>
    <col min="2837" max="2837" width="1.5703125" style="1" customWidth="1"/>
    <col min="2838" max="2838" width="12.28515625" style="1" customWidth="1"/>
    <col min="2839" max="2839" width="0.85546875" style="1" customWidth="1"/>
    <col min="2840" max="2840" width="12.28515625" style="1" customWidth="1"/>
    <col min="2841" max="2841" width="1.5703125" style="1" customWidth="1"/>
    <col min="2842" max="2842" width="12.28515625" style="1" customWidth="1"/>
    <col min="2843" max="2843" width="1.5703125" style="1" customWidth="1"/>
    <col min="2844" max="2844" width="12.28515625" style="1" customWidth="1"/>
    <col min="2845" max="2845" width="0.85546875" style="1" customWidth="1"/>
    <col min="2846" max="2846" width="12.28515625" style="1" customWidth="1"/>
    <col min="2847" max="2847" width="1.5703125" style="1" customWidth="1"/>
    <col min="2848" max="2848" width="12.28515625" style="1" customWidth="1"/>
    <col min="2849" max="2849" width="1.5703125" style="1" customWidth="1"/>
    <col min="2850" max="2850" width="12.28515625" style="1" customWidth="1"/>
    <col min="2851" max="2851" width="4.5703125" style="1" customWidth="1"/>
    <col min="2852" max="2852" width="1.42578125" style="1" customWidth="1"/>
    <col min="2853" max="3075" width="13.85546875" style="1"/>
    <col min="3076" max="3076" width="7.85546875" style="1" customWidth="1"/>
    <col min="3077" max="3078" width="2.28515625" style="1" customWidth="1"/>
    <col min="3079" max="3079" width="31.42578125" style="1" customWidth="1"/>
    <col min="3080" max="3080" width="2.28515625" style="1" customWidth="1"/>
    <col min="3081" max="3081" width="2.140625" style="1" customWidth="1"/>
    <col min="3082" max="3082" width="12.28515625" style="1" customWidth="1"/>
    <col min="3083" max="3083" width="1.5703125" style="1" customWidth="1"/>
    <col min="3084" max="3084" width="12.28515625" style="1" customWidth="1"/>
    <col min="3085" max="3085" width="1.5703125" style="1" customWidth="1"/>
    <col min="3086" max="3086" width="12.28515625" style="1" customWidth="1"/>
    <col min="3087" max="3087" width="1.5703125" style="1" customWidth="1"/>
    <col min="3088" max="3088" width="13.5703125" style="1" customWidth="1"/>
    <col min="3089" max="3089" width="0.85546875" style="1" customWidth="1"/>
    <col min="3090" max="3090" width="12.28515625" style="1" customWidth="1"/>
    <col min="3091" max="3091" width="1.5703125" style="1" customWidth="1"/>
    <col min="3092" max="3092" width="12.28515625" style="1" customWidth="1"/>
    <col min="3093" max="3093" width="1.5703125" style="1" customWidth="1"/>
    <col min="3094" max="3094" width="12.28515625" style="1" customWidth="1"/>
    <col min="3095" max="3095" width="0.85546875" style="1" customWidth="1"/>
    <col min="3096" max="3096" width="12.28515625" style="1" customWidth="1"/>
    <col min="3097" max="3097" width="1.5703125" style="1" customWidth="1"/>
    <col min="3098" max="3098" width="12.28515625" style="1" customWidth="1"/>
    <col min="3099" max="3099" width="1.5703125" style="1" customWidth="1"/>
    <col min="3100" max="3100" width="12.28515625" style="1" customWidth="1"/>
    <col min="3101" max="3101" width="0.85546875" style="1" customWidth="1"/>
    <col min="3102" max="3102" width="12.28515625" style="1" customWidth="1"/>
    <col min="3103" max="3103" width="1.5703125" style="1" customWidth="1"/>
    <col min="3104" max="3104" width="12.28515625" style="1" customWidth="1"/>
    <col min="3105" max="3105" width="1.5703125" style="1" customWidth="1"/>
    <col min="3106" max="3106" width="12.28515625" style="1" customWidth="1"/>
    <col min="3107" max="3107" width="4.5703125" style="1" customWidth="1"/>
    <col min="3108" max="3108" width="1.42578125" style="1" customWidth="1"/>
    <col min="3109" max="3331" width="13.85546875" style="1"/>
    <col min="3332" max="3332" width="7.85546875" style="1" customWidth="1"/>
    <col min="3333" max="3334" width="2.28515625" style="1" customWidth="1"/>
    <col min="3335" max="3335" width="31.42578125" style="1" customWidth="1"/>
    <col min="3336" max="3336" width="2.28515625" style="1" customWidth="1"/>
    <col min="3337" max="3337" width="2.140625" style="1" customWidth="1"/>
    <col min="3338" max="3338" width="12.28515625" style="1" customWidth="1"/>
    <col min="3339" max="3339" width="1.5703125" style="1" customWidth="1"/>
    <col min="3340" max="3340" width="12.28515625" style="1" customWidth="1"/>
    <col min="3341" max="3341" width="1.5703125" style="1" customWidth="1"/>
    <col min="3342" max="3342" width="12.28515625" style="1" customWidth="1"/>
    <col min="3343" max="3343" width="1.5703125" style="1" customWidth="1"/>
    <col min="3344" max="3344" width="13.5703125" style="1" customWidth="1"/>
    <col min="3345" max="3345" width="0.85546875" style="1" customWidth="1"/>
    <col min="3346" max="3346" width="12.28515625" style="1" customWidth="1"/>
    <col min="3347" max="3347" width="1.5703125" style="1" customWidth="1"/>
    <col min="3348" max="3348" width="12.28515625" style="1" customWidth="1"/>
    <col min="3349" max="3349" width="1.5703125" style="1" customWidth="1"/>
    <col min="3350" max="3350" width="12.28515625" style="1" customWidth="1"/>
    <col min="3351" max="3351" width="0.85546875" style="1" customWidth="1"/>
    <col min="3352" max="3352" width="12.28515625" style="1" customWidth="1"/>
    <col min="3353" max="3353" width="1.5703125" style="1" customWidth="1"/>
    <col min="3354" max="3354" width="12.28515625" style="1" customWidth="1"/>
    <col min="3355" max="3355" width="1.5703125" style="1" customWidth="1"/>
    <col min="3356" max="3356" width="12.28515625" style="1" customWidth="1"/>
    <col min="3357" max="3357" width="0.85546875" style="1" customWidth="1"/>
    <col min="3358" max="3358" width="12.28515625" style="1" customWidth="1"/>
    <col min="3359" max="3359" width="1.5703125" style="1" customWidth="1"/>
    <col min="3360" max="3360" width="12.28515625" style="1" customWidth="1"/>
    <col min="3361" max="3361" width="1.5703125" style="1" customWidth="1"/>
    <col min="3362" max="3362" width="12.28515625" style="1" customWidth="1"/>
    <col min="3363" max="3363" width="4.5703125" style="1" customWidth="1"/>
    <col min="3364" max="3364" width="1.42578125" style="1" customWidth="1"/>
    <col min="3365" max="3587" width="13.85546875" style="1"/>
    <col min="3588" max="3588" width="7.85546875" style="1" customWidth="1"/>
    <col min="3589" max="3590" width="2.28515625" style="1" customWidth="1"/>
    <col min="3591" max="3591" width="31.42578125" style="1" customWidth="1"/>
    <col min="3592" max="3592" width="2.28515625" style="1" customWidth="1"/>
    <col min="3593" max="3593" width="2.140625" style="1" customWidth="1"/>
    <col min="3594" max="3594" width="12.28515625" style="1" customWidth="1"/>
    <col min="3595" max="3595" width="1.5703125" style="1" customWidth="1"/>
    <col min="3596" max="3596" width="12.28515625" style="1" customWidth="1"/>
    <col min="3597" max="3597" width="1.5703125" style="1" customWidth="1"/>
    <col min="3598" max="3598" width="12.28515625" style="1" customWidth="1"/>
    <col min="3599" max="3599" width="1.5703125" style="1" customWidth="1"/>
    <col min="3600" max="3600" width="13.5703125" style="1" customWidth="1"/>
    <col min="3601" max="3601" width="0.85546875" style="1" customWidth="1"/>
    <col min="3602" max="3602" width="12.28515625" style="1" customWidth="1"/>
    <col min="3603" max="3603" width="1.5703125" style="1" customWidth="1"/>
    <col min="3604" max="3604" width="12.28515625" style="1" customWidth="1"/>
    <col min="3605" max="3605" width="1.5703125" style="1" customWidth="1"/>
    <col min="3606" max="3606" width="12.28515625" style="1" customWidth="1"/>
    <col min="3607" max="3607" width="0.85546875" style="1" customWidth="1"/>
    <col min="3608" max="3608" width="12.28515625" style="1" customWidth="1"/>
    <col min="3609" max="3609" width="1.5703125" style="1" customWidth="1"/>
    <col min="3610" max="3610" width="12.28515625" style="1" customWidth="1"/>
    <col min="3611" max="3611" width="1.5703125" style="1" customWidth="1"/>
    <col min="3612" max="3612" width="12.28515625" style="1" customWidth="1"/>
    <col min="3613" max="3613" width="0.85546875" style="1" customWidth="1"/>
    <col min="3614" max="3614" width="12.28515625" style="1" customWidth="1"/>
    <col min="3615" max="3615" width="1.5703125" style="1" customWidth="1"/>
    <col min="3616" max="3616" width="12.28515625" style="1" customWidth="1"/>
    <col min="3617" max="3617" width="1.5703125" style="1" customWidth="1"/>
    <col min="3618" max="3618" width="12.28515625" style="1" customWidth="1"/>
    <col min="3619" max="3619" width="4.5703125" style="1" customWidth="1"/>
    <col min="3620" max="3620" width="1.42578125" style="1" customWidth="1"/>
    <col min="3621" max="3843" width="13.85546875" style="1"/>
    <col min="3844" max="3844" width="7.85546875" style="1" customWidth="1"/>
    <col min="3845" max="3846" width="2.28515625" style="1" customWidth="1"/>
    <col min="3847" max="3847" width="31.42578125" style="1" customWidth="1"/>
    <col min="3848" max="3848" width="2.28515625" style="1" customWidth="1"/>
    <col min="3849" max="3849" width="2.140625" style="1" customWidth="1"/>
    <col min="3850" max="3850" width="12.28515625" style="1" customWidth="1"/>
    <col min="3851" max="3851" width="1.5703125" style="1" customWidth="1"/>
    <col min="3852" max="3852" width="12.28515625" style="1" customWidth="1"/>
    <col min="3853" max="3853" width="1.5703125" style="1" customWidth="1"/>
    <col min="3854" max="3854" width="12.28515625" style="1" customWidth="1"/>
    <col min="3855" max="3855" width="1.5703125" style="1" customWidth="1"/>
    <col min="3856" max="3856" width="13.5703125" style="1" customWidth="1"/>
    <col min="3857" max="3857" width="0.85546875" style="1" customWidth="1"/>
    <col min="3858" max="3858" width="12.28515625" style="1" customWidth="1"/>
    <col min="3859" max="3859" width="1.5703125" style="1" customWidth="1"/>
    <col min="3860" max="3860" width="12.28515625" style="1" customWidth="1"/>
    <col min="3861" max="3861" width="1.5703125" style="1" customWidth="1"/>
    <col min="3862" max="3862" width="12.28515625" style="1" customWidth="1"/>
    <col min="3863" max="3863" width="0.85546875" style="1" customWidth="1"/>
    <col min="3864" max="3864" width="12.28515625" style="1" customWidth="1"/>
    <col min="3865" max="3865" width="1.5703125" style="1" customWidth="1"/>
    <col min="3866" max="3866" width="12.28515625" style="1" customWidth="1"/>
    <col min="3867" max="3867" width="1.5703125" style="1" customWidth="1"/>
    <col min="3868" max="3868" width="12.28515625" style="1" customWidth="1"/>
    <col min="3869" max="3869" width="0.85546875" style="1" customWidth="1"/>
    <col min="3870" max="3870" width="12.28515625" style="1" customWidth="1"/>
    <col min="3871" max="3871" width="1.5703125" style="1" customWidth="1"/>
    <col min="3872" max="3872" width="12.28515625" style="1" customWidth="1"/>
    <col min="3873" max="3873" width="1.5703125" style="1" customWidth="1"/>
    <col min="3874" max="3874" width="12.28515625" style="1" customWidth="1"/>
    <col min="3875" max="3875" width="4.5703125" style="1" customWidth="1"/>
    <col min="3876" max="3876" width="1.42578125" style="1" customWidth="1"/>
    <col min="3877" max="4099" width="13.85546875" style="1"/>
    <col min="4100" max="4100" width="7.85546875" style="1" customWidth="1"/>
    <col min="4101" max="4102" width="2.28515625" style="1" customWidth="1"/>
    <col min="4103" max="4103" width="31.42578125" style="1" customWidth="1"/>
    <col min="4104" max="4104" width="2.28515625" style="1" customWidth="1"/>
    <col min="4105" max="4105" width="2.140625" style="1" customWidth="1"/>
    <col min="4106" max="4106" width="12.28515625" style="1" customWidth="1"/>
    <col min="4107" max="4107" width="1.5703125" style="1" customWidth="1"/>
    <col min="4108" max="4108" width="12.28515625" style="1" customWidth="1"/>
    <col min="4109" max="4109" width="1.5703125" style="1" customWidth="1"/>
    <col min="4110" max="4110" width="12.28515625" style="1" customWidth="1"/>
    <col min="4111" max="4111" width="1.5703125" style="1" customWidth="1"/>
    <col min="4112" max="4112" width="13.5703125" style="1" customWidth="1"/>
    <col min="4113" max="4113" width="0.85546875" style="1" customWidth="1"/>
    <col min="4114" max="4114" width="12.28515625" style="1" customWidth="1"/>
    <col min="4115" max="4115" width="1.5703125" style="1" customWidth="1"/>
    <col min="4116" max="4116" width="12.28515625" style="1" customWidth="1"/>
    <col min="4117" max="4117" width="1.5703125" style="1" customWidth="1"/>
    <col min="4118" max="4118" width="12.28515625" style="1" customWidth="1"/>
    <col min="4119" max="4119" width="0.85546875" style="1" customWidth="1"/>
    <col min="4120" max="4120" width="12.28515625" style="1" customWidth="1"/>
    <col min="4121" max="4121" width="1.5703125" style="1" customWidth="1"/>
    <col min="4122" max="4122" width="12.28515625" style="1" customWidth="1"/>
    <col min="4123" max="4123" width="1.5703125" style="1" customWidth="1"/>
    <col min="4124" max="4124" width="12.28515625" style="1" customWidth="1"/>
    <col min="4125" max="4125" width="0.85546875" style="1" customWidth="1"/>
    <col min="4126" max="4126" width="12.28515625" style="1" customWidth="1"/>
    <col min="4127" max="4127" width="1.5703125" style="1" customWidth="1"/>
    <col min="4128" max="4128" width="12.28515625" style="1" customWidth="1"/>
    <col min="4129" max="4129" width="1.5703125" style="1" customWidth="1"/>
    <col min="4130" max="4130" width="12.28515625" style="1" customWidth="1"/>
    <col min="4131" max="4131" width="4.5703125" style="1" customWidth="1"/>
    <col min="4132" max="4132" width="1.42578125" style="1" customWidth="1"/>
    <col min="4133" max="4355" width="13.85546875" style="1"/>
    <col min="4356" max="4356" width="7.85546875" style="1" customWidth="1"/>
    <col min="4357" max="4358" width="2.28515625" style="1" customWidth="1"/>
    <col min="4359" max="4359" width="31.42578125" style="1" customWidth="1"/>
    <col min="4360" max="4360" width="2.28515625" style="1" customWidth="1"/>
    <col min="4361" max="4361" width="2.140625" style="1" customWidth="1"/>
    <col min="4362" max="4362" width="12.28515625" style="1" customWidth="1"/>
    <col min="4363" max="4363" width="1.5703125" style="1" customWidth="1"/>
    <col min="4364" max="4364" width="12.28515625" style="1" customWidth="1"/>
    <col min="4365" max="4365" width="1.5703125" style="1" customWidth="1"/>
    <col min="4366" max="4366" width="12.28515625" style="1" customWidth="1"/>
    <col min="4367" max="4367" width="1.5703125" style="1" customWidth="1"/>
    <col min="4368" max="4368" width="13.5703125" style="1" customWidth="1"/>
    <col min="4369" max="4369" width="0.85546875" style="1" customWidth="1"/>
    <col min="4370" max="4370" width="12.28515625" style="1" customWidth="1"/>
    <col min="4371" max="4371" width="1.5703125" style="1" customWidth="1"/>
    <col min="4372" max="4372" width="12.28515625" style="1" customWidth="1"/>
    <col min="4373" max="4373" width="1.5703125" style="1" customWidth="1"/>
    <col min="4374" max="4374" width="12.28515625" style="1" customWidth="1"/>
    <col min="4375" max="4375" width="0.85546875" style="1" customWidth="1"/>
    <col min="4376" max="4376" width="12.28515625" style="1" customWidth="1"/>
    <col min="4377" max="4377" width="1.5703125" style="1" customWidth="1"/>
    <col min="4378" max="4378" width="12.28515625" style="1" customWidth="1"/>
    <col min="4379" max="4379" width="1.5703125" style="1" customWidth="1"/>
    <col min="4380" max="4380" width="12.28515625" style="1" customWidth="1"/>
    <col min="4381" max="4381" width="0.85546875" style="1" customWidth="1"/>
    <col min="4382" max="4382" width="12.28515625" style="1" customWidth="1"/>
    <col min="4383" max="4383" width="1.5703125" style="1" customWidth="1"/>
    <col min="4384" max="4384" width="12.28515625" style="1" customWidth="1"/>
    <col min="4385" max="4385" width="1.5703125" style="1" customWidth="1"/>
    <col min="4386" max="4386" width="12.28515625" style="1" customWidth="1"/>
    <col min="4387" max="4387" width="4.5703125" style="1" customWidth="1"/>
    <col min="4388" max="4388" width="1.42578125" style="1" customWidth="1"/>
    <col min="4389" max="4611" width="13.85546875" style="1"/>
    <col min="4612" max="4612" width="7.85546875" style="1" customWidth="1"/>
    <col min="4613" max="4614" width="2.28515625" style="1" customWidth="1"/>
    <col min="4615" max="4615" width="31.42578125" style="1" customWidth="1"/>
    <col min="4616" max="4616" width="2.28515625" style="1" customWidth="1"/>
    <col min="4617" max="4617" width="2.140625" style="1" customWidth="1"/>
    <col min="4618" max="4618" width="12.28515625" style="1" customWidth="1"/>
    <col min="4619" max="4619" width="1.5703125" style="1" customWidth="1"/>
    <col min="4620" max="4620" width="12.28515625" style="1" customWidth="1"/>
    <col min="4621" max="4621" width="1.5703125" style="1" customWidth="1"/>
    <col min="4622" max="4622" width="12.28515625" style="1" customWidth="1"/>
    <col min="4623" max="4623" width="1.5703125" style="1" customWidth="1"/>
    <col min="4624" max="4624" width="13.5703125" style="1" customWidth="1"/>
    <col min="4625" max="4625" width="0.85546875" style="1" customWidth="1"/>
    <col min="4626" max="4626" width="12.28515625" style="1" customWidth="1"/>
    <col min="4627" max="4627" width="1.5703125" style="1" customWidth="1"/>
    <col min="4628" max="4628" width="12.28515625" style="1" customWidth="1"/>
    <col min="4629" max="4629" width="1.5703125" style="1" customWidth="1"/>
    <col min="4630" max="4630" width="12.28515625" style="1" customWidth="1"/>
    <col min="4631" max="4631" width="0.85546875" style="1" customWidth="1"/>
    <col min="4632" max="4632" width="12.28515625" style="1" customWidth="1"/>
    <col min="4633" max="4633" width="1.5703125" style="1" customWidth="1"/>
    <col min="4634" max="4634" width="12.28515625" style="1" customWidth="1"/>
    <col min="4635" max="4635" width="1.5703125" style="1" customWidth="1"/>
    <col min="4636" max="4636" width="12.28515625" style="1" customWidth="1"/>
    <col min="4637" max="4637" width="0.85546875" style="1" customWidth="1"/>
    <col min="4638" max="4638" width="12.28515625" style="1" customWidth="1"/>
    <col min="4639" max="4639" width="1.5703125" style="1" customWidth="1"/>
    <col min="4640" max="4640" width="12.28515625" style="1" customWidth="1"/>
    <col min="4641" max="4641" width="1.5703125" style="1" customWidth="1"/>
    <col min="4642" max="4642" width="12.28515625" style="1" customWidth="1"/>
    <col min="4643" max="4643" width="4.5703125" style="1" customWidth="1"/>
    <col min="4644" max="4644" width="1.42578125" style="1" customWidth="1"/>
    <col min="4645" max="4867" width="13.85546875" style="1"/>
    <col min="4868" max="4868" width="7.85546875" style="1" customWidth="1"/>
    <col min="4869" max="4870" width="2.28515625" style="1" customWidth="1"/>
    <col min="4871" max="4871" width="31.42578125" style="1" customWidth="1"/>
    <col min="4872" max="4872" width="2.28515625" style="1" customWidth="1"/>
    <col min="4873" max="4873" width="2.140625" style="1" customWidth="1"/>
    <col min="4874" max="4874" width="12.28515625" style="1" customWidth="1"/>
    <col min="4875" max="4875" width="1.5703125" style="1" customWidth="1"/>
    <col min="4876" max="4876" width="12.28515625" style="1" customWidth="1"/>
    <col min="4877" max="4877" width="1.5703125" style="1" customWidth="1"/>
    <col min="4878" max="4878" width="12.28515625" style="1" customWidth="1"/>
    <col min="4879" max="4879" width="1.5703125" style="1" customWidth="1"/>
    <col min="4880" max="4880" width="13.5703125" style="1" customWidth="1"/>
    <col min="4881" max="4881" width="0.85546875" style="1" customWidth="1"/>
    <col min="4882" max="4882" width="12.28515625" style="1" customWidth="1"/>
    <col min="4883" max="4883" width="1.5703125" style="1" customWidth="1"/>
    <col min="4884" max="4884" width="12.28515625" style="1" customWidth="1"/>
    <col min="4885" max="4885" width="1.5703125" style="1" customWidth="1"/>
    <col min="4886" max="4886" width="12.28515625" style="1" customWidth="1"/>
    <col min="4887" max="4887" width="0.85546875" style="1" customWidth="1"/>
    <col min="4888" max="4888" width="12.28515625" style="1" customWidth="1"/>
    <col min="4889" max="4889" width="1.5703125" style="1" customWidth="1"/>
    <col min="4890" max="4890" width="12.28515625" style="1" customWidth="1"/>
    <col min="4891" max="4891" width="1.5703125" style="1" customWidth="1"/>
    <col min="4892" max="4892" width="12.28515625" style="1" customWidth="1"/>
    <col min="4893" max="4893" width="0.85546875" style="1" customWidth="1"/>
    <col min="4894" max="4894" width="12.28515625" style="1" customWidth="1"/>
    <col min="4895" max="4895" width="1.5703125" style="1" customWidth="1"/>
    <col min="4896" max="4896" width="12.28515625" style="1" customWidth="1"/>
    <col min="4897" max="4897" width="1.5703125" style="1" customWidth="1"/>
    <col min="4898" max="4898" width="12.28515625" style="1" customWidth="1"/>
    <col min="4899" max="4899" width="4.5703125" style="1" customWidth="1"/>
    <col min="4900" max="4900" width="1.42578125" style="1" customWidth="1"/>
    <col min="4901" max="5123" width="13.85546875" style="1"/>
    <col min="5124" max="5124" width="7.85546875" style="1" customWidth="1"/>
    <col min="5125" max="5126" width="2.28515625" style="1" customWidth="1"/>
    <col min="5127" max="5127" width="31.42578125" style="1" customWidth="1"/>
    <col min="5128" max="5128" width="2.28515625" style="1" customWidth="1"/>
    <col min="5129" max="5129" width="2.140625" style="1" customWidth="1"/>
    <col min="5130" max="5130" width="12.28515625" style="1" customWidth="1"/>
    <col min="5131" max="5131" width="1.5703125" style="1" customWidth="1"/>
    <col min="5132" max="5132" width="12.28515625" style="1" customWidth="1"/>
    <col min="5133" max="5133" width="1.5703125" style="1" customWidth="1"/>
    <col min="5134" max="5134" width="12.28515625" style="1" customWidth="1"/>
    <col min="5135" max="5135" width="1.5703125" style="1" customWidth="1"/>
    <col min="5136" max="5136" width="13.5703125" style="1" customWidth="1"/>
    <col min="5137" max="5137" width="0.85546875" style="1" customWidth="1"/>
    <col min="5138" max="5138" width="12.28515625" style="1" customWidth="1"/>
    <col min="5139" max="5139" width="1.5703125" style="1" customWidth="1"/>
    <col min="5140" max="5140" width="12.28515625" style="1" customWidth="1"/>
    <col min="5141" max="5141" width="1.5703125" style="1" customWidth="1"/>
    <col min="5142" max="5142" width="12.28515625" style="1" customWidth="1"/>
    <col min="5143" max="5143" width="0.85546875" style="1" customWidth="1"/>
    <col min="5144" max="5144" width="12.28515625" style="1" customWidth="1"/>
    <col min="5145" max="5145" width="1.5703125" style="1" customWidth="1"/>
    <col min="5146" max="5146" width="12.28515625" style="1" customWidth="1"/>
    <col min="5147" max="5147" width="1.5703125" style="1" customWidth="1"/>
    <col min="5148" max="5148" width="12.28515625" style="1" customWidth="1"/>
    <col min="5149" max="5149" width="0.85546875" style="1" customWidth="1"/>
    <col min="5150" max="5150" width="12.28515625" style="1" customWidth="1"/>
    <col min="5151" max="5151" width="1.5703125" style="1" customWidth="1"/>
    <col min="5152" max="5152" width="12.28515625" style="1" customWidth="1"/>
    <col min="5153" max="5153" width="1.5703125" style="1" customWidth="1"/>
    <col min="5154" max="5154" width="12.28515625" style="1" customWidth="1"/>
    <col min="5155" max="5155" width="4.5703125" style="1" customWidth="1"/>
    <col min="5156" max="5156" width="1.42578125" style="1" customWidth="1"/>
    <col min="5157" max="5379" width="13.85546875" style="1"/>
    <col min="5380" max="5380" width="7.85546875" style="1" customWidth="1"/>
    <col min="5381" max="5382" width="2.28515625" style="1" customWidth="1"/>
    <col min="5383" max="5383" width="31.42578125" style="1" customWidth="1"/>
    <col min="5384" max="5384" width="2.28515625" style="1" customWidth="1"/>
    <col min="5385" max="5385" width="2.140625" style="1" customWidth="1"/>
    <col min="5386" max="5386" width="12.28515625" style="1" customWidth="1"/>
    <col min="5387" max="5387" width="1.5703125" style="1" customWidth="1"/>
    <col min="5388" max="5388" width="12.28515625" style="1" customWidth="1"/>
    <col min="5389" max="5389" width="1.5703125" style="1" customWidth="1"/>
    <col min="5390" max="5390" width="12.28515625" style="1" customWidth="1"/>
    <col min="5391" max="5391" width="1.5703125" style="1" customWidth="1"/>
    <col min="5392" max="5392" width="13.5703125" style="1" customWidth="1"/>
    <col min="5393" max="5393" width="0.85546875" style="1" customWidth="1"/>
    <col min="5394" max="5394" width="12.28515625" style="1" customWidth="1"/>
    <col min="5395" max="5395" width="1.5703125" style="1" customWidth="1"/>
    <col min="5396" max="5396" width="12.28515625" style="1" customWidth="1"/>
    <col min="5397" max="5397" width="1.5703125" style="1" customWidth="1"/>
    <col min="5398" max="5398" width="12.28515625" style="1" customWidth="1"/>
    <col min="5399" max="5399" width="0.85546875" style="1" customWidth="1"/>
    <col min="5400" max="5400" width="12.28515625" style="1" customWidth="1"/>
    <col min="5401" max="5401" width="1.5703125" style="1" customWidth="1"/>
    <col min="5402" max="5402" width="12.28515625" style="1" customWidth="1"/>
    <col min="5403" max="5403" width="1.5703125" style="1" customWidth="1"/>
    <col min="5404" max="5404" width="12.28515625" style="1" customWidth="1"/>
    <col min="5405" max="5405" width="0.85546875" style="1" customWidth="1"/>
    <col min="5406" max="5406" width="12.28515625" style="1" customWidth="1"/>
    <col min="5407" max="5407" width="1.5703125" style="1" customWidth="1"/>
    <col min="5408" max="5408" width="12.28515625" style="1" customWidth="1"/>
    <col min="5409" max="5409" width="1.5703125" style="1" customWidth="1"/>
    <col min="5410" max="5410" width="12.28515625" style="1" customWidth="1"/>
    <col min="5411" max="5411" width="4.5703125" style="1" customWidth="1"/>
    <col min="5412" max="5412" width="1.42578125" style="1" customWidth="1"/>
    <col min="5413" max="5635" width="13.85546875" style="1"/>
    <col min="5636" max="5636" width="7.85546875" style="1" customWidth="1"/>
    <col min="5637" max="5638" width="2.28515625" style="1" customWidth="1"/>
    <col min="5639" max="5639" width="31.42578125" style="1" customWidth="1"/>
    <col min="5640" max="5640" width="2.28515625" style="1" customWidth="1"/>
    <col min="5641" max="5641" width="2.140625" style="1" customWidth="1"/>
    <col min="5642" max="5642" width="12.28515625" style="1" customWidth="1"/>
    <col min="5643" max="5643" width="1.5703125" style="1" customWidth="1"/>
    <col min="5644" max="5644" width="12.28515625" style="1" customWidth="1"/>
    <col min="5645" max="5645" width="1.5703125" style="1" customWidth="1"/>
    <col min="5646" max="5646" width="12.28515625" style="1" customWidth="1"/>
    <col min="5647" max="5647" width="1.5703125" style="1" customWidth="1"/>
    <col min="5648" max="5648" width="13.5703125" style="1" customWidth="1"/>
    <col min="5649" max="5649" width="0.85546875" style="1" customWidth="1"/>
    <col min="5650" max="5650" width="12.28515625" style="1" customWidth="1"/>
    <col min="5651" max="5651" width="1.5703125" style="1" customWidth="1"/>
    <col min="5652" max="5652" width="12.28515625" style="1" customWidth="1"/>
    <col min="5653" max="5653" width="1.5703125" style="1" customWidth="1"/>
    <col min="5654" max="5654" width="12.28515625" style="1" customWidth="1"/>
    <col min="5655" max="5655" width="0.85546875" style="1" customWidth="1"/>
    <col min="5656" max="5656" width="12.28515625" style="1" customWidth="1"/>
    <col min="5657" max="5657" width="1.5703125" style="1" customWidth="1"/>
    <col min="5658" max="5658" width="12.28515625" style="1" customWidth="1"/>
    <col min="5659" max="5659" width="1.5703125" style="1" customWidth="1"/>
    <col min="5660" max="5660" width="12.28515625" style="1" customWidth="1"/>
    <col min="5661" max="5661" width="0.85546875" style="1" customWidth="1"/>
    <col min="5662" max="5662" width="12.28515625" style="1" customWidth="1"/>
    <col min="5663" max="5663" width="1.5703125" style="1" customWidth="1"/>
    <col min="5664" max="5664" width="12.28515625" style="1" customWidth="1"/>
    <col min="5665" max="5665" width="1.5703125" style="1" customWidth="1"/>
    <col min="5666" max="5666" width="12.28515625" style="1" customWidth="1"/>
    <col min="5667" max="5667" width="4.5703125" style="1" customWidth="1"/>
    <col min="5668" max="5668" width="1.42578125" style="1" customWidth="1"/>
    <col min="5669" max="5891" width="13.85546875" style="1"/>
    <col min="5892" max="5892" width="7.85546875" style="1" customWidth="1"/>
    <col min="5893" max="5894" width="2.28515625" style="1" customWidth="1"/>
    <col min="5895" max="5895" width="31.42578125" style="1" customWidth="1"/>
    <col min="5896" max="5896" width="2.28515625" style="1" customWidth="1"/>
    <col min="5897" max="5897" width="2.140625" style="1" customWidth="1"/>
    <col min="5898" max="5898" width="12.28515625" style="1" customWidth="1"/>
    <col min="5899" max="5899" width="1.5703125" style="1" customWidth="1"/>
    <col min="5900" max="5900" width="12.28515625" style="1" customWidth="1"/>
    <col min="5901" max="5901" width="1.5703125" style="1" customWidth="1"/>
    <col min="5902" max="5902" width="12.28515625" style="1" customWidth="1"/>
    <col min="5903" max="5903" width="1.5703125" style="1" customWidth="1"/>
    <col min="5904" max="5904" width="13.5703125" style="1" customWidth="1"/>
    <col min="5905" max="5905" width="0.85546875" style="1" customWidth="1"/>
    <col min="5906" max="5906" width="12.28515625" style="1" customWidth="1"/>
    <col min="5907" max="5907" width="1.5703125" style="1" customWidth="1"/>
    <col min="5908" max="5908" width="12.28515625" style="1" customWidth="1"/>
    <col min="5909" max="5909" width="1.5703125" style="1" customWidth="1"/>
    <col min="5910" max="5910" width="12.28515625" style="1" customWidth="1"/>
    <col min="5911" max="5911" width="0.85546875" style="1" customWidth="1"/>
    <col min="5912" max="5912" width="12.28515625" style="1" customWidth="1"/>
    <col min="5913" max="5913" width="1.5703125" style="1" customWidth="1"/>
    <col min="5914" max="5914" width="12.28515625" style="1" customWidth="1"/>
    <col min="5915" max="5915" width="1.5703125" style="1" customWidth="1"/>
    <col min="5916" max="5916" width="12.28515625" style="1" customWidth="1"/>
    <col min="5917" max="5917" width="0.85546875" style="1" customWidth="1"/>
    <col min="5918" max="5918" width="12.28515625" style="1" customWidth="1"/>
    <col min="5919" max="5919" width="1.5703125" style="1" customWidth="1"/>
    <col min="5920" max="5920" width="12.28515625" style="1" customWidth="1"/>
    <col min="5921" max="5921" width="1.5703125" style="1" customWidth="1"/>
    <col min="5922" max="5922" width="12.28515625" style="1" customWidth="1"/>
    <col min="5923" max="5923" width="4.5703125" style="1" customWidth="1"/>
    <col min="5924" max="5924" width="1.42578125" style="1" customWidth="1"/>
    <col min="5925" max="6147" width="13.85546875" style="1"/>
    <col min="6148" max="6148" width="7.85546875" style="1" customWidth="1"/>
    <col min="6149" max="6150" width="2.28515625" style="1" customWidth="1"/>
    <col min="6151" max="6151" width="31.42578125" style="1" customWidth="1"/>
    <col min="6152" max="6152" width="2.28515625" style="1" customWidth="1"/>
    <col min="6153" max="6153" width="2.140625" style="1" customWidth="1"/>
    <col min="6154" max="6154" width="12.28515625" style="1" customWidth="1"/>
    <col min="6155" max="6155" width="1.5703125" style="1" customWidth="1"/>
    <col min="6156" max="6156" width="12.28515625" style="1" customWidth="1"/>
    <col min="6157" max="6157" width="1.5703125" style="1" customWidth="1"/>
    <col min="6158" max="6158" width="12.28515625" style="1" customWidth="1"/>
    <col min="6159" max="6159" width="1.5703125" style="1" customWidth="1"/>
    <col min="6160" max="6160" width="13.5703125" style="1" customWidth="1"/>
    <col min="6161" max="6161" width="0.85546875" style="1" customWidth="1"/>
    <col min="6162" max="6162" width="12.28515625" style="1" customWidth="1"/>
    <col min="6163" max="6163" width="1.5703125" style="1" customWidth="1"/>
    <col min="6164" max="6164" width="12.28515625" style="1" customWidth="1"/>
    <col min="6165" max="6165" width="1.5703125" style="1" customWidth="1"/>
    <col min="6166" max="6166" width="12.28515625" style="1" customWidth="1"/>
    <col min="6167" max="6167" width="0.85546875" style="1" customWidth="1"/>
    <col min="6168" max="6168" width="12.28515625" style="1" customWidth="1"/>
    <col min="6169" max="6169" width="1.5703125" style="1" customWidth="1"/>
    <col min="6170" max="6170" width="12.28515625" style="1" customWidth="1"/>
    <col min="6171" max="6171" width="1.5703125" style="1" customWidth="1"/>
    <col min="6172" max="6172" width="12.28515625" style="1" customWidth="1"/>
    <col min="6173" max="6173" width="0.85546875" style="1" customWidth="1"/>
    <col min="6174" max="6174" width="12.28515625" style="1" customWidth="1"/>
    <col min="6175" max="6175" width="1.5703125" style="1" customWidth="1"/>
    <col min="6176" max="6176" width="12.28515625" style="1" customWidth="1"/>
    <col min="6177" max="6177" width="1.5703125" style="1" customWidth="1"/>
    <col min="6178" max="6178" width="12.28515625" style="1" customWidth="1"/>
    <col min="6179" max="6179" width="4.5703125" style="1" customWidth="1"/>
    <col min="6180" max="6180" width="1.42578125" style="1" customWidth="1"/>
    <col min="6181" max="6403" width="13.85546875" style="1"/>
    <col min="6404" max="6404" width="7.85546875" style="1" customWidth="1"/>
    <col min="6405" max="6406" width="2.28515625" style="1" customWidth="1"/>
    <col min="6407" max="6407" width="31.42578125" style="1" customWidth="1"/>
    <col min="6408" max="6408" width="2.28515625" style="1" customWidth="1"/>
    <col min="6409" max="6409" width="2.140625" style="1" customWidth="1"/>
    <col min="6410" max="6410" width="12.28515625" style="1" customWidth="1"/>
    <col min="6411" max="6411" width="1.5703125" style="1" customWidth="1"/>
    <col min="6412" max="6412" width="12.28515625" style="1" customWidth="1"/>
    <col min="6413" max="6413" width="1.5703125" style="1" customWidth="1"/>
    <col min="6414" max="6414" width="12.28515625" style="1" customWidth="1"/>
    <col min="6415" max="6415" width="1.5703125" style="1" customWidth="1"/>
    <col min="6416" max="6416" width="13.5703125" style="1" customWidth="1"/>
    <col min="6417" max="6417" width="0.85546875" style="1" customWidth="1"/>
    <col min="6418" max="6418" width="12.28515625" style="1" customWidth="1"/>
    <col min="6419" max="6419" width="1.5703125" style="1" customWidth="1"/>
    <col min="6420" max="6420" width="12.28515625" style="1" customWidth="1"/>
    <col min="6421" max="6421" width="1.5703125" style="1" customWidth="1"/>
    <col min="6422" max="6422" width="12.28515625" style="1" customWidth="1"/>
    <col min="6423" max="6423" width="0.85546875" style="1" customWidth="1"/>
    <col min="6424" max="6424" width="12.28515625" style="1" customWidth="1"/>
    <col min="6425" max="6425" width="1.5703125" style="1" customWidth="1"/>
    <col min="6426" max="6426" width="12.28515625" style="1" customWidth="1"/>
    <col min="6427" max="6427" width="1.5703125" style="1" customWidth="1"/>
    <col min="6428" max="6428" width="12.28515625" style="1" customWidth="1"/>
    <col min="6429" max="6429" width="0.85546875" style="1" customWidth="1"/>
    <col min="6430" max="6430" width="12.28515625" style="1" customWidth="1"/>
    <col min="6431" max="6431" width="1.5703125" style="1" customWidth="1"/>
    <col min="6432" max="6432" width="12.28515625" style="1" customWidth="1"/>
    <col min="6433" max="6433" width="1.5703125" style="1" customWidth="1"/>
    <col min="6434" max="6434" width="12.28515625" style="1" customWidth="1"/>
    <col min="6435" max="6435" width="4.5703125" style="1" customWidth="1"/>
    <col min="6436" max="6436" width="1.42578125" style="1" customWidth="1"/>
    <col min="6437" max="6659" width="13.85546875" style="1"/>
    <col min="6660" max="6660" width="7.85546875" style="1" customWidth="1"/>
    <col min="6661" max="6662" width="2.28515625" style="1" customWidth="1"/>
    <col min="6663" max="6663" width="31.42578125" style="1" customWidth="1"/>
    <col min="6664" max="6664" width="2.28515625" style="1" customWidth="1"/>
    <col min="6665" max="6665" width="2.140625" style="1" customWidth="1"/>
    <col min="6666" max="6666" width="12.28515625" style="1" customWidth="1"/>
    <col min="6667" max="6667" width="1.5703125" style="1" customWidth="1"/>
    <col min="6668" max="6668" width="12.28515625" style="1" customWidth="1"/>
    <col min="6669" max="6669" width="1.5703125" style="1" customWidth="1"/>
    <col min="6670" max="6670" width="12.28515625" style="1" customWidth="1"/>
    <col min="6671" max="6671" width="1.5703125" style="1" customWidth="1"/>
    <col min="6672" max="6672" width="13.5703125" style="1" customWidth="1"/>
    <col min="6673" max="6673" width="0.85546875" style="1" customWidth="1"/>
    <col min="6674" max="6674" width="12.28515625" style="1" customWidth="1"/>
    <col min="6675" max="6675" width="1.5703125" style="1" customWidth="1"/>
    <col min="6676" max="6676" width="12.28515625" style="1" customWidth="1"/>
    <col min="6677" max="6677" width="1.5703125" style="1" customWidth="1"/>
    <col min="6678" max="6678" width="12.28515625" style="1" customWidth="1"/>
    <col min="6679" max="6679" width="0.85546875" style="1" customWidth="1"/>
    <col min="6680" max="6680" width="12.28515625" style="1" customWidth="1"/>
    <col min="6681" max="6681" width="1.5703125" style="1" customWidth="1"/>
    <col min="6682" max="6682" width="12.28515625" style="1" customWidth="1"/>
    <col min="6683" max="6683" width="1.5703125" style="1" customWidth="1"/>
    <col min="6684" max="6684" width="12.28515625" style="1" customWidth="1"/>
    <col min="6685" max="6685" width="0.85546875" style="1" customWidth="1"/>
    <col min="6686" max="6686" width="12.28515625" style="1" customWidth="1"/>
    <col min="6687" max="6687" width="1.5703125" style="1" customWidth="1"/>
    <col min="6688" max="6688" width="12.28515625" style="1" customWidth="1"/>
    <col min="6689" max="6689" width="1.5703125" style="1" customWidth="1"/>
    <col min="6690" max="6690" width="12.28515625" style="1" customWidth="1"/>
    <col min="6691" max="6691" width="4.5703125" style="1" customWidth="1"/>
    <col min="6692" max="6692" width="1.42578125" style="1" customWidth="1"/>
    <col min="6693" max="6915" width="13.85546875" style="1"/>
    <col min="6916" max="6916" width="7.85546875" style="1" customWidth="1"/>
    <col min="6917" max="6918" width="2.28515625" style="1" customWidth="1"/>
    <col min="6919" max="6919" width="31.42578125" style="1" customWidth="1"/>
    <col min="6920" max="6920" width="2.28515625" style="1" customWidth="1"/>
    <col min="6921" max="6921" width="2.140625" style="1" customWidth="1"/>
    <col min="6922" max="6922" width="12.28515625" style="1" customWidth="1"/>
    <col min="6923" max="6923" width="1.5703125" style="1" customWidth="1"/>
    <col min="6924" max="6924" width="12.28515625" style="1" customWidth="1"/>
    <col min="6925" max="6925" width="1.5703125" style="1" customWidth="1"/>
    <col min="6926" max="6926" width="12.28515625" style="1" customWidth="1"/>
    <col min="6927" max="6927" width="1.5703125" style="1" customWidth="1"/>
    <col min="6928" max="6928" width="13.5703125" style="1" customWidth="1"/>
    <col min="6929" max="6929" width="0.85546875" style="1" customWidth="1"/>
    <col min="6930" max="6930" width="12.28515625" style="1" customWidth="1"/>
    <col min="6931" max="6931" width="1.5703125" style="1" customWidth="1"/>
    <col min="6932" max="6932" width="12.28515625" style="1" customWidth="1"/>
    <col min="6933" max="6933" width="1.5703125" style="1" customWidth="1"/>
    <col min="6934" max="6934" width="12.28515625" style="1" customWidth="1"/>
    <col min="6935" max="6935" width="0.85546875" style="1" customWidth="1"/>
    <col min="6936" max="6936" width="12.28515625" style="1" customWidth="1"/>
    <col min="6937" max="6937" width="1.5703125" style="1" customWidth="1"/>
    <col min="6938" max="6938" width="12.28515625" style="1" customWidth="1"/>
    <col min="6939" max="6939" width="1.5703125" style="1" customWidth="1"/>
    <col min="6940" max="6940" width="12.28515625" style="1" customWidth="1"/>
    <col min="6941" max="6941" width="0.85546875" style="1" customWidth="1"/>
    <col min="6942" max="6942" width="12.28515625" style="1" customWidth="1"/>
    <col min="6943" max="6943" width="1.5703125" style="1" customWidth="1"/>
    <col min="6944" max="6944" width="12.28515625" style="1" customWidth="1"/>
    <col min="6945" max="6945" width="1.5703125" style="1" customWidth="1"/>
    <col min="6946" max="6946" width="12.28515625" style="1" customWidth="1"/>
    <col min="6947" max="6947" width="4.5703125" style="1" customWidth="1"/>
    <col min="6948" max="6948" width="1.42578125" style="1" customWidth="1"/>
    <col min="6949" max="7171" width="13.85546875" style="1"/>
    <col min="7172" max="7172" width="7.85546875" style="1" customWidth="1"/>
    <col min="7173" max="7174" width="2.28515625" style="1" customWidth="1"/>
    <col min="7175" max="7175" width="31.42578125" style="1" customWidth="1"/>
    <col min="7176" max="7176" width="2.28515625" style="1" customWidth="1"/>
    <col min="7177" max="7177" width="2.140625" style="1" customWidth="1"/>
    <col min="7178" max="7178" width="12.28515625" style="1" customWidth="1"/>
    <col min="7179" max="7179" width="1.5703125" style="1" customWidth="1"/>
    <col min="7180" max="7180" width="12.28515625" style="1" customWidth="1"/>
    <col min="7181" max="7181" width="1.5703125" style="1" customWidth="1"/>
    <col min="7182" max="7182" width="12.28515625" style="1" customWidth="1"/>
    <col min="7183" max="7183" width="1.5703125" style="1" customWidth="1"/>
    <col min="7184" max="7184" width="13.5703125" style="1" customWidth="1"/>
    <col min="7185" max="7185" width="0.85546875" style="1" customWidth="1"/>
    <col min="7186" max="7186" width="12.28515625" style="1" customWidth="1"/>
    <col min="7187" max="7187" width="1.5703125" style="1" customWidth="1"/>
    <col min="7188" max="7188" width="12.28515625" style="1" customWidth="1"/>
    <col min="7189" max="7189" width="1.5703125" style="1" customWidth="1"/>
    <col min="7190" max="7190" width="12.28515625" style="1" customWidth="1"/>
    <col min="7191" max="7191" width="0.85546875" style="1" customWidth="1"/>
    <col min="7192" max="7192" width="12.28515625" style="1" customWidth="1"/>
    <col min="7193" max="7193" width="1.5703125" style="1" customWidth="1"/>
    <col min="7194" max="7194" width="12.28515625" style="1" customWidth="1"/>
    <col min="7195" max="7195" width="1.5703125" style="1" customWidth="1"/>
    <col min="7196" max="7196" width="12.28515625" style="1" customWidth="1"/>
    <col min="7197" max="7197" width="0.85546875" style="1" customWidth="1"/>
    <col min="7198" max="7198" width="12.28515625" style="1" customWidth="1"/>
    <col min="7199" max="7199" width="1.5703125" style="1" customWidth="1"/>
    <col min="7200" max="7200" width="12.28515625" style="1" customWidth="1"/>
    <col min="7201" max="7201" width="1.5703125" style="1" customWidth="1"/>
    <col min="7202" max="7202" width="12.28515625" style="1" customWidth="1"/>
    <col min="7203" max="7203" width="4.5703125" style="1" customWidth="1"/>
    <col min="7204" max="7204" width="1.42578125" style="1" customWidth="1"/>
    <col min="7205" max="7427" width="13.85546875" style="1"/>
    <col min="7428" max="7428" width="7.85546875" style="1" customWidth="1"/>
    <col min="7429" max="7430" width="2.28515625" style="1" customWidth="1"/>
    <col min="7431" max="7431" width="31.42578125" style="1" customWidth="1"/>
    <col min="7432" max="7432" width="2.28515625" style="1" customWidth="1"/>
    <col min="7433" max="7433" width="2.140625" style="1" customWidth="1"/>
    <col min="7434" max="7434" width="12.28515625" style="1" customWidth="1"/>
    <col min="7435" max="7435" width="1.5703125" style="1" customWidth="1"/>
    <col min="7436" max="7436" width="12.28515625" style="1" customWidth="1"/>
    <col min="7437" max="7437" width="1.5703125" style="1" customWidth="1"/>
    <col min="7438" max="7438" width="12.28515625" style="1" customWidth="1"/>
    <col min="7439" max="7439" width="1.5703125" style="1" customWidth="1"/>
    <col min="7440" max="7440" width="13.5703125" style="1" customWidth="1"/>
    <col min="7441" max="7441" width="0.85546875" style="1" customWidth="1"/>
    <col min="7442" max="7442" width="12.28515625" style="1" customWidth="1"/>
    <col min="7443" max="7443" width="1.5703125" style="1" customWidth="1"/>
    <col min="7444" max="7444" width="12.28515625" style="1" customWidth="1"/>
    <col min="7445" max="7445" width="1.5703125" style="1" customWidth="1"/>
    <col min="7446" max="7446" width="12.28515625" style="1" customWidth="1"/>
    <col min="7447" max="7447" width="0.85546875" style="1" customWidth="1"/>
    <col min="7448" max="7448" width="12.28515625" style="1" customWidth="1"/>
    <col min="7449" max="7449" width="1.5703125" style="1" customWidth="1"/>
    <col min="7450" max="7450" width="12.28515625" style="1" customWidth="1"/>
    <col min="7451" max="7451" width="1.5703125" style="1" customWidth="1"/>
    <col min="7452" max="7452" width="12.28515625" style="1" customWidth="1"/>
    <col min="7453" max="7453" width="0.85546875" style="1" customWidth="1"/>
    <col min="7454" max="7454" width="12.28515625" style="1" customWidth="1"/>
    <col min="7455" max="7455" width="1.5703125" style="1" customWidth="1"/>
    <col min="7456" max="7456" width="12.28515625" style="1" customWidth="1"/>
    <col min="7457" max="7457" width="1.5703125" style="1" customWidth="1"/>
    <col min="7458" max="7458" width="12.28515625" style="1" customWidth="1"/>
    <col min="7459" max="7459" width="4.5703125" style="1" customWidth="1"/>
    <col min="7460" max="7460" width="1.42578125" style="1" customWidth="1"/>
    <col min="7461" max="7683" width="13.85546875" style="1"/>
    <col min="7684" max="7684" width="7.85546875" style="1" customWidth="1"/>
    <col min="7685" max="7686" width="2.28515625" style="1" customWidth="1"/>
    <col min="7687" max="7687" width="31.42578125" style="1" customWidth="1"/>
    <col min="7688" max="7688" width="2.28515625" style="1" customWidth="1"/>
    <col min="7689" max="7689" width="2.140625" style="1" customWidth="1"/>
    <col min="7690" max="7690" width="12.28515625" style="1" customWidth="1"/>
    <col min="7691" max="7691" width="1.5703125" style="1" customWidth="1"/>
    <col min="7692" max="7692" width="12.28515625" style="1" customWidth="1"/>
    <col min="7693" max="7693" width="1.5703125" style="1" customWidth="1"/>
    <col min="7694" max="7694" width="12.28515625" style="1" customWidth="1"/>
    <col min="7695" max="7695" width="1.5703125" style="1" customWidth="1"/>
    <col min="7696" max="7696" width="13.5703125" style="1" customWidth="1"/>
    <col min="7697" max="7697" width="0.85546875" style="1" customWidth="1"/>
    <col min="7698" max="7698" width="12.28515625" style="1" customWidth="1"/>
    <col min="7699" max="7699" width="1.5703125" style="1" customWidth="1"/>
    <col min="7700" max="7700" width="12.28515625" style="1" customWidth="1"/>
    <col min="7701" max="7701" width="1.5703125" style="1" customWidth="1"/>
    <col min="7702" max="7702" width="12.28515625" style="1" customWidth="1"/>
    <col min="7703" max="7703" width="0.85546875" style="1" customWidth="1"/>
    <col min="7704" max="7704" width="12.28515625" style="1" customWidth="1"/>
    <col min="7705" max="7705" width="1.5703125" style="1" customWidth="1"/>
    <col min="7706" max="7706" width="12.28515625" style="1" customWidth="1"/>
    <col min="7707" max="7707" width="1.5703125" style="1" customWidth="1"/>
    <col min="7708" max="7708" width="12.28515625" style="1" customWidth="1"/>
    <col min="7709" max="7709" width="0.85546875" style="1" customWidth="1"/>
    <col min="7710" max="7710" width="12.28515625" style="1" customWidth="1"/>
    <col min="7711" max="7711" width="1.5703125" style="1" customWidth="1"/>
    <col min="7712" max="7712" width="12.28515625" style="1" customWidth="1"/>
    <col min="7713" max="7713" width="1.5703125" style="1" customWidth="1"/>
    <col min="7714" max="7714" width="12.28515625" style="1" customWidth="1"/>
    <col min="7715" max="7715" width="4.5703125" style="1" customWidth="1"/>
    <col min="7716" max="7716" width="1.42578125" style="1" customWidth="1"/>
    <col min="7717" max="7939" width="13.85546875" style="1"/>
    <col min="7940" max="7940" width="7.85546875" style="1" customWidth="1"/>
    <col min="7941" max="7942" width="2.28515625" style="1" customWidth="1"/>
    <col min="7943" max="7943" width="31.42578125" style="1" customWidth="1"/>
    <col min="7944" max="7944" width="2.28515625" style="1" customWidth="1"/>
    <col min="7945" max="7945" width="2.140625" style="1" customWidth="1"/>
    <col min="7946" max="7946" width="12.28515625" style="1" customWidth="1"/>
    <col min="7947" max="7947" width="1.5703125" style="1" customWidth="1"/>
    <col min="7948" max="7948" width="12.28515625" style="1" customWidth="1"/>
    <col min="7949" max="7949" width="1.5703125" style="1" customWidth="1"/>
    <col min="7950" max="7950" width="12.28515625" style="1" customWidth="1"/>
    <col min="7951" max="7951" width="1.5703125" style="1" customWidth="1"/>
    <col min="7952" max="7952" width="13.5703125" style="1" customWidth="1"/>
    <col min="7953" max="7953" width="0.85546875" style="1" customWidth="1"/>
    <col min="7954" max="7954" width="12.28515625" style="1" customWidth="1"/>
    <col min="7955" max="7955" width="1.5703125" style="1" customWidth="1"/>
    <col min="7956" max="7956" width="12.28515625" style="1" customWidth="1"/>
    <col min="7957" max="7957" width="1.5703125" style="1" customWidth="1"/>
    <col min="7958" max="7958" width="12.28515625" style="1" customWidth="1"/>
    <col min="7959" max="7959" width="0.85546875" style="1" customWidth="1"/>
    <col min="7960" max="7960" width="12.28515625" style="1" customWidth="1"/>
    <col min="7961" max="7961" width="1.5703125" style="1" customWidth="1"/>
    <col min="7962" max="7962" width="12.28515625" style="1" customWidth="1"/>
    <col min="7963" max="7963" width="1.5703125" style="1" customWidth="1"/>
    <col min="7964" max="7964" width="12.28515625" style="1" customWidth="1"/>
    <col min="7965" max="7965" width="0.85546875" style="1" customWidth="1"/>
    <col min="7966" max="7966" width="12.28515625" style="1" customWidth="1"/>
    <col min="7967" max="7967" width="1.5703125" style="1" customWidth="1"/>
    <col min="7968" max="7968" width="12.28515625" style="1" customWidth="1"/>
    <col min="7969" max="7969" width="1.5703125" style="1" customWidth="1"/>
    <col min="7970" max="7970" width="12.28515625" style="1" customWidth="1"/>
    <col min="7971" max="7971" width="4.5703125" style="1" customWidth="1"/>
    <col min="7972" max="7972" width="1.42578125" style="1" customWidth="1"/>
    <col min="7973" max="8195" width="13.85546875" style="1"/>
    <col min="8196" max="8196" width="7.85546875" style="1" customWidth="1"/>
    <col min="8197" max="8198" width="2.28515625" style="1" customWidth="1"/>
    <col min="8199" max="8199" width="31.42578125" style="1" customWidth="1"/>
    <col min="8200" max="8200" width="2.28515625" style="1" customWidth="1"/>
    <col min="8201" max="8201" width="2.140625" style="1" customWidth="1"/>
    <col min="8202" max="8202" width="12.28515625" style="1" customWidth="1"/>
    <col min="8203" max="8203" width="1.5703125" style="1" customWidth="1"/>
    <col min="8204" max="8204" width="12.28515625" style="1" customWidth="1"/>
    <col min="8205" max="8205" width="1.5703125" style="1" customWidth="1"/>
    <col min="8206" max="8206" width="12.28515625" style="1" customWidth="1"/>
    <col min="8207" max="8207" width="1.5703125" style="1" customWidth="1"/>
    <col min="8208" max="8208" width="13.5703125" style="1" customWidth="1"/>
    <col min="8209" max="8209" width="0.85546875" style="1" customWidth="1"/>
    <col min="8210" max="8210" width="12.28515625" style="1" customWidth="1"/>
    <col min="8211" max="8211" width="1.5703125" style="1" customWidth="1"/>
    <col min="8212" max="8212" width="12.28515625" style="1" customWidth="1"/>
    <col min="8213" max="8213" width="1.5703125" style="1" customWidth="1"/>
    <col min="8214" max="8214" width="12.28515625" style="1" customWidth="1"/>
    <col min="8215" max="8215" width="0.85546875" style="1" customWidth="1"/>
    <col min="8216" max="8216" width="12.28515625" style="1" customWidth="1"/>
    <col min="8217" max="8217" width="1.5703125" style="1" customWidth="1"/>
    <col min="8218" max="8218" width="12.28515625" style="1" customWidth="1"/>
    <col min="8219" max="8219" width="1.5703125" style="1" customWidth="1"/>
    <col min="8220" max="8220" width="12.28515625" style="1" customWidth="1"/>
    <col min="8221" max="8221" width="0.85546875" style="1" customWidth="1"/>
    <col min="8222" max="8222" width="12.28515625" style="1" customWidth="1"/>
    <col min="8223" max="8223" width="1.5703125" style="1" customWidth="1"/>
    <col min="8224" max="8224" width="12.28515625" style="1" customWidth="1"/>
    <col min="8225" max="8225" width="1.5703125" style="1" customWidth="1"/>
    <col min="8226" max="8226" width="12.28515625" style="1" customWidth="1"/>
    <col min="8227" max="8227" width="4.5703125" style="1" customWidth="1"/>
    <col min="8228" max="8228" width="1.42578125" style="1" customWidth="1"/>
    <col min="8229" max="8451" width="13.85546875" style="1"/>
    <col min="8452" max="8452" width="7.85546875" style="1" customWidth="1"/>
    <col min="8453" max="8454" width="2.28515625" style="1" customWidth="1"/>
    <col min="8455" max="8455" width="31.42578125" style="1" customWidth="1"/>
    <col min="8456" max="8456" width="2.28515625" style="1" customWidth="1"/>
    <col min="8457" max="8457" width="2.140625" style="1" customWidth="1"/>
    <col min="8458" max="8458" width="12.28515625" style="1" customWidth="1"/>
    <col min="8459" max="8459" width="1.5703125" style="1" customWidth="1"/>
    <col min="8460" max="8460" width="12.28515625" style="1" customWidth="1"/>
    <col min="8461" max="8461" width="1.5703125" style="1" customWidth="1"/>
    <col min="8462" max="8462" width="12.28515625" style="1" customWidth="1"/>
    <col min="8463" max="8463" width="1.5703125" style="1" customWidth="1"/>
    <col min="8464" max="8464" width="13.5703125" style="1" customWidth="1"/>
    <col min="8465" max="8465" width="0.85546875" style="1" customWidth="1"/>
    <col min="8466" max="8466" width="12.28515625" style="1" customWidth="1"/>
    <col min="8467" max="8467" width="1.5703125" style="1" customWidth="1"/>
    <col min="8468" max="8468" width="12.28515625" style="1" customWidth="1"/>
    <col min="8469" max="8469" width="1.5703125" style="1" customWidth="1"/>
    <col min="8470" max="8470" width="12.28515625" style="1" customWidth="1"/>
    <col min="8471" max="8471" width="0.85546875" style="1" customWidth="1"/>
    <col min="8472" max="8472" width="12.28515625" style="1" customWidth="1"/>
    <col min="8473" max="8473" width="1.5703125" style="1" customWidth="1"/>
    <col min="8474" max="8474" width="12.28515625" style="1" customWidth="1"/>
    <col min="8475" max="8475" width="1.5703125" style="1" customWidth="1"/>
    <col min="8476" max="8476" width="12.28515625" style="1" customWidth="1"/>
    <col min="8477" max="8477" width="0.85546875" style="1" customWidth="1"/>
    <col min="8478" max="8478" width="12.28515625" style="1" customWidth="1"/>
    <col min="8479" max="8479" width="1.5703125" style="1" customWidth="1"/>
    <col min="8480" max="8480" width="12.28515625" style="1" customWidth="1"/>
    <col min="8481" max="8481" width="1.5703125" style="1" customWidth="1"/>
    <col min="8482" max="8482" width="12.28515625" style="1" customWidth="1"/>
    <col min="8483" max="8483" width="4.5703125" style="1" customWidth="1"/>
    <col min="8484" max="8484" width="1.42578125" style="1" customWidth="1"/>
    <col min="8485" max="8707" width="13.85546875" style="1"/>
    <col min="8708" max="8708" width="7.85546875" style="1" customWidth="1"/>
    <col min="8709" max="8710" width="2.28515625" style="1" customWidth="1"/>
    <col min="8711" max="8711" width="31.42578125" style="1" customWidth="1"/>
    <col min="8712" max="8712" width="2.28515625" style="1" customWidth="1"/>
    <col min="8713" max="8713" width="2.140625" style="1" customWidth="1"/>
    <col min="8714" max="8714" width="12.28515625" style="1" customWidth="1"/>
    <col min="8715" max="8715" width="1.5703125" style="1" customWidth="1"/>
    <col min="8716" max="8716" width="12.28515625" style="1" customWidth="1"/>
    <col min="8717" max="8717" width="1.5703125" style="1" customWidth="1"/>
    <col min="8718" max="8718" width="12.28515625" style="1" customWidth="1"/>
    <col min="8719" max="8719" width="1.5703125" style="1" customWidth="1"/>
    <col min="8720" max="8720" width="13.5703125" style="1" customWidth="1"/>
    <col min="8721" max="8721" width="0.85546875" style="1" customWidth="1"/>
    <col min="8722" max="8722" width="12.28515625" style="1" customWidth="1"/>
    <col min="8723" max="8723" width="1.5703125" style="1" customWidth="1"/>
    <col min="8724" max="8724" width="12.28515625" style="1" customWidth="1"/>
    <col min="8725" max="8725" width="1.5703125" style="1" customWidth="1"/>
    <col min="8726" max="8726" width="12.28515625" style="1" customWidth="1"/>
    <col min="8727" max="8727" width="0.85546875" style="1" customWidth="1"/>
    <col min="8728" max="8728" width="12.28515625" style="1" customWidth="1"/>
    <col min="8729" max="8729" width="1.5703125" style="1" customWidth="1"/>
    <col min="8730" max="8730" width="12.28515625" style="1" customWidth="1"/>
    <col min="8731" max="8731" width="1.5703125" style="1" customWidth="1"/>
    <col min="8732" max="8732" width="12.28515625" style="1" customWidth="1"/>
    <col min="8733" max="8733" width="0.85546875" style="1" customWidth="1"/>
    <col min="8734" max="8734" width="12.28515625" style="1" customWidth="1"/>
    <col min="8735" max="8735" width="1.5703125" style="1" customWidth="1"/>
    <col min="8736" max="8736" width="12.28515625" style="1" customWidth="1"/>
    <col min="8737" max="8737" width="1.5703125" style="1" customWidth="1"/>
    <col min="8738" max="8738" width="12.28515625" style="1" customWidth="1"/>
    <col min="8739" max="8739" width="4.5703125" style="1" customWidth="1"/>
    <col min="8740" max="8740" width="1.42578125" style="1" customWidth="1"/>
    <col min="8741" max="8963" width="13.85546875" style="1"/>
    <col min="8964" max="8964" width="7.85546875" style="1" customWidth="1"/>
    <col min="8965" max="8966" width="2.28515625" style="1" customWidth="1"/>
    <col min="8967" max="8967" width="31.42578125" style="1" customWidth="1"/>
    <col min="8968" max="8968" width="2.28515625" style="1" customWidth="1"/>
    <col min="8969" max="8969" width="2.140625" style="1" customWidth="1"/>
    <col min="8970" max="8970" width="12.28515625" style="1" customWidth="1"/>
    <col min="8971" max="8971" width="1.5703125" style="1" customWidth="1"/>
    <col min="8972" max="8972" width="12.28515625" style="1" customWidth="1"/>
    <col min="8973" max="8973" width="1.5703125" style="1" customWidth="1"/>
    <col min="8974" max="8974" width="12.28515625" style="1" customWidth="1"/>
    <col min="8975" max="8975" width="1.5703125" style="1" customWidth="1"/>
    <col min="8976" max="8976" width="13.5703125" style="1" customWidth="1"/>
    <col min="8977" max="8977" width="0.85546875" style="1" customWidth="1"/>
    <col min="8978" max="8978" width="12.28515625" style="1" customWidth="1"/>
    <col min="8979" max="8979" width="1.5703125" style="1" customWidth="1"/>
    <col min="8980" max="8980" width="12.28515625" style="1" customWidth="1"/>
    <col min="8981" max="8981" width="1.5703125" style="1" customWidth="1"/>
    <col min="8982" max="8982" width="12.28515625" style="1" customWidth="1"/>
    <col min="8983" max="8983" width="0.85546875" style="1" customWidth="1"/>
    <col min="8984" max="8984" width="12.28515625" style="1" customWidth="1"/>
    <col min="8985" max="8985" width="1.5703125" style="1" customWidth="1"/>
    <col min="8986" max="8986" width="12.28515625" style="1" customWidth="1"/>
    <col min="8987" max="8987" width="1.5703125" style="1" customWidth="1"/>
    <col min="8988" max="8988" width="12.28515625" style="1" customWidth="1"/>
    <col min="8989" max="8989" width="0.85546875" style="1" customWidth="1"/>
    <col min="8990" max="8990" width="12.28515625" style="1" customWidth="1"/>
    <col min="8991" max="8991" width="1.5703125" style="1" customWidth="1"/>
    <col min="8992" max="8992" width="12.28515625" style="1" customWidth="1"/>
    <col min="8993" max="8993" width="1.5703125" style="1" customWidth="1"/>
    <col min="8994" max="8994" width="12.28515625" style="1" customWidth="1"/>
    <col min="8995" max="8995" width="4.5703125" style="1" customWidth="1"/>
    <col min="8996" max="8996" width="1.42578125" style="1" customWidth="1"/>
    <col min="8997" max="9219" width="13.85546875" style="1"/>
    <col min="9220" max="9220" width="7.85546875" style="1" customWidth="1"/>
    <col min="9221" max="9222" width="2.28515625" style="1" customWidth="1"/>
    <col min="9223" max="9223" width="31.42578125" style="1" customWidth="1"/>
    <col min="9224" max="9224" width="2.28515625" style="1" customWidth="1"/>
    <col min="9225" max="9225" width="2.140625" style="1" customWidth="1"/>
    <col min="9226" max="9226" width="12.28515625" style="1" customWidth="1"/>
    <col min="9227" max="9227" width="1.5703125" style="1" customWidth="1"/>
    <col min="9228" max="9228" width="12.28515625" style="1" customWidth="1"/>
    <col min="9229" max="9229" width="1.5703125" style="1" customWidth="1"/>
    <col min="9230" max="9230" width="12.28515625" style="1" customWidth="1"/>
    <col min="9231" max="9231" width="1.5703125" style="1" customWidth="1"/>
    <col min="9232" max="9232" width="13.5703125" style="1" customWidth="1"/>
    <col min="9233" max="9233" width="0.85546875" style="1" customWidth="1"/>
    <col min="9234" max="9234" width="12.28515625" style="1" customWidth="1"/>
    <col min="9235" max="9235" width="1.5703125" style="1" customWidth="1"/>
    <col min="9236" max="9236" width="12.28515625" style="1" customWidth="1"/>
    <col min="9237" max="9237" width="1.5703125" style="1" customWidth="1"/>
    <col min="9238" max="9238" width="12.28515625" style="1" customWidth="1"/>
    <col min="9239" max="9239" width="0.85546875" style="1" customWidth="1"/>
    <col min="9240" max="9240" width="12.28515625" style="1" customWidth="1"/>
    <col min="9241" max="9241" width="1.5703125" style="1" customWidth="1"/>
    <col min="9242" max="9242" width="12.28515625" style="1" customWidth="1"/>
    <col min="9243" max="9243" width="1.5703125" style="1" customWidth="1"/>
    <col min="9244" max="9244" width="12.28515625" style="1" customWidth="1"/>
    <col min="9245" max="9245" width="0.85546875" style="1" customWidth="1"/>
    <col min="9246" max="9246" width="12.28515625" style="1" customWidth="1"/>
    <col min="9247" max="9247" width="1.5703125" style="1" customWidth="1"/>
    <col min="9248" max="9248" width="12.28515625" style="1" customWidth="1"/>
    <col min="9249" max="9249" width="1.5703125" style="1" customWidth="1"/>
    <col min="9250" max="9250" width="12.28515625" style="1" customWidth="1"/>
    <col min="9251" max="9251" width="4.5703125" style="1" customWidth="1"/>
    <col min="9252" max="9252" width="1.42578125" style="1" customWidth="1"/>
    <col min="9253" max="9475" width="13.85546875" style="1"/>
    <col min="9476" max="9476" width="7.85546875" style="1" customWidth="1"/>
    <col min="9477" max="9478" width="2.28515625" style="1" customWidth="1"/>
    <col min="9479" max="9479" width="31.42578125" style="1" customWidth="1"/>
    <col min="9480" max="9480" width="2.28515625" style="1" customWidth="1"/>
    <col min="9481" max="9481" width="2.140625" style="1" customWidth="1"/>
    <col min="9482" max="9482" width="12.28515625" style="1" customWidth="1"/>
    <col min="9483" max="9483" width="1.5703125" style="1" customWidth="1"/>
    <col min="9484" max="9484" width="12.28515625" style="1" customWidth="1"/>
    <col min="9485" max="9485" width="1.5703125" style="1" customWidth="1"/>
    <col min="9486" max="9486" width="12.28515625" style="1" customWidth="1"/>
    <col min="9487" max="9487" width="1.5703125" style="1" customWidth="1"/>
    <col min="9488" max="9488" width="13.5703125" style="1" customWidth="1"/>
    <col min="9489" max="9489" width="0.85546875" style="1" customWidth="1"/>
    <col min="9490" max="9490" width="12.28515625" style="1" customWidth="1"/>
    <col min="9491" max="9491" width="1.5703125" style="1" customWidth="1"/>
    <col min="9492" max="9492" width="12.28515625" style="1" customWidth="1"/>
    <col min="9493" max="9493" width="1.5703125" style="1" customWidth="1"/>
    <col min="9494" max="9494" width="12.28515625" style="1" customWidth="1"/>
    <col min="9495" max="9495" width="0.85546875" style="1" customWidth="1"/>
    <col min="9496" max="9496" width="12.28515625" style="1" customWidth="1"/>
    <col min="9497" max="9497" width="1.5703125" style="1" customWidth="1"/>
    <col min="9498" max="9498" width="12.28515625" style="1" customWidth="1"/>
    <col min="9499" max="9499" width="1.5703125" style="1" customWidth="1"/>
    <col min="9500" max="9500" width="12.28515625" style="1" customWidth="1"/>
    <col min="9501" max="9501" width="0.85546875" style="1" customWidth="1"/>
    <col min="9502" max="9502" width="12.28515625" style="1" customWidth="1"/>
    <col min="9503" max="9503" width="1.5703125" style="1" customWidth="1"/>
    <col min="9504" max="9504" width="12.28515625" style="1" customWidth="1"/>
    <col min="9505" max="9505" width="1.5703125" style="1" customWidth="1"/>
    <col min="9506" max="9506" width="12.28515625" style="1" customWidth="1"/>
    <col min="9507" max="9507" width="4.5703125" style="1" customWidth="1"/>
    <col min="9508" max="9508" width="1.42578125" style="1" customWidth="1"/>
    <col min="9509" max="9731" width="13.85546875" style="1"/>
    <col min="9732" max="9732" width="7.85546875" style="1" customWidth="1"/>
    <col min="9733" max="9734" width="2.28515625" style="1" customWidth="1"/>
    <col min="9735" max="9735" width="31.42578125" style="1" customWidth="1"/>
    <col min="9736" max="9736" width="2.28515625" style="1" customWidth="1"/>
    <col min="9737" max="9737" width="2.140625" style="1" customWidth="1"/>
    <col min="9738" max="9738" width="12.28515625" style="1" customWidth="1"/>
    <col min="9739" max="9739" width="1.5703125" style="1" customWidth="1"/>
    <col min="9740" max="9740" width="12.28515625" style="1" customWidth="1"/>
    <col min="9741" max="9741" width="1.5703125" style="1" customWidth="1"/>
    <col min="9742" max="9742" width="12.28515625" style="1" customWidth="1"/>
    <col min="9743" max="9743" width="1.5703125" style="1" customWidth="1"/>
    <col min="9744" max="9744" width="13.5703125" style="1" customWidth="1"/>
    <col min="9745" max="9745" width="0.85546875" style="1" customWidth="1"/>
    <col min="9746" max="9746" width="12.28515625" style="1" customWidth="1"/>
    <col min="9747" max="9747" width="1.5703125" style="1" customWidth="1"/>
    <col min="9748" max="9748" width="12.28515625" style="1" customWidth="1"/>
    <col min="9749" max="9749" width="1.5703125" style="1" customWidth="1"/>
    <col min="9750" max="9750" width="12.28515625" style="1" customWidth="1"/>
    <col min="9751" max="9751" width="0.85546875" style="1" customWidth="1"/>
    <col min="9752" max="9752" width="12.28515625" style="1" customWidth="1"/>
    <col min="9753" max="9753" width="1.5703125" style="1" customWidth="1"/>
    <col min="9754" max="9754" width="12.28515625" style="1" customWidth="1"/>
    <col min="9755" max="9755" width="1.5703125" style="1" customWidth="1"/>
    <col min="9756" max="9756" width="12.28515625" style="1" customWidth="1"/>
    <col min="9757" max="9757" width="0.85546875" style="1" customWidth="1"/>
    <col min="9758" max="9758" width="12.28515625" style="1" customWidth="1"/>
    <col min="9759" max="9759" width="1.5703125" style="1" customWidth="1"/>
    <col min="9760" max="9760" width="12.28515625" style="1" customWidth="1"/>
    <col min="9761" max="9761" width="1.5703125" style="1" customWidth="1"/>
    <col min="9762" max="9762" width="12.28515625" style="1" customWidth="1"/>
    <col min="9763" max="9763" width="4.5703125" style="1" customWidth="1"/>
    <col min="9764" max="9764" width="1.42578125" style="1" customWidth="1"/>
    <col min="9765" max="9987" width="13.85546875" style="1"/>
    <col min="9988" max="9988" width="7.85546875" style="1" customWidth="1"/>
    <col min="9989" max="9990" width="2.28515625" style="1" customWidth="1"/>
    <col min="9991" max="9991" width="31.42578125" style="1" customWidth="1"/>
    <col min="9992" max="9992" width="2.28515625" style="1" customWidth="1"/>
    <col min="9993" max="9993" width="2.140625" style="1" customWidth="1"/>
    <col min="9994" max="9994" width="12.28515625" style="1" customWidth="1"/>
    <col min="9995" max="9995" width="1.5703125" style="1" customWidth="1"/>
    <col min="9996" max="9996" width="12.28515625" style="1" customWidth="1"/>
    <col min="9997" max="9997" width="1.5703125" style="1" customWidth="1"/>
    <col min="9998" max="9998" width="12.28515625" style="1" customWidth="1"/>
    <col min="9999" max="9999" width="1.5703125" style="1" customWidth="1"/>
    <col min="10000" max="10000" width="13.5703125" style="1" customWidth="1"/>
    <col min="10001" max="10001" width="0.85546875" style="1" customWidth="1"/>
    <col min="10002" max="10002" width="12.28515625" style="1" customWidth="1"/>
    <col min="10003" max="10003" width="1.5703125" style="1" customWidth="1"/>
    <col min="10004" max="10004" width="12.28515625" style="1" customWidth="1"/>
    <col min="10005" max="10005" width="1.5703125" style="1" customWidth="1"/>
    <col min="10006" max="10006" width="12.28515625" style="1" customWidth="1"/>
    <col min="10007" max="10007" width="0.85546875" style="1" customWidth="1"/>
    <col min="10008" max="10008" width="12.28515625" style="1" customWidth="1"/>
    <col min="10009" max="10009" width="1.5703125" style="1" customWidth="1"/>
    <col min="10010" max="10010" width="12.28515625" style="1" customWidth="1"/>
    <col min="10011" max="10011" width="1.5703125" style="1" customWidth="1"/>
    <col min="10012" max="10012" width="12.28515625" style="1" customWidth="1"/>
    <col min="10013" max="10013" width="0.85546875" style="1" customWidth="1"/>
    <col min="10014" max="10014" width="12.28515625" style="1" customWidth="1"/>
    <col min="10015" max="10015" width="1.5703125" style="1" customWidth="1"/>
    <col min="10016" max="10016" width="12.28515625" style="1" customWidth="1"/>
    <col min="10017" max="10017" width="1.5703125" style="1" customWidth="1"/>
    <col min="10018" max="10018" width="12.28515625" style="1" customWidth="1"/>
    <col min="10019" max="10019" width="4.5703125" style="1" customWidth="1"/>
    <col min="10020" max="10020" width="1.42578125" style="1" customWidth="1"/>
    <col min="10021" max="10243" width="13.85546875" style="1"/>
    <col min="10244" max="10244" width="7.85546875" style="1" customWidth="1"/>
    <col min="10245" max="10246" width="2.28515625" style="1" customWidth="1"/>
    <col min="10247" max="10247" width="31.42578125" style="1" customWidth="1"/>
    <col min="10248" max="10248" width="2.28515625" style="1" customWidth="1"/>
    <col min="10249" max="10249" width="2.140625" style="1" customWidth="1"/>
    <col min="10250" max="10250" width="12.28515625" style="1" customWidth="1"/>
    <col min="10251" max="10251" width="1.5703125" style="1" customWidth="1"/>
    <col min="10252" max="10252" width="12.28515625" style="1" customWidth="1"/>
    <col min="10253" max="10253" width="1.5703125" style="1" customWidth="1"/>
    <col min="10254" max="10254" width="12.28515625" style="1" customWidth="1"/>
    <col min="10255" max="10255" width="1.5703125" style="1" customWidth="1"/>
    <col min="10256" max="10256" width="13.5703125" style="1" customWidth="1"/>
    <col min="10257" max="10257" width="0.85546875" style="1" customWidth="1"/>
    <col min="10258" max="10258" width="12.28515625" style="1" customWidth="1"/>
    <col min="10259" max="10259" width="1.5703125" style="1" customWidth="1"/>
    <col min="10260" max="10260" width="12.28515625" style="1" customWidth="1"/>
    <col min="10261" max="10261" width="1.5703125" style="1" customWidth="1"/>
    <col min="10262" max="10262" width="12.28515625" style="1" customWidth="1"/>
    <col min="10263" max="10263" width="0.85546875" style="1" customWidth="1"/>
    <col min="10264" max="10264" width="12.28515625" style="1" customWidth="1"/>
    <col min="10265" max="10265" width="1.5703125" style="1" customWidth="1"/>
    <col min="10266" max="10266" width="12.28515625" style="1" customWidth="1"/>
    <col min="10267" max="10267" width="1.5703125" style="1" customWidth="1"/>
    <col min="10268" max="10268" width="12.28515625" style="1" customWidth="1"/>
    <col min="10269" max="10269" width="0.85546875" style="1" customWidth="1"/>
    <col min="10270" max="10270" width="12.28515625" style="1" customWidth="1"/>
    <col min="10271" max="10271" width="1.5703125" style="1" customWidth="1"/>
    <col min="10272" max="10272" width="12.28515625" style="1" customWidth="1"/>
    <col min="10273" max="10273" width="1.5703125" style="1" customWidth="1"/>
    <col min="10274" max="10274" width="12.28515625" style="1" customWidth="1"/>
    <col min="10275" max="10275" width="4.5703125" style="1" customWidth="1"/>
    <col min="10276" max="10276" width="1.42578125" style="1" customWidth="1"/>
    <col min="10277" max="10499" width="13.85546875" style="1"/>
    <col min="10500" max="10500" width="7.85546875" style="1" customWidth="1"/>
    <col min="10501" max="10502" width="2.28515625" style="1" customWidth="1"/>
    <col min="10503" max="10503" width="31.42578125" style="1" customWidth="1"/>
    <col min="10504" max="10504" width="2.28515625" style="1" customWidth="1"/>
    <col min="10505" max="10505" width="2.140625" style="1" customWidth="1"/>
    <col min="10506" max="10506" width="12.28515625" style="1" customWidth="1"/>
    <col min="10507" max="10507" width="1.5703125" style="1" customWidth="1"/>
    <col min="10508" max="10508" width="12.28515625" style="1" customWidth="1"/>
    <col min="10509" max="10509" width="1.5703125" style="1" customWidth="1"/>
    <col min="10510" max="10510" width="12.28515625" style="1" customWidth="1"/>
    <col min="10511" max="10511" width="1.5703125" style="1" customWidth="1"/>
    <col min="10512" max="10512" width="13.5703125" style="1" customWidth="1"/>
    <col min="10513" max="10513" width="0.85546875" style="1" customWidth="1"/>
    <col min="10514" max="10514" width="12.28515625" style="1" customWidth="1"/>
    <col min="10515" max="10515" width="1.5703125" style="1" customWidth="1"/>
    <col min="10516" max="10516" width="12.28515625" style="1" customWidth="1"/>
    <col min="10517" max="10517" width="1.5703125" style="1" customWidth="1"/>
    <col min="10518" max="10518" width="12.28515625" style="1" customWidth="1"/>
    <col min="10519" max="10519" width="0.85546875" style="1" customWidth="1"/>
    <col min="10520" max="10520" width="12.28515625" style="1" customWidth="1"/>
    <col min="10521" max="10521" width="1.5703125" style="1" customWidth="1"/>
    <col min="10522" max="10522" width="12.28515625" style="1" customWidth="1"/>
    <col min="10523" max="10523" width="1.5703125" style="1" customWidth="1"/>
    <col min="10524" max="10524" width="12.28515625" style="1" customWidth="1"/>
    <col min="10525" max="10525" width="0.85546875" style="1" customWidth="1"/>
    <col min="10526" max="10526" width="12.28515625" style="1" customWidth="1"/>
    <col min="10527" max="10527" width="1.5703125" style="1" customWidth="1"/>
    <col min="10528" max="10528" width="12.28515625" style="1" customWidth="1"/>
    <col min="10529" max="10529" width="1.5703125" style="1" customWidth="1"/>
    <col min="10530" max="10530" width="12.28515625" style="1" customWidth="1"/>
    <col min="10531" max="10531" width="4.5703125" style="1" customWidth="1"/>
    <col min="10532" max="10532" width="1.42578125" style="1" customWidth="1"/>
    <col min="10533" max="10755" width="13.85546875" style="1"/>
    <col min="10756" max="10756" width="7.85546875" style="1" customWidth="1"/>
    <col min="10757" max="10758" width="2.28515625" style="1" customWidth="1"/>
    <col min="10759" max="10759" width="31.42578125" style="1" customWidth="1"/>
    <col min="10760" max="10760" width="2.28515625" style="1" customWidth="1"/>
    <col min="10761" max="10761" width="2.140625" style="1" customWidth="1"/>
    <col min="10762" max="10762" width="12.28515625" style="1" customWidth="1"/>
    <col min="10763" max="10763" width="1.5703125" style="1" customWidth="1"/>
    <col min="10764" max="10764" width="12.28515625" style="1" customWidth="1"/>
    <col min="10765" max="10765" width="1.5703125" style="1" customWidth="1"/>
    <col min="10766" max="10766" width="12.28515625" style="1" customWidth="1"/>
    <col min="10767" max="10767" width="1.5703125" style="1" customWidth="1"/>
    <col min="10768" max="10768" width="13.5703125" style="1" customWidth="1"/>
    <col min="10769" max="10769" width="0.85546875" style="1" customWidth="1"/>
    <col min="10770" max="10770" width="12.28515625" style="1" customWidth="1"/>
    <col min="10771" max="10771" width="1.5703125" style="1" customWidth="1"/>
    <col min="10772" max="10772" width="12.28515625" style="1" customWidth="1"/>
    <col min="10773" max="10773" width="1.5703125" style="1" customWidth="1"/>
    <col min="10774" max="10774" width="12.28515625" style="1" customWidth="1"/>
    <col min="10775" max="10775" width="0.85546875" style="1" customWidth="1"/>
    <col min="10776" max="10776" width="12.28515625" style="1" customWidth="1"/>
    <col min="10777" max="10777" width="1.5703125" style="1" customWidth="1"/>
    <col min="10778" max="10778" width="12.28515625" style="1" customWidth="1"/>
    <col min="10779" max="10779" width="1.5703125" style="1" customWidth="1"/>
    <col min="10780" max="10780" width="12.28515625" style="1" customWidth="1"/>
    <col min="10781" max="10781" width="0.85546875" style="1" customWidth="1"/>
    <col min="10782" max="10782" width="12.28515625" style="1" customWidth="1"/>
    <col min="10783" max="10783" width="1.5703125" style="1" customWidth="1"/>
    <col min="10784" max="10784" width="12.28515625" style="1" customWidth="1"/>
    <col min="10785" max="10785" width="1.5703125" style="1" customWidth="1"/>
    <col min="10786" max="10786" width="12.28515625" style="1" customWidth="1"/>
    <col min="10787" max="10787" width="4.5703125" style="1" customWidth="1"/>
    <col min="10788" max="10788" width="1.42578125" style="1" customWidth="1"/>
    <col min="10789" max="11011" width="13.85546875" style="1"/>
    <col min="11012" max="11012" width="7.85546875" style="1" customWidth="1"/>
    <col min="11013" max="11014" width="2.28515625" style="1" customWidth="1"/>
    <col min="11015" max="11015" width="31.42578125" style="1" customWidth="1"/>
    <col min="11016" max="11016" width="2.28515625" style="1" customWidth="1"/>
    <col min="11017" max="11017" width="2.140625" style="1" customWidth="1"/>
    <col min="11018" max="11018" width="12.28515625" style="1" customWidth="1"/>
    <col min="11019" max="11019" width="1.5703125" style="1" customWidth="1"/>
    <col min="11020" max="11020" width="12.28515625" style="1" customWidth="1"/>
    <col min="11021" max="11021" width="1.5703125" style="1" customWidth="1"/>
    <col min="11022" max="11022" width="12.28515625" style="1" customWidth="1"/>
    <col min="11023" max="11023" width="1.5703125" style="1" customWidth="1"/>
    <col min="11024" max="11024" width="13.5703125" style="1" customWidth="1"/>
    <col min="11025" max="11025" width="0.85546875" style="1" customWidth="1"/>
    <col min="11026" max="11026" width="12.28515625" style="1" customWidth="1"/>
    <col min="11027" max="11027" width="1.5703125" style="1" customWidth="1"/>
    <col min="11028" max="11028" width="12.28515625" style="1" customWidth="1"/>
    <col min="11029" max="11029" width="1.5703125" style="1" customWidth="1"/>
    <col min="11030" max="11030" width="12.28515625" style="1" customWidth="1"/>
    <col min="11031" max="11031" width="0.85546875" style="1" customWidth="1"/>
    <col min="11032" max="11032" width="12.28515625" style="1" customWidth="1"/>
    <col min="11033" max="11033" width="1.5703125" style="1" customWidth="1"/>
    <col min="11034" max="11034" width="12.28515625" style="1" customWidth="1"/>
    <col min="11035" max="11035" width="1.5703125" style="1" customWidth="1"/>
    <col min="11036" max="11036" width="12.28515625" style="1" customWidth="1"/>
    <col min="11037" max="11037" width="0.85546875" style="1" customWidth="1"/>
    <col min="11038" max="11038" width="12.28515625" style="1" customWidth="1"/>
    <col min="11039" max="11039" width="1.5703125" style="1" customWidth="1"/>
    <col min="11040" max="11040" width="12.28515625" style="1" customWidth="1"/>
    <col min="11041" max="11041" width="1.5703125" style="1" customWidth="1"/>
    <col min="11042" max="11042" width="12.28515625" style="1" customWidth="1"/>
    <col min="11043" max="11043" width="4.5703125" style="1" customWidth="1"/>
    <col min="11044" max="11044" width="1.42578125" style="1" customWidth="1"/>
    <col min="11045" max="11267" width="13.85546875" style="1"/>
    <col min="11268" max="11268" width="7.85546875" style="1" customWidth="1"/>
    <col min="11269" max="11270" width="2.28515625" style="1" customWidth="1"/>
    <col min="11271" max="11271" width="31.42578125" style="1" customWidth="1"/>
    <col min="11272" max="11272" width="2.28515625" style="1" customWidth="1"/>
    <col min="11273" max="11273" width="2.140625" style="1" customWidth="1"/>
    <col min="11274" max="11274" width="12.28515625" style="1" customWidth="1"/>
    <col min="11275" max="11275" width="1.5703125" style="1" customWidth="1"/>
    <col min="11276" max="11276" width="12.28515625" style="1" customWidth="1"/>
    <col min="11277" max="11277" width="1.5703125" style="1" customWidth="1"/>
    <col min="11278" max="11278" width="12.28515625" style="1" customWidth="1"/>
    <col min="11279" max="11279" width="1.5703125" style="1" customWidth="1"/>
    <col min="11280" max="11280" width="13.5703125" style="1" customWidth="1"/>
    <col min="11281" max="11281" width="0.85546875" style="1" customWidth="1"/>
    <col min="11282" max="11282" width="12.28515625" style="1" customWidth="1"/>
    <col min="11283" max="11283" width="1.5703125" style="1" customWidth="1"/>
    <col min="11284" max="11284" width="12.28515625" style="1" customWidth="1"/>
    <col min="11285" max="11285" width="1.5703125" style="1" customWidth="1"/>
    <col min="11286" max="11286" width="12.28515625" style="1" customWidth="1"/>
    <col min="11287" max="11287" width="0.85546875" style="1" customWidth="1"/>
    <col min="11288" max="11288" width="12.28515625" style="1" customWidth="1"/>
    <col min="11289" max="11289" width="1.5703125" style="1" customWidth="1"/>
    <col min="11290" max="11290" width="12.28515625" style="1" customWidth="1"/>
    <col min="11291" max="11291" width="1.5703125" style="1" customWidth="1"/>
    <col min="11292" max="11292" width="12.28515625" style="1" customWidth="1"/>
    <col min="11293" max="11293" width="0.85546875" style="1" customWidth="1"/>
    <col min="11294" max="11294" width="12.28515625" style="1" customWidth="1"/>
    <col min="11295" max="11295" width="1.5703125" style="1" customWidth="1"/>
    <col min="11296" max="11296" width="12.28515625" style="1" customWidth="1"/>
    <col min="11297" max="11297" width="1.5703125" style="1" customWidth="1"/>
    <col min="11298" max="11298" width="12.28515625" style="1" customWidth="1"/>
    <col min="11299" max="11299" width="4.5703125" style="1" customWidth="1"/>
    <col min="11300" max="11300" width="1.42578125" style="1" customWidth="1"/>
    <col min="11301" max="11523" width="13.85546875" style="1"/>
    <col min="11524" max="11524" width="7.85546875" style="1" customWidth="1"/>
    <col min="11525" max="11526" width="2.28515625" style="1" customWidth="1"/>
    <col min="11527" max="11527" width="31.42578125" style="1" customWidth="1"/>
    <col min="11528" max="11528" width="2.28515625" style="1" customWidth="1"/>
    <col min="11529" max="11529" width="2.140625" style="1" customWidth="1"/>
    <col min="11530" max="11530" width="12.28515625" style="1" customWidth="1"/>
    <col min="11531" max="11531" width="1.5703125" style="1" customWidth="1"/>
    <col min="11532" max="11532" width="12.28515625" style="1" customWidth="1"/>
    <col min="11533" max="11533" width="1.5703125" style="1" customWidth="1"/>
    <col min="11534" max="11534" width="12.28515625" style="1" customWidth="1"/>
    <col min="11535" max="11535" width="1.5703125" style="1" customWidth="1"/>
    <col min="11536" max="11536" width="13.5703125" style="1" customWidth="1"/>
    <col min="11537" max="11537" width="0.85546875" style="1" customWidth="1"/>
    <col min="11538" max="11538" width="12.28515625" style="1" customWidth="1"/>
    <col min="11539" max="11539" width="1.5703125" style="1" customWidth="1"/>
    <col min="11540" max="11540" width="12.28515625" style="1" customWidth="1"/>
    <col min="11541" max="11541" width="1.5703125" style="1" customWidth="1"/>
    <col min="11542" max="11542" width="12.28515625" style="1" customWidth="1"/>
    <col min="11543" max="11543" width="0.85546875" style="1" customWidth="1"/>
    <col min="11544" max="11544" width="12.28515625" style="1" customWidth="1"/>
    <col min="11545" max="11545" width="1.5703125" style="1" customWidth="1"/>
    <col min="11546" max="11546" width="12.28515625" style="1" customWidth="1"/>
    <col min="11547" max="11547" width="1.5703125" style="1" customWidth="1"/>
    <col min="11548" max="11548" width="12.28515625" style="1" customWidth="1"/>
    <col min="11549" max="11549" width="0.85546875" style="1" customWidth="1"/>
    <col min="11550" max="11550" width="12.28515625" style="1" customWidth="1"/>
    <col min="11551" max="11551" width="1.5703125" style="1" customWidth="1"/>
    <col min="11552" max="11552" width="12.28515625" style="1" customWidth="1"/>
    <col min="11553" max="11553" width="1.5703125" style="1" customWidth="1"/>
    <col min="11554" max="11554" width="12.28515625" style="1" customWidth="1"/>
    <col min="11555" max="11555" width="4.5703125" style="1" customWidth="1"/>
    <col min="11556" max="11556" width="1.42578125" style="1" customWidth="1"/>
    <col min="11557" max="11779" width="13.85546875" style="1"/>
    <col min="11780" max="11780" width="7.85546875" style="1" customWidth="1"/>
    <col min="11781" max="11782" width="2.28515625" style="1" customWidth="1"/>
    <col min="11783" max="11783" width="31.42578125" style="1" customWidth="1"/>
    <col min="11784" max="11784" width="2.28515625" style="1" customWidth="1"/>
    <col min="11785" max="11785" width="2.140625" style="1" customWidth="1"/>
    <col min="11786" max="11786" width="12.28515625" style="1" customWidth="1"/>
    <col min="11787" max="11787" width="1.5703125" style="1" customWidth="1"/>
    <col min="11788" max="11788" width="12.28515625" style="1" customWidth="1"/>
    <col min="11789" max="11789" width="1.5703125" style="1" customWidth="1"/>
    <col min="11790" max="11790" width="12.28515625" style="1" customWidth="1"/>
    <col min="11791" max="11791" width="1.5703125" style="1" customWidth="1"/>
    <col min="11792" max="11792" width="13.5703125" style="1" customWidth="1"/>
    <col min="11793" max="11793" width="0.85546875" style="1" customWidth="1"/>
    <col min="11794" max="11794" width="12.28515625" style="1" customWidth="1"/>
    <col min="11795" max="11795" width="1.5703125" style="1" customWidth="1"/>
    <col min="11796" max="11796" width="12.28515625" style="1" customWidth="1"/>
    <col min="11797" max="11797" width="1.5703125" style="1" customWidth="1"/>
    <col min="11798" max="11798" width="12.28515625" style="1" customWidth="1"/>
    <col min="11799" max="11799" width="0.85546875" style="1" customWidth="1"/>
    <col min="11800" max="11800" width="12.28515625" style="1" customWidth="1"/>
    <col min="11801" max="11801" width="1.5703125" style="1" customWidth="1"/>
    <col min="11802" max="11802" width="12.28515625" style="1" customWidth="1"/>
    <col min="11803" max="11803" width="1.5703125" style="1" customWidth="1"/>
    <col min="11804" max="11804" width="12.28515625" style="1" customWidth="1"/>
    <col min="11805" max="11805" width="0.85546875" style="1" customWidth="1"/>
    <col min="11806" max="11806" width="12.28515625" style="1" customWidth="1"/>
    <col min="11807" max="11807" width="1.5703125" style="1" customWidth="1"/>
    <col min="11808" max="11808" width="12.28515625" style="1" customWidth="1"/>
    <col min="11809" max="11809" width="1.5703125" style="1" customWidth="1"/>
    <col min="11810" max="11810" width="12.28515625" style="1" customWidth="1"/>
    <col min="11811" max="11811" width="4.5703125" style="1" customWidth="1"/>
    <col min="11812" max="11812" width="1.42578125" style="1" customWidth="1"/>
    <col min="11813" max="12035" width="13.85546875" style="1"/>
    <col min="12036" max="12036" width="7.85546875" style="1" customWidth="1"/>
    <col min="12037" max="12038" width="2.28515625" style="1" customWidth="1"/>
    <col min="12039" max="12039" width="31.42578125" style="1" customWidth="1"/>
    <col min="12040" max="12040" width="2.28515625" style="1" customWidth="1"/>
    <col min="12041" max="12041" width="2.140625" style="1" customWidth="1"/>
    <col min="12042" max="12042" width="12.28515625" style="1" customWidth="1"/>
    <col min="12043" max="12043" width="1.5703125" style="1" customWidth="1"/>
    <col min="12044" max="12044" width="12.28515625" style="1" customWidth="1"/>
    <col min="12045" max="12045" width="1.5703125" style="1" customWidth="1"/>
    <col min="12046" max="12046" width="12.28515625" style="1" customWidth="1"/>
    <col min="12047" max="12047" width="1.5703125" style="1" customWidth="1"/>
    <col min="12048" max="12048" width="13.5703125" style="1" customWidth="1"/>
    <col min="12049" max="12049" width="0.85546875" style="1" customWidth="1"/>
    <col min="12050" max="12050" width="12.28515625" style="1" customWidth="1"/>
    <col min="12051" max="12051" width="1.5703125" style="1" customWidth="1"/>
    <col min="12052" max="12052" width="12.28515625" style="1" customWidth="1"/>
    <col min="12053" max="12053" width="1.5703125" style="1" customWidth="1"/>
    <col min="12054" max="12054" width="12.28515625" style="1" customWidth="1"/>
    <col min="12055" max="12055" width="0.85546875" style="1" customWidth="1"/>
    <col min="12056" max="12056" width="12.28515625" style="1" customWidth="1"/>
    <col min="12057" max="12057" width="1.5703125" style="1" customWidth="1"/>
    <col min="12058" max="12058" width="12.28515625" style="1" customWidth="1"/>
    <col min="12059" max="12059" width="1.5703125" style="1" customWidth="1"/>
    <col min="12060" max="12060" width="12.28515625" style="1" customWidth="1"/>
    <col min="12061" max="12061" width="0.85546875" style="1" customWidth="1"/>
    <col min="12062" max="12062" width="12.28515625" style="1" customWidth="1"/>
    <col min="12063" max="12063" width="1.5703125" style="1" customWidth="1"/>
    <col min="12064" max="12064" width="12.28515625" style="1" customWidth="1"/>
    <col min="12065" max="12065" width="1.5703125" style="1" customWidth="1"/>
    <col min="12066" max="12066" width="12.28515625" style="1" customWidth="1"/>
    <col min="12067" max="12067" width="4.5703125" style="1" customWidth="1"/>
    <col min="12068" max="12068" width="1.42578125" style="1" customWidth="1"/>
    <col min="12069" max="12291" width="13.85546875" style="1"/>
    <col min="12292" max="12292" width="7.85546875" style="1" customWidth="1"/>
    <col min="12293" max="12294" width="2.28515625" style="1" customWidth="1"/>
    <col min="12295" max="12295" width="31.42578125" style="1" customWidth="1"/>
    <col min="12296" max="12296" width="2.28515625" style="1" customWidth="1"/>
    <col min="12297" max="12297" width="2.140625" style="1" customWidth="1"/>
    <col min="12298" max="12298" width="12.28515625" style="1" customWidth="1"/>
    <col min="12299" max="12299" width="1.5703125" style="1" customWidth="1"/>
    <col min="12300" max="12300" width="12.28515625" style="1" customWidth="1"/>
    <col min="12301" max="12301" width="1.5703125" style="1" customWidth="1"/>
    <col min="12302" max="12302" width="12.28515625" style="1" customWidth="1"/>
    <col min="12303" max="12303" width="1.5703125" style="1" customWidth="1"/>
    <col min="12304" max="12304" width="13.5703125" style="1" customWidth="1"/>
    <col min="12305" max="12305" width="0.85546875" style="1" customWidth="1"/>
    <col min="12306" max="12306" width="12.28515625" style="1" customWidth="1"/>
    <col min="12307" max="12307" width="1.5703125" style="1" customWidth="1"/>
    <col min="12308" max="12308" width="12.28515625" style="1" customWidth="1"/>
    <col min="12309" max="12309" width="1.5703125" style="1" customWidth="1"/>
    <col min="12310" max="12310" width="12.28515625" style="1" customWidth="1"/>
    <col min="12311" max="12311" width="0.85546875" style="1" customWidth="1"/>
    <col min="12312" max="12312" width="12.28515625" style="1" customWidth="1"/>
    <col min="12313" max="12313" width="1.5703125" style="1" customWidth="1"/>
    <col min="12314" max="12314" width="12.28515625" style="1" customWidth="1"/>
    <col min="12315" max="12315" width="1.5703125" style="1" customWidth="1"/>
    <col min="12316" max="12316" width="12.28515625" style="1" customWidth="1"/>
    <col min="12317" max="12317" width="0.85546875" style="1" customWidth="1"/>
    <col min="12318" max="12318" width="12.28515625" style="1" customWidth="1"/>
    <col min="12319" max="12319" width="1.5703125" style="1" customWidth="1"/>
    <col min="12320" max="12320" width="12.28515625" style="1" customWidth="1"/>
    <col min="12321" max="12321" width="1.5703125" style="1" customWidth="1"/>
    <col min="12322" max="12322" width="12.28515625" style="1" customWidth="1"/>
    <col min="12323" max="12323" width="4.5703125" style="1" customWidth="1"/>
    <col min="12324" max="12324" width="1.42578125" style="1" customWidth="1"/>
    <col min="12325" max="12547" width="13.85546875" style="1"/>
    <col min="12548" max="12548" width="7.85546875" style="1" customWidth="1"/>
    <col min="12549" max="12550" width="2.28515625" style="1" customWidth="1"/>
    <col min="12551" max="12551" width="31.42578125" style="1" customWidth="1"/>
    <col min="12552" max="12552" width="2.28515625" style="1" customWidth="1"/>
    <col min="12553" max="12553" width="2.140625" style="1" customWidth="1"/>
    <col min="12554" max="12554" width="12.28515625" style="1" customWidth="1"/>
    <col min="12555" max="12555" width="1.5703125" style="1" customWidth="1"/>
    <col min="12556" max="12556" width="12.28515625" style="1" customWidth="1"/>
    <col min="12557" max="12557" width="1.5703125" style="1" customWidth="1"/>
    <col min="12558" max="12558" width="12.28515625" style="1" customWidth="1"/>
    <col min="12559" max="12559" width="1.5703125" style="1" customWidth="1"/>
    <col min="12560" max="12560" width="13.5703125" style="1" customWidth="1"/>
    <col min="12561" max="12561" width="0.85546875" style="1" customWidth="1"/>
    <col min="12562" max="12562" width="12.28515625" style="1" customWidth="1"/>
    <col min="12563" max="12563" width="1.5703125" style="1" customWidth="1"/>
    <col min="12564" max="12564" width="12.28515625" style="1" customWidth="1"/>
    <col min="12565" max="12565" width="1.5703125" style="1" customWidth="1"/>
    <col min="12566" max="12566" width="12.28515625" style="1" customWidth="1"/>
    <col min="12567" max="12567" width="0.85546875" style="1" customWidth="1"/>
    <col min="12568" max="12568" width="12.28515625" style="1" customWidth="1"/>
    <col min="12569" max="12569" width="1.5703125" style="1" customWidth="1"/>
    <col min="12570" max="12570" width="12.28515625" style="1" customWidth="1"/>
    <col min="12571" max="12571" width="1.5703125" style="1" customWidth="1"/>
    <col min="12572" max="12572" width="12.28515625" style="1" customWidth="1"/>
    <col min="12573" max="12573" width="0.85546875" style="1" customWidth="1"/>
    <col min="12574" max="12574" width="12.28515625" style="1" customWidth="1"/>
    <col min="12575" max="12575" width="1.5703125" style="1" customWidth="1"/>
    <col min="12576" max="12576" width="12.28515625" style="1" customWidth="1"/>
    <col min="12577" max="12577" width="1.5703125" style="1" customWidth="1"/>
    <col min="12578" max="12578" width="12.28515625" style="1" customWidth="1"/>
    <col min="12579" max="12579" width="4.5703125" style="1" customWidth="1"/>
    <col min="12580" max="12580" width="1.42578125" style="1" customWidth="1"/>
    <col min="12581" max="12803" width="13.85546875" style="1"/>
    <col min="12804" max="12804" width="7.85546875" style="1" customWidth="1"/>
    <col min="12805" max="12806" width="2.28515625" style="1" customWidth="1"/>
    <col min="12807" max="12807" width="31.42578125" style="1" customWidth="1"/>
    <col min="12808" max="12808" width="2.28515625" style="1" customWidth="1"/>
    <col min="12809" max="12809" width="2.140625" style="1" customWidth="1"/>
    <col min="12810" max="12810" width="12.28515625" style="1" customWidth="1"/>
    <col min="12811" max="12811" width="1.5703125" style="1" customWidth="1"/>
    <col min="12812" max="12812" width="12.28515625" style="1" customWidth="1"/>
    <col min="12813" max="12813" width="1.5703125" style="1" customWidth="1"/>
    <col min="12814" max="12814" width="12.28515625" style="1" customWidth="1"/>
    <col min="12815" max="12815" width="1.5703125" style="1" customWidth="1"/>
    <col min="12816" max="12816" width="13.5703125" style="1" customWidth="1"/>
    <col min="12817" max="12817" width="0.85546875" style="1" customWidth="1"/>
    <col min="12818" max="12818" width="12.28515625" style="1" customWidth="1"/>
    <col min="12819" max="12819" width="1.5703125" style="1" customWidth="1"/>
    <col min="12820" max="12820" width="12.28515625" style="1" customWidth="1"/>
    <col min="12821" max="12821" width="1.5703125" style="1" customWidth="1"/>
    <col min="12822" max="12822" width="12.28515625" style="1" customWidth="1"/>
    <col min="12823" max="12823" width="0.85546875" style="1" customWidth="1"/>
    <col min="12824" max="12824" width="12.28515625" style="1" customWidth="1"/>
    <col min="12825" max="12825" width="1.5703125" style="1" customWidth="1"/>
    <col min="12826" max="12826" width="12.28515625" style="1" customWidth="1"/>
    <col min="12827" max="12827" width="1.5703125" style="1" customWidth="1"/>
    <col min="12828" max="12828" width="12.28515625" style="1" customWidth="1"/>
    <col min="12829" max="12829" width="0.85546875" style="1" customWidth="1"/>
    <col min="12830" max="12830" width="12.28515625" style="1" customWidth="1"/>
    <col min="12831" max="12831" width="1.5703125" style="1" customWidth="1"/>
    <col min="12832" max="12832" width="12.28515625" style="1" customWidth="1"/>
    <col min="12833" max="12833" width="1.5703125" style="1" customWidth="1"/>
    <col min="12834" max="12834" width="12.28515625" style="1" customWidth="1"/>
    <col min="12835" max="12835" width="4.5703125" style="1" customWidth="1"/>
    <col min="12836" max="12836" width="1.42578125" style="1" customWidth="1"/>
    <col min="12837" max="13059" width="13.85546875" style="1"/>
    <col min="13060" max="13060" width="7.85546875" style="1" customWidth="1"/>
    <col min="13061" max="13062" width="2.28515625" style="1" customWidth="1"/>
    <col min="13063" max="13063" width="31.42578125" style="1" customWidth="1"/>
    <col min="13064" max="13064" width="2.28515625" style="1" customWidth="1"/>
    <col min="13065" max="13065" width="2.140625" style="1" customWidth="1"/>
    <col min="13066" max="13066" width="12.28515625" style="1" customWidth="1"/>
    <col min="13067" max="13067" width="1.5703125" style="1" customWidth="1"/>
    <col min="13068" max="13068" width="12.28515625" style="1" customWidth="1"/>
    <col min="13069" max="13069" width="1.5703125" style="1" customWidth="1"/>
    <col min="13070" max="13070" width="12.28515625" style="1" customWidth="1"/>
    <col min="13071" max="13071" width="1.5703125" style="1" customWidth="1"/>
    <col min="13072" max="13072" width="13.5703125" style="1" customWidth="1"/>
    <col min="13073" max="13073" width="0.85546875" style="1" customWidth="1"/>
    <col min="13074" max="13074" width="12.28515625" style="1" customWidth="1"/>
    <col min="13075" max="13075" width="1.5703125" style="1" customWidth="1"/>
    <col min="13076" max="13076" width="12.28515625" style="1" customWidth="1"/>
    <col min="13077" max="13077" width="1.5703125" style="1" customWidth="1"/>
    <col min="13078" max="13078" width="12.28515625" style="1" customWidth="1"/>
    <col min="13079" max="13079" width="0.85546875" style="1" customWidth="1"/>
    <col min="13080" max="13080" width="12.28515625" style="1" customWidth="1"/>
    <col min="13081" max="13081" width="1.5703125" style="1" customWidth="1"/>
    <col min="13082" max="13082" width="12.28515625" style="1" customWidth="1"/>
    <col min="13083" max="13083" width="1.5703125" style="1" customWidth="1"/>
    <col min="13084" max="13084" width="12.28515625" style="1" customWidth="1"/>
    <col min="13085" max="13085" width="0.85546875" style="1" customWidth="1"/>
    <col min="13086" max="13086" width="12.28515625" style="1" customWidth="1"/>
    <col min="13087" max="13087" width="1.5703125" style="1" customWidth="1"/>
    <col min="13088" max="13088" width="12.28515625" style="1" customWidth="1"/>
    <col min="13089" max="13089" width="1.5703125" style="1" customWidth="1"/>
    <col min="13090" max="13090" width="12.28515625" style="1" customWidth="1"/>
    <col min="13091" max="13091" width="4.5703125" style="1" customWidth="1"/>
    <col min="13092" max="13092" width="1.42578125" style="1" customWidth="1"/>
    <col min="13093" max="13315" width="13.85546875" style="1"/>
    <col min="13316" max="13316" width="7.85546875" style="1" customWidth="1"/>
    <col min="13317" max="13318" width="2.28515625" style="1" customWidth="1"/>
    <col min="13319" max="13319" width="31.42578125" style="1" customWidth="1"/>
    <col min="13320" max="13320" width="2.28515625" style="1" customWidth="1"/>
    <col min="13321" max="13321" width="2.140625" style="1" customWidth="1"/>
    <col min="13322" max="13322" width="12.28515625" style="1" customWidth="1"/>
    <col min="13323" max="13323" width="1.5703125" style="1" customWidth="1"/>
    <col min="13324" max="13324" width="12.28515625" style="1" customWidth="1"/>
    <col min="13325" max="13325" width="1.5703125" style="1" customWidth="1"/>
    <col min="13326" max="13326" width="12.28515625" style="1" customWidth="1"/>
    <col min="13327" max="13327" width="1.5703125" style="1" customWidth="1"/>
    <col min="13328" max="13328" width="13.5703125" style="1" customWidth="1"/>
    <col min="13329" max="13329" width="0.85546875" style="1" customWidth="1"/>
    <col min="13330" max="13330" width="12.28515625" style="1" customWidth="1"/>
    <col min="13331" max="13331" width="1.5703125" style="1" customWidth="1"/>
    <col min="13332" max="13332" width="12.28515625" style="1" customWidth="1"/>
    <col min="13333" max="13333" width="1.5703125" style="1" customWidth="1"/>
    <col min="13334" max="13334" width="12.28515625" style="1" customWidth="1"/>
    <col min="13335" max="13335" width="0.85546875" style="1" customWidth="1"/>
    <col min="13336" max="13336" width="12.28515625" style="1" customWidth="1"/>
    <col min="13337" max="13337" width="1.5703125" style="1" customWidth="1"/>
    <col min="13338" max="13338" width="12.28515625" style="1" customWidth="1"/>
    <col min="13339" max="13339" width="1.5703125" style="1" customWidth="1"/>
    <col min="13340" max="13340" width="12.28515625" style="1" customWidth="1"/>
    <col min="13341" max="13341" width="0.85546875" style="1" customWidth="1"/>
    <col min="13342" max="13342" width="12.28515625" style="1" customWidth="1"/>
    <col min="13343" max="13343" width="1.5703125" style="1" customWidth="1"/>
    <col min="13344" max="13344" width="12.28515625" style="1" customWidth="1"/>
    <col min="13345" max="13345" width="1.5703125" style="1" customWidth="1"/>
    <col min="13346" max="13346" width="12.28515625" style="1" customWidth="1"/>
    <col min="13347" max="13347" width="4.5703125" style="1" customWidth="1"/>
    <col min="13348" max="13348" width="1.42578125" style="1" customWidth="1"/>
    <col min="13349" max="13571" width="13.85546875" style="1"/>
    <col min="13572" max="13572" width="7.85546875" style="1" customWidth="1"/>
    <col min="13573" max="13574" width="2.28515625" style="1" customWidth="1"/>
    <col min="13575" max="13575" width="31.42578125" style="1" customWidth="1"/>
    <col min="13576" max="13576" width="2.28515625" style="1" customWidth="1"/>
    <col min="13577" max="13577" width="2.140625" style="1" customWidth="1"/>
    <col min="13578" max="13578" width="12.28515625" style="1" customWidth="1"/>
    <col min="13579" max="13579" width="1.5703125" style="1" customWidth="1"/>
    <col min="13580" max="13580" width="12.28515625" style="1" customWidth="1"/>
    <col min="13581" max="13581" width="1.5703125" style="1" customWidth="1"/>
    <col min="13582" max="13582" width="12.28515625" style="1" customWidth="1"/>
    <col min="13583" max="13583" width="1.5703125" style="1" customWidth="1"/>
    <col min="13584" max="13584" width="13.5703125" style="1" customWidth="1"/>
    <col min="13585" max="13585" width="0.85546875" style="1" customWidth="1"/>
    <col min="13586" max="13586" width="12.28515625" style="1" customWidth="1"/>
    <col min="13587" max="13587" width="1.5703125" style="1" customWidth="1"/>
    <col min="13588" max="13588" width="12.28515625" style="1" customWidth="1"/>
    <col min="13589" max="13589" width="1.5703125" style="1" customWidth="1"/>
    <col min="13590" max="13590" width="12.28515625" style="1" customWidth="1"/>
    <col min="13591" max="13591" width="0.85546875" style="1" customWidth="1"/>
    <col min="13592" max="13592" width="12.28515625" style="1" customWidth="1"/>
    <col min="13593" max="13593" width="1.5703125" style="1" customWidth="1"/>
    <col min="13594" max="13594" width="12.28515625" style="1" customWidth="1"/>
    <col min="13595" max="13595" width="1.5703125" style="1" customWidth="1"/>
    <col min="13596" max="13596" width="12.28515625" style="1" customWidth="1"/>
    <col min="13597" max="13597" width="0.85546875" style="1" customWidth="1"/>
    <col min="13598" max="13598" width="12.28515625" style="1" customWidth="1"/>
    <col min="13599" max="13599" width="1.5703125" style="1" customWidth="1"/>
    <col min="13600" max="13600" width="12.28515625" style="1" customWidth="1"/>
    <col min="13601" max="13601" width="1.5703125" style="1" customWidth="1"/>
    <col min="13602" max="13602" width="12.28515625" style="1" customWidth="1"/>
    <col min="13603" max="13603" width="4.5703125" style="1" customWidth="1"/>
    <col min="13604" max="13604" width="1.42578125" style="1" customWidth="1"/>
    <col min="13605" max="13827" width="13.85546875" style="1"/>
    <col min="13828" max="13828" width="7.85546875" style="1" customWidth="1"/>
    <col min="13829" max="13830" width="2.28515625" style="1" customWidth="1"/>
    <col min="13831" max="13831" width="31.42578125" style="1" customWidth="1"/>
    <col min="13832" max="13832" width="2.28515625" style="1" customWidth="1"/>
    <col min="13833" max="13833" width="2.140625" style="1" customWidth="1"/>
    <col min="13834" max="13834" width="12.28515625" style="1" customWidth="1"/>
    <col min="13835" max="13835" width="1.5703125" style="1" customWidth="1"/>
    <col min="13836" max="13836" width="12.28515625" style="1" customWidth="1"/>
    <col min="13837" max="13837" width="1.5703125" style="1" customWidth="1"/>
    <col min="13838" max="13838" width="12.28515625" style="1" customWidth="1"/>
    <col min="13839" max="13839" width="1.5703125" style="1" customWidth="1"/>
    <col min="13840" max="13840" width="13.5703125" style="1" customWidth="1"/>
    <col min="13841" max="13841" width="0.85546875" style="1" customWidth="1"/>
    <col min="13842" max="13842" width="12.28515625" style="1" customWidth="1"/>
    <col min="13843" max="13843" width="1.5703125" style="1" customWidth="1"/>
    <col min="13844" max="13844" width="12.28515625" style="1" customWidth="1"/>
    <col min="13845" max="13845" width="1.5703125" style="1" customWidth="1"/>
    <col min="13846" max="13846" width="12.28515625" style="1" customWidth="1"/>
    <col min="13847" max="13847" width="0.85546875" style="1" customWidth="1"/>
    <col min="13848" max="13848" width="12.28515625" style="1" customWidth="1"/>
    <col min="13849" max="13849" width="1.5703125" style="1" customWidth="1"/>
    <col min="13850" max="13850" width="12.28515625" style="1" customWidth="1"/>
    <col min="13851" max="13851" width="1.5703125" style="1" customWidth="1"/>
    <col min="13852" max="13852" width="12.28515625" style="1" customWidth="1"/>
    <col min="13853" max="13853" width="0.85546875" style="1" customWidth="1"/>
    <col min="13854" max="13854" width="12.28515625" style="1" customWidth="1"/>
    <col min="13855" max="13855" width="1.5703125" style="1" customWidth="1"/>
    <col min="13856" max="13856" width="12.28515625" style="1" customWidth="1"/>
    <col min="13857" max="13857" width="1.5703125" style="1" customWidth="1"/>
    <col min="13858" max="13858" width="12.28515625" style="1" customWidth="1"/>
    <col min="13859" max="13859" width="4.5703125" style="1" customWidth="1"/>
    <col min="13860" max="13860" width="1.42578125" style="1" customWidth="1"/>
    <col min="13861" max="14083" width="13.85546875" style="1"/>
    <col min="14084" max="14084" width="7.85546875" style="1" customWidth="1"/>
    <col min="14085" max="14086" width="2.28515625" style="1" customWidth="1"/>
    <col min="14087" max="14087" width="31.42578125" style="1" customWidth="1"/>
    <col min="14088" max="14088" width="2.28515625" style="1" customWidth="1"/>
    <col min="14089" max="14089" width="2.140625" style="1" customWidth="1"/>
    <col min="14090" max="14090" width="12.28515625" style="1" customWidth="1"/>
    <col min="14091" max="14091" width="1.5703125" style="1" customWidth="1"/>
    <col min="14092" max="14092" width="12.28515625" style="1" customWidth="1"/>
    <col min="14093" max="14093" width="1.5703125" style="1" customWidth="1"/>
    <col min="14094" max="14094" width="12.28515625" style="1" customWidth="1"/>
    <col min="14095" max="14095" width="1.5703125" style="1" customWidth="1"/>
    <col min="14096" max="14096" width="13.5703125" style="1" customWidth="1"/>
    <col min="14097" max="14097" width="0.85546875" style="1" customWidth="1"/>
    <col min="14098" max="14098" width="12.28515625" style="1" customWidth="1"/>
    <col min="14099" max="14099" width="1.5703125" style="1" customWidth="1"/>
    <col min="14100" max="14100" width="12.28515625" style="1" customWidth="1"/>
    <col min="14101" max="14101" width="1.5703125" style="1" customWidth="1"/>
    <col min="14102" max="14102" width="12.28515625" style="1" customWidth="1"/>
    <col min="14103" max="14103" width="0.85546875" style="1" customWidth="1"/>
    <col min="14104" max="14104" width="12.28515625" style="1" customWidth="1"/>
    <col min="14105" max="14105" width="1.5703125" style="1" customWidth="1"/>
    <col min="14106" max="14106" width="12.28515625" style="1" customWidth="1"/>
    <col min="14107" max="14107" width="1.5703125" style="1" customWidth="1"/>
    <col min="14108" max="14108" width="12.28515625" style="1" customWidth="1"/>
    <col min="14109" max="14109" width="0.85546875" style="1" customWidth="1"/>
    <col min="14110" max="14110" width="12.28515625" style="1" customWidth="1"/>
    <col min="14111" max="14111" width="1.5703125" style="1" customWidth="1"/>
    <col min="14112" max="14112" width="12.28515625" style="1" customWidth="1"/>
    <col min="14113" max="14113" width="1.5703125" style="1" customWidth="1"/>
    <col min="14114" max="14114" width="12.28515625" style="1" customWidth="1"/>
    <col min="14115" max="14115" width="4.5703125" style="1" customWidth="1"/>
    <col min="14116" max="14116" width="1.42578125" style="1" customWidth="1"/>
    <col min="14117" max="14339" width="13.85546875" style="1"/>
    <col min="14340" max="14340" width="7.85546875" style="1" customWidth="1"/>
    <col min="14341" max="14342" width="2.28515625" style="1" customWidth="1"/>
    <col min="14343" max="14343" width="31.42578125" style="1" customWidth="1"/>
    <col min="14344" max="14344" width="2.28515625" style="1" customWidth="1"/>
    <col min="14345" max="14345" width="2.140625" style="1" customWidth="1"/>
    <col min="14346" max="14346" width="12.28515625" style="1" customWidth="1"/>
    <col min="14347" max="14347" width="1.5703125" style="1" customWidth="1"/>
    <col min="14348" max="14348" width="12.28515625" style="1" customWidth="1"/>
    <col min="14349" max="14349" width="1.5703125" style="1" customWidth="1"/>
    <col min="14350" max="14350" width="12.28515625" style="1" customWidth="1"/>
    <col min="14351" max="14351" width="1.5703125" style="1" customWidth="1"/>
    <col min="14352" max="14352" width="13.5703125" style="1" customWidth="1"/>
    <col min="14353" max="14353" width="0.85546875" style="1" customWidth="1"/>
    <col min="14354" max="14354" width="12.28515625" style="1" customWidth="1"/>
    <col min="14355" max="14355" width="1.5703125" style="1" customWidth="1"/>
    <col min="14356" max="14356" width="12.28515625" style="1" customWidth="1"/>
    <col min="14357" max="14357" width="1.5703125" style="1" customWidth="1"/>
    <col min="14358" max="14358" width="12.28515625" style="1" customWidth="1"/>
    <col min="14359" max="14359" width="0.85546875" style="1" customWidth="1"/>
    <col min="14360" max="14360" width="12.28515625" style="1" customWidth="1"/>
    <col min="14361" max="14361" width="1.5703125" style="1" customWidth="1"/>
    <col min="14362" max="14362" width="12.28515625" style="1" customWidth="1"/>
    <col min="14363" max="14363" width="1.5703125" style="1" customWidth="1"/>
    <col min="14364" max="14364" width="12.28515625" style="1" customWidth="1"/>
    <col min="14365" max="14365" width="0.85546875" style="1" customWidth="1"/>
    <col min="14366" max="14366" width="12.28515625" style="1" customWidth="1"/>
    <col min="14367" max="14367" width="1.5703125" style="1" customWidth="1"/>
    <col min="14368" max="14368" width="12.28515625" style="1" customWidth="1"/>
    <col min="14369" max="14369" width="1.5703125" style="1" customWidth="1"/>
    <col min="14370" max="14370" width="12.28515625" style="1" customWidth="1"/>
    <col min="14371" max="14371" width="4.5703125" style="1" customWidth="1"/>
    <col min="14372" max="14372" width="1.42578125" style="1" customWidth="1"/>
    <col min="14373" max="14595" width="13.85546875" style="1"/>
    <col min="14596" max="14596" width="7.85546875" style="1" customWidth="1"/>
    <col min="14597" max="14598" width="2.28515625" style="1" customWidth="1"/>
    <col min="14599" max="14599" width="31.42578125" style="1" customWidth="1"/>
    <col min="14600" max="14600" width="2.28515625" style="1" customWidth="1"/>
    <col min="14601" max="14601" width="2.140625" style="1" customWidth="1"/>
    <col min="14602" max="14602" width="12.28515625" style="1" customWidth="1"/>
    <col min="14603" max="14603" width="1.5703125" style="1" customWidth="1"/>
    <col min="14604" max="14604" width="12.28515625" style="1" customWidth="1"/>
    <col min="14605" max="14605" width="1.5703125" style="1" customWidth="1"/>
    <col min="14606" max="14606" width="12.28515625" style="1" customWidth="1"/>
    <col min="14607" max="14607" width="1.5703125" style="1" customWidth="1"/>
    <col min="14608" max="14608" width="13.5703125" style="1" customWidth="1"/>
    <col min="14609" max="14609" width="0.85546875" style="1" customWidth="1"/>
    <col min="14610" max="14610" width="12.28515625" style="1" customWidth="1"/>
    <col min="14611" max="14611" width="1.5703125" style="1" customWidth="1"/>
    <col min="14612" max="14612" width="12.28515625" style="1" customWidth="1"/>
    <col min="14613" max="14613" width="1.5703125" style="1" customWidth="1"/>
    <col min="14614" max="14614" width="12.28515625" style="1" customWidth="1"/>
    <col min="14615" max="14615" width="0.85546875" style="1" customWidth="1"/>
    <col min="14616" max="14616" width="12.28515625" style="1" customWidth="1"/>
    <col min="14617" max="14617" width="1.5703125" style="1" customWidth="1"/>
    <col min="14618" max="14618" width="12.28515625" style="1" customWidth="1"/>
    <col min="14619" max="14619" width="1.5703125" style="1" customWidth="1"/>
    <col min="14620" max="14620" width="12.28515625" style="1" customWidth="1"/>
    <col min="14621" max="14621" width="0.85546875" style="1" customWidth="1"/>
    <col min="14622" max="14622" width="12.28515625" style="1" customWidth="1"/>
    <col min="14623" max="14623" width="1.5703125" style="1" customWidth="1"/>
    <col min="14624" max="14624" width="12.28515625" style="1" customWidth="1"/>
    <col min="14625" max="14625" width="1.5703125" style="1" customWidth="1"/>
    <col min="14626" max="14626" width="12.28515625" style="1" customWidth="1"/>
    <col min="14627" max="14627" width="4.5703125" style="1" customWidth="1"/>
    <col min="14628" max="14628" width="1.42578125" style="1" customWidth="1"/>
    <col min="14629" max="14851" width="13.85546875" style="1"/>
    <col min="14852" max="14852" width="7.85546875" style="1" customWidth="1"/>
    <col min="14853" max="14854" width="2.28515625" style="1" customWidth="1"/>
    <col min="14855" max="14855" width="31.42578125" style="1" customWidth="1"/>
    <col min="14856" max="14856" width="2.28515625" style="1" customWidth="1"/>
    <col min="14857" max="14857" width="2.140625" style="1" customWidth="1"/>
    <col min="14858" max="14858" width="12.28515625" style="1" customWidth="1"/>
    <col min="14859" max="14859" width="1.5703125" style="1" customWidth="1"/>
    <col min="14860" max="14860" width="12.28515625" style="1" customWidth="1"/>
    <col min="14861" max="14861" width="1.5703125" style="1" customWidth="1"/>
    <col min="14862" max="14862" width="12.28515625" style="1" customWidth="1"/>
    <col min="14863" max="14863" width="1.5703125" style="1" customWidth="1"/>
    <col min="14864" max="14864" width="13.5703125" style="1" customWidth="1"/>
    <col min="14865" max="14865" width="0.85546875" style="1" customWidth="1"/>
    <col min="14866" max="14866" width="12.28515625" style="1" customWidth="1"/>
    <col min="14867" max="14867" width="1.5703125" style="1" customWidth="1"/>
    <col min="14868" max="14868" width="12.28515625" style="1" customWidth="1"/>
    <col min="14869" max="14869" width="1.5703125" style="1" customWidth="1"/>
    <col min="14870" max="14870" width="12.28515625" style="1" customWidth="1"/>
    <col min="14871" max="14871" width="0.85546875" style="1" customWidth="1"/>
    <col min="14872" max="14872" width="12.28515625" style="1" customWidth="1"/>
    <col min="14873" max="14873" width="1.5703125" style="1" customWidth="1"/>
    <col min="14874" max="14874" width="12.28515625" style="1" customWidth="1"/>
    <col min="14875" max="14875" width="1.5703125" style="1" customWidth="1"/>
    <col min="14876" max="14876" width="12.28515625" style="1" customWidth="1"/>
    <col min="14877" max="14877" width="0.85546875" style="1" customWidth="1"/>
    <col min="14878" max="14878" width="12.28515625" style="1" customWidth="1"/>
    <col min="14879" max="14879" width="1.5703125" style="1" customWidth="1"/>
    <col min="14880" max="14880" width="12.28515625" style="1" customWidth="1"/>
    <col min="14881" max="14881" width="1.5703125" style="1" customWidth="1"/>
    <col min="14882" max="14882" width="12.28515625" style="1" customWidth="1"/>
    <col min="14883" max="14883" width="4.5703125" style="1" customWidth="1"/>
    <col min="14884" max="14884" width="1.42578125" style="1" customWidth="1"/>
    <col min="14885" max="15107" width="13.85546875" style="1"/>
    <col min="15108" max="15108" width="7.85546875" style="1" customWidth="1"/>
    <col min="15109" max="15110" width="2.28515625" style="1" customWidth="1"/>
    <col min="15111" max="15111" width="31.42578125" style="1" customWidth="1"/>
    <col min="15112" max="15112" width="2.28515625" style="1" customWidth="1"/>
    <col min="15113" max="15113" width="2.140625" style="1" customWidth="1"/>
    <col min="15114" max="15114" width="12.28515625" style="1" customWidth="1"/>
    <col min="15115" max="15115" width="1.5703125" style="1" customWidth="1"/>
    <col min="15116" max="15116" width="12.28515625" style="1" customWidth="1"/>
    <col min="15117" max="15117" width="1.5703125" style="1" customWidth="1"/>
    <col min="15118" max="15118" width="12.28515625" style="1" customWidth="1"/>
    <col min="15119" max="15119" width="1.5703125" style="1" customWidth="1"/>
    <col min="15120" max="15120" width="13.5703125" style="1" customWidth="1"/>
    <col min="15121" max="15121" width="0.85546875" style="1" customWidth="1"/>
    <col min="15122" max="15122" width="12.28515625" style="1" customWidth="1"/>
    <col min="15123" max="15123" width="1.5703125" style="1" customWidth="1"/>
    <col min="15124" max="15124" width="12.28515625" style="1" customWidth="1"/>
    <col min="15125" max="15125" width="1.5703125" style="1" customWidth="1"/>
    <col min="15126" max="15126" width="12.28515625" style="1" customWidth="1"/>
    <col min="15127" max="15127" width="0.85546875" style="1" customWidth="1"/>
    <col min="15128" max="15128" width="12.28515625" style="1" customWidth="1"/>
    <col min="15129" max="15129" width="1.5703125" style="1" customWidth="1"/>
    <col min="15130" max="15130" width="12.28515625" style="1" customWidth="1"/>
    <col min="15131" max="15131" width="1.5703125" style="1" customWidth="1"/>
    <col min="15132" max="15132" width="12.28515625" style="1" customWidth="1"/>
    <col min="15133" max="15133" width="0.85546875" style="1" customWidth="1"/>
    <col min="15134" max="15134" width="12.28515625" style="1" customWidth="1"/>
    <col min="15135" max="15135" width="1.5703125" style="1" customWidth="1"/>
    <col min="15136" max="15136" width="12.28515625" style="1" customWidth="1"/>
    <col min="15137" max="15137" width="1.5703125" style="1" customWidth="1"/>
    <col min="15138" max="15138" width="12.28515625" style="1" customWidth="1"/>
    <col min="15139" max="15139" width="4.5703125" style="1" customWidth="1"/>
    <col min="15140" max="15140" width="1.42578125" style="1" customWidth="1"/>
    <col min="15141" max="15363" width="13.85546875" style="1"/>
    <col min="15364" max="15364" width="7.85546875" style="1" customWidth="1"/>
    <col min="15365" max="15366" width="2.28515625" style="1" customWidth="1"/>
    <col min="15367" max="15367" width="31.42578125" style="1" customWidth="1"/>
    <col min="15368" max="15368" width="2.28515625" style="1" customWidth="1"/>
    <col min="15369" max="15369" width="2.140625" style="1" customWidth="1"/>
    <col min="15370" max="15370" width="12.28515625" style="1" customWidth="1"/>
    <col min="15371" max="15371" width="1.5703125" style="1" customWidth="1"/>
    <col min="15372" max="15372" width="12.28515625" style="1" customWidth="1"/>
    <col min="15373" max="15373" width="1.5703125" style="1" customWidth="1"/>
    <col min="15374" max="15374" width="12.28515625" style="1" customWidth="1"/>
    <col min="15375" max="15375" width="1.5703125" style="1" customWidth="1"/>
    <col min="15376" max="15376" width="13.5703125" style="1" customWidth="1"/>
    <col min="15377" max="15377" width="0.85546875" style="1" customWidth="1"/>
    <col min="15378" max="15378" width="12.28515625" style="1" customWidth="1"/>
    <col min="15379" max="15379" width="1.5703125" style="1" customWidth="1"/>
    <col min="15380" max="15380" width="12.28515625" style="1" customWidth="1"/>
    <col min="15381" max="15381" width="1.5703125" style="1" customWidth="1"/>
    <col min="15382" max="15382" width="12.28515625" style="1" customWidth="1"/>
    <col min="15383" max="15383" width="0.85546875" style="1" customWidth="1"/>
    <col min="15384" max="15384" width="12.28515625" style="1" customWidth="1"/>
    <col min="15385" max="15385" width="1.5703125" style="1" customWidth="1"/>
    <col min="15386" max="15386" width="12.28515625" style="1" customWidth="1"/>
    <col min="15387" max="15387" width="1.5703125" style="1" customWidth="1"/>
    <col min="15388" max="15388" width="12.28515625" style="1" customWidth="1"/>
    <col min="15389" max="15389" width="0.85546875" style="1" customWidth="1"/>
    <col min="15390" max="15390" width="12.28515625" style="1" customWidth="1"/>
    <col min="15391" max="15391" width="1.5703125" style="1" customWidth="1"/>
    <col min="15392" max="15392" width="12.28515625" style="1" customWidth="1"/>
    <col min="15393" max="15393" width="1.5703125" style="1" customWidth="1"/>
    <col min="15394" max="15394" width="12.28515625" style="1" customWidth="1"/>
    <col min="15395" max="15395" width="4.5703125" style="1" customWidth="1"/>
    <col min="15396" max="15396" width="1.42578125" style="1" customWidth="1"/>
    <col min="15397" max="15619" width="13.85546875" style="1"/>
    <col min="15620" max="15620" width="7.85546875" style="1" customWidth="1"/>
    <col min="15621" max="15622" width="2.28515625" style="1" customWidth="1"/>
    <col min="15623" max="15623" width="31.42578125" style="1" customWidth="1"/>
    <col min="15624" max="15624" width="2.28515625" style="1" customWidth="1"/>
    <col min="15625" max="15625" width="2.140625" style="1" customWidth="1"/>
    <col min="15626" max="15626" width="12.28515625" style="1" customWidth="1"/>
    <col min="15627" max="15627" width="1.5703125" style="1" customWidth="1"/>
    <col min="15628" max="15628" width="12.28515625" style="1" customWidth="1"/>
    <col min="15629" max="15629" width="1.5703125" style="1" customWidth="1"/>
    <col min="15630" max="15630" width="12.28515625" style="1" customWidth="1"/>
    <col min="15631" max="15631" width="1.5703125" style="1" customWidth="1"/>
    <col min="15632" max="15632" width="13.5703125" style="1" customWidth="1"/>
    <col min="15633" max="15633" width="0.85546875" style="1" customWidth="1"/>
    <col min="15634" max="15634" width="12.28515625" style="1" customWidth="1"/>
    <col min="15635" max="15635" width="1.5703125" style="1" customWidth="1"/>
    <col min="15636" max="15636" width="12.28515625" style="1" customWidth="1"/>
    <col min="15637" max="15637" width="1.5703125" style="1" customWidth="1"/>
    <col min="15638" max="15638" width="12.28515625" style="1" customWidth="1"/>
    <col min="15639" max="15639" width="0.85546875" style="1" customWidth="1"/>
    <col min="15640" max="15640" width="12.28515625" style="1" customWidth="1"/>
    <col min="15641" max="15641" width="1.5703125" style="1" customWidth="1"/>
    <col min="15642" max="15642" width="12.28515625" style="1" customWidth="1"/>
    <col min="15643" max="15643" width="1.5703125" style="1" customWidth="1"/>
    <col min="15644" max="15644" width="12.28515625" style="1" customWidth="1"/>
    <col min="15645" max="15645" width="0.85546875" style="1" customWidth="1"/>
    <col min="15646" max="15646" width="12.28515625" style="1" customWidth="1"/>
    <col min="15647" max="15647" width="1.5703125" style="1" customWidth="1"/>
    <col min="15648" max="15648" width="12.28515625" style="1" customWidth="1"/>
    <col min="15649" max="15649" width="1.5703125" style="1" customWidth="1"/>
    <col min="15650" max="15650" width="12.28515625" style="1" customWidth="1"/>
    <col min="15651" max="15651" width="4.5703125" style="1" customWidth="1"/>
    <col min="15652" max="15652" width="1.42578125" style="1" customWidth="1"/>
    <col min="15653" max="15875" width="13.85546875" style="1"/>
    <col min="15876" max="15876" width="7.85546875" style="1" customWidth="1"/>
    <col min="15877" max="15878" width="2.28515625" style="1" customWidth="1"/>
    <col min="15879" max="15879" width="31.42578125" style="1" customWidth="1"/>
    <col min="15880" max="15880" width="2.28515625" style="1" customWidth="1"/>
    <col min="15881" max="15881" width="2.140625" style="1" customWidth="1"/>
    <col min="15882" max="15882" width="12.28515625" style="1" customWidth="1"/>
    <col min="15883" max="15883" width="1.5703125" style="1" customWidth="1"/>
    <col min="15884" max="15884" width="12.28515625" style="1" customWidth="1"/>
    <col min="15885" max="15885" width="1.5703125" style="1" customWidth="1"/>
    <col min="15886" max="15886" width="12.28515625" style="1" customWidth="1"/>
    <col min="15887" max="15887" width="1.5703125" style="1" customWidth="1"/>
    <col min="15888" max="15888" width="13.5703125" style="1" customWidth="1"/>
    <col min="15889" max="15889" width="0.85546875" style="1" customWidth="1"/>
    <col min="15890" max="15890" width="12.28515625" style="1" customWidth="1"/>
    <col min="15891" max="15891" width="1.5703125" style="1" customWidth="1"/>
    <col min="15892" max="15892" width="12.28515625" style="1" customWidth="1"/>
    <col min="15893" max="15893" width="1.5703125" style="1" customWidth="1"/>
    <col min="15894" max="15894" width="12.28515625" style="1" customWidth="1"/>
    <col min="15895" max="15895" width="0.85546875" style="1" customWidth="1"/>
    <col min="15896" max="15896" width="12.28515625" style="1" customWidth="1"/>
    <col min="15897" max="15897" width="1.5703125" style="1" customWidth="1"/>
    <col min="15898" max="15898" width="12.28515625" style="1" customWidth="1"/>
    <col min="15899" max="15899" width="1.5703125" style="1" customWidth="1"/>
    <col min="15900" max="15900" width="12.28515625" style="1" customWidth="1"/>
    <col min="15901" max="15901" width="0.85546875" style="1" customWidth="1"/>
    <col min="15902" max="15902" width="12.28515625" style="1" customWidth="1"/>
    <col min="15903" max="15903" width="1.5703125" style="1" customWidth="1"/>
    <col min="15904" max="15904" width="12.28515625" style="1" customWidth="1"/>
    <col min="15905" max="15905" width="1.5703125" style="1" customWidth="1"/>
    <col min="15906" max="15906" width="12.28515625" style="1" customWidth="1"/>
    <col min="15907" max="15907" width="4.5703125" style="1" customWidth="1"/>
    <col min="15908" max="15908" width="1.42578125" style="1" customWidth="1"/>
    <col min="15909" max="16131" width="13.85546875" style="1"/>
    <col min="16132" max="16132" width="7.85546875" style="1" customWidth="1"/>
    <col min="16133" max="16134" width="2.28515625" style="1" customWidth="1"/>
    <col min="16135" max="16135" width="31.42578125" style="1" customWidth="1"/>
    <col min="16136" max="16136" width="2.28515625" style="1" customWidth="1"/>
    <col min="16137" max="16137" width="2.140625" style="1" customWidth="1"/>
    <col min="16138" max="16138" width="12.28515625" style="1" customWidth="1"/>
    <col min="16139" max="16139" width="1.5703125" style="1" customWidth="1"/>
    <col min="16140" max="16140" width="12.28515625" style="1" customWidth="1"/>
    <col min="16141" max="16141" width="1.5703125" style="1" customWidth="1"/>
    <col min="16142" max="16142" width="12.28515625" style="1" customWidth="1"/>
    <col min="16143" max="16143" width="1.5703125" style="1" customWidth="1"/>
    <col min="16144" max="16144" width="13.5703125" style="1" customWidth="1"/>
    <col min="16145" max="16145" width="0.85546875" style="1" customWidth="1"/>
    <col min="16146" max="16146" width="12.28515625" style="1" customWidth="1"/>
    <col min="16147" max="16147" width="1.5703125" style="1" customWidth="1"/>
    <col min="16148" max="16148" width="12.28515625" style="1" customWidth="1"/>
    <col min="16149" max="16149" width="1.5703125" style="1" customWidth="1"/>
    <col min="16150" max="16150" width="12.28515625" style="1" customWidth="1"/>
    <col min="16151" max="16151" width="0.85546875" style="1" customWidth="1"/>
    <col min="16152" max="16152" width="12.28515625" style="1" customWidth="1"/>
    <col min="16153" max="16153" width="1.5703125" style="1" customWidth="1"/>
    <col min="16154" max="16154" width="12.28515625" style="1" customWidth="1"/>
    <col min="16155" max="16155" width="1.5703125" style="1" customWidth="1"/>
    <col min="16156" max="16156" width="12.28515625" style="1" customWidth="1"/>
    <col min="16157" max="16157" width="0.85546875" style="1" customWidth="1"/>
    <col min="16158" max="16158" width="12.28515625" style="1" customWidth="1"/>
    <col min="16159" max="16159" width="1.5703125" style="1" customWidth="1"/>
    <col min="16160" max="16160" width="12.28515625" style="1" customWidth="1"/>
    <col min="16161" max="16161" width="1.5703125" style="1" customWidth="1"/>
    <col min="16162" max="16162" width="12.28515625" style="1" customWidth="1"/>
    <col min="16163" max="16163" width="4.5703125" style="1" customWidth="1"/>
    <col min="16164" max="16164" width="1.42578125" style="1" customWidth="1"/>
    <col min="16165" max="16384" width="13.85546875" style="1"/>
  </cols>
  <sheetData>
    <row r="1" spans="1:36">
      <c r="D1" s="1" t="s">
        <v>169</v>
      </c>
      <c r="E1" s="1" t="s">
        <v>170</v>
      </c>
      <c r="F1" s="2"/>
      <c r="G1" s="3"/>
      <c r="J1" s="1" t="s">
        <v>171</v>
      </c>
      <c r="L1" s="1" t="s">
        <v>172</v>
      </c>
      <c r="N1" s="1" t="s">
        <v>173</v>
      </c>
      <c r="P1" s="1" t="s">
        <v>174</v>
      </c>
      <c r="R1" s="1" t="s">
        <v>175</v>
      </c>
      <c r="T1" s="1" t="s">
        <v>176</v>
      </c>
      <c r="V1" s="1" t="s">
        <v>177</v>
      </c>
      <c r="X1" s="1" t="s">
        <v>178</v>
      </c>
      <c r="Z1" s="1" t="s">
        <v>179</v>
      </c>
      <c r="AB1" s="1" t="s">
        <v>180</v>
      </c>
      <c r="AD1" s="1" t="s">
        <v>181</v>
      </c>
      <c r="AF1" s="1" t="s">
        <v>182</v>
      </c>
      <c r="AH1" s="4"/>
    </row>
    <row r="2" spans="1:36" hidden="1" outlineLevel="1">
      <c r="B2" s="71"/>
      <c r="D2" s="5"/>
      <c r="E2" s="5"/>
      <c r="F2" s="6"/>
      <c r="G2" s="3"/>
      <c r="H2" s="7"/>
      <c r="I2" s="8"/>
      <c r="J2" s="9">
        <v>0</v>
      </c>
      <c r="K2" s="8"/>
      <c r="L2" s="9">
        <v>0</v>
      </c>
      <c r="M2" s="8"/>
      <c r="N2" s="9">
        <v>0</v>
      </c>
      <c r="O2" s="8"/>
      <c r="P2" s="9">
        <v>0</v>
      </c>
      <c r="Q2" s="8"/>
      <c r="R2" s="9">
        <v>0</v>
      </c>
      <c r="S2" s="8"/>
      <c r="T2" s="9">
        <v>0</v>
      </c>
      <c r="U2" s="8"/>
      <c r="V2" s="9">
        <v>0</v>
      </c>
      <c r="W2" s="8"/>
      <c r="X2" s="9">
        <v>0</v>
      </c>
      <c r="Y2" s="8"/>
      <c r="Z2" s="9">
        <v>0</v>
      </c>
      <c r="AA2" s="8"/>
      <c r="AB2" s="9">
        <v>0</v>
      </c>
      <c r="AC2" s="8"/>
      <c r="AD2" s="9">
        <v>0</v>
      </c>
      <c r="AE2" s="8"/>
      <c r="AF2" s="9">
        <v>0</v>
      </c>
      <c r="AG2" s="8"/>
      <c r="AH2" s="9">
        <f>AF2+AD2+AB2+Z2+X2+V2+T2+R2+P2+N2+L2+J2</f>
        <v>0</v>
      </c>
      <c r="AI2" s="10">
        <f>IF(AH$49=0,0,AH2/AH$49)</f>
        <v>0</v>
      </c>
      <c r="AJ2" s="11"/>
    </row>
    <row r="3" spans="1:36" collapsed="1">
      <c r="D3" s="12"/>
      <c r="E3" s="12"/>
      <c r="F3" s="12"/>
      <c r="G3" s="12"/>
      <c r="H3" s="12"/>
      <c r="I3" s="12"/>
      <c r="J3" s="1" t="str">
        <f>TEXT(EDATE(DATEVALUE(RIGHT($D$8,2)&amp;"/1/"&amp;LEFT($D$8,4)),-11),"yyyy-mm")</f>
        <v>2018-12</v>
      </c>
      <c r="L3" s="1" t="str">
        <f>TEXT(EDATE(DATEVALUE(RIGHT($D$8,2)&amp;"/1/"&amp;LEFT($D$8,4)),-10),"yyyy-mm")</f>
        <v>2019-01</v>
      </c>
      <c r="N3" s="1" t="str">
        <f>TEXT(EDATE(DATEVALUE(RIGHT($D$8,2)&amp;"/1/"&amp;LEFT($D$8,4)),-9),"yyyy-mm")</f>
        <v>2019-02</v>
      </c>
      <c r="P3" s="1" t="str">
        <f>TEXT(EDATE(DATEVALUE(RIGHT($D$8,2)&amp;"/1/"&amp;LEFT($D$8,4)),-8),"yyyy-mm")</f>
        <v>2019-03</v>
      </c>
      <c r="R3" s="1" t="str">
        <f>TEXT(EDATE(DATEVALUE(RIGHT($D$8,2)&amp;"/1/"&amp;LEFT($D$8,4)),-7),"yyyy-mm")</f>
        <v>2019-04</v>
      </c>
      <c r="T3" s="1" t="str">
        <f>TEXT(EDATE(DATEVALUE(RIGHT($D$8,2)&amp;"/1/"&amp;LEFT($D$8,4)),-6),"yyyy-mm")</f>
        <v>2019-05</v>
      </c>
      <c r="V3" s="1" t="str">
        <f>TEXT(EDATE(DATEVALUE(RIGHT($D$8,2)&amp;"/1/"&amp;LEFT($D$8,4)),-5),"yyyy-mm")</f>
        <v>2019-06</v>
      </c>
      <c r="X3" s="1" t="str">
        <f>TEXT(EDATE(DATEVALUE(RIGHT($D$8,2)&amp;"/1/"&amp;LEFT($D$8,4)),-4),"yyyy-mm")</f>
        <v>2019-07</v>
      </c>
      <c r="Z3" s="1" t="str">
        <f>TEXT(EDATE(DATEVALUE(RIGHT($D$8,2)&amp;"/1/"&amp;LEFT($D$8,4)),-3),"yyyy-mm")</f>
        <v>2019-08</v>
      </c>
      <c r="AB3" s="1" t="str">
        <f>TEXT(EDATE(DATEVALUE(RIGHT($D$8,2)&amp;"/1/"&amp;LEFT($D$8,4)),-2),"yyyy-mm")</f>
        <v>2019-09</v>
      </c>
      <c r="AD3" s="1" t="str">
        <f>TEXT(EDATE(DATEVALUE(RIGHT($D$8,2)&amp;"/1/"&amp;LEFT($D$8,4)),-1),"yyyy-mm")</f>
        <v>2019-10</v>
      </c>
      <c r="AF3" s="1" t="str">
        <f>YearMonth</f>
        <v>2019-11</v>
      </c>
      <c r="AH3" s="1"/>
    </row>
    <row r="4" spans="1:36" ht="15">
      <c r="B4" s="72" t="str">
        <f ca="1">_xll.ReportVariable("WCN1",B13:B386,1:1,2:2,_xll.Param(D8,N6,"PL,98501",R7,"PL",R6,"AcctGrp1","ConsolSum","",""))</f>
        <v>OK!: ReportVariable Formula OK [jAction{}]</v>
      </c>
      <c r="G4" s="73"/>
      <c r="J4" s="1"/>
      <c r="L4" s="1"/>
      <c r="N4" s="1"/>
      <c r="P4" s="1"/>
      <c r="R4" s="1"/>
      <c r="T4" s="1"/>
      <c r="V4" s="1"/>
      <c r="X4" s="1"/>
      <c r="Z4" s="1"/>
      <c r="AB4" s="1"/>
      <c r="AD4" s="1"/>
      <c r="AF4" s="1"/>
      <c r="AH4" s="1"/>
    </row>
    <row r="5" spans="1:36">
      <c r="B5" s="72" t="e">
        <f ca="1">_xll.ReportDrill(,"JEQuery",D12:D284,J3:AJ3,"K7","G6",,,_xll.Param("","",N6))</f>
        <v>#VALUE!</v>
      </c>
      <c r="J5" s="1"/>
      <c r="L5" s="1"/>
      <c r="N5" s="1"/>
      <c r="P5" s="1"/>
      <c r="R5" s="1"/>
      <c r="T5" s="1"/>
      <c r="V5" s="1"/>
      <c r="X5" s="1"/>
      <c r="Z5" s="1"/>
      <c r="AB5" s="1"/>
      <c r="AD5" s="1"/>
      <c r="AF5" s="1"/>
      <c r="AH5" s="1"/>
    </row>
    <row r="6" spans="1:36" s="14" customFormat="1" ht="15.75">
      <c r="A6" s="1"/>
      <c r="B6" s="1"/>
      <c r="C6" s="1"/>
      <c r="D6" s="13" t="s">
        <v>183</v>
      </c>
      <c r="M6" s="15" t="s">
        <v>184</v>
      </c>
      <c r="N6" s="16" t="s">
        <v>168</v>
      </c>
      <c r="Q6" s="15" t="s">
        <v>185</v>
      </c>
      <c r="R6" s="17"/>
      <c r="S6" s="15"/>
      <c r="T6" s="16"/>
      <c r="Y6" s="15"/>
      <c r="Z6" s="16"/>
      <c r="AE6" s="15"/>
      <c r="AF6" s="16"/>
      <c r="AH6" s="18"/>
    </row>
    <row r="7" spans="1:36" s="14" customFormat="1" ht="15.75">
      <c r="A7" s="1"/>
      <c r="D7" s="13" t="s">
        <v>186</v>
      </c>
      <c r="N7" s="19" t="s">
        <v>187</v>
      </c>
      <c r="Q7" s="15" t="s">
        <v>188</v>
      </c>
      <c r="R7" s="19" t="s">
        <v>187</v>
      </c>
      <c r="T7" s="19" t="s">
        <v>187</v>
      </c>
      <c r="Z7" s="19" t="s">
        <v>187</v>
      </c>
      <c r="AF7" s="19" t="s">
        <v>187</v>
      </c>
    </row>
    <row r="8" spans="1:36" s="14" customFormat="1" ht="15.75">
      <c r="A8" s="1"/>
      <c r="D8" s="20" t="s">
        <v>941</v>
      </c>
    </row>
    <row r="9" spans="1:36" s="14" customFormat="1" ht="15.75">
      <c r="A9" s="1"/>
      <c r="D9" s="21"/>
    </row>
    <row r="10" spans="1:36" s="14" customFormat="1" ht="15">
      <c r="A10" s="1"/>
      <c r="D10" s="22"/>
    </row>
    <row r="11" spans="1:36" s="14" customFormat="1" ht="15">
      <c r="A11" s="1"/>
      <c r="D11" s="23"/>
      <c r="E11" s="23"/>
      <c r="F11" s="23"/>
      <c r="G11" s="23"/>
      <c r="H11" s="23"/>
      <c r="I11" s="23"/>
      <c r="J11" s="24"/>
      <c r="K11" s="25"/>
      <c r="L11" s="24"/>
      <c r="M11" s="25"/>
      <c r="N11" s="26"/>
      <c r="O11" s="25"/>
      <c r="P11" s="24"/>
      <c r="Q11" s="25"/>
      <c r="R11" s="24"/>
      <c r="S11" s="25"/>
      <c r="T11" s="26"/>
      <c r="U11" s="25"/>
      <c r="V11" s="24"/>
      <c r="W11" s="25"/>
      <c r="X11" s="24"/>
      <c r="Y11" s="25"/>
      <c r="Z11" s="26"/>
      <c r="AA11" s="25"/>
      <c r="AB11" s="24"/>
      <c r="AC11" s="25"/>
      <c r="AD11" s="24"/>
      <c r="AE11" s="25"/>
      <c r="AF11" s="26"/>
      <c r="AG11" s="25"/>
      <c r="AH11" s="24"/>
      <c r="AI11" s="24"/>
    </row>
    <row r="12" spans="1:36" s="14" customFormat="1" ht="15.75" thickBot="1">
      <c r="A12" s="1"/>
      <c r="B12" s="74" t="s">
        <v>377</v>
      </c>
      <c r="D12" s="23"/>
      <c r="E12" s="23"/>
      <c r="F12" s="23"/>
      <c r="G12" s="23"/>
      <c r="H12" s="23"/>
      <c r="I12" s="23"/>
      <c r="J12" s="27">
        <f>DATE(MID(J3,1,4), MID(J3,6,2), MID(J3,6,2))</f>
        <v>43446</v>
      </c>
      <c r="K12" s="28"/>
      <c r="L12" s="27">
        <f>DATE(MID(L3,1,4), MID(L3,6,2), MID(L3,6,2))</f>
        <v>43466</v>
      </c>
      <c r="M12" s="28"/>
      <c r="N12" s="27">
        <f>DATE(MID(N3,1,4), MID(N3,6,2), MID(N3,6,2))</f>
        <v>43498</v>
      </c>
      <c r="O12" s="29"/>
      <c r="P12" s="27">
        <f>DATE(MID(P3,1,4), MID(P3,6,2), MID(P3,6,2))</f>
        <v>43527</v>
      </c>
      <c r="Q12" s="28"/>
      <c r="R12" s="27">
        <f>DATE(MID(R3,1,4), MID(R3,6,2), MID(R3,6,2))</f>
        <v>43559</v>
      </c>
      <c r="S12" s="28"/>
      <c r="T12" s="27">
        <f>DATE(MID(T3,1,4), MID(T3,6,2), MID(T3,6,2))</f>
        <v>43590</v>
      </c>
      <c r="U12" s="29"/>
      <c r="V12" s="27">
        <f>DATE(MID(V3,1,4), MID(V3,6,2), MID(V3,6,2))</f>
        <v>43622</v>
      </c>
      <c r="W12" s="28"/>
      <c r="X12" s="27">
        <f>DATE(MID(X3,1,4), MID(X3,6,2), MID(X3,6,2))</f>
        <v>43653</v>
      </c>
      <c r="Y12" s="28"/>
      <c r="Z12" s="27">
        <f>DATE(MID(Z3,1,4), MID(Z3,6,2), MID(Z3,6,2))</f>
        <v>43685</v>
      </c>
      <c r="AA12" s="29"/>
      <c r="AB12" s="27">
        <f>DATE(MID(AB3,1,4), MID(AB3,6,2), MID(AB3,6,2))</f>
        <v>43717</v>
      </c>
      <c r="AC12" s="28"/>
      <c r="AD12" s="27">
        <f>DATE(MID(AD3,1,4), MID(AD3,6,2), MID(AD3,6,2))</f>
        <v>43748</v>
      </c>
      <c r="AE12" s="28"/>
      <c r="AF12" s="27">
        <f>DATE(MID(AF3,1,4), MID(AF3,6,2), MID(AF3,6,2))</f>
        <v>43780</v>
      </c>
      <c r="AG12" s="29"/>
      <c r="AH12" s="30" t="s">
        <v>13</v>
      </c>
      <c r="AI12" s="31"/>
    </row>
    <row r="13" spans="1:36" outlineLevel="1">
      <c r="B13" s="71" t="s">
        <v>378</v>
      </c>
      <c r="D13" s="5">
        <v>98501</v>
      </c>
      <c r="E13" s="5" t="s">
        <v>541</v>
      </c>
      <c r="F13" s="6"/>
      <c r="G13" s="3"/>
      <c r="H13" s="7"/>
      <c r="I13" s="8"/>
      <c r="J13" s="9">
        <v>21</v>
      </c>
      <c r="K13" s="8"/>
      <c r="L13" s="9">
        <v>23</v>
      </c>
      <c r="M13" s="8"/>
      <c r="N13" s="9">
        <v>20</v>
      </c>
      <c r="O13" s="8"/>
      <c r="P13" s="9">
        <v>21</v>
      </c>
      <c r="Q13" s="8"/>
      <c r="R13" s="9">
        <v>22</v>
      </c>
      <c r="S13" s="8"/>
      <c r="T13" s="9">
        <v>23</v>
      </c>
      <c r="U13" s="8"/>
      <c r="V13" s="9">
        <v>20</v>
      </c>
      <c r="W13" s="8"/>
      <c r="X13" s="9">
        <v>23</v>
      </c>
      <c r="Y13" s="8"/>
      <c r="Z13" s="9">
        <v>22</v>
      </c>
      <c r="AA13" s="8"/>
      <c r="AB13" s="9">
        <v>21</v>
      </c>
      <c r="AC13" s="8"/>
      <c r="AD13" s="9">
        <v>23</v>
      </c>
      <c r="AE13" s="8"/>
      <c r="AF13" s="9">
        <v>21</v>
      </c>
      <c r="AG13" s="8"/>
      <c r="AH13" s="9">
        <f>AF13+AD13+AB13+Z13+X13+V13+T13+R13+P13+N13+L13+J13</f>
        <v>260</v>
      </c>
      <c r="AI13" s="10">
        <f>IF(AH$49=0,0,AH13/AH$49)</f>
        <v>2.2212147703291607E-5</v>
      </c>
      <c r="AJ13" s="11"/>
    </row>
    <row r="14" spans="1:36" s="7" customFormat="1" ht="4.5" customHeight="1">
      <c r="J14" s="8"/>
      <c r="K14" s="14"/>
      <c r="L14" s="8"/>
      <c r="M14" s="14"/>
      <c r="N14" s="8"/>
      <c r="O14" s="14"/>
      <c r="P14" s="8"/>
      <c r="Q14" s="14"/>
      <c r="R14" s="8"/>
      <c r="S14" s="14"/>
      <c r="T14" s="8"/>
      <c r="U14" s="14"/>
      <c r="V14" s="8"/>
      <c r="W14" s="14"/>
      <c r="X14" s="8"/>
      <c r="Y14" s="14"/>
      <c r="Z14" s="8"/>
      <c r="AA14" s="14"/>
      <c r="AB14" s="8"/>
      <c r="AC14" s="14"/>
      <c r="AD14" s="8"/>
      <c r="AE14" s="14"/>
      <c r="AF14" s="8"/>
      <c r="AG14" s="14"/>
      <c r="AH14" s="8"/>
      <c r="AI14" s="32"/>
      <c r="AJ14" s="14"/>
    </row>
    <row r="15" spans="1:36" s="7" customFormat="1" ht="15" outlineLevel="1">
      <c r="J15" s="8"/>
      <c r="K15" s="14"/>
      <c r="L15" s="8"/>
      <c r="M15" s="14"/>
      <c r="N15" s="8"/>
      <c r="O15" s="14"/>
      <c r="P15" s="8"/>
      <c r="Q15" s="14"/>
      <c r="R15" s="8"/>
      <c r="S15" s="14"/>
      <c r="T15" s="8"/>
      <c r="U15" s="14"/>
      <c r="V15" s="8"/>
      <c r="W15" s="14"/>
      <c r="X15" s="8"/>
      <c r="Y15" s="14"/>
      <c r="Z15" s="8"/>
      <c r="AA15" s="14"/>
      <c r="AB15" s="8"/>
      <c r="AC15" s="14"/>
      <c r="AD15" s="8"/>
      <c r="AE15" s="14"/>
      <c r="AF15" s="8"/>
      <c r="AG15" s="14"/>
      <c r="AH15" s="8"/>
      <c r="AI15" s="33"/>
      <c r="AJ15" s="14"/>
    </row>
    <row r="16" spans="1:36" outlineLevel="1">
      <c r="B16" s="71" t="s">
        <v>379</v>
      </c>
      <c r="D16" s="5">
        <v>31000</v>
      </c>
      <c r="E16" s="5" t="s">
        <v>189</v>
      </c>
      <c r="F16" s="6"/>
      <c r="G16" s="3"/>
      <c r="H16" s="7"/>
      <c r="I16" s="8"/>
      <c r="J16" s="9">
        <v>376451</v>
      </c>
      <c r="K16" s="8"/>
      <c r="L16" s="9">
        <v>408199.77</v>
      </c>
      <c r="M16" s="8"/>
      <c r="N16" s="9">
        <v>312943.25</v>
      </c>
      <c r="O16" s="8"/>
      <c r="P16" s="9">
        <v>322738.84999999998</v>
      </c>
      <c r="Q16" s="8"/>
      <c r="R16" s="9">
        <v>391472.37</v>
      </c>
      <c r="S16" s="8"/>
      <c r="T16" s="9">
        <v>437673.22</v>
      </c>
      <c r="U16" s="8"/>
      <c r="V16" s="9">
        <v>345077.84</v>
      </c>
      <c r="W16" s="8"/>
      <c r="X16" s="9">
        <v>474331.24</v>
      </c>
      <c r="Y16" s="8"/>
      <c r="Z16" s="9">
        <v>478345.2</v>
      </c>
      <c r="AA16" s="8"/>
      <c r="AB16" s="9">
        <v>279726.32</v>
      </c>
      <c r="AC16" s="8"/>
      <c r="AD16" s="9">
        <v>466839.62</v>
      </c>
      <c r="AE16" s="8"/>
      <c r="AF16" s="9">
        <v>292641.46000000002</v>
      </c>
      <c r="AG16" s="8"/>
      <c r="AH16" s="9">
        <f t="shared" ref="AH16:AH18" si="0">AF16+AD16+AB16+Z16+X16+V16+T16+R16+P16+N16+L16+J16</f>
        <v>4586440.1400000006</v>
      </c>
      <c r="AI16" s="10">
        <f t="shared" ref="AI16:AI18" si="1">IF(AH$49=0,0,AH16/AH$49)</f>
        <v>0.39182571469994404</v>
      </c>
      <c r="AJ16" s="11"/>
    </row>
    <row r="17" spans="2:37" outlineLevel="1">
      <c r="B17" s="71" t="s">
        <v>380</v>
      </c>
      <c r="D17" s="5">
        <v>31009</v>
      </c>
      <c r="E17" s="5" t="s">
        <v>192</v>
      </c>
      <c r="F17" s="6"/>
      <c r="G17" s="3"/>
      <c r="H17" s="7"/>
      <c r="I17" s="8"/>
      <c r="J17" s="9">
        <v>57178.13</v>
      </c>
      <c r="K17" s="8"/>
      <c r="L17" s="9">
        <v>69440.63</v>
      </c>
      <c r="M17" s="8"/>
      <c r="N17" s="9">
        <v>50568.76</v>
      </c>
      <c r="O17" s="8"/>
      <c r="P17" s="9">
        <v>69553.13</v>
      </c>
      <c r="Q17" s="8"/>
      <c r="R17" s="9">
        <v>69890.63</v>
      </c>
      <c r="S17" s="8"/>
      <c r="T17" s="9">
        <v>80887.509999999995</v>
      </c>
      <c r="U17" s="8"/>
      <c r="V17" s="9">
        <v>70593.75</v>
      </c>
      <c r="W17" s="8"/>
      <c r="X17" s="9">
        <v>77568.759999999995</v>
      </c>
      <c r="Y17" s="8"/>
      <c r="Z17" s="9">
        <v>74362.61</v>
      </c>
      <c r="AA17" s="8"/>
      <c r="AB17" s="9">
        <v>63871.31</v>
      </c>
      <c r="AC17" s="8"/>
      <c r="AD17" s="9">
        <v>66825</v>
      </c>
      <c r="AE17" s="8"/>
      <c r="AF17" s="9">
        <v>60215.06</v>
      </c>
      <c r="AG17" s="8"/>
      <c r="AH17" s="9">
        <f t="shared" si="0"/>
        <v>810955.28</v>
      </c>
      <c r="AI17" s="10">
        <f t="shared" si="1"/>
        <v>6.9280994077400779E-2</v>
      </c>
      <c r="AJ17" s="11"/>
    </row>
    <row r="18" spans="2:37" outlineLevel="1">
      <c r="B18" s="71" t="s">
        <v>380</v>
      </c>
      <c r="D18" s="5">
        <v>31020</v>
      </c>
      <c r="E18" s="5" t="s">
        <v>542</v>
      </c>
      <c r="F18" s="6"/>
      <c r="G18" s="3"/>
      <c r="H18" s="7"/>
      <c r="I18" s="8"/>
      <c r="J18" s="9">
        <v>16387.5</v>
      </c>
      <c r="K18" s="8"/>
      <c r="L18" s="9">
        <v>20556.25</v>
      </c>
      <c r="M18" s="8"/>
      <c r="N18" s="9">
        <v>13512.5</v>
      </c>
      <c r="O18" s="8"/>
      <c r="P18" s="9">
        <v>16847.5</v>
      </c>
      <c r="Q18" s="8"/>
      <c r="R18" s="9">
        <v>18601.25</v>
      </c>
      <c r="S18" s="8"/>
      <c r="T18" s="9">
        <v>18687.5</v>
      </c>
      <c r="U18" s="8"/>
      <c r="V18" s="9">
        <v>16042.5</v>
      </c>
      <c r="W18" s="8"/>
      <c r="X18" s="9">
        <v>19751.25</v>
      </c>
      <c r="Y18" s="8"/>
      <c r="Z18" s="9">
        <v>16732.5</v>
      </c>
      <c r="AA18" s="8"/>
      <c r="AB18" s="9">
        <v>18687.5</v>
      </c>
      <c r="AC18" s="8"/>
      <c r="AD18" s="9">
        <v>422291.25</v>
      </c>
      <c r="AE18" s="8"/>
      <c r="AF18" s="9">
        <v>171096.94</v>
      </c>
      <c r="AG18" s="8"/>
      <c r="AH18" s="9">
        <f t="shared" si="0"/>
        <v>769194.44</v>
      </c>
      <c r="AI18" s="10">
        <f t="shared" si="1"/>
        <v>6.5713309668579509E-2</v>
      </c>
      <c r="AJ18" s="11"/>
    </row>
    <row r="19" spans="2:37" s="7" customFormat="1" ht="4.5" customHeight="1" outlineLevel="1">
      <c r="B19" s="34" t="s">
        <v>187</v>
      </c>
      <c r="J19" s="35"/>
      <c r="K19" s="14"/>
      <c r="L19" s="35"/>
      <c r="M19" s="14"/>
      <c r="N19" s="35"/>
      <c r="O19" s="14"/>
      <c r="P19" s="35"/>
      <c r="Q19" s="14"/>
      <c r="R19" s="35"/>
      <c r="S19" s="14"/>
      <c r="T19" s="35"/>
      <c r="U19" s="14"/>
      <c r="V19" s="35"/>
      <c r="W19" s="14"/>
      <c r="X19" s="35"/>
      <c r="Y19" s="14"/>
      <c r="Z19" s="35"/>
      <c r="AA19" s="14"/>
      <c r="AB19" s="35"/>
      <c r="AC19" s="14"/>
      <c r="AD19" s="35"/>
      <c r="AE19" s="14"/>
      <c r="AF19" s="35"/>
      <c r="AG19" s="14"/>
      <c r="AH19" s="35"/>
      <c r="AI19" s="33"/>
      <c r="AJ19" s="14"/>
      <c r="AK19" s="1"/>
    </row>
    <row r="20" spans="2:37" s="7" customFormat="1" ht="15">
      <c r="B20" s="1" t="s">
        <v>187</v>
      </c>
      <c r="F20" s="7" t="s">
        <v>200</v>
      </c>
      <c r="J20" s="36">
        <f>SUM(J15:J19)</f>
        <v>450016.63</v>
      </c>
      <c r="K20" s="37"/>
      <c r="L20" s="36">
        <f>SUM(L15:L19)</f>
        <v>498196.65</v>
      </c>
      <c r="M20" s="37"/>
      <c r="N20" s="36">
        <f>SUM(N15:N19)</f>
        <v>377024.51</v>
      </c>
      <c r="O20" s="37"/>
      <c r="P20" s="36">
        <f>SUM(P15:P19)</f>
        <v>409139.48</v>
      </c>
      <c r="Q20" s="37"/>
      <c r="R20" s="36">
        <f>SUM(R15:R19)</f>
        <v>479964.25</v>
      </c>
      <c r="S20" s="37"/>
      <c r="T20" s="36">
        <f>SUM(T15:T19)</f>
        <v>537248.23</v>
      </c>
      <c r="U20" s="37"/>
      <c r="V20" s="36">
        <f>SUM(V15:V19)</f>
        <v>431714.09</v>
      </c>
      <c r="W20" s="37"/>
      <c r="X20" s="36">
        <f>SUM(X15:X19)</f>
        <v>571651.25</v>
      </c>
      <c r="Y20" s="37"/>
      <c r="Z20" s="36">
        <f>SUM(Z15:Z19)</f>
        <v>569440.31000000006</v>
      </c>
      <c r="AA20" s="37"/>
      <c r="AB20" s="36">
        <f>SUM(AB15:AB19)</f>
        <v>362285.13</v>
      </c>
      <c r="AC20" s="37"/>
      <c r="AD20" s="36">
        <f>SUM(AD15:AD19)</f>
        <v>955955.87</v>
      </c>
      <c r="AE20" s="37"/>
      <c r="AF20" s="36">
        <f>SUM(AF15:AF19)</f>
        <v>523953.46</v>
      </c>
      <c r="AG20" s="37"/>
      <c r="AH20" s="36">
        <f>SUM(AH15:AH19)</f>
        <v>6166589.8600000013</v>
      </c>
      <c r="AI20" s="10">
        <f>IF(AH$49=0,0,AH20/AH$49)</f>
        <v>0.52682001844592441</v>
      </c>
      <c r="AJ20" s="14"/>
      <c r="AK20" s="1"/>
    </row>
    <row r="21" spans="2:37" s="7" customFormat="1" ht="15" outlineLevel="1">
      <c r="B21" s="34" t="s">
        <v>187</v>
      </c>
      <c r="J21" s="38"/>
      <c r="K21" s="37"/>
      <c r="L21" s="38"/>
      <c r="M21" s="37"/>
      <c r="N21" s="38"/>
      <c r="O21" s="37"/>
      <c r="P21" s="38"/>
      <c r="Q21" s="37"/>
      <c r="R21" s="38"/>
      <c r="S21" s="37"/>
      <c r="T21" s="38"/>
      <c r="U21" s="37"/>
      <c r="V21" s="38"/>
      <c r="W21" s="37"/>
      <c r="X21" s="38"/>
      <c r="Y21" s="37"/>
      <c r="Z21" s="38"/>
      <c r="AA21" s="37"/>
      <c r="AB21" s="38"/>
      <c r="AC21" s="37"/>
      <c r="AD21" s="38"/>
      <c r="AE21" s="37"/>
      <c r="AF21" s="38"/>
      <c r="AG21" s="37"/>
      <c r="AH21" s="38"/>
      <c r="AI21" s="33"/>
      <c r="AJ21" s="14"/>
      <c r="AK21" s="1"/>
    </row>
    <row r="22" spans="2:37" outlineLevel="1">
      <c r="B22" s="71" t="s">
        <v>381</v>
      </c>
      <c r="D22" s="5">
        <v>35000</v>
      </c>
      <c r="E22" s="5" t="s">
        <v>293</v>
      </c>
      <c r="F22" s="6"/>
      <c r="G22" s="3"/>
      <c r="H22" s="7"/>
      <c r="I22" s="8"/>
      <c r="J22" s="9">
        <v>27369.42</v>
      </c>
      <c r="K22" s="8"/>
      <c r="L22" s="9">
        <v>28765.8</v>
      </c>
      <c r="M22" s="8"/>
      <c r="N22" s="9">
        <v>21762.36</v>
      </c>
      <c r="O22" s="8"/>
      <c r="P22" s="9">
        <v>26659.55</v>
      </c>
      <c r="Q22" s="8"/>
      <c r="R22" s="9">
        <v>25965.86</v>
      </c>
      <c r="S22" s="8"/>
      <c r="T22" s="9">
        <v>22456.959999999999</v>
      </c>
      <c r="U22" s="8"/>
      <c r="V22" s="9">
        <v>22456.959999999999</v>
      </c>
      <c r="W22" s="8"/>
      <c r="X22" s="9">
        <v>24211.41</v>
      </c>
      <c r="Y22" s="8"/>
      <c r="Z22" s="9">
        <v>21755.18</v>
      </c>
      <c r="AA22" s="8"/>
      <c r="AB22" s="9">
        <v>20000.73</v>
      </c>
      <c r="AC22" s="8"/>
      <c r="AD22" s="9">
        <v>21404.29</v>
      </c>
      <c r="AE22" s="8"/>
      <c r="AF22" s="9">
        <v>20351.62</v>
      </c>
      <c r="AG22" s="8"/>
      <c r="AH22" s="9">
        <f t="shared" ref="AH22:AH23" si="2">AF22+AD22+AB22+Z22+X22+V22+T22+R22+P22+N22+L22+J22</f>
        <v>283160.13999999996</v>
      </c>
      <c r="AI22" s="10">
        <f t="shared" ref="AI22:AI23" si="3">IF(AH$49=0,0,AH22/AH$49)</f>
        <v>2.4190749436018188E-2</v>
      </c>
      <c r="AJ22" s="11"/>
    </row>
    <row r="23" spans="2:37" outlineLevel="1">
      <c r="B23" s="71" t="s">
        <v>380</v>
      </c>
      <c r="D23" s="5">
        <v>35009</v>
      </c>
      <c r="E23" s="5" t="s">
        <v>201</v>
      </c>
      <c r="F23" s="6"/>
      <c r="G23" s="3"/>
      <c r="H23" s="7"/>
      <c r="I23" s="8"/>
      <c r="J23" s="9">
        <v>358600.04</v>
      </c>
      <c r="K23" s="8"/>
      <c r="L23" s="9">
        <v>419919.66</v>
      </c>
      <c r="M23" s="8"/>
      <c r="N23" s="9">
        <v>279687.55</v>
      </c>
      <c r="O23" s="8"/>
      <c r="P23" s="9">
        <v>384399.94</v>
      </c>
      <c r="Q23" s="8"/>
      <c r="R23" s="9">
        <v>409019.24</v>
      </c>
      <c r="S23" s="8"/>
      <c r="T23" s="9">
        <v>431240.78</v>
      </c>
      <c r="U23" s="8"/>
      <c r="V23" s="9">
        <v>351965.75</v>
      </c>
      <c r="W23" s="8"/>
      <c r="X23" s="9">
        <v>366479.13</v>
      </c>
      <c r="Y23" s="8"/>
      <c r="Z23" s="9">
        <v>346885.93</v>
      </c>
      <c r="AA23" s="8"/>
      <c r="AB23" s="9">
        <v>334668.81</v>
      </c>
      <c r="AC23" s="8"/>
      <c r="AD23" s="9">
        <v>263528.43</v>
      </c>
      <c r="AE23" s="8"/>
      <c r="AF23" s="9">
        <v>328241.14</v>
      </c>
      <c r="AG23" s="8"/>
      <c r="AH23" s="9">
        <f t="shared" si="2"/>
        <v>4274636.3999999994</v>
      </c>
      <c r="AI23" s="10">
        <f t="shared" si="3"/>
        <v>0.36518790421025649</v>
      </c>
      <c r="AJ23" s="11"/>
    </row>
    <row r="24" spans="2:37" s="7" customFormat="1" ht="5.0999999999999996" customHeight="1" outlineLevel="1">
      <c r="B24" s="34" t="s">
        <v>187</v>
      </c>
      <c r="D24" s="6"/>
      <c r="E24" s="6"/>
      <c r="F24" s="6"/>
      <c r="G24" s="6"/>
      <c r="J24" s="39"/>
      <c r="K24" s="37"/>
      <c r="L24" s="39"/>
      <c r="M24" s="37"/>
      <c r="N24" s="39"/>
      <c r="O24" s="37"/>
      <c r="P24" s="39"/>
      <c r="Q24" s="37"/>
      <c r="R24" s="39"/>
      <c r="S24" s="37"/>
      <c r="T24" s="39"/>
      <c r="U24" s="37"/>
      <c r="V24" s="39"/>
      <c r="W24" s="37"/>
      <c r="X24" s="39"/>
      <c r="Y24" s="37"/>
      <c r="Z24" s="39"/>
      <c r="AA24" s="37"/>
      <c r="AB24" s="39"/>
      <c r="AC24" s="37"/>
      <c r="AD24" s="39"/>
      <c r="AE24" s="37"/>
      <c r="AF24" s="39"/>
      <c r="AG24" s="37"/>
      <c r="AH24" s="39"/>
      <c r="AI24" s="33"/>
      <c r="AJ24" s="14"/>
      <c r="AK24" s="1"/>
    </row>
    <row r="25" spans="2:37" s="7" customFormat="1" ht="15">
      <c r="B25" s="1" t="s">
        <v>187</v>
      </c>
      <c r="F25" s="6" t="s">
        <v>202</v>
      </c>
      <c r="J25" s="36">
        <f>SUM(J22:J24)</f>
        <v>385969.45999999996</v>
      </c>
      <c r="K25" s="37"/>
      <c r="L25" s="36">
        <f>SUM(L22:L24)</f>
        <v>448685.45999999996</v>
      </c>
      <c r="M25" s="37"/>
      <c r="N25" s="36">
        <f>SUM(N22:N24)</f>
        <v>301449.90999999997</v>
      </c>
      <c r="O25" s="37"/>
      <c r="P25" s="36">
        <f>SUM(P22:P24)</f>
        <v>411059.49</v>
      </c>
      <c r="Q25" s="37"/>
      <c r="R25" s="36">
        <f>SUM(R22:R24)</f>
        <v>434985.1</v>
      </c>
      <c r="S25" s="37"/>
      <c r="T25" s="36">
        <f>SUM(T22:T24)</f>
        <v>453697.74000000005</v>
      </c>
      <c r="U25" s="37"/>
      <c r="V25" s="36">
        <f>SUM(V22:V24)</f>
        <v>374422.71</v>
      </c>
      <c r="W25" s="37"/>
      <c r="X25" s="36">
        <f>SUM(X22:X24)</f>
        <v>390690.54</v>
      </c>
      <c r="Y25" s="37"/>
      <c r="Z25" s="36">
        <f>SUM(Z22:Z24)</f>
        <v>368641.11</v>
      </c>
      <c r="AA25" s="37"/>
      <c r="AB25" s="36">
        <f>SUM(AB22:AB24)</f>
        <v>354669.54</v>
      </c>
      <c r="AC25" s="37"/>
      <c r="AD25" s="36">
        <f>SUM(AD22:AD24)</f>
        <v>284932.71999999997</v>
      </c>
      <c r="AE25" s="37"/>
      <c r="AF25" s="36">
        <f>SUM(AF22:AF24)</f>
        <v>348592.76</v>
      </c>
      <c r="AG25" s="37"/>
      <c r="AH25" s="36">
        <f>SUM(AH22:AH24)</f>
        <v>4557796.5399999991</v>
      </c>
      <c r="AI25" s="10">
        <f>IF(AH$49=0,0,AH25/AH$49)</f>
        <v>0.38937865364627466</v>
      </c>
      <c r="AJ25" s="14"/>
      <c r="AK25" s="1"/>
    </row>
    <row r="26" spans="2:37" s="7" customFormat="1" ht="15" outlineLevel="1">
      <c r="B26" s="1"/>
      <c r="J26" s="38"/>
      <c r="K26" s="37"/>
      <c r="L26" s="38"/>
      <c r="M26" s="37"/>
      <c r="N26" s="38"/>
      <c r="O26" s="37"/>
      <c r="P26" s="38"/>
      <c r="Q26" s="37"/>
      <c r="R26" s="38"/>
      <c r="S26" s="37"/>
      <c r="T26" s="38"/>
      <c r="U26" s="37"/>
      <c r="V26" s="38"/>
      <c r="W26" s="37"/>
      <c r="X26" s="38"/>
      <c r="Y26" s="37"/>
      <c r="Z26" s="38"/>
      <c r="AA26" s="37"/>
      <c r="AB26" s="38"/>
      <c r="AC26" s="37"/>
      <c r="AD26" s="38"/>
      <c r="AE26" s="37"/>
      <c r="AF26" s="38"/>
      <c r="AG26" s="37"/>
      <c r="AH26" s="38"/>
      <c r="AI26" s="33"/>
      <c r="AJ26" s="14"/>
      <c r="AK26" s="1"/>
    </row>
    <row r="27" spans="2:37" s="7" customFormat="1" ht="15" outlineLevel="1">
      <c r="B27" s="1" t="s">
        <v>187</v>
      </c>
      <c r="J27" s="38"/>
      <c r="K27" s="37"/>
      <c r="L27" s="38"/>
      <c r="M27" s="37"/>
      <c r="N27" s="38"/>
      <c r="O27" s="37"/>
      <c r="P27" s="38"/>
      <c r="Q27" s="37"/>
      <c r="R27" s="38"/>
      <c r="S27" s="37"/>
      <c r="T27" s="38"/>
      <c r="U27" s="37"/>
      <c r="V27" s="38"/>
      <c r="W27" s="37"/>
      <c r="X27" s="38"/>
      <c r="Y27" s="37"/>
      <c r="Z27" s="38"/>
      <c r="AA27" s="37"/>
      <c r="AB27" s="38"/>
      <c r="AC27" s="37"/>
      <c r="AD27" s="38"/>
      <c r="AE27" s="37"/>
      <c r="AF27" s="38"/>
      <c r="AG27" s="37"/>
      <c r="AH27" s="38"/>
      <c r="AI27" s="33"/>
      <c r="AJ27" s="14"/>
      <c r="AK27" s="1"/>
    </row>
    <row r="28" spans="2:37" outlineLevel="1">
      <c r="B28" s="71" t="s">
        <v>382</v>
      </c>
      <c r="D28" s="5">
        <v>35514</v>
      </c>
      <c r="E28" s="5" t="s">
        <v>652</v>
      </c>
      <c r="F28" s="6"/>
      <c r="G28" s="3"/>
      <c r="H28" s="7"/>
      <c r="I28" s="8"/>
      <c r="J28" s="9">
        <v>0</v>
      </c>
      <c r="K28" s="8"/>
      <c r="L28" s="9">
        <v>330</v>
      </c>
      <c r="M28" s="8"/>
      <c r="N28" s="9">
        <v>-330</v>
      </c>
      <c r="O28" s="8"/>
      <c r="P28" s="9">
        <v>0</v>
      </c>
      <c r="Q28" s="8"/>
      <c r="R28" s="9">
        <v>0</v>
      </c>
      <c r="S28" s="8"/>
      <c r="T28" s="9">
        <v>0</v>
      </c>
      <c r="U28" s="8"/>
      <c r="V28" s="9">
        <v>0</v>
      </c>
      <c r="W28" s="8"/>
      <c r="X28" s="9">
        <v>0</v>
      </c>
      <c r="Y28" s="8"/>
      <c r="Z28" s="9">
        <v>0</v>
      </c>
      <c r="AA28" s="8"/>
      <c r="AB28" s="9">
        <v>0</v>
      </c>
      <c r="AC28" s="8"/>
      <c r="AD28" s="9">
        <v>0</v>
      </c>
      <c r="AE28" s="8"/>
      <c r="AF28" s="9">
        <v>0</v>
      </c>
      <c r="AG28" s="8"/>
      <c r="AH28" s="9">
        <f t="shared" ref="AH28:AH30" si="4">AF28+AD28+AB28+Z28+X28+V28+T28+R28+P28+N28+L28+J28</f>
        <v>0</v>
      </c>
      <c r="AI28" s="10">
        <f t="shared" ref="AI28:AI30" si="5">IF(AH$49=0,0,AH28/AH$49)</f>
        <v>0</v>
      </c>
      <c r="AJ28" s="11"/>
    </row>
    <row r="29" spans="2:37" outlineLevel="1">
      <c r="B29" s="71" t="s">
        <v>380</v>
      </c>
      <c r="D29" s="5">
        <v>35517</v>
      </c>
      <c r="E29" s="5" t="s">
        <v>205</v>
      </c>
      <c r="F29" s="6"/>
      <c r="G29" s="3"/>
      <c r="H29" s="7"/>
      <c r="I29" s="8"/>
      <c r="J29" s="9">
        <v>0</v>
      </c>
      <c r="K29" s="8"/>
      <c r="L29" s="9">
        <v>0</v>
      </c>
      <c r="M29" s="8"/>
      <c r="N29" s="9">
        <v>492.75</v>
      </c>
      <c r="O29" s="8"/>
      <c r="P29" s="9">
        <v>0</v>
      </c>
      <c r="Q29" s="8"/>
      <c r="R29" s="9">
        <v>793.8</v>
      </c>
      <c r="S29" s="8"/>
      <c r="T29" s="9">
        <v>2862.4</v>
      </c>
      <c r="U29" s="8"/>
      <c r="V29" s="9">
        <v>0</v>
      </c>
      <c r="W29" s="8"/>
      <c r="X29" s="9">
        <v>738.95</v>
      </c>
      <c r="Y29" s="8"/>
      <c r="Z29" s="9">
        <v>-2862.4</v>
      </c>
      <c r="AA29" s="8"/>
      <c r="AB29" s="9">
        <v>0</v>
      </c>
      <c r="AC29" s="8"/>
      <c r="AD29" s="9">
        <v>0</v>
      </c>
      <c r="AE29" s="8"/>
      <c r="AF29" s="9">
        <v>0</v>
      </c>
      <c r="AG29" s="8"/>
      <c r="AH29" s="9">
        <f t="shared" si="4"/>
        <v>2025.5000000000002</v>
      </c>
      <c r="AI29" s="10">
        <f t="shared" si="5"/>
        <v>1.7304117374237368E-4</v>
      </c>
      <c r="AJ29" s="11"/>
    </row>
    <row r="30" spans="2:37" outlineLevel="1">
      <c r="B30" s="71" t="s">
        <v>380</v>
      </c>
      <c r="D30" s="5">
        <v>35518</v>
      </c>
      <c r="E30" s="5" t="s">
        <v>206</v>
      </c>
      <c r="F30" s="6"/>
      <c r="G30" s="3"/>
      <c r="H30" s="7"/>
      <c r="I30" s="8"/>
      <c r="J30" s="9">
        <v>0</v>
      </c>
      <c r="K30" s="8"/>
      <c r="L30" s="9">
        <v>0</v>
      </c>
      <c r="M30" s="8"/>
      <c r="N30" s="9">
        <v>0</v>
      </c>
      <c r="O30" s="8"/>
      <c r="P30" s="9">
        <v>0</v>
      </c>
      <c r="Q30" s="8"/>
      <c r="R30" s="9">
        <v>0</v>
      </c>
      <c r="S30" s="8"/>
      <c r="T30" s="9">
        <v>0</v>
      </c>
      <c r="U30" s="8"/>
      <c r="V30" s="9">
        <v>0</v>
      </c>
      <c r="W30" s="8"/>
      <c r="X30" s="9">
        <v>0</v>
      </c>
      <c r="Y30" s="8"/>
      <c r="Z30" s="9">
        <v>0</v>
      </c>
      <c r="AA30" s="8"/>
      <c r="AB30" s="9">
        <v>0</v>
      </c>
      <c r="AC30" s="8"/>
      <c r="AD30" s="9">
        <v>0</v>
      </c>
      <c r="AE30" s="8"/>
      <c r="AF30" s="9">
        <v>0</v>
      </c>
      <c r="AG30" s="8"/>
      <c r="AH30" s="9">
        <f t="shared" si="4"/>
        <v>0</v>
      </c>
      <c r="AI30" s="10">
        <f t="shared" si="5"/>
        <v>0</v>
      </c>
      <c r="AJ30" s="11"/>
    </row>
    <row r="31" spans="2:37" s="7" customFormat="1" ht="5.0999999999999996" customHeight="1" outlineLevel="1">
      <c r="B31" s="34" t="s">
        <v>187</v>
      </c>
      <c r="D31" s="6"/>
      <c r="E31" s="6"/>
      <c r="F31" s="6"/>
      <c r="G31" s="6"/>
      <c r="J31" s="39"/>
      <c r="K31" s="37"/>
      <c r="L31" s="39"/>
      <c r="M31" s="37"/>
      <c r="N31" s="39"/>
      <c r="O31" s="37"/>
      <c r="P31" s="39"/>
      <c r="Q31" s="37"/>
      <c r="R31" s="39"/>
      <c r="S31" s="37"/>
      <c r="T31" s="39"/>
      <c r="U31" s="37"/>
      <c r="V31" s="39"/>
      <c r="W31" s="37"/>
      <c r="X31" s="39"/>
      <c r="Y31" s="37"/>
      <c r="Z31" s="39"/>
      <c r="AA31" s="37"/>
      <c r="AB31" s="39"/>
      <c r="AC31" s="37"/>
      <c r="AD31" s="39"/>
      <c r="AE31" s="37"/>
      <c r="AF31" s="39"/>
      <c r="AG31" s="37"/>
      <c r="AH31" s="39"/>
      <c r="AI31" s="33"/>
      <c r="AJ31" s="14"/>
      <c r="AK31" s="1"/>
    </row>
    <row r="32" spans="2:37" s="7" customFormat="1" ht="15">
      <c r="B32" s="1" t="s">
        <v>187</v>
      </c>
      <c r="F32" s="6" t="s">
        <v>208</v>
      </c>
      <c r="J32" s="36">
        <f>SUM(J27:J31)</f>
        <v>0</v>
      </c>
      <c r="K32" s="37"/>
      <c r="L32" s="36">
        <f>SUM(L27:L31)</f>
        <v>330</v>
      </c>
      <c r="M32" s="37"/>
      <c r="N32" s="36">
        <f>SUM(N27:N31)</f>
        <v>162.75</v>
      </c>
      <c r="O32" s="37"/>
      <c r="P32" s="36">
        <f>SUM(P27:P31)</f>
        <v>0</v>
      </c>
      <c r="Q32" s="37"/>
      <c r="R32" s="36">
        <f>SUM(R27:R31)</f>
        <v>793.8</v>
      </c>
      <c r="S32" s="37"/>
      <c r="T32" s="36">
        <f>SUM(T27:T31)</f>
        <v>2862.4</v>
      </c>
      <c r="U32" s="37"/>
      <c r="V32" s="36">
        <f>SUM(V27:V31)</f>
        <v>0</v>
      </c>
      <c r="W32" s="37"/>
      <c r="X32" s="36">
        <f>SUM(X27:X31)</f>
        <v>738.95</v>
      </c>
      <c r="Y32" s="37"/>
      <c r="Z32" s="36">
        <f>SUM(Z27:Z31)</f>
        <v>-2862.4</v>
      </c>
      <c r="AA32" s="37"/>
      <c r="AB32" s="36">
        <f>SUM(AB27:AB31)</f>
        <v>0</v>
      </c>
      <c r="AC32" s="37"/>
      <c r="AD32" s="36">
        <f>SUM(AD27:AD31)</f>
        <v>0</v>
      </c>
      <c r="AE32" s="37"/>
      <c r="AF32" s="36">
        <f>SUM(AF27:AF31)</f>
        <v>0</v>
      </c>
      <c r="AG32" s="37"/>
      <c r="AH32" s="36">
        <f>SUM(AH27:AH31)</f>
        <v>2025.5000000000002</v>
      </c>
      <c r="AI32" s="10">
        <f>IF(AH$49=0,0,AH32/AH$49)</f>
        <v>1.7304117374237368E-4</v>
      </c>
      <c r="AJ32" s="14"/>
      <c r="AK32" s="1"/>
    </row>
    <row r="33" spans="2:37" s="7" customFormat="1" ht="15" outlineLevel="1">
      <c r="B33" s="1"/>
      <c r="D33" s="6"/>
      <c r="E33" s="6"/>
      <c r="F33" s="6"/>
      <c r="G33" s="6"/>
      <c r="J33" s="38"/>
      <c r="K33" s="37"/>
      <c r="L33" s="38"/>
      <c r="M33" s="37"/>
      <c r="N33" s="38"/>
      <c r="O33" s="37"/>
      <c r="P33" s="38"/>
      <c r="Q33" s="37"/>
      <c r="R33" s="38"/>
      <c r="S33" s="37"/>
      <c r="T33" s="38"/>
      <c r="U33" s="37"/>
      <c r="V33" s="38"/>
      <c r="W33" s="37"/>
      <c r="X33" s="38"/>
      <c r="Y33" s="37"/>
      <c r="Z33" s="38"/>
      <c r="AA33" s="37"/>
      <c r="AB33" s="38"/>
      <c r="AC33" s="37"/>
      <c r="AD33" s="38"/>
      <c r="AE33" s="37"/>
      <c r="AF33" s="38"/>
      <c r="AG33" s="37"/>
      <c r="AH33" s="38"/>
      <c r="AI33" s="33"/>
      <c r="AJ33" s="14"/>
      <c r="AK33" s="1"/>
    </row>
    <row r="34" spans="2:37" s="7" customFormat="1" ht="15" outlineLevel="1">
      <c r="B34" s="1" t="s">
        <v>187</v>
      </c>
      <c r="J34" s="38"/>
      <c r="K34" s="37"/>
      <c r="L34" s="38"/>
      <c r="M34" s="37"/>
      <c r="N34" s="38"/>
      <c r="O34" s="37"/>
      <c r="P34" s="38"/>
      <c r="Q34" s="37"/>
      <c r="R34" s="38"/>
      <c r="S34" s="37"/>
      <c r="T34" s="38"/>
      <c r="U34" s="37"/>
      <c r="V34" s="38"/>
      <c r="W34" s="37"/>
      <c r="X34" s="38"/>
      <c r="Y34" s="37"/>
      <c r="Z34" s="38"/>
      <c r="AA34" s="37"/>
      <c r="AB34" s="38"/>
      <c r="AC34" s="37"/>
      <c r="AD34" s="38"/>
      <c r="AE34" s="37"/>
      <c r="AF34" s="38"/>
      <c r="AG34" s="37"/>
      <c r="AH34" s="38"/>
      <c r="AI34" s="33"/>
      <c r="AJ34" s="14"/>
      <c r="AK34" s="1"/>
    </row>
    <row r="35" spans="2:37" outlineLevel="1">
      <c r="B35" s="71" t="s">
        <v>383</v>
      </c>
      <c r="D35" s="5"/>
      <c r="E35" s="5"/>
      <c r="F35" s="6"/>
      <c r="G35" s="3"/>
      <c r="H35" s="7"/>
      <c r="I35" s="8"/>
      <c r="J35" s="9"/>
      <c r="K35" s="8"/>
      <c r="L35" s="9"/>
      <c r="M35" s="8"/>
      <c r="N35" s="9"/>
      <c r="O35" s="8"/>
      <c r="P35" s="9"/>
      <c r="Q35" s="8"/>
      <c r="R35" s="9"/>
      <c r="S35" s="8"/>
      <c r="T35" s="9"/>
      <c r="U35" s="8"/>
      <c r="V35" s="9"/>
      <c r="W35" s="8"/>
      <c r="X35" s="9"/>
      <c r="Y35" s="8"/>
      <c r="Z35" s="9"/>
      <c r="AA35" s="8"/>
      <c r="AB35" s="9"/>
      <c r="AC35" s="8"/>
      <c r="AD35" s="9"/>
      <c r="AE35" s="8"/>
      <c r="AF35" s="9"/>
      <c r="AG35" s="8"/>
      <c r="AH35" s="9">
        <f>AF35+AD35+AB35+Z35+X35+V35+T35+R35+P35+N35+L35+J35</f>
        <v>0</v>
      </c>
      <c r="AI35" s="10">
        <f>IF(AH$49=0,0,AH35/AH$49)</f>
        <v>0</v>
      </c>
      <c r="AJ35" s="11"/>
    </row>
    <row r="36" spans="2:37" s="7" customFormat="1" ht="3.75" customHeight="1" outlineLevel="1">
      <c r="B36" s="34" t="s">
        <v>187</v>
      </c>
      <c r="D36" s="6"/>
      <c r="E36" s="6"/>
      <c r="F36" s="6"/>
      <c r="G36" s="6"/>
      <c r="J36" s="39"/>
      <c r="K36" s="37"/>
      <c r="L36" s="39"/>
      <c r="M36" s="37"/>
      <c r="N36" s="39"/>
      <c r="O36" s="37"/>
      <c r="P36" s="39"/>
      <c r="Q36" s="37"/>
      <c r="R36" s="39"/>
      <c r="S36" s="37"/>
      <c r="T36" s="39"/>
      <c r="U36" s="37"/>
      <c r="V36" s="39"/>
      <c r="W36" s="37"/>
      <c r="X36" s="39"/>
      <c r="Y36" s="37"/>
      <c r="Z36" s="39"/>
      <c r="AA36" s="37"/>
      <c r="AB36" s="39"/>
      <c r="AC36" s="37"/>
      <c r="AD36" s="39"/>
      <c r="AE36" s="37"/>
      <c r="AF36" s="39"/>
      <c r="AG36" s="37"/>
      <c r="AH36" s="39"/>
      <c r="AI36" s="33"/>
      <c r="AJ36" s="14"/>
      <c r="AK36" s="1"/>
    </row>
    <row r="37" spans="2:37" s="7" customFormat="1" ht="15">
      <c r="B37" s="1" t="s">
        <v>187</v>
      </c>
      <c r="F37" s="6" t="s">
        <v>209</v>
      </c>
      <c r="J37" s="36">
        <f>SUM(J34:J36)</f>
        <v>0</v>
      </c>
      <c r="K37" s="37"/>
      <c r="L37" s="36">
        <f>SUM(L34:L36)</f>
        <v>0</v>
      </c>
      <c r="M37" s="37"/>
      <c r="N37" s="36">
        <f>SUM(N34:N36)</f>
        <v>0</v>
      </c>
      <c r="O37" s="37"/>
      <c r="P37" s="36">
        <f>SUM(P34:P36)</f>
        <v>0</v>
      </c>
      <c r="Q37" s="37"/>
      <c r="R37" s="36">
        <f>SUM(R34:R36)</f>
        <v>0</v>
      </c>
      <c r="S37" s="37"/>
      <c r="T37" s="36">
        <f>SUM(T34:T36)</f>
        <v>0</v>
      </c>
      <c r="U37" s="37"/>
      <c r="V37" s="36">
        <f>SUM(V34:V36)</f>
        <v>0</v>
      </c>
      <c r="W37" s="37"/>
      <c r="X37" s="36">
        <f>SUM(X34:X36)</f>
        <v>0</v>
      </c>
      <c r="Y37" s="37"/>
      <c r="Z37" s="36">
        <f>SUM(Z34:Z36)</f>
        <v>0</v>
      </c>
      <c r="AA37" s="37"/>
      <c r="AB37" s="36">
        <f>SUM(AB34:AB36)</f>
        <v>0</v>
      </c>
      <c r="AC37" s="37"/>
      <c r="AD37" s="36">
        <f>SUM(AD34:AD36)</f>
        <v>0</v>
      </c>
      <c r="AE37" s="37"/>
      <c r="AF37" s="36">
        <f>SUM(AF34:AF36)</f>
        <v>0</v>
      </c>
      <c r="AG37" s="37"/>
      <c r="AH37" s="36">
        <f>SUM(AH34:AH36)</f>
        <v>0</v>
      </c>
      <c r="AI37" s="10">
        <f>IF(AH$49=0,0,AH37/AH$49)</f>
        <v>0</v>
      </c>
      <c r="AJ37" s="14"/>
      <c r="AK37" s="1"/>
    </row>
    <row r="38" spans="2:37" s="7" customFormat="1" ht="15" outlineLevel="1">
      <c r="B38" s="34" t="s">
        <v>187</v>
      </c>
      <c r="J38" s="38"/>
      <c r="K38" s="37"/>
      <c r="L38" s="38"/>
      <c r="M38" s="37"/>
      <c r="N38" s="38"/>
      <c r="O38" s="37"/>
      <c r="P38" s="38"/>
      <c r="Q38" s="37"/>
      <c r="R38" s="38"/>
      <c r="S38" s="37"/>
      <c r="T38" s="38"/>
      <c r="U38" s="37"/>
      <c r="V38" s="38"/>
      <c r="W38" s="37"/>
      <c r="X38" s="38"/>
      <c r="Y38" s="37"/>
      <c r="Z38" s="38"/>
      <c r="AA38" s="37"/>
      <c r="AB38" s="38"/>
      <c r="AC38" s="37"/>
      <c r="AD38" s="38"/>
      <c r="AE38" s="37"/>
      <c r="AF38" s="38"/>
      <c r="AG38" s="37"/>
      <c r="AH38" s="38"/>
      <c r="AI38" s="33"/>
      <c r="AJ38" s="14"/>
      <c r="AK38" s="1"/>
    </row>
    <row r="39" spans="2:37" outlineLevel="1">
      <c r="B39" s="71" t="s">
        <v>384</v>
      </c>
      <c r="D39" s="5"/>
      <c r="E39" s="5"/>
      <c r="F39" s="6"/>
      <c r="G39" s="3"/>
      <c r="H39" s="7"/>
      <c r="I39" s="8"/>
      <c r="J39" s="9"/>
      <c r="K39" s="8"/>
      <c r="L39" s="9"/>
      <c r="M39" s="8"/>
      <c r="N39" s="9"/>
      <c r="O39" s="8"/>
      <c r="P39" s="9"/>
      <c r="Q39" s="8"/>
      <c r="R39" s="9"/>
      <c r="S39" s="8"/>
      <c r="T39" s="9"/>
      <c r="U39" s="8"/>
      <c r="V39" s="9"/>
      <c r="W39" s="8"/>
      <c r="X39" s="9"/>
      <c r="Y39" s="8"/>
      <c r="Z39" s="9"/>
      <c r="AA39" s="8"/>
      <c r="AB39" s="9"/>
      <c r="AC39" s="8"/>
      <c r="AD39" s="9"/>
      <c r="AE39" s="8"/>
      <c r="AF39" s="9"/>
      <c r="AG39" s="8"/>
      <c r="AH39" s="9">
        <f>AF39+AD39+AB39+Z39+X39+V39+T39+R39+P39+N39+L39+J39</f>
        <v>0</v>
      </c>
      <c r="AI39" s="10">
        <f>IF(AH$49=0,0,AH39/AH$49)</f>
        <v>0</v>
      </c>
      <c r="AJ39" s="11"/>
    </row>
    <row r="40" spans="2:37" s="7" customFormat="1" ht="3.75" customHeight="1" outlineLevel="1">
      <c r="B40" s="34" t="s">
        <v>187</v>
      </c>
      <c r="D40" s="6"/>
      <c r="E40" s="6"/>
      <c r="F40" s="6"/>
      <c r="G40" s="6"/>
      <c r="J40" s="39"/>
      <c r="K40" s="37"/>
      <c r="L40" s="39"/>
      <c r="M40" s="37"/>
      <c r="N40" s="39"/>
      <c r="O40" s="37"/>
      <c r="P40" s="39"/>
      <c r="Q40" s="37"/>
      <c r="R40" s="39"/>
      <c r="S40" s="37"/>
      <c r="T40" s="39"/>
      <c r="U40" s="37"/>
      <c r="V40" s="39"/>
      <c r="W40" s="37"/>
      <c r="X40" s="39"/>
      <c r="Y40" s="37"/>
      <c r="Z40" s="39"/>
      <c r="AA40" s="37"/>
      <c r="AB40" s="39"/>
      <c r="AC40" s="37"/>
      <c r="AD40" s="39"/>
      <c r="AE40" s="37"/>
      <c r="AF40" s="39"/>
      <c r="AG40" s="37"/>
      <c r="AH40" s="39"/>
      <c r="AI40" s="33"/>
      <c r="AJ40" s="14"/>
      <c r="AK40" s="1"/>
    </row>
    <row r="41" spans="2:37" s="7" customFormat="1" ht="15">
      <c r="B41" s="34"/>
      <c r="F41" s="6" t="s">
        <v>210</v>
      </c>
      <c r="J41" s="36">
        <f>SUM(J39:J40)</f>
        <v>0</v>
      </c>
      <c r="K41" s="37"/>
      <c r="L41" s="36">
        <f>SUM(L39:L40)</f>
        <v>0</v>
      </c>
      <c r="M41" s="37"/>
      <c r="N41" s="36">
        <f>SUM(N39:N40)</f>
        <v>0</v>
      </c>
      <c r="O41" s="37"/>
      <c r="P41" s="36">
        <f>SUM(P39:P40)</f>
        <v>0</v>
      </c>
      <c r="Q41" s="37"/>
      <c r="R41" s="36">
        <f>SUM(R39:R40)</f>
        <v>0</v>
      </c>
      <c r="S41" s="37"/>
      <c r="T41" s="36">
        <f>SUM(T39:T40)</f>
        <v>0</v>
      </c>
      <c r="U41" s="37"/>
      <c r="V41" s="36">
        <f>SUM(V39:V40)</f>
        <v>0</v>
      </c>
      <c r="W41" s="37"/>
      <c r="X41" s="36">
        <f>SUM(X39:X40)</f>
        <v>0</v>
      </c>
      <c r="Y41" s="37"/>
      <c r="Z41" s="36">
        <f>SUM(Z39:Z40)</f>
        <v>0</v>
      </c>
      <c r="AA41" s="37"/>
      <c r="AB41" s="36">
        <f>SUM(AB39:AB40)</f>
        <v>0</v>
      </c>
      <c r="AC41" s="37"/>
      <c r="AD41" s="36">
        <f>SUM(AD39:AD40)</f>
        <v>0</v>
      </c>
      <c r="AE41" s="37"/>
      <c r="AF41" s="36">
        <f>SUM(AF39:AF40)</f>
        <v>0</v>
      </c>
      <c r="AG41" s="37"/>
      <c r="AH41" s="36">
        <f>SUM(AH39:AH40)</f>
        <v>0</v>
      </c>
      <c r="AI41" s="10">
        <f>IF(AH$49=0,0,AH41/AH$49)</f>
        <v>0</v>
      </c>
      <c r="AJ41" s="14"/>
      <c r="AK41" s="1"/>
    </row>
    <row r="42" spans="2:37" s="7" customFormat="1" ht="15" outlineLevel="1">
      <c r="B42" s="34"/>
      <c r="J42" s="38"/>
      <c r="K42" s="37"/>
      <c r="L42" s="38"/>
      <c r="M42" s="37"/>
      <c r="N42" s="38"/>
      <c r="O42" s="37"/>
      <c r="P42" s="38"/>
      <c r="Q42" s="37"/>
      <c r="R42" s="38"/>
      <c r="S42" s="37"/>
      <c r="T42" s="38"/>
      <c r="U42" s="37"/>
      <c r="V42" s="38"/>
      <c r="W42" s="37"/>
      <c r="X42" s="38"/>
      <c r="Y42" s="37"/>
      <c r="Z42" s="38"/>
      <c r="AA42" s="37"/>
      <c r="AB42" s="38"/>
      <c r="AC42" s="37"/>
      <c r="AD42" s="38"/>
      <c r="AE42" s="37"/>
      <c r="AF42" s="38"/>
      <c r="AG42" s="37"/>
      <c r="AH42" s="38"/>
      <c r="AI42" s="33"/>
      <c r="AJ42" s="14"/>
      <c r="AK42" s="1"/>
    </row>
    <row r="43" spans="2:37" s="7" customFormat="1" ht="15" outlineLevel="1">
      <c r="B43" s="34" t="s">
        <v>187</v>
      </c>
      <c r="J43" s="38"/>
      <c r="K43" s="37"/>
      <c r="L43" s="38"/>
      <c r="M43" s="37"/>
      <c r="N43" s="38"/>
      <c r="O43" s="37"/>
      <c r="P43" s="38"/>
      <c r="Q43" s="37"/>
      <c r="R43" s="38"/>
      <c r="S43" s="37"/>
      <c r="T43" s="38"/>
      <c r="U43" s="37"/>
      <c r="V43" s="38"/>
      <c r="W43" s="37"/>
      <c r="X43" s="38"/>
      <c r="Y43" s="37"/>
      <c r="Z43" s="38"/>
      <c r="AA43" s="37"/>
      <c r="AB43" s="38"/>
      <c r="AC43" s="37"/>
      <c r="AD43" s="38"/>
      <c r="AE43" s="37"/>
      <c r="AF43" s="38"/>
      <c r="AG43" s="37"/>
      <c r="AH43" s="38"/>
      <c r="AI43" s="33"/>
      <c r="AJ43" s="14"/>
      <c r="AK43" s="1"/>
    </row>
    <row r="44" spans="2:37" outlineLevel="1">
      <c r="B44" s="71" t="s">
        <v>385</v>
      </c>
      <c r="D44" s="5">
        <v>38000</v>
      </c>
      <c r="E44" s="5" t="s">
        <v>211</v>
      </c>
      <c r="F44" s="6"/>
      <c r="G44" s="3"/>
      <c r="H44" s="7"/>
      <c r="I44" s="8"/>
      <c r="J44" s="9">
        <v>83785.14</v>
      </c>
      <c r="K44" s="8"/>
      <c r="L44" s="9">
        <v>88242.1</v>
      </c>
      <c r="M44" s="8"/>
      <c r="N44" s="9">
        <v>73895.820000000007</v>
      </c>
      <c r="O44" s="8"/>
      <c r="P44" s="9">
        <v>81134.100000000006</v>
      </c>
      <c r="Q44" s="8"/>
      <c r="R44" s="9">
        <v>81970.98</v>
      </c>
      <c r="S44" s="8"/>
      <c r="T44" s="9">
        <v>85199.3</v>
      </c>
      <c r="U44" s="8"/>
      <c r="V44" s="9">
        <v>73332.98</v>
      </c>
      <c r="W44" s="8"/>
      <c r="X44" s="9">
        <v>76754.460000000006</v>
      </c>
      <c r="Y44" s="8"/>
      <c r="Z44" s="9">
        <v>82479.94</v>
      </c>
      <c r="AA44" s="8"/>
      <c r="AB44" s="9">
        <v>76286.42</v>
      </c>
      <c r="AC44" s="8"/>
      <c r="AD44" s="9">
        <v>81459.06</v>
      </c>
      <c r="AE44" s="8"/>
      <c r="AF44" s="9">
        <v>81007.38</v>
      </c>
      <c r="AG44" s="8"/>
      <c r="AH44" s="9">
        <f t="shared" ref="AH44:AH45" si="6">AF44+AD44+AB44+Z44+X44+V44+T44+R44+P44+N44+L44+J44</f>
        <v>965547.67999999993</v>
      </c>
      <c r="AI44" s="10">
        <f t="shared" ref="AI44:AI45" si="7">IF(AH$49=0,0,AH44/AH$49)</f>
        <v>8.2488029548963601E-2</v>
      </c>
      <c r="AJ44" s="11"/>
    </row>
    <row r="45" spans="2:37" outlineLevel="1">
      <c r="B45" s="71" t="s">
        <v>380</v>
      </c>
      <c r="D45" s="5">
        <v>38001</v>
      </c>
      <c r="E45" s="5" t="s">
        <v>535</v>
      </c>
      <c r="F45" s="6"/>
      <c r="G45" s="3"/>
      <c r="H45" s="7"/>
      <c r="I45" s="8"/>
      <c r="J45" s="9">
        <v>1663.98</v>
      </c>
      <c r="K45" s="8"/>
      <c r="L45" s="9">
        <v>1090.92</v>
      </c>
      <c r="M45" s="8"/>
      <c r="N45" s="9">
        <v>1098.21</v>
      </c>
      <c r="O45" s="8"/>
      <c r="P45" s="9">
        <v>1231.43</v>
      </c>
      <c r="Q45" s="8"/>
      <c r="R45" s="9">
        <v>888.24</v>
      </c>
      <c r="S45" s="8"/>
      <c r="T45" s="9">
        <v>889.9</v>
      </c>
      <c r="U45" s="8"/>
      <c r="V45" s="9">
        <v>1341.58</v>
      </c>
      <c r="W45" s="8"/>
      <c r="X45" s="9">
        <v>1008.3</v>
      </c>
      <c r="Y45" s="8"/>
      <c r="Z45" s="9">
        <v>1059.52</v>
      </c>
      <c r="AA45" s="8"/>
      <c r="AB45" s="9">
        <v>918.34</v>
      </c>
      <c r="AC45" s="8"/>
      <c r="AD45" s="9">
        <v>891.3</v>
      </c>
      <c r="AE45" s="8"/>
      <c r="AF45" s="9">
        <v>1265.3399999999999</v>
      </c>
      <c r="AG45" s="8"/>
      <c r="AH45" s="9">
        <f t="shared" si="6"/>
        <v>13347.06</v>
      </c>
      <c r="AI45" s="10">
        <f t="shared" si="7"/>
        <v>1.1402571850949816E-3</v>
      </c>
      <c r="AJ45" s="11"/>
    </row>
    <row r="46" spans="2:37" s="7" customFormat="1" ht="4.5" customHeight="1" outlineLevel="1">
      <c r="B46" s="34" t="s">
        <v>187</v>
      </c>
      <c r="D46" s="40"/>
      <c r="J46" s="39"/>
      <c r="K46" s="37"/>
      <c r="L46" s="39"/>
      <c r="M46" s="37"/>
      <c r="N46" s="39"/>
      <c r="O46" s="37"/>
      <c r="P46" s="39"/>
      <c r="Q46" s="37"/>
      <c r="R46" s="39"/>
      <c r="S46" s="37"/>
      <c r="T46" s="39"/>
      <c r="U46" s="37"/>
      <c r="V46" s="39"/>
      <c r="W46" s="37"/>
      <c r="X46" s="39"/>
      <c r="Y46" s="37"/>
      <c r="Z46" s="39"/>
      <c r="AA46" s="37"/>
      <c r="AB46" s="39"/>
      <c r="AC46" s="37"/>
      <c r="AD46" s="39"/>
      <c r="AE46" s="37"/>
      <c r="AF46" s="39"/>
      <c r="AG46" s="37"/>
      <c r="AH46" s="39"/>
      <c r="AI46" s="33"/>
      <c r="AJ46" s="14"/>
      <c r="AK46" s="1"/>
    </row>
    <row r="47" spans="2:37" s="7" customFormat="1" ht="15">
      <c r="B47" s="34" t="s">
        <v>187</v>
      </c>
      <c r="F47" s="7" t="s">
        <v>211</v>
      </c>
      <c r="J47" s="36">
        <f>SUM(J43:J46)</f>
        <v>85449.12</v>
      </c>
      <c r="K47" s="37"/>
      <c r="L47" s="36">
        <f>SUM(L43:L46)</f>
        <v>89333.02</v>
      </c>
      <c r="M47" s="37"/>
      <c r="N47" s="36">
        <f>SUM(N43:N46)</f>
        <v>74994.030000000013</v>
      </c>
      <c r="O47" s="37"/>
      <c r="P47" s="36">
        <f>SUM(P43:P46)</f>
        <v>82365.53</v>
      </c>
      <c r="Q47" s="37"/>
      <c r="R47" s="36">
        <f>SUM(R43:R46)</f>
        <v>82859.22</v>
      </c>
      <c r="S47" s="37"/>
      <c r="T47" s="36">
        <f>SUM(T43:T46)</f>
        <v>86089.2</v>
      </c>
      <c r="U47" s="37"/>
      <c r="V47" s="36">
        <f>SUM(V43:V46)</f>
        <v>74674.559999999998</v>
      </c>
      <c r="W47" s="37"/>
      <c r="X47" s="36">
        <f>SUM(X43:X46)</f>
        <v>77762.760000000009</v>
      </c>
      <c r="Y47" s="37"/>
      <c r="Z47" s="36">
        <f>SUM(Z43:Z46)</f>
        <v>83539.460000000006</v>
      </c>
      <c r="AA47" s="37"/>
      <c r="AB47" s="36">
        <f>SUM(AB43:AB46)</f>
        <v>77204.759999999995</v>
      </c>
      <c r="AC47" s="37"/>
      <c r="AD47" s="36">
        <f>SUM(AD43:AD46)</f>
        <v>82350.36</v>
      </c>
      <c r="AE47" s="37"/>
      <c r="AF47" s="36">
        <f>SUM(AF43:AF46)</f>
        <v>82272.72</v>
      </c>
      <c r="AG47" s="37"/>
      <c r="AH47" s="36">
        <f>SUM(AH43:AH46)</f>
        <v>978894.74</v>
      </c>
      <c r="AI47" s="10">
        <f>IF(AH$49=0,0,AH47/AH$49)</f>
        <v>8.3628286734058588E-2</v>
      </c>
      <c r="AJ47" s="14"/>
      <c r="AK47" s="1"/>
    </row>
    <row r="48" spans="2:37" s="7" customFormat="1" ht="7.5" customHeight="1">
      <c r="B48" s="34" t="s">
        <v>187</v>
      </c>
      <c r="J48" s="38"/>
      <c r="K48" s="37"/>
      <c r="L48" s="38"/>
      <c r="M48" s="37"/>
      <c r="N48" s="38"/>
      <c r="O48" s="37"/>
      <c r="P48" s="38"/>
      <c r="Q48" s="37"/>
      <c r="R48" s="38"/>
      <c r="S48" s="37"/>
      <c r="T48" s="38"/>
      <c r="U48" s="37"/>
      <c r="V48" s="38"/>
      <c r="W48" s="37"/>
      <c r="X48" s="38"/>
      <c r="Y48" s="37"/>
      <c r="Z48" s="38"/>
      <c r="AA48" s="37"/>
      <c r="AB48" s="38"/>
      <c r="AC48" s="37"/>
      <c r="AD48" s="38"/>
      <c r="AE48" s="37"/>
      <c r="AF48" s="38"/>
      <c r="AG48" s="37"/>
      <c r="AH48" s="38"/>
      <c r="AI48" s="33"/>
      <c r="AJ48" s="14"/>
      <c r="AK48" s="1"/>
    </row>
    <row r="49" spans="2:37" s="7" customFormat="1" ht="15">
      <c r="B49" s="34" t="s">
        <v>187</v>
      </c>
      <c r="E49" s="41" t="s">
        <v>166</v>
      </c>
      <c r="J49" s="42">
        <f>+J25+J32+J37+J47+J20+J41</f>
        <v>921435.21</v>
      </c>
      <c r="K49" s="37"/>
      <c r="L49" s="42">
        <f>+L25+L32+L37+L47+L20+L41</f>
        <v>1036545.13</v>
      </c>
      <c r="M49" s="37"/>
      <c r="N49" s="42">
        <f>+N25+N32+N37+N47+N20+N41</f>
        <v>753631.2</v>
      </c>
      <c r="O49" s="37"/>
      <c r="P49" s="42">
        <f>+P25+P32+P37+P47+P20+P41</f>
        <v>902564.5</v>
      </c>
      <c r="Q49" s="37"/>
      <c r="R49" s="42">
        <f>+R25+R32+R37+R47+R20+R41</f>
        <v>998602.37</v>
      </c>
      <c r="S49" s="37"/>
      <c r="T49" s="42">
        <f>+T25+T32+T37+T47+T20+T41</f>
        <v>1079897.57</v>
      </c>
      <c r="U49" s="37"/>
      <c r="V49" s="42">
        <f>+V25+V32+V37+V47+V20+V41</f>
        <v>880811.3600000001</v>
      </c>
      <c r="W49" s="37"/>
      <c r="X49" s="42">
        <f>+X25+X32+X37+X47+X20+X41</f>
        <v>1040843.5</v>
      </c>
      <c r="Y49" s="37"/>
      <c r="Z49" s="42">
        <f>+Z25+Z32+Z37+Z47+Z20+Z41</f>
        <v>1018758.48</v>
      </c>
      <c r="AA49" s="37"/>
      <c r="AB49" s="42">
        <f>+AB25+AB32+AB37+AB47+AB20+AB41</f>
        <v>794159.42999999993</v>
      </c>
      <c r="AC49" s="37"/>
      <c r="AD49" s="42">
        <f>+AD25+AD32+AD37+AD47+AD20+AD41</f>
        <v>1323238.95</v>
      </c>
      <c r="AE49" s="37"/>
      <c r="AF49" s="42">
        <f>+AF25+AF32+AF37+AF47+AF20+AF41</f>
        <v>954818.94</v>
      </c>
      <c r="AG49" s="37"/>
      <c r="AH49" s="42">
        <f>+AH25+AH32+AH37+AH47+AH20+AH41</f>
        <v>11705306.640000001</v>
      </c>
      <c r="AI49" s="10">
        <f>IF(AH$49=0,0,AH49/AH$49)</f>
        <v>1</v>
      </c>
      <c r="AJ49" s="14"/>
      <c r="AK49" s="1"/>
    </row>
    <row r="50" spans="2:37" s="7" customFormat="1" ht="7.5" customHeight="1">
      <c r="B50" s="34" t="s">
        <v>187</v>
      </c>
      <c r="J50" s="38"/>
      <c r="K50" s="37"/>
      <c r="L50" s="38"/>
      <c r="M50" s="37"/>
      <c r="N50" s="38"/>
      <c r="O50" s="37"/>
      <c r="P50" s="38"/>
      <c r="Q50" s="37"/>
      <c r="R50" s="38"/>
      <c r="S50" s="37"/>
      <c r="T50" s="38"/>
      <c r="U50" s="37"/>
      <c r="V50" s="38"/>
      <c r="W50" s="37"/>
      <c r="X50" s="38"/>
      <c r="Y50" s="37"/>
      <c r="Z50" s="38"/>
      <c r="AA50" s="37"/>
      <c r="AB50" s="38"/>
      <c r="AC50" s="37"/>
      <c r="AD50" s="38"/>
      <c r="AE50" s="37"/>
      <c r="AF50" s="38"/>
      <c r="AG50" s="37"/>
      <c r="AH50" s="38"/>
      <c r="AI50" s="33"/>
      <c r="AJ50" s="14"/>
      <c r="AK50" s="1"/>
    </row>
    <row r="51" spans="2:37" s="7" customFormat="1" ht="15" outlineLevel="1">
      <c r="B51" s="34"/>
      <c r="J51" s="38"/>
      <c r="K51" s="37"/>
      <c r="L51" s="38"/>
      <c r="M51" s="37"/>
      <c r="N51" s="38"/>
      <c r="O51" s="37"/>
      <c r="P51" s="38"/>
      <c r="Q51" s="37"/>
      <c r="R51" s="38"/>
      <c r="S51" s="37"/>
      <c r="T51" s="38"/>
      <c r="U51" s="37"/>
      <c r="V51" s="38"/>
      <c r="W51" s="37"/>
      <c r="X51" s="38"/>
      <c r="Y51" s="37"/>
      <c r="Z51" s="38"/>
      <c r="AA51" s="37"/>
      <c r="AB51" s="38"/>
      <c r="AC51" s="37"/>
      <c r="AD51" s="38"/>
      <c r="AE51" s="37"/>
      <c r="AF51" s="38"/>
      <c r="AG51" s="37"/>
      <c r="AH51" s="38"/>
      <c r="AI51" s="33"/>
      <c r="AJ51" s="14"/>
      <c r="AK51" s="1"/>
    </row>
    <row r="52" spans="2:37" outlineLevel="1">
      <c r="B52" s="71" t="s">
        <v>386</v>
      </c>
      <c r="D52" s="5">
        <v>40109</v>
      </c>
      <c r="E52" s="5" t="s">
        <v>67</v>
      </c>
      <c r="F52" s="6"/>
      <c r="G52" s="3"/>
      <c r="H52" s="7"/>
      <c r="I52" s="8"/>
      <c r="J52" s="9">
        <v>0</v>
      </c>
      <c r="K52" s="8"/>
      <c r="L52" s="9">
        <v>140.07</v>
      </c>
      <c r="M52" s="8"/>
      <c r="N52" s="9">
        <v>-140.07</v>
      </c>
      <c r="O52" s="8"/>
      <c r="P52" s="9">
        <v>4306.05</v>
      </c>
      <c r="Q52" s="8"/>
      <c r="R52" s="9">
        <v>-4306.05</v>
      </c>
      <c r="S52" s="8"/>
      <c r="T52" s="9">
        <v>0</v>
      </c>
      <c r="U52" s="8"/>
      <c r="V52" s="9">
        <v>0</v>
      </c>
      <c r="W52" s="8"/>
      <c r="X52" s="9">
        <v>0</v>
      </c>
      <c r="Y52" s="8"/>
      <c r="Z52" s="9">
        <v>0</v>
      </c>
      <c r="AA52" s="8"/>
      <c r="AB52" s="9">
        <v>0</v>
      </c>
      <c r="AC52" s="8"/>
      <c r="AD52" s="9">
        <v>217285.35</v>
      </c>
      <c r="AE52" s="8"/>
      <c r="AF52" s="9">
        <v>82399.92</v>
      </c>
      <c r="AG52" s="8"/>
      <c r="AH52" s="9">
        <f t="shared" ref="AH52:AH53" si="8">AF52+AD52+AB52+Z52+X52+V52+T52+R52+P52+N52+L52+J52</f>
        <v>299685.27</v>
      </c>
      <c r="AI52" s="10">
        <f t="shared" ref="AI52:AI53" si="9">IF(AH$49=0,0,AH52/AH$49)</f>
        <v>2.5602513391310866E-2</v>
      </c>
      <c r="AJ52" s="11"/>
    </row>
    <row r="53" spans="2:37" outlineLevel="1">
      <c r="B53" s="71" t="s">
        <v>380</v>
      </c>
      <c r="D53" s="5">
        <v>40122</v>
      </c>
      <c r="E53" s="5" t="s">
        <v>212</v>
      </c>
      <c r="F53" s="6"/>
      <c r="G53" s="3"/>
      <c r="H53" s="7"/>
      <c r="I53" s="8"/>
      <c r="J53" s="9">
        <v>0</v>
      </c>
      <c r="K53" s="8"/>
      <c r="L53" s="9">
        <v>0</v>
      </c>
      <c r="M53" s="8"/>
      <c r="N53" s="9">
        <v>150.30000000000001</v>
      </c>
      <c r="O53" s="8"/>
      <c r="P53" s="9">
        <v>0</v>
      </c>
      <c r="Q53" s="8"/>
      <c r="R53" s="9">
        <v>0</v>
      </c>
      <c r="S53" s="8"/>
      <c r="T53" s="9">
        <v>0</v>
      </c>
      <c r="U53" s="8"/>
      <c r="V53" s="9">
        <v>549.94000000000005</v>
      </c>
      <c r="W53" s="8"/>
      <c r="X53" s="9">
        <v>0</v>
      </c>
      <c r="Y53" s="8"/>
      <c r="Z53" s="9">
        <v>0</v>
      </c>
      <c r="AA53" s="8"/>
      <c r="AB53" s="9">
        <v>0</v>
      </c>
      <c r="AC53" s="8"/>
      <c r="AD53" s="9">
        <v>0</v>
      </c>
      <c r="AE53" s="8"/>
      <c r="AF53" s="9">
        <v>0</v>
      </c>
      <c r="AG53" s="8"/>
      <c r="AH53" s="9">
        <f t="shared" si="8"/>
        <v>700.24</v>
      </c>
      <c r="AI53" s="10">
        <f t="shared" si="9"/>
        <v>5.9822439645203514E-5</v>
      </c>
      <c r="AJ53" s="11"/>
    </row>
    <row r="54" spans="2:37" s="7" customFormat="1" ht="5.0999999999999996" customHeight="1" outlineLevel="1">
      <c r="B54" s="34" t="s">
        <v>187</v>
      </c>
      <c r="D54" s="6"/>
      <c r="E54" s="6"/>
      <c r="F54" s="6"/>
      <c r="G54" s="6"/>
      <c r="J54" s="39"/>
      <c r="K54" s="37"/>
      <c r="L54" s="39"/>
      <c r="M54" s="37"/>
      <c r="N54" s="39"/>
      <c r="O54" s="37"/>
      <c r="P54" s="39"/>
      <c r="Q54" s="37"/>
      <c r="R54" s="39"/>
      <c r="S54" s="37"/>
      <c r="T54" s="39"/>
      <c r="U54" s="37"/>
      <c r="V54" s="39"/>
      <c r="W54" s="37"/>
      <c r="X54" s="39"/>
      <c r="Y54" s="37"/>
      <c r="Z54" s="39"/>
      <c r="AA54" s="37"/>
      <c r="AB54" s="39"/>
      <c r="AC54" s="37"/>
      <c r="AD54" s="39"/>
      <c r="AE54" s="37"/>
      <c r="AF54" s="39"/>
      <c r="AG54" s="37"/>
      <c r="AH54" s="39"/>
      <c r="AI54" s="33"/>
      <c r="AJ54" s="14"/>
      <c r="AK54" s="1"/>
    </row>
    <row r="55" spans="2:37" s="7" customFormat="1" ht="15">
      <c r="B55" s="34" t="s">
        <v>187</v>
      </c>
      <c r="F55" s="6" t="s">
        <v>213</v>
      </c>
      <c r="J55" s="36">
        <f>SUM(J51:J54)</f>
        <v>0</v>
      </c>
      <c r="K55" s="37"/>
      <c r="L55" s="36">
        <f>SUM(L51:L54)</f>
        <v>140.07</v>
      </c>
      <c r="M55" s="37"/>
      <c r="N55" s="36">
        <f>SUM(N51:N54)</f>
        <v>10.230000000000018</v>
      </c>
      <c r="O55" s="37"/>
      <c r="P55" s="36">
        <f>SUM(P51:P54)</f>
        <v>4306.05</v>
      </c>
      <c r="Q55" s="37"/>
      <c r="R55" s="36">
        <f>SUM(R51:R54)</f>
        <v>-4306.05</v>
      </c>
      <c r="S55" s="37"/>
      <c r="T55" s="36">
        <f>SUM(T51:T54)</f>
        <v>0</v>
      </c>
      <c r="U55" s="37"/>
      <c r="V55" s="36">
        <f>SUM(V51:V54)</f>
        <v>549.94000000000005</v>
      </c>
      <c r="W55" s="37"/>
      <c r="X55" s="36">
        <f>SUM(X51:X54)</f>
        <v>0</v>
      </c>
      <c r="Y55" s="37"/>
      <c r="Z55" s="36">
        <f>SUM(Z51:Z54)</f>
        <v>0</v>
      </c>
      <c r="AA55" s="37"/>
      <c r="AB55" s="36">
        <f>SUM(AB51:AB54)</f>
        <v>0</v>
      </c>
      <c r="AC55" s="37"/>
      <c r="AD55" s="36">
        <f>SUM(AD51:AD54)</f>
        <v>217285.35</v>
      </c>
      <c r="AE55" s="37"/>
      <c r="AF55" s="36">
        <f>SUM(AF51:AF54)</f>
        <v>82399.92</v>
      </c>
      <c r="AG55" s="37"/>
      <c r="AH55" s="36">
        <f>SUM(AH51:AH54)</f>
        <v>300385.51</v>
      </c>
      <c r="AI55" s="10">
        <f>IF(AH$49=0,0,AH55/AH$49)</f>
        <v>2.5662335830956069E-2</v>
      </c>
      <c r="AJ55" s="14"/>
      <c r="AK55" s="1"/>
    </row>
    <row r="56" spans="2:37" s="7" customFormat="1" ht="15" outlineLevel="1">
      <c r="B56" s="34"/>
      <c r="J56" s="38"/>
      <c r="K56" s="37"/>
      <c r="L56" s="38"/>
      <c r="M56" s="37"/>
      <c r="N56" s="38"/>
      <c r="O56" s="37"/>
      <c r="P56" s="38"/>
      <c r="Q56" s="37"/>
      <c r="R56" s="38"/>
      <c r="S56" s="37"/>
      <c r="T56" s="38"/>
      <c r="U56" s="37"/>
      <c r="V56" s="38"/>
      <c r="W56" s="37"/>
      <c r="X56" s="38"/>
      <c r="Y56" s="37"/>
      <c r="Z56" s="38"/>
      <c r="AA56" s="37"/>
      <c r="AB56" s="38"/>
      <c r="AC56" s="37"/>
      <c r="AD56" s="38"/>
      <c r="AE56" s="37"/>
      <c r="AF56" s="38"/>
      <c r="AG56" s="37"/>
      <c r="AH56" s="38"/>
      <c r="AI56" s="33"/>
      <c r="AJ56" s="14"/>
      <c r="AK56" s="1"/>
    </row>
    <row r="57" spans="2:37" outlineLevel="1">
      <c r="B57" s="71" t="s">
        <v>387</v>
      </c>
      <c r="D57" s="5"/>
      <c r="E57" s="5"/>
      <c r="F57" s="6"/>
      <c r="G57" s="3"/>
      <c r="H57" s="7"/>
      <c r="I57" s="8"/>
      <c r="J57" s="9"/>
      <c r="K57" s="8"/>
      <c r="L57" s="9"/>
      <c r="M57" s="8"/>
      <c r="N57" s="9"/>
      <c r="O57" s="8"/>
      <c r="P57" s="9"/>
      <c r="Q57" s="8"/>
      <c r="R57" s="9"/>
      <c r="S57" s="8"/>
      <c r="T57" s="9"/>
      <c r="U57" s="8"/>
      <c r="V57" s="9"/>
      <c r="W57" s="8"/>
      <c r="X57" s="9"/>
      <c r="Y57" s="8"/>
      <c r="Z57" s="9"/>
      <c r="AA57" s="8"/>
      <c r="AB57" s="9"/>
      <c r="AC57" s="8"/>
      <c r="AD57" s="9"/>
      <c r="AE57" s="8"/>
      <c r="AF57" s="9"/>
      <c r="AG57" s="8"/>
      <c r="AH57" s="9">
        <f>AF57+AD57+AB57+Z57+X57+V57+T57+R57+P57+N57+L57+J57</f>
        <v>0</v>
      </c>
      <c r="AI57" s="10">
        <f>IF(AH$49=0,0,AH57/AH$49)</f>
        <v>0</v>
      </c>
      <c r="AJ57" s="11"/>
    </row>
    <row r="58" spans="2:37" s="7" customFormat="1" ht="4.5" customHeight="1" outlineLevel="1">
      <c r="B58" s="7" t="s">
        <v>187</v>
      </c>
      <c r="D58" s="40"/>
      <c r="J58" s="39"/>
      <c r="K58" s="37"/>
      <c r="L58" s="39"/>
      <c r="M58" s="37"/>
      <c r="N58" s="39"/>
      <c r="O58" s="37"/>
      <c r="P58" s="39"/>
      <c r="Q58" s="37"/>
      <c r="R58" s="39"/>
      <c r="S58" s="37"/>
      <c r="T58" s="39"/>
      <c r="U58" s="37"/>
      <c r="V58" s="39"/>
      <c r="W58" s="37"/>
      <c r="X58" s="39"/>
      <c r="Y58" s="37"/>
      <c r="Z58" s="39"/>
      <c r="AA58" s="37"/>
      <c r="AB58" s="39"/>
      <c r="AC58" s="37"/>
      <c r="AD58" s="39"/>
      <c r="AE58" s="37"/>
      <c r="AF58" s="39"/>
      <c r="AG58" s="37"/>
      <c r="AH58" s="39"/>
      <c r="AI58" s="33"/>
      <c r="AJ58" s="14"/>
      <c r="AK58" s="1"/>
    </row>
    <row r="59" spans="2:37" s="7" customFormat="1" ht="15">
      <c r="B59" s="34" t="s">
        <v>187</v>
      </c>
      <c r="F59" s="7" t="s">
        <v>214</v>
      </c>
      <c r="J59" s="36">
        <f>SUM(J57:J58)</f>
        <v>0</v>
      </c>
      <c r="K59" s="37"/>
      <c r="L59" s="36">
        <f>SUM(L57:L58)</f>
        <v>0</v>
      </c>
      <c r="M59" s="37"/>
      <c r="N59" s="36">
        <f>SUM(N57:N58)</f>
        <v>0</v>
      </c>
      <c r="O59" s="37"/>
      <c r="P59" s="36">
        <f>SUM(P57:P58)</f>
        <v>0</v>
      </c>
      <c r="Q59" s="37"/>
      <c r="R59" s="36">
        <f>SUM(R57:R58)</f>
        <v>0</v>
      </c>
      <c r="S59" s="37"/>
      <c r="T59" s="36">
        <f>SUM(T57:T58)</f>
        <v>0</v>
      </c>
      <c r="U59" s="37"/>
      <c r="V59" s="36">
        <f>SUM(V57:V58)</f>
        <v>0</v>
      </c>
      <c r="W59" s="37"/>
      <c r="X59" s="36">
        <f>SUM(X57:X58)</f>
        <v>0</v>
      </c>
      <c r="Y59" s="37"/>
      <c r="Z59" s="36">
        <f>SUM(Z57:Z58)</f>
        <v>0</v>
      </c>
      <c r="AA59" s="37"/>
      <c r="AB59" s="36">
        <f>SUM(AB57:AB58)</f>
        <v>0</v>
      </c>
      <c r="AC59" s="37"/>
      <c r="AD59" s="36">
        <f>SUM(AD57:AD58)</f>
        <v>0</v>
      </c>
      <c r="AE59" s="37"/>
      <c r="AF59" s="36">
        <f>SUM(AF57:AF58)</f>
        <v>0</v>
      </c>
      <c r="AG59" s="37"/>
      <c r="AH59" s="36">
        <f>SUM(AH57:AH58)</f>
        <v>0</v>
      </c>
      <c r="AI59" s="10">
        <f>IF(AH$49=0,0,AH59/AH$49)</f>
        <v>0</v>
      </c>
      <c r="AJ59" s="14"/>
      <c r="AK59" s="1"/>
    </row>
    <row r="60" spans="2:37" s="7" customFormat="1" ht="15" outlineLevel="1">
      <c r="B60" s="34"/>
      <c r="J60" s="38"/>
      <c r="K60" s="37"/>
      <c r="L60" s="38"/>
      <c r="M60" s="37"/>
      <c r="N60" s="38"/>
      <c r="O60" s="37"/>
      <c r="P60" s="38"/>
      <c r="Q60" s="37"/>
      <c r="R60" s="38"/>
      <c r="S60" s="37"/>
      <c r="T60" s="38"/>
      <c r="U60" s="37"/>
      <c r="V60" s="38"/>
      <c r="W60" s="37"/>
      <c r="X60" s="38"/>
      <c r="Y60" s="37"/>
      <c r="Z60" s="38"/>
      <c r="AA60" s="37"/>
      <c r="AB60" s="38"/>
      <c r="AC60" s="37"/>
      <c r="AD60" s="38"/>
      <c r="AE60" s="37"/>
      <c r="AF60" s="38"/>
      <c r="AG60" s="37"/>
      <c r="AH60" s="38"/>
      <c r="AI60" s="33"/>
      <c r="AJ60" s="14"/>
      <c r="AK60" s="1"/>
    </row>
    <row r="61" spans="2:37" s="7" customFormat="1" ht="15" outlineLevel="1">
      <c r="B61" s="34" t="s">
        <v>187</v>
      </c>
      <c r="J61" s="38"/>
      <c r="K61" s="37"/>
      <c r="L61" s="38"/>
      <c r="M61" s="37"/>
      <c r="N61" s="38"/>
      <c r="O61" s="37"/>
      <c r="P61" s="38"/>
      <c r="Q61" s="37"/>
      <c r="R61" s="38"/>
      <c r="S61" s="37"/>
      <c r="T61" s="38"/>
      <c r="U61" s="37"/>
      <c r="V61" s="38"/>
      <c r="W61" s="37"/>
      <c r="X61" s="38"/>
      <c r="Y61" s="37"/>
      <c r="Z61" s="38"/>
      <c r="AA61" s="37"/>
      <c r="AB61" s="38"/>
      <c r="AC61" s="37"/>
      <c r="AD61" s="38"/>
      <c r="AE61" s="37"/>
      <c r="AF61" s="38"/>
      <c r="AG61" s="37"/>
      <c r="AH61" s="38"/>
      <c r="AI61" s="33"/>
      <c r="AJ61" s="14"/>
      <c r="AK61" s="1"/>
    </row>
    <row r="62" spans="2:37" outlineLevel="1">
      <c r="B62" s="71" t="s">
        <v>388</v>
      </c>
      <c r="D62" s="5">
        <v>41121</v>
      </c>
      <c r="E62" s="5" t="s">
        <v>56</v>
      </c>
      <c r="F62" s="6"/>
      <c r="G62" s="3"/>
      <c r="H62" s="7"/>
      <c r="I62" s="8"/>
      <c r="J62" s="9">
        <v>797.5</v>
      </c>
      <c r="K62" s="8"/>
      <c r="L62" s="9">
        <v>0</v>
      </c>
      <c r="M62" s="8"/>
      <c r="N62" s="9">
        <v>0</v>
      </c>
      <c r="O62" s="8"/>
      <c r="P62" s="9">
        <v>0</v>
      </c>
      <c r="Q62" s="8"/>
      <c r="R62" s="9">
        <v>0</v>
      </c>
      <c r="S62" s="8"/>
      <c r="T62" s="9">
        <v>21124.560000000001</v>
      </c>
      <c r="U62" s="8"/>
      <c r="V62" s="9">
        <v>14507.35</v>
      </c>
      <c r="W62" s="8"/>
      <c r="X62" s="9">
        <v>26850.87</v>
      </c>
      <c r="Y62" s="8"/>
      <c r="Z62" s="9">
        <v>4808.07</v>
      </c>
      <c r="AA62" s="8"/>
      <c r="AB62" s="9">
        <v>13682.3</v>
      </c>
      <c r="AC62" s="8"/>
      <c r="AD62" s="9">
        <v>1564.83</v>
      </c>
      <c r="AE62" s="8"/>
      <c r="AF62" s="9">
        <v>0</v>
      </c>
      <c r="AG62" s="8"/>
      <c r="AH62" s="9">
        <f t="shared" ref="AH62:AH63" si="10">AF62+AD62+AB62+Z62+X62+V62+T62+R62+P62+N62+L62+J62</f>
        <v>83335.48</v>
      </c>
      <c r="AI62" s="10">
        <f t="shared" ref="AI62:AI63" si="11">IF(AH$49=0,0,AH62/AH$49)</f>
        <v>7.1194615026334753E-3</v>
      </c>
      <c r="AJ62" s="11"/>
    </row>
    <row r="63" spans="2:37" outlineLevel="1">
      <c r="B63" s="71" t="s">
        <v>380</v>
      </c>
      <c r="D63" s="5">
        <v>43001</v>
      </c>
      <c r="E63" s="5" t="s">
        <v>217</v>
      </c>
      <c r="F63" s="6"/>
      <c r="G63" s="3"/>
      <c r="H63" s="7"/>
      <c r="I63" s="8"/>
      <c r="J63" s="9">
        <v>21134.53</v>
      </c>
      <c r="K63" s="8"/>
      <c r="L63" s="9">
        <v>10708.87</v>
      </c>
      <c r="M63" s="8"/>
      <c r="N63" s="9">
        <v>12399.33</v>
      </c>
      <c r="O63" s="8"/>
      <c r="P63" s="9">
        <v>14859.49</v>
      </c>
      <c r="Q63" s="8"/>
      <c r="R63" s="9">
        <v>16558.36</v>
      </c>
      <c r="S63" s="8"/>
      <c r="T63" s="9">
        <v>17761.21</v>
      </c>
      <c r="U63" s="8"/>
      <c r="V63" s="9">
        <v>14503.28</v>
      </c>
      <c r="W63" s="8"/>
      <c r="X63" s="9">
        <v>17356.03</v>
      </c>
      <c r="Y63" s="8"/>
      <c r="Z63" s="9">
        <v>16399.61</v>
      </c>
      <c r="AA63" s="8"/>
      <c r="AB63" s="9">
        <v>16358.3</v>
      </c>
      <c r="AC63" s="8"/>
      <c r="AD63" s="9">
        <v>17836.02</v>
      </c>
      <c r="AE63" s="8"/>
      <c r="AF63" s="9">
        <v>15050.22</v>
      </c>
      <c r="AG63" s="8"/>
      <c r="AH63" s="9">
        <f t="shared" si="10"/>
        <v>190925.24999999994</v>
      </c>
      <c r="AI63" s="10">
        <f t="shared" si="11"/>
        <v>1.6310999435722593E-2</v>
      </c>
      <c r="AJ63" s="11"/>
    </row>
    <row r="64" spans="2:37" s="7" customFormat="1" ht="5.0999999999999996" customHeight="1" outlineLevel="1">
      <c r="B64" s="1" t="s">
        <v>187</v>
      </c>
      <c r="D64" s="6"/>
      <c r="E64" s="6"/>
      <c r="F64" s="6"/>
      <c r="G64" s="6"/>
      <c r="J64" s="39"/>
      <c r="K64" s="37"/>
      <c r="L64" s="39"/>
      <c r="M64" s="37"/>
      <c r="N64" s="39"/>
      <c r="O64" s="37"/>
      <c r="P64" s="39"/>
      <c r="Q64" s="37"/>
      <c r="R64" s="39"/>
      <c r="S64" s="37"/>
      <c r="T64" s="39"/>
      <c r="U64" s="37"/>
      <c r="V64" s="39"/>
      <c r="W64" s="37"/>
      <c r="X64" s="39"/>
      <c r="Y64" s="37"/>
      <c r="Z64" s="39"/>
      <c r="AA64" s="37"/>
      <c r="AB64" s="39"/>
      <c r="AC64" s="37"/>
      <c r="AD64" s="39"/>
      <c r="AE64" s="37"/>
      <c r="AF64" s="39"/>
      <c r="AG64" s="37"/>
      <c r="AH64" s="39"/>
      <c r="AI64" s="33"/>
      <c r="AJ64" s="14"/>
      <c r="AK64" s="1"/>
    </row>
    <row r="65" spans="2:37" s="7" customFormat="1" ht="15">
      <c r="B65" s="34" t="s">
        <v>187</v>
      </c>
      <c r="F65" s="6" t="s">
        <v>219</v>
      </c>
      <c r="G65" s="43"/>
      <c r="H65" s="43"/>
      <c r="I65" s="43"/>
      <c r="J65" s="36">
        <f>SUM(J61:J64)</f>
        <v>21932.03</v>
      </c>
      <c r="K65" s="37"/>
      <c r="L65" s="36">
        <f>SUM(L61:L64)</f>
        <v>10708.87</v>
      </c>
      <c r="M65" s="37"/>
      <c r="N65" s="36">
        <f>SUM(N61:N64)</f>
        <v>12399.33</v>
      </c>
      <c r="O65" s="37"/>
      <c r="P65" s="36">
        <f>SUM(P61:P64)</f>
        <v>14859.49</v>
      </c>
      <c r="Q65" s="37"/>
      <c r="R65" s="36">
        <f>SUM(R61:R64)</f>
        <v>16558.36</v>
      </c>
      <c r="S65" s="37"/>
      <c r="T65" s="36">
        <f>SUM(T61:T64)</f>
        <v>38885.770000000004</v>
      </c>
      <c r="U65" s="37"/>
      <c r="V65" s="36">
        <f>SUM(V61:V64)</f>
        <v>29010.63</v>
      </c>
      <c r="W65" s="37"/>
      <c r="X65" s="36">
        <f>SUM(X61:X64)</f>
        <v>44206.899999999994</v>
      </c>
      <c r="Y65" s="37"/>
      <c r="Z65" s="36">
        <f>SUM(Z61:Z64)</f>
        <v>21207.68</v>
      </c>
      <c r="AA65" s="37"/>
      <c r="AB65" s="36">
        <f>SUM(AB61:AB64)</f>
        <v>30040.6</v>
      </c>
      <c r="AC65" s="37"/>
      <c r="AD65" s="36">
        <f>SUM(AD61:AD64)</f>
        <v>19400.849999999999</v>
      </c>
      <c r="AE65" s="37"/>
      <c r="AF65" s="36">
        <f>SUM(AF61:AF64)</f>
        <v>15050.22</v>
      </c>
      <c r="AG65" s="37"/>
      <c r="AH65" s="36">
        <f>SUM(AH61:AH64)</f>
        <v>274260.72999999992</v>
      </c>
      <c r="AI65" s="10">
        <f>IF(AH$49=0,0,AH65/AH$49)</f>
        <v>2.3430460938356067E-2</v>
      </c>
      <c r="AJ65" s="14"/>
      <c r="AK65" s="1"/>
    </row>
    <row r="66" spans="2:37" s="7" customFormat="1" ht="15" outlineLevel="1">
      <c r="B66" s="34"/>
      <c r="J66" s="38"/>
      <c r="K66" s="37"/>
      <c r="L66" s="38"/>
      <c r="M66" s="37"/>
      <c r="N66" s="38"/>
      <c r="O66" s="37"/>
      <c r="P66" s="38"/>
      <c r="Q66" s="37"/>
      <c r="R66" s="38"/>
      <c r="S66" s="37"/>
      <c r="T66" s="38"/>
      <c r="U66" s="37"/>
      <c r="V66" s="38"/>
      <c r="W66" s="37"/>
      <c r="X66" s="38"/>
      <c r="Y66" s="37"/>
      <c r="Z66" s="38"/>
      <c r="AA66" s="37"/>
      <c r="AB66" s="38"/>
      <c r="AC66" s="37"/>
      <c r="AD66" s="38"/>
      <c r="AE66" s="37"/>
      <c r="AF66" s="38"/>
      <c r="AG66" s="37"/>
      <c r="AH66" s="38"/>
      <c r="AI66" s="33"/>
      <c r="AJ66" s="14"/>
      <c r="AK66" s="1"/>
    </row>
    <row r="67" spans="2:37" s="7" customFormat="1" ht="15" outlineLevel="1">
      <c r="B67" s="34" t="s">
        <v>187</v>
      </c>
      <c r="J67" s="38"/>
      <c r="K67" s="37"/>
      <c r="L67" s="38"/>
      <c r="M67" s="37"/>
      <c r="N67" s="38"/>
      <c r="O67" s="37"/>
      <c r="P67" s="38"/>
      <c r="Q67" s="37"/>
      <c r="R67" s="38"/>
      <c r="S67" s="37"/>
      <c r="T67" s="38"/>
      <c r="U67" s="37"/>
      <c r="V67" s="38"/>
      <c r="W67" s="37"/>
      <c r="X67" s="38"/>
      <c r="Y67" s="37"/>
      <c r="Z67" s="38"/>
      <c r="AA67" s="37"/>
      <c r="AB67" s="38"/>
      <c r="AC67" s="37"/>
      <c r="AD67" s="38"/>
      <c r="AE67" s="37"/>
      <c r="AF67" s="38"/>
      <c r="AG67" s="37"/>
      <c r="AH67" s="38"/>
      <c r="AI67" s="33"/>
      <c r="AJ67" s="14"/>
      <c r="AK67" s="1"/>
    </row>
    <row r="68" spans="2:37" outlineLevel="1">
      <c r="B68" s="71" t="s">
        <v>389</v>
      </c>
      <c r="D68" s="5"/>
      <c r="E68" s="5"/>
      <c r="F68" s="6"/>
      <c r="G68" s="3"/>
      <c r="H68" s="7"/>
      <c r="I68" s="8"/>
      <c r="J68" s="9"/>
      <c r="K68" s="8"/>
      <c r="L68" s="9"/>
      <c r="M68" s="8"/>
      <c r="N68" s="9"/>
      <c r="O68" s="8"/>
      <c r="P68" s="9"/>
      <c r="Q68" s="8"/>
      <c r="R68" s="9"/>
      <c r="S68" s="8"/>
      <c r="T68" s="9"/>
      <c r="U68" s="8"/>
      <c r="V68" s="9"/>
      <c r="W68" s="8"/>
      <c r="X68" s="9"/>
      <c r="Y68" s="8"/>
      <c r="Z68" s="9"/>
      <c r="AA68" s="8"/>
      <c r="AB68" s="9"/>
      <c r="AC68" s="8"/>
      <c r="AD68" s="9"/>
      <c r="AE68" s="8"/>
      <c r="AF68" s="9"/>
      <c r="AG68" s="8"/>
      <c r="AH68" s="9">
        <f>AF68+AD68+AB68+Z68+X68+V68+T68+R68+P68+N68+L68+J68</f>
        <v>0</v>
      </c>
      <c r="AI68" s="10">
        <f>IF(AH$49=0,0,AH68/AH$49)</f>
        <v>0</v>
      </c>
      <c r="AJ68" s="11"/>
    </row>
    <row r="69" spans="2:37" s="7" customFormat="1" ht="5.0999999999999996" customHeight="1" outlineLevel="1">
      <c r="B69" s="1" t="s">
        <v>187</v>
      </c>
      <c r="D69" s="6"/>
      <c r="E69" s="6"/>
      <c r="F69" s="6"/>
      <c r="G69" s="6"/>
      <c r="J69" s="39"/>
      <c r="K69" s="37"/>
      <c r="L69" s="39"/>
      <c r="M69" s="37"/>
      <c r="N69" s="39"/>
      <c r="O69" s="37"/>
      <c r="P69" s="39"/>
      <c r="Q69" s="37"/>
      <c r="R69" s="39"/>
      <c r="S69" s="37"/>
      <c r="T69" s="39"/>
      <c r="U69" s="37"/>
      <c r="V69" s="39"/>
      <c r="W69" s="37"/>
      <c r="X69" s="39"/>
      <c r="Y69" s="37"/>
      <c r="Z69" s="39"/>
      <c r="AA69" s="37"/>
      <c r="AB69" s="39"/>
      <c r="AC69" s="37"/>
      <c r="AD69" s="39"/>
      <c r="AE69" s="37"/>
      <c r="AF69" s="39"/>
      <c r="AG69" s="37"/>
      <c r="AH69" s="39"/>
      <c r="AI69" s="33"/>
      <c r="AJ69" s="14"/>
      <c r="AK69" s="1"/>
    </row>
    <row r="70" spans="2:37" s="7" customFormat="1" ht="15">
      <c r="B70" s="1" t="s">
        <v>187</v>
      </c>
      <c r="F70" s="6" t="s">
        <v>221</v>
      </c>
      <c r="G70" s="43"/>
      <c r="H70" s="43"/>
      <c r="I70" s="43"/>
      <c r="J70" s="36">
        <f>SUM(J67:J69)</f>
        <v>0</v>
      </c>
      <c r="K70" s="37"/>
      <c r="L70" s="36">
        <f>SUM(L67:L69)</f>
        <v>0</v>
      </c>
      <c r="M70" s="37"/>
      <c r="N70" s="36">
        <f>SUM(N67:N69)</f>
        <v>0</v>
      </c>
      <c r="O70" s="37"/>
      <c r="P70" s="36">
        <f>SUM(P67:P69)</f>
        <v>0</v>
      </c>
      <c r="Q70" s="37"/>
      <c r="R70" s="36">
        <f>SUM(R67:R69)</f>
        <v>0</v>
      </c>
      <c r="S70" s="37"/>
      <c r="T70" s="36">
        <f>SUM(T67:T69)</f>
        <v>0</v>
      </c>
      <c r="U70" s="37"/>
      <c r="V70" s="36">
        <f>SUM(V67:V69)</f>
        <v>0</v>
      </c>
      <c r="W70" s="37"/>
      <c r="X70" s="36">
        <f>SUM(X67:X69)</f>
        <v>0</v>
      </c>
      <c r="Y70" s="37"/>
      <c r="Z70" s="36">
        <f>SUM(Z67:Z69)</f>
        <v>0</v>
      </c>
      <c r="AA70" s="37"/>
      <c r="AB70" s="36">
        <f>SUM(AB67:AB69)</f>
        <v>0</v>
      </c>
      <c r="AC70" s="37"/>
      <c r="AD70" s="36">
        <f>SUM(AD67:AD69)</f>
        <v>0</v>
      </c>
      <c r="AE70" s="37"/>
      <c r="AF70" s="36">
        <f>SUM(AF67:AF69)</f>
        <v>0</v>
      </c>
      <c r="AG70" s="37"/>
      <c r="AH70" s="36">
        <f>SUM(AH67:AH69)</f>
        <v>0</v>
      </c>
      <c r="AI70" s="10">
        <f>IF(AH$49=0,0,AH70/AH$49)</f>
        <v>0</v>
      </c>
      <c r="AJ70" s="14"/>
      <c r="AK70" s="1"/>
    </row>
    <row r="71" spans="2:37" s="7" customFormat="1" ht="15" outlineLevel="1">
      <c r="B71" s="34" t="s">
        <v>187</v>
      </c>
      <c r="J71" s="38"/>
      <c r="K71" s="37"/>
      <c r="L71" s="38"/>
      <c r="M71" s="37"/>
      <c r="N71" s="38"/>
      <c r="O71" s="37"/>
      <c r="P71" s="38"/>
      <c r="Q71" s="37"/>
      <c r="R71" s="38"/>
      <c r="S71" s="37"/>
      <c r="T71" s="38"/>
      <c r="U71" s="37"/>
      <c r="V71" s="38"/>
      <c r="W71" s="37"/>
      <c r="X71" s="38"/>
      <c r="Y71" s="37"/>
      <c r="Z71" s="38"/>
      <c r="AA71" s="37"/>
      <c r="AB71" s="38"/>
      <c r="AC71" s="37"/>
      <c r="AD71" s="38"/>
      <c r="AE71" s="37"/>
      <c r="AF71" s="38"/>
      <c r="AG71" s="37"/>
      <c r="AH71" s="38"/>
      <c r="AI71" s="33"/>
      <c r="AJ71" s="14"/>
      <c r="AK71" s="1"/>
    </row>
    <row r="72" spans="2:37" outlineLevel="1">
      <c r="B72" s="71" t="s">
        <v>391</v>
      </c>
      <c r="D72" s="5"/>
      <c r="E72" s="5"/>
      <c r="F72" s="6"/>
      <c r="G72" s="3"/>
      <c r="H72" s="7"/>
      <c r="I72" s="8"/>
      <c r="J72" s="9"/>
      <c r="K72" s="8"/>
      <c r="L72" s="9"/>
      <c r="M72" s="8"/>
      <c r="N72" s="9"/>
      <c r="O72" s="8"/>
      <c r="P72" s="9"/>
      <c r="Q72" s="8"/>
      <c r="R72" s="9"/>
      <c r="S72" s="8"/>
      <c r="T72" s="9"/>
      <c r="U72" s="8"/>
      <c r="V72" s="9"/>
      <c r="W72" s="8"/>
      <c r="X72" s="9"/>
      <c r="Y72" s="8"/>
      <c r="Z72" s="9"/>
      <c r="AA72" s="8"/>
      <c r="AB72" s="9"/>
      <c r="AC72" s="8"/>
      <c r="AD72" s="9"/>
      <c r="AE72" s="8"/>
      <c r="AF72" s="9"/>
      <c r="AG72" s="8"/>
      <c r="AH72" s="9">
        <f>AF72+AD72+AB72+Z72+X72+V72+T72+R72+P72+N72+L72+J72</f>
        <v>0</v>
      </c>
      <c r="AI72" s="10">
        <f>IF(AH$49=0,0,AH72/AH$49)</f>
        <v>0</v>
      </c>
      <c r="AJ72" s="11"/>
    </row>
    <row r="73" spans="2:37" s="7" customFormat="1" ht="4.5" customHeight="1" outlineLevel="1">
      <c r="B73" s="7" t="s">
        <v>187</v>
      </c>
      <c r="D73" s="40"/>
      <c r="J73" s="39"/>
      <c r="K73" s="37"/>
      <c r="L73" s="39"/>
      <c r="M73" s="37"/>
      <c r="N73" s="39"/>
      <c r="O73" s="37"/>
      <c r="P73" s="39"/>
      <c r="Q73" s="37"/>
      <c r="R73" s="39"/>
      <c r="S73" s="37"/>
      <c r="T73" s="39"/>
      <c r="U73" s="37"/>
      <c r="V73" s="39"/>
      <c r="W73" s="37"/>
      <c r="X73" s="39"/>
      <c r="Y73" s="37"/>
      <c r="Z73" s="39"/>
      <c r="AA73" s="37"/>
      <c r="AB73" s="39"/>
      <c r="AC73" s="37"/>
      <c r="AD73" s="39"/>
      <c r="AE73" s="37"/>
      <c r="AF73" s="39"/>
      <c r="AG73" s="37"/>
      <c r="AH73" s="39"/>
      <c r="AI73" s="33"/>
      <c r="AJ73" s="14"/>
      <c r="AK73" s="1"/>
    </row>
    <row r="74" spans="2:37" s="7" customFormat="1" ht="15">
      <c r="B74" s="34" t="s">
        <v>187</v>
      </c>
      <c r="F74" s="7" t="s">
        <v>222</v>
      </c>
      <c r="J74" s="36">
        <f>SUM(J72:J73)</f>
        <v>0</v>
      </c>
      <c r="K74" s="37"/>
      <c r="L74" s="36">
        <f>SUM(L72:L73)</f>
        <v>0</v>
      </c>
      <c r="M74" s="37"/>
      <c r="N74" s="36">
        <f>SUM(N72:N73)</f>
        <v>0</v>
      </c>
      <c r="O74" s="37"/>
      <c r="P74" s="36">
        <f>SUM(P72:P73)</f>
        <v>0</v>
      </c>
      <c r="Q74" s="37"/>
      <c r="R74" s="36">
        <f>SUM(R72:R73)</f>
        <v>0</v>
      </c>
      <c r="S74" s="37"/>
      <c r="T74" s="36">
        <f>SUM(T72:T73)</f>
        <v>0</v>
      </c>
      <c r="U74" s="37"/>
      <c r="V74" s="36">
        <f>SUM(V72:V73)</f>
        <v>0</v>
      </c>
      <c r="W74" s="37"/>
      <c r="X74" s="36">
        <f>SUM(X72:X73)</f>
        <v>0</v>
      </c>
      <c r="Y74" s="37"/>
      <c r="Z74" s="36">
        <f>SUM(Z72:Z73)</f>
        <v>0</v>
      </c>
      <c r="AA74" s="37"/>
      <c r="AB74" s="36">
        <f>SUM(AB72:AB73)</f>
        <v>0</v>
      </c>
      <c r="AC74" s="37"/>
      <c r="AD74" s="36">
        <f>SUM(AD72:AD73)</f>
        <v>0</v>
      </c>
      <c r="AE74" s="37"/>
      <c r="AF74" s="36">
        <f>SUM(AF72:AF73)</f>
        <v>0</v>
      </c>
      <c r="AG74" s="37"/>
      <c r="AH74" s="36">
        <f>SUM(AH72:AH73)</f>
        <v>0</v>
      </c>
      <c r="AI74" s="10">
        <f>IF(AH$49=0,0,AH74/AH$49)</f>
        <v>0</v>
      </c>
      <c r="AJ74" s="14"/>
      <c r="AK74" s="1"/>
    </row>
    <row r="75" spans="2:37" s="7" customFormat="1" ht="7.5" customHeight="1">
      <c r="B75" s="1" t="s">
        <v>187</v>
      </c>
      <c r="J75" s="38"/>
      <c r="K75" s="37"/>
      <c r="L75" s="38"/>
      <c r="M75" s="37"/>
      <c r="N75" s="38"/>
      <c r="O75" s="37"/>
      <c r="P75" s="38"/>
      <c r="Q75" s="37"/>
      <c r="R75" s="38"/>
      <c r="S75" s="37"/>
      <c r="T75" s="38"/>
      <c r="U75" s="37"/>
      <c r="V75" s="38"/>
      <c r="W75" s="37"/>
      <c r="X75" s="38"/>
      <c r="Y75" s="37"/>
      <c r="Z75" s="38"/>
      <c r="AA75" s="37"/>
      <c r="AB75" s="38"/>
      <c r="AC75" s="37"/>
      <c r="AD75" s="38"/>
      <c r="AE75" s="37"/>
      <c r="AF75" s="38"/>
      <c r="AG75" s="37"/>
      <c r="AH75" s="38"/>
      <c r="AI75" s="33"/>
      <c r="AJ75" s="14"/>
      <c r="AK75" s="1"/>
    </row>
    <row r="76" spans="2:37" s="7" customFormat="1" ht="15">
      <c r="B76" s="1" t="s">
        <v>187</v>
      </c>
      <c r="E76" s="41" t="s">
        <v>223</v>
      </c>
      <c r="J76" s="42">
        <f>+J55+J65+J70+J59+J74</f>
        <v>21932.03</v>
      </c>
      <c r="K76" s="37"/>
      <c r="L76" s="42">
        <f>+L55+L65+L70+L59+L74</f>
        <v>10848.94</v>
      </c>
      <c r="M76" s="37"/>
      <c r="N76" s="42">
        <f>+N55+N65+N70+N59+N74</f>
        <v>12409.56</v>
      </c>
      <c r="O76" s="37"/>
      <c r="P76" s="42">
        <f>+P55+P65+P70+P59+P74</f>
        <v>19165.54</v>
      </c>
      <c r="Q76" s="37"/>
      <c r="R76" s="42">
        <f>+R55+R65+R70+R59+R74</f>
        <v>12252.310000000001</v>
      </c>
      <c r="S76" s="37"/>
      <c r="T76" s="42">
        <f>+T55+T65+T70+T59+T74</f>
        <v>38885.770000000004</v>
      </c>
      <c r="U76" s="37"/>
      <c r="V76" s="42">
        <f>+V55+V65+V70+V59+V74</f>
        <v>29560.57</v>
      </c>
      <c r="W76" s="37"/>
      <c r="X76" s="42">
        <f>+X55+X65+X70+X59+X74</f>
        <v>44206.899999999994</v>
      </c>
      <c r="Y76" s="37"/>
      <c r="Z76" s="42">
        <f>+Z55+Z65+Z70+Z59+Z74</f>
        <v>21207.68</v>
      </c>
      <c r="AA76" s="37"/>
      <c r="AB76" s="42">
        <f>+AB55+AB65+AB70+AB59+AB74</f>
        <v>30040.6</v>
      </c>
      <c r="AC76" s="37"/>
      <c r="AD76" s="42">
        <f>+AD55+AD65+AD70+AD59+AD74</f>
        <v>236686.2</v>
      </c>
      <c r="AE76" s="37"/>
      <c r="AF76" s="42">
        <f>+AF55+AF65+AF70+AF59+AF74</f>
        <v>97450.14</v>
      </c>
      <c r="AG76" s="37"/>
      <c r="AH76" s="42">
        <f>+AH55+AH65+AH70+AH59+AH74</f>
        <v>574646.24</v>
      </c>
      <c r="AI76" s="10">
        <f>IF(AH$49=0,0,AH76/AH$49)</f>
        <v>4.9092796769312143E-2</v>
      </c>
      <c r="AJ76" s="14"/>
      <c r="AK76" s="1"/>
    </row>
    <row r="77" spans="2:37" s="7" customFormat="1" ht="7.5" customHeight="1">
      <c r="B77" s="1" t="s">
        <v>187</v>
      </c>
      <c r="J77" s="38"/>
      <c r="K77" s="37"/>
      <c r="L77" s="38"/>
      <c r="M77" s="37"/>
      <c r="N77" s="38"/>
      <c r="O77" s="37"/>
      <c r="P77" s="38"/>
      <c r="Q77" s="37"/>
      <c r="R77" s="38"/>
      <c r="S77" s="37"/>
      <c r="T77" s="38"/>
      <c r="U77" s="37"/>
      <c r="V77" s="38"/>
      <c r="W77" s="37"/>
      <c r="X77" s="38"/>
      <c r="Y77" s="37"/>
      <c r="Z77" s="38"/>
      <c r="AA77" s="37"/>
      <c r="AB77" s="38"/>
      <c r="AC77" s="37"/>
      <c r="AD77" s="38"/>
      <c r="AE77" s="37"/>
      <c r="AF77" s="38"/>
      <c r="AG77" s="37"/>
      <c r="AH77" s="38"/>
      <c r="AI77" s="33"/>
      <c r="AJ77" s="14"/>
      <c r="AK77" s="1"/>
    </row>
    <row r="78" spans="2:37" s="7" customFormat="1" ht="15">
      <c r="B78" s="1" t="s">
        <v>187</v>
      </c>
      <c r="E78" s="44" t="s">
        <v>224</v>
      </c>
      <c r="J78" s="42">
        <f>J49-J76</f>
        <v>899503.17999999993</v>
      </c>
      <c r="K78" s="37"/>
      <c r="L78" s="42">
        <f>L49-L76</f>
        <v>1025696.1900000001</v>
      </c>
      <c r="M78" s="37"/>
      <c r="N78" s="42">
        <f>N49-N76</f>
        <v>741221.6399999999</v>
      </c>
      <c r="O78" s="37"/>
      <c r="P78" s="42">
        <f>P49-P76</f>
        <v>883398.96</v>
      </c>
      <c r="Q78" s="37"/>
      <c r="R78" s="42">
        <f>R49-R76</f>
        <v>986350.05999999994</v>
      </c>
      <c r="S78" s="37"/>
      <c r="T78" s="42">
        <f>T49-T76</f>
        <v>1041011.8</v>
      </c>
      <c r="U78" s="37"/>
      <c r="V78" s="42">
        <f>V49-V76</f>
        <v>851250.79000000015</v>
      </c>
      <c r="W78" s="37"/>
      <c r="X78" s="42">
        <f>X49-X76</f>
        <v>996636.6</v>
      </c>
      <c r="Y78" s="37"/>
      <c r="Z78" s="42">
        <f>Z49-Z76</f>
        <v>997550.79999999993</v>
      </c>
      <c r="AA78" s="37"/>
      <c r="AB78" s="42">
        <f>AB49-AB76</f>
        <v>764118.83</v>
      </c>
      <c r="AC78" s="37"/>
      <c r="AD78" s="42">
        <f>AD49-AD76</f>
        <v>1086552.75</v>
      </c>
      <c r="AE78" s="37"/>
      <c r="AF78" s="42">
        <f>AF49-AF76</f>
        <v>857368.79999999993</v>
      </c>
      <c r="AG78" s="37"/>
      <c r="AH78" s="42">
        <f>AH49-AH76</f>
        <v>11130660.4</v>
      </c>
      <c r="AI78" s="10">
        <f>IF(AH$49=0,0,AH78/AH$49)</f>
        <v>0.95090720323068789</v>
      </c>
      <c r="AJ78" s="14"/>
      <c r="AK78" s="1"/>
    </row>
    <row r="79" spans="2:37" s="7" customFormat="1" ht="7.5" customHeight="1">
      <c r="B79" s="1" t="s">
        <v>187</v>
      </c>
      <c r="J79" s="38"/>
      <c r="K79" s="37"/>
      <c r="L79" s="38"/>
      <c r="M79" s="37"/>
      <c r="N79" s="38"/>
      <c r="O79" s="37"/>
      <c r="P79" s="38"/>
      <c r="Q79" s="37"/>
      <c r="R79" s="38"/>
      <c r="S79" s="37"/>
      <c r="T79" s="38"/>
      <c r="U79" s="37"/>
      <c r="V79" s="38"/>
      <c r="W79" s="37"/>
      <c r="X79" s="38"/>
      <c r="Y79" s="37"/>
      <c r="Z79" s="38"/>
      <c r="AA79" s="37"/>
      <c r="AB79" s="38"/>
      <c r="AC79" s="37"/>
      <c r="AD79" s="38"/>
      <c r="AE79" s="37"/>
      <c r="AF79" s="38"/>
      <c r="AG79" s="37"/>
      <c r="AH79" s="38"/>
      <c r="AI79" s="33"/>
      <c r="AJ79" s="14"/>
      <c r="AK79" s="1"/>
    </row>
    <row r="80" spans="2:37" s="7" customFormat="1" ht="15" outlineLevel="1">
      <c r="B80" s="1"/>
      <c r="J80" s="38"/>
      <c r="K80" s="37"/>
      <c r="L80" s="38"/>
      <c r="M80" s="37"/>
      <c r="N80" s="38"/>
      <c r="O80" s="37"/>
      <c r="P80" s="38"/>
      <c r="Q80" s="37"/>
      <c r="R80" s="38"/>
      <c r="S80" s="37"/>
      <c r="T80" s="38"/>
      <c r="U80" s="37"/>
      <c r="V80" s="38"/>
      <c r="W80" s="37"/>
      <c r="X80" s="38"/>
      <c r="Y80" s="37"/>
      <c r="Z80" s="38"/>
      <c r="AA80" s="37"/>
      <c r="AB80" s="38"/>
      <c r="AC80" s="37"/>
      <c r="AD80" s="38"/>
      <c r="AE80" s="37"/>
      <c r="AF80" s="38"/>
      <c r="AG80" s="37"/>
      <c r="AH80" s="38"/>
      <c r="AI80" s="33"/>
      <c r="AJ80" s="14"/>
      <c r="AK80" s="1"/>
    </row>
    <row r="81" spans="2:37" outlineLevel="1">
      <c r="B81" s="71" t="s">
        <v>392</v>
      </c>
      <c r="D81" s="5">
        <v>50020</v>
      </c>
      <c r="E81" s="5" t="s">
        <v>25</v>
      </c>
      <c r="F81" s="6"/>
      <c r="G81" s="3"/>
      <c r="H81" s="7"/>
      <c r="I81" s="8"/>
      <c r="J81" s="9">
        <v>168338.84</v>
      </c>
      <c r="K81" s="8"/>
      <c r="L81" s="9">
        <v>196554.51</v>
      </c>
      <c r="M81" s="8"/>
      <c r="N81" s="9">
        <v>143721.5</v>
      </c>
      <c r="O81" s="8"/>
      <c r="P81" s="9">
        <v>159597.85</v>
      </c>
      <c r="Q81" s="8"/>
      <c r="R81" s="9">
        <v>177821.04</v>
      </c>
      <c r="S81" s="8"/>
      <c r="T81" s="9">
        <v>179233.47</v>
      </c>
      <c r="U81" s="8"/>
      <c r="V81" s="9">
        <v>150296.19</v>
      </c>
      <c r="W81" s="8"/>
      <c r="X81" s="9">
        <v>180965.81</v>
      </c>
      <c r="Y81" s="8"/>
      <c r="Z81" s="9">
        <v>168206.1</v>
      </c>
      <c r="AA81" s="8"/>
      <c r="AB81" s="9">
        <v>147271.42000000001</v>
      </c>
      <c r="AC81" s="8"/>
      <c r="AD81" s="9">
        <v>199828.39</v>
      </c>
      <c r="AE81" s="8"/>
      <c r="AF81" s="9">
        <v>161634.79</v>
      </c>
      <c r="AG81" s="8"/>
      <c r="AH81" s="9">
        <f t="shared" ref="AH81:AH90" si="12">AF81+AD81+AB81+Z81+X81+V81+T81+R81+P81+N81+L81+J81</f>
        <v>2033469.9100000001</v>
      </c>
      <c r="AI81" s="10">
        <f t="shared" ref="AI81:AI90" si="13">IF(AH$49=0,0,AH81/AH$49)</f>
        <v>0.17372205381199651</v>
      </c>
      <c r="AJ81" s="11"/>
    </row>
    <row r="82" spans="2:37" outlineLevel="1">
      <c r="B82" s="71" t="s">
        <v>380</v>
      </c>
      <c r="D82" s="5">
        <v>50025</v>
      </c>
      <c r="E82" s="5" t="s">
        <v>26</v>
      </c>
      <c r="F82" s="6"/>
      <c r="G82" s="3"/>
      <c r="H82" s="7"/>
      <c r="I82" s="8"/>
      <c r="J82" s="9">
        <v>40148.36</v>
      </c>
      <c r="K82" s="8"/>
      <c r="L82" s="9">
        <v>45642.92</v>
      </c>
      <c r="M82" s="8"/>
      <c r="N82" s="9">
        <v>30250.94</v>
      </c>
      <c r="O82" s="8"/>
      <c r="P82" s="9">
        <v>55745.48</v>
      </c>
      <c r="Q82" s="8"/>
      <c r="R82" s="9">
        <v>50473.71</v>
      </c>
      <c r="S82" s="8"/>
      <c r="T82" s="9">
        <v>66718.509999999995</v>
      </c>
      <c r="U82" s="8"/>
      <c r="V82" s="9">
        <v>54800.3</v>
      </c>
      <c r="W82" s="8"/>
      <c r="X82" s="9">
        <v>64926.61</v>
      </c>
      <c r="Y82" s="8"/>
      <c r="Z82" s="9">
        <v>58635.15</v>
      </c>
      <c r="AA82" s="8"/>
      <c r="AB82" s="9">
        <v>51803.08</v>
      </c>
      <c r="AC82" s="8"/>
      <c r="AD82" s="9">
        <v>52890.14</v>
      </c>
      <c r="AE82" s="8"/>
      <c r="AF82" s="9">
        <v>60758.14</v>
      </c>
      <c r="AG82" s="8"/>
      <c r="AH82" s="9">
        <f t="shared" si="12"/>
        <v>632793.34</v>
      </c>
      <c r="AI82" s="10">
        <f t="shared" si="13"/>
        <v>5.4060381283612402E-2</v>
      </c>
      <c r="AJ82" s="11"/>
    </row>
    <row r="83" spans="2:37" outlineLevel="1">
      <c r="B83" s="71" t="s">
        <v>380</v>
      </c>
      <c r="D83" s="5">
        <v>50035</v>
      </c>
      <c r="E83" s="5" t="s">
        <v>27</v>
      </c>
      <c r="F83" s="6"/>
      <c r="G83" s="3"/>
      <c r="H83" s="7"/>
      <c r="I83" s="8"/>
      <c r="J83" s="9">
        <v>15301.29</v>
      </c>
      <c r="K83" s="8"/>
      <c r="L83" s="9">
        <v>-1523.58</v>
      </c>
      <c r="M83" s="8"/>
      <c r="N83" s="9">
        <v>2545.14</v>
      </c>
      <c r="O83" s="8"/>
      <c r="P83" s="9">
        <v>7635.55</v>
      </c>
      <c r="Q83" s="8"/>
      <c r="R83" s="9">
        <v>14712.59</v>
      </c>
      <c r="S83" s="8"/>
      <c r="T83" s="9">
        <v>5880.71</v>
      </c>
      <c r="U83" s="8"/>
      <c r="V83" s="9">
        <v>7275.05</v>
      </c>
      <c r="W83" s="8"/>
      <c r="X83" s="9">
        <v>-17757.3</v>
      </c>
      <c r="Y83" s="8"/>
      <c r="Z83" s="9">
        <v>6108.71</v>
      </c>
      <c r="AA83" s="8"/>
      <c r="AB83" s="9">
        <v>6108.71</v>
      </c>
      <c r="AC83" s="8"/>
      <c r="AD83" s="9">
        <v>-5367.83</v>
      </c>
      <c r="AE83" s="8"/>
      <c r="AF83" s="9">
        <v>2195.83</v>
      </c>
      <c r="AG83" s="8"/>
      <c r="AH83" s="9">
        <f t="shared" si="12"/>
        <v>43114.87</v>
      </c>
      <c r="AI83" s="10">
        <f t="shared" si="13"/>
        <v>3.6833610024931394E-3</v>
      </c>
      <c r="AJ83" s="11"/>
    </row>
    <row r="84" spans="2:37" outlineLevel="1">
      <c r="B84" s="71" t="s">
        <v>380</v>
      </c>
      <c r="D84" s="5">
        <v>50050</v>
      </c>
      <c r="E84" s="5" t="s">
        <v>158</v>
      </c>
      <c r="F84" s="6"/>
      <c r="G84" s="3"/>
      <c r="H84" s="7"/>
      <c r="I84" s="8"/>
      <c r="J84" s="9">
        <v>18807.240000000002</v>
      </c>
      <c r="K84" s="8"/>
      <c r="L84" s="9">
        <v>21265.19</v>
      </c>
      <c r="M84" s="8"/>
      <c r="N84" s="9">
        <v>16300.91</v>
      </c>
      <c r="O84" s="8"/>
      <c r="P84" s="9">
        <v>18995.599999999999</v>
      </c>
      <c r="Q84" s="8"/>
      <c r="R84" s="9">
        <v>20053.05</v>
      </c>
      <c r="S84" s="8"/>
      <c r="T84" s="9">
        <v>21306.29</v>
      </c>
      <c r="U84" s="8"/>
      <c r="V84" s="9">
        <v>18015.39</v>
      </c>
      <c r="W84" s="8"/>
      <c r="X84" s="9">
        <v>19066.68</v>
      </c>
      <c r="Y84" s="8"/>
      <c r="Z84" s="9">
        <v>19603.23</v>
      </c>
      <c r="AA84" s="8"/>
      <c r="AB84" s="9">
        <v>16517.75</v>
      </c>
      <c r="AC84" s="8"/>
      <c r="AD84" s="9">
        <v>19708.240000000002</v>
      </c>
      <c r="AE84" s="8"/>
      <c r="AF84" s="9">
        <v>17865.16</v>
      </c>
      <c r="AG84" s="8"/>
      <c r="AH84" s="9">
        <f t="shared" si="12"/>
        <v>227504.72999999998</v>
      </c>
      <c r="AI84" s="10">
        <f t="shared" si="13"/>
        <v>1.943603333060568E-2</v>
      </c>
      <c r="AJ84" s="11"/>
    </row>
    <row r="85" spans="2:37" outlineLevel="1">
      <c r="B85" s="71" t="s">
        <v>380</v>
      </c>
      <c r="D85" s="5">
        <v>50060</v>
      </c>
      <c r="E85" s="5" t="s">
        <v>70</v>
      </c>
      <c r="F85" s="6"/>
      <c r="G85" s="3"/>
      <c r="H85" s="7"/>
      <c r="I85" s="8"/>
      <c r="J85" s="9">
        <v>41411.919999999998</v>
      </c>
      <c r="K85" s="8"/>
      <c r="L85" s="9">
        <v>40242.97</v>
      </c>
      <c r="M85" s="8"/>
      <c r="N85" s="9">
        <v>40602.980000000003</v>
      </c>
      <c r="O85" s="8"/>
      <c r="P85" s="9">
        <v>39809.800000000003</v>
      </c>
      <c r="Q85" s="8"/>
      <c r="R85" s="9">
        <v>41944.31</v>
      </c>
      <c r="S85" s="8"/>
      <c r="T85" s="9">
        <v>37354.910000000003</v>
      </c>
      <c r="U85" s="8"/>
      <c r="V85" s="9">
        <v>41843.82</v>
      </c>
      <c r="W85" s="8"/>
      <c r="X85" s="9">
        <v>41462.42</v>
      </c>
      <c r="Y85" s="8"/>
      <c r="Z85" s="9">
        <v>42170.48</v>
      </c>
      <c r="AA85" s="8"/>
      <c r="AB85" s="9">
        <v>41895.870000000003</v>
      </c>
      <c r="AC85" s="8"/>
      <c r="AD85" s="9">
        <v>35773.879999999997</v>
      </c>
      <c r="AE85" s="8"/>
      <c r="AF85" s="9">
        <v>40609.65</v>
      </c>
      <c r="AG85" s="8"/>
      <c r="AH85" s="9">
        <f t="shared" si="12"/>
        <v>485123.00999999995</v>
      </c>
      <c r="AI85" s="10">
        <f t="shared" si="13"/>
        <v>4.1444707509174651E-2</v>
      </c>
      <c r="AJ85" s="11"/>
    </row>
    <row r="86" spans="2:37" outlineLevel="1">
      <c r="B86" s="71" t="s">
        <v>380</v>
      </c>
      <c r="D86" s="5">
        <v>50065</v>
      </c>
      <c r="E86" s="5" t="s">
        <v>22</v>
      </c>
      <c r="F86" s="6"/>
      <c r="G86" s="3"/>
      <c r="H86" s="7"/>
      <c r="I86" s="8"/>
      <c r="J86" s="9">
        <v>5969.62</v>
      </c>
      <c r="K86" s="8"/>
      <c r="L86" s="9">
        <v>7597.32</v>
      </c>
      <c r="M86" s="8"/>
      <c r="N86" s="9">
        <v>8658.6200000000008</v>
      </c>
      <c r="O86" s="8"/>
      <c r="P86" s="9">
        <v>11681.05</v>
      </c>
      <c r="Q86" s="8"/>
      <c r="R86" s="9">
        <v>4670.2299999999996</v>
      </c>
      <c r="S86" s="8"/>
      <c r="T86" s="9">
        <v>10683.67</v>
      </c>
      <c r="U86" s="8"/>
      <c r="V86" s="9">
        <v>5369.03</v>
      </c>
      <c r="W86" s="8"/>
      <c r="X86" s="9">
        <v>7247.86</v>
      </c>
      <c r="Y86" s="8"/>
      <c r="Z86" s="9">
        <v>15093.3</v>
      </c>
      <c r="AA86" s="8"/>
      <c r="AB86" s="9">
        <v>5041</v>
      </c>
      <c r="AC86" s="8"/>
      <c r="AD86" s="9">
        <v>9838.01</v>
      </c>
      <c r="AE86" s="8"/>
      <c r="AF86" s="9">
        <v>7857.37</v>
      </c>
      <c r="AG86" s="8"/>
      <c r="AH86" s="9">
        <f t="shared" si="12"/>
        <v>99707.079999999987</v>
      </c>
      <c r="AI86" s="10">
        <f t="shared" si="13"/>
        <v>8.5181091847073547E-3</v>
      </c>
      <c r="AJ86" s="11"/>
    </row>
    <row r="87" spans="2:37" outlineLevel="1">
      <c r="B87" s="71" t="s">
        <v>380</v>
      </c>
      <c r="D87" s="5">
        <v>50070</v>
      </c>
      <c r="E87" s="5" t="s">
        <v>23</v>
      </c>
      <c r="F87" s="6"/>
      <c r="G87" s="3"/>
      <c r="H87" s="7"/>
      <c r="I87" s="8"/>
      <c r="J87" s="9">
        <v>6422.24</v>
      </c>
      <c r="K87" s="8"/>
      <c r="L87" s="9">
        <v>10364.08</v>
      </c>
      <c r="M87" s="8"/>
      <c r="N87" s="9">
        <v>15363.77</v>
      </c>
      <c r="O87" s="8"/>
      <c r="P87" s="9">
        <v>9782.68</v>
      </c>
      <c r="Q87" s="8"/>
      <c r="R87" s="9">
        <v>5722.09</v>
      </c>
      <c r="S87" s="8"/>
      <c r="T87" s="9">
        <v>5147.83</v>
      </c>
      <c r="U87" s="8"/>
      <c r="V87" s="9">
        <v>7686.87</v>
      </c>
      <c r="W87" s="8"/>
      <c r="X87" s="9">
        <v>4925.53</v>
      </c>
      <c r="Y87" s="8"/>
      <c r="Z87" s="9">
        <v>7191.2</v>
      </c>
      <c r="AA87" s="8"/>
      <c r="AB87" s="9">
        <v>7325.61</v>
      </c>
      <c r="AC87" s="8"/>
      <c r="AD87" s="9">
        <v>3417.9</v>
      </c>
      <c r="AE87" s="8"/>
      <c r="AF87" s="9">
        <v>6027.46</v>
      </c>
      <c r="AG87" s="8"/>
      <c r="AH87" s="9">
        <f t="shared" si="12"/>
        <v>89377.260000000009</v>
      </c>
      <c r="AI87" s="10">
        <f t="shared" si="13"/>
        <v>7.6356188478288343E-3</v>
      </c>
      <c r="AJ87" s="11"/>
    </row>
    <row r="88" spans="2:37" outlineLevel="1">
      <c r="B88" s="71" t="s">
        <v>380</v>
      </c>
      <c r="D88" s="5">
        <v>50086</v>
      </c>
      <c r="E88" s="5" t="s">
        <v>61</v>
      </c>
      <c r="F88" s="6"/>
      <c r="G88" s="3"/>
      <c r="H88" s="7"/>
      <c r="I88" s="8"/>
      <c r="J88" s="9">
        <v>2854.63</v>
      </c>
      <c r="K88" s="8"/>
      <c r="L88" s="9">
        <v>2894.21</v>
      </c>
      <c r="M88" s="8"/>
      <c r="N88" s="9">
        <v>1918.72</v>
      </c>
      <c r="O88" s="8"/>
      <c r="P88" s="9">
        <v>4823.78</v>
      </c>
      <c r="Q88" s="8"/>
      <c r="R88" s="9">
        <v>1447.38</v>
      </c>
      <c r="S88" s="8"/>
      <c r="T88" s="9">
        <v>3241.57</v>
      </c>
      <c r="U88" s="8"/>
      <c r="V88" s="9">
        <v>5594.72</v>
      </c>
      <c r="W88" s="8"/>
      <c r="X88" s="9">
        <v>2394.09</v>
      </c>
      <c r="Y88" s="8"/>
      <c r="Z88" s="9">
        <v>2418.25</v>
      </c>
      <c r="AA88" s="8"/>
      <c r="AB88" s="9">
        <v>3720.86</v>
      </c>
      <c r="AC88" s="8"/>
      <c r="AD88" s="9">
        <v>7526.8</v>
      </c>
      <c r="AE88" s="8"/>
      <c r="AF88" s="9">
        <v>1574.66</v>
      </c>
      <c r="AG88" s="8"/>
      <c r="AH88" s="9">
        <f t="shared" si="12"/>
        <v>40409.67</v>
      </c>
      <c r="AI88" s="10">
        <f t="shared" si="13"/>
        <v>3.4522521487741218E-3</v>
      </c>
      <c r="AJ88" s="11"/>
    </row>
    <row r="89" spans="2:37" outlineLevel="1">
      <c r="B89" s="71" t="s">
        <v>380</v>
      </c>
      <c r="D89" s="5">
        <v>50090</v>
      </c>
      <c r="E89" s="5" t="s">
        <v>41</v>
      </c>
      <c r="F89" s="6"/>
      <c r="G89" s="3"/>
      <c r="H89" s="7"/>
      <c r="I89" s="8"/>
      <c r="J89" s="9">
        <v>1232.99</v>
      </c>
      <c r="K89" s="8"/>
      <c r="L89" s="9">
        <v>1532</v>
      </c>
      <c r="M89" s="8"/>
      <c r="N89" s="9">
        <v>1384.61</v>
      </c>
      <c r="O89" s="8"/>
      <c r="P89" s="9">
        <v>1011.68</v>
      </c>
      <c r="Q89" s="8"/>
      <c r="R89" s="9">
        <v>749.08</v>
      </c>
      <c r="S89" s="8"/>
      <c r="T89" s="9">
        <v>2237.17</v>
      </c>
      <c r="U89" s="8"/>
      <c r="V89" s="9">
        <v>1056.3900000000001</v>
      </c>
      <c r="W89" s="8"/>
      <c r="X89" s="9">
        <v>1045.99</v>
      </c>
      <c r="Y89" s="8"/>
      <c r="Z89" s="9">
        <v>1407.39</v>
      </c>
      <c r="AA89" s="8"/>
      <c r="AB89" s="9">
        <v>1508.57</v>
      </c>
      <c r="AC89" s="8"/>
      <c r="AD89" s="9">
        <v>1592.67</v>
      </c>
      <c r="AE89" s="8"/>
      <c r="AF89" s="9">
        <v>4321.1000000000004</v>
      </c>
      <c r="AG89" s="8"/>
      <c r="AH89" s="9">
        <f t="shared" si="12"/>
        <v>19079.640000000003</v>
      </c>
      <c r="AI89" s="10">
        <f t="shared" si="13"/>
        <v>1.6299991607908874E-3</v>
      </c>
      <c r="AJ89" s="11"/>
    </row>
    <row r="90" spans="2:37" outlineLevel="1">
      <c r="B90" s="71" t="s">
        <v>380</v>
      </c>
      <c r="D90" s="5">
        <v>50115</v>
      </c>
      <c r="E90" s="5" t="s">
        <v>116</v>
      </c>
      <c r="F90" s="6"/>
      <c r="G90" s="3"/>
      <c r="H90" s="7"/>
      <c r="I90" s="8"/>
      <c r="J90" s="9">
        <v>4771</v>
      </c>
      <c r="K90" s="8"/>
      <c r="L90" s="9">
        <v>9386.8700000000008</v>
      </c>
      <c r="M90" s="8"/>
      <c r="N90" s="9">
        <v>6314</v>
      </c>
      <c r="O90" s="8"/>
      <c r="P90" s="9">
        <v>7325.98</v>
      </c>
      <c r="Q90" s="8"/>
      <c r="R90" s="9">
        <v>7787.34</v>
      </c>
      <c r="S90" s="8"/>
      <c r="T90" s="9">
        <v>8740.06</v>
      </c>
      <c r="U90" s="8"/>
      <c r="V90" s="9">
        <v>7494.12</v>
      </c>
      <c r="W90" s="8"/>
      <c r="X90" s="9">
        <v>9235.92</v>
      </c>
      <c r="Y90" s="8"/>
      <c r="Z90" s="9">
        <v>7982.26</v>
      </c>
      <c r="AA90" s="8"/>
      <c r="AB90" s="9">
        <v>7268.07</v>
      </c>
      <c r="AC90" s="8"/>
      <c r="AD90" s="9">
        <v>8290.48</v>
      </c>
      <c r="AE90" s="8"/>
      <c r="AF90" s="9">
        <v>7855.84</v>
      </c>
      <c r="AG90" s="8"/>
      <c r="AH90" s="9">
        <f t="shared" si="12"/>
        <v>92451.939999999988</v>
      </c>
      <c r="AI90" s="10">
        <f t="shared" si="13"/>
        <v>7.8982928720609732E-3</v>
      </c>
      <c r="AJ90" s="11"/>
    </row>
    <row r="91" spans="2:37" s="7" customFormat="1" ht="5.0999999999999996" customHeight="1" outlineLevel="1">
      <c r="B91" s="34" t="s">
        <v>187</v>
      </c>
      <c r="D91" s="6"/>
      <c r="E91" s="6"/>
      <c r="F91" s="6"/>
      <c r="G91" s="6"/>
      <c r="J91" s="39"/>
      <c r="K91" s="37"/>
      <c r="L91" s="39"/>
      <c r="M91" s="37"/>
      <c r="N91" s="39"/>
      <c r="O91" s="37"/>
      <c r="P91" s="39"/>
      <c r="Q91" s="37"/>
      <c r="R91" s="39"/>
      <c r="S91" s="37"/>
      <c r="T91" s="39"/>
      <c r="U91" s="37"/>
      <c r="V91" s="39"/>
      <c r="W91" s="37"/>
      <c r="X91" s="39"/>
      <c r="Y91" s="37"/>
      <c r="Z91" s="39"/>
      <c r="AA91" s="37"/>
      <c r="AB91" s="39"/>
      <c r="AC91" s="37"/>
      <c r="AD91" s="39"/>
      <c r="AE91" s="37"/>
      <c r="AF91" s="39"/>
      <c r="AG91" s="37"/>
      <c r="AH91" s="39"/>
      <c r="AI91" s="33"/>
      <c r="AJ91" s="14"/>
      <c r="AK91" s="1"/>
    </row>
    <row r="92" spans="2:37" s="7" customFormat="1" ht="15">
      <c r="B92" s="34" t="s">
        <v>187</v>
      </c>
      <c r="F92" s="6" t="s">
        <v>225</v>
      </c>
      <c r="J92" s="36">
        <f>SUM(J80:J91)</f>
        <v>305258.13</v>
      </c>
      <c r="K92" s="37"/>
      <c r="L92" s="36">
        <f>SUM(L80:L91)</f>
        <v>333956.49000000005</v>
      </c>
      <c r="M92" s="37"/>
      <c r="N92" s="36">
        <f>SUM(N80:N91)</f>
        <v>267061.19</v>
      </c>
      <c r="O92" s="37"/>
      <c r="P92" s="36">
        <f>SUM(P80:P91)</f>
        <v>316409.45</v>
      </c>
      <c r="Q92" s="37"/>
      <c r="R92" s="36">
        <f>SUM(R80:R91)</f>
        <v>325380.82000000007</v>
      </c>
      <c r="S92" s="37"/>
      <c r="T92" s="36">
        <f>SUM(T80:T91)</f>
        <v>340544.19</v>
      </c>
      <c r="U92" s="37"/>
      <c r="V92" s="36">
        <f>SUM(V80:V91)</f>
        <v>299431.88</v>
      </c>
      <c r="W92" s="37"/>
      <c r="X92" s="36">
        <f>SUM(X80:X91)</f>
        <v>313513.61</v>
      </c>
      <c r="Y92" s="37"/>
      <c r="Z92" s="36">
        <f>SUM(Z80:Z91)</f>
        <v>328816.07</v>
      </c>
      <c r="AA92" s="37"/>
      <c r="AB92" s="36">
        <f>SUM(AB80:AB91)</f>
        <v>288460.94</v>
      </c>
      <c r="AC92" s="37"/>
      <c r="AD92" s="36">
        <f>SUM(AD80:AD91)</f>
        <v>333498.68000000005</v>
      </c>
      <c r="AE92" s="37"/>
      <c r="AF92" s="36">
        <f>SUM(AF80:AF91)</f>
        <v>310700</v>
      </c>
      <c r="AG92" s="37"/>
      <c r="AH92" s="36">
        <f>SUM(AH80:AH91)</f>
        <v>3763031.45</v>
      </c>
      <c r="AI92" s="10">
        <f>IF(AH$49=0,0,AH92/AH$49)</f>
        <v>0.32148080915204458</v>
      </c>
      <c r="AJ92" s="14"/>
      <c r="AK92" s="1"/>
    </row>
    <row r="93" spans="2:37" s="7" customFormat="1" ht="15" outlineLevel="1">
      <c r="J93" s="38"/>
      <c r="K93" s="37"/>
      <c r="L93" s="38"/>
      <c r="M93" s="37"/>
      <c r="N93" s="38"/>
      <c r="O93" s="37"/>
      <c r="P93" s="38"/>
      <c r="Q93" s="37"/>
      <c r="R93" s="38"/>
      <c r="S93" s="37"/>
      <c r="T93" s="38"/>
      <c r="U93" s="37"/>
      <c r="V93" s="38"/>
      <c r="W93" s="37"/>
      <c r="X93" s="38"/>
      <c r="Y93" s="37"/>
      <c r="Z93" s="38"/>
      <c r="AA93" s="37"/>
      <c r="AB93" s="38"/>
      <c r="AC93" s="37"/>
      <c r="AD93" s="38"/>
      <c r="AE93" s="37"/>
      <c r="AF93" s="38"/>
      <c r="AG93" s="37"/>
      <c r="AH93" s="38"/>
      <c r="AI93" s="33"/>
      <c r="AJ93" s="14"/>
      <c r="AK93" s="1"/>
    </row>
    <row r="94" spans="2:37" outlineLevel="1">
      <c r="B94" s="71" t="s">
        <v>393</v>
      </c>
      <c r="D94" s="5">
        <v>51295</v>
      </c>
      <c r="E94" s="5" t="s">
        <v>155</v>
      </c>
      <c r="F94" s="6"/>
      <c r="G94" s="3"/>
      <c r="H94" s="7"/>
      <c r="I94" s="8"/>
      <c r="J94" s="9">
        <v>18755.63</v>
      </c>
      <c r="K94" s="8"/>
      <c r="L94" s="9">
        <v>17564.54</v>
      </c>
      <c r="M94" s="8"/>
      <c r="N94" s="9">
        <v>17564.55</v>
      </c>
      <c r="O94" s="8"/>
      <c r="P94" s="9">
        <v>17598.54</v>
      </c>
      <c r="Q94" s="8"/>
      <c r="R94" s="9">
        <v>21641.279999999999</v>
      </c>
      <c r="S94" s="8"/>
      <c r="T94" s="9">
        <v>20291.990000000002</v>
      </c>
      <c r="U94" s="8"/>
      <c r="V94" s="9">
        <v>17564.54</v>
      </c>
      <c r="W94" s="8"/>
      <c r="X94" s="9">
        <v>18242.32</v>
      </c>
      <c r="Y94" s="8"/>
      <c r="Z94" s="9">
        <v>22722.85</v>
      </c>
      <c r="AA94" s="8"/>
      <c r="AB94" s="9">
        <v>18350.490000000002</v>
      </c>
      <c r="AC94" s="8"/>
      <c r="AD94" s="9">
        <v>17871.54</v>
      </c>
      <c r="AE94" s="8"/>
      <c r="AF94" s="9">
        <v>17871.55</v>
      </c>
      <c r="AG94" s="8"/>
      <c r="AH94" s="9">
        <f>AF94+AD94+AB94+Z94+X94+V94+T94+R94+P94+N94+L94+J94</f>
        <v>226039.82</v>
      </c>
      <c r="AI94" s="10">
        <f>IF(AH$49=0,0,AH94/AH$49)</f>
        <v>1.9310884110251725E-2</v>
      </c>
      <c r="AJ94" s="11"/>
    </row>
    <row r="95" spans="2:37" s="7" customFormat="1" ht="5.0999999999999996" customHeight="1" outlineLevel="1">
      <c r="B95" s="1" t="s">
        <v>187</v>
      </c>
      <c r="D95" s="6"/>
      <c r="E95" s="6"/>
      <c r="F95" s="6"/>
      <c r="G95" s="6"/>
      <c r="J95" s="39"/>
      <c r="K95" s="37"/>
      <c r="L95" s="39"/>
      <c r="M95" s="37"/>
      <c r="N95" s="39"/>
      <c r="O95" s="37"/>
      <c r="P95" s="39"/>
      <c r="Q95" s="37"/>
      <c r="R95" s="39"/>
      <c r="S95" s="37"/>
      <c r="T95" s="39"/>
      <c r="U95" s="37"/>
      <c r="V95" s="39"/>
      <c r="W95" s="37"/>
      <c r="X95" s="39"/>
      <c r="Y95" s="37"/>
      <c r="Z95" s="39"/>
      <c r="AA95" s="37"/>
      <c r="AB95" s="39"/>
      <c r="AC95" s="37"/>
      <c r="AD95" s="39"/>
      <c r="AE95" s="37"/>
      <c r="AF95" s="39"/>
      <c r="AG95" s="37"/>
      <c r="AH95" s="39"/>
      <c r="AI95" s="33"/>
      <c r="AJ95" s="14"/>
      <c r="AK95" s="1"/>
    </row>
    <row r="96" spans="2:37" s="7" customFormat="1" ht="15">
      <c r="B96" s="1"/>
      <c r="F96" s="6" t="s">
        <v>226</v>
      </c>
      <c r="J96" s="36">
        <f>SUM(J94:J95)</f>
        <v>18755.63</v>
      </c>
      <c r="K96" s="37"/>
      <c r="L96" s="36">
        <f>SUM(L94:L95)</f>
        <v>17564.54</v>
      </c>
      <c r="M96" s="37"/>
      <c r="N96" s="36">
        <f>SUM(N94:N95)</f>
        <v>17564.55</v>
      </c>
      <c r="O96" s="37"/>
      <c r="P96" s="36">
        <f>SUM(P94:P95)</f>
        <v>17598.54</v>
      </c>
      <c r="Q96" s="37"/>
      <c r="R96" s="36">
        <f>SUM(R94:R95)</f>
        <v>21641.279999999999</v>
      </c>
      <c r="S96" s="37"/>
      <c r="T96" s="36">
        <f>SUM(T94:T95)</f>
        <v>20291.990000000002</v>
      </c>
      <c r="U96" s="37"/>
      <c r="V96" s="36">
        <f>SUM(V94:V95)</f>
        <v>17564.54</v>
      </c>
      <c r="W96" s="37"/>
      <c r="X96" s="36">
        <f>SUM(X94:X95)</f>
        <v>18242.32</v>
      </c>
      <c r="Y96" s="37"/>
      <c r="Z96" s="36">
        <f>SUM(Z94:Z95)</f>
        <v>22722.85</v>
      </c>
      <c r="AA96" s="37"/>
      <c r="AB96" s="36">
        <f>SUM(AB94:AB95)</f>
        <v>18350.490000000002</v>
      </c>
      <c r="AC96" s="37"/>
      <c r="AD96" s="36">
        <f>SUM(AD94:AD95)</f>
        <v>17871.54</v>
      </c>
      <c r="AE96" s="37"/>
      <c r="AF96" s="36">
        <f>SUM(AF94:AF95)</f>
        <v>17871.55</v>
      </c>
      <c r="AG96" s="37"/>
      <c r="AH96" s="36">
        <f>SUM(AH94:AH95)</f>
        <v>226039.82</v>
      </c>
      <c r="AI96" s="10">
        <f>IF(AH$49=0,0,AH96/AH$49)</f>
        <v>1.9310884110251725E-2</v>
      </c>
      <c r="AJ96" s="14"/>
      <c r="AK96" s="1"/>
    </row>
    <row r="97" spans="2:37" s="7" customFormat="1" ht="15" outlineLevel="1">
      <c r="B97" s="1"/>
      <c r="J97" s="38"/>
      <c r="K97" s="37"/>
      <c r="L97" s="38"/>
      <c r="M97" s="37"/>
      <c r="N97" s="38"/>
      <c r="O97" s="37"/>
      <c r="P97" s="38"/>
      <c r="Q97" s="37"/>
      <c r="R97" s="38"/>
      <c r="S97" s="37"/>
      <c r="T97" s="38"/>
      <c r="U97" s="37"/>
      <c r="V97" s="38"/>
      <c r="W97" s="37"/>
      <c r="X97" s="38"/>
      <c r="Y97" s="37"/>
      <c r="Z97" s="38"/>
      <c r="AA97" s="37"/>
      <c r="AB97" s="38"/>
      <c r="AC97" s="37"/>
      <c r="AD97" s="38"/>
      <c r="AE97" s="37"/>
      <c r="AF97" s="38"/>
      <c r="AG97" s="37"/>
      <c r="AH97" s="38"/>
      <c r="AI97" s="33"/>
      <c r="AJ97" s="14"/>
      <c r="AK97" s="1"/>
    </row>
    <row r="98" spans="2:37" s="7" customFormat="1" ht="15" outlineLevel="1">
      <c r="B98" s="1"/>
      <c r="J98" s="38"/>
      <c r="K98" s="37"/>
      <c r="L98" s="38"/>
      <c r="M98" s="37"/>
      <c r="N98" s="38"/>
      <c r="O98" s="37"/>
      <c r="P98" s="38"/>
      <c r="Q98" s="37"/>
      <c r="R98" s="38"/>
      <c r="S98" s="37"/>
      <c r="T98" s="38"/>
      <c r="U98" s="37"/>
      <c r="V98" s="38"/>
      <c r="W98" s="37"/>
      <c r="X98" s="38"/>
      <c r="Y98" s="37"/>
      <c r="Z98" s="38"/>
      <c r="AA98" s="37"/>
      <c r="AB98" s="38"/>
      <c r="AC98" s="37"/>
      <c r="AD98" s="38"/>
      <c r="AE98" s="37"/>
      <c r="AF98" s="38"/>
      <c r="AG98" s="37"/>
      <c r="AH98" s="38"/>
      <c r="AI98" s="33"/>
      <c r="AJ98" s="14"/>
      <c r="AK98" s="1"/>
    </row>
    <row r="99" spans="2:37" outlineLevel="1">
      <c r="B99" s="71" t="s">
        <v>394</v>
      </c>
      <c r="D99" s="5">
        <v>52010</v>
      </c>
      <c r="E99" s="5" t="s">
        <v>17</v>
      </c>
      <c r="F99" s="6"/>
      <c r="G99" s="3"/>
      <c r="H99" s="7"/>
      <c r="I99" s="8"/>
      <c r="J99" s="9">
        <v>6075.65</v>
      </c>
      <c r="K99" s="8"/>
      <c r="L99" s="9">
        <v>6015.4</v>
      </c>
      <c r="M99" s="8"/>
      <c r="N99" s="9">
        <v>5230.78</v>
      </c>
      <c r="O99" s="8"/>
      <c r="P99" s="9">
        <v>5492.32</v>
      </c>
      <c r="Q99" s="8"/>
      <c r="R99" s="9">
        <v>5753.86</v>
      </c>
      <c r="S99" s="8"/>
      <c r="T99" s="9">
        <v>6015.4</v>
      </c>
      <c r="U99" s="8"/>
      <c r="V99" s="9">
        <v>5230.78</v>
      </c>
      <c r="W99" s="8"/>
      <c r="X99" s="9">
        <v>6457.71</v>
      </c>
      <c r="Y99" s="8"/>
      <c r="Z99" s="9">
        <v>6176.94</v>
      </c>
      <c r="AA99" s="8"/>
      <c r="AB99" s="9">
        <v>5896.17</v>
      </c>
      <c r="AC99" s="8"/>
      <c r="AD99" s="9">
        <v>6457.71</v>
      </c>
      <c r="AE99" s="8"/>
      <c r="AF99" s="9">
        <v>5896.17</v>
      </c>
      <c r="AG99" s="8"/>
      <c r="AH99" s="9">
        <f t="shared" ref="AH99:AH119" si="14">AF99+AD99+AB99+Z99+X99+V99+T99+R99+P99+N99+L99+J99</f>
        <v>70698.89</v>
      </c>
      <c r="AI99" s="10">
        <f t="shared" ref="AI99:AI119" si="15">IF(AH$49=0,0,AH99/AH$49)</f>
        <v>6.0399007197644841E-3</v>
      </c>
      <c r="AJ99" s="11"/>
    </row>
    <row r="100" spans="2:37" outlineLevel="1">
      <c r="B100" s="71" t="s">
        <v>380</v>
      </c>
      <c r="D100" s="5">
        <v>52020</v>
      </c>
      <c r="E100" s="5" t="s">
        <v>25</v>
      </c>
      <c r="F100" s="6"/>
      <c r="G100" s="3"/>
      <c r="H100" s="7"/>
      <c r="I100" s="8"/>
      <c r="J100" s="9">
        <v>19123.21</v>
      </c>
      <c r="K100" s="8"/>
      <c r="L100" s="9">
        <v>23291.99</v>
      </c>
      <c r="M100" s="8"/>
      <c r="N100" s="9">
        <v>18466.75</v>
      </c>
      <c r="O100" s="8"/>
      <c r="P100" s="9">
        <v>18306.919999999998</v>
      </c>
      <c r="Q100" s="8"/>
      <c r="R100" s="9">
        <v>22133.13</v>
      </c>
      <c r="S100" s="8"/>
      <c r="T100" s="9">
        <v>21905.18</v>
      </c>
      <c r="U100" s="8"/>
      <c r="V100" s="9">
        <v>20657.400000000001</v>
      </c>
      <c r="W100" s="8"/>
      <c r="X100" s="9">
        <v>24084.25</v>
      </c>
      <c r="Y100" s="8"/>
      <c r="Z100" s="9">
        <v>18453.23</v>
      </c>
      <c r="AA100" s="8"/>
      <c r="AB100" s="9">
        <v>21062.49</v>
      </c>
      <c r="AC100" s="8"/>
      <c r="AD100" s="9">
        <v>23651.96</v>
      </c>
      <c r="AE100" s="8"/>
      <c r="AF100" s="9">
        <v>21336.84</v>
      </c>
      <c r="AG100" s="8"/>
      <c r="AH100" s="9">
        <f t="shared" si="14"/>
        <v>252473.35</v>
      </c>
      <c r="AI100" s="10">
        <f t="shared" si="15"/>
        <v>2.1569135928249376E-2</v>
      </c>
      <c r="AJ100" s="11"/>
    </row>
    <row r="101" spans="2:37" outlineLevel="1">
      <c r="B101" s="71" t="s">
        <v>380</v>
      </c>
      <c r="D101" s="5">
        <v>52025</v>
      </c>
      <c r="E101" s="5" t="s">
        <v>26</v>
      </c>
      <c r="F101" s="6"/>
      <c r="G101" s="3"/>
      <c r="H101" s="7"/>
      <c r="I101" s="8"/>
      <c r="J101" s="9">
        <v>4791.08</v>
      </c>
      <c r="K101" s="8"/>
      <c r="L101" s="9">
        <v>4966.33</v>
      </c>
      <c r="M101" s="8"/>
      <c r="N101" s="9">
        <v>3980.93</v>
      </c>
      <c r="O101" s="8"/>
      <c r="P101" s="9">
        <v>6746.08</v>
      </c>
      <c r="Q101" s="8"/>
      <c r="R101" s="9">
        <v>3830.15</v>
      </c>
      <c r="S101" s="8"/>
      <c r="T101" s="9">
        <v>4816.8999999999996</v>
      </c>
      <c r="U101" s="8"/>
      <c r="V101" s="9">
        <v>3380.84</v>
      </c>
      <c r="W101" s="8"/>
      <c r="X101" s="9">
        <v>6025.01</v>
      </c>
      <c r="Y101" s="8"/>
      <c r="Z101" s="9">
        <v>5501.9</v>
      </c>
      <c r="AA101" s="8"/>
      <c r="AB101" s="9">
        <v>4362.1400000000003</v>
      </c>
      <c r="AC101" s="8"/>
      <c r="AD101" s="9">
        <v>3556.45</v>
      </c>
      <c r="AE101" s="8"/>
      <c r="AF101" s="9">
        <v>5072.55</v>
      </c>
      <c r="AG101" s="8"/>
      <c r="AH101" s="9">
        <f t="shared" si="14"/>
        <v>57030.360000000008</v>
      </c>
      <c r="AI101" s="10">
        <f t="shared" si="15"/>
        <v>4.8721799226611297E-3</v>
      </c>
      <c r="AJ101" s="11"/>
    </row>
    <row r="102" spans="2:37" outlineLevel="1">
      <c r="B102" s="71" t="s">
        <v>380</v>
      </c>
      <c r="D102" s="5">
        <v>52035</v>
      </c>
      <c r="E102" s="5" t="s">
        <v>27</v>
      </c>
      <c r="F102" s="6"/>
      <c r="G102" s="3"/>
      <c r="H102" s="7"/>
      <c r="I102" s="8"/>
      <c r="J102" s="9">
        <v>1851.04</v>
      </c>
      <c r="K102" s="8"/>
      <c r="L102" s="9">
        <v>2680.56</v>
      </c>
      <c r="M102" s="8"/>
      <c r="N102" s="9">
        <v>680.56</v>
      </c>
      <c r="O102" s="8"/>
      <c r="P102" s="9">
        <v>680.56</v>
      </c>
      <c r="Q102" s="8"/>
      <c r="R102" s="9">
        <v>1883.33</v>
      </c>
      <c r="S102" s="8"/>
      <c r="T102" s="9">
        <v>875</v>
      </c>
      <c r="U102" s="8"/>
      <c r="V102" s="9">
        <v>750</v>
      </c>
      <c r="W102" s="8"/>
      <c r="X102" s="9">
        <v>-1812.49</v>
      </c>
      <c r="Y102" s="8"/>
      <c r="Z102" s="9">
        <v>962.5</v>
      </c>
      <c r="AA102" s="8"/>
      <c r="AB102" s="9">
        <v>962.5</v>
      </c>
      <c r="AC102" s="8"/>
      <c r="AD102" s="9">
        <v>-887.5</v>
      </c>
      <c r="AE102" s="8"/>
      <c r="AF102" s="9">
        <v>266.67</v>
      </c>
      <c r="AG102" s="8"/>
      <c r="AH102" s="9">
        <f t="shared" si="14"/>
        <v>8892.73</v>
      </c>
      <c r="AI102" s="10">
        <f t="shared" si="15"/>
        <v>7.5971781632881675E-4</v>
      </c>
      <c r="AJ102" s="11"/>
    </row>
    <row r="103" spans="2:37" outlineLevel="1">
      <c r="B103" s="71" t="s">
        <v>380</v>
      </c>
      <c r="D103" s="5">
        <v>52050</v>
      </c>
      <c r="E103" s="5" t="s">
        <v>158</v>
      </c>
      <c r="F103" s="6"/>
      <c r="G103" s="3"/>
      <c r="H103" s="7"/>
      <c r="I103" s="8"/>
      <c r="J103" s="9">
        <v>2928.34</v>
      </c>
      <c r="K103" s="8"/>
      <c r="L103" s="9">
        <v>3529.35</v>
      </c>
      <c r="M103" s="8"/>
      <c r="N103" s="9">
        <v>2174.7600000000002</v>
      </c>
      <c r="O103" s="8"/>
      <c r="P103" s="9">
        <v>2655.24</v>
      </c>
      <c r="Q103" s="8"/>
      <c r="R103" s="9">
        <v>2758.82</v>
      </c>
      <c r="S103" s="8"/>
      <c r="T103" s="9">
        <v>2798.85</v>
      </c>
      <c r="U103" s="8"/>
      <c r="V103" s="9">
        <v>2476.91</v>
      </c>
      <c r="W103" s="8"/>
      <c r="X103" s="9">
        <v>2869.86</v>
      </c>
      <c r="Y103" s="8"/>
      <c r="Z103" s="9">
        <v>2646.91</v>
      </c>
      <c r="AA103" s="8"/>
      <c r="AB103" s="9">
        <v>2551.65</v>
      </c>
      <c r="AC103" s="8"/>
      <c r="AD103" s="9">
        <v>2574.1799999999998</v>
      </c>
      <c r="AE103" s="8"/>
      <c r="AF103" s="9">
        <v>2617.08</v>
      </c>
      <c r="AG103" s="8"/>
      <c r="AH103" s="9">
        <f t="shared" si="14"/>
        <v>32581.95</v>
      </c>
      <c r="AI103" s="10">
        <f t="shared" si="15"/>
        <v>2.7835195610048536E-3</v>
      </c>
      <c r="AJ103" s="11"/>
    </row>
    <row r="104" spans="2:37" outlineLevel="1">
      <c r="B104" s="71" t="s">
        <v>380</v>
      </c>
      <c r="D104" s="5">
        <v>52060</v>
      </c>
      <c r="E104" s="5" t="s">
        <v>70</v>
      </c>
      <c r="F104" s="6"/>
      <c r="G104" s="3"/>
      <c r="H104" s="7"/>
      <c r="I104" s="8"/>
      <c r="J104" s="9">
        <v>6211.82</v>
      </c>
      <c r="K104" s="8"/>
      <c r="L104" s="9">
        <v>6513.18</v>
      </c>
      <c r="M104" s="8"/>
      <c r="N104" s="9">
        <v>6430.03</v>
      </c>
      <c r="O104" s="8"/>
      <c r="P104" s="9">
        <v>6488.82</v>
      </c>
      <c r="Q104" s="8"/>
      <c r="R104" s="9">
        <v>6435.79</v>
      </c>
      <c r="S104" s="8"/>
      <c r="T104" s="9">
        <v>6001.22</v>
      </c>
      <c r="U104" s="8"/>
      <c r="V104" s="9">
        <v>6167.92</v>
      </c>
      <c r="W104" s="8"/>
      <c r="X104" s="9">
        <v>6253.5</v>
      </c>
      <c r="Y104" s="8"/>
      <c r="Z104" s="9">
        <v>6357.77</v>
      </c>
      <c r="AA104" s="8"/>
      <c r="AB104" s="9">
        <v>6287.67</v>
      </c>
      <c r="AC104" s="8"/>
      <c r="AD104" s="9">
        <v>5769.77</v>
      </c>
      <c r="AE104" s="8"/>
      <c r="AF104" s="9">
        <v>6289.49</v>
      </c>
      <c r="AG104" s="8"/>
      <c r="AH104" s="9">
        <f t="shared" si="14"/>
        <v>75206.98000000001</v>
      </c>
      <c r="AI104" s="10">
        <f t="shared" si="15"/>
        <v>6.4250328772249921E-3</v>
      </c>
      <c r="AJ104" s="11"/>
    </row>
    <row r="105" spans="2:37" outlineLevel="1">
      <c r="B105" s="71" t="s">
        <v>380</v>
      </c>
      <c r="D105" s="5">
        <v>52065</v>
      </c>
      <c r="E105" s="5" t="s">
        <v>22</v>
      </c>
      <c r="F105" s="6"/>
      <c r="G105" s="3"/>
      <c r="H105" s="7"/>
      <c r="I105" s="8"/>
      <c r="J105" s="9">
        <v>4272.5600000000004</v>
      </c>
      <c r="K105" s="8"/>
      <c r="L105" s="9">
        <v>2349.4899999999998</v>
      </c>
      <c r="M105" s="8"/>
      <c r="N105" s="9">
        <v>-315.39999999999998</v>
      </c>
      <c r="O105" s="8"/>
      <c r="P105" s="9">
        <v>1404.9</v>
      </c>
      <c r="Q105" s="8"/>
      <c r="R105" s="9">
        <v>936.6</v>
      </c>
      <c r="S105" s="8"/>
      <c r="T105" s="9">
        <v>936.6</v>
      </c>
      <c r="U105" s="8"/>
      <c r="V105" s="9">
        <v>673.07</v>
      </c>
      <c r="W105" s="8"/>
      <c r="X105" s="9">
        <v>690.04</v>
      </c>
      <c r="Y105" s="8"/>
      <c r="Z105" s="9">
        <v>2136.39</v>
      </c>
      <c r="AA105" s="8"/>
      <c r="AB105" s="9">
        <v>675.72</v>
      </c>
      <c r="AC105" s="8"/>
      <c r="AD105" s="9">
        <v>905.48</v>
      </c>
      <c r="AE105" s="8"/>
      <c r="AF105" s="9">
        <v>1115.77</v>
      </c>
      <c r="AG105" s="8"/>
      <c r="AH105" s="9">
        <f t="shared" si="14"/>
        <v>15781.220000000001</v>
      </c>
      <c r="AI105" s="10">
        <f t="shared" si="15"/>
        <v>1.3482107291466908E-3</v>
      </c>
      <c r="AJ105" s="11"/>
    </row>
    <row r="106" spans="2:37" outlineLevel="1">
      <c r="B106" s="71" t="s">
        <v>380</v>
      </c>
      <c r="D106" s="5">
        <v>52070</v>
      </c>
      <c r="E106" s="5" t="s">
        <v>23</v>
      </c>
      <c r="F106" s="6"/>
      <c r="G106" s="3"/>
      <c r="H106" s="7"/>
      <c r="I106" s="8"/>
      <c r="J106" s="9">
        <v>1612.9</v>
      </c>
      <c r="K106" s="8"/>
      <c r="L106" s="9">
        <v>630.39</v>
      </c>
      <c r="M106" s="8"/>
      <c r="N106" s="9">
        <v>1292.8699999999999</v>
      </c>
      <c r="O106" s="8"/>
      <c r="P106" s="9">
        <v>701.91</v>
      </c>
      <c r="Q106" s="8"/>
      <c r="R106" s="9">
        <v>575.41</v>
      </c>
      <c r="S106" s="8"/>
      <c r="T106" s="9">
        <v>691.52</v>
      </c>
      <c r="U106" s="8"/>
      <c r="V106" s="9">
        <v>337.32</v>
      </c>
      <c r="W106" s="8"/>
      <c r="X106" s="9">
        <v>400.37</v>
      </c>
      <c r="Y106" s="8"/>
      <c r="Z106" s="9">
        <v>1632.06</v>
      </c>
      <c r="AA106" s="8"/>
      <c r="AB106" s="9">
        <v>622.04999999999995</v>
      </c>
      <c r="AC106" s="8"/>
      <c r="AD106" s="9">
        <v>1296.98</v>
      </c>
      <c r="AE106" s="8"/>
      <c r="AF106" s="9">
        <v>1009.82</v>
      </c>
      <c r="AG106" s="8"/>
      <c r="AH106" s="9">
        <f t="shared" si="14"/>
        <v>10803.599999999997</v>
      </c>
      <c r="AI106" s="10">
        <f t="shared" si="15"/>
        <v>9.2296599587415819E-4</v>
      </c>
      <c r="AJ106" s="11"/>
    </row>
    <row r="107" spans="2:37" outlineLevel="1">
      <c r="B107" s="71" t="s">
        <v>380</v>
      </c>
      <c r="D107" s="5">
        <v>52086</v>
      </c>
      <c r="E107" s="5" t="s">
        <v>61</v>
      </c>
      <c r="F107" s="6"/>
      <c r="G107" s="3"/>
      <c r="H107" s="7"/>
      <c r="I107" s="8"/>
      <c r="J107" s="9">
        <v>432.57</v>
      </c>
      <c r="K107" s="8"/>
      <c r="L107" s="9">
        <v>1559.01</v>
      </c>
      <c r="M107" s="8"/>
      <c r="N107" s="9">
        <v>85.07</v>
      </c>
      <c r="O107" s="8"/>
      <c r="P107" s="9">
        <v>125.26</v>
      </c>
      <c r="Q107" s="8"/>
      <c r="R107" s="9">
        <v>1459.12</v>
      </c>
      <c r="S107" s="8"/>
      <c r="T107" s="9">
        <v>4369.12</v>
      </c>
      <c r="U107" s="8"/>
      <c r="V107" s="9">
        <v>99.77</v>
      </c>
      <c r="W107" s="8"/>
      <c r="X107" s="9">
        <v>263.26</v>
      </c>
      <c r="Y107" s="8"/>
      <c r="Z107" s="9">
        <v>1032.71</v>
      </c>
      <c r="AA107" s="8"/>
      <c r="AB107" s="9">
        <v>248.23</v>
      </c>
      <c r="AC107" s="8"/>
      <c r="AD107" s="9">
        <v>693.25</v>
      </c>
      <c r="AE107" s="8"/>
      <c r="AF107" s="9">
        <v>178.8</v>
      </c>
      <c r="AG107" s="8"/>
      <c r="AH107" s="9">
        <f t="shared" si="14"/>
        <v>10546.169999999998</v>
      </c>
      <c r="AI107" s="10">
        <f t="shared" si="15"/>
        <v>9.0097340670777998E-4</v>
      </c>
      <c r="AJ107" s="11"/>
    </row>
    <row r="108" spans="2:37" outlineLevel="1">
      <c r="B108" s="71" t="s">
        <v>380</v>
      </c>
      <c r="D108" s="5">
        <v>52090</v>
      </c>
      <c r="E108" s="5" t="s">
        <v>41</v>
      </c>
      <c r="F108" s="6"/>
      <c r="G108" s="3"/>
      <c r="H108" s="7"/>
      <c r="I108" s="8"/>
      <c r="J108" s="9">
        <v>446.18</v>
      </c>
      <c r="K108" s="8"/>
      <c r="L108" s="9">
        <v>978.34</v>
      </c>
      <c r="M108" s="8"/>
      <c r="N108" s="9">
        <v>738.35</v>
      </c>
      <c r="O108" s="8"/>
      <c r="P108" s="9">
        <v>569.85</v>
      </c>
      <c r="Q108" s="8"/>
      <c r="R108" s="9">
        <v>352.02</v>
      </c>
      <c r="S108" s="8"/>
      <c r="T108" s="9">
        <v>488.88</v>
      </c>
      <c r="U108" s="8"/>
      <c r="V108" s="9">
        <v>309.83999999999997</v>
      </c>
      <c r="W108" s="8"/>
      <c r="X108" s="9">
        <v>343.55</v>
      </c>
      <c r="Y108" s="8"/>
      <c r="Z108" s="9">
        <v>332.41</v>
      </c>
      <c r="AA108" s="8"/>
      <c r="AB108" s="9">
        <v>266.83999999999997</v>
      </c>
      <c r="AC108" s="8"/>
      <c r="AD108" s="9">
        <v>378.3</v>
      </c>
      <c r="AE108" s="8"/>
      <c r="AF108" s="9">
        <v>497.44</v>
      </c>
      <c r="AG108" s="8"/>
      <c r="AH108" s="9">
        <f t="shared" si="14"/>
        <v>5702.0000000000009</v>
      </c>
      <c r="AI108" s="10">
        <f t="shared" si="15"/>
        <v>4.8712948540064908E-4</v>
      </c>
      <c r="AJ108" s="11"/>
    </row>
    <row r="109" spans="2:37" outlineLevel="1">
      <c r="B109" s="71" t="s">
        <v>380</v>
      </c>
      <c r="D109" s="5">
        <v>52115</v>
      </c>
      <c r="E109" s="5" t="s">
        <v>116</v>
      </c>
      <c r="F109" s="6"/>
      <c r="G109" s="3"/>
      <c r="H109" s="7"/>
      <c r="I109" s="8"/>
      <c r="J109" s="9">
        <v>729.24</v>
      </c>
      <c r="K109" s="8"/>
      <c r="L109" s="9">
        <v>1458.58</v>
      </c>
      <c r="M109" s="8"/>
      <c r="N109" s="9">
        <v>958</v>
      </c>
      <c r="O109" s="8"/>
      <c r="P109" s="9">
        <v>1027.67</v>
      </c>
      <c r="Q109" s="8"/>
      <c r="R109" s="9">
        <v>1019.85</v>
      </c>
      <c r="S109" s="8"/>
      <c r="T109" s="9">
        <v>1095.8399999999999</v>
      </c>
      <c r="U109" s="8"/>
      <c r="V109" s="9">
        <v>1000.58</v>
      </c>
      <c r="W109" s="8"/>
      <c r="X109" s="9">
        <v>1324.3</v>
      </c>
      <c r="Y109" s="8"/>
      <c r="Z109" s="9">
        <v>1078.79</v>
      </c>
      <c r="AA109" s="8"/>
      <c r="AB109" s="9">
        <v>1037.82</v>
      </c>
      <c r="AC109" s="8"/>
      <c r="AD109" s="9">
        <v>1076.6300000000001</v>
      </c>
      <c r="AE109" s="8"/>
      <c r="AF109" s="9">
        <v>1054.8599999999999</v>
      </c>
      <c r="AG109" s="8"/>
      <c r="AH109" s="9">
        <f t="shared" si="14"/>
        <v>12862.16</v>
      </c>
      <c r="AI109" s="10">
        <f t="shared" si="15"/>
        <v>1.0988315296283429E-3</v>
      </c>
      <c r="AJ109" s="11"/>
    </row>
    <row r="110" spans="2:37" outlineLevel="1">
      <c r="B110" s="71" t="s">
        <v>380</v>
      </c>
      <c r="D110" s="5">
        <v>52120</v>
      </c>
      <c r="E110" s="5" t="s">
        <v>227</v>
      </c>
      <c r="F110" s="6"/>
      <c r="G110" s="3"/>
      <c r="H110" s="7"/>
      <c r="I110" s="8"/>
      <c r="J110" s="9">
        <v>23409.59</v>
      </c>
      <c r="K110" s="8"/>
      <c r="L110" s="9">
        <v>26973.97</v>
      </c>
      <c r="M110" s="8"/>
      <c r="N110" s="9">
        <v>29870.46</v>
      </c>
      <c r="O110" s="8"/>
      <c r="P110" s="9">
        <v>29886.74</v>
      </c>
      <c r="Q110" s="8"/>
      <c r="R110" s="9">
        <v>18594.02</v>
      </c>
      <c r="S110" s="8"/>
      <c r="T110" s="9">
        <v>25787.31</v>
      </c>
      <c r="U110" s="8"/>
      <c r="V110" s="9">
        <v>24118.57</v>
      </c>
      <c r="W110" s="8"/>
      <c r="X110" s="9">
        <v>31017.61</v>
      </c>
      <c r="Y110" s="8"/>
      <c r="Z110" s="9">
        <v>27545.34</v>
      </c>
      <c r="AA110" s="8"/>
      <c r="AB110" s="9">
        <v>9078.19</v>
      </c>
      <c r="AC110" s="8"/>
      <c r="AD110" s="9">
        <v>28417.48</v>
      </c>
      <c r="AE110" s="8"/>
      <c r="AF110" s="9">
        <v>20249.5</v>
      </c>
      <c r="AG110" s="8"/>
      <c r="AH110" s="9">
        <f t="shared" si="14"/>
        <v>294948.77999999997</v>
      </c>
      <c r="AI110" s="10">
        <f t="shared" si="15"/>
        <v>2.5197868716406387E-2</v>
      </c>
      <c r="AJ110" s="11"/>
    </row>
    <row r="111" spans="2:37" outlineLevel="1">
      <c r="B111" s="71" t="s">
        <v>380</v>
      </c>
      <c r="D111" s="5">
        <v>52125</v>
      </c>
      <c r="E111" s="5" t="s">
        <v>63</v>
      </c>
      <c r="F111" s="6"/>
      <c r="G111" s="3"/>
      <c r="H111" s="7"/>
      <c r="I111" s="8"/>
      <c r="J111" s="9">
        <v>6664.29</v>
      </c>
      <c r="K111" s="8"/>
      <c r="L111" s="9">
        <v>4605.21</v>
      </c>
      <c r="M111" s="8"/>
      <c r="N111" s="9">
        <v>2989.2</v>
      </c>
      <c r="O111" s="8"/>
      <c r="P111" s="9">
        <v>4936.7700000000004</v>
      </c>
      <c r="Q111" s="8"/>
      <c r="R111" s="9">
        <v>4692.93</v>
      </c>
      <c r="S111" s="8"/>
      <c r="T111" s="9">
        <v>3282.96</v>
      </c>
      <c r="U111" s="8"/>
      <c r="V111" s="9">
        <v>4299.2700000000004</v>
      </c>
      <c r="W111" s="8"/>
      <c r="X111" s="9">
        <v>6044.73</v>
      </c>
      <c r="Y111" s="8"/>
      <c r="Z111" s="9">
        <v>4496.7299999999996</v>
      </c>
      <c r="AA111" s="8"/>
      <c r="AB111" s="9">
        <v>2652.69</v>
      </c>
      <c r="AC111" s="8"/>
      <c r="AD111" s="9">
        <v>5274.31</v>
      </c>
      <c r="AE111" s="8"/>
      <c r="AF111" s="9">
        <v>4551.0200000000004</v>
      </c>
      <c r="AG111" s="8"/>
      <c r="AH111" s="9">
        <f t="shared" si="14"/>
        <v>54490.11</v>
      </c>
      <c r="AI111" s="10">
        <f t="shared" si="15"/>
        <v>4.6551629680331042E-3</v>
      </c>
      <c r="AJ111" s="11"/>
    </row>
    <row r="112" spans="2:37" outlineLevel="1">
      <c r="B112" s="71" t="s">
        <v>380</v>
      </c>
      <c r="D112" s="5">
        <v>52140</v>
      </c>
      <c r="E112" s="5" t="s">
        <v>228</v>
      </c>
      <c r="F112" s="6"/>
      <c r="G112" s="3"/>
      <c r="H112" s="7"/>
      <c r="I112" s="8"/>
      <c r="J112" s="9">
        <v>29201.45</v>
      </c>
      <c r="K112" s="8"/>
      <c r="L112" s="9">
        <v>12910.06</v>
      </c>
      <c r="M112" s="8"/>
      <c r="N112" s="9">
        <v>22827.55</v>
      </c>
      <c r="O112" s="8"/>
      <c r="P112" s="9">
        <v>16838.98</v>
      </c>
      <c r="Q112" s="8"/>
      <c r="R112" s="9">
        <v>23958.23</v>
      </c>
      <c r="S112" s="8"/>
      <c r="T112" s="9">
        <v>20361.18</v>
      </c>
      <c r="U112" s="8"/>
      <c r="V112" s="9">
        <v>18835.009999999998</v>
      </c>
      <c r="W112" s="8"/>
      <c r="X112" s="9">
        <v>12118.1</v>
      </c>
      <c r="Y112" s="8"/>
      <c r="Z112" s="9">
        <v>27607.82</v>
      </c>
      <c r="AA112" s="8"/>
      <c r="AB112" s="9">
        <v>21992.03</v>
      </c>
      <c r="AC112" s="8"/>
      <c r="AD112" s="9">
        <v>30006.03</v>
      </c>
      <c r="AE112" s="8"/>
      <c r="AF112" s="9">
        <v>14392.63</v>
      </c>
      <c r="AG112" s="8"/>
      <c r="AH112" s="9">
        <f t="shared" si="14"/>
        <v>251049.07000000004</v>
      </c>
      <c r="AI112" s="10">
        <f t="shared" si="15"/>
        <v>2.1447457783130747E-2</v>
      </c>
      <c r="AJ112" s="11"/>
    </row>
    <row r="113" spans="2:37" outlineLevel="1">
      <c r="B113" s="71" t="s">
        <v>380</v>
      </c>
      <c r="D113" s="5">
        <v>52142</v>
      </c>
      <c r="E113" s="5" t="s">
        <v>52</v>
      </c>
      <c r="F113" s="6"/>
      <c r="G113" s="3"/>
      <c r="H113" s="7"/>
      <c r="I113" s="8"/>
      <c r="J113" s="9">
        <v>65688.539999999994</v>
      </c>
      <c r="K113" s="8"/>
      <c r="L113" s="9">
        <v>77531.02</v>
      </c>
      <c r="M113" s="8"/>
      <c r="N113" s="9">
        <v>54778.95</v>
      </c>
      <c r="O113" s="8"/>
      <c r="P113" s="9">
        <v>64870.74</v>
      </c>
      <c r="Q113" s="8"/>
      <c r="R113" s="9">
        <v>76794.720000000001</v>
      </c>
      <c r="S113" s="8"/>
      <c r="T113" s="9">
        <v>76318.58</v>
      </c>
      <c r="U113" s="8"/>
      <c r="V113" s="9">
        <v>58935.88</v>
      </c>
      <c r="W113" s="8"/>
      <c r="X113" s="9">
        <v>61415.07</v>
      </c>
      <c r="Y113" s="8"/>
      <c r="Z113" s="9">
        <v>63278.400000000001</v>
      </c>
      <c r="AA113" s="8"/>
      <c r="AB113" s="9">
        <v>56455.25</v>
      </c>
      <c r="AC113" s="8"/>
      <c r="AD113" s="9">
        <v>75296.73</v>
      </c>
      <c r="AE113" s="8"/>
      <c r="AF113" s="9">
        <v>59018.77</v>
      </c>
      <c r="AG113" s="8"/>
      <c r="AH113" s="9">
        <f t="shared" si="14"/>
        <v>790382.65</v>
      </c>
      <c r="AI113" s="10">
        <f t="shared" si="15"/>
        <v>6.752344678430397E-2</v>
      </c>
      <c r="AJ113" s="11"/>
    </row>
    <row r="114" spans="2:37" outlineLevel="1">
      <c r="B114" s="71" t="s">
        <v>380</v>
      </c>
      <c r="D114" s="5">
        <v>52144</v>
      </c>
      <c r="E114" s="5" t="s">
        <v>53</v>
      </c>
      <c r="F114" s="6"/>
      <c r="G114" s="3"/>
      <c r="H114" s="7"/>
      <c r="I114" s="8"/>
      <c r="J114" s="9">
        <v>1017.4</v>
      </c>
      <c r="K114" s="8"/>
      <c r="L114" s="9">
        <v>368.88</v>
      </c>
      <c r="M114" s="8"/>
      <c r="N114" s="9">
        <v>335.91</v>
      </c>
      <c r="O114" s="8"/>
      <c r="P114" s="9">
        <v>2058.41</v>
      </c>
      <c r="Q114" s="8"/>
      <c r="R114" s="9">
        <v>434.82</v>
      </c>
      <c r="S114" s="8"/>
      <c r="T114" s="9">
        <v>914.92</v>
      </c>
      <c r="U114" s="8"/>
      <c r="V114" s="9">
        <v>441.67</v>
      </c>
      <c r="W114" s="8"/>
      <c r="X114" s="9">
        <v>0</v>
      </c>
      <c r="Y114" s="8"/>
      <c r="Z114" s="9">
        <v>552.09</v>
      </c>
      <c r="AA114" s="8"/>
      <c r="AB114" s="9">
        <v>514.14</v>
      </c>
      <c r="AC114" s="8"/>
      <c r="AD114" s="9">
        <v>0</v>
      </c>
      <c r="AE114" s="8"/>
      <c r="AF114" s="9">
        <v>843.17</v>
      </c>
      <c r="AG114" s="8"/>
      <c r="AH114" s="9">
        <f t="shared" si="14"/>
        <v>7481.41</v>
      </c>
      <c r="AI114" s="10">
        <f t="shared" si="15"/>
        <v>6.3914686134185716E-4</v>
      </c>
      <c r="AJ114" s="11"/>
    </row>
    <row r="115" spans="2:37" outlineLevel="1">
      <c r="B115" s="71" t="s">
        <v>380</v>
      </c>
      <c r="D115" s="5">
        <v>52146</v>
      </c>
      <c r="E115" s="5" t="s">
        <v>54</v>
      </c>
      <c r="F115" s="6"/>
      <c r="G115" s="3"/>
      <c r="H115" s="7"/>
      <c r="I115" s="8"/>
      <c r="J115" s="9">
        <v>3138.63</v>
      </c>
      <c r="K115" s="8"/>
      <c r="L115" s="9">
        <v>3219.3</v>
      </c>
      <c r="M115" s="8"/>
      <c r="N115" s="9">
        <v>2690.04</v>
      </c>
      <c r="O115" s="8"/>
      <c r="P115" s="9">
        <v>1345.84</v>
      </c>
      <c r="Q115" s="8"/>
      <c r="R115" s="9">
        <v>5551.63</v>
      </c>
      <c r="S115" s="8"/>
      <c r="T115" s="9">
        <v>1584.53</v>
      </c>
      <c r="U115" s="8"/>
      <c r="V115" s="9">
        <v>5742.51</v>
      </c>
      <c r="W115" s="8"/>
      <c r="X115" s="9">
        <v>2000.84</v>
      </c>
      <c r="Y115" s="8"/>
      <c r="Z115" s="9">
        <v>3587.19</v>
      </c>
      <c r="AA115" s="8"/>
      <c r="AB115" s="9">
        <v>3988.89</v>
      </c>
      <c r="AC115" s="8"/>
      <c r="AD115" s="9">
        <v>5647.05</v>
      </c>
      <c r="AE115" s="8"/>
      <c r="AF115" s="9">
        <v>4837.46</v>
      </c>
      <c r="AG115" s="8"/>
      <c r="AH115" s="9">
        <f t="shared" si="14"/>
        <v>43333.909999999996</v>
      </c>
      <c r="AI115" s="10">
        <f t="shared" si="15"/>
        <v>3.7020738826197886E-3</v>
      </c>
      <c r="AJ115" s="11"/>
    </row>
    <row r="116" spans="2:37" outlineLevel="1">
      <c r="B116" s="71" t="s">
        <v>380</v>
      </c>
      <c r="D116" s="5">
        <v>52147</v>
      </c>
      <c r="E116" s="5" t="s">
        <v>229</v>
      </c>
      <c r="F116" s="6"/>
      <c r="G116" s="3"/>
      <c r="H116" s="7"/>
      <c r="I116" s="8"/>
      <c r="J116" s="9">
        <v>9916.2099999999991</v>
      </c>
      <c r="K116" s="8"/>
      <c r="L116" s="9">
        <v>15480.87</v>
      </c>
      <c r="M116" s="8"/>
      <c r="N116" s="9">
        <v>17127.27</v>
      </c>
      <c r="O116" s="8"/>
      <c r="P116" s="9">
        <v>16722.11</v>
      </c>
      <c r="Q116" s="8"/>
      <c r="R116" s="9">
        <v>9670.66</v>
      </c>
      <c r="S116" s="8"/>
      <c r="T116" s="9">
        <v>35029.06</v>
      </c>
      <c r="U116" s="8"/>
      <c r="V116" s="9">
        <v>20527.22</v>
      </c>
      <c r="W116" s="8"/>
      <c r="X116" s="9">
        <v>5591.6</v>
      </c>
      <c r="Y116" s="8"/>
      <c r="Z116" s="9">
        <v>16105.58</v>
      </c>
      <c r="AA116" s="8"/>
      <c r="AB116" s="9">
        <v>4434.1899999999996</v>
      </c>
      <c r="AC116" s="8"/>
      <c r="AD116" s="9">
        <v>17168.25</v>
      </c>
      <c r="AE116" s="8"/>
      <c r="AF116" s="9">
        <v>26180.02</v>
      </c>
      <c r="AG116" s="8"/>
      <c r="AH116" s="9">
        <f t="shared" si="14"/>
        <v>193953.03999999998</v>
      </c>
      <c r="AI116" s="10">
        <f t="shared" si="15"/>
        <v>1.6569667584547788E-2</v>
      </c>
      <c r="AJ116" s="11"/>
    </row>
    <row r="117" spans="2:37" outlineLevel="1">
      <c r="B117" s="71" t="s">
        <v>380</v>
      </c>
      <c r="D117" s="5">
        <v>52182</v>
      </c>
      <c r="E117" s="5" t="s">
        <v>231</v>
      </c>
      <c r="F117" s="6"/>
      <c r="G117" s="3"/>
      <c r="H117" s="7"/>
      <c r="I117" s="8"/>
      <c r="J117" s="9">
        <v>1417.7</v>
      </c>
      <c r="K117" s="8"/>
      <c r="L117" s="9">
        <v>963.31</v>
      </c>
      <c r="M117" s="8"/>
      <c r="N117" s="9">
        <v>2063.33</v>
      </c>
      <c r="O117" s="8"/>
      <c r="P117" s="9">
        <v>-45.28</v>
      </c>
      <c r="Q117" s="8"/>
      <c r="R117" s="9">
        <v>2034.15</v>
      </c>
      <c r="S117" s="8"/>
      <c r="T117" s="9">
        <v>771.81</v>
      </c>
      <c r="U117" s="8"/>
      <c r="V117" s="9">
        <v>1092.51</v>
      </c>
      <c r="W117" s="8"/>
      <c r="X117" s="9">
        <v>769.3</v>
      </c>
      <c r="Y117" s="8"/>
      <c r="Z117" s="9">
        <v>-21.98</v>
      </c>
      <c r="AA117" s="8"/>
      <c r="AB117" s="9">
        <v>0</v>
      </c>
      <c r="AC117" s="8"/>
      <c r="AD117" s="9">
        <v>500</v>
      </c>
      <c r="AE117" s="8"/>
      <c r="AF117" s="9">
        <v>1314.68</v>
      </c>
      <c r="AG117" s="8"/>
      <c r="AH117" s="9">
        <f t="shared" si="14"/>
        <v>10859.53</v>
      </c>
      <c r="AI117" s="10">
        <f t="shared" si="15"/>
        <v>9.2774417057048578E-4</v>
      </c>
      <c r="AJ117" s="11"/>
    </row>
    <row r="118" spans="2:37" outlineLevel="1">
      <c r="B118" s="71" t="s">
        <v>380</v>
      </c>
      <c r="D118" s="5">
        <v>52185</v>
      </c>
      <c r="E118" s="5" t="s">
        <v>60</v>
      </c>
      <c r="F118" s="6"/>
      <c r="G118" s="3"/>
      <c r="H118" s="7"/>
      <c r="I118" s="8"/>
      <c r="J118" s="9">
        <v>30</v>
      </c>
      <c r="K118" s="8"/>
      <c r="L118" s="9">
        <v>0</v>
      </c>
      <c r="M118" s="8"/>
      <c r="N118" s="9">
        <v>0</v>
      </c>
      <c r="O118" s="8"/>
      <c r="P118" s="9">
        <v>0</v>
      </c>
      <c r="Q118" s="8"/>
      <c r="R118" s="9">
        <v>0</v>
      </c>
      <c r="S118" s="8"/>
      <c r="T118" s="9">
        <v>21.83</v>
      </c>
      <c r="U118" s="8"/>
      <c r="V118" s="9">
        <v>0</v>
      </c>
      <c r="W118" s="8"/>
      <c r="X118" s="9">
        <v>0</v>
      </c>
      <c r="Y118" s="8"/>
      <c r="Z118" s="9">
        <v>0</v>
      </c>
      <c r="AA118" s="8"/>
      <c r="AB118" s="9">
        <v>0</v>
      </c>
      <c r="AC118" s="8"/>
      <c r="AD118" s="9">
        <v>0</v>
      </c>
      <c r="AE118" s="8"/>
      <c r="AF118" s="9">
        <v>0</v>
      </c>
      <c r="AG118" s="8"/>
      <c r="AH118" s="9">
        <f t="shared" si="14"/>
        <v>51.83</v>
      </c>
      <c r="AI118" s="10">
        <f t="shared" si="15"/>
        <v>4.4279062133138613E-6</v>
      </c>
      <c r="AJ118" s="11"/>
    </row>
    <row r="119" spans="2:37" outlineLevel="1">
      <c r="B119" s="71" t="s">
        <v>380</v>
      </c>
      <c r="D119" s="5">
        <v>52901</v>
      </c>
      <c r="E119" s="5" t="s">
        <v>534</v>
      </c>
      <c r="F119" s="6"/>
      <c r="G119" s="3"/>
      <c r="H119" s="7"/>
      <c r="I119" s="8"/>
      <c r="J119" s="9">
        <v>0</v>
      </c>
      <c r="K119" s="8"/>
      <c r="L119" s="9">
        <v>0</v>
      </c>
      <c r="M119" s="8"/>
      <c r="N119" s="9">
        <v>0</v>
      </c>
      <c r="O119" s="8"/>
      <c r="P119" s="9">
        <v>0</v>
      </c>
      <c r="Q119" s="8"/>
      <c r="R119" s="9">
        <v>0</v>
      </c>
      <c r="S119" s="8"/>
      <c r="T119" s="9">
        <v>0</v>
      </c>
      <c r="U119" s="8"/>
      <c r="V119" s="9">
        <v>0</v>
      </c>
      <c r="W119" s="8"/>
      <c r="X119" s="9">
        <v>0</v>
      </c>
      <c r="Y119" s="8"/>
      <c r="Z119" s="9">
        <v>0</v>
      </c>
      <c r="AA119" s="8"/>
      <c r="AB119" s="9">
        <v>0</v>
      </c>
      <c r="AC119" s="8"/>
      <c r="AD119" s="9">
        <v>0</v>
      </c>
      <c r="AE119" s="8"/>
      <c r="AF119" s="9">
        <v>0</v>
      </c>
      <c r="AG119" s="8"/>
      <c r="AH119" s="9">
        <f t="shared" si="14"/>
        <v>0</v>
      </c>
      <c r="AI119" s="10">
        <f t="shared" si="15"/>
        <v>0</v>
      </c>
      <c r="AJ119" s="11"/>
    </row>
    <row r="120" spans="2:37" s="7" customFormat="1" ht="5.0999999999999996" customHeight="1" outlineLevel="1">
      <c r="B120" s="1" t="s">
        <v>187</v>
      </c>
      <c r="D120" s="6"/>
      <c r="E120" s="6"/>
      <c r="F120" s="6"/>
      <c r="G120" s="6"/>
      <c r="J120" s="39"/>
      <c r="K120" s="37"/>
      <c r="L120" s="39"/>
      <c r="M120" s="37"/>
      <c r="N120" s="39"/>
      <c r="O120" s="37"/>
      <c r="P120" s="39"/>
      <c r="Q120" s="37"/>
      <c r="R120" s="39"/>
      <c r="S120" s="37"/>
      <c r="T120" s="39"/>
      <c r="U120" s="37"/>
      <c r="V120" s="39"/>
      <c r="W120" s="37"/>
      <c r="X120" s="39"/>
      <c r="Y120" s="37"/>
      <c r="Z120" s="39"/>
      <c r="AA120" s="37"/>
      <c r="AB120" s="39"/>
      <c r="AC120" s="37"/>
      <c r="AD120" s="39"/>
      <c r="AE120" s="37"/>
      <c r="AF120" s="39"/>
      <c r="AG120" s="37"/>
      <c r="AH120" s="39"/>
      <c r="AI120" s="33"/>
      <c r="AJ120" s="14"/>
      <c r="AK120" s="1"/>
    </row>
    <row r="121" spans="2:37" s="7" customFormat="1" ht="15">
      <c r="B121" s="1" t="s">
        <v>187</v>
      </c>
      <c r="F121" s="6" t="s">
        <v>233</v>
      </c>
      <c r="J121" s="36">
        <f>SUM(J98:J120)</f>
        <v>188958.4</v>
      </c>
      <c r="K121" s="37"/>
      <c r="L121" s="36">
        <f>SUM(L98:L120)</f>
        <v>196025.24</v>
      </c>
      <c r="M121" s="37"/>
      <c r="N121" s="36">
        <f>SUM(N98:N120)</f>
        <v>172405.40999999997</v>
      </c>
      <c r="O121" s="37"/>
      <c r="P121" s="36">
        <f>SUM(P98:P120)</f>
        <v>180813.84</v>
      </c>
      <c r="Q121" s="37"/>
      <c r="R121" s="36">
        <f>SUM(R98:R120)</f>
        <v>188869.24</v>
      </c>
      <c r="S121" s="37"/>
      <c r="T121" s="36">
        <f>SUM(T98:T120)</f>
        <v>214066.68999999997</v>
      </c>
      <c r="U121" s="37"/>
      <c r="V121" s="36">
        <f>SUM(V98:V120)</f>
        <v>175077.07</v>
      </c>
      <c r="W121" s="37"/>
      <c r="X121" s="36">
        <f>SUM(X98:X120)</f>
        <v>165856.61000000002</v>
      </c>
      <c r="Y121" s="37"/>
      <c r="Z121" s="36">
        <f>SUM(Z98:Z120)</f>
        <v>189462.77999999997</v>
      </c>
      <c r="AA121" s="37"/>
      <c r="AB121" s="36">
        <f>SUM(AB98:AB120)</f>
        <v>143088.66000000003</v>
      </c>
      <c r="AC121" s="37"/>
      <c r="AD121" s="36">
        <f>SUM(AD98:AD120)</f>
        <v>207783.06</v>
      </c>
      <c r="AE121" s="37"/>
      <c r="AF121" s="36">
        <f>SUM(AF98:AF120)</f>
        <v>176722.74</v>
      </c>
      <c r="AG121" s="37"/>
      <c r="AH121" s="36">
        <f>SUM(AH98:AH120)</f>
        <v>2199129.7399999998</v>
      </c>
      <c r="AI121" s="10">
        <f>IF(AH$49=0,0,AH121/AH$49)</f>
        <v>0.1878745946291587</v>
      </c>
      <c r="AJ121" s="14"/>
      <c r="AK121" s="1"/>
    </row>
    <row r="122" spans="2:37" s="7" customFormat="1" ht="15" outlineLevel="1">
      <c r="B122" s="1" t="s">
        <v>187</v>
      </c>
      <c r="J122" s="38"/>
      <c r="K122" s="37"/>
      <c r="L122" s="38"/>
      <c r="M122" s="37"/>
      <c r="N122" s="38"/>
      <c r="O122" s="37"/>
      <c r="P122" s="38"/>
      <c r="Q122" s="37"/>
      <c r="R122" s="38"/>
      <c r="S122" s="37"/>
      <c r="T122" s="38"/>
      <c r="U122" s="37"/>
      <c r="V122" s="38"/>
      <c r="W122" s="37"/>
      <c r="X122" s="38"/>
      <c r="Y122" s="37"/>
      <c r="Z122" s="38"/>
      <c r="AA122" s="37"/>
      <c r="AB122" s="38"/>
      <c r="AC122" s="37"/>
      <c r="AD122" s="38"/>
      <c r="AE122" s="37"/>
      <c r="AF122" s="38"/>
      <c r="AG122" s="37"/>
      <c r="AH122" s="38"/>
      <c r="AI122" s="33"/>
      <c r="AJ122" s="14"/>
      <c r="AK122" s="1"/>
    </row>
    <row r="123" spans="2:37" s="7" customFormat="1" ht="15" outlineLevel="1">
      <c r="J123" s="38"/>
      <c r="K123" s="37"/>
      <c r="L123" s="38"/>
      <c r="M123" s="37"/>
      <c r="N123" s="38"/>
      <c r="O123" s="37"/>
      <c r="P123" s="38"/>
      <c r="Q123" s="37"/>
      <c r="R123" s="38"/>
      <c r="S123" s="37"/>
      <c r="T123" s="38"/>
      <c r="U123" s="37"/>
      <c r="V123" s="38"/>
      <c r="W123" s="37"/>
      <c r="X123" s="38"/>
      <c r="Y123" s="37"/>
      <c r="Z123" s="38"/>
      <c r="AA123" s="37"/>
      <c r="AB123" s="38"/>
      <c r="AC123" s="37"/>
      <c r="AD123" s="38"/>
      <c r="AE123" s="37"/>
      <c r="AF123" s="38"/>
      <c r="AG123" s="37"/>
      <c r="AH123" s="38"/>
      <c r="AI123" s="33"/>
      <c r="AJ123" s="14"/>
      <c r="AK123" s="1"/>
    </row>
    <row r="124" spans="2:37" outlineLevel="1">
      <c r="B124" s="71" t="s">
        <v>395</v>
      </c>
      <c r="D124" s="5">
        <v>55120</v>
      </c>
      <c r="E124" s="5" t="s">
        <v>227</v>
      </c>
      <c r="F124" s="6"/>
      <c r="G124" s="3"/>
      <c r="H124" s="7"/>
      <c r="I124" s="8"/>
      <c r="J124" s="9">
        <v>0</v>
      </c>
      <c r="K124" s="8"/>
      <c r="L124" s="9">
        <v>0</v>
      </c>
      <c r="M124" s="8"/>
      <c r="N124" s="9">
        <v>0</v>
      </c>
      <c r="O124" s="8"/>
      <c r="P124" s="9">
        <v>0</v>
      </c>
      <c r="Q124" s="8"/>
      <c r="R124" s="9">
        <v>321.13</v>
      </c>
      <c r="S124" s="8"/>
      <c r="T124" s="9">
        <v>153.84</v>
      </c>
      <c r="U124" s="8"/>
      <c r="V124" s="9">
        <v>0</v>
      </c>
      <c r="W124" s="8"/>
      <c r="X124" s="9">
        <v>0</v>
      </c>
      <c r="Y124" s="8"/>
      <c r="Z124" s="9">
        <v>0</v>
      </c>
      <c r="AA124" s="8"/>
      <c r="AB124" s="9">
        <v>0</v>
      </c>
      <c r="AC124" s="8"/>
      <c r="AD124" s="9">
        <v>0</v>
      </c>
      <c r="AE124" s="8"/>
      <c r="AF124" s="9">
        <v>0</v>
      </c>
      <c r="AG124" s="8"/>
      <c r="AH124" s="9">
        <f t="shared" ref="AH124:AH125" si="16">AF124+AD124+AB124+Z124+X124+V124+T124+R124+P124+N124+L124+J124</f>
        <v>474.97</v>
      </c>
      <c r="AI124" s="10">
        <f t="shared" ref="AI124:AI125" si="17">IF(AH$49=0,0,AH124/AH$49)</f>
        <v>4.0577322287047752E-5</v>
      </c>
      <c r="AJ124" s="11"/>
    </row>
    <row r="125" spans="2:37" outlineLevel="1">
      <c r="B125" s="71" t="s">
        <v>380</v>
      </c>
      <c r="D125" s="5">
        <v>55142</v>
      </c>
      <c r="E125" s="5" t="s">
        <v>52</v>
      </c>
      <c r="F125" s="6"/>
      <c r="G125" s="3"/>
      <c r="H125" s="7"/>
      <c r="I125" s="8"/>
      <c r="J125" s="9">
        <v>113.76</v>
      </c>
      <c r="K125" s="8"/>
      <c r="L125" s="9">
        <v>76.56</v>
      </c>
      <c r="M125" s="8"/>
      <c r="N125" s="9">
        <v>0</v>
      </c>
      <c r="O125" s="8"/>
      <c r="P125" s="9">
        <v>125.51</v>
      </c>
      <c r="Q125" s="8"/>
      <c r="R125" s="9">
        <v>0</v>
      </c>
      <c r="S125" s="8"/>
      <c r="T125" s="9">
        <v>63.56</v>
      </c>
      <c r="U125" s="8"/>
      <c r="V125" s="9">
        <v>70.16</v>
      </c>
      <c r="W125" s="8"/>
      <c r="X125" s="9">
        <v>0</v>
      </c>
      <c r="Y125" s="8"/>
      <c r="Z125" s="9">
        <v>36.520000000000003</v>
      </c>
      <c r="AA125" s="8"/>
      <c r="AB125" s="9">
        <v>0</v>
      </c>
      <c r="AC125" s="8"/>
      <c r="AD125" s="9">
        <v>78.61</v>
      </c>
      <c r="AE125" s="8"/>
      <c r="AF125" s="9">
        <v>0</v>
      </c>
      <c r="AG125" s="8"/>
      <c r="AH125" s="9">
        <f t="shared" si="16"/>
        <v>564.68000000000006</v>
      </c>
      <c r="AI125" s="10">
        <f t="shared" si="17"/>
        <v>4.8241367558056563E-5</v>
      </c>
      <c r="AJ125" s="11"/>
    </row>
    <row r="126" spans="2:37" s="7" customFormat="1" ht="5.0999999999999996" customHeight="1" outlineLevel="1">
      <c r="B126" s="1" t="s">
        <v>187</v>
      </c>
      <c r="D126" s="6"/>
      <c r="E126" s="6"/>
      <c r="F126" s="6"/>
      <c r="G126" s="6"/>
      <c r="J126" s="39"/>
      <c r="K126" s="37"/>
      <c r="L126" s="39"/>
      <c r="M126" s="37"/>
      <c r="N126" s="39"/>
      <c r="O126" s="37"/>
      <c r="P126" s="39"/>
      <c r="Q126" s="37"/>
      <c r="R126" s="39"/>
      <c r="S126" s="37"/>
      <c r="T126" s="39"/>
      <c r="U126" s="37"/>
      <c r="V126" s="39"/>
      <c r="W126" s="37"/>
      <c r="X126" s="39"/>
      <c r="Y126" s="37"/>
      <c r="Z126" s="39"/>
      <c r="AA126" s="37"/>
      <c r="AB126" s="39"/>
      <c r="AC126" s="37"/>
      <c r="AD126" s="39"/>
      <c r="AE126" s="37"/>
      <c r="AF126" s="39"/>
      <c r="AG126" s="37"/>
      <c r="AH126" s="39"/>
      <c r="AI126" s="33"/>
      <c r="AJ126" s="14"/>
      <c r="AK126" s="1"/>
    </row>
    <row r="127" spans="2:37" s="7" customFormat="1" ht="15">
      <c r="B127" s="1"/>
      <c r="F127" s="6" t="s">
        <v>234</v>
      </c>
      <c r="J127" s="36">
        <f>SUM(J123:J126)</f>
        <v>113.76</v>
      </c>
      <c r="K127" s="37"/>
      <c r="L127" s="36">
        <f>SUM(L123:L126)</f>
        <v>76.56</v>
      </c>
      <c r="M127" s="37"/>
      <c r="N127" s="36">
        <f>SUM(N123:N126)</f>
        <v>0</v>
      </c>
      <c r="O127" s="37"/>
      <c r="P127" s="36">
        <f>SUM(P123:P126)</f>
        <v>125.51</v>
      </c>
      <c r="Q127" s="37"/>
      <c r="R127" s="36">
        <f>SUM(R123:R126)</f>
        <v>321.13</v>
      </c>
      <c r="S127" s="37"/>
      <c r="T127" s="36">
        <f>SUM(T123:T126)</f>
        <v>217.4</v>
      </c>
      <c r="U127" s="37"/>
      <c r="V127" s="36">
        <f>SUM(V123:V126)</f>
        <v>70.16</v>
      </c>
      <c r="W127" s="37"/>
      <c r="X127" s="36">
        <f>SUM(X123:X126)</f>
        <v>0</v>
      </c>
      <c r="Y127" s="37"/>
      <c r="Z127" s="36">
        <f>SUM(Z123:Z126)</f>
        <v>36.520000000000003</v>
      </c>
      <c r="AA127" s="37"/>
      <c r="AB127" s="36">
        <f>SUM(AB123:AB126)</f>
        <v>0</v>
      </c>
      <c r="AC127" s="37"/>
      <c r="AD127" s="36">
        <f>SUM(AD123:AD126)</f>
        <v>78.61</v>
      </c>
      <c r="AE127" s="37"/>
      <c r="AF127" s="36">
        <f>SUM(AF123:AF126)</f>
        <v>0</v>
      </c>
      <c r="AG127" s="37"/>
      <c r="AH127" s="36">
        <f>SUM(AH123:AH126)</f>
        <v>1039.6500000000001</v>
      </c>
      <c r="AI127" s="10">
        <f>IF(AH$49=0,0,AH127/AH$49)</f>
        <v>8.8818689845104315E-5</v>
      </c>
      <c r="AJ127" s="14"/>
      <c r="AK127" s="1"/>
    </row>
    <row r="128" spans="2:37" s="7" customFormat="1" ht="15" outlineLevel="1">
      <c r="B128" s="1"/>
      <c r="J128" s="38"/>
      <c r="K128" s="37"/>
      <c r="L128" s="38"/>
      <c r="M128" s="37"/>
      <c r="N128" s="38"/>
      <c r="O128" s="37"/>
      <c r="P128" s="38"/>
      <c r="Q128" s="37"/>
      <c r="R128" s="38"/>
      <c r="S128" s="37"/>
      <c r="T128" s="38"/>
      <c r="U128" s="37"/>
      <c r="V128" s="38"/>
      <c r="W128" s="37"/>
      <c r="X128" s="38"/>
      <c r="Y128" s="37"/>
      <c r="Z128" s="38"/>
      <c r="AA128" s="37"/>
      <c r="AB128" s="38"/>
      <c r="AC128" s="37"/>
      <c r="AD128" s="38"/>
      <c r="AE128" s="37"/>
      <c r="AF128" s="38"/>
      <c r="AG128" s="37"/>
      <c r="AH128" s="38"/>
      <c r="AI128" s="33"/>
      <c r="AJ128" s="14"/>
      <c r="AK128" s="1"/>
    </row>
    <row r="129" spans="2:37" s="7" customFormat="1" ht="15" outlineLevel="1">
      <c r="B129" s="1" t="s">
        <v>187</v>
      </c>
      <c r="J129" s="38"/>
      <c r="K129" s="37"/>
      <c r="L129" s="38"/>
      <c r="M129" s="37"/>
      <c r="N129" s="38"/>
      <c r="O129" s="37"/>
      <c r="P129" s="38"/>
      <c r="Q129" s="37"/>
      <c r="R129" s="38"/>
      <c r="S129" s="37"/>
      <c r="T129" s="38"/>
      <c r="U129" s="37"/>
      <c r="V129" s="38"/>
      <c r="W129" s="37"/>
      <c r="X129" s="38"/>
      <c r="Y129" s="37"/>
      <c r="Z129" s="38"/>
      <c r="AA129" s="37"/>
      <c r="AB129" s="38"/>
      <c r="AC129" s="37"/>
      <c r="AD129" s="38"/>
      <c r="AE129" s="37"/>
      <c r="AF129" s="38"/>
      <c r="AG129" s="37"/>
      <c r="AH129" s="38"/>
      <c r="AI129" s="33"/>
      <c r="AJ129" s="14"/>
      <c r="AK129" s="1"/>
    </row>
    <row r="130" spans="2:37" outlineLevel="1">
      <c r="B130" s="71" t="s">
        <v>396</v>
      </c>
      <c r="D130" s="5">
        <v>56010</v>
      </c>
      <c r="E130" s="5" t="s">
        <v>17</v>
      </c>
      <c r="F130" s="6"/>
      <c r="G130" s="3"/>
      <c r="H130" s="7"/>
      <c r="I130" s="8"/>
      <c r="J130" s="9">
        <v>7440.08</v>
      </c>
      <c r="K130" s="8"/>
      <c r="L130" s="9">
        <v>6394.59</v>
      </c>
      <c r="M130" s="8"/>
      <c r="N130" s="9">
        <v>5672.21</v>
      </c>
      <c r="O130" s="8"/>
      <c r="P130" s="9">
        <v>5923.32</v>
      </c>
      <c r="Q130" s="8"/>
      <c r="R130" s="9">
        <v>6205.39</v>
      </c>
      <c r="S130" s="8"/>
      <c r="T130" s="9">
        <v>6487.45</v>
      </c>
      <c r="U130" s="8"/>
      <c r="V130" s="9">
        <v>5641.26</v>
      </c>
      <c r="W130" s="8"/>
      <c r="X130" s="9">
        <v>6487.44</v>
      </c>
      <c r="Y130" s="8"/>
      <c r="Z130" s="9">
        <v>6205.39</v>
      </c>
      <c r="AA130" s="8"/>
      <c r="AB130" s="9">
        <v>5923.32</v>
      </c>
      <c r="AC130" s="8"/>
      <c r="AD130" s="9">
        <v>6487.45</v>
      </c>
      <c r="AE130" s="8"/>
      <c r="AF130" s="9">
        <v>5923.33</v>
      </c>
      <c r="AG130" s="8"/>
      <c r="AH130" s="9">
        <f t="shared" ref="AH130:AH135" si="18">AF130+AD130+AB130+Z130+X130+V130+T130+R130+P130+N130+L130+J130</f>
        <v>74791.23</v>
      </c>
      <c r="AI130" s="10">
        <f t="shared" ref="AI130:AI135" si="19">IF(AH$49=0,0,AH130/AH$49)</f>
        <v>6.3895147987340544E-3</v>
      </c>
      <c r="AJ130" s="11"/>
    </row>
    <row r="131" spans="2:37" outlineLevel="1">
      <c r="B131" s="71" t="s">
        <v>380</v>
      </c>
      <c r="D131" s="5">
        <v>56035</v>
      </c>
      <c r="E131" s="5" t="s">
        <v>27</v>
      </c>
      <c r="F131" s="6"/>
      <c r="G131" s="3"/>
      <c r="H131" s="7"/>
      <c r="I131" s="8"/>
      <c r="J131" s="9">
        <v>0</v>
      </c>
      <c r="K131" s="8"/>
      <c r="L131" s="9">
        <v>0</v>
      </c>
      <c r="M131" s="8"/>
      <c r="N131" s="9">
        <v>0</v>
      </c>
      <c r="O131" s="8"/>
      <c r="P131" s="9">
        <v>175</v>
      </c>
      <c r="Q131" s="8"/>
      <c r="R131" s="9">
        <v>75</v>
      </c>
      <c r="S131" s="8"/>
      <c r="T131" s="9">
        <v>0</v>
      </c>
      <c r="U131" s="8"/>
      <c r="V131" s="9">
        <v>0</v>
      </c>
      <c r="W131" s="8"/>
      <c r="X131" s="9">
        <v>0</v>
      </c>
      <c r="Y131" s="8"/>
      <c r="Z131" s="9">
        <v>0</v>
      </c>
      <c r="AA131" s="8"/>
      <c r="AB131" s="9">
        <v>0</v>
      </c>
      <c r="AC131" s="8"/>
      <c r="AD131" s="9">
        <v>0</v>
      </c>
      <c r="AE131" s="8"/>
      <c r="AF131" s="9">
        <v>0</v>
      </c>
      <c r="AG131" s="8"/>
      <c r="AH131" s="9">
        <f t="shared" si="18"/>
        <v>250</v>
      </c>
      <c r="AI131" s="10">
        <f t="shared" si="19"/>
        <v>2.1357834330088083E-5</v>
      </c>
      <c r="AJ131" s="11"/>
    </row>
    <row r="132" spans="2:37" outlineLevel="1">
      <c r="B132" s="71" t="s">
        <v>380</v>
      </c>
      <c r="D132" s="5">
        <v>56050</v>
      </c>
      <c r="E132" s="5" t="s">
        <v>158</v>
      </c>
      <c r="F132" s="6"/>
      <c r="G132" s="3"/>
      <c r="H132" s="7"/>
      <c r="I132" s="8"/>
      <c r="J132" s="9">
        <v>427.43</v>
      </c>
      <c r="K132" s="8"/>
      <c r="L132" s="9">
        <v>556.49</v>
      </c>
      <c r="M132" s="8"/>
      <c r="N132" s="9">
        <v>453.93</v>
      </c>
      <c r="O132" s="8"/>
      <c r="P132" s="9">
        <v>480.9</v>
      </c>
      <c r="Q132" s="8"/>
      <c r="R132" s="9">
        <v>495.52</v>
      </c>
      <c r="S132" s="8"/>
      <c r="T132" s="9">
        <v>482.81</v>
      </c>
      <c r="U132" s="8"/>
      <c r="V132" s="9">
        <v>416.55</v>
      </c>
      <c r="W132" s="8"/>
      <c r="X132" s="9">
        <v>479.26</v>
      </c>
      <c r="Y132" s="8"/>
      <c r="Z132" s="9">
        <v>458.45</v>
      </c>
      <c r="AA132" s="8"/>
      <c r="AB132" s="9">
        <v>437.6</v>
      </c>
      <c r="AC132" s="8"/>
      <c r="AD132" s="9">
        <v>479.28</v>
      </c>
      <c r="AE132" s="8"/>
      <c r="AF132" s="9">
        <v>437.61</v>
      </c>
      <c r="AG132" s="8"/>
      <c r="AH132" s="9">
        <f t="shared" si="18"/>
        <v>5605.83</v>
      </c>
      <c r="AI132" s="10">
        <f t="shared" si="19"/>
        <v>4.7891355369055068E-4</v>
      </c>
      <c r="AJ132" s="11"/>
    </row>
    <row r="133" spans="2:37" outlineLevel="1">
      <c r="B133" s="71" t="s">
        <v>380</v>
      </c>
      <c r="D133" s="5">
        <v>56060</v>
      </c>
      <c r="E133" s="5" t="s">
        <v>70</v>
      </c>
      <c r="F133" s="6"/>
      <c r="G133" s="3"/>
      <c r="H133" s="7"/>
      <c r="I133" s="8"/>
      <c r="J133" s="9">
        <v>982.26</v>
      </c>
      <c r="K133" s="8"/>
      <c r="L133" s="9">
        <v>1032.26</v>
      </c>
      <c r="M133" s="8"/>
      <c r="N133" s="9">
        <v>1013.8</v>
      </c>
      <c r="O133" s="8"/>
      <c r="P133" s="9">
        <v>926.97</v>
      </c>
      <c r="Q133" s="8"/>
      <c r="R133" s="9">
        <v>1119.74</v>
      </c>
      <c r="S133" s="8"/>
      <c r="T133" s="9">
        <v>916.22</v>
      </c>
      <c r="U133" s="8"/>
      <c r="V133" s="9">
        <v>1010.38</v>
      </c>
      <c r="W133" s="8"/>
      <c r="X133" s="9">
        <v>1010.38</v>
      </c>
      <c r="Y133" s="8"/>
      <c r="Z133" s="9">
        <v>1022.86</v>
      </c>
      <c r="AA133" s="8"/>
      <c r="AB133" s="9">
        <v>1010.38</v>
      </c>
      <c r="AC133" s="8"/>
      <c r="AD133" s="9">
        <v>903.09</v>
      </c>
      <c r="AE133" s="8"/>
      <c r="AF133" s="9">
        <v>1010.38</v>
      </c>
      <c r="AG133" s="8"/>
      <c r="AH133" s="9">
        <f t="shared" si="18"/>
        <v>11958.72</v>
      </c>
      <c r="AI133" s="10">
        <f t="shared" si="19"/>
        <v>1.0216494422396437E-3</v>
      </c>
      <c r="AJ133" s="11"/>
    </row>
    <row r="134" spans="2:37" outlineLevel="1">
      <c r="B134" s="71" t="s">
        <v>380</v>
      </c>
      <c r="D134" s="5">
        <v>56090</v>
      </c>
      <c r="E134" s="5" t="s">
        <v>41</v>
      </c>
      <c r="F134" s="6"/>
      <c r="G134" s="3"/>
      <c r="H134" s="7"/>
      <c r="I134" s="8"/>
      <c r="J134" s="9">
        <v>148.62</v>
      </c>
      <c r="K134" s="8"/>
      <c r="L134" s="9">
        <v>0</v>
      </c>
      <c r="M134" s="8"/>
      <c r="N134" s="9">
        <v>0</v>
      </c>
      <c r="O134" s="8"/>
      <c r="P134" s="9">
        <v>150</v>
      </c>
      <c r="Q134" s="8"/>
      <c r="R134" s="9">
        <v>0</v>
      </c>
      <c r="S134" s="8"/>
      <c r="T134" s="9">
        <v>0</v>
      </c>
      <c r="U134" s="8"/>
      <c r="V134" s="9">
        <v>0</v>
      </c>
      <c r="W134" s="8"/>
      <c r="X134" s="9">
        <v>0</v>
      </c>
      <c r="Y134" s="8"/>
      <c r="Z134" s="9">
        <v>0</v>
      </c>
      <c r="AA134" s="8"/>
      <c r="AB134" s="9">
        <v>0</v>
      </c>
      <c r="AC134" s="8"/>
      <c r="AD134" s="9">
        <v>0</v>
      </c>
      <c r="AE134" s="8"/>
      <c r="AF134" s="9">
        <v>0</v>
      </c>
      <c r="AG134" s="8"/>
      <c r="AH134" s="9">
        <f t="shared" si="18"/>
        <v>298.62</v>
      </c>
      <c r="AI134" s="10">
        <f t="shared" si="19"/>
        <v>2.5511505950603615E-5</v>
      </c>
      <c r="AJ134" s="11"/>
    </row>
    <row r="135" spans="2:37" outlineLevel="1">
      <c r="B135" s="71" t="s">
        <v>380</v>
      </c>
      <c r="D135" s="5">
        <v>56115</v>
      </c>
      <c r="E135" s="5" t="s">
        <v>116</v>
      </c>
      <c r="F135" s="6"/>
      <c r="G135" s="3"/>
      <c r="H135" s="7"/>
      <c r="I135" s="8"/>
      <c r="J135" s="9">
        <v>165.12</v>
      </c>
      <c r="K135" s="8"/>
      <c r="L135" s="9">
        <v>276.92</v>
      </c>
      <c r="M135" s="8"/>
      <c r="N135" s="9">
        <v>364.64</v>
      </c>
      <c r="O135" s="8"/>
      <c r="P135" s="9">
        <v>423.12</v>
      </c>
      <c r="Q135" s="8"/>
      <c r="R135" s="9">
        <v>282.08</v>
      </c>
      <c r="S135" s="8"/>
      <c r="T135" s="9">
        <v>282.08</v>
      </c>
      <c r="U135" s="8"/>
      <c r="V135" s="9">
        <v>282.08</v>
      </c>
      <c r="W135" s="8"/>
      <c r="X135" s="9">
        <v>282.08</v>
      </c>
      <c r="Y135" s="8"/>
      <c r="Z135" s="9">
        <v>423.12</v>
      </c>
      <c r="AA135" s="8"/>
      <c r="AB135" s="9">
        <v>282.08</v>
      </c>
      <c r="AC135" s="8"/>
      <c r="AD135" s="9">
        <v>282.08</v>
      </c>
      <c r="AE135" s="8"/>
      <c r="AF135" s="9">
        <v>282.08</v>
      </c>
      <c r="AG135" s="8"/>
      <c r="AH135" s="9">
        <f t="shared" si="18"/>
        <v>3627.4799999999996</v>
      </c>
      <c r="AI135" s="10">
        <f t="shared" si="19"/>
        <v>3.0990046750283164E-4</v>
      </c>
      <c r="AJ135" s="11"/>
    </row>
    <row r="136" spans="2:37" s="7" customFormat="1" ht="5.0999999999999996" customHeight="1" outlineLevel="1">
      <c r="B136" s="1" t="s">
        <v>187</v>
      </c>
      <c r="D136" s="6"/>
      <c r="E136" s="6"/>
      <c r="F136" s="6"/>
      <c r="G136" s="6"/>
      <c r="J136" s="39"/>
      <c r="K136" s="37"/>
      <c r="L136" s="39"/>
      <c r="M136" s="37"/>
      <c r="N136" s="39"/>
      <c r="O136" s="37"/>
      <c r="P136" s="39"/>
      <c r="Q136" s="37"/>
      <c r="R136" s="39"/>
      <c r="S136" s="37"/>
      <c r="T136" s="39"/>
      <c r="U136" s="37"/>
      <c r="V136" s="39"/>
      <c r="W136" s="37"/>
      <c r="X136" s="39"/>
      <c r="Y136" s="37"/>
      <c r="Z136" s="39"/>
      <c r="AA136" s="37"/>
      <c r="AB136" s="39"/>
      <c r="AC136" s="37"/>
      <c r="AD136" s="39"/>
      <c r="AE136" s="37"/>
      <c r="AF136" s="39"/>
      <c r="AG136" s="37"/>
      <c r="AH136" s="39"/>
      <c r="AI136" s="33"/>
      <c r="AJ136" s="14"/>
      <c r="AK136" s="1"/>
    </row>
    <row r="137" spans="2:37" s="7" customFormat="1" ht="15">
      <c r="B137" s="1" t="s">
        <v>187</v>
      </c>
      <c r="F137" s="6" t="s">
        <v>236</v>
      </c>
      <c r="J137" s="36">
        <f>SUM(J129:J136)</f>
        <v>9163.510000000002</v>
      </c>
      <c r="K137" s="37"/>
      <c r="L137" s="36">
        <f>SUM(L129:L136)</f>
        <v>8260.26</v>
      </c>
      <c r="M137" s="37"/>
      <c r="N137" s="36">
        <f>SUM(N129:N136)</f>
        <v>7504.5800000000008</v>
      </c>
      <c r="O137" s="37"/>
      <c r="P137" s="36">
        <f>SUM(P129:P136)</f>
        <v>8079.3099999999995</v>
      </c>
      <c r="Q137" s="37"/>
      <c r="R137" s="36">
        <f>SUM(R129:R136)</f>
        <v>8177.73</v>
      </c>
      <c r="S137" s="37"/>
      <c r="T137" s="36">
        <f>SUM(T129:T136)</f>
        <v>8168.56</v>
      </c>
      <c r="U137" s="37"/>
      <c r="V137" s="36">
        <f>SUM(V129:V136)</f>
        <v>7350.27</v>
      </c>
      <c r="W137" s="37"/>
      <c r="X137" s="36">
        <f>SUM(X129:X136)</f>
        <v>8259.16</v>
      </c>
      <c r="Y137" s="37"/>
      <c r="Z137" s="36">
        <f>SUM(Z129:Z136)</f>
        <v>8109.82</v>
      </c>
      <c r="AA137" s="37"/>
      <c r="AB137" s="36">
        <f>SUM(AB129:AB136)</f>
        <v>7653.38</v>
      </c>
      <c r="AC137" s="37"/>
      <c r="AD137" s="36">
        <f>SUM(AD129:AD136)</f>
        <v>8151.9</v>
      </c>
      <c r="AE137" s="37"/>
      <c r="AF137" s="36">
        <f>SUM(AF129:AF136)</f>
        <v>7653.4</v>
      </c>
      <c r="AG137" s="37"/>
      <c r="AH137" s="36">
        <f>SUM(AH129:AH136)</f>
        <v>96531.87999999999</v>
      </c>
      <c r="AI137" s="10">
        <f>IF(AH$49=0,0,AH137/AH$49)</f>
        <v>8.2468476024477721E-3</v>
      </c>
      <c r="AJ137" s="14"/>
      <c r="AK137" s="1"/>
    </row>
    <row r="138" spans="2:37" s="7" customFormat="1" ht="15" outlineLevel="1">
      <c r="B138" s="1"/>
      <c r="J138" s="38"/>
      <c r="K138" s="37"/>
      <c r="L138" s="38"/>
      <c r="M138" s="37"/>
      <c r="N138" s="38"/>
      <c r="O138" s="37"/>
      <c r="P138" s="38"/>
      <c r="Q138" s="37"/>
      <c r="R138" s="38"/>
      <c r="S138" s="37"/>
      <c r="T138" s="38"/>
      <c r="U138" s="37"/>
      <c r="V138" s="38"/>
      <c r="W138" s="37"/>
      <c r="X138" s="38"/>
      <c r="Y138" s="37"/>
      <c r="Z138" s="38"/>
      <c r="AA138" s="37"/>
      <c r="AB138" s="38"/>
      <c r="AC138" s="37"/>
      <c r="AD138" s="38"/>
      <c r="AE138" s="37"/>
      <c r="AF138" s="38"/>
      <c r="AG138" s="37"/>
      <c r="AH138" s="38"/>
      <c r="AI138" s="33"/>
      <c r="AJ138" s="14"/>
      <c r="AK138" s="1"/>
    </row>
    <row r="139" spans="2:37" s="7" customFormat="1" ht="15" outlineLevel="1">
      <c r="B139" s="1" t="s">
        <v>187</v>
      </c>
      <c r="J139" s="38"/>
      <c r="K139" s="37"/>
      <c r="L139" s="38"/>
      <c r="M139" s="37"/>
      <c r="N139" s="38"/>
      <c r="O139" s="37"/>
      <c r="P139" s="38"/>
      <c r="Q139" s="37"/>
      <c r="R139" s="38"/>
      <c r="S139" s="37"/>
      <c r="T139" s="38"/>
      <c r="U139" s="37"/>
      <c r="V139" s="38"/>
      <c r="W139" s="37"/>
      <c r="X139" s="38"/>
      <c r="Y139" s="37"/>
      <c r="Z139" s="38"/>
      <c r="AA139" s="37"/>
      <c r="AB139" s="38"/>
      <c r="AC139" s="37"/>
      <c r="AD139" s="38"/>
      <c r="AE139" s="37"/>
      <c r="AF139" s="38"/>
      <c r="AG139" s="37"/>
      <c r="AH139" s="38"/>
      <c r="AI139" s="33"/>
      <c r="AJ139" s="14"/>
      <c r="AK139" s="1"/>
    </row>
    <row r="140" spans="2:37" outlineLevel="1">
      <c r="B140" s="71" t="s">
        <v>397</v>
      </c>
      <c r="D140" s="5">
        <v>57125</v>
      </c>
      <c r="E140" s="5" t="s">
        <v>63</v>
      </c>
      <c r="F140" s="6"/>
      <c r="G140" s="3"/>
      <c r="H140" s="7"/>
      <c r="I140" s="8"/>
      <c r="J140" s="9">
        <v>1316.16</v>
      </c>
      <c r="K140" s="8"/>
      <c r="L140" s="9">
        <v>3110.16</v>
      </c>
      <c r="M140" s="8"/>
      <c r="N140" s="9">
        <v>3553.05</v>
      </c>
      <c r="O140" s="8"/>
      <c r="P140" s="9">
        <v>1201.5899999999999</v>
      </c>
      <c r="Q140" s="8"/>
      <c r="R140" s="9">
        <v>2120.2600000000002</v>
      </c>
      <c r="S140" s="8"/>
      <c r="T140" s="9">
        <v>1317.47</v>
      </c>
      <c r="U140" s="8"/>
      <c r="V140" s="9">
        <v>1830.77</v>
      </c>
      <c r="W140" s="8"/>
      <c r="X140" s="9">
        <v>3128.06</v>
      </c>
      <c r="Y140" s="8"/>
      <c r="Z140" s="9">
        <v>3157.29</v>
      </c>
      <c r="AA140" s="8"/>
      <c r="AB140" s="9">
        <v>-1499.95</v>
      </c>
      <c r="AC140" s="8"/>
      <c r="AD140" s="9">
        <v>1626.65</v>
      </c>
      <c r="AE140" s="8"/>
      <c r="AF140" s="9">
        <v>1688.65</v>
      </c>
      <c r="AG140" s="8"/>
      <c r="AH140" s="9">
        <f t="shared" ref="AH140:AH151" si="20">AF140+AD140+AB140+Z140+X140+V140+T140+R140+P140+N140+L140+J140</f>
        <v>22550.16</v>
      </c>
      <c r="AI140" s="10">
        <f t="shared" ref="AI140:AI151" si="21">IF(AH$49=0,0,AH140/AH$49)</f>
        <v>1.9264903255879163E-3</v>
      </c>
      <c r="AJ140" s="11"/>
    </row>
    <row r="141" spans="2:37" outlineLevel="1">
      <c r="B141" s="71" t="s">
        <v>380</v>
      </c>
      <c r="D141" s="5">
        <v>57147</v>
      </c>
      <c r="E141" s="5" t="s">
        <v>237</v>
      </c>
      <c r="F141" s="6"/>
      <c r="G141" s="3"/>
      <c r="H141" s="7"/>
      <c r="I141" s="8"/>
      <c r="J141" s="9">
        <v>8036.8</v>
      </c>
      <c r="K141" s="8"/>
      <c r="L141" s="9">
        <v>2150.1799999999998</v>
      </c>
      <c r="M141" s="8"/>
      <c r="N141" s="9">
        <v>7471.41</v>
      </c>
      <c r="O141" s="8"/>
      <c r="P141" s="9">
        <v>5562.92</v>
      </c>
      <c r="Q141" s="8"/>
      <c r="R141" s="9">
        <v>3562.49</v>
      </c>
      <c r="S141" s="8"/>
      <c r="T141" s="9">
        <v>8139.67</v>
      </c>
      <c r="U141" s="8"/>
      <c r="V141" s="9">
        <v>12224.28</v>
      </c>
      <c r="W141" s="8"/>
      <c r="X141" s="9">
        <v>3046.82</v>
      </c>
      <c r="Y141" s="8"/>
      <c r="Z141" s="9">
        <v>2205.44</v>
      </c>
      <c r="AA141" s="8"/>
      <c r="AB141" s="9">
        <v>2531.37</v>
      </c>
      <c r="AC141" s="8"/>
      <c r="AD141" s="9">
        <v>5135.41</v>
      </c>
      <c r="AE141" s="8"/>
      <c r="AF141" s="9">
        <v>5060.62</v>
      </c>
      <c r="AG141" s="8"/>
      <c r="AH141" s="9">
        <f t="shared" si="20"/>
        <v>65127.409999999996</v>
      </c>
      <c r="AI141" s="10">
        <f t="shared" si="21"/>
        <v>5.5639217325108873E-3</v>
      </c>
      <c r="AJ141" s="11"/>
    </row>
    <row r="142" spans="2:37" outlineLevel="1">
      <c r="B142" s="71" t="s">
        <v>380</v>
      </c>
      <c r="D142" s="5">
        <v>57149</v>
      </c>
      <c r="E142" s="5" t="s">
        <v>656</v>
      </c>
      <c r="F142" s="6"/>
      <c r="G142" s="3"/>
      <c r="H142" s="7"/>
      <c r="I142" s="8"/>
      <c r="J142" s="9">
        <v>0</v>
      </c>
      <c r="K142" s="8"/>
      <c r="L142" s="9">
        <v>0</v>
      </c>
      <c r="M142" s="8"/>
      <c r="N142" s="9">
        <v>-8005.07</v>
      </c>
      <c r="O142" s="8"/>
      <c r="P142" s="9">
        <v>-8005.07</v>
      </c>
      <c r="Q142" s="8"/>
      <c r="R142" s="9">
        <v>-8005.07</v>
      </c>
      <c r="S142" s="8"/>
      <c r="T142" s="9">
        <v>-8005.07</v>
      </c>
      <c r="U142" s="8"/>
      <c r="V142" s="9">
        <v>-8005.07</v>
      </c>
      <c r="W142" s="8"/>
      <c r="X142" s="9">
        <v>-8005.07</v>
      </c>
      <c r="Y142" s="8"/>
      <c r="Z142" s="9">
        <v>-8005.07</v>
      </c>
      <c r="AA142" s="8"/>
      <c r="AB142" s="9">
        <v>-8005.07</v>
      </c>
      <c r="AC142" s="8"/>
      <c r="AD142" s="9">
        <v>-8005.07</v>
      </c>
      <c r="AE142" s="8"/>
      <c r="AF142" s="9">
        <v>-8005.07</v>
      </c>
      <c r="AG142" s="8"/>
      <c r="AH142" s="9">
        <f t="shared" si="20"/>
        <v>-80050.700000000012</v>
      </c>
      <c r="AI142" s="10">
        <f t="shared" si="21"/>
        <v>-6.8388383544303296E-3</v>
      </c>
      <c r="AJ142" s="11"/>
    </row>
    <row r="143" spans="2:37" outlineLevel="1">
      <c r="B143" s="71" t="s">
        <v>380</v>
      </c>
      <c r="D143" s="5">
        <v>57150</v>
      </c>
      <c r="E143" s="5" t="s">
        <v>46</v>
      </c>
      <c r="F143" s="6"/>
      <c r="G143" s="3"/>
      <c r="H143" s="7"/>
      <c r="I143" s="8"/>
      <c r="J143" s="9">
        <v>2198.48</v>
      </c>
      <c r="K143" s="8"/>
      <c r="L143" s="9">
        <v>2634.26</v>
      </c>
      <c r="M143" s="8"/>
      <c r="N143" s="9">
        <v>2844.06</v>
      </c>
      <c r="O143" s="8"/>
      <c r="P143" s="9">
        <v>2894.01</v>
      </c>
      <c r="Q143" s="8"/>
      <c r="R143" s="9">
        <v>1587</v>
      </c>
      <c r="S143" s="8"/>
      <c r="T143" s="9">
        <v>1265.21</v>
      </c>
      <c r="U143" s="8"/>
      <c r="V143" s="9">
        <v>904.52</v>
      </c>
      <c r="W143" s="8"/>
      <c r="X143" s="9">
        <v>743.34</v>
      </c>
      <c r="Y143" s="8"/>
      <c r="Z143" s="9">
        <v>735.24</v>
      </c>
      <c r="AA143" s="8"/>
      <c r="AB143" s="9">
        <v>772.61</v>
      </c>
      <c r="AC143" s="8"/>
      <c r="AD143" s="9">
        <v>1302.3599999999999</v>
      </c>
      <c r="AE143" s="8"/>
      <c r="AF143" s="9">
        <v>2175.81</v>
      </c>
      <c r="AG143" s="8"/>
      <c r="AH143" s="9">
        <f t="shared" si="20"/>
        <v>20056.899999999998</v>
      </c>
      <c r="AI143" s="10">
        <f t="shared" si="21"/>
        <v>1.7134877895005746E-3</v>
      </c>
      <c r="AJ143" s="11"/>
    </row>
    <row r="144" spans="2:37" outlineLevel="1">
      <c r="B144" s="71" t="s">
        <v>380</v>
      </c>
      <c r="D144" s="5">
        <v>57170</v>
      </c>
      <c r="E144" s="5" t="s">
        <v>647</v>
      </c>
      <c r="F144" s="6"/>
      <c r="G144" s="3"/>
      <c r="H144" s="7"/>
      <c r="I144" s="8"/>
      <c r="J144" s="9">
        <v>9209.5</v>
      </c>
      <c r="K144" s="8"/>
      <c r="L144" s="9">
        <v>7054.63</v>
      </c>
      <c r="M144" s="8"/>
      <c r="N144" s="9">
        <v>16010.14</v>
      </c>
      <c r="O144" s="8"/>
      <c r="P144" s="9">
        <v>16010.14</v>
      </c>
      <c r="Q144" s="8"/>
      <c r="R144" s="9">
        <v>16010.14</v>
      </c>
      <c r="S144" s="8"/>
      <c r="T144" s="9">
        <v>16010.14</v>
      </c>
      <c r="U144" s="8"/>
      <c r="V144" s="9">
        <v>16010.14</v>
      </c>
      <c r="W144" s="8"/>
      <c r="X144" s="9">
        <v>16010.14</v>
      </c>
      <c r="Y144" s="8"/>
      <c r="Z144" s="9">
        <v>16010.14</v>
      </c>
      <c r="AA144" s="8"/>
      <c r="AB144" s="9">
        <v>16010.14</v>
      </c>
      <c r="AC144" s="8"/>
      <c r="AD144" s="9">
        <v>16010.14</v>
      </c>
      <c r="AE144" s="8"/>
      <c r="AF144" s="9">
        <v>16010.14</v>
      </c>
      <c r="AG144" s="8"/>
      <c r="AH144" s="9">
        <f t="shared" si="20"/>
        <v>176365.53000000003</v>
      </c>
      <c r="AI144" s="10">
        <f t="shared" si="21"/>
        <v>1.5067143085112721E-2</v>
      </c>
      <c r="AJ144" s="11"/>
    </row>
    <row r="145" spans="2:37" outlineLevel="1">
      <c r="B145" s="71" t="s">
        <v>380</v>
      </c>
      <c r="D145" s="5">
        <v>57254</v>
      </c>
      <c r="E145" s="5" t="s">
        <v>533</v>
      </c>
      <c r="F145" s="6"/>
      <c r="G145" s="3"/>
      <c r="H145" s="7"/>
      <c r="I145" s="8"/>
      <c r="J145" s="9">
        <v>2236.69</v>
      </c>
      <c r="K145" s="8"/>
      <c r="L145" s="9">
        <v>1724.62</v>
      </c>
      <c r="M145" s="8"/>
      <c r="N145" s="9">
        <v>1724.62</v>
      </c>
      <c r="O145" s="8"/>
      <c r="P145" s="9">
        <v>1724.62</v>
      </c>
      <c r="Q145" s="8"/>
      <c r="R145" s="9">
        <v>1724.62</v>
      </c>
      <c r="S145" s="8"/>
      <c r="T145" s="9">
        <v>1724.62</v>
      </c>
      <c r="U145" s="8"/>
      <c r="V145" s="9">
        <v>1724.62</v>
      </c>
      <c r="W145" s="8"/>
      <c r="X145" s="9">
        <v>1724.62</v>
      </c>
      <c r="Y145" s="8"/>
      <c r="Z145" s="9">
        <v>2005.44</v>
      </c>
      <c r="AA145" s="8"/>
      <c r="AB145" s="9">
        <v>2005.44</v>
      </c>
      <c r="AC145" s="8"/>
      <c r="AD145" s="9">
        <v>2005.44</v>
      </c>
      <c r="AE145" s="8"/>
      <c r="AF145" s="9">
        <v>2063.69</v>
      </c>
      <c r="AG145" s="8"/>
      <c r="AH145" s="9">
        <f t="shared" si="20"/>
        <v>22389.039999999994</v>
      </c>
      <c r="AI145" s="10">
        <f t="shared" si="21"/>
        <v>1.9127256285188605E-3</v>
      </c>
      <c r="AJ145" s="11"/>
    </row>
    <row r="146" spans="2:37" outlineLevel="1">
      <c r="B146" s="71" t="s">
        <v>380</v>
      </c>
      <c r="D146" s="5">
        <v>57255</v>
      </c>
      <c r="E146" s="5" t="s">
        <v>65</v>
      </c>
      <c r="F146" s="6"/>
      <c r="G146" s="3"/>
      <c r="H146" s="7"/>
      <c r="I146" s="8"/>
      <c r="J146" s="9">
        <v>0</v>
      </c>
      <c r="K146" s="8"/>
      <c r="L146" s="9">
        <v>0</v>
      </c>
      <c r="M146" s="8"/>
      <c r="N146" s="9">
        <v>0</v>
      </c>
      <c r="O146" s="8"/>
      <c r="P146" s="9">
        <v>0</v>
      </c>
      <c r="Q146" s="8"/>
      <c r="R146" s="9">
        <v>0</v>
      </c>
      <c r="S146" s="8"/>
      <c r="T146" s="9">
        <v>0</v>
      </c>
      <c r="U146" s="8"/>
      <c r="V146" s="9">
        <v>450</v>
      </c>
      <c r="W146" s="8"/>
      <c r="X146" s="9">
        <v>0</v>
      </c>
      <c r="Y146" s="8"/>
      <c r="Z146" s="9">
        <v>0</v>
      </c>
      <c r="AA146" s="8"/>
      <c r="AB146" s="9">
        <v>0</v>
      </c>
      <c r="AC146" s="8"/>
      <c r="AD146" s="9">
        <v>0</v>
      </c>
      <c r="AE146" s="8"/>
      <c r="AF146" s="9">
        <v>1930.89</v>
      </c>
      <c r="AG146" s="8"/>
      <c r="AH146" s="9">
        <f t="shared" si="20"/>
        <v>2380.8900000000003</v>
      </c>
      <c r="AI146" s="10">
        <f t="shared" si="21"/>
        <v>2.034026167126537E-4</v>
      </c>
      <c r="AJ146" s="11"/>
    </row>
    <row r="147" spans="2:37" outlineLevel="1">
      <c r="B147" s="71" t="s">
        <v>380</v>
      </c>
      <c r="D147" s="5">
        <v>57275</v>
      </c>
      <c r="E147" s="5" t="s">
        <v>238</v>
      </c>
      <c r="F147" s="6"/>
      <c r="G147" s="3"/>
      <c r="H147" s="7"/>
      <c r="I147" s="8"/>
      <c r="J147" s="9">
        <v>2445.06</v>
      </c>
      <c r="K147" s="8"/>
      <c r="L147" s="9">
        <v>2287.0700000000002</v>
      </c>
      <c r="M147" s="8"/>
      <c r="N147" s="9">
        <v>2287.0700000000002</v>
      </c>
      <c r="O147" s="8"/>
      <c r="P147" s="9">
        <v>2287.0700000000002</v>
      </c>
      <c r="Q147" s="8"/>
      <c r="R147" s="9">
        <v>2290.9299999999998</v>
      </c>
      <c r="S147" s="8"/>
      <c r="T147" s="9">
        <v>2288.0300000000002</v>
      </c>
      <c r="U147" s="8"/>
      <c r="V147" s="9">
        <v>2288.0300000000002</v>
      </c>
      <c r="W147" s="8"/>
      <c r="X147" s="9">
        <v>2288.0300000000002</v>
      </c>
      <c r="Y147" s="8"/>
      <c r="Z147" s="9">
        <v>2288.0500000000002</v>
      </c>
      <c r="AA147" s="8"/>
      <c r="AB147" s="9">
        <v>2288.04</v>
      </c>
      <c r="AC147" s="8"/>
      <c r="AD147" s="9">
        <v>2288.04</v>
      </c>
      <c r="AE147" s="8"/>
      <c r="AF147" s="9">
        <v>2288.04</v>
      </c>
      <c r="AG147" s="8"/>
      <c r="AH147" s="9">
        <f t="shared" si="20"/>
        <v>27613.460000000003</v>
      </c>
      <c r="AI147" s="10">
        <f t="shared" si="21"/>
        <v>2.3590548158420564E-3</v>
      </c>
      <c r="AJ147" s="11"/>
    </row>
    <row r="148" spans="2:37" outlineLevel="1">
      <c r="B148" s="71" t="s">
        <v>380</v>
      </c>
      <c r="D148" s="5">
        <v>57280</v>
      </c>
      <c r="E148" s="5" t="s">
        <v>151</v>
      </c>
      <c r="F148" s="6"/>
      <c r="G148" s="3"/>
      <c r="H148" s="7"/>
      <c r="I148" s="8"/>
      <c r="J148" s="9">
        <v>594</v>
      </c>
      <c r="K148" s="8"/>
      <c r="L148" s="9">
        <v>0</v>
      </c>
      <c r="M148" s="8"/>
      <c r="N148" s="9">
        <v>120.5</v>
      </c>
      <c r="O148" s="8"/>
      <c r="P148" s="9">
        <v>80.5</v>
      </c>
      <c r="Q148" s="8"/>
      <c r="R148" s="9">
        <v>49</v>
      </c>
      <c r="S148" s="8"/>
      <c r="T148" s="9">
        <v>31.5</v>
      </c>
      <c r="U148" s="8"/>
      <c r="V148" s="9">
        <v>17.5</v>
      </c>
      <c r="W148" s="8"/>
      <c r="X148" s="9">
        <v>52.5</v>
      </c>
      <c r="Y148" s="8"/>
      <c r="Z148" s="9">
        <v>24.5</v>
      </c>
      <c r="AA148" s="8"/>
      <c r="AB148" s="9">
        <v>21</v>
      </c>
      <c r="AC148" s="8"/>
      <c r="AD148" s="9">
        <v>110</v>
      </c>
      <c r="AE148" s="8"/>
      <c r="AF148" s="9">
        <v>115.5</v>
      </c>
      <c r="AG148" s="8"/>
      <c r="AH148" s="9">
        <f t="shared" si="20"/>
        <v>1216.5</v>
      </c>
      <c r="AI148" s="10">
        <f t="shared" si="21"/>
        <v>1.0392722185020861E-4</v>
      </c>
      <c r="AJ148" s="11"/>
    </row>
    <row r="149" spans="2:37" outlineLevel="1">
      <c r="B149" s="71" t="s">
        <v>380</v>
      </c>
      <c r="D149" s="5">
        <v>57345</v>
      </c>
      <c r="E149" s="5" t="s">
        <v>97</v>
      </c>
      <c r="F149" s="6"/>
      <c r="G149" s="3"/>
      <c r="H149" s="7"/>
      <c r="I149" s="8"/>
      <c r="J149" s="9">
        <v>-32.75</v>
      </c>
      <c r="K149" s="8"/>
      <c r="L149" s="9">
        <v>116.55</v>
      </c>
      <c r="M149" s="8"/>
      <c r="N149" s="9">
        <v>0</v>
      </c>
      <c r="O149" s="8"/>
      <c r="P149" s="9">
        <v>75</v>
      </c>
      <c r="Q149" s="8"/>
      <c r="R149" s="9">
        <v>150</v>
      </c>
      <c r="S149" s="8"/>
      <c r="T149" s="9">
        <v>75</v>
      </c>
      <c r="U149" s="8"/>
      <c r="V149" s="9">
        <v>116.55</v>
      </c>
      <c r="W149" s="8"/>
      <c r="X149" s="9">
        <v>62.45</v>
      </c>
      <c r="Y149" s="8"/>
      <c r="Z149" s="9">
        <v>-75</v>
      </c>
      <c r="AA149" s="8"/>
      <c r="AB149" s="9">
        <v>150</v>
      </c>
      <c r="AC149" s="8"/>
      <c r="AD149" s="9">
        <v>14.85</v>
      </c>
      <c r="AE149" s="8"/>
      <c r="AF149" s="9">
        <v>0</v>
      </c>
      <c r="AG149" s="8"/>
      <c r="AH149" s="9">
        <f t="shared" si="20"/>
        <v>652.65</v>
      </c>
      <c r="AI149" s="10">
        <f t="shared" si="21"/>
        <v>5.5756762302127949E-5</v>
      </c>
      <c r="AJ149" s="11"/>
    </row>
    <row r="150" spans="2:37" outlineLevel="1">
      <c r="B150" s="71" t="s">
        <v>380</v>
      </c>
      <c r="D150" s="5">
        <v>57357</v>
      </c>
      <c r="E150" s="5" t="s">
        <v>140</v>
      </c>
      <c r="F150" s="6"/>
      <c r="G150" s="3"/>
      <c r="H150" s="7"/>
      <c r="I150" s="8"/>
      <c r="J150" s="9">
        <v>51.25</v>
      </c>
      <c r="K150" s="8"/>
      <c r="L150" s="9">
        <v>0</v>
      </c>
      <c r="M150" s="8"/>
      <c r="N150" s="9">
        <v>0</v>
      </c>
      <c r="O150" s="8"/>
      <c r="P150" s="9">
        <v>0</v>
      </c>
      <c r="Q150" s="8"/>
      <c r="R150" s="9">
        <v>0</v>
      </c>
      <c r="S150" s="8"/>
      <c r="T150" s="9">
        <v>110</v>
      </c>
      <c r="U150" s="8"/>
      <c r="V150" s="9">
        <v>73</v>
      </c>
      <c r="W150" s="8"/>
      <c r="X150" s="9">
        <v>52.74</v>
      </c>
      <c r="Y150" s="8"/>
      <c r="Z150" s="9">
        <v>0</v>
      </c>
      <c r="AA150" s="8"/>
      <c r="AB150" s="9">
        <v>0</v>
      </c>
      <c r="AC150" s="8"/>
      <c r="AD150" s="9">
        <v>0</v>
      </c>
      <c r="AE150" s="8"/>
      <c r="AF150" s="9">
        <v>80.05</v>
      </c>
      <c r="AG150" s="8"/>
      <c r="AH150" s="9">
        <f t="shared" si="20"/>
        <v>367.03999999999996</v>
      </c>
      <c r="AI150" s="10">
        <f t="shared" si="21"/>
        <v>3.1356718050062114E-5</v>
      </c>
      <c r="AJ150" s="11"/>
    </row>
    <row r="151" spans="2:37" outlineLevel="1">
      <c r="B151" s="71" t="s">
        <v>380</v>
      </c>
      <c r="D151" s="5">
        <v>57370</v>
      </c>
      <c r="E151" s="5" t="s">
        <v>239</v>
      </c>
      <c r="F151" s="6"/>
      <c r="G151" s="3"/>
      <c r="H151" s="7"/>
      <c r="I151" s="8"/>
      <c r="J151" s="9">
        <v>48.29</v>
      </c>
      <c r="K151" s="8"/>
      <c r="L151" s="9">
        <v>49.22</v>
      </c>
      <c r="M151" s="8"/>
      <c r="N151" s="9">
        <v>49.22</v>
      </c>
      <c r="O151" s="8"/>
      <c r="P151" s="9">
        <v>49.22</v>
      </c>
      <c r="Q151" s="8"/>
      <c r="R151" s="9">
        <v>49.22</v>
      </c>
      <c r="S151" s="8"/>
      <c r="T151" s="9">
        <v>49.22</v>
      </c>
      <c r="U151" s="8"/>
      <c r="V151" s="9">
        <v>49.22</v>
      </c>
      <c r="W151" s="8"/>
      <c r="X151" s="9">
        <v>44.3</v>
      </c>
      <c r="Y151" s="8"/>
      <c r="Z151" s="9">
        <v>44.3</v>
      </c>
      <c r="AA151" s="8"/>
      <c r="AB151" s="9">
        <v>44.3</v>
      </c>
      <c r="AC151" s="8"/>
      <c r="AD151" s="9">
        <v>44.3</v>
      </c>
      <c r="AE151" s="8"/>
      <c r="AF151" s="9">
        <v>44.3</v>
      </c>
      <c r="AG151" s="8"/>
      <c r="AH151" s="9">
        <f t="shared" si="20"/>
        <v>565.11000000000013</v>
      </c>
      <c r="AI151" s="10">
        <f t="shared" si="21"/>
        <v>4.8278103033104314E-5</v>
      </c>
      <c r="AJ151" s="11"/>
    </row>
    <row r="152" spans="2:37" s="7" customFormat="1" ht="5.0999999999999996" customHeight="1" outlineLevel="1">
      <c r="B152" s="34" t="s">
        <v>187</v>
      </c>
      <c r="D152" s="6"/>
      <c r="E152" s="6"/>
      <c r="F152" s="6"/>
      <c r="G152" s="6"/>
      <c r="J152" s="39"/>
      <c r="K152" s="37"/>
      <c r="L152" s="39"/>
      <c r="M152" s="37"/>
      <c r="N152" s="39"/>
      <c r="O152" s="37"/>
      <c r="P152" s="39"/>
      <c r="Q152" s="37"/>
      <c r="R152" s="39"/>
      <c r="S152" s="37"/>
      <c r="T152" s="39"/>
      <c r="U152" s="37"/>
      <c r="V152" s="39"/>
      <c r="W152" s="37"/>
      <c r="X152" s="39"/>
      <c r="Y152" s="37"/>
      <c r="Z152" s="39"/>
      <c r="AA152" s="37"/>
      <c r="AB152" s="39"/>
      <c r="AC152" s="37"/>
      <c r="AD152" s="39"/>
      <c r="AE152" s="37"/>
      <c r="AF152" s="39"/>
      <c r="AG152" s="37"/>
      <c r="AH152" s="39"/>
      <c r="AI152" s="33"/>
      <c r="AJ152" s="14"/>
      <c r="AK152" s="1"/>
    </row>
    <row r="153" spans="2:37" s="7" customFormat="1" ht="15">
      <c r="B153" s="34" t="s">
        <v>187</v>
      </c>
      <c r="F153" s="6" t="s">
        <v>240</v>
      </c>
      <c r="J153" s="36">
        <f>SUM(J139:J152)</f>
        <v>26103.480000000003</v>
      </c>
      <c r="K153" s="37"/>
      <c r="L153" s="36">
        <f>SUM(L139:L152)</f>
        <v>19126.689999999999</v>
      </c>
      <c r="M153" s="37"/>
      <c r="N153" s="36">
        <f>SUM(N139:N152)</f>
        <v>26054.999999999996</v>
      </c>
      <c r="O153" s="37"/>
      <c r="P153" s="36">
        <f>SUM(P139:P152)</f>
        <v>21880</v>
      </c>
      <c r="Q153" s="37"/>
      <c r="R153" s="36">
        <f>SUM(R139:R152)</f>
        <v>19538.59</v>
      </c>
      <c r="S153" s="37"/>
      <c r="T153" s="36">
        <f>SUM(T139:T152)</f>
        <v>23005.789999999997</v>
      </c>
      <c r="U153" s="37"/>
      <c r="V153" s="36">
        <f>SUM(V139:V152)</f>
        <v>27683.559999999998</v>
      </c>
      <c r="W153" s="37"/>
      <c r="X153" s="36">
        <f>SUM(X139:X152)</f>
        <v>19147.93</v>
      </c>
      <c r="Y153" s="37"/>
      <c r="Z153" s="36">
        <f>SUM(Z139:Z152)</f>
        <v>18390.329999999998</v>
      </c>
      <c r="AA153" s="37"/>
      <c r="AB153" s="36">
        <f>SUM(AB139:AB152)</f>
        <v>14317.879999999997</v>
      </c>
      <c r="AC153" s="37"/>
      <c r="AD153" s="36">
        <f>SUM(AD139:AD152)</f>
        <v>20532.12</v>
      </c>
      <c r="AE153" s="37"/>
      <c r="AF153" s="36">
        <f>SUM(AF139:AF152)</f>
        <v>23452.62</v>
      </c>
      <c r="AG153" s="37"/>
      <c r="AH153" s="36">
        <f>SUM(AH139:AH152)</f>
        <v>259233.99000000002</v>
      </c>
      <c r="AI153" s="10">
        <f>IF(AH$49=0,0,AH153/AH$49)</f>
        <v>2.2146706444590845E-2</v>
      </c>
      <c r="AJ153" s="14"/>
      <c r="AK153" s="1"/>
    </row>
    <row r="154" spans="2:37" s="7" customFormat="1" ht="15" outlineLevel="1">
      <c r="B154" s="34"/>
      <c r="J154" s="38"/>
      <c r="K154" s="37"/>
      <c r="L154" s="38"/>
      <c r="M154" s="37"/>
      <c r="N154" s="38"/>
      <c r="O154" s="37"/>
      <c r="P154" s="38"/>
      <c r="Q154" s="37"/>
      <c r="R154" s="38"/>
      <c r="S154" s="37"/>
      <c r="T154" s="38"/>
      <c r="U154" s="37"/>
      <c r="V154" s="38"/>
      <c r="W154" s="37"/>
      <c r="X154" s="38"/>
      <c r="Y154" s="37"/>
      <c r="Z154" s="38"/>
      <c r="AA154" s="37"/>
      <c r="AB154" s="38"/>
      <c r="AC154" s="37"/>
      <c r="AD154" s="38"/>
      <c r="AE154" s="37"/>
      <c r="AF154" s="38"/>
      <c r="AG154" s="37"/>
      <c r="AH154" s="38"/>
      <c r="AI154" s="33"/>
      <c r="AJ154" s="14"/>
      <c r="AK154" s="1"/>
    </row>
    <row r="155" spans="2:37" s="7" customFormat="1" ht="15" outlineLevel="1">
      <c r="B155" s="34"/>
      <c r="D155" s="45"/>
      <c r="E155" s="45"/>
      <c r="F155" s="45"/>
      <c r="G155" s="45"/>
      <c r="H155" s="45"/>
      <c r="I155" s="45"/>
      <c r="J155" s="46"/>
      <c r="K155" s="47"/>
      <c r="L155" s="46"/>
      <c r="M155" s="47"/>
      <c r="N155" s="46"/>
      <c r="O155" s="47"/>
      <c r="P155" s="46"/>
      <c r="Q155" s="47"/>
      <c r="R155" s="46"/>
      <c r="S155" s="47"/>
      <c r="T155" s="46"/>
      <c r="U155" s="47"/>
      <c r="V155" s="46"/>
      <c r="W155" s="47"/>
      <c r="X155" s="46"/>
      <c r="Y155" s="47"/>
      <c r="Z155" s="46"/>
      <c r="AA155" s="47"/>
      <c r="AB155" s="46"/>
      <c r="AC155" s="47"/>
      <c r="AD155" s="46"/>
      <c r="AE155" s="47"/>
      <c r="AF155" s="46"/>
      <c r="AG155" s="47"/>
      <c r="AH155" s="46"/>
      <c r="AI155" s="45"/>
      <c r="AJ155" s="45"/>
      <c r="AK155" s="1"/>
    </row>
    <row r="156" spans="2:37" s="7" customFormat="1" ht="4.5" customHeight="1" outlineLevel="1">
      <c r="B156" s="34"/>
      <c r="D156" s="40"/>
      <c r="J156" s="39"/>
      <c r="K156" s="37"/>
      <c r="L156" s="39"/>
      <c r="M156" s="37"/>
      <c r="N156" s="39"/>
      <c r="O156" s="37"/>
      <c r="P156" s="39"/>
      <c r="Q156" s="37"/>
      <c r="R156" s="39"/>
      <c r="S156" s="37"/>
      <c r="T156" s="39"/>
      <c r="U156" s="37"/>
      <c r="V156" s="39"/>
      <c r="W156" s="37"/>
      <c r="X156" s="39"/>
      <c r="Y156" s="37"/>
      <c r="Z156" s="39"/>
      <c r="AA156" s="37"/>
      <c r="AB156" s="39"/>
      <c r="AC156" s="37"/>
      <c r="AD156" s="39"/>
      <c r="AE156" s="37"/>
      <c r="AF156" s="39"/>
      <c r="AG156" s="37"/>
      <c r="AH156" s="39"/>
      <c r="AI156" s="33"/>
      <c r="AJ156" s="14"/>
      <c r="AK156" s="1"/>
    </row>
    <row r="157" spans="2:37" s="7" customFormat="1" ht="15">
      <c r="B157" s="34"/>
      <c r="F157" s="7" t="s">
        <v>241</v>
      </c>
      <c r="J157" s="36">
        <f>SUM(J155:J156)</f>
        <v>0</v>
      </c>
      <c r="K157" s="37"/>
      <c r="L157" s="36">
        <f>SUM(L155:L156)</f>
        <v>0</v>
      </c>
      <c r="M157" s="37"/>
      <c r="N157" s="36">
        <f>SUM(N155:N156)</f>
        <v>0</v>
      </c>
      <c r="O157" s="37"/>
      <c r="P157" s="36">
        <f>SUM(P155:P156)</f>
        <v>0</v>
      </c>
      <c r="Q157" s="37"/>
      <c r="R157" s="36">
        <f>SUM(R155:R156)</f>
        <v>0</v>
      </c>
      <c r="S157" s="37"/>
      <c r="T157" s="36">
        <f>SUM(T155:T156)</f>
        <v>0</v>
      </c>
      <c r="U157" s="37"/>
      <c r="V157" s="36">
        <f>SUM(V155:V156)</f>
        <v>0</v>
      </c>
      <c r="W157" s="37"/>
      <c r="X157" s="36">
        <f>SUM(X155:X156)</f>
        <v>0</v>
      </c>
      <c r="Y157" s="37"/>
      <c r="Z157" s="36">
        <f>SUM(Z155:Z156)</f>
        <v>0</v>
      </c>
      <c r="AA157" s="37"/>
      <c r="AB157" s="36">
        <f>SUM(AB155:AB156)</f>
        <v>0</v>
      </c>
      <c r="AC157" s="37"/>
      <c r="AD157" s="36">
        <f>SUM(AD155:AD156)</f>
        <v>0</v>
      </c>
      <c r="AE157" s="37"/>
      <c r="AF157" s="36">
        <f>SUM(AF155:AF156)</f>
        <v>0</v>
      </c>
      <c r="AG157" s="37"/>
      <c r="AH157" s="36">
        <f>SUM(AH155:AH156)</f>
        <v>0</v>
      </c>
      <c r="AI157" s="10">
        <f>IF(AH$49=0,0,AH157/AH$49)</f>
        <v>0</v>
      </c>
      <c r="AJ157" s="14"/>
      <c r="AK157" s="1"/>
    </row>
    <row r="158" spans="2:37" s="7" customFormat="1" ht="15" outlineLevel="1">
      <c r="B158" s="34"/>
      <c r="J158" s="38"/>
      <c r="K158" s="37"/>
      <c r="L158" s="38"/>
      <c r="M158" s="37"/>
      <c r="N158" s="38"/>
      <c r="O158" s="37"/>
      <c r="P158" s="38"/>
      <c r="Q158" s="37"/>
      <c r="R158" s="38"/>
      <c r="S158" s="37"/>
      <c r="T158" s="38"/>
      <c r="U158" s="37"/>
      <c r="V158" s="38"/>
      <c r="W158" s="37"/>
      <c r="X158" s="38"/>
      <c r="Y158" s="37"/>
      <c r="Z158" s="38"/>
      <c r="AA158" s="37"/>
      <c r="AB158" s="38"/>
      <c r="AC158" s="37"/>
      <c r="AD158" s="38"/>
      <c r="AE158" s="37"/>
      <c r="AF158" s="38"/>
      <c r="AG158" s="37"/>
      <c r="AH158" s="38"/>
      <c r="AI158" s="33"/>
      <c r="AJ158" s="14"/>
      <c r="AK158" s="1"/>
    </row>
    <row r="159" spans="2:37" s="7" customFormat="1" ht="15" outlineLevel="1">
      <c r="B159" s="34"/>
      <c r="J159" s="38"/>
      <c r="K159" s="37"/>
      <c r="L159" s="38"/>
      <c r="M159" s="37"/>
      <c r="N159" s="38"/>
      <c r="O159" s="37"/>
      <c r="P159" s="38"/>
      <c r="Q159" s="37"/>
      <c r="R159" s="38"/>
      <c r="S159" s="37"/>
      <c r="T159" s="38"/>
      <c r="U159" s="37"/>
      <c r="V159" s="38"/>
      <c r="W159" s="37"/>
      <c r="X159" s="38"/>
      <c r="Y159" s="37"/>
      <c r="Z159" s="38"/>
      <c r="AA159" s="37"/>
      <c r="AB159" s="38"/>
      <c r="AC159" s="37"/>
      <c r="AD159" s="38"/>
      <c r="AE159" s="37"/>
      <c r="AF159" s="38"/>
      <c r="AG159" s="37"/>
      <c r="AH159" s="38"/>
      <c r="AI159" s="33"/>
      <c r="AJ159" s="14"/>
      <c r="AK159" s="1"/>
    </row>
    <row r="160" spans="2:37" outlineLevel="1">
      <c r="B160" s="71" t="s">
        <v>398</v>
      </c>
      <c r="D160" s="5">
        <v>59340</v>
      </c>
      <c r="E160" s="5" t="s">
        <v>80</v>
      </c>
      <c r="F160" s="6"/>
      <c r="G160" s="3"/>
      <c r="H160" s="7"/>
      <c r="I160" s="8"/>
      <c r="J160" s="9">
        <v>3826.22</v>
      </c>
      <c r="K160" s="8"/>
      <c r="L160" s="9">
        <v>6620.77</v>
      </c>
      <c r="M160" s="8"/>
      <c r="N160" s="9">
        <v>6620.77</v>
      </c>
      <c r="O160" s="8"/>
      <c r="P160" s="9">
        <v>6620.77</v>
      </c>
      <c r="Q160" s="8"/>
      <c r="R160" s="9">
        <v>7130.96</v>
      </c>
      <c r="S160" s="8"/>
      <c r="T160" s="9">
        <v>7130.96</v>
      </c>
      <c r="U160" s="8"/>
      <c r="V160" s="9">
        <v>7130.96</v>
      </c>
      <c r="W160" s="8"/>
      <c r="X160" s="9">
        <v>7130.96</v>
      </c>
      <c r="Y160" s="8"/>
      <c r="Z160" s="9">
        <v>7130.96</v>
      </c>
      <c r="AA160" s="8"/>
      <c r="AB160" s="9">
        <v>7130.96</v>
      </c>
      <c r="AC160" s="8"/>
      <c r="AD160" s="9">
        <v>7130.96</v>
      </c>
      <c r="AE160" s="8"/>
      <c r="AF160" s="9">
        <v>7130.96</v>
      </c>
      <c r="AG160" s="8"/>
      <c r="AH160" s="9">
        <f t="shared" ref="AH160:AH166" si="22">AF160+AD160+AB160+Z160+X160+V160+T160+R160+P160+N160+L160+J160</f>
        <v>80736.210000000006</v>
      </c>
      <c r="AI160" s="10">
        <f t="shared" ref="AI160:AI166" si="23">IF(AH$49=0,0,AH160/AH$49)</f>
        <v>6.8974023904768041E-3</v>
      </c>
      <c r="AJ160" s="11"/>
    </row>
    <row r="161" spans="2:37" outlineLevel="1">
      <c r="B161" s="71" t="s">
        <v>380</v>
      </c>
      <c r="D161" s="5">
        <v>59341</v>
      </c>
      <c r="E161" s="5" t="s">
        <v>242</v>
      </c>
      <c r="F161" s="6"/>
      <c r="G161" s="3"/>
      <c r="H161" s="7"/>
      <c r="I161" s="8"/>
      <c r="J161" s="9">
        <v>0</v>
      </c>
      <c r="K161" s="8"/>
      <c r="L161" s="9">
        <v>0</v>
      </c>
      <c r="M161" s="8"/>
      <c r="N161" s="9">
        <v>0</v>
      </c>
      <c r="O161" s="8"/>
      <c r="P161" s="9">
        <v>0</v>
      </c>
      <c r="Q161" s="8"/>
      <c r="R161" s="9">
        <v>0</v>
      </c>
      <c r="S161" s="8"/>
      <c r="T161" s="9">
        <v>0</v>
      </c>
      <c r="U161" s="8"/>
      <c r="V161" s="9">
        <v>0</v>
      </c>
      <c r="W161" s="8"/>
      <c r="X161" s="9">
        <v>0</v>
      </c>
      <c r="Y161" s="8"/>
      <c r="Z161" s="9">
        <v>0</v>
      </c>
      <c r="AA161" s="8"/>
      <c r="AB161" s="9">
        <v>0</v>
      </c>
      <c r="AC161" s="8"/>
      <c r="AD161" s="9">
        <v>0</v>
      </c>
      <c r="AE161" s="8"/>
      <c r="AF161" s="9">
        <v>1250</v>
      </c>
      <c r="AG161" s="8"/>
      <c r="AH161" s="9">
        <f t="shared" si="22"/>
        <v>1250</v>
      </c>
      <c r="AI161" s="10">
        <f t="shared" si="23"/>
        <v>1.0678917165044041E-4</v>
      </c>
      <c r="AJ161" s="11"/>
    </row>
    <row r="162" spans="2:37" outlineLevel="1">
      <c r="B162" s="71" t="s">
        <v>380</v>
      </c>
      <c r="D162" s="5">
        <v>59343</v>
      </c>
      <c r="E162" s="5" t="s">
        <v>244</v>
      </c>
      <c r="F162" s="6"/>
      <c r="G162" s="3"/>
      <c r="H162" s="7"/>
      <c r="I162" s="8"/>
      <c r="J162" s="9">
        <v>0</v>
      </c>
      <c r="K162" s="8"/>
      <c r="L162" s="9">
        <v>0</v>
      </c>
      <c r="M162" s="8"/>
      <c r="N162" s="9">
        <v>0</v>
      </c>
      <c r="O162" s="8"/>
      <c r="P162" s="9">
        <v>0</v>
      </c>
      <c r="Q162" s="8"/>
      <c r="R162" s="9">
        <v>0</v>
      </c>
      <c r="S162" s="8"/>
      <c r="T162" s="9">
        <v>0</v>
      </c>
      <c r="U162" s="8"/>
      <c r="V162" s="9">
        <v>0</v>
      </c>
      <c r="W162" s="8"/>
      <c r="X162" s="9">
        <v>0</v>
      </c>
      <c r="Y162" s="8"/>
      <c r="Z162" s="9">
        <v>11470</v>
      </c>
      <c r="AA162" s="8"/>
      <c r="AB162" s="9">
        <v>0</v>
      </c>
      <c r="AC162" s="8"/>
      <c r="AD162" s="9">
        <v>12640</v>
      </c>
      <c r="AE162" s="8"/>
      <c r="AF162" s="9">
        <v>24800</v>
      </c>
      <c r="AG162" s="8"/>
      <c r="AH162" s="9">
        <f t="shared" si="22"/>
        <v>48910</v>
      </c>
      <c r="AI162" s="10">
        <f t="shared" si="23"/>
        <v>4.1784467083384328E-3</v>
      </c>
      <c r="AJ162" s="11"/>
    </row>
    <row r="163" spans="2:37" outlineLevel="1">
      <c r="B163" s="71" t="s">
        <v>380</v>
      </c>
      <c r="D163" s="5">
        <v>59344</v>
      </c>
      <c r="E163" s="5" t="s">
        <v>245</v>
      </c>
      <c r="F163" s="6"/>
      <c r="G163" s="3"/>
      <c r="H163" s="7"/>
      <c r="I163" s="8"/>
      <c r="J163" s="9">
        <v>-20871.82</v>
      </c>
      <c r="K163" s="8"/>
      <c r="L163" s="9">
        <v>1652.65</v>
      </c>
      <c r="M163" s="8"/>
      <c r="N163" s="9">
        <v>4920</v>
      </c>
      <c r="O163" s="8"/>
      <c r="P163" s="9">
        <v>6560</v>
      </c>
      <c r="Q163" s="8"/>
      <c r="R163" s="9">
        <v>4100</v>
      </c>
      <c r="S163" s="8"/>
      <c r="T163" s="9">
        <v>36510</v>
      </c>
      <c r="U163" s="8"/>
      <c r="V163" s="9">
        <v>0</v>
      </c>
      <c r="W163" s="8"/>
      <c r="X163" s="9">
        <v>0</v>
      </c>
      <c r="Y163" s="8"/>
      <c r="Z163" s="9">
        <v>0</v>
      </c>
      <c r="AA163" s="8"/>
      <c r="AB163" s="9">
        <v>0</v>
      </c>
      <c r="AC163" s="8"/>
      <c r="AD163" s="9">
        <v>0</v>
      </c>
      <c r="AE163" s="8"/>
      <c r="AF163" s="9">
        <v>0</v>
      </c>
      <c r="AG163" s="8"/>
      <c r="AH163" s="9">
        <f t="shared" si="22"/>
        <v>32870.83</v>
      </c>
      <c r="AI163" s="10">
        <f t="shared" si="23"/>
        <v>2.808198965729957E-3</v>
      </c>
      <c r="AJ163" s="11"/>
    </row>
    <row r="164" spans="2:37" outlineLevel="1">
      <c r="B164" s="71" t="s">
        <v>380</v>
      </c>
      <c r="D164" s="5">
        <v>59400</v>
      </c>
      <c r="E164" s="5" t="s">
        <v>246</v>
      </c>
      <c r="F164" s="6"/>
      <c r="G164" s="3"/>
      <c r="H164" s="7"/>
      <c r="I164" s="8"/>
      <c r="J164" s="9">
        <v>916.79</v>
      </c>
      <c r="K164" s="8"/>
      <c r="L164" s="9">
        <v>0</v>
      </c>
      <c r="M164" s="8"/>
      <c r="N164" s="9">
        <v>0</v>
      </c>
      <c r="O164" s="8"/>
      <c r="P164" s="9">
        <v>0</v>
      </c>
      <c r="Q164" s="8"/>
      <c r="R164" s="9">
        <v>0</v>
      </c>
      <c r="S164" s="8"/>
      <c r="T164" s="9">
        <v>0</v>
      </c>
      <c r="U164" s="8"/>
      <c r="V164" s="9">
        <v>0</v>
      </c>
      <c r="W164" s="8"/>
      <c r="X164" s="9">
        <v>22179.16</v>
      </c>
      <c r="Y164" s="8"/>
      <c r="Z164" s="9">
        <v>0</v>
      </c>
      <c r="AA164" s="8"/>
      <c r="AB164" s="9">
        <v>0</v>
      </c>
      <c r="AC164" s="8"/>
      <c r="AD164" s="9">
        <v>-22179.16</v>
      </c>
      <c r="AE164" s="8"/>
      <c r="AF164" s="9">
        <v>0</v>
      </c>
      <c r="AG164" s="8"/>
      <c r="AH164" s="9">
        <f t="shared" si="22"/>
        <v>916.79</v>
      </c>
      <c r="AI164" s="10">
        <f t="shared" si="23"/>
        <v>7.8322595741925816E-5</v>
      </c>
      <c r="AJ164" s="11"/>
    </row>
    <row r="165" spans="2:37" outlineLevel="1">
      <c r="B165" s="71" t="s">
        <v>380</v>
      </c>
      <c r="D165" s="5">
        <v>59401</v>
      </c>
      <c r="E165" s="5" t="s">
        <v>942</v>
      </c>
      <c r="F165" s="6"/>
      <c r="G165" s="3"/>
      <c r="H165" s="7"/>
      <c r="I165" s="8"/>
      <c r="J165" s="9">
        <v>0</v>
      </c>
      <c r="K165" s="8"/>
      <c r="L165" s="9">
        <v>0</v>
      </c>
      <c r="M165" s="8"/>
      <c r="N165" s="9">
        <v>0</v>
      </c>
      <c r="O165" s="8"/>
      <c r="P165" s="9">
        <v>0</v>
      </c>
      <c r="Q165" s="8"/>
      <c r="R165" s="9">
        <v>0</v>
      </c>
      <c r="S165" s="8"/>
      <c r="T165" s="9">
        <v>0</v>
      </c>
      <c r="U165" s="8"/>
      <c r="V165" s="9">
        <v>0</v>
      </c>
      <c r="W165" s="8"/>
      <c r="X165" s="9">
        <v>0</v>
      </c>
      <c r="Y165" s="8"/>
      <c r="Z165" s="9">
        <v>0</v>
      </c>
      <c r="AA165" s="8"/>
      <c r="AB165" s="9">
        <v>0</v>
      </c>
      <c r="AC165" s="8"/>
      <c r="AD165" s="9">
        <v>22179.16</v>
      </c>
      <c r="AE165" s="8"/>
      <c r="AF165" s="9">
        <v>0</v>
      </c>
      <c r="AG165" s="8"/>
      <c r="AH165" s="9">
        <f t="shared" si="22"/>
        <v>22179.16</v>
      </c>
      <c r="AI165" s="10">
        <f t="shared" si="23"/>
        <v>1.8947952994420657E-3</v>
      </c>
      <c r="AJ165" s="11"/>
    </row>
    <row r="166" spans="2:37" outlineLevel="1">
      <c r="B166" s="71" t="s">
        <v>380</v>
      </c>
      <c r="D166" s="5">
        <v>59500</v>
      </c>
      <c r="E166" s="5" t="s">
        <v>247</v>
      </c>
      <c r="F166" s="6"/>
      <c r="G166" s="3"/>
      <c r="H166" s="7"/>
      <c r="I166" s="8"/>
      <c r="J166" s="9">
        <v>1357.61</v>
      </c>
      <c r="K166" s="8"/>
      <c r="L166" s="9">
        <v>1385.34</v>
      </c>
      <c r="M166" s="8"/>
      <c r="N166" s="9">
        <v>1083.71</v>
      </c>
      <c r="O166" s="8"/>
      <c r="P166" s="9">
        <v>1025.57</v>
      </c>
      <c r="Q166" s="8"/>
      <c r="R166" s="9">
        <v>1240.74</v>
      </c>
      <c r="S166" s="8"/>
      <c r="T166" s="9">
        <v>2019.11</v>
      </c>
      <c r="U166" s="8"/>
      <c r="V166" s="9">
        <v>1443.9</v>
      </c>
      <c r="W166" s="8"/>
      <c r="X166" s="9">
        <v>1605.53</v>
      </c>
      <c r="Y166" s="8"/>
      <c r="Z166" s="9">
        <v>1204.2</v>
      </c>
      <c r="AA166" s="8"/>
      <c r="AB166" s="9">
        <v>1732.65</v>
      </c>
      <c r="AC166" s="8"/>
      <c r="AD166" s="9">
        <v>1862.54</v>
      </c>
      <c r="AE166" s="8"/>
      <c r="AF166" s="9">
        <v>1448.3</v>
      </c>
      <c r="AG166" s="8"/>
      <c r="AH166" s="9">
        <f t="shared" si="22"/>
        <v>17409.2</v>
      </c>
      <c r="AI166" s="10">
        <f t="shared" si="23"/>
        <v>1.4872912376774779E-3</v>
      </c>
      <c r="AJ166" s="11"/>
    </row>
    <row r="167" spans="2:37" s="7" customFormat="1" ht="5.0999999999999996" customHeight="1" outlineLevel="1">
      <c r="B167" s="34" t="s">
        <v>187</v>
      </c>
      <c r="D167" s="6"/>
      <c r="E167" s="6"/>
      <c r="F167" s="6"/>
      <c r="G167" s="6"/>
      <c r="J167" s="39"/>
      <c r="K167" s="37"/>
      <c r="L167" s="39"/>
      <c r="M167" s="37"/>
      <c r="N167" s="39"/>
      <c r="O167" s="37"/>
      <c r="P167" s="39"/>
      <c r="Q167" s="37"/>
      <c r="R167" s="39"/>
      <c r="S167" s="37"/>
      <c r="T167" s="39"/>
      <c r="U167" s="37"/>
      <c r="V167" s="39"/>
      <c r="W167" s="37"/>
      <c r="X167" s="39"/>
      <c r="Y167" s="37"/>
      <c r="Z167" s="39"/>
      <c r="AA167" s="37"/>
      <c r="AB167" s="39"/>
      <c r="AC167" s="37"/>
      <c r="AD167" s="39"/>
      <c r="AE167" s="37"/>
      <c r="AF167" s="39"/>
      <c r="AG167" s="37"/>
      <c r="AH167" s="39"/>
      <c r="AI167" s="33"/>
      <c r="AJ167" s="14"/>
      <c r="AK167" s="1"/>
    </row>
    <row r="168" spans="2:37" s="7" customFormat="1" ht="15">
      <c r="F168" s="6" t="s">
        <v>248</v>
      </c>
      <c r="J168" s="36">
        <f>SUM(J159:J167)</f>
        <v>-14771.199999999997</v>
      </c>
      <c r="K168" s="37"/>
      <c r="L168" s="36">
        <f>SUM(L159:L167)</f>
        <v>9658.76</v>
      </c>
      <c r="M168" s="37"/>
      <c r="N168" s="36">
        <f>SUM(N159:N167)</f>
        <v>12624.48</v>
      </c>
      <c r="O168" s="37"/>
      <c r="P168" s="36">
        <f>SUM(P159:P167)</f>
        <v>14206.34</v>
      </c>
      <c r="Q168" s="37"/>
      <c r="R168" s="36">
        <f>SUM(R159:R167)</f>
        <v>12471.699999999999</v>
      </c>
      <c r="S168" s="37"/>
      <c r="T168" s="36">
        <f>SUM(T159:T167)</f>
        <v>45660.07</v>
      </c>
      <c r="U168" s="37"/>
      <c r="V168" s="36">
        <f>SUM(V159:V167)</f>
        <v>8574.86</v>
      </c>
      <c r="W168" s="37"/>
      <c r="X168" s="36">
        <f>SUM(X159:X167)</f>
        <v>30915.649999999998</v>
      </c>
      <c r="Y168" s="37"/>
      <c r="Z168" s="36">
        <f>SUM(Z159:Z167)</f>
        <v>19805.16</v>
      </c>
      <c r="AA168" s="37"/>
      <c r="AB168" s="36">
        <f>SUM(AB159:AB167)</f>
        <v>8863.61</v>
      </c>
      <c r="AC168" s="37"/>
      <c r="AD168" s="36">
        <f>SUM(AD159:AD167)</f>
        <v>21633.5</v>
      </c>
      <c r="AE168" s="37"/>
      <c r="AF168" s="36">
        <f>SUM(AF159:AF167)</f>
        <v>34629.26</v>
      </c>
      <c r="AG168" s="37"/>
      <c r="AH168" s="36">
        <f>SUM(AH159:AH167)</f>
        <v>204272.19000000003</v>
      </c>
      <c r="AI168" s="10">
        <f>IF(AH$49=0,0,AH168/AH$49)</f>
        <v>1.7451246369057104E-2</v>
      </c>
      <c r="AJ168" s="14"/>
      <c r="AK168" s="1"/>
    </row>
    <row r="169" spans="2:37" s="7" customFormat="1" ht="15" outlineLevel="1">
      <c r="B169" s="34" t="s">
        <v>187</v>
      </c>
      <c r="J169" s="38"/>
      <c r="K169" s="37"/>
      <c r="L169" s="38"/>
      <c r="M169" s="37"/>
      <c r="N169" s="38"/>
      <c r="O169" s="37"/>
      <c r="P169" s="38"/>
      <c r="Q169" s="37"/>
      <c r="R169" s="38"/>
      <c r="S169" s="37"/>
      <c r="T169" s="38"/>
      <c r="U169" s="37"/>
      <c r="V169" s="38"/>
      <c r="W169" s="37"/>
      <c r="X169" s="38"/>
      <c r="Y169" s="37"/>
      <c r="Z169" s="38"/>
      <c r="AA169" s="37"/>
      <c r="AB169" s="38"/>
      <c r="AC169" s="37"/>
      <c r="AD169" s="38"/>
      <c r="AE169" s="37"/>
      <c r="AF169" s="38"/>
      <c r="AG169" s="37"/>
      <c r="AH169" s="38"/>
      <c r="AI169" s="33"/>
      <c r="AJ169" s="14"/>
      <c r="AK169" s="1"/>
    </row>
    <row r="170" spans="2:37" outlineLevel="1">
      <c r="B170" s="71" t="s">
        <v>249</v>
      </c>
      <c r="D170" s="5">
        <v>91010</v>
      </c>
      <c r="E170" s="5" t="s">
        <v>250</v>
      </c>
      <c r="F170" s="6"/>
      <c r="G170" s="3"/>
      <c r="H170" s="7"/>
      <c r="I170" s="8"/>
      <c r="J170" s="9">
        <v>0</v>
      </c>
      <c r="K170" s="8"/>
      <c r="L170" s="9">
        <v>0</v>
      </c>
      <c r="M170" s="8"/>
      <c r="N170" s="9">
        <v>0</v>
      </c>
      <c r="O170" s="8"/>
      <c r="P170" s="9">
        <v>0</v>
      </c>
      <c r="Q170" s="8"/>
      <c r="R170" s="9">
        <v>-3000</v>
      </c>
      <c r="S170" s="8"/>
      <c r="T170" s="9">
        <v>0</v>
      </c>
      <c r="U170" s="8"/>
      <c r="V170" s="9">
        <v>0</v>
      </c>
      <c r="W170" s="8"/>
      <c r="X170" s="9">
        <v>0</v>
      </c>
      <c r="Y170" s="8"/>
      <c r="Z170" s="9">
        <v>-2862.4</v>
      </c>
      <c r="AA170" s="8"/>
      <c r="AB170" s="9">
        <v>0</v>
      </c>
      <c r="AC170" s="8"/>
      <c r="AD170" s="9">
        <v>0</v>
      </c>
      <c r="AE170" s="8"/>
      <c r="AF170" s="9">
        <v>0</v>
      </c>
      <c r="AG170" s="8"/>
      <c r="AH170" s="9">
        <f>AF170+AD170+AB170+Z170+X170+V170+T170+R170+P170+N170+L170+J170</f>
        <v>-5862.4</v>
      </c>
      <c r="AI170" s="10">
        <f>IF(AH$49=0,0,AH170/AH$49)</f>
        <v>-5.0083267190683344E-4</v>
      </c>
      <c r="AJ170" s="11"/>
    </row>
    <row r="171" spans="2:37" s="7" customFormat="1" ht="5.0999999999999996" customHeight="1" outlineLevel="1">
      <c r="B171" s="1" t="s">
        <v>187</v>
      </c>
      <c r="D171" s="6"/>
      <c r="E171" s="6"/>
      <c r="F171" s="6"/>
      <c r="G171" s="6"/>
      <c r="J171" s="39"/>
      <c r="K171" s="37"/>
      <c r="L171" s="39"/>
      <c r="M171" s="37"/>
      <c r="N171" s="39"/>
      <c r="O171" s="37"/>
      <c r="P171" s="39"/>
      <c r="Q171" s="37"/>
      <c r="R171" s="39"/>
      <c r="S171" s="37"/>
      <c r="T171" s="39"/>
      <c r="U171" s="37"/>
      <c r="V171" s="39"/>
      <c r="W171" s="37"/>
      <c r="X171" s="39"/>
      <c r="Y171" s="37"/>
      <c r="Z171" s="39"/>
      <c r="AA171" s="37"/>
      <c r="AB171" s="39"/>
      <c r="AC171" s="37"/>
      <c r="AD171" s="39"/>
      <c r="AE171" s="37"/>
      <c r="AF171" s="39"/>
      <c r="AG171" s="37"/>
      <c r="AH171" s="39"/>
      <c r="AI171" s="33"/>
      <c r="AJ171" s="14"/>
      <c r="AK171" s="1"/>
    </row>
    <row r="172" spans="2:37" s="7" customFormat="1" ht="15">
      <c r="B172" s="1" t="s">
        <v>187</v>
      </c>
      <c r="F172" s="5" t="s">
        <v>251</v>
      </c>
      <c r="J172" s="36">
        <f>SUM(J170:J171)</f>
        <v>0</v>
      </c>
      <c r="K172" s="37"/>
      <c r="L172" s="36">
        <f>SUM(L170:L171)</f>
        <v>0</v>
      </c>
      <c r="M172" s="37"/>
      <c r="N172" s="36">
        <f>SUM(N170:N171)</f>
        <v>0</v>
      </c>
      <c r="O172" s="37"/>
      <c r="P172" s="36">
        <f>SUM(P170:P171)</f>
        <v>0</v>
      </c>
      <c r="Q172" s="37"/>
      <c r="R172" s="36">
        <f>SUM(R170:R171)</f>
        <v>-3000</v>
      </c>
      <c r="S172" s="37"/>
      <c r="T172" s="36">
        <f>SUM(T170:T171)</f>
        <v>0</v>
      </c>
      <c r="U172" s="37"/>
      <c r="V172" s="36">
        <f>SUM(V170:V171)</f>
        <v>0</v>
      </c>
      <c r="W172" s="37"/>
      <c r="X172" s="36">
        <f>SUM(X170:X171)</f>
        <v>0</v>
      </c>
      <c r="Y172" s="37"/>
      <c r="Z172" s="36">
        <f>SUM(Z170:Z171)</f>
        <v>-2862.4</v>
      </c>
      <c r="AA172" s="37"/>
      <c r="AB172" s="36">
        <f>SUM(AB170:AB171)</f>
        <v>0</v>
      </c>
      <c r="AC172" s="37"/>
      <c r="AD172" s="36">
        <f>SUM(AD170:AD171)</f>
        <v>0</v>
      </c>
      <c r="AE172" s="37"/>
      <c r="AF172" s="36">
        <f>SUM(AF170:AF171)</f>
        <v>0</v>
      </c>
      <c r="AG172" s="37"/>
      <c r="AH172" s="36">
        <f>SUM(AH170:AH171)</f>
        <v>-5862.4</v>
      </c>
      <c r="AI172" s="10">
        <f>IF(AH$49=0,0,AH172/AH$49)</f>
        <v>-5.0083267190683344E-4</v>
      </c>
      <c r="AJ172" s="14"/>
      <c r="AK172" s="1"/>
    </row>
    <row r="173" spans="2:37" s="7" customFormat="1" ht="7.5" customHeight="1">
      <c r="B173" s="1"/>
      <c r="J173" s="38"/>
      <c r="K173" s="37"/>
      <c r="L173" s="38"/>
      <c r="M173" s="37"/>
      <c r="N173" s="38"/>
      <c r="O173" s="37"/>
      <c r="P173" s="38"/>
      <c r="Q173" s="37"/>
      <c r="R173" s="38"/>
      <c r="S173" s="37"/>
      <c r="T173" s="38"/>
      <c r="U173" s="37"/>
      <c r="V173" s="38"/>
      <c r="W173" s="37"/>
      <c r="X173" s="38"/>
      <c r="Y173" s="37"/>
      <c r="Z173" s="38"/>
      <c r="AA173" s="37"/>
      <c r="AB173" s="38"/>
      <c r="AC173" s="37"/>
      <c r="AD173" s="38"/>
      <c r="AE173" s="37"/>
      <c r="AF173" s="38"/>
      <c r="AG173" s="37"/>
      <c r="AH173" s="38"/>
      <c r="AI173" s="33"/>
      <c r="AJ173" s="14"/>
      <c r="AK173" s="1"/>
    </row>
    <row r="174" spans="2:37" s="7" customFormat="1" ht="15">
      <c r="B174" s="1"/>
      <c r="E174" s="44" t="s">
        <v>252</v>
      </c>
      <c r="J174" s="42">
        <f>+J92+J96+J121+J127+J137+J153+J168+J157+J172</f>
        <v>533581.71000000008</v>
      </c>
      <c r="K174" s="37"/>
      <c r="L174" s="42">
        <f>+L92+L96+L121+L127+L137+L153+L168+L157+L172</f>
        <v>584668.54</v>
      </c>
      <c r="M174" s="37"/>
      <c r="N174" s="42">
        <f>+N92+N96+N121+N127+N137+N153+N168+N157+N172</f>
        <v>503215.20999999996</v>
      </c>
      <c r="O174" s="37"/>
      <c r="P174" s="42">
        <f>+P92+P96+P121+P127+P137+P153+P168+P157+P172</f>
        <v>559112.98999999987</v>
      </c>
      <c r="Q174" s="37"/>
      <c r="R174" s="42">
        <f>+R92+R96+R121+R127+R137+R153+R168+R157+R172</f>
        <v>573400.49</v>
      </c>
      <c r="S174" s="37"/>
      <c r="T174" s="42">
        <f>+T92+T96+T121+T127+T137+T153+T168+T157+T172</f>
        <v>651954.69000000006</v>
      </c>
      <c r="U174" s="37"/>
      <c r="V174" s="42">
        <f>+V92+V96+V121+V127+V137+V153+V168+V157+V172</f>
        <v>535752.34</v>
      </c>
      <c r="W174" s="37"/>
      <c r="X174" s="42">
        <f>+X92+X96+X121+X127+X137+X153+X168+X157+X172</f>
        <v>555935.28</v>
      </c>
      <c r="Y174" s="37"/>
      <c r="Z174" s="42">
        <f>+Z92+Z96+Z121+Z127+Z137+Z153+Z168+Z157+Z172</f>
        <v>584481.12999999989</v>
      </c>
      <c r="AA174" s="37"/>
      <c r="AB174" s="42">
        <f>+AB92+AB96+AB121+AB127+AB137+AB153+AB168+AB157+AB172</f>
        <v>480734.96</v>
      </c>
      <c r="AC174" s="37"/>
      <c r="AD174" s="42">
        <f>+AD92+AD96+AD121+AD127+AD137+AD153+AD168+AD157+AD172</f>
        <v>609549.41</v>
      </c>
      <c r="AE174" s="37"/>
      <c r="AF174" s="42">
        <f>+AF92+AF96+AF121+AF127+AF137+AF153+AF168+AF157+AF172</f>
        <v>571029.57000000007</v>
      </c>
      <c r="AG174" s="37"/>
      <c r="AH174" s="42">
        <f>+AH92+AH96+AH121+AH127+AH137+AH153+AH168+AH157+AH172</f>
        <v>6743416.3200000003</v>
      </c>
      <c r="AI174" s="10">
        <f>IF(AH$49=0,0,AH174/AH$49)</f>
        <v>0.57609907432548901</v>
      </c>
      <c r="AJ174" s="14"/>
      <c r="AK174" s="1"/>
    </row>
    <row r="175" spans="2:37" s="7" customFormat="1" ht="7.5" customHeight="1">
      <c r="B175" s="1"/>
      <c r="J175" s="38"/>
      <c r="K175" s="37"/>
      <c r="L175" s="38"/>
      <c r="M175" s="37"/>
      <c r="N175" s="38"/>
      <c r="O175" s="37"/>
      <c r="P175" s="38"/>
      <c r="Q175" s="37"/>
      <c r="R175" s="38"/>
      <c r="S175" s="37"/>
      <c r="T175" s="38"/>
      <c r="U175" s="37"/>
      <c r="V175" s="38"/>
      <c r="W175" s="37"/>
      <c r="X175" s="38"/>
      <c r="Y175" s="37"/>
      <c r="Z175" s="38"/>
      <c r="AA175" s="37"/>
      <c r="AB175" s="38"/>
      <c r="AC175" s="37"/>
      <c r="AD175" s="38"/>
      <c r="AE175" s="37"/>
      <c r="AF175" s="38"/>
      <c r="AG175" s="37"/>
      <c r="AH175" s="38"/>
      <c r="AI175" s="33"/>
      <c r="AJ175" s="14"/>
      <c r="AK175" s="1"/>
    </row>
    <row r="176" spans="2:37" s="7" customFormat="1" ht="15">
      <c r="B176" s="34" t="s">
        <v>187</v>
      </c>
      <c r="E176" s="44" t="s">
        <v>253</v>
      </c>
      <c r="J176" s="42">
        <f>J78-J174</f>
        <v>365921.46999999986</v>
      </c>
      <c r="K176" s="37"/>
      <c r="L176" s="42">
        <f>L78-L174</f>
        <v>441027.65</v>
      </c>
      <c r="M176" s="37"/>
      <c r="N176" s="42">
        <f>N78-N174</f>
        <v>238006.42999999993</v>
      </c>
      <c r="O176" s="37"/>
      <c r="P176" s="42">
        <f>P78-P174</f>
        <v>324285.97000000009</v>
      </c>
      <c r="Q176" s="37"/>
      <c r="R176" s="42">
        <f>R78-R174</f>
        <v>412949.56999999995</v>
      </c>
      <c r="S176" s="37"/>
      <c r="T176" s="42">
        <f>T78-T174</f>
        <v>389057.11</v>
      </c>
      <c r="U176" s="37"/>
      <c r="V176" s="42">
        <f>V78-V174</f>
        <v>315498.45000000019</v>
      </c>
      <c r="W176" s="37"/>
      <c r="X176" s="42">
        <f>X78-X174</f>
        <v>440701.31999999995</v>
      </c>
      <c r="Y176" s="37"/>
      <c r="Z176" s="42">
        <f>Z78-Z174</f>
        <v>413069.67000000004</v>
      </c>
      <c r="AA176" s="37"/>
      <c r="AB176" s="42">
        <f>AB78-AB174</f>
        <v>283383.86999999994</v>
      </c>
      <c r="AC176" s="37"/>
      <c r="AD176" s="42">
        <f>AD78-AD174</f>
        <v>477003.33999999997</v>
      </c>
      <c r="AE176" s="37"/>
      <c r="AF176" s="42">
        <f>AF78-AF174</f>
        <v>286339.22999999986</v>
      </c>
      <c r="AG176" s="37"/>
      <c r="AH176" s="42">
        <f>AH78-AH174</f>
        <v>4387244.08</v>
      </c>
      <c r="AI176" s="10">
        <f>IF(AH$49=0,0,AH176/AH$49)</f>
        <v>0.37480812890519882</v>
      </c>
      <c r="AJ176" s="14"/>
      <c r="AK176" s="1"/>
    </row>
    <row r="177" spans="2:37" s="7" customFormat="1" ht="7.5" customHeight="1">
      <c r="B177" s="34" t="s">
        <v>187</v>
      </c>
      <c r="J177" s="38"/>
      <c r="K177" s="37"/>
      <c r="L177" s="38"/>
      <c r="M177" s="37"/>
      <c r="N177" s="38"/>
      <c r="O177" s="37"/>
      <c r="P177" s="38"/>
      <c r="Q177" s="37"/>
      <c r="R177" s="38"/>
      <c r="S177" s="37"/>
      <c r="T177" s="38"/>
      <c r="U177" s="37"/>
      <c r="V177" s="38"/>
      <c r="W177" s="37"/>
      <c r="X177" s="38"/>
      <c r="Y177" s="37"/>
      <c r="Z177" s="38"/>
      <c r="AA177" s="37"/>
      <c r="AB177" s="38"/>
      <c r="AC177" s="37"/>
      <c r="AD177" s="38"/>
      <c r="AE177" s="37"/>
      <c r="AF177" s="38"/>
      <c r="AG177" s="37"/>
      <c r="AH177" s="38"/>
      <c r="AI177" s="33"/>
      <c r="AJ177" s="14"/>
      <c r="AK177" s="1"/>
    </row>
    <row r="178" spans="2:37" s="7" customFormat="1" ht="15" outlineLevel="1">
      <c r="B178" s="34" t="s">
        <v>187</v>
      </c>
      <c r="J178" s="38"/>
      <c r="K178" s="37"/>
      <c r="L178" s="38"/>
      <c r="M178" s="37"/>
      <c r="N178" s="38"/>
      <c r="O178" s="37"/>
      <c r="P178" s="38"/>
      <c r="Q178" s="37"/>
      <c r="R178" s="38"/>
      <c r="S178" s="37"/>
      <c r="T178" s="38"/>
      <c r="U178" s="37"/>
      <c r="V178" s="38"/>
      <c r="W178" s="37"/>
      <c r="X178" s="38"/>
      <c r="Y178" s="37"/>
      <c r="Z178" s="38"/>
      <c r="AA178" s="37"/>
      <c r="AB178" s="38"/>
      <c r="AC178" s="37"/>
      <c r="AD178" s="38"/>
      <c r="AE178" s="37"/>
      <c r="AF178" s="38"/>
      <c r="AG178" s="37"/>
      <c r="AH178" s="38"/>
      <c r="AI178" s="33"/>
      <c r="AJ178" s="14"/>
      <c r="AK178" s="1"/>
    </row>
    <row r="179" spans="2:37" outlineLevel="1">
      <c r="B179" s="71" t="s">
        <v>399</v>
      </c>
      <c r="D179" s="5"/>
      <c r="E179" s="5"/>
      <c r="F179" s="6"/>
      <c r="G179" s="3"/>
      <c r="H179" s="7"/>
      <c r="I179" s="8"/>
      <c r="J179" s="9"/>
      <c r="K179" s="8"/>
      <c r="L179" s="9"/>
      <c r="M179" s="8"/>
      <c r="N179" s="9"/>
      <c r="O179" s="8"/>
      <c r="P179" s="9"/>
      <c r="Q179" s="8"/>
      <c r="R179" s="9"/>
      <c r="S179" s="8"/>
      <c r="T179" s="9"/>
      <c r="U179" s="8"/>
      <c r="V179" s="9"/>
      <c r="W179" s="8"/>
      <c r="X179" s="9"/>
      <c r="Y179" s="8"/>
      <c r="Z179" s="9"/>
      <c r="AA179" s="8"/>
      <c r="AB179" s="9"/>
      <c r="AC179" s="8"/>
      <c r="AD179" s="9"/>
      <c r="AE179" s="8"/>
      <c r="AF179" s="9"/>
      <c r="AG179" s="8"/>
      <c r="AH179" s="9">
        <f>AF179+AD179+AB179+Z179+X179+V179+T179+R179+P179+N179+L179+J179</f>
        <v>0</v>
      </c>
      <c r="AI179" s="10">
        <f>IF(AH$49=0,0,AH179/AH$49)</f>
        <v>0</v>
      </c>
      <c r="AJ179" s="11"/>
    </row>
    <row r="180" spans="2:37" s="7" customFormat="1" ht="5.0999999999999996" customHeight="1" outlineLevel="1">
      <c r="B180" s="1" t="s">
        <v>187</v>
      </c>
      <c r="D180" s="6"/>
      <c r="E180" s="6"/>
      <c r="F180" s="6"/>
      <c r="G180" s="6"/>
      <c r="J180" s="39"/>
      <c r="K180" s="37"/>
      <c r="L180" s="39"/>
      <c r="M180" s="37"/>
      <c r="N180" s="39"/>
      <c r="O180" s="37"/>
      <c r="P180" s="39"/>
      <c r="Q180" s="37"/>
      <c r="R180" s="39"/>
      <c r="S180" s="37"/>
      <c r="T180" s="39"/>
      <c r="U180" s="37"/>
      <c r="V180" s="39"/>
      <c r="W180" s="37"/>
      <c r="X180" s="39"/>
      <c r="Y180" s="37"/>
      <c r="Z180" s="39"/>
      <c r="AA180" s="37"/>
      <c r="AB180" s="39"/>
      <c r="AC180" s="37"/>
      <c r="AD180" s="39"/>
      <c r="AE180" s="37"/>
      <c r="AF180" s="39"/>
      <c r="AG180" s="37"/>
      <c r="AH180" s="39"/>
      <c r="AI180" s="33"/>
      <c r="AJ180" s="14"/>
      <c r="AK180" s="1"/>
    </row>
    <row r="181" spans="2:37" s="7" customFormat="1" ht="15">
      <c r="B181" s="1" t="s">
        <v>187</v>
      </c>
      <c r="F181" s="6" t="s">
        <v>256</v>
      </c>
      <c r="J181" s="36">
        <f>SUM(J178:J180)</f>
        <v>0</v>
      </c>
      <c r="K181" s="37"/>
      <c r="L181" s="36">
        <f>SUM(L178:L180)</f>
        <v>0</v>
      </c>
      <c r="M181" s="37"/>
      <c r="N181" s="36">
        <f>SUM(N178:N180)</f>
        <v>0</v>
      </c>
      <c r="O181" s="37"/>
      <c r="P181" s="36">
        <f>SUM(P178:P180)</f>
        <v>0</v>
      </c>
      <c r="Q181" s="37"/>
      <c r="R181" s="36">
        <f>SUM(R178:R180)</f>
        <v>0</v>
      </c>
      <c r="S181" s="37"/>
      <c r="T181" s="36">
        <f>SUM(T178:T180)</f>
        <v>0</v>
      </c>
      <c r="U181" s="37"/>
      <c r="V181" s="36">
        <f>SUM(V178:V180)</f>
        <v>0</v>
      </c>
      <c r="W181" s="37"/>
      <c r="X181" s="36">
        <f>SUM(X178:X180)</f>
        <v>0</v>
      </c>
      <c r="Y181" s="37"/>
      <c r="Z181" s="36">
        <f>SUM(Z178:Z180)</f>
        <v>0</v>
      </c>
      <c r="AA181" s="37"/>
      <c r="AB181" s="36">
        <f>SUM(AB178:AB180)</f>
        <v>0</v>
      </c>
      <c r="AC181" s="37"/>
      <c r="AD181" s="36">
        <f>SUM(AD178:AD180)</f>
        <v>0</v>
      </c>
      <c r="AE181" s="37"/>
      <c r="AF181" s="36">
        <f>SUM(AF178:AF180)</f>
        <v>0</v>
      </c>
      <c r="AG181" s="37"/>
      <c r="AH181" s="36">
        <f>SUM(AH178:AH180)</f>
        <v>0</v>
      </c>
      <c r="AI181" s="10">
        <f>IF(AH$49=0,0,AH181/AH$49)</f>
        <v>0</v>
      </c>
      <c r="AJ181" s="14"/>
      <c r="AK181" s="1"/>
    </row>
    <row r="182" spans="2:37" s="7" customFormat="1" ht="15" outlineLevel="1">
      <c r="B182" s="1"/>
      <c r="J182" s="38"/>
      <c r="K182" s="37"/>
      <c r="L182" s="38"/>
      <c r="M182" s="37"/>
      <c r="N182" s="38"/>
      <c r="O182" s="37"/>
      <c r="P182" s="38"/>
      <c r="Q182" s="37"/>
      <c r="R182" s="38"/>
      <c r="S182" s="37"/>
      <c r="T182" s="38"/>
      <c r="U182" s="37"/>
      <c r="V182" s="38"/>
      <c r="W182" s="37"/>
      <c r="X182" s="38"/>
      <c r="Y182" s="37"/>
      <c r="Z182" s="38"/>
      <c r="AA182" s="37"/>
      <c r="AB182" s="38"/>
      <c r="AC182" s="37"/>
      <c r="AD182" s="38"/>
      <c r="AE182" s="37"/>
      <c r="AF182" s="38"/>
      <c r="AG182" s="37"/>
      <c r="AH182" s="38"/>
      <c r="AI182" s="33"/>
      <c r="AJ182" s="14"/>
      <c r="AK182" s="1"/>
    </row>
    <row r="183" spans="2:37" s="7" customFormat="1" ht="15" outlineLevel="1">
      <c r="B183" s="1" t="s">
        <v>187</v>
      </c>
      <c r="J183" s="38"/>
      <c r="K183" s="37"/>
      <c r="L183" s="38"/>
      <c r="M183" s="37"/>
      <c r="N183" s="38"/>
      <c r="O183" s="37"/>
      <c r="P183" s="38"/>
      <c r="Q183" s="37"/>
      <c r="R183" s="38"/>
      <c r="S183" s="37"/>
      <c r="T183" s="38"/>
      <c r="U183" s="37"/>
      <c r="V183" s="38"/>
      <c r="W183" s="37"/>
      <c r="X183" s="38"/>
      <c r="Y183" s="37"/>
      <c r="Z183" s="38"/>
      <c r="AA183" s="37"/>
      <c r="AB183" s="38"/>
      <c r="AC183" s="37"/>
      <c r="AD183" s="38"/>
      <c r="AE183" s="37"/>
      <c r="AF183" s="38"/>
      <c r="AG183" s="37"/>
      <c r="AH183" s="38"/>
      <c r="AI183" s="33"/>
      <c r="AJ183" s="14"/>
      <c r="AK183" s="1"/>
    </row>
    <row r="184" spans="2:37" outlineLevel="1">
      <c r="B184" s="71" t="s">
        <v>400</v>
      </c>
      <c r="D184" s="5">
        <v>70010</v>
      </c>
      <c r="E184" s="5" t="s">
        <v>17</v>
      </c>
      <c r="F184" s="6"/>
      <c r="G184" s="3"/>
      <c r="H184" s="7"/>
      <c r="I184" s="8"/>
      <c r="J184" s="9">
        <v>910.29</v>
      </c>
      <c r="K184" s="8"/>
      <c r="L184" s="9">
        <v>761.45</v>
      </c>
      <c r="M184" s="8"/>
      <c r="N184" s="9">
        <v>761.41</v>
      </c>
      <c r="O184" s="8"/>
      <c r="P184" s="9">
        <v>761.42</v>
      </c>
      <c r="Q184" s="8"/>
      <c r="R184" s="9">
        <v>761.44</v>
      </c>
      <c r="S184" s="8"/>
      <c r="T184" s="9">
        <v>801.4</v>
      </c>
      <c r="U184" s="8"/>
      <c r="V184" s="9">
        <v>809.81</v>
      </c>
      <c r="W184" s="8"/>
      <c r="X184" s="9">
        <v>943.06</v>
      </c>
      <c r="Y184" s="8"/>
      <c r="Z184" s="9">
        <v>942.99</v>
      </c>
      <c r="AA184" s="8"/>
      <c r="AB184" s="9">
        <v>942.98</v>
      </c>
      <c r="AC184" s="8"/>
      <c r="AD184" s="9">
        <v>943.05</v>
      </c>
      <c r="AE184" s="8"/>
      <c r="AF184" s="9">
        <v>943.01</v>
      </c>
      <c r="AG184" s="8"/>
      <c r="AH184" s="9">
        <f t="shared" ref="AH184:AH215" si="24">AF184+AD184+AB184+Z184+X184+V184+T184+R184+P184+N184+L184+J184</f>
        <v>10282.310000000001</v>
      </c>
      <c r="AI184" s="10">
        <f t="shared" ref="AI184:AI215" si="25">IF(AH$49=0,0,AH184/AH$49)</f>
        <v>8.7843149404243212E-4</v>
      </c>
      <c r="AJ184" s="11"/>
    </row>
    <row r="185" spans="2:37" outlineLevel="1">
      <c r="B185" s="71" t="s">
        <v>380</v>
      </c>
      <c r="D185" s="5">
        <v>70020</v>
      </c>
      <c r="E185" s="5" t="s">
        <v>25</v>
      </c>
      <c r="F185" s="6"/>
      <c r="G185" s="3"/>
      <c r="H185" s="7"/>
      <c r="I185" s="8"/>
      <c r="J185" s="9">
        <v>2923.81</v>
      </c>
      <c r="K185" s="8"/>
      <c r="L185" s="9">
        <v>3655.44</v>
      </c>
      <c r="M185" s="8"/>
      <c r="N185" s="9">
        <v>2553.19</v>
      </c>
      <c r="O185" s="8"/>
      <c r="P185" s="9">
        <v>3001.88</v>
      </c>
      <c r="Q185" s="8"/>
      <c r="R185" s="9">
        <v>3252.52</v>
      </c>
      <c r="S185" s="8"/>
      <c r="T185" s="9">
        <v>3130.47</v>
      </c>
      <c r="U185" s="8"/>
      <c r="V185" s="9">
        <v>3096.68</v>
      </c>
      <c r="W185" s="8"/>
      <c r="X185" s="9">
        <v>3528.48</v>
      </c>
      <c r="Y185" s="8"/>
      <c r="Z185" s="9">
        <v>3251.23</v>
      </c>
      <c r="AA185" s="8"/>
      <c r="AB185" s="9">
        <v>3073.31</v>
      </c>
      <c r="AC185" s="8"/>
      <c r="AD185" s="9">
        <v>3574.27</v>
      </c>
      <c r="AE185" s="8"/>
      <c r="AF185" s="9">
        <v>2166.84</v>
      </c>
      <c r="AG185" s="8"/>
      <c r="AH185" s="9">
        <f t="shared" si="24"/>
        <v>37208.119999999995</v>
      </c>
      <c r="AI185" s="10">
        <f t="shared" si="25"/>
        <v>3.1787394507761476E-3</v>
      </c>
      <c r="AJ185" s="11"/>
    </row>
    <row r="186" spans="2:37" outlineLevel="1">
      <c r="B186" s="71" t="s">
        <v>380</v>
      </c>
      <c r="D186" s="5">
        <v>70025</v>
      </c>
      <c r="E186" s="5" t="s">
        <v>26</v>
      </c>
      <c r="F186" s="6"/>
      <c r="G186" s="3"/>
      <c r="H186" s="7"/>
      <c r="I186" s="8"/>
      <c r="J186" s="9">
        <v>229.95</v>
      </c>
      <c r="K186" s="8"/>
      <c r="L186" s="9">
        <v>80.86</v>
      </c>
      <c r="M186" s="8"/>
      <c r="N186" s="9">
        <v>143.21</v>
      </c>
      <c r="O186" s="8"/>
      <c r="P186" s="9">
        <v>153.44</v>
      </c>
      <c r="Q186" s="8"/>
      <c r="R186" s="9">
        <v>20.48</v>
      </c>
      <c r="S186" s="8"/>
      <c r="T186" s="9">
        <v>66.239999999999995</v>
      </c>
      <c r="U186" s="8"/>
      <c r="V186" s="9">
        <v>620.46</v>
      </c>
      <c r="W186" s="8"/>
      <c r="X186" s="9">
        <v>178.85</v>
      </c>
      <c r="Y186" s="8"/>
      <c r="Z186" s="9">
        <v>81.37</v>
      </c>
      <c r="AA186" s="8"/>
      <c r="AB186" s="9">
        <v>89.15</v>
      </c>
      <c r="AC186" s="8"/>
      <c r="AD186" s="9">
        <v>64.290000000000006</v>
      </c>
      <c r="AE186" s="8"/>
      <c r="AF186" s="9">
        <v>47.73</v>
      </c>
      <c r="AG186" s="8"/>
      <c r="AH186" s="9">
        <f t="shared" si="24"/>
        <v>1776.03</v>
      </c>
      <c r="AI186" s="10">
        <f t="shared" si="25"/>
        <v>1.5172861802106535E-4</v>
      </c>
      <c r="AJ186" s="11"/>
    </row>
    <row r="187" spans="2:37" outlineLevel="1">
      <c r="B187" s="71" t="s">
        <v>380</v>
      </c>
      <c r="D187" s="5">
        <v>70035</v>
      </c>
      <c r="E187" s="5" t="s">
        <v>27</v>
      </c>
      <c r="F187" s="6"/>
      <c r="G187" s="3"/>
      <c r="H187" s="7"/>
      <c r="I187" s="8"/>
      <c r="J187" s="9">
        <v>0</v>
      </c>
      <c r="K187" s="8"/>
      <c r="L187" s="9">
        <v>0</v>
      </c>
      <c r="M187" s="8"/>
      <c r="N187" s="9">
        <v>0</v>
      </c>
      <c r="O187" s="8"/>
      <c r="P187" s="9">
        <v>0</v>
      </c>
      <c r="Q187" s="8"/>
      <c r="R187" s="9">
        <v>0</v>
      </c>
      <c r="S187" s="8"/>
      <c r="T187" s="9">
        <v>0</v>
      </c>
      <c r="U187" s="8"/>
      <c r="V187" s="9">
        <v>0</v>
      </c>
      <c r="W187" s="8"/>
      <c r="X187" s="9">
        <v>232.23</v>
      </c>
      <c r="Y187" s="8"/>
      <c r="Z187" s="9">
        <v>0</v>
      </c>
      <c r="AA187" s="8"/>
      <c r="AB187" s="9">
        <v>0</v>
      </c>
      <c r="AC187" s="8"/>
      <c r="AD187" s="9">
        <v>0</v>
      </c>
      <c r="AE187" s="8"/>
      <c r="AF187" s="9">
        <v>0</v>
      </c>
      <c r="AG187" s="8"/>
      <c r="AH187" s="9">
        <f t="shared" si="24"/>
        <v>232.23</v>
      </c>
      <c r="AI187" s="10">
        <f t="shared" si="25"/>
        <v>1.9839719465905422E-5</v>
      </c>
      <c r="AJ187" s="11"/>
    </row>
    <row r="188" spans="2:37" outlineLevel="1">
      <c r="B188" s="71" t="s">
        <v>380</v>
      </c>
      <c r="D188" s="5">
        <v>70036</v>
      </c>
      <c r="E188" s="5" t="s">
        <v>257</v>
      </c>
      <c r="F188" s="6"/>
      <c r="G188" s="3"/>
      <c r="H188" s="7"/>
      <c r="I188" s="8"/>
      <c r="J188" s="9">
        <v>189.66</v>
      </c>
      <c r="K188" s="8"/>
      <c r="L188" s="9">
        <v>191.96</v>
      </c>
      <c r="M188" s="8"/>
      <c r="N188" s="9">
        <v>63.97</v>
      </c>
      <c r="O188" s="8"/>
      <c r="P188" s="9">
        <v>362.6</v>
      </c>
      <c r="Q188" s="8"/>
      <c r="R188" s="9">
        <v>191.95</v>
      </c>
      <c r="S188" s="8"/>
      <c r="T188" s="9">
        <v>191.96</v>
      </c>
      <c r="U188" s="8"/>
      <c r="V188" s="9">
        <v>127.97</v>
      </c>
      <c r="W188" s="8"/>
      <c r="X188" s="9">
        <v>191.96</v>
      </c>
      <c r="Y188" s="8"/>
      <c r="Z188" s="9">
        <v>191.97</v>
      </c>
      <c r="AA188" s="8"/>
      <c r="AB188" s="9">
        <v>191.97</v>
      </c>
      <c r="AC188" s="8"/>
      <c r="AD188" s="9">
        <v>633</v>
      </c>
      <c r="AE188" s="8"/>
      <c r="AF188" s="9">
        <v>191.96</v>
      </c>
      <c r="AG188" s="8"/>
      <c r="AH188" s="9">
        <f t="shared" si="24"/>
        <v>2720.93</v>
      </c>
      <c r="AI188" s="10">
        <f t="shared" si="25"/>
        <v>2.3245268865506626E-4</v>
      </c>
      <c r="AJ188" s="11"/>
    </row>
    <row r="189" spans="2:37" outlineLevel="1">
      <c r="B189" s="71" t="s">
        <v>380</v>
      </c>
      <c r="D189" s="5">
        <v>70050</v>
      </c>
      <c r="E189" s="5" t="s">
        <v>158</v>
      </c>
      <c r="F189" s="6"/>
      <c r="G189" s="3"/>
      <c r="H189" s="7"/>
      <c r="I189" s="8"/>
      <c r="J189" s="9">
        <v>341.87</v>
      </c>
      <c r="K189" s="8"/>
      <c r="L189" s="9">
        <v>375.34</v>
      </c>
      <c r="M189" s="8"/>
      <c r="N189" s="9">
        <v>339.02</v>
      </c>
      <c r="O189" s="8"/>
      <c r="P189" s="9">
        <v>333.97</v>
      </c>
      <c r="Q189" s="8"/>
      <c r="R189" s="9">
        <v>322.76</v>
      </c>
      <c r="S189" s="8"/>
      <c r="T189" s="9">
        <v>334.12</v>
      </c>
      <c r="U189" s="8"/>
      <c r="V189" s="9">
        <v>376.67</v>
      </c>
      <c r="W189" s="8"/>
      <c r="X189" s="9">
        <v>402.34</v>
      </c>
      <c r="Y189" s="8"/>
      <c r="Z189" s="9">
        <v>349.26</v>
      </c>
      <c r="AA189" s="8"/>
      <c r="AB189" s="9">
        <v>328.87</v>
      </c>
      <c r="AC189" s="8"/>
      <c r="AD189" s="9">
        <v>371.68</v>
      </c>
      <c r="AE189" s="8"/>
      <c r="AF189" s="9">
        <v>278.62</v>
      </c>
      <c r="AG189" s="8"/>
      <c r="AH189" s="9">
        <f t="shared" si="24"/>
        <v>4154.5200000000004</v>
      </c>
      <c r="AI189" s="10">
        <f t="shared" si="25"/>
        <v>3.5492619952415022E-4</v>
      </c>
      <c r="AJ189" s="11"/>
    </row>
    <row r="190" spans="2:37" outlineLevel="1">
      <c r="B190" s="71" t="s">
        <v>380</v>
      </c>
      <c r="D190" s="5">
        <v>70060</v>
      </c>
      <c r="E190" s="5" t="s">
        <v>70</v>
      </c>
      <c r="F190" s="6"/>
      <c r="G190" s="3"/>
      <c r="H190" s="7"/>
      <c r="I190" s="8"/>
      <c r="J190" s="9">
        <v>1050.92</v>
      </c>
      <c r="K190" s="8"/>
      <c r="L190" s="9">
        <v>1101.26</v>
      </c>
      <c r="M190" s="8"/>
      <c r="N190" s="9">
        <v>1092.93</v>
      </c>
      <c r="O190" s="8"/>
      <c r="P190" s="9">
        <v>1099.9000000000001</v>
      </c>
      <c r="Q190" s="8"/>
      <c r="R190" s="9">
        <v>1093.5</v>
      </c>
      <c r="S190" s="8"/>
      <c r="T190" s="9">
        <v>1033.06</v>
      </c>
      <c r="U190" s="8"/>
      <c r="V190" s="9">
        <v>1090.74</v>
      </c>
      <c r="W190" s="8"/>
      <c r="X190" s="9">
        <v>1092.25</v>
      </c>
      <c r="Y190" s="8"/>
      <c r="Z190" s="9">
        <v>1101.92</v>
      </c>
      <c r="AA190" s="8"/>
      <c r="AB190" s="9">
        <v>1093.69</v>
      </c>
      <c r="AC190" s="8"/>
      <c r="AD190" s="9">
        <v>1032.33</v>
      </c>
      <c r="AE190" s="8"/>
      <c r="AF190" s="9">
        <v>1093.75</v>
      </c>
      <c r="AG190" s="8"/>
      <c r="AH190" s="9">
        <f t="shared" si="24"/>
        <v>12976.25</v>
      </c>
      <c r="AI190" s="10">
        <f t="shared" si="25"/>
        <v>1.1085783909032219E-3</v>
      </c>
      <c r="AJ190" s="11"/>
    </row>
    <row r="191" spans="2:37" outlineLevel="1">
      <c r="B191" s="71" t="s">
        <v>380</v>
      </c>
      <c r="D191" s="5">
        <v>70065</v>
      </c>
      <c r="E191" s="5" t="s">
        <v>22</v>
      </c>
      <c r="F191" s="6"/>
      <c r="G191" s="3"/>
      <c r="H191" s="7"/>
      <c r="I191" s="8"/>
      <c r="J191" s="9">
        <v>-0.17</v>
      </c>
      <c r="K191" s="8"/>
      <c r="L191" s="9">
        <v>147.91</v>
      </c>
      <c r="M191" s="8"/>
      <c r="N191" s="9">
        <v>120</v>
      </c>
      <c r="O191" s="8"/>
      <c r="P191" s="9">
        <v>179.99</v>
      </c>
      <c r="Q191" s="8"/>
      <c r="R191" s="9">
        <v>120</v>
      </c>
      <c r="S191" s="8"/>
      <c r="T191" s="9">
        <v>119.99</v>
      </c>
      <c r="U191" s="8"/>
      <c r="V191" s="9">
        <v>120</v>
      </c>
      <c r="W191" s="8"/>
      <c r="X191" s="9">
        <v>120</v>
      </c>
      <c r="Y191" s="8"/>
      <c r="Z191" s="9">
        <v>179.99</v>
      </c>
      <c r="AA191" s="8"/>
      <c r="AB191" s="9">
        <v>120</v>
      </c>
      <c r="AC191" s="8"/>
      <c r="AD191" s="9">
        <v>120</v>
      </c>
      <c r="AE191" s="8"/>
      <c r="AF191" s="9">
        <v>118.56</v>
      </c>
      <c r="AG191" s="8"/>
      <c r="AH191" s="9">
        <f t="shared" si="24"/>
        <v>1466.27</v>
      </c>
      <c r="AI191" s="10">
        <f t="shared" si="25"/>
        <v>1.2526540697271302E-4</v>
      </c>
      <c r="AJ191" s="11"/>
    </row>
    <row r="192" spans="2:37" outlineLevel="1">
      <c r="B192" s="71" t="s">
        <v>380</v>
      </c>
      <c r="D192" s="5">
        <v>70070</v>
      </c>
      <c r="E192" s="5" t="s">
        <v>23</v>
      </c>
      <c r="F192" s="6"/>
      <c r="G192" s="3"/>
      <c r="H192" s="7"/>
      <c r="I192" s="8"/>
      <c r="J192" s="9">
        <v>0</v>
      </c>
      <c r="K192" s="8"/>
      <c r="L192" s="9">
        <v>38</v>
      </c>
      <c r="M192" s="8"/>
      <c r="N192" s="9">
        <v>561.02</v>
      </c>
      <c r="O192" s="8"/>
      <c r="P192" s="9">
        <v>168.51</v>
      </c>
      <c r="Q192" s="8"/>
      <c r="R192" s="9">
        <v>12.67</v>
      </c>
      <c r="S192" s="8"/>
      <c r="T192" s="9">
        <v>139.28</v>
      </c>
      <c r="U192" s="8"/>
      <c r="V192" s="9">
        <v>92.51</v>
      </c>
      <c r="W192" s="8"/>
      <c r="X192" s="9">
        <v>109.87</v>
      </c>
      <c r="Y192" s="8"/>
      <c r="Z192" s="9">
        <v>0</v>
      </c>
      <c r="AA192" s="8"/>
      <c r="AB192" s="9">
        <v>0</v>
      </c>
      <c r="AC192" s="8"/>
      <c r="AD192" s="9">
        <v>29.22</v>
      </c>
      <c r="AE192" s="8"/>
      <c r="AF192" s="9">
        <v>311.68</v>
      </c>
      <c r="AG192" s="8"/>
      <c r="AH192" s="9">
        <f t="shared" si="24"/>
        <v>1462.7599999999998</v>
      </c>
      <c r="AI192" s="10">
        <f t="shared" si="25"/>
        <v>1.2496554297871857E-4</v>
      </c>
      <c r="AJ192" s="11"/>
    </row>
    <row r="193" spans="2:36" outlineLevel="1">
      <c r="B193" s="71" t="s">
        <v>380</v>
      </c>
      <c r="D193" s="5">
        <v>70090</v>
      </c>
      <c r="E193" s="5" t="s">
        <v>121</v>
      </c>
      <c r="F193" s="6"/>
      <c r="G193" s="3"/>
      <c r="H193" s="7"/>
      <c r="I193" s="8"/>
      <c r="J193" s="9">
        <v>0</v>
      </c>
      <c r="K193" s="8"/>
      <c r="L193" s="9">
        <v>0</v>
      </c>
      <c r="M193" s="8"/>
      <c r="N193" s="9">
        <v>304.27999999999997</v>
      </c>
      <c r="O193" s="8"/>
      <c r="P193" s="9">
        <v>-46.35</v>
      </c>
      <c r="Q193" s="8"/>
      <c r="R193" s="9">
        <v>170.37</v>
      </c>
      <c r="S193" s="8"/>
      <c r="T193" s="9">
        <v>0</v>
      </c>
      <c r="U193" s="8"/>
      <c r="V193" s="9">
        <v>0</v>
      </c>
      <c r="W193" s="8"/>
      <c r="X193" s="9">
        <v>0</v>
      </c>
      <c r="Y193" s="8"/>
      <c r="Z193" s="9">
        <v>0</v>
      </c>
      <c r="AA193" s="8"/>
      <c r="AB193" s="9">
        <v>0</v>
      </c>
      <c r="AC193" s="8"/>
      <c r="AD193" s="9">
        <v>0</v>
      </c>
      <c r="AE193" s="8"/>
      <c r="AF193" s="9">
        <v>117.25</v>
      </c>
      <c r="AG193" s="8"/>
      <c r="AH193" s="9">
        <f t="shared" si="24"/>
        <v>545.54999999999995</v>
      </c>
      <c r="AI193" s="10">
        <f t="shared" si="25"/>
        <v>4.6607066075118212E-5</v>
      </c>
      <c r="AJ193" s="11"/>
    </row>
    <row r="194" spans="2:36" outlineLevel="1">
      <c r="B194" s="71" t="s">
        <v>380</v>
      </c>
      <c r="D194" s="5">
        <v>70095</v>
      </c>
      <c r="E194" s="5" t="s">
        <v>235</v>
      </c>
      <c r="F194" s="6"/>
      <c r="G194" s="3"/>
      <c r="H194" s="7"/>
      <c r="I194" s="8"/>
      <c r="J194" s="9">
        <v>79.94</v>
      </c>
      <c r="K194" s="8"/>
      <c r="L194" s="9">
        <v>54.83</v>
      </c>
      <c r="M194" s="8"/>
      <c r="N194" s="9">
        <v>9877.89</v>
      </c>
      <c r="O194" s="8"/>
      <c r="P194" s="9">
        <v>-440.05</v>
      </c>
      <c r="Q194" s="8"/>
      <c r="R194" s="9">
        <v>45.16</v>
      </c>
      <c r="S194" s="8"/>
      <c r="T194" s="9">
        <v>379.85</v>
      </c>
      <c r="U194" s="8"/>
      <c r="V194" s="9">
        <v>61.99</v>
      </c>
      <c r="W194" s="8"/>
      <c r="X194" s="9">
        <v>31.99</v>
      </c>
      <c r="Y194" s="8"/>
      <c r="Z194" s="9">
        <v>35.29</v>
      </c>
      <c r="AA194" s="8"/>
      <c r="AB194" s="9">
        <v>4066.7</v>
      </c>
      <c r="AC194" s="8"/>
      <c r="AD194" s="9">
        <v>198.92</v>
      </c>
      <c r="AE194" s="8"/>
      <c r="AF194" s="9">
        <v>22.75</v>
      </c>
      <c r="AG194" s="8"/>
      <c r="AH194" s="9">
        <f t="shared" si="24"/>
        <v>14415.259999999998</v>
      </c>
      <c r="AI194" s="10">
        <f t="shared" si="25"/>
        <v>1.231514939620582E-3</v>
      </c>
      <c r="AJ194" s="11"/>
    </row>
    <row r="195" spans="2:36" outlineLevel="1">
      <c r="B195" s="71" t="s">
        <v>380</v>
      </c>
      <c r="D195" s="5">
        <v>70112</v>
      </c>
      <c r="E195" s="5" t="s">
        <v>258</v>
      </c>
      <c r="F195" s="6"/>
      <c r="G195" s="3"/>
      <c r="H195" s="7"/>
      <c r="I195" s="8"/>
      <c r="J195" s="9">
        <v>0</v>
      </c>
      <c r="K195" s="8"/>
      <c r="L195" s="9">
        <v>0</v>
      </c>
      <c r="M195" s="8"/>
      <c r="N195" s="9">
        <v>-75</v>
      </c>
      <c r="O195" s="8"/>
      <c r="P195" s="9">
        <v>0</v>
      </c>
      <c r="Q195" s="8"/>
      <c r="R195" s="9">
        <v>0</v>
      </c>
      <c r="S195" s="8"/>
      <c r="T195" s="9">
        <v>0</v>
      </c>
      <c r="U195" s="8"/>
      <c r="V195" s="9">
        <v>0</v>
      </c>
      <c r="W195" s="8"/>
      <c r="X195" s="9">
        <v>0</v>
      </c>
      <c r="Y195" s="8"/>
      <c r="Z195" s="9">
        <v>0</v>
      </c>
      <c r="AA195" s="8"/>
      <c r="AB195" s="9">
        <v>0</v>
      </c>
      <c r="AC195" s="8"/>
      <c r="AD195" s="9">
        <v>0</v>
      </c>
      <c r="AE195" s="8"/>
      <c r="AF195" s="9">
        <v>0</v>
      </c>
      <c r="AG195" s="8"/>
      <c r="AH195" s="9">
        <f t="shared" si="24"/>
        <v>-75</v>
      </c>
      <c r="AI195" s="10">
        <f t="shared" si="25"/>
        <v>-6.407350299026425E-6</v>
      </c>
      <c r="AJ195" s="11"/>
    </row>
    <row r="196" spans="2:36" outlineLevel="1">
      <c r="B196" s="71" t="s">
        <v>380</v>
      </c>
      <c r="D196" s="5">
        <v>70116</v>
      </c>
      <c r="E196" s="5" t="s">
        <v>116</v>
      </c>
      <c r="F196" s="6"/>
      <c r="G196" s="3"/>
      <c r="H196" s="7"/>
      <c r="I196" s="8"/>
      <c r="J196" s="9">
        <v>117.73</v>
      </c>
      <c r="K196" s="8"/>
      <c r="L196" s="9">
        <v>179.23</v>
      </c>
      <c r="M196" s="8"/>
      <c r="N196" s="9">
        <v>163.54</v>
      </c>
      <c r="O196" s="8"/>
      <c r="P196" s="9">
        <v>165.59</v>
      </c>
      <c r="Q196" s="8"/>
      <c r="R196" s="9">
        <v>171.46</v>
      </c>
      <c r="S196" s="8"/>
      <c r="T196" s="9">
        <v>173.98</v>
      </c>
      <c r="U196" s="8"/>
      <c r="V196" s="9">
        <v>232.63</v>
      </c>
      <c r="W196" s="8"/>
      <c r="X196" s="9">
        <v>203.37</v>
      </c>
      <c r="Y196" s="8"/>
      <c r="Z196" s="9">
        <v>174.45</v>
      </c>
      <c r="AA196" s="8"/>
      <c r="AB196" s="9">
        <v>165.35</v>
      </c>
      <c r="AC196" s="8"/>
      <c r="AD196" s="9">
        <v>184</v>
      </c>
      <c r="AE196" s="8"/>
      <c r="AF196" s="9">
        <v>165.29</v>
      </c>
      <c r="AG196" s="8"/>
      <c r="AH196" s="9">
        <f t="shared" si="24"/>
        <v>2096.62</v>
      </c>
      <c r="AI196" s="10">
        <f t="shared" si="25"/>
        <v>1.7911705045259708E-4</v>
      </c>
      <c r="AJ196" s="11"/>
    </row>
    <row r="197" spans="2:36" outlineLevel="1">
      <c r="B197" s="71" t="s">
        <v>380</v>
      </c>
      <c r="D197" s="5">
        <v>70148</v>
      </c>
      <c r="E197" s="5" t="s">
        <v>42</v>
      </c>
      <c r="F197" s="6"/>
      <c r="G197" s="3"/>
      <c r="H197" s="7"/>
      <c r="I197" s="8"/>
      <c r="J197" s="9">
        <v>0.19</v>
      </c>
      <c r="K197" s="8"/>
      <c r="L197" s="9">
        <v>0.32</v>
      </c>
      <c r="M197" s="8"/>
      <c r="N197" s="9">
        <v>0.23</v>
      </c>
      <c r="O197" s="8"/>
      <c r="P197" s="9">
        <v>0.37</v>
      </c>
      <c r="Q197" s="8"/>
      <c r="R197" s="9">
        <v>0.56999999999999995</v>
      </c>
      <c r="S197" s="8"/>
      <c r="T197" s="9">
        <v>0.24</v>
      </c>
      <c r="U197" s="8"/>
      <c r="V197" s="9">
        <v>1.05</v>
      </c>
      <c r="W197" s="8"/>
      <c r="X197" s="9">
        <v>0.26</v>
      </c>
      <c r="Y197" s="8"/>
      <c r="Z197" s="9">
        <v>0.22</v>
      </c>
      <c r="AA197" s="8"/>
      <c r="AB197" s="9">
        <v>0.22</v>
      </c>
      <c r="AC197" s="8"/>
      <c r="AD197" s="9">
        <v>0.22</v>
      </c>
      <c r="AE197" s="8"/>
      <c r="AF197" s="9">
        <v>0.21</v>
      </c>
      <c r="AG197" s="8"/>
      <c r="AH197" s="9">
        <f t="shared" si="24"/>
        <v>4.0999999999999996</v>
      </c>
      <c r="AI197" s="10">
        <f t="shared" si="25"/>
        <v>3.5026848301344451E-7</v>
      </c>
      <c r="AJ197" s="11"/>
    </row>
    <row r="198" spans="2:36" outlineLevel="1">
      <c r="B198" s="71" t="s">
        <v>380</v>
      </c>
      <c r="D198" s="5">
        <v>70165</v>
      </c>
      <c r="E198" s="5" t="s">
        <v>230</v>
      </c>
      <c r="F198" s="6"/>
      <c r="G198" s="3"/>
      <c r="H198" s="7"/>
      <c r="I198" s="8"/>
      <c r="J198" s="9">
        <v>1478.38</v>
      </c>
      <c r="K198" s="8"/>
      <c r="L198" s="9">
        <v>1480.56</v>
      </c>
      <c r="M198" s="8"/>
      <c r="N198" s="9">
        <v>1479.25</v>
      </c>
      <c r="O198" s="8"/>
      <c r="P198" s="9">
        <v>1479.25</v>
      </c>
      <c r="Q198" s="8"/>
      <c r="R198" s="9">
        <v>1477.69</v>
      </c>
      <c r="S198" s="8"/>
      <c r="T198" s="9">
        <v>1477.69</v>
      </c>
      <c r="U198" s="8"/>
      <c r="V198" s="9">
        <v>1477.69</v>
      </c>
      <c r="W198" s="8"/>
      <c r="X198" s="9">
        <v>1485.54</v>
      </c>
      <c r="Y198" s="8"/>
      <c r="Z198" s="9">
        <v>1485.54</v>
      </c>
      <c r="AA198" s="8"/>
      <c r="AB198" s="9">
        <v>1485.54</v>
      </c>
      <c r="AC198" s="8"/>
      <c r="AD198" s="9">
        <v>1486.26</v>
      </c>
      <c r="AE198" s="8"/>
      <c r="AF198" s="9">
        <v>1507.98</v>
      </c>
      <c r="AG198" s="8"/>
      <c r="AH198" s="9">
        <f t="shared" si="24"/>
        <v>17801.37</v>
      </c>
      <c r="AI198" s="10">
        <f t="shared" si="25"/>
        <v>1.5207948452344003E-3</v>
      </c>
      <c r="AJ198" s="11"/>
    </row>
    <row r="199" spans="2:36" outlineLevel="1">
      <c r="B199" s="71" t="s">
        <v>380</v>
      </c>
      <c r="D199" s="5">
        <v>70167</v>
      </c>
      <c r="E199" s="5" t="s">
        <v>259</v>
      </c>
      <c r="F199" s="6"/>
      <c r="G199" s="3"/>
      <c r="H199" s="7"/>
      <c r="I199" s="8"/>
      <c r="J199" s="9">
        <v>378.48</v>
      </c>
      <c r="K199" s="8"/>
      <c r="L199" s="9">
        <v>378.48</v>
      </c>
      <c r="M199" s="8"/>
      <c r="N199" s="9">
        <v>378.98</v>
      </c>
      <c r="O199" s="8"/>
      <c r="P199" s="9">
        <v>377.63</v>
      </c>
      <c r="Q199" s="8"/>
      <c r="R199" s="9">
        <v>379.28</v>
      </c>
      <c r="S199" s="8"/>
      <c r="T199" s="9">
        <v>377.95</v>
      </c>
      <c r="U199" s="8"/>
      <c r="V199" s="9">
        <v>378.34</v>
      </c>
      <c r="W199" s="8"/>
      <c r="X199" s="9">
        <v>379.14</v>
      </c>
      <c r="Y199" s="8"/>
      <c r="Z199" s="9">
        <v>383.02</v>
      </c>
      <c r="AA199" s="8"/>
      <c r="AB199" s="9">
        <v>395.76</v>
      </c>
      <c r="AC199" s="8"/>
      <c r="AD199" s="9">
        <v>388.32</v>
      </c>
      <c r="AE199" s="8"/>
      <c r="AF199" s="9">
        <v>388.42</v>
      </c>
      <c r="AG199" s="8"/>
      <c r="AH199" s="9">
        <f t="shared" si="24"/>
        <v>4583.7999999999993</v>
      </c>
      <c r="AI199" s="10">
        <f t="shared" si="25"/>
        <v>3.9160016400903094E-4</v>
      </c>
      <c r="AJ199" s="11"/>
    </row>
    <row r="200" spans="2:36" outlineLevel="1">
      <c r="B200" s="71" t="s">
        <v>380</v>
      </c>
      <c r="D200" s="5">
        <v>70185</v>
      </c>
      <c r="E200" s="5" t="s">
        <v>71</v>
      </c>
      <c r="F200" s="6"/>
      <c r="G200" s="3"/>
      <c r="H200" s="7"/>
      <c r="I200" s="8"/>
      <c r="J200" s="9">
        <v>0</v>
      </c>
      <c r="K200" s="8"/>
      <c r="L200" s="9">
        <v>0</v>
      </c>
      <c r="M200" s="8"/>
      <c r="N200" s="9">
        <v>0</v>
      </c>
      <c r="O200" s="8"/>
      <c r="P200" s="9">
        <v>9.25</v>
      </c>
      <c r="Q200" s="8"/>
      <c r="R200" s="9">
        <v>9.2899999999999991</v>
      </c>
      <c r="S200" s="8"/>
      <c r="T200" s="9">
        <v>0</v>
      </c>
      <c r="U200" s="8"/>
      <c r="V200" s="9">
        <v>0</v>
      </c>
      <c r="W200" s="8"/>
      <c r="X200" s="9">
        <v>0</v>
      </c>
      <c r="Y200" s="8"/>
      <c r="Z200" s="9">
        <v>0</v>
      </c>
      <c r="AA200" s="8"/>
      <c r="AB200" s="9">
        <v>0</v>
      </c>
      <c r="AC200" s="8"/>
      <c r="AD200" s="9">
        <v>12.25</v>
      </c>
      <c r="AE200" s="8"/>
      <c r="AF200" s="9">
        <v>0</v>
      </c>
      <c r="AG200" s="8"/>
      <c r="AH200" s="9">
        <f t="shared" si="24"/>
        <v>30.79</v>
      </c>
      <c r="AI200" s="10">
        <f t="shared" si="25"/>
        <v>2.630430876093648E-6</v>
      </c>
      <c r="AJ200" s="11"/>
    </row>
    <row r="201" spans="2:36" outlineLevel="1">
      <c r="B201" s="71" t="s">
        <v>380</v>
      </c>
      <c r="D201" s="5">
        <v>70200</v>
      </c>
      <c r="E201" s="5" t="s">
        <v>60</v>
      </c>
      <c r="F201" s="6"/>
      <c r="G201" s="3"/>
      <c r="H201" s="7"/>
      <c r="I201" s="8"/>
      <c r="J201" s="9">
        <v>25</v>
      </c>
      <c r="K201" s="8"/>
      <c r="L201" s="9">
        <v>0</v>
      </c>
      <c r="M201" s="8"/>
      <c r="N201" s="9">
        <v>0</v>
      </c>
      <c r="O201" s="8"/>
      <c r="P201" s="9">
        <v>0</v>
      </c>
      <c r="Q201" s="8"/>
      <c r="R201" s="9">
        <v>0</v>
      </c>
      <c r="S201" s="8"/>
      <c r="T201" s="9">
        <v>0</v>
      </c>
      <c r="U201" s="8"/>
      <c r="V201" s="9">
        <v>0</v>
      </c>
      <c r="W201" s="8"/>
      <c r="X201" s="9">
        <v>0</v>
      </c>
      <c r="Y201" s="8"/>
      <c r="Z201" s="9">
        <v>0</v>
      </c>
      <c r="AA201" s="8"/>
      <c r="AB201" s="9">
        <v>0</v>
      </c>
      <c r="AC201" s="8"/>
      <c r="AD201" s="9">
        <v>0</v>
      </c>
      <c r="AE201" s="8"/>
      <c r="AF201" s="9">
        <v>0</v>
      </c>
      <c r="AG201" s="8"/>
      <c r="AH201" s="9">
        <f t="shared" si="24"/>
        <v>25</v>
      </c>
      <c r="AI201" s="10">
        <f t="shared" si="25"/>
        <v>2.1357834330088082E-6</v>
      </c>
      <c r="AJ201" s="11"/>
    </row>
    <row r="202" spans="2:36" outlineLevel="1">
      <c r="B202" s="71" t="s">
        <v>380</v>
      </c>
      <c r="D202" s="5">
        <v>70201</v>
      </c>
      <c r="E202" s="5" t="s">
        <v>72</v>
      </c>
      <c r="F202" s="6"/>
      <c r="G202" s="3"/>
      <c r="H202" s="7"/>
      <c r="I202" s="8"/>
      <c r="J202" s="9">
        <v>33.28</v>
      </c>
      <c r="K202" s="8"/>
      <c r="L202" s="9">
        <v>0</v>
      </c>
      <c r="M202" s="8"/>
      <c r="N202" s="9">
        <v>31.99</v>
      </c>
      <c r="O202" s="8"/>
      <c r="P202" s="9">
        <v>36.79</v>
      </c>
      <c r="Q202" s="8"/>
      <c r="R202" s="9">
        <v>0</v>
      </c>
      <c r="S202" s="8"/>
      <c r="T202" s="9">
        <v>0</v>
      </c>
      <c r="U202" s="8"/>
      <c r="V202" s="9">
        <v>113.65</v>
      </c>
      <c r="W202" s="8"/>
      <c r="X202" s="9">
        <v>142.74</v>
      </c>
      <c r="Y202" s="8"/>
      <c r="Z202" s="9">
        <v>40.93</v>
      </c>
      <c r="AA202" s="8"/>
      <c r="AB202" s="9">
        <v>91.98</v>
      </c>
      <c r="AC202" s="8"/>
      <c r="AD202" s="9">
        <v>54.74</v>
      </c>
      <c r="AE202" s="8"/>
      <c r="AF202" s="9">
        <v>241.91</v>
      </c>
      <c r="AG202" s="8"/>
      <c r="AH202" s="9">
        <f t="shared" si="24"/>
        <v>788.00999999999988</v>
      </c>
      <c r="AI202" s="10">
        <f t="shared" si="25"/>
        <v>6.7320748121810824E-5</v>
      </c>
      <c r="AJ202" s="11"/>
    </row>
    <row r="203" spans="2:36" outlineLevel="1">
      <c r="B203" s="71" t="s">
        <v>380</v>
      </c>
      <c r="D203" s="5">
        <v>70202</v>
      </c>
      <c r="E203" s="5" t="s">
        <v>260</v>
      </c>
      <c r="F203" s="6"/>
      <c r="G203" s="3"/>
      <c r="H203" s="7"/>
      <c r="I203" s="8"/>
      <c r="J203" s="9">
        <v>0</v>
      </c>
      <c r="K203" s="8"/>
      <c r="L203" s="9">
        <v>0</v>
      </c>
      <c r="M203" s="8"/>
      <c r="N203" s="9">
        <v>371.9</v>
      </c>
      <c r="O203" s="8"/>
      <c r="P203" s="9">
        <v>0</v>
      </c>
      <c r="Q203" s="8"/>
      <c r="R203" s="9">
        <v>0</v>
      </c>
      <c r="S203" s="8"/>
      <c r="T203" s="9">
        <v>0</v>
      </c>
      <c r="U203" s="8"/>
      <c r="V203" s="9">
        <v>0</v>
      </c>
      <c r="W203" s="8"/>
      <c r="X203" s="9">
        <v>0</v>
      </c>
      <c r="Y203" s="8"/>
      <c r="Z203" s="9">
        <v>0</v>
      </c>
      <c r="AA203" s="8"/>
      <c r="AB203" s="9">
        <v>0</v>
      </c>
      <c r="AC203" s="8"/>
      <c r="AD203" s="9">
        <v>195.2</v>
      </c>
      <c r="AE203" s="8"/>
      <c r="AF203" s="9">
        <v>0</v>
      </c>
      <c r="AG203" s="8"/>
      <c r="AH203" s="9">
        <f t="shared" si="24"/>
        <v>567.09999999999991</v>
      </c>
      <c r="AI203" s="10">
        <f t="shared" si="25"/>
        <v>4.8448111394371803E-5</v>
      </c>
      <c r="AJ203" s="11"/>
    </row>
    <row r="204" spans="2:36" outlineLevel="1">
      <c r="B204" s="71" t="s">
        <v>380</v>
      </c>
      <c r="D204" s="5">
        <v>70205</v>
      </c>
      <c r="E204" s="5" t="s">
        <v>254</v>
      </c>
      <c r="F204" s="6"/>
      <c r="G204" s="3"/>
      <c r="H204" s="7"/>
      <c r="I204" s="8"/>
      <c r="J204" s="9">
        <v>43.01</v>
      </c>
      <c r="K204" s="8"/>
      <c r="L204" s="9">
        <v>0</v>
      </c>
      <c r="M204" s="8"/>
      <c r="N204" s="9">
        <v>0</v>
      </c>
      <c r="O204" s="8"/>
      <c r="P204" s="9">
        <v>0</v>
      </c>
      <c r="Q204" s="8"/>
      <c r="R204" s="9">
        <v>0</v>
      </c>
      <c r="S204" s="8"/>
      <c r="T204" s="9">
        <v>0</v>
      </c>
      <c r="U204" s="8"/>
      <c r="V204" s="9">
        <v>68.73</v>
      </c>
      <c r="W204" s="8"/>
      <c r="X204" s="9">
        <v>560.57000000000005</v>
      </c>
      <c r="Y204" s="8"/>
      <c r="Z204" s="9">
        <v>880.15</v>
      </c>
      <c r="AA204" s="8"/>
      <c r="AB204" s="9">
        <v>150.51</v>
      </c>
      <c r="AC204" s="8"/>
      <c r="AD204" s="9">
        <v>86.71</v>
      </c>
      <c r="AE204" s="8"/>
      <c r="AF204" s="9">
        <v>52.78</v>
      </c>
      <c r="AG204" s="8"/>
      <c r="AH204" s="9">
        <f t="shared" si="24"/>
        <v>1842.4600000000003</v>
      </c>
      <c r="AI204" s="10">
        <f t="shared" si="25"/>
        <v>1.5740382175925637E-4</v>
      </c>
      <c r="AJ204" s="11"/>
    </row>
    <row r="205" spans="2:36" outlineLevel="1">
      <c r="B205" s="71" t="s">
        <v>380</v>
      </c>
      <c r="D205" s="5">
        <v>70206</v>
      </c>
      <c r="E205" s="5" t="s">
        <v>261</v>
      </c>
      <c r="F205" s="6"/>
      <c r="G205" s="3"/>
      <c r="H205" s="7"/>
      <c r="I205" s="8"/>
      <c r="J205" s="9">
        <v>25</v>
      </c>
      <c r="K205" s="8"/>
      <c r="L205" s="9">
        <v>0</v>
      </c>
      <c r="M205" s="8"/>
      <c r="N205" s="9">
        <v>0</v>
      </c>
      <c r="O205" s="8"/>
      <c r="P205" s="9">
        <v>0</v>
      </c>
      <c r="Q205" s="8"/>
      <c r="R205" s="9">
        <v>0</v>
      </c>
      <c r="S205" s="8"/>
      <c r="T205" s="9">
        <v>0</v>
      </c>
      <c r="U205" s="8"/>
      <c r="V205" s="9">
        <v>0</v>
      </c>
      <c r="W205" s="8"/>
      <c r="X205" s="9">
        <v>0</v>
      </c>
      <c r="Y205" s="8"/>
      <c r="Z205" s="9">
        <v>0</v>
      </c>
      <c r="AA205" s="8"/>
      <c r="AB205" s="9">
        <v>0</v>
      </c>
      <c r="AC205" s="8"/>
      <c r="AD205" s="9">
        <v>17.579999999999998</v>
      </c>
      <c r="AE205" s="8"/>
      <c r="AF205" s="9">
        <v>0</v>
      </c>
      <c r="AG205" s="8"/>
      <c r="AH205" s="9">
        <f t="shared" si="24"/>
        <v>42.58</v>
      </c>
      <c r="AI205" s="10">
        <f t="shared" si="25"/>
        <v>3.637666343100602E-6</v>
      </c>
      <c r="AJ205" s="11"/>
    </row>
    <row r="206" spans="2:36" outlineLevel="1">
      <c r="B206" s="71" t="s">
        <v>380</v>
      </c>
      <c r="D206" s="5">
        <v>70210</v>
      </c>
      <c r="E206" s="5" t="s">
        <v>262</v>
      </c>
      <c r="F206" s="6"/>
      <c r="G206" s="3"/>
      <c r="H206" s="7"/>
      <c r="I206" s="8"/>
      <c r="J206" s="9">
        <v>2231.3200000000002</v>
      </c>
      <c r="K206" s="8"/>
      <c r="L206" s="9">
        <v>1315.19</v>
      </c>
      <c r="M206" s="8"/>
      <c r="N206" s="9">
        <v>1108.52</v>
      </c>
      <c r="O206" s="8"/>
      <c r="P206" s="9">
        <v>2819.53</v>
      </c>
      <c r="Q206" s="8"/>
      <c r="R206" s="9">
        <v>1902.55</v>
      </c>
      <c r="S206" s="8"/>
      <c r="T206" s="9">
        <v>2399.8000000000002</v>
      </c>
      <c r="U206" s="8"/>
      <c r="V206" s="9">
        <v>1805.83</v>
      </c>
      <c r="W206" s="8"/>
      <c r="X206" s="9">
        <v>2028.32</v>
      </c>
      <c r="Y206" s="8"/>
      <c r="Z206" s="9">
        <v>1518.46</v>
      </c>
      <c r="AA206" s="8"/>
      <c r="AB206" s="9">
        <v>1854.32</v>
      </c>
      <c r="AC206" s="8"/>
      <c r="AD206" s="9">
        <v>2651.18</v>
      </c>
      <c r="AE206" s="8"/>
      <c r="AF206" s="9">
        <v>1966.34</v>
      </c>
      <c r="AG206" s="8"/>
      <c r="AH206" s="9">
        <f t="shared" si="24"/>
        <v>23601.359999999997</v>
      </c>
      <c r="AI206" s="10">
        <f t="shared" si="25"/>
        <v>2.0162957473790705E-3</v>
      </c>
      <c r="AJ206" s="11"/>
    </row>
    <row r="207" spans="2:36" outlineLevel="1">
      <c r="B207" s="71" t="s">
        <v>380</v>
      </c>
      <c r="D207" s="5">
        <v>70225</v>
      </c>
      <c r="E207" s="5" t="s">
        <v>255</v>
      </c>
      <c r="F207" s="6"/>
      <c r="G207" s="3"/>
      <c r="H207" s="7"/>
      <c r="I207" s="8"/>
      <c r="J207" s="9">
        <v>0</v>
      </c>
      <c r="K207" s="8"/>
      <c r="L207" s="9">
        <v>0</v>
      </c>
      <c r="M207" s="8"/>
      <c r="N207" s="9">
        <v>0</v>
      </c>
      <c r="O207" s="8"/>
      <c r="P207" s="9">
        <v>0</v>
      </c>
      <c r="Q207" s="8"/>
      <c r="R207" s="9">
        <v>0</v>
      </c>
      <c r="S207" s="8"/>
      <c r="T207" s="9">
        <v>0</v>
      </c>
      <c r="U207" s="8"/>
      <c r="V207" s="9">
        <v>0</v>
      </c>
      <c r="W207" s="8"/>
      <c r="X207" s="9">
        <v>0</v>
      </c>
      <c r="Y207" s="8"/>
      <c r="Z207" s="9">
        <v>0</v>
      </c>
      <c r="AA207" s="8"/>
      <c r="AB207" s="9">
        <v>0</v>
      </c>
      <c r="AC207" s="8"/>
      <c r="AD207" s="9">
        <v>0</v>
      </c>
      <c r="AE207" s="8"/>
      <c r="AF207" s="9">
        <v>120.47</v>
      </c>
      <c r="AG207" s="8"/>
      <c r="AH207" s="9">
        <f t="shared" si="24"/>
        <v>120.47</v>
      </c>
      <c r="AI207" s="10">
        <f t="shared" si="25"/>
        <v>1.0291913206982846E-5</v>
      </c>
      <c r="AJ207" s="11"/>
    </row>
    <row r="208" spans="2:36" outlineLevel="1">
      <c r="B208" s="71" t="s">
        <v>380</v>
      </c>
      <c r="D208" s="5">
        <v>70235</v>
      </c>
      <c r="E208" s="5" t="s">
        <v>107</v>
      </c>
      <c r="F208" s="6"/>
      <c r="G208" s="3"/>
      <c r="H208" s="7"/>
      <c r="I208" s="8"/>
      <c r="J208" s="9">
        <v>0</v>
      </c>
      <c r="K208" s="8"/>
      <c r="L208" s="9">
        <v>0</v>
      </c>
      <c r="M208" s="8"/>
      <c r="N208" s="9">
        <v>0</v>
      </c>
      <c r="O208" s="8"/>
      <c r="P208" s="9">
        <v>4110.5</v>
      </c>
      <c r="Q208" s="8"/>
      <c r="R208" s="9">
        <v>-3500</v>
      </c>
      <c r="S208" s="8"/>
      <c r="T208" s="9">
        <v>0</v>
      </c>
      <c r="U208" s="8"/>
      <c r="V208" s="9">
        <v>0</v>
      </c>
      <c r="W208" s="8"/>
      <c r="X208" s="9">
        <v>0</v>
      </c>
      <c r="Y208" s="8"/>
      <c r="Z208" s="9">
        <v>0</v>
      </c>
      <c r="AA208" s="8"/>
      <c r="AB208" s="9">
        <v>0</v>
      </c>
      <c r="AC208" s="8"/>
      <c r="AD208" s="9">
        <v>0</v>
      </c>
      <c r="AE208" s="8"/>
      <c r="AF208" s="9">
        <v>0</v>
      </c>
      <c r="AG208" s="8"/>
      <c r="AH208" s="9">
        <f t="shared" si="24"/>
        <v>610.5</v>
      </c>
      <c r="AI208" s="10">
        <f t="shared" si="25"/>
        <v>5.2155831434075096E-5</v>
      </c>
      <c r="AJ208" s="11"/>
    </row>
    <row r="209" spans="2:37" outlineLevel="1">
      <c r="B209" s="71" t="s">
        <v>380</v>
      </c>
      <c r="D209" s="5">
        <v>70255</v>
      </c>
      <c r="E209" s="5" t="s">
        <v>65</v>
      </c>
      <c r="F209" s="6"/>
      <c r="G209" s="3"/>
      <c r="H209" s="7"/>
      <c r="I209" s="8"/>
      <c r="J209" s="9">
        <v>0</v>
      </c>
      <c r="K209" s="8"/>
      <c r="L209" s="9">
        <v>0</v>
      </c>
      <c r="M209" s="8"/>
      <c r="N209" s="9">
        <v>41.76</v>
      </c>
      <c r="O209" s="8"/>
      <c r="P209" s="9">
        <v>0</v>
      </c>
      <c r="Q209" s="8"/>
      <c r="R209" s="9">
        <v>0</v>
      </c>
      <c r="S209" s="8"/>
      <c r="T209" s="9">
        <v>0</v>
      </c>
      <c r="U209" s="8"/>
      <c r="V209" s="9">
        <v>0</v>
      </c>
      <c r="W209" s="8"/>
      <c r="X209" s="9">
        <v>0</v>
      </c>
      <c r="Y209" s="8"/>
      <c r="Z209" s="9">
        <v>149.47999999999999</v>
      </c>
      <c r="AA209" s="8"/>
      <c r="AB209" s="9">
        <v>0</v>
      </c>
      <c r="AC209" s="8"/>
      <c r="AD209" s="9">
        <v>0</v>
      </c>
      <c r="AE209" s="8"/>
      <c r="AF209" s="9">
        <v>0</v>
      </c>
      <c r="AG209" s="8"/>
      <c r="AH209" s="9">
        <f t="shared" si="24"/>
        <v>191.23999999999998</v>
      </c>
      <c r="AI209" s="10">
        <f t="shared" si="25"/>
        <v>1.6337888949144177E-5</v>
      </c>
      <c r="AJ209" s="11"/>
    </row>
    <row r="210" spans="2:37" outlineLevel="1">
      <c r="B210" s="71" t="s">
        <v>380</v>
      </c>
      <c r="D210" s="5">
        <v>70300</v>
      </c>
      <c r="E210" s="5" t="s">
        <v>102</v>
      </c>
      <c r="F210" s="6"/>
      <c r="G210" s="3"/>
      <c r="H210" s="7"/>
      <c r="I210" s="8"/>
      <c r="J210" s="9">
        <v>8.02</v>
      </c>
      <c r="K210" s="8"/>
      <c r="L210" s="9">
        <v>0</v>
      </c>
      <c r="M210" s="8"/>
      <c r="N210" s="9">
        <v>0</v>
      </c>
      <c r="O210" s="8"/>
      <c r="P210" s="9">
        <v>0</v>
      </c>
      <c r="Q210" s="8"/>
      <c r="R210" s="9">
        <v>0</v>
      </c>
      <c r="S210" s="8"/>
      <c r="T210" s="9">
        <v>0</v>
      </c>
      <c r="U210" s="8"/>
      <c r="V210" s="9">
        <v>0</v>
      </c>
      <c r="W210" s="8"/>
      <c r="X210" s="9">
        <v>0</v>
      </c>
      <c r="Y210" s="8"/>
      <c r="Z210" s="9">
        <v>0</v>
      </c>
      <c r="AA210" s="8"/>
      <c r="AB210" s="9">
        <v>0</v>
      </c>
      <c r="AC210" s="8"/>
      <c r="AD210" s="9">
        <v>0</v>
      </c>
      <c r="AE210" s="8"/>
      <c r="AF210" s="9">
        <v>0</v>
      </c>
      <c r="AG210" s="8"/>
      <c r="AH210" s="9">
        <f t="shared" si="24"/>
        <v>8.02</v>
      </c>
      <c r="AI210" s="10">
        <f t="shared" si="25"/>
        <v>6.8515932530922565E-7</v>
      </c>
      <c r="AJ210" s="11"/>
    </row>
    <row r="211" spans="2:37" outlineLevel="1">
      <c r="B211" s="71" t="s">
        <v>380</v>
      </c>
      <c r="D211" s="5">
        <v>70302</v>
      </c>
      <c r="E211" s="5" t="s">
        <v>263</v>
      </c>
      <c r="F211" s="6"/>
      <c r="G211" s="3"/>
      <c r="H211" s="7"/>
      <c r="I211" s="8"/>
      <c r="J211" s="9">
        <v>0</v>
      </c>
      <c r="K211" s="8"/>
      <c r="L211" s="9">
        <v>0</v>
      </c>
      <c r="M211" s="8"/>
      <c r="N211" s="9">
        <v>0</v>
      </c>
      <c r="O211" s="8"/>
      <c r="P211" s="9">
        <v>0</v>
      </c>
      <c r="Q211" s="8"/>
      <c r="R211" s="9">
        <v>0</v>
      </c>
      <c r="S211" s="8"/>
      <c r="T211" s="9">
        <v>0</v>
      </c>
      <c r="U211" s="8"/>
      <c r="V211" s="9">
        <v>0</v>
      </c>
      <c r="W211" s="8"/>
      <c r="X211" s="9">
        <v>0</v>
      </c>
      <c r="Y211" s="8"/>
      <c r="Z211" s="9">
        <v>460.85</v>
      </c>
      <c r="AA211" s="8"/>
      <c r="AB211" s="9">
        <v>0</v>
      </c>
      <c r="AC211" s="8"/>
      <c r="AD211" s="9">
        <v>0</v>
      </c>
      <c r="AE211" s="8"/>
      <c r="AF211" s="9">
        <v>0</v>
      </c>
      <c r="AG211" s="8"/>
      <c r="AH211" s="9">
        <f t="shared" si="24"/>
        <v>460.85</v>
      </c>
      <c r="AI211" s="10">
        <f t="shared" si="25"/>
        <v>3.9371031804084377E-5</v>
      </c>
      <c r="AJ211" s="11"/>
    </row>
    <row r="212" spans="2:37" outlineLevel="1">
      <c r="B212" s="71" t="s">
        <v>380</v>
      </c>
      <c r="D212" s="5">
        <v>70335</v>
      </c>
      <c r="E212" s="5" t="s">
        <v>45</v>
      </c>
      <c r="F212" s="6"/>
      <c r="G212" s="3"/>
      <c r="H212" s="7"/>
      <c r="I212" s="8"/>
      <c r="J212" s="9">
        <v>-0.01</v>
      </c>
      <c r="K212" s="8"/>
      <c r="L212" s="9">
        <v>0</v>
      </c>
      <c r="M212" s="8"/>
      <c r="N212" s="9">
        <v>0</v>
      </c>
      <c r="O212" s="8"/>
      <c r="P212" s="9">
        <v>0</v>
      </c>
      <c r="Q212" s="8"/>
      <c r="R212" s="9">
        <v>0</v>
      </c>
      <c r="S212" s="8"/>
      <c r="T212" s="9">
        <v>0</v>
      </c>
      <c r="U212" s="8"/>
      <c r="V212" s="9">
        <v>0</v>
      </c>
      <c r="W212" s="8"/>
      <c r="X212" s="9">
        <v>0</v>
      </c>
      <c r="Y212" s="8"/>
      <c r="Z212" s="9">
        <v>0</v>
      </c>
      <c r="AA212" s="8"/>
      <c r="AB212" s="9">
        <v>0</v>
      </c>
      <c r="AC212" s="8"/>
      <c r="AD212" s="9">
        <v>0</v>
      </c>
      <c r="AE212" s="8"/>
      <c r="AF212" s="9">
        <v>0</v>
      </c>
      <c r="AG212" s="8"/>
      <c r="AH212" s="9">
        <f t="shared" si="24"/>
        <v>-0.01</v>
      </c>
      <c r="AI212" s="10">
        <f t="shared" si="25"/>
        <v>-8.5431337320352331E-10</v>
      </c>
      <c r="AJ212" s="11"/>
    </row>
    <row r="213" spans="2:37" outlineLevel="1">
      <c r="B213" s="71" t="s">
        <v>380</v>
      </c>
      <c r="D213" s="5">
        <v>70336</v>
      </c>
      <c r="E213" s="5" t="s">
        <v>139</v>
      </c>
      <c r="F213" s="6"/>
      <c r="G213" s="3"/>
      <c r="H213" s="7"/>
      <c r="I213" s="8"/>
      <c r="J213" s="9">
        <v>186.96</v>
      </c>
      <c r="K213" s="8"/>
      <c r="L213" s="9">
        <v>354.9</v>
      </c>
      <c r="M213" s="8"/>
      <c r="N213" s="9">
        <v>482.96</v>
      </c>
      <c r="O213" s="8"/>
      <c r="P213" s="9">
        <v>239.92</v>
      </c>
      <c r="Q213" s="8"/>
      <c r="R213" s="9">
        <v>323.92</v>
      </c>
      <c r="S213" s="8"/>
      <c r="T213" s="9">
        <v>0</v>
      </c>
      <c r="U213" s="8"/>
      <c r="V213" s="9">
        <v>360.9</v>
      </c>
      <c r="W213" s="8"/>
      <c r="X213" s="9">
        <v>244</v>
      </c>
      <c r="Y213" s="8"/>
      <c r="Z213" s="9">
        <v>0</v>
      </c>
      <c r="AA213" s="8"/>
      <c r="AB213" s="9">
        <v>243.94</v>
      </c>
      <c r="AC213" s="8"/>
      <c r="AD213" s="9">
        <v>323.92</v>
      </c>
      <c r="AE213" s="8"/>
      <c r="AF213" s="9">
        <v>277.93</v>
      </c>
      <c r="AG213" s="8"/>
      <c r="AH213" s="9">
        <f t="shared" si="24"/>
        <v>3039.3500000000004</v>
      </c>
      <c r="AI213" s="10">
        <f t="shared" si="25"/>
        <v>2.5965573508461288E-4</v>
      </c>
      <c r="AJ213" s="11"/>
    </row>
    <row r="214" spans="2:37" outlineLevel="1">
      <c r="B214" s="71" t="s">
        <v>380</v>
      </c>
      <c r="D214" s="5">
        <v>70345</v>
      </c>
      <c r="E214" s="5" t="s">
        <v>97</v>
      </c>
      <c r="F214" s="6"/>
      <c r="G214" s="3"/>
      <c r="H214" s="7"/>
      <c r="I214" s="8"/>
      <c r="J214" s="9">
        <v>0</v>
      </c>
      <c r="K214" s="8"/>
      <c r="L214" s="9">
        <v>0</v>
      </c>
      <c r="M214" s="8"/>
      <c r="N214" s="9">
        <v>0</v>
      </c>
      <c r="O214" s="8"/>
      <c r="P214" s="9">
        <v>0</v>
      </c>
      <c r="Q214" s="8"/>
      <c r="R214" s="9">
        <v>0</v>
      </c>
      <c r="S214" s="8"/>
      <c r="T214" s="9">
        <v>0</v>
      </c>
      <c r="U214" s="8"/>
      <c r="V214" s="9">
        <v>28.25</v>
      </c>
      <c r="W214" s="8"/>
      <c r="X214" s="9">
        <v>0</v>
      </c>
      <c r="Y214" s="8"/>
      <c r="Z214" s="9">
        <v>0</v>
      </c>
      <c r="AA214" s="8"/>
      <c r="AB214" s="9">
        <v>0</v>
      </c>
      <c r="AC214" s="8"/>
      <c r="AD214" s="9">
        <v>0</v>
      </c>
      <c r="AE214" s="8"/>
      <c r="AF214" s="9">
        <v>0</v>
      </c>
      <c r="AG214" s="8"/>
      <c r="AH214" s="9">
        <f t="shared" si="24"/>
        <v>28.25</v>
      </c>
      <c r="AI214" s="10">
        <f t="shared" si="25"/>
        <v>2.4134352792999532E-6</v>
      </c>
      <c r="AJ214" s="11"/>
    </row>
    <row r="215" spans="2:37" outlineLevel="1">
      <c r="B215" s="71" t="s">
        <v>380</v>
      </c>
      <c r="D215" s="5">
        <v>70902</v>
      </c>
      <c r="E215" s="5" t="s">
        <v>648</v>
      </c>
      <c r="F215" s="6"/>
      <c r="G215" s="3"/>
      <c r="H215" s="7"/>
      <c r="I215" s="8"/>
      <c r="J215" s="9">
        <v>0</v>
      </c>
      <c r="K215" s="8"/>
      <c r="L215" s="9">
        <v>0</v>
      </c>
      <c r="M215" s="8"/>
      <c r="N215" s="9">
        <v>0</v>
      </c>
      <c r="O215" s="8"/>
      <c r="P215" s="9">
        <v>0</v>
      </c>
      <c r="Q215" s="8"/>
      <c r="R215" s="9">
        <v>0</v>
      </c>
      <c r="S215" s="8"/>
      <c r="T215" s="9">
        <v>0</v>
      </c>
      <c r="U215" s="8"/>
      <c r="V215" s="9">
        <v>0</v>
      </c>
      <c r="W215" s="8"/>
      <c r="X215" s="9">
        <v>0</v>
      </c>
      <c r="Y215" s="8"/>
      <c r="Z215" s="9">
        <v>0</v>
      </c>
      <c r="AA215" s="8"/>
      <c r="AB215" s="9">
        <v>0</v>
      </c>
      <c r="AC215" s="8"/>
      <c r="AD215" s="9">
        <v>0</v>
      </c>
      <c r="AE215" s="8"/>
      <c r="AF215" s="9">
        <v>0</v>
      </c>
      <c r="AG215" s="8"/>
      <c r="AH215" s="9">
        <f t="shared" si="24"/>
        <v>0</v>
      </c>
      <c r="AI215" s="10">
        <f t="shared" si="25"/>
        <v>0</v>
      </c>
      <c r="AJ215" s="11"/>
    </row>
    <row r="216" spans="2:37" s="7" customFormat="1" ht="5.0999999999999996" customHeight="1" outlineLevel="1">
      <c r="B216" s="1" t="s">
        <v>187</v>
      </c>
      <c r="D216" s="6"/>
      <c r="E216" s="6"/>
      <c r="F216" s="6"/>
      <c r="G216" s="6"/>
      <c r="J216" s="39"/>
      <c r="K216" s="37"/>
      <c r="L216" s="39"/>
      <c r="M216" s="37"/>
      <c r="N216" s="39"/>
      <c r="O216" s="37"/>
      <c r="P216" s="39"/>
      <c r="Q216" s="37"/>
      <c r="R216" s="39"/>
      <c r="S216" s="37"/>
      <c r="T216" s="39"/>
      <c r="U216" s="37"/>
      <c r="V216" s="39"/>
      <c r="W216" s="37"/>
      <c r="X216" s="39"/>
      <c r="Y216" s="37"/>
      <c r="Z216" s="39"/>
      <c r="AA216" s="37"/>
      <c r="AB216" s="39"/>
      <c r="AC216" s="37"/>
      <c r="AD216" s="39"/>
      <c r="AE216" s="37"/>
      <c r="AF216" s="39"/>
      <c r="AG216" s="37"/>
      <c r="AH216" s="39"/>
      <c r="AI216" s="33"/>
      <c r="AJ216" s="14"/>
      <c r="AK216" s="1"/>
    </row>
    <row r="217" spans="2:37" s="7" customFormat="1" ht="15">
      <c r="B217" s="1" t="s">
        <v>187</v>
      </c>
      <c r="F217" s="6" t="s">
        <v>264</v>
      </c>
      <c r="J217" s="36">
        <f>SUM(J183:J216)</f>
        <v>10253.629999999999</v>
      </c>
      <c r="K217" s="37"/>
      <c r="L217" s="36">
        <f>SUM(L183:L216)</f>
        <v>10115.73</v>
      </c>
      <c r="M217" s="37"/>
      <c r="N217" s="36">
        <f>SUM(N183:N216)</f>
        <v>19801.05</v>
      </c>
      <c r="O217" s="37"/>
      <c r="P217" s="36">
        <f>SUM(P183:P216)</f>
        <v>14814.140000000001</v>
      </c>
      <c r="Q217" s="37"/>
      <c r="R217" s="36">
        <f>SUM(R183:R216)</f>
        <v>6755.6099999999988</v>
      </c>
      <c r="S217" s="37"/>
      <c r="T217" s="36">
        <f>SUM(T183:T216)</f>
        <v>10626.029999999999</v>
      </c>
      <c r="U217" s="37"/>
      <c r="V217" s="36">
        <f>SUM(V183:V216)</f>
        <v>10863.9</v>
      </c>
      <c r="W217" s="37"/>
      <c r="X217" s="36">
        <f>SUM(X183:X216)</f>
        <v>11874.97</v>
      </c>
      <c r="Y217" s="37"/>
      <c r="Z217" s="36">
        <f>SUM(Z183:Z216)</f>
        <v>11227.12</v>
      </c>
      <c r="AA217" s="37"/>
      <c r="AB217" s="36">
        <f>SUM(AB183:AB216)</f>
        <v>14294.289999999999</v>
      </c>
      <c r="AC217" s="37"/>
      <c r="AD217" s="36">
        <f>SUM(AD183:AD216)</f>
        <v>12367.14</v>
      </c>
      <c r="AE217" s="37"/>
      <c r="AF217" s="36">
        <f>SUM(AF183:AF216)</f>
        <v>10013.48</v>
      </c>
      <c r="AG217" s="37"/>
      <c r="AH217" s="36">
        <f>SUM(AH183:AH216)</f>
        <v>143007.08999999997</v>
      </c>
      <c r="AI217" s="10">
        <f>IF(AH$49=0,0,AH217/AH$49)</f>
        <v>1.2217286944991981E-2</v>
      </c>
      <c r="AJ217" s="14"/>
      <c r="AK217" s="1"/>
    </row>
    <row r="218" spans="2:37" s="7" customFormat="1" ht="15" outlineLevel="1">
      <c r="B218" s="1" t="s">
        <v>187</v>
      </c>
      <c r="J218" s="38"/>
      <c r="K218" s="37"/>
      <c r="L218" s="38"/>
      <c r="M218" s="37"/>
      <c r="N218" s="38"/>
      <c r="O218" s="37"/>
      <c r="P218" s="38"/>
      <c r="Q218" s="37"/>
      <c r="R218" s="38"/>
      <c r="S218" s="37"/>
      <c r="T218" s="38"/>
      <c r="U218" s="37"/>
      <c r="V218" s="38"/>
      <c r="W218" s="37"/>
      <c r="X218" s="38"/>
      <c r="Y218" s="37"/>
      <c r="Z218" s="38"/>
      <c r="AA218" s="37"/>
      <c r="AB218" s="38"/>
      <c r="AC218" s="37"/>
      <c r="AD218" s="38"/>
      <c r="AE218" s="37"/>
      <c r="AF218" s="38"/>
      <c r="AG218" s="37"/>
      <c r="AH218" s="38"/>
      <c r="AI218" s="33"/>
      <c r="AJ218" s="14"/>
      <c r="AK218" s="1"/>
    </row>
    <row r="219" spans="2:37" outlineLevel="1">
      <c r="B219" s="71" t="s">
        <v>401</v>
      </c>
      <c r="D219" s="5">
        <v>70149</v>
      </c>
      <c r="E219" s="5" t="s">
        <v>265</v>
      </c>
      <c r="F219" s="6"/>
      <c r="G219" s="3"/>
      <c r="H219" s="7"/>
      <c r="I219" s="8"/>
      <c r="J219" s="9">
        <v>24909.59</v>
      </c>
      <c r="K219" s="8"/>
      <c r="L219" s="9">
        <v>30684.51</v>
      </c>
      <c r="M219" s="8"/>
      <c r="N219" s="9">
        <v>27252.62</v>
      </c>
      <c r="O219" s="8"/>
      <c r="P219" s="9">
        <v>28749.43</v>
      </c>
      <c r="Q219" s="8"/>
      <c r="R219" s="9">
        <v>31199.11</v>
      </c>
      <c r="S219" s="8"/>
      <c r="T219" s="9">
        <v>32031.94</v>
      </c>
      <c r="U219" s="8"/>
      <c r="V219" s="9">
        <v>27925.31</v>
      </c>
      <c r="W219" s="8"/>
      <c r="X219" s="9">
        <v>31948.15</v>
      </c>
      <c r="Y219" s="8"/>
      <c r="Z219" s="9">
        <v>31922.06</v>
      </c>
      <c r="AA219" s="8"/>
      <c r="AB219" s="9">
        <v>28671.79</v>
      </c>
      <c r="AC219" s="8"/>
      <c r="AD219" s="9">
        <v>31643.5</v>
      </c>
      <c r="AE219" s="8"/>
      <c r="AF219" s="9">
        <v>28663.51</v>
      </c>
      <c r="AG219" s="8"/>
      <c r="AH219" s="9">
        <f>AF219+AD219+AB219+Z219+X219+V219+T219+R219+P219+N219+L219+J219</f>
        <v>355601.52</v>
      </c>
      <c r="AI219" s="10">
        <f>IF(AH$49=0,0,AH219/AH$49)</f>
        <v>3.0379513406750016E-2</v>
      </c>
      <c r="AJ219" s="11"/>
    </row>
    <row r="220" spans="2:37" s="7" customFormat="1" ht="5.0999999999999996" customHeight="1" outlineLevel="1">
      <c r="B220" s="1" t="s">
        <v>187</v>
      </c>
      <c r="D220" s="6"/>
      <c r="E220" s="6"/>
      <c r="F220" s="6"/>
      <c r="G220" s="6"/>
      <c r="J220" s="39"/>
      <c r="K220" s="37"/>
      <c r="L220" s="39"/>
      <c r="M220" s="37"/>
      <c r="N220" s="39"/>
      <c r="O220" s="37"/>
      <c r="P220" s="39"/>
      <c r="Q220" s="37"/>
      <c r="R220" s="39"/>
      <c r="S220" s="37"/>
      <c r="T220" s="39"/>
      <c r="U220" s="37"/>
      <c r="V220" s="39"/>
      <c r="W220" s="37"/>
      <c r="X220" s="39"/>
      <c r="Y220" s="37"/>
      <c r="Z220" s="39"/>
      <c r="AA220" s="37"/>
      <c r="AB220" s="39"/>
      <c r="AC220" s="37"/>
      <c r="AD220" s="39"/>
      <c r="AE220" s="37"/>
      <c r="AF220" s="39"/>
      <c r="AG220" s="37"/>
      <c r="AH220" s="39"/>
      <c r="AI220" s="33"/>
      <c r="AJ220" s="14"/>
      <c r="AK220" s="1"/>
    </row>
    <row r="221" spans="2:37" s="7" customFormat="1" ht="15">
      <c r="B221" s="1" t="s">
        <v>187</v>
      </c>
      <c r="F221" s="5" t="s">
        <v>266</v>
      </c>
      <c r="J221" s="36">
        <f>SUM(J218:J220)</f>
        <v>24909.59</v>
      </c>
      <c r="K221" s="37"/>
      <c r="L221" s="36">
        <f>SUM(L218:L220)</f>
        <v>30684.51</v>
      </c>
      <c r="M221" s="37"/>
      <c r="N221" s="36">
        <f>SUM(N218:N220)</f>
        <v>27252.62</v>
      </c>
      <c r="O221" s="37"/>
      <c r="P221" s="36">
        <f>SUM(P218:P220)</f>
        <v>28749.43</v>
      </c>
      <c r="Q221" s="37"/>
      <c r="R221" s="36">
        <f>SUM(R218:R220)</f>
        <v>31199.11</v>
      </c>
      <c r="S221" s="37"/>
      <c r="T221" s="36">
        <f>SUM(T218:T220)</f>
        <v>32031.94</v>
      </c>
      <c r="U221" s="37"/>
      <c r="V221" s="36">
        <f>SUM(V218:V220)</f>
        <v>27925.31</v>
      </c>
      <c r="W221" s="37"/>
      <c r="X221" s="36">
        <f>SUM(X218:X220)</f>
        <v>31948.15</v>
      </c>
      <c r="Y221" s="37"/>
      <c r="Z221" s="36">
        <f>SUM(Z218:Z220)</f>
        <v>31922.06</v>
      </c>
      <c r="AA221" s="37"/>
      <c r="AB221" s="36">
        <f>SUM(AB218:AB220)</f>
        <v>28671.79</v>
      </c>
      <c r="AC221" s="37"/>
      <c r="AD221" s="36">
        <f>SUM(AD218:AD220)</f>
        <v>31643.5</v>
      </c>
      <c r="AE221" s="37"/>
      <c r="AF221" s="36">
        <f>SUM(AF218:AF220)</f>
        <v>28663.51</v>
      </c>
      <c r="AG221" s="37"/>
      <c r="AH221" s="36">
        <f>SUM(AH218:AH220)</f>
        <v>355601.52</v>
      </c>
      <c r="AI221" s="10">
        <f>IF(AH$49=0,0,AH221/AH$49)</f>
        <v>3.0379513406750016E-2</v>
      </c>
      <c r="AJ221" s="14"/>
      <c r="AK221" s="1"/>
    </row>
    <row r="222" spans="2:37" s="7" customFormat="1" ht="7.5" customHeight="1">
      <c r="B222" s="1"/>
      <c r="J222" s="38"/>
      <c r="K222" s="37"/>
      <c r="L222" s="38"/>
      <c r="M222" s="37"/>
      <c r="N222" s="38"/>
      <c r="O222" s="37"/>
      <c r="P222" s="38"/>
      <c r="Q222" s="37"/>
      <c r="R222" s="38"/>
      <c r="S222" s="37"/>
      <c r="T222" s="38"/>
      <c r="U222" s="37"/>
      <c r="V222" s="38"/>
      <c r="W222" s="37"/>
      <c r="X222" s="38"/>
      <c r="Y222" s="37"/>
      <c r="Z222" s="38"/>
      <c r="AA222" s="37"/>
      <c r="AB222" s="38"/>
      <c r="AC222" s="37"/>
      <c r="AD222" s="38"/>
      <c r="AE222" s="37"/>
      <c r="AF222" s="38"/>
      <c r="AG222" s="37"/>
      <c r="AH222" s="38"/>
      <c r="AI222" s="33"/>
      <c r="AJ222" s="14"/>
      <c r="AK222" s="1"/>
    </row>
    <row r="223" spans="2:37" s="7" customFormat="1" ht="15">
      <c r="B223" s="1"/>
      <c r="E223" s="41" t="s">
        <v>267</v>
      </c>
      <c r="J223" s="42">
        <f>+J181+J217+J221</f>
        <v>35163.22</v>
      </c>
      <c r="K223" s="37"/>
      <c r="L223" s="42">
        <f>+L181+L217+L221</f>
        <v>40800.239999999998</v>
      </c>
      <c r="M223" s="37"/>
      <c r="N223" s="42">
        <f>+N181+N217+N221</f>
        <v>47053.67</v>
      </c>
      <c r="O223" s="37"/>
      <c r="P223" s="42">
        <f>+P181+P217+P221</f>
        <v>43563.57</v>
      </c>
      <c r="Q223" s="37"/>
      <c r="R223" s="42">
        <f>+R181+R217+R221</f>
        <v>37954.720000000001</v>
      </c>
      <c r="S223" s="37"/>
      <c r="T223" s="42">
        <f>+T181+T217+T221</f>
        <v>42657.97</v>
      </c>
      <c r="U223" s="37"/>
      <c r="V223" s="42">
        <f>+V181+V217+V221</f>
        <v>38789.21</v>
      </c>
      <c r="W223" s="37"/>
      <c r="X223" s="42">
        <f>+X181+X217+X221</f>
        <v>43823.12</v>
      </c>
      <c r="Y223" s="37"/>
      <c r="Z223" s="42">
        <f>+Z181+Z217+Z221</f>
        <v>43149.18</v>
      </c>
      <c r="AA223" s="37"/>
      <c r="AB223" s="42">
        <f>+AB181+AB217+AB221</f>
        <v>42966.080000000002</v>
      </c>
      <c r="AC223" s="37"/>
      <c r="AD223" s="42">
        <f>+AD181+AD217+AD221</f>
        <v>44010.64</v>
      </c>
      <c r="AE223" s="37"/>
      <c r="AF223" s="42">
        <f>+AF181+AF217+AF221</f>
        <v>38676.99</v>
      </c>
      <c r="AG223" s="37"/>
      <c r="AH223" s="42">
        <f>+AH181+AH217+AH221</f>
        <v>498608.61</v>
      </c>
      <c r="AI223" s="10">
        <f>IF(AH$49=0,0,AH223/AH$49)</f>
        <v>4.2596800351742001E-2</v>
      </c>
      <c r="AJ223" s="14"/>
      <c r="AK223" s="1"/>
    </row>
    <row r="224" spans="2:37" s="7" customFormat="1" ht="7.5" customHeight="1">
      <c r="B224" s="1"/>
      <c r="J224" s="38"/>
      <c r="K224" s="37"/>
      <c r="L224" s="38"/>
      <c r="M224" s="37"/>
      <c r="N224" s="38"/>
      <c r="O224" s="37"/>
      <c r="P224" s="38"/>
      <c r="Q224" s="37"/>
      <c r="R224" s="38"/>
      <c r="S224" s="37"/>
      <c r="T224" s="38"/>
      <c r="U224" s="37"/>
      <c r="V224" s="38"/>
      <c r="W224" s="37"/>
      <c r="X224" s="38"/>
      <c r="Y224" s="37"/>
      <c r="Z224" s="38"/>
      <c r="AA224" s="37"/>
      <c r="AB224" s="38"/>
      <c r="AC224" s="37"/>
      <c r="AD224" s="38"/>
      <c r="AE224" s="37"/>
      <c r="AF224" s="38"/>
      <c r="AG224" s="37"/>
      <c r="AH224" s="38"/>
      <c r="AI224" s="33"/>
      <c r="AJ224" s="14"/>
      <c r="AK224" s="1"/>
    </row>
    <row r="225" spans="1:37" s="7" customFormat="1" ht="7.5" customHeight="1">
      <c r="B225" s="1" t="s">
        <v>187</v>
      </c>
      <c r="D225" s="48"/>
      <c r="E225" s="48"/>
      <c r="F225" s="48"/>
      <c r="G225" s="48"/>
      <c r="H225" s="48"/>
      <c r="I225" s="48"/>
      <c r="J225" s="46"/>
      <c r="K225" s="37"/>
      <c r="L225" s="46"/>
      <c r="M225" s="37"/>
      <c r="N225" s="46"/>
      <c r="O225" s="37"/>
      <c r="P225" s="46"/>
      <c r="Q225" s="37"/>
      <c r="R225" s="46"/>
      <c r="S225" s="37"/>
      <c r="T225" s="46"/>
      <c r="U225" s="37"/>
      <c r="V225" s="46"/>
      <c r="W225" s="37"/>
      <c r="X225" s="46"/>
      <c r="Y225" s="37"/>
      <c r="Z225" s="46"/>
      <c r="AA225" s="37"/>
      <c r="AB225" s="46"/>
      <c r="AC225" s="37"/>
      <c r="AD225" s="46"/>
      <c r="AE225" s="37"/>
      <c r="AF225" s="46"/>
      <c r="AG225" s="37"/>
      <c r="AH225" s="46"/>
      <c r="AI225" s="33"/>
      <c r="AJ225" s="14"/>
      <c r="AK225" s="1"/>
    </row>
    <row r="226" spans="1:37" s="7" customFormat="1" ht="15">
      <c r="B226" s="1" t="s">
        <v>187</v>
      </c>
      <c r="E226" s="49" t="s">
        <v>268</v>
      </c>
      <c r="F226" s="50"/>
      <c r="G226" s="50"/>
      <c r="H226" s="50"/>
      <c r="I226" s="50"/>
      <c r="J226" s="51">
        <f>+J176-J223</f>
        <v>330758.24999999988</v>
      </c>
      <c r="K226" s="52"/>
      <c r="L226" s="51">
        <f>+L176-L223</f>
        <v>400227.41000000003</v>
      </c>
      <c r="M226" s="53"/>
      <c r="N226" s="51">
        <f>+N176-N223</f>
        <v>190952.75999999995</v>
      </c>
      <c r="O226" s="53"/>
      <c r="P226" s="51">
        <f>+P176-P223</f>
        <v>280722.40000000008</v>
      </c>
      <c r="Q226" s="52"/>
      <c r="R226" s="51">
        <f>+R176-R223</f>
        <v>374994.85</v>
      </c>
      <c r="S226" s="53"/>
      <c r="T226" s="51">
        <f>+T176-T223</f>
        <v>346399.14</v>
      </c>
      <c r="U226" s="53"/>
      <c r="V226" s="51">
        <f>+V176-V223</f>
        <v>276709.24000000017</v>
      </c>
      <c r="W226" s="52"/>
      <c r="X226" s="51">
        <f>+X176-X223</f>
        <v>396878.19999999995</v>
      </c>
      <c r="Y226" s="53"/>
      <c r="Z226" s="51">
        <f>+Z176-Z223</f>
        <v>369920.49000000005</v>
      </c>
      <c r="AA226" s="53"/>
      <c r="AB226" s="51">
        <f>+AB176-AB223</f>
        <v>240417.78999999992</v>
      </c>
      <c r="AC226" s="52"/>
      <c r="AD226" s="51">
        <f>+AD176-AD223</f>
        <v>432992.69999999995</v>
      </c>
      <c r="AE226" s="53"/>
      <c r="AF226" s="51">
        <f>+AF176-AF223</f>
        <v>247662.23999999987</v>
      </c>
      <c r="AG226" s="53"/>
      <c r="AH226" s="51">
        <f>+AH176-AH223</f>
        <v>3888635.47</v>
      </c>
      <c r="AI226" s="10">
        <f>IF(AH$49=0,0,AH226/AH$49)</f>
        <v>0.33221132855345686</v>
      </c>
      <c r="AJ226" s="54"/>
      <c r="AK226" s="1"/>
    </row>
    <row r="227" spans="1:37" s="7" customFormat="1" ht="6.75" customHeight="1">
      <c r="A227" s="75"/>
      <c r="B227" s="1" t="s">
        <v>187</v>
      </c>
      <c r="C227" s="1"/>
      <c r="D227" s="55"/>
      <c r="E227" s="55"/>
      <c r="F227" s="55"/>
      <c r="G227" s="55"/>
      <c r="H227" s="55"/>
      <c r="I227" s="55"/>
      <c r="J227" s="56"/>
      <c r="K227" s="55"/>
      <c r="L227" s="56"/>
      <c r="M227" s="55"/>
      <c r="N227" s="56"/>
      <c r="O227" s="55"/>
      <c r="P227" s="56"/>
      <c r="Q227" s="55"/>
      <c r="R227" s="56"/>
      <c r="S227" s="55"/>
      <c r="T227" s="56"/>
      <c r="U227" s="55"/>
      <c r="V227" s="56"/>
      <c r="W227" s="55"/>
      <c r="X227" s="56"/>
      <c r="Y227" s="55"/>
      <c r="Z227" s="56"/>
      <c r="AA227" s="55"/>
      <c r="AB227" s="56"/>
      <c r="AC227" s="55"/>
      <c r="AD227" s="56"/>
      <c r="AE227" s="55"/>
      <c r="AF227" s="56"/>
      <c r="AG227" s="55"/>
      <c r="AH227" s="56"/>
      <c r="AI227" s="57"/>
      <c r="AJ227" s="14"/>
      <c r="AK227" s="1"/>
    </row>
    <row r="228" spans="1:37" s="7" customFormat="1" ht="15">
      <c r="A228" s="75"/>
      <c r="B228" s="1" t="s">
        <v>187</v>
      </c>
      <c r="C228" s="1"/>
      <c r="E228" s="58" t="s">
        <v>269</v>
      </c>
      <c r="F228" s="59"/>
      <c r="G228" s="59"/>
      <c r="H228" s="59"/>
      <c r="I228" s="59"/>
      <c r="J228" s="60">
        <f>J226 +J168+SUMIF($D:$D,52141,J:J)+SUMIF($D:$D,52142,J:J)+SUMIF($D:$D,52143,J:J)+SUMIF($D:$D,55142,J:J)+SUMIF($D:$D,56142,J:J)+SUMIF($D:$D,70142,J:J)</f>
        <v>381789.34999999986</v>
      </c>
      <c r="K228" s="59"/>
      <c r="L228" s="60">
        <f>L226 +L168+SUMIF($D:$D,52141,L:L)+SUMIF($D:$D,52142,L:L)+SUMIF($D:$D,52143,L:L)+SUMIF($D:$D,55142,L:L)+SUMIF($D:$D,56142,L:L)+SUMIF($D:$D,70142,L:L)</f>
        <v>487493.75000000006</v>
      </c>
      <c r="M228" s="59"/>
      <c r="N228" s="60">
        <f>N226 +N168+SUMIF($D:$D,52141,N:N)+SUMIF($D:$D,52142,N:N)+SUMIF($D:$D,52143,N:N)+SUMIF($D:$D,55142,N:N)+SUMIF($D:$D,56142,N:N)+SUMIF($D:$D,70142,N:N)</f>
        <v>258356.18999999994</v>
      </c>
      <c r="O228" s="59"/>
      <c r="P228" s="60">
        <f>P226 +P168+SUMIF($D:$D,52141,P:P)+SUMIF($D:$D,52142,P:P)+SUMIF($D:$D,52143,P:P)+SUMIF($D:$D,55142,P:P)+SUMIF($D:$D,56142,P:P)+SUMIF($D:$D,70142,P:P)</f>
        <v>359924.99000000011</v>
      </c>
      <c r="Q228" s="59"/>
      <c r="R228" s="60">
        <f>R226 +R168+SUMIF($D:$D,52141,R:R)+SUMIF($D:$D,52142,R:R)+SUMIF($D:$D,52143,R:R)+SUMIF($D:$D,55142,R:R)+SUMIF($D:$D,56142,R:R)+SUMIF($D:$D,70142,R:R)</f>
        <v>464261.27</v>
      </c>
      <c r="S228" s="59"/>
      <c r="T228" s="60">
        <f>T226 +T168+SUMIF($D:$D,52141,T:T)+SUMIF($D:$D,52142,T:T)+SUMIF($D:$D,52143,T:T)+SUMIF($D:$D,55142,T:T)+SUMIF($D:$D,56142,T:T)+SUMIF($D:$D,70142,T:T)</f>
        <v>468441.35000000003</v>
      </c>
      <c r="U228" s="59"/>
      <c r="V228" s="60">
        <f>V226 +V168+SUMIF($D:$D,52141,V:V)+SUMIF($D:$D,52142,V:V)+SUMIF($D:$D,52143,V:V)+SUMIF($D:$D,55142,V:V)+SUMIF($D:$D,56142,V:V)+SUMIF($D:$D,70142,V:V)</f>
        <v>344290.14000000013</v>
      </c>
      <c r="W228" s="59"/>
      <c r="X228" s="60">
        <f>X226 +X168+SUMIF($D:$D,52141,X:X)+SUMIF($D:$D,52142,X:X)+SUMIF($D:$D,52143,X:X)+SUMIF($D:$D,55142,X:X)+SUMIF($D:$D,56142,X:X)+SUMIF($D:$D,70142,X:X)</f>
        <v>489208.92</v>
      </c>
      <c r="Y228" s="59"/>
      <c r="Z228" s="60">
        <f>Z226 +Z168+SUMIF($D:$D,52141,Z:Z)+SUMIF($D:$D,52142,Z:Z)+SUMIF($D:$D,52143,Z:Z)+SUMIF($D:$D,55142,Z:Z)+SUMIF($D:$D,56142,Z:Z)+SUMIF($D:$D,70142,Z:Z)</f>
        <v>453040.57000000007</v>
      </c>
      <c r="AA228" s="59"/>
      <c r="AB228" s="60">
        <f>AB226 +AB168+SUMIF($D:$D,52141,AB:AB)+SUMIF($D:$D,52142,AB:AB)+SUMIF($D:$D,52143,AB:AB)+SUMIF($D:$D,55142,AB:AB)+SUMIF($D:$D,56142,AB:AB)+SUMIF($D:$D,70142,AB:AB)</f>
        <v>305736.64999999991</v>
      </c>
      <c r="AC228" s="59"/>
      <c r="AD228" s="60">
        <f>AD226 +AD168+SUMIF($D:$D,52141,AD:AD)+SUMIF($D:$D,52142,AD:AD)+SUMIF($D:$D,52143,AD:AD)+SUMIF($D:$D,55142,AD:AD)+SUMIF($D:$D,56142,AD:AD)+SUMIF($D:$D,70142,AD:AD)</f>
        <v>530001.53999999992</v>
      </c>
      <c r="AE228" s="59"/>
      <c r="AF228" s="60">
        <f>AF226 +AF168+SUMIF($D:$D,52141,AF:AF)+SUMIF($D:$D,52142,AF:AF)+SUMIF($D:$D,52143,AF:AF)+SUMIF($D:$D,55142,AF:AF)+SUMIF($D:$D,56142,AF:AF)+SUMIF($D:$D,70142,AF:AF)</f>
        <v>341310.2699999999</v>
      </c>
      <c r="AG228" s="59"/>
      <c r="AH228" s="60">
        <f>AH226 +AH168+SUMIF($D:$D,52141,AH:AH)+SUMIF($D:$D,52142,AH:AH)+SUMIF($D:$D,52143,AH:AH)+SUMIF($D:$D,55142,AH:AH)+SUMIF($D:$D,56142,AH:AH)+SUMIF($D:$D,70142,AH:AH)</f>
        <v>4883854.99</v>
      </c>
      <c r="AI228" s="10">
        <f>IF(AH$49=0,0,AH228/AH$49)</f>
        <v>0.417234263074376</v>
      </c>
      <c r="AJ228" s="54"/>
      <c r="AK228" s="1"/>
    </row>
    <row r="229" spans="1:37" s="7" customFormat="1" ht="6.75" customHeight="1">
      <c r="A229" s="12"/>
      <c r="B229" s="1" t="s">
        <v>187</v>
      </c>
      <c r="C229" s="1"/>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57"/>
      <c r="AJ229" s="14"/>
      <c r="AK229" s="1"/>
    </row>
    <row r="230" spans="1:37" outlineLevel="1">
      <c r="B230" s="71" t="s">
        <v>402</v>
      </c>
      <c r="D230" s="5">
        <v>51260</v>
      </c>
      <c r="E230" s="5" t="s">
        <v>270</v>
      </c>
      <c r="F230" s="6"/>
      <c r="G230" s="3"/>
      <c r="H230" s="7"/>
      <c r="I230" s="8"/>
      <c r="J230" s="9">
        <v>39678.03</v>
      </c>
      <c r="K230" s="8"/>
      <c r="L230" s="9">
        <v>36162.870000000003</v>
      </c>
      <c r="M230" s="8"/>
      <c r="N230" s="9">
        <v>38836.230000000003</v>
      </c>
      <c r="O230" s="8"/>
      <c r="P230" s="9">
        <v>36187.160000000003</v>
      </c>
      <c r="Q230" s="8"/>
      <c r="R230" s="9">
        <v>34656.94</v>
      </c>
      <c r="S230" s="8"/>
      <c r="T230" s="9">
        <v>34976.5</v>
      </c>
      <c r="U230" s="8"/>
      <c r="V230" s="9">
        <v>34986.21</v>
      </c>
      <c r="W230" s="8"/>
      <c r="X230" s="9">
        <v>34986.11</v>
      </c>
      <c r="Y230" s="8"/>
      <c r="Z230" s="9">
        <v>34986.1</v>
      </c>
      <c r="AA230" s="8"/>
      <c r="AB230" s="9">
        <v>41475.06</v>
      </c>
      <c r="AC230" s="8"/>
      <c r="AD230" s="9">
        <v>39671.03</v>
      </c>
      <c r="AE230" s="8"/>
      <c r="AF230" s="9">
        <v>45976.23</v>
      </c>
      <c r="AG230" s="8"/>
      <c r="AH230" s="9">
        <f t="shared" ref="AH230:AH233" si="26">AF230+AD230+AB230+Z230+X230+V230+T230+R230+P230+N230+L230+J230</f>
        <v>452578.47</v>
      </c>
      <c r="AI230" s="10">
        <f t="shared" ref="AI230:AI233" si="27">IF(AH$49=0,0,AH230/AH$49)</f>
        <v>3.8664383934498954E-2</v>
      </c>
      <c r="AJ230" s="11"/>
    </row>
    <row r="231" spans="1:37" outlineLevel="1">
      <c r="B231" s="71" t="s">
        <v>380</v>
      </c>
      <c r="D231" s="5">
        <v>54260</v>
      </c>
      <c r="E231" s="5" t="s">
        <v>270</v>
      </c>
      <c r="F231" s="6"/>
      <c r="G231" s="3"/>
      <c r="H231" s="7"/>
      <c r="I231" s="8"/>
      <c r="J231" s="9">
        <v>2165.7600000000002</v>
      </c>
      <c r="K231" s="8"/>
      <c r="L231" s="9">
        <v>2165.77</v>
      </c>
      <c r="M231" s="8"/>
      <c r="N231" s="9">
        <v>2165.75</v>
      </c>
      <c r="O231" s="8"/>
      <c r="P231" s="9">
        <v>2165.7800000000002</v>
      </c>
      <c r="Q231" s="8"/>
      <c r="R231" s="9">
        <v>2165.7199999999998</v>
      </c>
      <c r="S231" s="8"/>
      <c r="T231" s="9">
        <v>2165.7600000000002</v>
      </c>
      <c r="U231" s="8"/>
      <c r="V231" s="9">
        <v>2165.81</v>
      </c>
      <c r="W231" s="8"/>
      <c r="X231" s="9">
        <v>2165.71</v>
      </c>
      <c r="Y231" s="8"/>
      <c r="Z231" s="9">
        <v>2165.75</v>
      </c>
      <c r="AA231" s="8"/>
      <c r="AB231" s="9">
        <v>2165.7600000000002</v>
      </c>
      <c r="AC231" s="8"/>
      <c r="AD231" s="9">
        <v>2165.7600000000002</v>
      </c>
      <c r="AE231" s="8"/>
      <c r="AF231" s="9">
        <v>2165.7399999999998</v>
      </c>
      <c r="AG231" s="8"/>
      <c r="AH231" s="9">
        <f t="shared" si="26"/>
        <v>25989.07</v>
      </c>
      <c r="AI231" s="10">
        <f t="shared" si="27"/>
        <v>2.2202810058122493E-3</v>
      </c>
      <c r="AJ231" s="11"/>
    </row>
    <row r="232" spans="1:37" outlineLevel="1">
      <c r="B232" s="71" t="s">
        <v>380</v>
      </c>
      <c r="D232" s="5">
        <v>57260</v>
      </c>
      <c r="E232" s="5" t="s">
        <v>270</v>
      </c>
      <c r="F232" s="6"/>
      <c r="G232" s="3"/>
      <c r="H232" s="7"/>
      <c r="I232" s="8"/>
      <c r="J232" s="9">
        <v>11132.42</v>
      </c>
      <c r="K232" s="8"/>
      <c r="L232" s="9">
        <v>11132.42</v>
      </c>
      <c r="M232" s="8"/>
      <c r="N232" s="9">
        <v>11132.43</v>
      </c>
      <c r="O232" s="8"/>
      <c r="P232" s="9">
        <v>11132.42</v>
      </c>
      <c r="Q232" s="8"/>
      <c r="R232" s="9">
        <v>11132.41</v>
      </c>
      <c r="S232" s="8"/>
      <c r="T232" s="9">
        <v>11132.43</v>
      </c>
      <c r="U232" s="8"/>
      <c r="V232" s="9">
        <v>11132.42</v>
      </c>
      <c r="W232" s="8"/>
      <c r="X232" s="9">
        <v>11132.42</v>
      </c>
      <c r="Y232" s="8"/>
      <c r="Z232" s="9">
        <v>11132.43</v>
      </c>
      <c r="AA232" s="8"/>
      <c r="AB232" s="9">
        <v>11132.42</v>
      </c>
      <c r="AC232" s="8"/>
      <c r="AD232" s="9">
        <v>11132.41</v>
      </c>
      <c r="AE232" s="8"/>
      <c r="AF232" s="9">
        <v>11132.43</v>
      </c>
      <c r="AG232" s="8"/>
      <c r="AH232" s="9">
        <f t="shared" si="26"/>
        <v>133589.06</v>
      </c>
      <c r="AI232" s="10">
        <f t="shared" si="27"/>
        <v>1.1412692047168787E-2</v>
      </c>
      <c r="AJ232" s="11"/>
    </row>
    <row r="233" spans="1:37" outlineLevel="1">
      <c r="B233" s="71" t="s">
        <v>380</v>
      </c>
      <c r="D233" s="5">
        <v>70260</v>
      </c>
      <c r="E233" s="5" t="s">
        <v>270</v>
      </c>
      <c r="F233" s="6"/>
      <c r="G233" s="3"/>
      <c r="H233" s="7"/>
      <c r="I233" s="8"/>
      <c r="J233" s="9">
        <v>390.21</v>
      </c>
      <c r="K233" s="8"/>
      <c r="L233" s="9">
        <v>335.56</v>
      </c>
      <c r="M233" s="8"/>
      <c r="N233" s="9">
        <v>335.56</v>
      </c>
      <c r="O233" s="8"/>
      <c r="P233" s="9">
        <v>335.57</v>
      </c>
      <c r="Q233" s="8"/>
      <c r="R233" s="9">
        <v>335.54</v>
      </c>
      <c r="S233" s="8"/>
      <c r="T233" s="9">
        <v>335.57</v>
      </c>
      <c r="U233" s="8"/>
      <c r="V233" s="9">
        <v>335.56</v>
      </c>
      <c r="W233" s="8"/>
      <c r="X233" s="9">
        <v>335.56</v>
      </c>
      <c r="Y233" s="8"/>
      <c r="Z233" s="9">
        <v>335.55</v>
      </c>
      <c r="AA233" s="8"/>
      <c r="AB233" s="9">
        <v>335.58</v>
      </c>
      <c r="AC233" s="8"/>
      <c r="AD233" s="9">
        <v>335.55</v>
      </c>
      <c r="AE233" s="8"/>
      <c r="AF233" s="9">
        <v>300.25</v>
      </c>
      <c r="AG233" s="8"/>
      <c r="AH233" s="9">
        <f t="shared" si="26"/>
        <v>4046.06</v>
      </c>
      <c r="AI233" s="10">
        <f t="shared" si="27"/>
        <v>3.4566031667838476E-4</v>
      </c>
      <c r="AJ233" s="11"/>
    </row>
    <row r="234" spans="1:37" s="7" customFormat="1" ht="5.0999999999999996" customHeight="1" outlineLevel="1">
      <c r="A234" s="12"/>
      <c r="B234" s="1" t="s">
        <v>187</v>
      </c>
      <c r="C234" s="1"/>
      <c r="D234" s="6"/>
      <c r="E234" s="6"/>
      <c r="F234" s="6"/>
      <c r="G234" s="6"/>
      <c r="J234" s="39"/>
      <c r="K234" s="38"/>
      <c r="L234" s="39"/>
      <c r="M234" s="38"/>
      <c r="N234" s="39"/>
      <c r="O234" s="38"/>
      <c r="P234" s="39"/>
      <c r="Q234" s="38"/>
      <c r="R234" s="39"/>
      <c r="S234" s="38"/>
      <c r="T234" s="39"/>
      <c r="U234" s="38"/>
      <c r="V234" s="39"/>
      <c r="W234" s="38"/>
      <c r="X234" s="39"/>
      <c r="Y234" s="38"/>
      <c r="Z234" s="39"/>
      <c r="AA234" s="38"/>
      <c r="AB234" s="39"/>
      <c r="AC234" s="38"/>
      <c r="AD234" s="39"/>
      <c r="AE234" s="38"/>
      <c r="AF234" s="39"/>
      <c r="AG234" s="38"/>
      <c r="AH234" s="39"/>
      <c r="AI234" s="57"/>
      <c r="AJ234" s="14"/>
      <c r="AK234" s="1"/>
    </row>
    <row r="235" spans="1:37" s="7" customFormat="1" ht="15">
      <c r="A235" s="12"/>
      <c r="B235" s="1" t="s">
        <v>187</v>
      </c>
      <c r="C235" s="1"/>
      <c r="F235" s="6" t="s">
        <v>270</v>
      </c>
      <c r="J235" s="36">
        <f>SUM(J230:J234)</f>
        <v>53366.42</v>
      </c>
      <c r="K235" s="38"/>
      <c r="L235" s="36">
        <f>SUM(L230:L234)</f>
        <v>49796.619999999995</v>
      </c>
      <c r="M235" s="38"/>
      <c r="N235" s="36">
        <f>SUM(N230:N234)</f>
        <v>52469.97</v>
      </c>
      <c r="O235" s="61">
        <f>IF(N$43=0,0,N235/N$43)</f>
        <v>0</v>
      </c>
      <c r="P235" s="36">
        <f>SUM(P230:P234)</f>
        <v>49820.93</v>
      </c>
      <c r="Q235" s="38"/>
      <c r="R235" s="36">
        <f>SUM(R230:R234)</f>
        <v>48290.610000000008</v>
      </c>
      <c r="S235" s="38"/>
      <c r="T235" s="36">
        <f>SUM(T230:T234)</f>
        <v>48610.26</v>
      </c>
      <c r="U235" s="61">
        <f>IF(T$43=0,0,T235/T$43)</f>
        <v>0</v>
      </c>
      <c r="V235" s="36">
        <f>SUM(V230:V234)</f>
        <v>48619.999999999993</v>
      </c>
      <c r="W235" s="38"/>
      <c r="X235" s="36">
        <f>SUM(X230:X234)</f>
        <v>48619.799999999996</v>
      </c>
      <c r="Y235" s="38"/>
      <c r="Z235" s="36">
        <f>SUM(Z230:Z234)</f>
        <v>48619.83</v>
      </c>
      <c r="AA235" s="61">
        <f>IF(Z$43=0,0,Z235/Z$43)</f>
        <v>0</v>
      </c>
      <c r="AB235" s="36">
        <f>SUM(AB230:AB234)</f>
        <v>55108.82</v>
      </c>
      <c r="AC235" s="38"/>
      <c r="AD235" s="36">
        <f>SUM(AD230:AD234)</f>
        <v>53304.75</v>
      </c>
      <c r="AE235" s="38"/>
      <c r="AF235" s="36">
        <f>SUM(AF230:AF234)</f>
        <v>59574.65</v>
      </c>
      <c r="AG235" s="61">
        <f>IF(AF$43=0,0,AF235/AF$43)</f>
        <v>0</v>
      </c>
      <c r="AH235" s="36">
        <f>SUM(J235,L235,N235,P235,R235,T235,V235,X235,Z235,AB235,AD235,AF235)</f>
        <v>616202.66</v>
      </c>
      <c r="AI235" s="10">
        <f>IF(AH$49=0,0,AH235/AH$49)</f>
        <v>5.2643017304158379E-2</v>
      </c>
      <c r="AJ235" s="14"/>
      <c r="AK235" s="1"/>
    </row>
    <row r="236" spans="1:37" s="7" customFormat="1" ht="15" outlineLevel="1">
      <c r="A236" s="12"/>
      <c r="B236" s="1" t="s">
        <v>187</v>
      </c>
      <c r="C236" s="1"/>
      <c r="F236" s="6"/>
      <c r="J236" s="38"/>
      <c r="K236" s="38"/>
      <c r="L236" s="38"/>
      <c r="M236" s="38"/>
      <c r="N236" s="38"/>
      <c r="O236" s="57"/>
      <c r="P236" s="38"/>
      <c r="Q236" s="38"/>
      <c r="R236" s="38"/>
      <c r="S236" s="38"/>
      <c r="T236" s="38"/>
      <c r="U236" s="57"/>
      <c r="V236" s="38"/>
      <c r="W236" s="38"/>
      <c r="X236" s="38"/>
      <c r="Y236" s="38"/>
      <c r="Z236" s="38"/>
      <c r="AA236" s="57"/>
      <c r="AB236" s="38"/>
      <c r="AC236" s="38"/>
      <c r="AD236" s="38"/>
      <c r="AE236" s="38"/>
      <c r="AF236" s="38"/>
      <c r="AG236" s="57"/>
      <c r="AH236" s="38"/>
      <c r="AI236" s="57"/>
      <c r="AJ236" s="14"/>
      <c r="AK236" s="1"/>
    </row>
    <row r="237" spans="1:37" outlineLevel="1">
      <c r="B237" s="71" t="s">
        <v>403</v>
      </c>
      <c r="D237" s="5"/>
      <c r="E237" s="5"/>
      <c r="F237" s="6"/>
      <c r="G237" s="3"/>
      <c r="H237" s="7"/>
      <c r="I237" s="8"/>
      <c r="J237" s="9"/>
      <c r="K237" s="8"/>
      <c r="L237" s="9"/>
      <c r="M237" s="8"/>
      <c r="N237" s="9"/>
      <c r="O237" s="8"/>
      <c r="P237" s="9"/>
      <c r="Q237" s="8"/>
      <c r="R237" s="9"/>
      <c r="S237" s="8"/>
      <c r="T237" s="9"/>
      <c r="U237" s="8"/>
      <c r="V237" s="9"/>
      <c r="W237" s="8"/>
      <c r="X237" s="9"/>
      <c r="Y237" s="8"/>
      <c r="Z237" s="9"/>
      <c r="AA237" s="8"/>
      <c r="AB237" s="9"/>
      <c r="AC237" s="8"/>
      <c r="AD237" s="9"/>
      <c r="AE237" s="8"/>
      <c r="AF237" s="9"/>
      <c r="AG237" s="8"/>
      <c r="AH237" s="9">
        <f>AF237+AD237+AB237+Z237+X237+V237+T237+R237+P237+N237+L237+J237</f>
        <v>0</v>
      </c>
      <c r="AI237" s="10">
        <f>IF(AH$49=0,0,AH237/AH$49)</f>
        <v>0</v>
      </c>
      <c r="AJ237" s="11"/>
    </row>
    <row r="238" spans="1:37" s="7" customFormat="1" ht="5.0999999999999996" customHeight="1" outlineLevel="1">
      <c r="A238" s="12"/>
      <c r="B238" s="1" t="s">
        <v>187</v>
      </c>
      <c r="C238" s="1"/>
      <c r="D238" s="6"/>
      <c r="E238" s="6"/>
      <c r="F238" s="6"/>
      <c r="G238" s="6"/>
      <c r="J238" s="39"/>
      <c r="K238" s="38"/>
      <c r="L238" s="39"/>
      <c r="M238" s="38"/>
      <c r="N238" s="39"/>
      <c r="O238" s="57"/>
      <c r="P238" s="39"/>
      <c r="Q238" s="38"/>
      <c r="R238" s="39"/>
      <c r="S238" s="38"/>
      <c r="T238" s="39"/>
      <c r="U238" s="57"/>
      <c r="V238" s="39"/>
      <c r="W238" s="38"/>
      <c r="X238" s="39"/>
      <c r="Y238" s="38"/>
      <c r="Z238" s="39"/>
      <c r="AA238" s="57"/>
      <c r="AB238" s="39"/>
      <c r="AC238" s="38"/>
      <c r="AD238" s="39"/>
      <c r="AE238" s="38"/>
      <c r="AF238" s="39"/>
      <c r="AG238" s="57"/>
      <c r="AH238" s="39"/>
      <c r="AI238" s="57"/>
      <c r="AJ238" s="14"/>
      <c r="AK238" s="1"/>
    </row>
    <row r="239" spans="1:37" s="7" customFormat="1" ht="15">
      <c r="A239" s="12"/>
      <c r="B239" s="1" t="s">
        <v>187</v>
      </c>
      <c r="C239" s="1"/>
      <c r="F239" s="5" t="s">
        <v>271</v>
      </c>
      <c r="J239" s="36">
        <f>SUM(J237:J238)</f>
        <v>0</v>
      </c>
      <c r="K239" s="38"/>
      <c r="L239" s="36">
        <f>SUM(L237:L238)</f>
        <v>0</v>
      </c>
      <c r="M239" s="38"/>
      <c r="N239" s="36">
        <f>SUM(N237:N238)</f>
        <v>0</v>
      </c>
      <c r="O239" s="61">
        <f>IF(N$43=0,0,N239/N$43)</f>
        <v>0</v>
      </c>
      <c r="P239" s="36">
        <f>SUM(P237:P238)</f>
        <v>0</v>
      </c>
      <c r="Q239" s="38"/>
      <c r="R239" s="36">
        <f>SUM(R237:R238)</f>
        <v>0</v>
      </c>
      <c r="S239" s="38"/>
      <c r="T239" s="36">
        <f>SUM(T237:T238)</f>
        <v>0</v>
      </c>
      <c r="U239" s="61">
        <f>IF(T$43=0,0,T239/T$43)</f>
        <v>0</v>
      </c>
      <c r="V239" s="36">
        <f>SUM(V237:V238)</f>
        <v>0</v>
      </c>
      <c r="W239" s="38"/>
      <c r="X239" s="36">
        <f>SUM(X237:X238)</f>
        <v>0</v>
      </c>
      <c r="Y239" s="38"/>
      <c r="Z239" s="36">
        <f>SUM(Z237:Z238)</f>
        <v>0</v>
      </c>
      <c r="AA239" s="61">
        <f>IF(Z$43=0,0,Z239/Z$43)</f>
        <v>0</v>
      </c>
      <c r="AB239" s="36">
        <f>SUM(AB237:AB238)</f>
        <v>0</v>
      </c>
      <c r="AC239" s="38"/>
      <c r="AD239" s="36">
        <f>SUM(AD237:AD238)</f>
        <v>0</v>
      </c>
      <c r="AE239" s="38"/>
      <c r="AF239" s="36">
        <f>SUM(AF237:AF238)</f>
        <v>0</v>
      </c>
      <c r="AG239" s="61">
        <f>IF(AF$43=0,0,AF239/AF$43)</f>
        <v>0</v>
      </c>
      <c r="AH239" s="36">
        <f>SUM(J239,L239,N239)</f>
        <v>0</v>
      </c>
      <c r="AI239" s="10">
        <f>IF(AH$49=0,0,AH239/AH$49)</f>
        <v>0</v>
      </c>
      <c r="AJ239" s="14"/>
      <c r="AK239" s="1"/>
    </row>
    <row r="240" spans="1:37" s="7" customFormat="1" ht="15" outlineLevel="1">
      <c r="A240" s="12"/>
      <c r="B240" s="1" t="s">
        <v>187</v>
      </c>
      <c r="C240" s="1"/>
      <c r="J240" s="38"/>
      <c r="K240" s="38"/>
      <c r="L240" s="38"/>
      <c r="M240" s="38"/>
      <c r="N240" s="38"/>
      <c r="O240" s="57"/>
      <c r="P240" s="38"/>
      <c r="Q240" s="38"/>
      <c r="R240" s="38"/>
      <c r="S240" s="38"/>
      <c r="T240" s="38"/>
      <c r="U240" s="57"/>
      <c r="V240" s="38"/>
      <c r="W240" s="38"/>
      <c r="X240" s="38"/>
      <c r="Y240" s="38"/>
      <c r="Z240" s="38"/>
      <c r="AA240" s="57"/>
      <c r="AB240" s="38"/>
      <c r="AC240" s="38"/>
      <c r="AD240" s="38"/>
      <c r="AE240" s="38"/>
      <c r="AF240" s="38"/>
      <c r="AG240" s="57"/>
      <c r="AH240" s="38"/>
      <c r="AI240" s="57"/>
      <c r="AJ240" s="14"/>
      <c r="AK240" s="1"/>
    </row>
    <row r="241" spans="1:37" outlineLevel="1">
      <c r="B241" s="71" t="s">
        <v>404</v>
      </c>
      <c r="D241" s="5"/>
      <c r="E241" s="5"/>
      <c r="F241" s="6"/>
      <c r="G241" s="3"/>
      <c r="H241" s="7"/>
      <c r="I241" s="8"/>
      <c r="J241" s="9"/>
      <c r="K241" s="8"/>
      <c r="L241" s="9"/>
      <c r="M241" s="8"/>
      <c r="N241" s="9"/>
      <c r="O241" s="8"/>
      <c r="P241" s="9"/>
      <c r="Q241" s="8"/>
      <c r="R241" s="9"/>
      <c r="S241" s="8"/>
      <c r="T241" s="9"/>
      <c r="U241" s="8"/>
      <c r="V241" s="9"/>
      <c r="W241" s="8"/>
      <c r="X241" s="9"/>
      <c r="Y241" s="8"/>
      <c r="Z241" s="9"/>
      <c r="AA241" s="8"/>
      <c r="AB241" s="9"/>
      <c r="AC241" s="8"/>
      <c r="AD241" s="9"/>
      <c r="AE241" s="8"/>
      <c r="AF241" s="9"/>
      <c r="AG241" s="8"/>
      <c r="AH241" s="9">
        <f>AF241+AD241+AB241+Z241+X241+V241+T241+R241+P241+N241+L241+J241</f>
        <v>0</v>
      </c>
      <c r="AI241" s="10">
        <f>IF(AH$49=0,0,AH241/AH$49)</f>
        <v>0</v>
      </c>
      <c r="AJ241" s="11"/>
    </row>
    <row r="242" spans="1:37" s="7" customFormat="1" ht="5.0999999999999996" customHeight="1" outlineLevel="1">
      <c r="A242" s="12"/>
      <c r="B242" s="34" t="s">
        <v>187</v>
      </c>
      <c r="C242" s="34"/>
      <c r="D242" s="6"/>
      <c r="E242" s="6"/>
      <c r="F242" s="6"/>
      <c r="G242" s="6"/>
      <c r="J242" s="39"/>
      <c r="K242" s="38"/>
      <c r="L242" s="39"/>
      <c r="M242" s="38"/>
      <c r="N242" s="39"/>
      <c r="O242" s="57"/>
      <c r="P242" s="39"/>
      <c r="Q242" s="38"/>
      <c r="R242" s="39"/>
      <c r="S242" s="38"/>
      <c r="T242" s="39"/>
      <c r="U242" s="57"/>
      <c r="V242" s="39"/>
      <c r="W242" s="38"/>
      <c r="X242" s="39"/>
      <c r="Y242" s="38"/>
      <c r="Z242" s="39"/>
      <c r="AA242" s="57"/>
      <c r="AB242" s="39"/>
      <c r="AC242" s="38"/>
      <c r="AD242" s="39"/>
      <c r="AE242" s="38"/>
      <c r="AF242" s="39"/>
      <c r="AG242" s="57"/>
      <c r="AH242" s="39"/>
      <c r="AI242" s="57"/>
      <c r="AJ242" s="14"/>
      <c r="AK242" s="1"/>
    </row>
    <row r="243" spans="1:37" s="7" customFormat="1" ht="15">
      <c r="A243" s="12"/>
      <c r="B243" s="34" t="s">
        <v>187</v>
      </c>
      <c r="C243" s="34"/>
      <c r="F243" s="6" t="s">
        <v>273</v>
      </c>
      <c r="J243" s="36">
        <f>SUM(J241:J242)</f>
        <v>0</v>
      </c>
      <c r="K243" s="38"/>
      <c r="L243" s="36">
        <f>SUM(L241:L242)</f>
        <v>0</v>
      </c>
      <c r="M243" s="38"/>
      <c r="N243" s="36">
        <f>SUM(N241:N242)</f>
        <v>0</v>
      </c>
      <c r="O243" s="61">
        <f>IF(N$43=0,0,N243/N$43)</f>
        <v>0</v>
      </c>
      <c r="P243" s="36">
        <f>SUM(P241:P242)</f>
        <v>0</v>
      </c>
      <c r="Q243" s="38"/>
      <c r="R243" s="36">
        <f>SUM(R241:R242)</f>
        <v>0</v>
      </c>
      <c r="S243" s="38"/>
      <c r="T243" s="36">
        <f>SUM(T241:T242)</f>
        <v>0</v>
      </c>
      <c r="U243" s="61">
        <f>IF(T$43=0,0,T243/T$43)</f>
        <v>0</v>
      </c>
      <c r="V243" s="36">
        <f>SUM(V241:V242)</f>
        <v>0</v>
      </c>
      <c r="W243" s="38"/>
      <c r="X243" s="36">
        <f>SUM(X241:X242)</f>
        <v>0</v>
      </c>
      <c r="Y243" s="38"/>
      <c r="Z243" s="36">
        <f>SUM(Z241:Z242)</f>
        <v>0</v>
      </c>
      <c r="AA243" s="61">
        <f>IF(Z$43=0,0,Z243/Z$43)</f>
        <v>0</v>
      </c>
      <c r="AB243" s="36">
        <f>SUM(AB241:AB242)</f>
        <v>0</v>
      </c>
      <c r="AC243" s="38"/>
      <c r="AD243" s="36">
        <f>SUM(AD241:AD242)</f>
        <v>0</v>
      </c>
      <c r="AE243" s="38"/>
      <c r="AF243" s="36">
        <f>SUM(AF241:AF242)</f>
        <v>0</v>
      </c>
      <c r="AG243" s="61">
        <f>IF(AF$43=0,0,AF243/AF$43)</f>
        <v>0</v>
      </c>
      <c r="AH243" s="36">
        <f>SUM(J243,L243,N243,P243,R243,T243,V243,X243,Z243,AB243,AD243,AF243)</f>
        <v>0</v>
      </c>
      <c r="AI243" s="10">
        <f>IF(AH$49=0,0,AH243/AH$49)</f>
        <v>0</v>
      </c>
      <c r="AJ243" s="14"/>
      <c r="AK243" s="1"/>
    </row>
    <row r="244" spans="1:37" s="7" customFormat="1" ht="6.75" customHeight="1">
      <c r="A244" s="12"/>
      <c r="B244" s="34" t="s">
        <v>187</v>
      </c>
      <c r="C244" s="34"/>
      <c r="J244" s="38"/>
      <c r="K244" s="38"/>
      <c r="L244" s="38"/>
      <c r="M244" s="38"/>
      <c r="N244" s="38"/>
      <c r="O244" s="57"/>
      <c r="P244" s="38"/>
      <c r="Q244" s="38"/>
      <c r="R244" s="38"/>
      <c r="S244" s="38"/>
      <c r="T244" s="38"/>
      <c r="U244" s="57"/>
      <c r="V244" s="38"/>
      <c r="W244" s="38"/>
      <c r="X244" s="38"/>
      <c r="Y244" s="38"/>
      <c r="Z244" s="38"/>
      <c r="AA244" s="57"/>
      <c r="AB244" s="38"/>
      <c r="AC244" s="38"/>
      <c r="AD244" s="38"/>
      <c r="AE244" s="38"/>
      <c r="AF244" s="38"/>
      <c r="AG244" s="57"/>
      <c r="AH244" s="38"/>
      <c r="AI244" s="57"/>
      <c r="AJ244" s="14"/>
      <c r="AK244" s="1"/>
    </row>
    <row r="245" spans="1:37" s="7" customFormat="1" ht="15">
      <c r="A245" s="12"/>
      <c r="B245" s="34" t="s">
        <v>187</v>
      </c>
      <c r="C245" s="34"/>
      <c r="E245" s="41" t="s">
        <v>274</v>
      </c>
      <c r="J245" s="42">
        <f>+J235+J239+J243</f>
        <v>53366.42</v>
      </c>
      <c r="K245" s="38"/>
      <c r="L245" s="42">
        <f>+L235+L239+L243</f>
        <v>49796.619999999995</v>
      </c>
      <c r="M245" s="38"/>
      <c r="N245" s="42">
        <f>+N235+N239+N243</f>
        <v>52469.97</v>
      </c>
      <c r="O245" s="61">
        <f>IF(N$43=0,0,N245/N$43)</f>
        <v>0</v>
      </c>
      <c r="P245" s="42">
        <f>+P235+P239+P243</f>
        <v>49820.93</v>
      </c>
      <c r="Q245" s="38"/>
      <c r="R245" s="42">
        <f>+R235+R239+R243</f>
        <v>48290.610000000008</v>
      </c>
      <c r="S245" s="38"/>
      <c r="T245" s="42">
        <f>+T235+T239+T243</f>
        <v>48610.26</v>
      </c>
      <c r="U245" s="61">
        <f>IF(T$43=0,0,T245/T$43)</f>
        <v>0</v>
      </c>
      <c r="V245" s="42">
        <f>+V235+V239+V243</f>
        <v>48619.999999999993</v>
      </c>
      <c r="W245" s="38"/>
      <c r="X245" s="42">
        <f>+X235+X239+X243</f>
        <v>48619.799999999996</v>
      </c>
      <c r="Y245" s="38"/>
      <c r="Z245" s="42">
        <f>+Z235+Z239+Z243</f>
        <v>48619.83</v>
      </c>
      <c r="AA245" s="61">
        <f>IF(Z$43=0,0,Z245/Z$43)</f>
        <v>0</v>
      </c>
      <c r="AB245" s="42">
        <f>+AB235+AB239+AB243</f>
        <v>55108.82</v>
      </c>
      <c r="AC245" s="38"/>
      <c r="AD245" s="42">
        <f>+AD235+AD239+AD243</f>
        <v>53304.75</v>
      </c>
      <c r="AE245" s="38"/>
      <c r="AF245" s="42">
        <f>+AF235+AF239+AF243</f>
        <v>59574.65</v>
      </c>
      <c r="AG245" s="61">
        <f>IF(AF$43=0,0,AF245/AF$43)</f>
        <v>0</v>
      </c>
      <c r="AH245" s="42">
        <f>+AH235+AH239+AH243</f>
        <v>616202.66</v>
      </c>
      <c r="AI245" s="10">
        <f>IF(AH$49=0,0,AH245/AH$49)</f>
        <v>5.2643017304158379E-2</v>
      </c>
      <c r="AJ245" s="14"/>
      <c r="AK245" s="1"/>
    </row>
    <row r="246" spans="1:37" s="7" customFormat="1" ht="6.75" customHeight="1">
      <c r="A246" s="12"/>
      <c r="B246" s="34" t="s">
        <v>187</v>
      </c>
      <c r="C246" s="34"/>
      <c r="J246" s="38"/>
      <c r="K246" s="38"/>
      <c r="L246" s="38"/>
      <c r="M246" s="38"/>
      <c r="N246" s="38"/>
      <c r="O246" s="57"/>
      <c r="P246" s="38"/>
      <c r="Q246" s="38"/>
      <c r="R246" s="38"/>
      <c r="S246" s="38"/>
      <c r="T246" s="38"/>
      <c r="U246" s="57"/>
      <c r="V246" s="38"/>
      <c r="W246" s="38"/>
      <c r="X246" s="38"/>
      <c r="Y246" s="38"/>
      <c r="Z246" s="38"/>
      <c r="AA246" s="57"/>
      <c r="AB246" s="38"/>
      <c r="AC246" s="38"/>
      <c r="AD246" s="38"/>
      <c r="AE246" s="38"/>
      <c r="AF246" s="38"/>
      <c r="AG246" s="57"/>
      <c r="AH246" s="38"/>
      <c r="AI246" s="57"/>
      <c r="AJ246" s="14"/>
      <c r="AK246" s="1"/>
    </row>
    <row r="247" spans="1:37" s="7" customFormat="1" ht="15">
      <c r="A247" s="12"/>
      <c r="B247" s="34" t="s">
        <v>187</v>
      </c>
      <c r="C247" s="34"/>
      <c r="E247" s="44" t="s">
        <v>275</v>
      </c>
      <c r="J247" s="42">
        <f>+J226-J245</f>
        <v>277391.8299999999</v>
      </c>
      <c r="K247" s="38"/>
      <c r="L247" s="42">
        <f>+L226-L245</f>
        <v>350430.79000000004</v>
      </c>
      <c r="M247" s="38"/>
      <c r="N247" s="42">
        <f>+N226-N245</f>
        <v>138482.78999999995</v>
      </c>
      <c r="O247" s="61">
        <f>IF(N$43=0,0,N247/N$43)</f>
        <v>0</v>
      </c>
      <c r="P247" s="42">
        <f>+P226-P245</f>
        <v>230901.47000000009</v>
      </c>
      <c r="Q247" s="38"/>
      <c r="R247" s="42">
        <f>+R226-R245</f>
        <v>326704.24</v>
      </c>
      <c r="S247" s="38"/>
      <c r="T247" s="42">
        <f>+T226-T245</f>
        <v>297788.88</v>
      </c>
      <c r="U247" s="61">
        <f>IF(T$43=0,0,T247/T$43)</f>
        <v>0</v>
      </c>
      <c r="V247" s="42">
        <f>+V226-V245</f>
        <v>228089.24000000017</v>
      </c>
      <c r="W247" s="38"/>
      <c r="X247" s="42">
        <f>+X226-X245</f>
        <v>348258.39999999997</v>
      </c>
      <c r="Y247" s="38"/>
      <c r="Z247" s="42">
        <f>+Z226-Z245</f>
        <v>321300.66000000003</v>
      </c>
      <c r="AA247" s="61">
        <f>IF(Z$43=0,0,Z247/Z$43)</f>
        <v>0</v>
      </c>
      <c r="AB247" s="42">
        <f>+AB226-AB245</f>
        <v>185308.96999999991</v>
      </c>
      <c r="AC247" s="38"/>
      <c r="AD247" s="42">
        <f>+AD226-AD245</f>
        <v>379687.94999999995</v>
      </c>
      <c r="AE247" s="38"/>
      <c r="AF247" s="42">
        <f>+AF226-AF245</f>
        <v>188087.58999999988</v>
      </c>
      <c r="AG247" s="61">
        <f>IF(AF$43=0,0,AF247/AF$43)</f>
        <v>0</v>
      </c>
      <c r="AH247" s="42">
        <f>+AH226-AH245</f>
        <v>3272432.81</v>
      </c>
      <c r="AI247" s="10">
        <f>IF(AH$49=0,0,AH247/AH$49)</f>
        <v>0.27956831124929843</v>
      </c>
      <c r="AJ247" s="14"/>
      <c r="AK247" s="1"/>
    </row>
    <row r="248" spans="1:37" s="7" customFormat="1" ht="6.75" customHeight="1">
      <c r="A248" s="12"/>
      <c r="B248" s="34" t="s">
        <v>187</v>
      </c>
      <c r="C248" s="34"/>
      <c r="J248" s="38"/>
      <c r="K248" s="38"/>
      <c r="L248" s="38"/>
      <c r="M248" s="38"/>
      <c r="N248" s="38"/>
      <c r="O248" s="57"/>
      <c r="P248" s="38"/>
      <c r="Q248" s="38"/>
      <c r="R248" s="38"/>
      <c r="S248" s="38"/>
      <c r="T248" s="38"/>
      <c r="U248" s="57"/>
      <c r="V248" s="38"/>
      <c r="W248" s="38"/>
      <c r="X248" s="38"/>
      <c r="Y248" s="38"/>
      <c r="Z248" s="38"/>
      <c r="AA248" s="57"/>
      <c r="AB248" s="38"/>
      <c r="AC248" s="38"/>
      <c r="AD248" s="38"/>
      <c r="AE248" s="38"/>
      <c r="AF248" s="38"/>
      <c r="AG248" s="57"/>
      <c r="AH248" s="38"/>
      <c r="AI248" s="57"/>
      <c r="AJ248" s="14"/>
      <c r="AK248" s="1"/>
    </row>
    <row r="249" spans="1:37" outlineLevel="1">
      <c r="B249" s="71" t="s">
        <v>276</v>
      </c>
      <c r="D249" s="5"/>
      <c r="E249" s="5"/>
      <c r="F249" s="6"/>
      <c r="G249" s="3"/>
      <c r="H249" s="7"/>
      <c r="I249" s="8"/>
      <c r="J249" s="9"/>
      <c r="K249" s="8"/>
      <c r="L249" s="9"/>
      <c r="M249" s="8"/>
      <c r="N249" s="9"/>
      <c r="O249" s="8"/>
      <c r="P249" s="9"/>
      <c r="Q249" s="8"/>
      <c r="R249" s="9"/>
      <c r="S249" s="8"/>
      <c r="T249" s="9"/>
      <c r="U249" s="8"/>
      <c r="V249" s="9"/>
      <c r="W249" s="8"/>
      <c r="X249" s="9"/>
      <c r="Y249" s="8"/>
      <c r="Z249" s="9"/>
      <c r="AA249" s="8"/>
      <c r="AB249" s="9"/>
      <c r="AC249" s="8"/>
      <c r="AD249" s="9"/>
      <c r="AE249" s="8"/>
      <c r="AF249" s="9"/>
      <c r="AG249" s="8"/>
      <c r="AH249" s="9">
        <f>AF249+AD249+AB249+Z249+X249+V249+T249+R249+P249+N249+L249+J249</f>
        <v>0</v>
      </c>
      <c r="AI249" s="10">
        <f>IF(AH$49=0,0,AH249/AH$49)</f>
        <v>0</v>
      </c>
      <c r="AJ249" s="11"/>
    </row>
    <row r="250" spans="1:37" s="7" customFormat="1" ht="5.0999999999999996" customHeight="1" outlineLevel="1">
      <c r="A250" s="12"/>
      <c r="B250" s="34" t="s">
        <v>187</v>
      </c>
      <c r="C250" s="34"/>
      <c r="D250" s="6"/>
      <c r="E250" s="6"/>
      <c r="F250" s="6"/>
      <c r="G250" s="6"/>
      <c r="J250" s="39"/>
      <c r="K250" s="38"/>
      <c r="L250" s="39"/>
      <c r="M250" s="38"/>
      <c r="N250" s="39"/>
      <c r="O250" s="57"/>
      <c r="P250" s="39"/>
      <c r="Q250" s="38"/>
      <c r="R250" s="39"/>
      <c r="S250" s="38"/>
      <c r="T250" s="39"/>
      <c r="U250" s="57"/>
      <c r="V250" s="39"/>
      <c r="W250" s="38"/>
      <c r="X250" s="39"/>
      <c r="Y250" s="38"/>
      <c r="Z250" s="39"/>
      <c r="AA250" s="57"/>
      <c r="AB250" s="39"/>
      <c r="AC250" s="38"/>
      <c r="AD250" s="39"/>
      <c r="AE250" s="38"/>
      <c r="AF250" s="39"/>
      <c r="AG250" s="57"/>
      <c r="AH250" s="39"/>
      <c r="AI250" s="57"/>
      <c r="AJ250" s="14"/>
      <c r="AK250" s="1"/>
    </row>
    <row r="251" spans="1:37" s="7" customFormat="1" ht="15">
      <c r="A251" s="12"/>
      <c r="B251" s="34" t="s">
        <v>187</v>
      </c>
      <c r="C251" s="34"/>
      <c r="F251" s="6" t="s">
        <v>277</v>
      </c>
      <c r="J251" s="36">
        <f>SUM(J249:J250)</f>
        <v>0</v>
      </c>
      <c r="K251" s="38"/>
      <c r="L251" s="36">
        <f>SUM(L249:L250)</f>
        <v>0</v>
      </c>
      <c r="M251" s="38"/>
      <c r="N251" s="36">
        <f>SUM(N249:N250)</f>
        <v>0</v>
      </c>
      <c r="O251" s="61">
        <f>IF(N$43=0,0,N251/N$43)</f>
        <v>0</v>
      </c>
      <c r="P251" s="36">
        <f>SUM(P249:P250)</f>
        <v>0</v>
      </c>
      <c r="Q251" s="38"/>
      <c r="R251" s="36">
        <f>SUM(R249:R250)</f>
        <v>0</v>
      </c>
      <c r="S251" s="38"/>
      <c r="T251" s="36">
        <f>SUM(T249:T250)</f>
        <v>0</v>
      </c>
      <c r="U251" s="61">
        <f>IF(T$43=0,0,T251/T$43)</f>
        <v>0</v>
      </c>
      <c r="V251" s="36">
        <f>SUM(V249:V250)</f>
        <v>0</v>
      </c>
      <c r="W251" s="38"/>
      <c r="X251" s="36">
        <f>SUM(X249:X250)</f>
        <v>0</v>
      </c>
      <c r="Y251" s="38"/>
      <c r="Z251" s="36">
        <f>SUM(Z249:Z250)</f>
        <v>0</v>
      </c>
      <c r="AA251" s="61">
        <f>IF(Z$43=0,0,Z251/Z$43)</f>
        <v>0</v>
      </c>
      <c r="AB251" s="36">
        <f>SUM(AB249:AB250)</f>
        <v>0</v>
      </c>
      <c r="AC251" s="38"/>
      <c r="AD251" s="36">
        <f>SUM(AD249:AD250)</f>
        <v>0</v>
      </c>
      <c r="AE251" s="38"/>
      <c r="AF251" s="36">
        <f>SUM(AF249:AF250)</f>
        <v>0</v>
      </c>
      <c r="AG251" s="61">
        <f>IF(AF$43=0,0,AF251/AF$43)</f>
        <v>0</v>
      </c>
      <c r="AH251" s="36">
        <f>SUM(AH249:AH250)</f>
        <v>0</v>
      </c>
      <c r="AI251" s="10">
        <f>IF(AH$49=0,0,AH251/AH$49)</f>
        <v>0</v>
      </c>
      <c r="AJ251" s="14"/>
      <c r="AK251" s="1"/>
    </row>
    <row r="252" spans="1:37" s="7" customFormat="1" ht="15" outlineLevel="1">
      <c r="A252" s="12"/>
      <c r="B252" s="34" t="s">
        <v>187</v>
      </c>
      <c r="C252" s="34"/>
      <c r="J252" s="38"/>
      <c r="K252" s="38"/>
      <c r="L252" s="38"/>
      <c r="M252" s="38"/>
      <c r="N252" s="38"/>
      <c r="O252" s="57"/>
      <c r="P252" s="38"/>
      <c r="Q252" s="38"/>
      <c r="R252" s="38"/>
      <c r="S252" s="38"/>
      <c r="T252" s="38"/>
      <c r="U252" s="57"/>
      <c r="V252" s="38"/>
      <c r="W252" s="38"/>
      <c r="X252" s="38"/>
      <c r="Y252" s="38"/>
      <c r="Z252" s="38"/>
      <c r="AA252" s="57"/>
      <c r="AB252" s="38"/>
      <c r="AC252" s="38"/>
      <c r="AD252" s="38"/>
      <c r="AE252" s="38"/>
      <c r="AF252" s="38"/>
      <c r="AG252" s="57"/>
      <c r="AH252" s="38"/>
      <c r="AI252" s="57"/>
      <c r="AJ252" s="14"/>
      <c r="AK252" s="1"/>
    </row>
    <row r="253" spans="1:37" outlineLevel="1">
      <c r="B253" s="71" t="s">
        <v>278</v>
      </c>
      <c r="D253" s="5"/>
      <c r="E253" s="5"/>
      <c r="F253" s="6"/>
      <c r="G253" s="3"/>
      <c r="H253" s="7"/>
      <c r="I253" s="8"/>
      <c r="J253" s="9"/>
      <c r="K253" s="8"/>
      <c r="L253" s="9"/>
      <c r="M253" s="8"/>
      <c r="N253" s="9"/>
      <c r="O253" s="8"/>
      <c r="P253" s="9"/>
      <c r="Q253" s="8"/>
      <c r="R253" s="9"/>
      <c r="S253" s="8"/>
      <c r="T253" s="9"/>
      <c r="U253" s="8"/>
      <c r="V253" s="9"/>
      <c r="W253" s="8"/>
      <c r="X253" s="9"/>
      <c r="Y253" s="8"/>
      <c r="Z253" s="9"/>
      <c r="AA253" s="8"/>
      <c r="AB253" s="9"/>
      <c r="AC253" s="8"/>
      <c r="AD253" s="9"/>
      <c r="AE253" s="8"/>
      <c r="AF253" s="9"/>
      <c r="AG253" s="8"/>
      <c r="AH253" s="9">
        <f>AF253+AD253+AB253+Z253+X253+V253+T253+R253+P253+N253+L253+J253</f>
        <v>0</v>
      </c>
      <c r="AI253" s="10">
        <f>IF(AH$49=0,0,AH253/AH$49)</f>
        <v>0</v>
      </c>
      <c r="AJ253" s="11"/>
    </row>
    <row r="254" spans="1:37" s="7" customFormat="1" ht="5.0999999999999996" customHeight="1" outlineLevel="1">
      <c r="A254" s="12"/>
      <c r="B254" s="34" t="s">
        <v>187</v>
      </c>
      <c r="C254" s="34"/>
      <c r="D254" s="6"/>
      <c r="E254" s="6"/>
      <c r="F254" s="6"/>
      <c r="G254" s="6"/>
      <c r="J254" s="39"/>
      <c r="K254" s="38"/>
      <c r="L254" s="39"/>
      <c r="M254" s="38"/>
      <c r="N254" s="39"/>
      <c r="O254" s="57"/>
      <c r="P254" s="39"/>
      <c r="Q254" s="38"/>
      <c r="R254" s="39"/>
      <c r="S254" s="38"/>
      <c r="T254" s="39"/>
      <c r="U254" s="57"/>
      <c r="V254" s="39"/>
      <c r="W254" s="38"/>
      <c r="X254" s="39"/>
      <c r="Y254" s="38"/>
      <c r="Z254" s="39"/>
      <c r="AA254" s="57"/>
      <c r="AB254" s="39"/>
      <c r="AC254" s="38"/>
      <c r="AD254" s="39"/>
      <c r="AE254" s="38"/>
      <c r="AF254" s="39"/>
      <c r="AG254" s="57"/>
      <c r="AH254" s="39"/>
      <c r="AI254" s="57"/>
      <c r="AJ254" s="14"/>
      <c r="AK254" s="1"/>
    </row>
    <row r="255" spans="1:37" s="7" customFormat="1" ht="15">
      <c r="A255" s="12"/>
      <c r="B255" s="34" t="s">
        <v>187</v>
      </c>
      <c r="C255" s="34"/>
      <c r="F255" s="5" t="s">
        <v>279</v>
      </c>
      <c r="J255" s="36">
        <f>SUM(J253:J254)</f>
        <v>0</v>
      </c>
      <c r="K255" s="38"/>
      <c r="L255" s="36">
        <f>SUM(L253:L254)</f>
        <v>0</v>
      </c>
      <c r="M255" s="38"/>
      <c r="N255" s="36">
        <f>SUM(N253:N254)</f>
        <v>0</v>
      </c>
      <c r="O255" s="61">
        <f>IF(N$43=0,0,N255/N$43)</f>
        <v>0</v>
      </c>
      <c r="P255" s="36">
        <f>SUM(P253:P254)</f>
        <v>0</v>
      </c>
      <c r="Q255" s="38"/>
      <c r="R255" s="36">
        <f>SUM(R253:R254)</f>
        <v>0</v>
      </c>
      <c r="S255" s="38"/>
      <c r="T255" s="36">
        <f>SUM(T253:T254)</f>
        <v>0</v>
      </c>
      <c r="U255" s="61">
        <f>IF(T$43=0,0,T255/T$43)</f>
        <v>0</v>
      </c>
      <c r="V255" s="36">
        <f>SUM(V253:V254)</f>
        <v>0</v>
      </c>
      <c r="W255" s="38"/>
      <c r="X255" s="36">
        <f>SUM(X253:X254)</f>
        <v>0</v>
      </c>
      <c r="Y255" s="38"/>
      <c r="Z255" s="36">
        <f>SUM(Z253:Z254)</f>
        <v>0</v>
      </c>
      <c r="AA255" s="61">
        <f>IF(Z$43=0,0,Z255/Z$43)</f>
        <v>0</v>
      </c>
      <c r="AB255" s="36">
        <f>SUM(AB253:AB254)</f>
        <v>0</v>
      </c>
      <c r="AC255" s="38"/>
      <c r="AD255" s="36">
        <f>SUM(AD253:AD254)</f>
        <v>0</v>
      </c>
      <c r="AE255" s="38"/>
      <c r="AF255" s="36">
        <f>SUM(AF253:AF254)</f>
        <v>0</v>
      </c>
      <c r="AG255" s="61">
        <f>IF(AF$43=0,0,AF255/AF$43)</f>
        <v>0</v>
      </c>
      <c r="AH255" s="36">
        <f>SUM(AH253:AH254)</f>
        <v>0</v>
      </c>
      <c r="AI255" s="10">
        <f>IF(AH$49=0,0,AH255/AH$49)</f>
        <v>0</v>
      </c>
      <c r="AJ255" s="14"/>
      <c r="AK255" s="1"/>
    </row>
    <row r="256" spans="1:37" s="7" customFormat="1" ht="15" outlineLevel="1">
      <c r="A256" s="12"/>
      <c r="B256" s="34" t="s">
        <v>187</v>
      </c>
      <c r="C256" s="34"/>
      <c r="J256" s="38"/>
      <c r="K256" s="38"/>
      <c r="L256" s="38"/>
      <c r="M256" s="38"/>
      <c r="N256" s="38"/>
      <c r="O256" s="57"/>
      <c r="P256" s="38"/>
      <c r="Q256" s="38"/>
      <c r="R256" s="38"/>
      <c r="S256" s="38"/>
      <c r="T256" s="38"/>
      <c r="U256" s="57"/>
      <c r="V256" s="38"/>
      <c r="W256" s="38"/>
      <c r="X256" s="38"/>
      <c r="Y256" s="38"/>
      <c r="Z256" s="38"/>
      <c r="AA256" s="57"/>
      <c r="AB256" s="38"/>
      <c r="AC256" s="38"/>
      <c r="AD256" s="38"/>
      <c r="AE256" s="38"/>
      <c r="AF256" s="38"/>
      <c r="AG256" s="57"/>
      <c r="AH256" s="38"/>
      <c r="AI256" s="57"/>
      <c r="AJ256" s="14"/>
      <c r="AK256" s="1"/>
    </row>
    <row r="257" spans="1:37" outlineLevel="1">
      <c r="B257" s="71" t="s">
        <v>280</v>
      </c>
      <c r="D257" s="5"/>
      <c r="E257" s="5"/>
      <c r="F257" s="6"/>
      <c r="G257" s="3"/>
      <c r="H257" s="7"/>
      <c r="I257" s="8"/>
      <c r="J257" s="9"/>
      <c r="K257" s="8"/>
      <c r="L257" s="9"/>
      <c r="M257" s="8"/>
      <c r="N257" s="9"/>
      <c r="O257" s="8"/>
      <c r="P257" s="9"/>
      <c r="Q257" s="8"/>
      <c r="R257" s="9"/>
      <c r="S257" s="8"/>
      <c r="T257" s="9"/>
      <c r="U257" s="8"/>
      <c r="V257" s="9"/>
      <c r="W257" s="8"/>
      <c r="X257" s="9"/>
      <c r="Y257" s="8"/>
      <c r="Z257" s="9"/>
      <c r="AA257" s="8"/>
      <c r="AB257" s="9"/>
      <c r="AC257" s="8"/>
      <c r="AD257" s="9"/>
      <c r="AE257" s="8"/>
      <c r="AF257" s="9"/>
      <c r="AG257" s="8"/>
      <c r="AH257" s="9">
        <f>AF257+AD257+AB257+Z257+X257+V257+T257+R257+P257+N257+L257+J257</f>
        <v>0</v>
      </c>
      <c r="AI257" s="10">
        <f>IF(AH$49=0,0,AH257/AH$49)</f>
        <v>0</v>
      </c>
      <c r="AJ257" s="11"/>
    </row>
    <row r="258" spans="1:37" s="7" customFormat="1" ht="5.0999999999999996" customHeight="1" outlineLevel="1">
      <c r="A258" s="12"/>
      <c r="B258" s="34" t="s">
        <v>187</v>
      </c>
      <c r="C258" s="34"/>
      <c r="D258" s="6"/>
      <c r="E258" s="6"/>
      <c r="F258" s="6"/>
      <c r="G258" s="6"/>
      <c r="J258" s="39"/>
      <c r="K258" s="38"/>
      <c r="L258" s="39"/>
      <c r="M258" s="38"/>
      <c r="N258" s="39"/>
      <c r="O258" s="57"/>
      <c r="P258" s="39"/>
      <c r="Q258" s="38"/>
      <c r="R258" s="39"/>
      <c r="S258" s="38"/>
      <c r="T258" s="39"/>
      <c r="U258" s="57"/>
      <c r="V258" s="39"/>
      <c r="W258" s="38"/>
      <c r="X258" s="39"/>
      <c r="Y258" s="38"/>
      <c r="Z258" s="39"/>
      <c r="AA258" s="57"/>
      <c r="AB258" s="39"/>
      <c r="AC258" s="38"/>
      <c r="AD258" s="39"/>
      <c r="AE258" s="38"/>
      <c r="AF258" s="39"/>
      <c r="AG258" s="57"/>
      <c r="AH258" s="39"/>
      <c r="AI258" s="57"/>
      <c r="AJ258" s="14"/>
      <c r="AK258" s="1"/>
    </row>
    <row r="259" spans="1:37" s="7" customFormat="1" ht="15">
      <c r="A259" s="12"/>
      <c r="B259" s="34" t="s">
        <v>187</v>
      </c>
      <c r="C259" s="34"/>
      <c r="F259" s="6" t="s">
        <v>281</v>
      </c>
      <c r="J259" s="36">
        <f>SUM(J257:J258)</f>
        <v>0</v>
      </c>
      <c r="K259" s="38"/>
      <c r="L259" s="36">
        <f>SUM(L257:L258)</f>
        <v>0</v>
      </c>
      <c r="M259" s="38"/>
      <c r="N259" s="36">
        <f>SUM(N257:N258)</f>
        <v>0</v>
      </c>
      <c r="O259" s="61">
        <f>IF(N$43=0,0,N259/N$43)</f>
        <v>0</v>
      </c>
      <c r="P259" s="36">
        <f>SUM(P257:P258)</f>
        <v>0</v>
      </c>
      <c r="Q259" s="38"/>
      <c r="R259" s="36">
        <f>SUM(R257:R258)</f>
        <v>0</v>
      </c>
      <c r="S259" s="38"/>
      <c r="T259" s="36">
        <f>SUM(T257:T258)</f>
        <v>0</v>
      </c>
      <c r="U259" s="61">
        <f>IF(T$43=0,0,T259/T$43)</f>
        <v>0</v>
      </c>
      <c r="V259" s="36">
        <f>SUM(V257:V258)</f>
        <v>0</v>
      </c>
      <c r="W259" s="38"/>
      <c r="X259" s="36">
        <f>SUM(X257:X258)</f>
        <v>0</v>
      </c>
      <c r="Y259" s="38"/>
      <c r="Z259" s="36">
        <f>SUM(Z257:Z258)</f>
        <v>0</v>
      </c>
      <c r="AA259" s="61">
        <f>IF(Z$43=0,0,Z259/Z$43)</f>
        <v>0</v>
      </c>
      <c r="AB259" s="36">
        <f>SUM(AB257:AB258)</f>
        <v>0</v>
      </c>
      <c r="AC259" s="38"/>
      <c r="AD259" s="36">
        <f>SUM(AD257:AD258)</f>
        <v>0</v>
      </c>
      <c r="AE259" s="38"/>
      <c r="AF259" s="36">
        <f>SUM(AF257:AF258)</f>
        <v>0</v>
      </c>
      <c r="AG259" s="61">
        <f>IF(AF$43=0,0,AF259/AF$43)</f>
        <v>0</v>
      </c>
      <c r="AH259" s="36">
        <f>SUM(AH257:AH258)</f>
        <v>0</v>
      </c>
      <c r="AI259" s="10">
        <f>IF(AH$49=0,0,AH259/AH$49)</f>
        <v>0</v>
      </c>
      <c r="AJ259" s="14"/>
      <c r="AK259" s="1"/>
    </row>
    <row r="260" spans="1:37" s="7" customFormat="1" ht="6.75" customHeight="1">
      <c r="A260" s="12"/>
      <c r="B260" s="1" t="s">
        <v>187</v>
      </c>
      <c r="C260" s="1"/>
      <c r="J260" s="38"/>
      <c r="K260" s="38"/>
      <c r="L260" s="38"/>
      <c r="M260" s="38"/>
      <c r="N260" s="38"/>
      <c r="O260" s="57"/>
      <c r="P260" s="38"/>
      <c r="Q260" s="38"/>
      <c r="R260" s="38"/>
      <c r="S260" s="38"/>
      <c r="T260" s="38"/>
      <c r="U260" s="57"/>
      <c r="V260" s="38"/>
      <c r="W260" s="38"/>
      <c r="X260" s="38"/>
      <c r="Y260" s="38"/>
      <c r="Z260" s="38"/>
      <c r="AA260" s="57"/>
      <c r="AB260" s="38"/>
      <c r="AC260" s="38"/>
      <c r="AD260" s="38"/>
      <c r="AE260" s="38"/>
      <c r="AF260" s="38"/>
      <c r="AG260" s="57"/>
      <c r="AH260" s="38"/>
      <c r="AI260" s="57"/>
      <c r="AJ260" s="14"/>
      <c r="AK260" s="1"/>
    </row>
    <row r="261" spans="1:37" s="7" customFormat="1" ht="15">
      <c r="A261" s="12"/>
      <c r="B261" s="1" t="s">
        <v>187</v>
      </c>
      <c r="C261" s="1"/>
      <c r="E261" s="41" t="s">
        <v>282</v>
      </c>
      <c r="J261" s="42">
        <f>+J247-J251-J255-J259</f>
        <v>277391.8299999999</v>
      </c>
      <c r="K261" s="38"/>
      <c r="L261" s="42">
        <f>+L247-L251-L255-L259</f>
        <v>350430.79000000004</v>
      </c>
      <c r="M261" s="38"/>
      <c r="N261" s="42">
        <f>+N247-N251-N255-N259</f>
        <v>138482.78999999995</v>
      </c>
      <c r="O261" s="61">
        <f>IF(N$43=0,0,N261/N$43)</f>
        <v>0</v>
      </c>
      <c r="P261" s="42">
        <f>+P247-P251-P255-P259</f>
        <v>230901.47000000009</v>
      </c>
      <c r="Q261" s="38"/>
      <c r="R261" s="42">
        <f>+R247-R251-R255-R259</f>
        <v>326704.24</v>
      </c>
      <c r="S261" s="38"/>
      <c r="T261" s="42">
        <f>+T247-T251-T255-T259</f>
        <v>297788.88</v>
      </c>
      <c r="U261" s="61">
        <f>IF(T$43=0,0,T261/T$43)</f>
        <v>0</v>
      </c>
      <c r="V261" s="42">
        <f>+V247-V251-V255-V259</f>
        <v>228089.24000000017</v>
      </c>
      <c r="W261" s="38"/>
      <c r="X261" s="42">
        <f>+X247-X251-X255-X259</f>
        <v>348258.39999999997</v>
      </c>
      <c r="Y261" s="38"/>
      <c r="Z261" s="42">
        <f>+Z247-Z251-Z255-Z259</f>
        <v>321300.66000000003</v>
      </c>
      <c r="AA261" s="61">
        <f>IF(Z$43=0,0,Z261/Z$43)</f>
        <v>0</v>
      </c>
      <c r="AB261" s="42">
        <f>+AB247-AB251-AB255-AB259</f>
        <v>185308.96999999991</v>
      </c>
      <c r="AC261" s="38"/>
      <c r="AD261" s="42">
        <f>+AD247-AD251-AD255-AD259</f>
        <v>379687.94999999995</v>
      </c>
      <c r="AE261" s="38"/>
      <c r="AF261" s="42">
        <f>+AF247-AF251-AF255-AF259</f>
        <v>188087.58999999988</v>
      </c>
      <c r="AG261" s="61">
        <f>IF(AF$43=0,0,AF261/AF$43)</f>
        <v>0</v>
      </c>
      <c r="AH261" s="42">
        <f>+AH247-AH251-AH255-AH259</f>
        <v>3272432.81</v>
      </c>
      <c r="AI261" s="10">
        <f>IF(AH$49=0,0,AH261/AH$49)</f>
        <v>0.27956831124929843</v>
      </c>
      <c r="AJ261" s="14"/>
      <c r="AK261" s="1"/>
    </row>
    <row r="262" spans="1:37" s="7" customFormat="1" ht="6.75" customHeight="1">
      <c r="A262" s="12"/>
      <c r="B262" s="1" t="s">
        <v>187</v>
      </c>
      <c r="C262" s="1"/>
      <c r="J262" s="38"/>
      <c r="K262" s="38"/>
      <c r="L262" s="38"/>
      <c r="M262" s="38"/>
      <c r="N262" s="38"/>
      <c r="O262" s="57"/>
      <c r="P262" s="38"/>
      <c r="Q262" s="38"/>
      <c r="R262" s="38"/>
      <c r="S262" s="38"/>
      <c r="T262" s="38"/>
      <c r="U262" s="57"/>
      <c r="V262" s="38"/>
      <c r="W262" s="38"/>
      <c r="X262" s="38"/>
      <c r="Y262" s="38"/>
      <c r="Z262" s="38"/>
      <c r="AA262" s="57"/>
      <c r="AB262" s="38"/>
      <c r="AC262" s="38"/>
      <c r="AD262" s="38"/>
      <c r="AE262" s="38"/>
      <c r="AF262" s="38"/>
      <c r="AG262" s="57"/>
      <c r="AH262" s="38"/>
      <c r="AI262" s="57"/>
      <c r="AJ262" s="14"/>
      <c r="AK262" s="1"/>
    </row>
    <row r="263" spans="1:37" outlineLevel="1">
      <c r="B263" s="71" t="s">
        <v>405</v>
      </c>
      <c r="D263" s="5"/>
      <c r="E263" s="5"/>
      <c r="F263" s="6"/>
      <c r="G263" s="3"/>
      <c r="H263" s="7"/>
      <c r="I263" s="8"/>
      <c r="J263" s="9"/>
      <c r="K263" s="8"/>
      <c r="L263" s="9"/>
      <c r="M263" s="8"/>
      <c r="N263" s="9"/>
      <c r="O263" s="8"/>
      <c r="P263" s="9"/>
      <c r="Q263" s="8"/>
      <c r="R263" s="9"/>
      <c r="S263" s="8"/>
      <c r="T263" s="9"/>
      <c r="U263" s="8"/>
      <c r="V263" s="9"/>
      <c r="W263" s="8"/>
      <c r="X263" s="9"/>
      <c r="Y263" s="8"/>
      <c r="Z263" s="9"/>
      <c r="AA263" s="8"/>
      <c r="AB263" s="9"/>
      <c r="AC263" s="8"/>
      <c r="AD263" s="9"/>
      <c r="AE263" s="8"/>
      <c r="AF263" s="9"/>
      <c r="AG263" s="8"/>
      <c r="AH263" s="9">
        <f>AF263+AD263+AB263+Z263+X263+V263+T263+R263+P263+N263+L263+J263</f>
        <v>0</v>
      </c>
      <c r="AI263" s="10">
        <f>IF(AH$49=0,0,AH263/AH$49)</f>
        <v>0</v>
      </c>
      <c r="AJ263" s="11"/>
    </row>
    <row r="264" spans="1:37" s="7" customFormat="1" ht="5.0999999999999996" customHeight="1" outlineLevel="1">
      <c r="A264" s="12"/>
      <c r="B264" s="34" t="s">
        <v>187</v>
      </c>
      <c r="C264" s="34"/>
      <c r="D264" s="6"/>
      <c r="E264" s="6"/>
      <c r="F264" s="6"/>
      <c r="G264" s="6"/>
      <c r="J264" s="39"/>
      <c r="K264" s="38"/>
      <c r="L264" s="39"/>
      <c r="M264" s="38"/>
      <c r="N264" s="39"/>
      <c r="O264" s="57"/>
      <c r="P264" s="39"/>
      <c r="Q264" s="38"/>
      <c r="R264" s="39"/>
      <c r="S264" s="38"/>
      <c r="T264" s="39"/>
      <c r="U264" s="57"/>
      <c r="V264" s="39"/>
      <c r="W264" s="38"/>
      <c r="X264" s="39"/>
      <c r="Y264" s="38"/>
      <c r="Z264" s="39"/>
      <c r="AA264" s="57"/>
      <c r="AB264" s="39"/>
      <c r="AC264" s="38"/>
      <c r="AD264" s="39"/>
      <c r="AE264" s="38"/>
      <c r="AF264" s="39"/>
      <c r="AG264" s="57"/>
      <c r="AH264" s="39"/>
      <c r="AI264" s="57"/>
      <c r="AJ264" s="14"/>
      <c r="AK264" s="1"/>
    </row>
    <row r="265" spans="1:37" s="7" customFormat="1" ht="15">
      <c r="A265" s="12"/>
      <c r="B265" s="34" t="s">
        <v>187</v>
      </c>
      <c r="C265" s="34"/>
      <c r="F265" s="5" t="s">
        <v>283</v>
      </c>
      <c r="J265" s="36">
        <f>SUM(J263:J264)</f>
        <v>0</v>
      </c>
      <c r="K265" s="38"/>
      <c r="L265" s="36">
        <f>SUM(L263:L264)</f>
        <v>0</v>
      </c>
      <c r="M265" s="38"/>
      <c r="N265" s="36">
        <f>SUM(N263:N264)</f>
        <v>0</v>
      </c>
      <c r="O265" s="61">
        <f>IF(N$43=0,0,N265/N$43)</f>
        <v>0</v>
      </c>
      <c r="P265" s="36">
        <f>SUM(P263:P264)</f>
        <v>0</v>
      </c>
      <c r="Q265" s="38"/>
      <c r="R265" s="36">
        <f>SUM(R263:R264)</f>
        <v>0</v>
      </c>
      <c r="S265" s="38"/>
      <c r="T265" s="36">
        <f>SUM(T263:T264)</f>
        <v>0</v>
      </c>
      <c r="U265" s="61">
        <f>IF(T$43=0,0,T265/T$43)</f>
        <v>0</v>
      </c>
      <c r="V265" s="36">
        <f>SUM(V263:V264)</f>
        <v>0</v>
      </c>
      <c r="W265" s="38"/>
      <c r="X265" s="36">
        <f>SUM(X263:X264)</f>
        <v>0</v>
      </c>
      <c r="Y265" s="38"/>
      <c r="Z265" s="36">
        <f>SUM(Z263:Z264)</f>
        <v>0</v>
      </c>
      <c r="AA265" s="61">
        <f>IF(Z$43=0,0,Z265/Z$43)</f>
        <v>0</v>
      </c>
      <c r="AB265" s="36">
        <f>SUM(AB263:AB264)</f>
        <v>0</v>
      </c>
      <c r="AC265" s="38"/>
      <c r="AD265" s="36">
        <f>SUM(AD263:AD264)</f>
        <v>0</v>
      </c>
      <c r="AE265" s="38"/>
      <c r="AF265" s="36">
        <f>SUM(AF263:AF264)</f>
        <v>0</v>
      </c>
      <c r="AG265" s="61">
        <f>IF(AF$43=0,0,AF265/AF$43)</f>
        <v>0</v>
      </c>
      <c r="AH265" s="36">
        <f>SUM(AH263:AH264)</f>
        <v>0</v>
      </c>
      <c r="AI265" s="10">
        <f>IF(AH$49=0,0,AH265/AH$49)</f>
        <v>0</v>
      </c>
      <c r="AJ265" s="14"/>
      <c r="AK265" s="1"/>
    </row>
    <row r="266" spans="1:37" s="7" customFormat="1" ht="6.75" customHeight="1">
      <c r="A266" s="12"/>
      <c r="B266" s="1" t="s">
        <v>187</v>
      </c>
      <c r="C266" s="1"/>
      <c r="J266" s="38"/>
      <c r="K266" s="38"/>
      <c r="L266" s="38"/>
      <c r="M266" s="38"/>
      <c r="N266" s="38"/>
      <c r="O266" s="57"/>
      <c r="P266" s="38"/>
      <c r="Q266" s="38"/>
      <c r="R266" s="38"/>
      <c r="S266" s="38"/>
      <c r="T266" s="38"/>
      <c r="U266" s="57"/>
      <c r="V266" s="38"/>
      <c r="W266" s="38"/>
      <c r="X266" s="38"/>
      <c r="Y266" s="38"/>
      <c r="Z266" s="38"/>
      <c r="AA266" s="57"/>
      <c r="AB266" s="38"/>
      <c r="AC266" s="38"/>
      <c r="AD266" s="38"/>
      <c r="AE266" s="38"/>
      <c r="AF266" s="38"/>
      <c r="AG266" s="57"/>
      <c r="AH266" s="38"/>
      <c r="AI266" s="57"/>
      <c r="AJ266" s="14"/>
      <c r="AK266" s="1"/>
    </row>
    <row r="267" spans="1:37" s="7" customFormat="1" ht="15">
      <c r="A267" s="12"/>
      <c r="B267" s="34" t="s">
        <v>187</v>
      </c>
      <c r="C267" s="34"/>
      <c r="E267" s="41" t="s">
        <v>284</v>
      </c>
      <c r="J267" s="42">
        <f>+J261-J265</f>
        <v>277391.8299999999</v>
      </c>
      <c r="K267" s="38"/>
      <c r="L267" s="42">
        <f>+L261-L265</f>
        <v>350430.79000000004</v>
      </c>
      <c r="M267" s="38"/>
      <c r="N267" s="42">
        <f>+N261-N265</f>
        <v>138482.78999999995</v>
      </c>
      <c r="O267" s="61">
        <f>IF(N$43=0,0,N267/N$43)</f>
        <v>0</v>
      </c>
      <c r="P267" s="42">
        <f>+P261-P265</f>
        <v>230901.47000000009</v>
      </c>
      <c r="Q267" s="38"/>
      <c r="R267" s="42">
        <f>+R261-R265</f>
        <v>326704.24</v>
      </c>
      <c r="S267" s="38"/>
      <c r="T267" s="42">
        <f>+T261-T265</f>
        <v>297788.88</v>
      </c>
      <c r="U267" s="61">
        <f>IF(T$43=0,0,T267/T$43)</f>
        <v>0</v>
      </c>
      <c r="V267" s="42">
        <f>+V261-V265</f>
        <v>228089.24000000017</v>
      </c>
      <c r="W267" s="38"/>
      <c r="X267" s="42">
        <f>+X261-X265</f>
        <v>348258.39999999997</v>
      </c>
      <c r="Y267" s="38"/>
      <c r="Z267" s="42">
        <f>+Z261-Z265</f>
        <v>321300.66000000003</v>
      </c>
      <c r="AA267" s="61">
        <f>IF(Z$43=0,0,Z267/Z$43)</f>
        <v>0</v>
      </c>
      <c r="AB267" s="42">
        <f>+AB261-AB265</f>
        <v>185308.96999999991</v>
      </c>
      <c r="AC267" s="38"/>
      <c r="AD267" s="42">
        <f>+AD261-AD265</f>
        <v>379687.94999999995</v>
      </c>
      <c r="AE267" s="38"/>
      <c r="AF267" s="42">
        <f>+AF261-AF265</f>
        <v>188087.58999999988</v>
      </c>
      <c r="AG267" s="61">
        <f>IF(AF$43=0,0,AF267/AF$43)</f>
        <v>0</v>
      </c>
      <c r="AH267" s="42">
        <f>+AH261-AH265</f>
        <v>3272432.81</v>
      </c>
      <c r="AI267" s="10">
        <f>IF(AH$49=0,0,AH267/AH$49)</f>
        <v>0.27956831124929843</v>
      </c>
      <c r="AJ267" s="14"/>
      <c r="AK267" s="1"/>
    </row>
    <row r="268" spans="1:37" ht="6.75" customHeight="1">
      <c r="A268" s="12"/>
      <c r="B268" s="1" t="s">
        <v>187</v>
      </c>
      <c r="J268" s="4"/>
      <c r="K268" s="4"/>
      <c r="L268" s="4"/>
      <c r="M268" s="4"/>
      <c r="N268" s="4"/>
      <c r="O268" s="57"/>
      <c r="P268" s="4"/>
      <c r="Q268" s="4"/>
      <c r="R268" s="4"/>
      <c r="S268" s="4"/>
      <c r="T268" s="4"/>
      <c r="U268" s="57"/>
      <c r="V268" s="4"/>
      <c r="W268" s="4"/>
      <c r="X268" s="4"/>
      <c r="Y268" s="4"/>
      <c r="Z268" s="4"/>
      <c r="AA268" s="57"/>
      <c r="AB268" s="4"/>
      <c r="AC268" s="4"/>
      <c r="AD268" s="4"/>
      <c r="AE268" s="4"/>
      <c r="AF268" s="4"/>
      <c r="AG268" s="57"/>
      <c r="AH268" s="4"/>
      <c r="AI268" s="57"/>
      <c r="AJ268" s="14"/>
    </row>
    <row r="269" spans="1:37" outlineLevel="1">
      <c r="B269" s="71" t="s">
        <v>285</v>
      </c>
      <c r="D269" s="5"/>
      <c r="E269" s="5"/>
      <c r="F269" s="6"/>
      <c r="G269" s="3"/>
      <c r="H269" s="7"/>
      <c r="I269" s="8"/>
      <c r="J269" s="9"/>
      <c r="K269" s="8"/>
      <c r="L269" s="9"/>
      <c r="M269" s="8"/>
      <c r="N269" s="9"/>
      <c r="O269" s="8"/>
      <c r="P269" s="9"/>
      <c r="Q269" s="8"/>
      <c r="R269" s="9"/>
      <c r="S269" s="8"/>
      <c r="T269" s="9"/>
      <c r="U269" s="8"/>
      <c r="V269" s="9"/>
      <c r="W269" s="8"/>
      <c r="X269" s="9"/>
      <c r="Y269" s="8"/>
      <c r="Z269" s="9"/>
      <c r="AA269" s="8"/>
      <c r="AB269" s="9"/>
      <c r="AC269" s="8"/>
      <c r="AD269" s="9"/>
      <c r="AE269" s="8"/>
      <c r="AF269" s="9"/>
      <c r="AG269" s="8"/>
      <c r="AH269" s="9">
        <f>AF269+AD269+AB269+Z269+X269+V269+T269+R269+P269+N269+L269+J269</f>
        <v>0</v>
      </c>
      <c r="AI269" s="10">
        <f>IF(AH$49=0,0,AH269/AH$49)</f>
        <v>0</v>
      </c>
      <c r="AJ269" s="11"/>
    </row>
    <row r="270" spans="1:37" s="7" customFormat="1" ht="5.0999999999999996" customHeight="1" outlineLevel="1">
      <c r="A270" s="12"/>
      <c r="B270" s="34" t="s">
        <v>187</v>
      </c>
      <c r="C270" s="34"/>
      <c r="D270" s="6"/>
      <c r="E270" s="6"/>
      <c r="F270" s="6"/>
      <c r="G270" s="6"/>
      <c r="J270" s="39"/>
      <c r="K270" s="38"/>
      <c r="L270" s="39"/>
      <c r="M270" s="38"/>
      <c r="N270" s="39"/>
      <c r="O270" s="57"/>
      <c r="P270" s="39"/>
      <c r="Q270" s="38"/>
      <c r="R270" s="39"/>
      <c r="S270" s="38"/>
      <c r="T270" s="39"/>
      <c r="U270" s="57"/>
      <c r="V270" s="39"/>
      <c r="W270" s="38"/>
      <c r="X270" s="39"/>
      <c r="Y270" s="38"/>
      <c r="Z270" s="39"/>
      <c r="AA270" s="57"/>
      <c r="AB270" s="39"/>
      <c r="AC270" s="38"/>
      <c r="AD270" s="39"/>
      <c r="AE270" s="38"/>
      <c r="AF270" s="39"/>
      <c r="AG270" s="57"/>
      <c r="AH270" s="39"/>
      <c r="AI270" s="57"/>
      <c r="AJ270" s="14"/>
      <c r="AK270" s="1"/>
    </row>
    <row r="271" spans="1:37" s="7" customFormat="1" ht="15">
      <c r="A271" s="1"/>
      <c r="B271" s="34"/>
      <c r="C271" s="34"/>
      <c r="F271" s="5" t="s">
        <v>286</v>
      </c>
      <c r="J271" s="36">
        <f>SUM(J269:J270)</f>
        <v>0</v>
      </c>
      <c r="K271" s="38"/>
      <c r="L271" s="36">
        <f>SUM(L269:L270)</f>
        <v>0</v>
      </c>
      <c r="M271" s="38"/>
      <c r="N271" s="36">
        <f>SUM(N269:N270)</f>
        <v>0</v>
      </c>
      <c r="O271" s="61">
        <f>IF(N$43=0,0,N271/N$43)</f>
        <v>0</v>
      </c>
      <c r="P271" s="36">
        <f>SUM(P269:P270)</f>
        <v>0</v>
      </c>
      <c r="Q271" s="38"/>
      <c r="R271" s="36">
        <f>SUM(R269:R270)</f>
        <v>0</v>
      </c>
      <c r="S271" s="38"/>
      <c r="T271" s="36">
        <f>SUM(T269:T270)</f>
        <v>0</v>
      </c>
      <c r="U271" s="61">
        <f>IF(T$43=0,0,T271/T$43)</f>
        <v>0</v>
      </c>
      <c r="V271" s="36">
        <f>SUM(V269:V270)</f>
        <v>0</v>
      </c>
      <c r="W271" s="38"/>
      <c r="X271" s="36">
        <f>SUM(X269:X270)</f>
        <v>0</v>
      </c>
      <c r="Y271" s="38"/>
      <c r="Z271" s="36">
        <f>SUM(Z269:Z270)</f>
        <v>0</v>
      </c>
      <c r="AA271" s="61">
        <f>IF(Z$43=0,0,Z271/Z$43)</f>
        <v>0</v>
      </c>
      <c r="AB271" s="36">
        <f>SUM(AB269:AB270)</f>
        <v>0</v>
      </c>
      <c r="AC271" s="38"/>
      <c r="AD271" s="36">
        <f>SUM(AD269:AD270)</f>
        <v>0</v>
      </c>
      <c r="AE271" s="38"/>
      <c r="AF271" s="36">
        <f>SUM(AF269:AF270)</f>
        <v>0</v>
      </c>
      <c r="AG271" s="61">
        <f>IF(AF$43=0,0,AF271/AF$43)</f>
        <v>0</v>
      </c>
      <c r="AH271" s="36">
        <f>SUM(AH269:AH270)</f>
        <v>0</v>
      </c>
      <c r="AI271" s="10">
        <f>IF(AH$49=0,0,AH271/AH$49)</f>
        <v>0</v>
      </c>
      <c r="AJ271" s="14"/>
      <c r="AK271" s="1"/>
    </row>
    <row r="272" spans="1:37" s="7" customFormat="1" ht="6.75" customHeight="1">
      <c r="A272" s="1"/>
      <c r="B272" s="34"/>
      <c r="C272" s="34"/>
      <c r="J272" s="38"/>
      <c r="K272" s="38"/>
      <c r="L272" s="38"/>
      <c r="M272" s="38"/>
      <c r="N272" s="38"/>
      <c r="O272" s="57"/>
      <c r="P272" s="38"/>
      <c r="Q272" s="38"/>
      <c r="R272" s="38"/>
      <c r="S272" s="38"/>
      <c r="T272" s="38"/>
      <c r="U272" s="57"/>
      <c r="V272" s="38"/>
      <c r="W272" s="38"/>
      <c r="X272" s="38"/>
      <c r="Y272" s="38"/>
      <c r="Z272" s="38"/>
      <c r="AA272" s="57"/>
      <c r="AB272" s="38"/>
      <c r="AC272" s="38"/>
      <c r="AD272" s="38"/>
      <c r="AE272" s="38"/>
      <c r="AF272" s="38"/>
      <c r="AG272" s="57"/>
      <c r="AH272" s="38"/>
      <c r="AI272" s="57"/>
      <c r="AJ272" s="14"/>
      <c r="AK272" s="1"/>
    </row>
    <row r="273" spans="1:37" s="7" customFormat="1" ht="15">
      <c r="A273" s="1"/>
      <c r="B273" s="1"/>
      <c r="C273" s="1"/>
      <c r="E273" s="41" t="s">
        <v>287</v>
      </c>
      <c r="J273" s="42">
        <f>+J267-J271</f>
        <v>277391.8299999999</v>
      </c>
      <c r="K273" s="38"/>
      <c r="L273" s="42">
        <f>+L267-L271</f>
        <v>350430.79000000004</v>
      </c>
      <c r="M273" s="38"/>
      <c r="N273" s="42">
        <f>+N267-N271</f>
        <v>138482.78999999995</v>
      </c>
      <c r="O273" s="61">
        <f>IF(N$43=0,0,N273/N$43)</f>
        <v>0</v>
      </c>
      <c r="P273" s="42">
        <f>+P267-P271</f>
        <v>230901.47000000009</v>
      </c>
      <c r="Q273" s="38"/>
      <c r="R273" s="42">
        <f>+R267-R271</f>
        <v>326704.24</v>
      </c>
      <c r="S273" s="38"/>
      <c r="T273" s="42">
        <f>+T267-T271</f>
        <v>297788.88</v>
      </c>
      <c r="U273" s="61">
        <f>IF(T$43=0,0,T273/T$43)</f>
        <v>0</v>
      </c>
      <c r="V273" s="42">
        <f>+V267-V271</f>
        <v>228089.24000000017</v>
      </c>
      <c r="W273" s="38"/>
      <c r="X273" s="42">
        <f>+X267-X271</f>
        <v>348258.39999999997</v>
      </c>
      <c r="Y273" s="38"/>
      <c r="Z273" s="42">
        <f>+Z267-Z271</f>
        <v>321300.66000000003</v>
      </c>
      <c r="AA273" s="61">
        <f>IF(Z$43=0,0,Z273/Z$43)</f>
        <v>0</v>
      </c>
      <c r="AB273" s="42">
        <f>+AB267-AB271</f>
        <v>185308.96999999991</v>
      </c>
      <c r="AC273" s="38"/>
      <c r="AD273" s="42">
        <f>+AD267-AD271</f>
        <v>379687.94999999995</v>
      </c>
      <c r="AE273" s="38"/>
      <c r="AF273" s="42">
        <f>+AF267-AF271</f>
        <v>188087.58999999988</v>
      </c>
      <c r="AG273" s="61">
        <f>IF(AF$43=0,0,AF273/AF$43)</f>
        <v>0</v>
      </c>
      <c r="AH273" s="42">
        <f>+AH267-AH271</f>
        <v>3272432.81</v>
      </c>
      <c r="AI273" s="10">
        <f>IF(AH$49=0,0,AH273/AH$49)</f>
        <v>0.27956831124929843</v>
      </c>
      <c r="AJ273" s="14"/>
      <c r="AK273" s="1"/>
    </row>
    <row r="274" spans="1:37" s="7" customFormat="1" ht="6.75" customHeight="1">
      <c r="A274" s="1"/>
      <c r="B274" s="34"/>
      <c r="C274" s="34"/>
      <c r="J274" s="38"/>
      <c r="K274" s="38"/>
      <c r="L274" s="38"/>
      <c r="M274" s="38"/>
      <c r="N274" s="38"/>
      <c r="O274" s="57"/>
      <c r="P274" s="38"/>
      <c r="Q274" s="38"/>
      <c r="R274" s="38"/>
      <c r="S274" s="38"/>
      <c r="T274" s="38"/>
      <c r="U274" s="57"/>
      <c r="V274" s="38"/>
      <c r="W274" s="38"/>
      <c r="X274" s="38"/>
      <c r="Y274" s="38"/>
      <c r="Z274" s="38"/>
      <c r="AA274" s="57"/>
      <c r="AB274" s="38"/>
      <c r="AC274" s="38"/>
      <c r="AD274" s="38"/>
      <c r="AE274" s="38"/>
      <c r="AF274" s="38"/>
      <c r="AG274" s="57"/>
      <c r="AH274" s="38"/>
      <c r="AI274" s="57"/>
      <c r="AJ274" s="14"/>
      <c r="AK274" s="1"/>
    </row>
    <row r="275" spans="1:37" outlineLevel="1">
      <c r="B275" s="71" t="s">
        <v>288</v>
      </c>
      <c r="D275" s="5"/>
      <c r="E275" s="5"/>
      <c r="F275" s="6"/>
      <c r="G275" s="3"/>
      <c r="H275" s="7"/>
      <c r="I275" s="8"/>
      <c r="J275" s="9"/>
      <c r="K275" s="8"/>
      <c r="L275" s="9"/>
      <c r="M275" s="8"/>
      <c r="N275" s="9"/>
      <c r="O275" s="8"/>
      <c r="P275" s="9"/>
      <c r="Q275" s="8"/>
      <c r="R275" s="9"/>
      <c r="S275" s="8"/>
      <c r="T275" s="9"/>
      <c r="U275" s="8"/>
      <c r="V275" s="9"/>
      <c r="W275" s="8"/>
      <c r="X275" s="9"/>
      <c r="Y275" s="8"/>
      <c r="Z275" s="9"/>
      <c r="AA275" s="8"/>
      <c r="AB275" s="9"/>
      <c r="AC275" s="8"/>
      <c r="AD275" s="9"/>
      <c r="AE275" s="8"/>
      <c r="AF275" s="9"/>
      <c r="AG275" s="8"/>
      <c r="AH275" s="9">
        <f>AF275+AD275+AB275+Z275+X275+V275+T275+R275+P275+N275+L275+J275</f>
        <v>0</v>
      </c>
      <c r="AI275" s="10">
        <f>IF(AH$49=0,0,AH275/AH$49)</f>
        <v>0</v>
      </c>
      <c r="AJ275" s="11"/>
    </row>
    <row r="276" spans="1:37" s="7" customFormat="1" ht="5.0999999999999996" customHeight="1" outlineLevel="1">
      <c r="A276" s="12"/>
      <c r="B276" s="34" t="s">
        <v>187</v>
      </c>
      <c r="C276" s="34"/>
      <c r="D276" s="6"/>
      <c r="E276" s="6"/>
      <c r="F276" s="6"/>
      <c r="G276" s="6"/>
      <c r="J276" s="39"/>
      <c r="K276" s="38"/>
      <c r="L276" s="39"/>
      <c r="M276" s="38"/>
      <c r="N276" s="39"/>
      <c r="O276" s="57"/>
      <c r="P276" s="39"/>
      <c r="Q276" s="38"/>
      <c r="R276" s="39"/>
      <c r="S276" s="38"/>
      <c r="T276" s="39"/>
      <c r="U276" s="57"/>
      <c r="V276" s="39"/>
      <c r="W276" s="38"/>
      <c r="X276" s="39"/>
      <c r="Y276" s="38"/>
      <c r="Z276" s="39"/>
      <c r="AA276" s="57"/>
      <c r="AB276" s="39"/>
      <c r="AC276" s="38"/>
      <c r="AD276" s="39"/>
      <c r="AE276" s="38"/>
      <c r="AF276" s="39"/>
      <c r="AG276" s="57"/>
      <c r="AH276" s="39"/>
      <c r="AI276" s="57"/>
      <c r="AJ276" s="14"/>
      <c r="AK276" s="1"/>
    </row>
    <row r="277" spans="1:37" s="7" customFormat="1" ht="15">
      <c r="A277" s="12"/>
      <c r="B277" s="34" t="s">
        <v>187</v>
      </c>
      <c r="C277" s="34"/>
      <c r="F277" s="5" t="s">
        <v>289</v>
      </c>
      <c r="J277" s="36">
        <f>SUM(J275:J276)</f>
        <v>0</v>
      </c>
      <c r="K277" s="38"/>
      <c r="L277" s="36">
        <f>SUM(L275:L276)</f>
        <v>0</v>
      </c>
      <c r="M277" s="38"/>
      <c r="N277" s="36">
        <f>SUM(N275:N276)</f>
        <v>0</v>
      </c>
      <c r="O277" s="61">
        <f>IF(N$43=0,0,N277/N$43)</f>
        <v>0</v>
      </c>
      <c r="P277" s="36">
        <f>SUM(P275:P276)</f>
        <v>0</v>
      </c>
      <c r="Q277" s="38"/>
      <c r="R277" s="36">
        <f>SUM(R275:R276)</f>
        <v>0</v>
      </c>
      <c r="S277" s="38"/>
      <c r="T277" s="36">
        <f>SUM(T275:T276)</f>
        <v>0</v>
      </c>
      <c r="U277" s="61">
        <f>IF(T$43=0,0,T277/T$43)</f>
        <v>0</v>
      </c>
      <c r="V277" s="36">
        <f>SUM(V275:V276)</f>
        <v>0</v>
      </c>
      <c r="W277" s="38"/>
      <c r="X277" s="36">
        <f>SUM(X275:X276)</f>
        <v>0</v>
      </c>
      <c r="Y277" s="38"/>
      <c r="Z277" s="36">
        <f>SUM(Z275:Z276)</f>
        <v>0</v>
      </c>
      <c r="AA277" s="61">
        <f>IF(Z$43=0,0,Z277/Z$43)</f>
        <v>0</v>
      </c>
      <c r="AB277" s="36">
        <f>SUM(AB275:AB276)</f>
        <v>0</v>
      </c>
      <c r="AC277" s="38"/>
      <c r="AD277" s="36">
        <f>SUM(AD275:AD276)</f>
        <v>0</v>
      </c>
      <c r="AE277" s="38"/>
      <c r="AF277" s="36">
        <f>SUM(AF275:AF276)</f>
        <v>0</v>
      </c>
      <c r="AG277" s="61">
        <f>IF(AF$43=0,0,AF277/AF$43)</f>
        <v>0</v>
      </c>
      <c r="AH277" s="36">
        <f>SUM(AH275:AH276)</f>
        <v>0</v>
      </c>
      <c r="AI277" s="10">
        <f>IF(AH$49=0,0,AH277/AH$49)</f>
        <v>0</v>
      </c>
      <c r="AJ277" s="14"/>
      <c r="AK277" s="1"/>
    </row>
    <row r="278" spans="1:37" s="7" customFormat="1" ht="6.75" customHeight="1">
      <c r="A278" s="1"/>
      <c r="B278" s="34"/>
      <c r="C278" s="34"/>
      <c r="J278" s="38"/>
      <c r="K278" s="38"/>
      <c r="L278" s="38"/>
      <c r="M278" s="38"/>
      <c r="N278" s="38"/>
      <c r="O278" s="57"/>
      <c r="P278" s="38"/>
      <c r="Q278" s="38"/>
      <c r="R278" s="38"/>
      <c r="S278" s="38"/>
      <c r="T278" s="38"/>
      <c r="U278" s="57"/>
      <c r="V278" s="38"/>
      <c r="W278" s="38"/>
      <c r="X278" s="38"/>
      <c r="Y278" s="38"/>
      <c r="Z278" s="38"/>
      <c r="AA278" s="57"/>
      <c r="AB278" s="38"/>
      <c r="AC278" s="38"/>
      <c r="AD278" s="38"/>
      <c r="AE278" s="38"/>
      <c r="AF278" s="38"/>
      <c r="AG278" s="57"/>
      <c r="AH278" s="38"/>
      <c r="AI278" s="57"/>
      <c r="AJ278" s="14"/>
      <c r="AK278" s="1"/>
    </row>
    <row r="279" spans="1:37" s="7" customFormat="1" ht="15.75" thickBot="1">
      <c r="A279" s="1"/>
      <c r="B279" s="1"/>
      <c r="C279" s="1"/>
      <c r="E279" s="41" t="s">
        <v>290</v>
      </c>
      <c r="J279" s="62">
        <f>+J273-J277</f>
        <v>277391.8299999999</v>
      </c>
      <c r="K279" s="38"/>
      <c r="L279" s="62">
        <f>+L273-L277</f>
        <v>350430.79000000004</v>
      </c>
      <c r="M279" s="38"/>
      <c r="N279" s="62">
        <f>+N273-N277</f>
        <v>138482.78999999995</v>
      </c>
      <c r="O279" s="61">
        <f>IF(N$43=0,0,N279/N$43)</f>
        <v>0</v>
      </c>
      <c r="P279" s="62">
        <f>+P273-P277</f>
        <v>230901.47000000009</v>
      </c>
      <c r="Q279" s="38"/>
      <c r="R279" s="62">
        <f>+R273-R277</f>
        <v>326704.24</v>
      </c>
      <c r="S279" s="38"/>
      <c r="T279" s="62">
        <f>+T273-T277</f>
        <v>297788.88</v>
      </c>
      <c r="U279" s="61">
        <f>IF(T$43=0,0,T279/T$43)</f>
        <v>0</v>
      </c>
      <c r="V279" s="62">
        <f>+V273-V277</f>
        <v>228089.24000000017</v>
      </c>
      <c r="W279" s="38"/>
      <c r="X279" s="62">
        <f>+X273-X277</f>
        <v>348258.39999999997</v>
      </c>
      <c r="Y279" s="38"/>
      <c r="Z279" s="62">
        <f>+Z273-Z277</f>
        <v>321300.66000000003</v>
      </c>
      <c r="AA279" s="61">
        <f>IF(Z$43=0,0,Z279/Z$43)</f>
        <v>0</v>
      </c>
      <c r="AB279" s="62">
        <f>+AB273-AB277</f>
        <v>185308.96999999991</v>
      </c>
      <c r="AC279" s="38"/>
      <c r="AD279" s="62">
        <f>+AD273-AD277</f>
        <v>379687.94999999995</v>
      </c>
      <c r="AE279" s="38"/>
      <c r="AF279" s="62">
        <f>+AF273-AF277</f>
        <v>188087.58999999988</v>
      </c>
      <c r="AG279" s="61">
        <f>IF(AF$43=0,0,AF279/AF$43)</f>
        <v>0</v>
      </c>
      <c r="AH279" s="62">
        <f>+AH273-AH277</f>
        <v>3272432.81</v>
      </c>
      <c r="AI279" s="10">
        <f>IF(AH$49=0,0,AH279/AH$49)</f>
        <v>0.27956831124929843</v>
      </c>
      <c r="AJ279" s="14"/>
      <c r="AK279" s="1"/>
    </row>
    <row r="280" spans="1:37" s="63" customFormat="1" ht="15.75" thickTop="1">
      <c r="A280" s="12"/>
      <c r="B280" s="34"/>
      <c r="C280" s="34"/>
      <c r="D280" s="7"/>
      <c r="E280" s="7"/>
      <c r="F280" s="5"/>
      <c r="G280" s="7"/>
      <c r="H280" s="1"/>
      <c r="I280" s="1"/>
      <c r="K280" s="1"/>
      <c r="M280" s="14"/>
      <c r="O280" s="14"/>
      <c r="Q280" s="1"/>
      <c r="S280" s="14"/>
      <c r="U280" s="14"/>
      <c r="W280" s="1"/>
      <c r="Y280" s="14"/>
      <c r="AA280" s="14"/>
      <c r="AC280" s="1"/>
      <c r="AE280" s="14"/>
      <c r="AG280" s="14"/>
      <c r="AJ280" s="1"/>
      <c r="AK280" s="1"/>
    </row>
    <row r="281" spans="1:37" customFormat="1" ht="15" outlineLevel="1">
      <c r="B281" t="s">
        <v>406</v>
      </c>
      <c r="AK281" s="1"/>
    </row>
    <row r="282" spans="1:37" ht="6" customHeight="1" outlineLevel="1">
      <c r="A282" s="12"/>
      <c r="J282" s="39"/>
      <c r="K282" s="38"/>
      <c r="L282" s="39"/>
      <c r="M282" s="38"/>
      <c r="N282" s="39"/>
      <c r="O282" s="57"/>
      <c r="P282" s="39"/>
      <c r="Q282" s="38"/>
      <c r="R282" s="39"/>
      <c r="S282" s="38"/>
      <c r="T282" s="39"/>
      <c r="U282" s="57"/>
      <c r="V282" s="39"/>
      <c r="W282" s="38"/>
      <c r="X282" s="39"/>
      <c r="Y282" s="38"/>
      <c r="Z282" s="39"/>
      <c r="AA282" s="57"/>
      <c r="AB282" s="39"/>
      <c r="AC282" s="38"/>
      <c r="AD282" s="39"/>
      <c r="AE282" s="38"/>
      <c r="AF282" s="39"/>
      <c r="AG282" s="57"/>
      <c r="AH282" s="39"/>
    </row>
    <row r="283" spans="1:37" s="4" customFormat="1">
      <c r="A283" s="76"/>
      <c r="E283" s="4" t="s">
        <v>291</v>
      </c>
      <c r="J283" s="64">
        <f>SUM(J281:J282)</f>
        <v>0</v>
      </c>
      <c r="K283" s="65"/>
      <c r="L283" s="64">
        <f>SUM(L281:L282)</f>
        <v>0</v>
      </c>
      <c r="M283" s="65"/>
      <c r="N283" s="64">
        <f>SUM(N281:N282)</f>
        <v>0</v>
      </c>
      <c r="O283" s="66"/>
      <c r="P283" s="64">
        <f>SUM(P281:P282)</f>
        <v>0</v>
      </c>
      <c r="Q283" s="65"/>
      <c r="R283" s="64">
        <f>SUM(R281:R282)</f>
        <v>0</v>
      </c>
      <c r="S283" s="65"/>
      <c r="T283" s="64">
        <f>SUM(T281:T282)</f>
        <v>0</v>
      </c>
      <c r="U283" s="66"/>
      <c r="V283" s="64">
        <f>SUM(V281:V282)</f>
        <v>0</v>
      </c>
      <c r="W283" s="65"/>
      <c r="X283" s="64">
        <f>SUM(X281:X282)</f>
        <v>0</v>
      </c>
      <c r="Y283" s="65"/>
      <c r="Z283" s="64">
        <f>SUM(Z281:Z282)</f>
        <v>0</v>
      </c>
      <c r="AA283" s="66"/>
      <c r="AB283" s="64">
        <f>SUM(AB281:AB282)</f>
        <v>0</v>
      </c>
      <c r="AC283" s="65"/>
      <c r="AD283" s="64">
        <f>SUM(AD281:AD282)</f>
        <v>0</v>
      </c>
      <c r="AE283" s="65"/>
      <c r="AF283" s="64">
        <f>SUM(AF281:AF282)</f>
        <v>0</v>
      </c>
      <c r="AG283" s="66"/>
      <c r="AH283" s="64">
        <f>SUM(AH281:AH282)</f>
        <v>0</v>
      </c>
      <c r="AK283" s="1"/>
    </row>
    <row r="284" spans="1:37">
      <c r="A284" s="12"/>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row>
    <row r="285" spans="1:37" ht="15">
      <c r="A285" s="12"/>
      <c r="B285" s="34"/>
      <c r="C285" s="34"/>
      <c r="D285" s="6"/>
      <c r="E285" s="6"/>
      <c r="F285" s="6"/>
      <c r="G285" s="6"/>
      <c r="M285" s="14"/>
      <c r="O285" s="14"/>
      <c r="S285" s="14"/>
      <c r="U285" s="14"/>
      <c r="Y285" s="14"/>
      <c r="AA285" s="14"/>
      <c r="AE285" s="14"/>
      <c r="AG285" s="14"/>
    </row>
    <row r="286" spans="1:37" ht="15.75">
      <c r="A286" s="12"/>
      <c r="B286" s="34"/>
      <c r="C286" s="34"/>
      <c r="D286" s="7"/>
      <c r="E286" s="7"/>
      <c r="F286" s="6"/>
      <c r="G286" s="7"/>
      <c r="M286" s="14"/>
      <c r="O286" s="14"/>
      <c r="S286" s="14"/>
      <c r="U286" s="14"/>
      <c r="Y286" s="14"/>
      <c r="AA286" s="14"/>
      <c r="AE286" s="14"/>
      <c r="AF286" s="67" t="s">
        <v>292</v>
      </c>
      <c r="AG286" s="68"/>
      <c r="AH286" s="69">
        <f>SUM(J279:AF279)-AH279</f>
        <v>0</v>
      </c>
    </row>
    <row r="287" spans="1:37" s="63" customFormat="1" ht="15">
      <c r="A287" s="12"/>
      <c r="B287" s="34"/>
      <c r="C287" s="34"/>
      <c r="D287" s="7"/>
      <c r="E287" s="7"/>
      <c r="F287" s="7"/>
      <c r="G287" s="7"/>
      <c r="H287" s="1"/>
      <c r="I287" s="1"/>
      <c r="K287" s="1"/>
      <c r="M287" s="14"/>
      <c r="O287" s="14"/>
      <c r="Q287" s="1"/>
      <c r="S287" s="14"/>
      <c r="U287" s="14"/>
      <c r="W287" s="1"/>
      <c r="Y287" s="14"/>
      <c r="AA287" s="14"/>
      <c r="AC287" s="1"/>
      <c r="AE287" s="14"/>
      <c r="AG287" s="14"/>
      <c r="AI287" s="1"/>
      <c r="AJ287" s="1"/>
    </row>
    <row r="288" spans="1:37" s="63" customFormat="1" ht="15">
      <c r="A288" s="45"/>
      <c r="B288" s="45"/>
      <c r="C288" s="45"/>
      <c r="D288" s="45"/>
      <c r="E288" s="45"/>
      <c r="F288" s="45"/>
      <c r="G288" s="45"/>
      <c r="H288" s="1"/>
      <c r="I288" s="1"/>
      <c r="K288" s="1"/>
      <c r="M288" s="14"/>
      <c r="O288" s="14"/>
      <c r="Q288" s="1"/>
      <c r="S288" s="14"/>
      <c r="U288" s="14"/>
      <c r="V288" s="63">
        <f>V49-V279</f>
        <v>652722.11999999988</v>
      </c>
      <c r="W288" s="63">
        <f>W49-W279</f>
        <v>0</v>
      </c>
      <c r="X288" s="63">
        <f>X49-X279</f>
        <v>692585.10000000009</v>
      </c>
      <c r="Y288" s="14"/>
      <c r="Z288" s="63">
        <f>Z49-Z279</f>
        <v>697457.82</v>
      </c>
      <c r="AA288" s="14"/>
      <c r="AB288" s="63">
        <f>AB49-AB279</f>
        <v>608850.46</v>
      </c>
      <c r="AC288" s="1"/>
      <c r="AD288" s="63">
        <f>AD49-AD279</f>
        <v>943551</v>
      </c>
      <c r="AE288" s="14"/>
      <c r="AF288" s="63">
        <f>AF49-AF279</f>
        <v>766731.35000000009</v>
      </c>
      <c r="AG288" s="14"/>
      <c r="AH288" s="63">
        <f>AH49-AH279</f>
        <v>8432873.8300000001</v>
      </c>
      <c r="AJ288" s="1"/>
    </row>
    <row r="289" spans="1:36" s="63" customFormat="1" ht="15">
      <c r="A289" s="12"/>
      <c r="B289" s="34"/>
      <c r="C289" s="34"/>
      <c r="D289" s="6"/>
      <c r="E289" s="6"/>
      <c r="F289" s="6"/>
      <c r="G289" s="6"/>
      <c r="H289" s="1"/>
      <c r="I289" s="1"/>
      <c r="K289" s="1"/>
      <c r="M289" s="14"/>
      <c r="O289" s="14"/>
      <c r="Q289" s="1"/>
      <c r="S289" s="14"/>
      <c r="U289" s="14"/>
      <c r="V289" s="70">
        <f>V288/V49</f>
        <v>0.74104643700326456</v>
      </c>
      <c r="W289" s="70" t="e">
        <f>W288/W49</f>
        <v>#DIV/0!</v>
      </c>
      <c r="X289" s="70">
        <f>X288/X49</f>
        <v>0.66540752764464595</v>
      </c>
      <c r="Y289" s="14"/>
      <c r="Z289" s="70">
        <f>Z288/Z49</f>
        <v>0.68461547431732783</v>
      </c>
      <c r="AA289" s="14"/>
      <c r="AB289" s="70">
        <f>AB288/AB49</f>
        <v>0.76666024100475649</v>
      </c>
      <c r="AC289" s="1"/>
      <c r="AD289" s="70">
        <f>AD288/AD49</f>
        <v>0.71306168851816221</v>
      </c>
      <c r="AE289" s="14"/>
      <c r="AF289" s="70">
        <f>AF288/AF49</f>
        <v>0.80301229676068231</v>
      </c>
      <c r="AG289" s="14"/>
      <c r="AH289" s="70">
        <f>AH288/AH49</f>
        <v>0.72043168875070152</v>
      </c>
      <c r="AJ289" s="1"/>
    </row>
    <row r="290" spans="1:36" s="63" customFormat="1" ht="15">
      <c r="A290" s="12"/>
      <c r="B290" s="34"/>
      <c r="C290" s="34"/>
      <c r="D290" s="7"/>
      <c r="E290" s="7"/>
      <c r="F290" s="5"/>
      <c r="G290" s="7"/>
      <c r="H290" s="1"/>
      <c r="I290" s="1"/>
      <c r="K290" s="1"/>
      <c r="M290" s="14"/>
      <c r="O290" s="14"/>
      <c r="Q290" s="1"/>
      <c r="S290" s="14"/>
      <c r="U290" s="14"/>
      <c r="W290" s="1"/>
      <c r="Y290" s="14"/>
      <c r="AA290" s="14"/>
      <c r="AC290" s="1"/>
      <c r="AE290" s="14"/>
      <c r="AG290" s="14"/>
      <c r="AJ290" s="1"/>
    </row>
    <row r="291" spans="1:36" s="63" customFormat="1" ht="15">
      <c r="A291" s="12"/>
      <c r="B291" s="34"/>
      <c r="C291" s="34"/>
      <c r="D291" s="7"/>
      <c r="E291" s="7"/>
      <c r="F291" s="7"/>
      <c r="G291" s="7"/>
      <c r="H291" s="1"/>
      <c r="I291" s="1"/>
      <c r="K291" s="1"/>
      <c r="M291" s="14"/>
      <c r="O291" s="14"/>
      <c r="Q291" s="1"/>
      <c r="S291" s="14"/>
      <c r="U291" s="14"/>
      <c r="W291" s="1"/>
      <c r="Y291" s="14"/>
      <c r="AA291" s="14"/>
      <c r="AC291" s="1"/>
      <c r="AE291" s="14"/>
      <c r="AG291" s="14"/>
      <c r="AJ291" s="1"/>
    </row>
    <row r="292" spans="1:36" s="63" customFormat="1" ht="15">
      <c r="A292" s="45"/>
      <c r="B292" s="45"/>
      <c r="C292" s="45"/>
      <c r="D292" s="45"/>
      <c r="E292" s="45"/>
      <c r="F292" s="45"/>
      <c r="G292" s="45"/>
      <c r="H292" s="1"/>
      <c r="I292" s="1"/>
      <c r="K292" s="1"/>
      <c r="M292" s="14"/>
      <c r="O292" s="14"/>
      <c r="Q292" s="1"/>
      <c r="S292" s="14"/>
      <c r="U292" s="14"/>
      <c r="W292" s="1"/>
      <c r="Y292" s="14"/>
      <c r="AA292" s="14"/>
      <c r="AC292" s="1"/>
      <c r="AE292" s="14"/>
      <c r="AG292" s="14"/>
      <c r="AJ292" s="1"/>
    </row>
    <row r="293" spans="1:36" s="63" customFormat="1" ht="15">
      <c r="A293" s="12"/>
      <c r="B293" s="34"/>
      <c r="C293" s="34"/>
      <c r="D293" s="6"/>
      <c r="E293" s="6"/>
      <c r="F293" s="6"/>
      <c r="G293" s="6"/>
      <c r="H293" s="1"/>
      <c r="I293" s="1"/>
      <c r="K293" s="1"/>
      <c r="M293" s="14"/>
      <c r="O293" s="14"/>
      <c r="Q293" s="1"/>
      <c r="S293" s="14"/>
      <c r="U293" s="14"/>
      <c r="W293" s="1"/>
      <c r="Y293" s="14"/>
      <c r="AA293" s="14"/>
      <c r="AC293" s="1"/>
      <c r="AE293" s="14"/>
      <c r="AG293" s="14"/>
      <c r="AJ293" s="1"/>
    </row>
    <row r="294" spans="1:36" s="63" customFormat="1" ht="15">
      <c r="A294" s="12"/>
      <c r="B294" s="34"/>
      <c r="C294" s="34"/>
      <c r="D294" s="7"/>
      <c r="E294" s="7"/>
      <c r="F294" s="6"/>
      <c r="G294" s="7"/>
      <c r="H294" s="1"/>
      <c r="I294" s="1"/>
      <c r="K294" s="1"/>
      <c r="M294" s="14"/>
      <c r="O294" s="14"/>
      <c r="Q294" s="1"/>
      <c r="S294" s="14"/>
      <c r="U294" s="14"/>
      <c r="W294" s="1"/>
      <c r="Y294" s="14"/>
      <c r="AA294" s="14"/>
      <c r="AC294" s="1"/>
      <c r="AE294" s="14"/>
      <c r="AG294" s="14"/>
      <c r="AJ294" s="1"/>
    </row>
    <row r="295" spans="1:36" s="63" customFormat="1" ht="15">
      <c r="A295" s="12"/>
      <c r="B295" s="1"/>
      <c r="C295" s="1"/>
      <c r="D295" s="7"/>
      <c r="E295" s="7"/>
      <c r="F295" s="7"/>
      <c r="G295" s="7"/>
      <c r="H295" s="1"/>
      <c r="I295" s="1"/>
      <c r="K295" s="1"/>
      <c r="M295" s="14"/>
      <c r="O295" s="14"/>
      <c r="Q295" s="1"/>
      <c r="S295" s="14"/>
      <c r="U295" s="14"/>
      <c r="W295" s="1"/>
      <c r="Y295" s="14"/>
      <c r="AA295" s="14"/>
      <c r="AC295" s="1"/>
      <c r="AE295" s="14"/>
      <c r="AG295" s="14"/>
      <c r="AJ295" s="1"/>
    </row>
    <row r="296" spans="1:36" s="63" customFormat="1" ht="15">
      <c r="A296" s="12"/>
      <c r="B296" s="1"/>
      <c r="C296" s="1"/>
      <c r="D296" s="7"/>
      <c r="E296" s="41"/>
      <c r="F296" s="7"/>
      <c r="G296" s="7"/>
      <c r="H296" s="1"/>
      <c r="I296" s="1"/>
      <c r="K296" s="1"/>
      <c r="M296" s="14"/>
      <c r="O296" s="14"/>
      <c r="Q296" s="1"/>
      <c r="S296" s="14"/>
      <c r="U296" s="14"/>
      <c r="W296" s="1"/>
      <c r="Y296" s="14"/>
      <c r="AA296" s="14"/>
      <c r="AC296" s="1"/>
      <c r="AE296" s="14"/>
      <c r="AG296" s="14"/>
      <c r="AJ296" s="1"/>
    </row>
    <row r="297" spans="1:36" s="63" customFormat="1" ht="15">
      <c r="A297" s="12"/>
      <c r="B297" s="1"/>
      <c r="C297" s="1"/>
      <c r="D297" s="7"/>
      <c r="E297" s="7"/>
      <c r="F297" s="7"/>
      <c r="G297" s="7"/>
      <c r="H297" s="1"/>
      <c r="I297" s="1"/>
      <c r="K297" s="1"/>
      <c r="M297" s="14"/>
      <c r="O297" s="14"/>
      <c r="Q297" s="1"/>
      <c r="S297" s="14"/>
      <c r="U297" s="14"/>
      <c r="W297" s="1"/>
      <c r="Y297" s="14"/>
      <c r="AA297" s="14"/>
      <c r="AC297" s="1"/>
      <c r="AE297" s="14"/>
      <c r="AG297" s="14"/>
      <c r="AJ297" s="1"/>
    </row>
    <row r="298" spans="1:36" s="63" customFormat="1" ht="15">
      <c r="A298" s="45"/>
      <c r="B298" s="45"/>
      <c r="C298" s="45"/>
      <c r="D298" s="45"/>
      <c r="E298" s="45"/>
      <c r="F298" s="45"/>
      <c r="G298" s="45"/>
      <c r="H298" s="1"/>
      <c r="I298" s="1"/>
      <c r="K298" s="1"/>
      <c r="M298" s="14"/>
      <c r="O298" s="14"/>
      <c r="Q298" s="1"/>
      <c r="S298" s="14"/>
      <c r="U298" s="14"/>
      <c r="W298" s="1"/>
      <c r="Y298" s="14"/>
      <c r="AA298" s="14"/>
      <c r="AC298" s="1"/>
      <c r="AE298" s="14"/>
      <c r="AG298" s="14"/>
      <c r="AJ298" s="1"/>
    </row>
    <row r="299" spans="1:36" s="63" customFormat="1" ht="15">
      <c r="A299" s="12"/>
      <c r="B299" s="34"/>
      <c r="C299" s="34"/>
      <c r="D299" s="6"/>
      <c r="E299" s="6"/>
      <c r="F299" s="6"/>
      <c r="G299" s="6"/>
      <c r="H299" s="1"/>
      <c r="I299" s="1"/>
      <c r="K299" s="1"/>
      <c r="M299" s="14"/>
      <c r="O299" s="14"/>
      <c r="Q299" s="1"/>
      <c r="S299" s="14"/>
      <c r="U299" s="14"/>
      <c r="W299" s="1"/>
      <c r="Y299" s="14"/>
      <c r="AA299" s="14"/>
      <c r="AC299" s="1"/>
      <c r="AE299" s="14"/>
      <c r="AG299" s="14"/>
      <c r="AJ299" s="1"/>
    </row>
    <row r="300" spans="1:36" s="63" customFormat="1" ht="15">
      <c r="A300" s="12"/>
      <c r="B300" s="34"/>
      <c r="C300" s="34"/>
      <c r="D300" s="7"/>
      <c r="E300" s="7"/>
      <c r="F300" s="5"/>
      <c r="G300" s="7"/>
      <c r="H300" s="1"/>
      <c r="I300" s="1"/>
      <c r="K300" s="1"/>
      <c r="M300" s="14"/>
      <c r="O300" s="14"/>
      <c r="Q300" s="1"/>
      <c r="S300" s="14"/>
      <c r="U300" s="14"/>
      <c r="W300" s="1"/>
      <c r="Y300" s="14"/>
      <c r="AA300" s="14"/>
      <c r="AC300" s="1"/>
      <c r="AE300" s="14"/>
      <c r="AG300" s="14"/>
      <c r="AJ300" s="1"/>
    </row>
    <row r="301" spans="1:36" s="63" customFormat="1" ht="15">
      <c r="A301" s="12"/>
      <c r="B301" s="1"/>
      <c r="C301" s="1"/>
      <c r="D301" s="7"/>
      <c r="E301" s="7"/>
      <c r="F301" s="7"/>
      <c r="G301" s="7"/>
      <c r="H301" s="1"/>
      <c r="I301" s="1"/>
      <c r="K301" s="1"/>
      <c r="M301" s="14"/>
      <c r="O301" s="14"/>
      <c r="Q301" s="1"/>
      <c r="S301" s="14"/>
      <c r="U301" s="14"/>
      <c r="W301" s="1"/>
      <c r="Y301" s="14"/>
      <c r="AA301" s="14"/>
      <c r="AC301" s="1"/>
      <c r="AE301" s="14"/>
      <c r="AG301" s="14"/>
      <c r="AJ301" s="1"/>
    </row>
    <row r="302" spans="1:36" s="63" customFormat="1" ht="15">
      <c r="A302" s="12"/>
      <c r="B302" s="34"/>
      <c r="C302" s="34"/>
      <c r="D302" s="7"/>
      <c r="E302" s="41"/>
      <c r="F302" s="7"/>
      <c r="G302" s="7"/>
      <c r="H302" s="1"/>
      <c r="I302" s="1"/>
      <c r="K302" s="1"/>
      <c r="M302" s="14"/>
      <c r="O302" s="14"/>
      <c r="Q302" s="1"/>
      <c r="S302" s="14"/>
      <c r="U302" s="14"/>
      <c r="W302" s="1"/>
      <c r="Y302" s="14"/>
      <c r="AA302" s="14"/>
      <c r="AC302" s="1"/>
      <c r="AE302" s="14"/>
      <c r="AG302" s="14"/>
      <c r="AJ302" s="1"/>
    </row>
    <row r="303" spans="1:36" s="63" customFormat="1" ht="15">
      <c r="A303" s="12"/>
      <c r="B303" s="1"/>
      <c r="C303" s="1"/>
      <c r="D303" s="1"/>
      <c r="E303" s="1"/>
      <c r="F303" s="1"/>
      <c r="G303" s="1"/>
      <c r="H303" s="1"/>
      <c r="I303" s="1"/>
      <c r="K303" s="1"/>
      <c r="M303" s="14"/>
      <c r="O303" s="14"/>
      <c r="Q303" s="1"/>
      <c r="S303" s="14"/>
      <c r="U303" s="14"/>
      <c r="W303" s="1"/>
      <c r="Y303" s="14"/>
      <c r="AA303" s="14"/>
      <c r="AC303" s="1"/>
      <c r="AE303" s="14"/>
      <c r="AG303" s="14"/>
      <c r="AJ303" s="1"/>
    </row>
    <row r="304" spans="1:36" s="63" customFormat="1" ht="15">
      <c r="A304" s="45"/>
      <c r="B304" s="45"/>
      <c r="C304" s="45"/>
      <c r="D304" s="45"/>
      <c r="E304" s="45"/>
      <c r="F304" s="45"/>
      <c r="G304" s="45"/>
      <c r="H304" s="1"/>
      <c r="I304" s="1"/>
      <c r="K304" s="1"/>
      <c r="M304" s="14"/>
      <c r="O304" s="14"/>
      <c r="Q304" s="1"/>
      <c r="S304" s="14"/>
      <c r="U304" s="14"/>
      <c r="W304" s="1"/>
      <c r="Y304" s="14"/>
      <c r="AA304" s="14"/>
      <c r="AC304" s="1"/>
      <c r="AE304" s="14"/>
      <c r="AG304" s="14"/>
      <c r="AJ304" s="1"/>
    </row>
    <row r="305" spans="1:36" s="63" customFormat="1" ht="15">
      <c r="A305" s="12"/>
      <c r="B305" s="34"/>
      <c r="C305" s="34"/>
      <c r="D305" s="6"/>
      <c r="E305" s="6"/>
      <c r="F305" s="6"/>
      <c r="G305" s="6"/>
      <c r="H305" s="1"/>
      <c r="I305" s="1"/>
      <c r="K305" s="1"/>
      <c r="M305" s="14"/>
      <c r="O305" s="14"/>
      <c r="Q305" s="1"/>
      <c r="S305" s="14"/>
      <c r="U305" s="14"/>
      <c r="W305" s="1"/>
      <c r="Y305" s="14"/>
      <c r="AA305" s="14"/>
      <c r="AC305" s="1"/>
      <c r="AE305" s="14"/>
      <c r="AG305" s="14"/>
      <c r="AJ305" s="1"/>
    </row>
    <row r="306" spans="1:36" s="63" customFormat="1" ht="15">
      <c r="A306" s="1"/>
      <c r="B306" s="34"/>
      <c r="C306" s="34"/>
      <c r="D306" s="7"/>
      <c r="E306" s="7"/>
      <c r="F306" s="5"/>
      <c r="G306" s="7"/>
      <c r="H306" s="1"/>
      <c r="I306" s="1"/>
      <c r="K306" s="1"/>
      <c r="M306" s="14"/>
      <c r="O306" s="14"/>
      <c r="Q306" s="1"/>
      <c r="S306" s="14"/>
      <c r="U306" s="14"/>
      <c r="W306" s="1"/>
      <c r="Y306" s="14"/>
      <c r="AA306" s="14"/>
      <c r="AC306" s="1"/>
      <c r="AE306" s="14"/>
      <c r="AG306" s="14"/>
      <c r="AJ306" s="1"/>
    </row>
    <row r="307" spans="1:36" s="63" customFormat="1" ht="15">
      <c r="A307" s="1"/>
      <c r="B307" s="34"/>
      <c r="C307" s="34"/>
      <c r="D307" s="7"/>
      <c r="E307" s="7"/>
      <c r="F307" s="7"/>
      <c r="G307" s="7"/>
      <c r="H307" s="1"/>
      <c r="I307" s="1"/>
      <c r="K307" s="1"/>
      <c r="M307" s="14"/>
      <c r="O307" s="14"/>
      <c r="Q307" s="1"/>
      <c r="S307" s="14"/>
      <c r="U307" s="14"/>
      <c r="W307" s="1"/>
      <c r="Y307" s="14"/>
      <c r="AA307" s="14"/>
      <c r="AC307" s="1"/>
      <c r="AE307" s="14"/>
      <c r="AG307" s="14"/>
      <c r="AJ307" s="1"/>
    </row>
    <row r="308" spans="1:36" s="63" customFormat="1" ht="15">
      <c r="A308" s="1"/>
      <c r="B308" s="1"/>
      <c r="C308" s="1"/>
      <c r="D308" s="7"/>
      <c r="E308" s="41"/>
      <c r="F308" s="7"/>
      <c r="G308" s="7"/>
      <c r="H308" s="1"/>
      <c r="I308" s="1"/>
      <c r="K308" s="1"/>
      <c r="M308" s="14"/>
      <c r="O308" s="14"/>
      <c r="Q308" s="1"/>
      <c r="S308" s="14"/>
      <c r="U308" s="14"/>
      <c r="W308" s="1"/>
      <c r="Y308" s="14"/>
      <c r="AA308" s="14"/>
      <c r="AC308" s="1"/>
      <c r="AE308" s="14"/>
      <c r="AG308" s="14"/>
      <c r="AJ308" s="1"/>
    </row>
    <row r="309" spans="1:36" s="63" customFormat="1" ht="15">
      <c r="A309" s="1"/>
      <c r="B309" s="34"/>
      <c r="C309" s="34"/>
      <c r="D309" s="7"/>
      <c r="E309" s="7"/>
      <c r="F309" s="7"/>
      <c r="G309" s="7"/>
      <c r="H309" s="1"/>
      <c r="I309" s="1"/>
      <c r="K309" s="1"/>
      <c r="M309" s="14"/>
      <c r="O309" s="14"/>
      <c r="Q309" s="1"/>
      <c r="S309" s="14"/>
      <c r="U309" s="14"/>
      <c r="W309" s="1"/>
      <c r="Y309" s="14"/>
      <c r="AA309" s="14"/>
      <c r="AC309" s="1"/>
      <c r="AE309" s="14"/>
      <c r="AG309" s="14"/>
      <c r="AJ309" s="1"/>
    </row>
    <row r="310" spans="1:36" s="63" customFormat="1" ht="15">
      <c r="A310" s="12"/>
      <c r="B310" s="77"/>
      <c r="C310" s="12"/>
      <c r="D310" s="12"/>
      <c r="E310" s="12"/>
      <c r="F310" s="12"/>
      <c r="G310" s="12"/>
      <c r="H310" s="1"/>
      <c r="I310" s="1"/>
      <c r="K310" s="1"/>
      <c r="M310" s="14"/>
      <c r="O310" s="14"/>
      <c r="Q310" s="1"/>
      <c r="S310" s="14"/>
      <c r="U310" s="14"/>
      <c r="W310" s="1"/>
      <c r="Y310" s="14"/>
      <c r="AA310" s="14"/>
      <c r="AC310" s="1"/>
      <c r="AE310" s="14"/>
      <c r="AG310" s="14"/>
      <c r="AJ310" s="1"/>
    </row>
    <row r="311" spans="1:36" s="63" customFormat="1" ht="15">
      <c r="A311" s="12"/>
      <c r="B311" s="34"/>
      <c r="C311" s="34"/>
      <c r="D311" s="6"/>
      <c r="E311" s="6"/>
      <c r="F311" s="6"/>
      <c r="G311" s="6"/>
      <c r="H311" s="1"/>
      <c r="I311" s="1"/>
      <c r="K311" s="1"/>
      <c r="M311" s="14"/>
      <c r="O311" s="14"/>
      <c r="Q311" s="1"/>
      <c r="S311" s="14"/>
      <c r="U311" s="14"/>
      <c r="W311" s="1"/>
      <c r="Y311" s="14"/>
      <c r="AA311" s="14"/>
      <c r="AC311" s="1"/>
      <c r="AE311" s="14"/>
      <c r="AG311" s="14"/>
      <c r="AJ311" s="1"/>
    </row>
    <row r="312" spans="1:36" s="63" customFormat="1" ht="15">
      <c r="A312" s="12"/>
      <c r="B312" s="34"/>
      <c r="C312" s="34"/>
      <c r="D312" s="7"/>
      <c r="E312" s="7"/>
      <c r="F312" s="5"/>
      <c r="G312" s="7"/>
      <c r="H312" s="1"/>
      <c r="I312" s="1"/>
      <c r="K312" s="1"/>
      <c r="M312" s="14"/>
      <c r="O312" s="14"/>
      <c r="Q312" s="1"/>
      <c r="S312" s="14"/>
      <c r="U312" s="14"/>
      <c r="W312" s="1"/>
      <c r="Y312" s="14"/>
      <c r="AA312" s="14"/>
      <c r="AC312" s="1"/>
      <c r="AE312" s="14"/>
      <c r="AG312" s="14"/>
      <c r="AJ312" s="1"/>
    </row>
    <row r="313" spans="1:36" s="63" customFormat="1" ht="15">
      <c r="A313" s="1"/>
      <c r="B313" s="34"/>
      <c r="C313" s="34"/>
      <c r="D313" s="7"/>
      <c r="E313" s="7"/>
      <c r="F313" s="7"/>
      <c r="G313" s="7"/>
      <c r="H313" s="1"/>
      <c r="I313" s="1"/>
      <c r="K313" s="1"/>
      <c r="M313" s="14"/>
      <c r="O313" s="14"/>
      <c r="Q313" s="1"/>
      <c r="S313" s="14"/>
      <c r="U313" s="14"/>
      <c r="W313" s="1"/>
      <c r="Y313" s="14"/>
      <c r="AA313" s="14"/>
      <c r="AC313" s="1"/>
      <c r="AE313" s="14"/>
      <c r="AG313" s="14"/>
      <c r="AJ313" s="1"/>
    </row>
    <row r="314" spans="1:36" s="63" customFormat="1" ht="15">
      <c r="A314" s="1"/>
      <c r="B314" s="1"/>
      <c r="C314" s="1"/>
      <c r="D314" s="7"/>
      <c r="E314" s="41"/>
      <c r="F314" s="7"/>
      <c r="G314" s="7"/>
      <c r="H314" s="1"/>
      <c r="I314" s="1"/>
      <c r="K314" s="1"/>
      <c r="M314" s="14"/>
      <c r="O314" s="14"/>
      <c r="Q314" s="1"/>
      <c r="S314" s="14"/>
      <c r="U314" s="14"/>
      <c r="W314" s="1"/>
      <c r="Y314" s="14"/>
      <c r="AA314" s="14"/>
      <c r="AC314" s="1"/>
      <c r="AE314" s="14"/>
      <c r="AG314" s="14"/>
      <c r="AJ314" s="1"/>
    </row>
    <row r="315" spans="1:36" s="63" customFormat="1" ht="15">
      <c r="A315" s="1"/>
      <c r="B315" s="1"/>
      <c r="C315" s="1"/>
      <c r="D315" s="1"/>
      <c r="E315" s="1"/>
      <c r="F315" s="1"/>
      <c r="G315" s="1"/>
      <c r="H315" s="1"/>
      <c r="I315" s="1"/>
      <c r="K315" s="1"/>
      <c r="M315" s="14"/>
      <c r="O315" s="14"/>
      <c r="Q315" s="1"/>
      <c r="S315" s="14"/>
      <c r="U315" s="14"/>
      <c r="W315" s="1"/>
      <c r="Y315" s="14"/>
      <c r="AA315" s="14"/>
      <c r="AC315" s="1"/>
      <c r="AE315" s="14"/>
      <c r="AG315" s="14"/>
      <c r="AJ315" s="1"/>
    </row>
    <row r="316" spans="1:36" s="63" customFormat="1" ht="15">
      <c r="B316" s="1"/>
      <c r="D316" s="1"/>
      <c r="E316" s="1"/>
      <c r="F316" s="1"/>
      <c r="G316" s="1"/>
      <c r="H316" s="1"/>
      <c r="I316" s="1"/>
      <c r="K316" s="1"/>
      <c r="M316" s="14"/>
      <c r="O316" s="14"/>
      <c r="Q316" s="1"/>
      <c r="S316" s="14"/>
      <c r="U316" s="14"/>
      <c r="W316" s="1"/>
      <c r="Y316" s="14"/>
      <c r="AA316" s="14"/>
      <c r="AC316" s="1"/>
      <c r="AE316" s="14"/>
      <c r="AG316" s="14"/>
      <c r="AJ316" s="1"/>
    </row>
    <row r="317" spans="1:36" s="63" customFormat="1" ht="15">
      <c r="B317" s="1"/>
      <c r="D317" s="1"/>
      <c r="E317" s="1"/>
      <c r="F317" s="1"/>
      <c r="G317" s="1"/>
      <c r="H317" s="1"/>
      <c r="I317" s="1"/>
      <c r="K317" s="1"/>
      <c r="M317" s="14"/>
      <c r="O317" s="14"/>
      <c r="Q317" s="1"/>
      <c r="S317" s="14"/>
      <c r="U317" s="14"/>
      <c r="W317" s="1"/>
      <c r="Y317" s="14"/>
      <c r="AA317" s="14"/>
      <c r="AC317" s="1"/>
      <c r="AE317" s="14"/>
      <c r="AG317" s="14"/>
      <c r="AJ317" s="1"/>
    </row>
    <row r="318" spans="1:36" s="63" customFormat="1" ht="15">
      <c r="B318" s="1"/>
      <c r="D318" s="1"/>
      <c r="E318" s="1"/>
      <c r="F318" s="1"/>
      <c r="G318" s="1"/>
      <c r="H318" s="1"/>
      <c r="I318" s="1"/>
      <c r="K318" s="1"/>
      <c r="M318" s="14"/>
      <c r="O318" s="14"/>
      <c r="Q318" s="1"/>
      <c r="S318" s="14"/>
      <c r="U318" s="14"/>
      <c r="W318" s="1"/>
      <c r="Y318" s="14"/>
      <c r="AA318" s="14"/>
      <c r="AC318" s="1"/>
      <c r="AE318" s="14"/>
      <c r="AG318" s="14"/>
      <c r="AJ318" s="1"/>
    </row>
    <row r="319" spans="1:36" s="63" customFormat="1" ht="15">
      <c r="B319" s="1"/>
      <c r="D319" s="1"/>
      <c r="E319" s="1"/>
      <c r="F319" s="1"/>
      <c r="G319" s="1"/>
      <c r="H319" s="1"/>
      <c r="I319" s="1"/>
      <c r="K319" s="1"/>
      <c r="M319" s="14"/>
      <c r="O319" s="14"/>
      <c r="Q319" s="1"/>
      <c r="S319" s="14"/>
      <c r="U319" s="14"/>
      <c r="W319" s="1"/>
      <c r="Y319" s="14"/>
      <c r="AA319" s="14"/>
      <c r="AC319" s="1"/>
      <c r="AE319" s="14"/>
      <c r="AG319" s="14"/>
      <c r="AJ319" s="1"/>
    </row>
    <row r="320" spans="1:36" s="63" customFormat="1" ht="15">
      <c r="B320" s="1"/>
      <c r="D320" s="1"/>
      <c r="E320" s="1"/>
      <c r="F320" s="1"/>
      <c r="G320" s="1"/>
      <c r="H320" s="1"/>
      <c r="I320" s="1"/>
      <c r="K320" s="1"/>
      <c r="M320" s="14"/>
      <c r="O320" s="14"/>
      <c r="Q320" s="1"/>
      <c r="S320" s="14"/>
      <c r="U320" s="14"/>
      <c r="W320" s="1"/>
      <c r="Y320" s="14"/>
      <c r="AA320" s="14"/>
      <c r="AC320" s="1"/>
      <c r="AE320" s="14"/>
      <c r="AG320" s="14"/>
      <c r="AJ320" s="1"/>
    </row>
    <row r="321" spans="2:36" s="63" customFormat="1" ht="15">
      <c r="B321" s="1"/>
      <c r="D321" s="1"/>
      <c r="E321" s="1"/>
      <c r="F321" s="1"/>
      <c r="G321" s="1"/>
      <c r="H321" s="1"/>
      <c r="I321" s="1"/>
      <c r="K321" s="1"/>
      <c r="M321" s="14"/>
      <c r="O321" s="14"/>
      <c r="Q321" s="1"/>
      <c r="S321" s="14"/>
      <c r="U321" s="14"/>
      <c r="W321" s="1"/>
      <c r="Y321" s="14"/>
      <c r="AA321" s="14"/>
      <c r="AC321" s="1"/>
      <c r="AE321" s="14"/>
      <c r="AG321" s="14"/>
      <c r="AJ321" s="1"/>
    </row>
    <row r="322" spans="2:36" s="63" customFormat="1" ht="15">
      <c r="B322" s="1"/>
      <c r="D322" s="1"/>
      <c r="E322" s="1"/>
      <c r="F322" s="1"/>
      <c r="G322" s="1"/>
      <c r="H322" s="1"/>
      <c r="I322" s="1"/>
      <c r="K322" s="1"/>
      <c r="M322" s="14"/>
      <c r="O322" s="14"/>
      <c r="Q322" s="1"/>
      <c r="S322" s="14"/>
      <c r="U322" s="14"/>
      <c r="W322" s="1"/>
      <c r="Y322" s="14"/>
      <c r="AA322" s="14"/>
      <c r="AC322" s="1"/>
      <c r="AE322" s="14"/>
      <c r="AG322" s="14"/>
      <c r="AJ322" s="1"/>
    </row>
    <row r="323" spans="2:36" s="63" customFormat="1" ht="15">
      <c r="D323" s="1"/>
      <c r="E323" s="1"/>
      <c r="F323" s="1"/>
      <c r="G323" s="1"/>
      <c r="H323" s="1"/>
      <c r="I323" s="1"/>
      <c r="K323" s="1"/>
      <c r="M323" s="14"/>
      <c r="O323" s="14"/>
      <c r="Q323" s="1"/>
      <c r="S323" s="14"/>
      <c r="U323" s="14"/>
      <c r="W323" s="1"/>
      <c r="Y323" s="14"/>
      <c r="AA323" s="14"/>
      <c r="AC323" s="1"/>
      <c r="AE323" s="14"/>
      <c r="AG323" s="14"/>
      <c r="AJ323" s="1"/>
    </row>
    <row r="324" spans="2:36" s="63" customFormat="1" ht="15">
      <c r="D324" s="1"/>
      <c r="E324" s="1"/>
      <c r="F324" s="1"/>
      <c r="G324" s="1"/>
      <c r="H324" s="1"/>
      <c r="I324" s="1"/>
      <c r="K324" s="1"/>
      <c r="M324" s="14"/>
      <c r="O324" s="14"/>
      <c r="Q324" s="1"/>
      <c r="S324" s="14"/>
      <c r="U324" s="14"/>
      <c r="W324" s="1"/>
      <c r="Y324" s="14"/>
      <c r="AA324" s="14"/>
      <c r="AC324" s="1"/>
      <c r="AE324" s="14"/>
      <c r="AG324" s="14"/>
      <c r="AJ324" s="1"/>
    </row>
    <row r="325" spans="2:36" s="63" customFormat="1" ht="15">
      <c r="D325" s="1"/>
      <c r="E325" s="1"/>
      <c r="F325" s="1"/>
      <c r="G325" s="1"/>
      <c r="H325" s="1"/>
      <c r="I325" s="1"/>
      <c r="K325" s="1"/>
      <c r="M325" s="14"/>
      <c r="O325" s="14"/>
      <c r="Q325" s="1"/>
      <c r="S325" s="14"/>
      <c r="U325" s="14"/>
      <c r="W325" s="1"/>
      <c r="Y325" s="14"/>
      <c r="AA325" s="14"/>
      <c r="AC325" s="1"/>
      <c r="AE325" s="14"/>
      <c r="AG325" s="14"/>
      <c r="AJ325" s="1"/>
    </row>
    <row r="326" spans="2:36" s="63" customFormat="1" ht="15">
      <c r="D326" s="1"/>
      <c r="E326" s="1"/>
      <c r="F326" s="1"/>
      <c r="G326" s="1"/>
      <c r="H326" s="1"/>
      <c r="I326" s="1"/>
      <c r="K326" s="1"/>
      <c r="M326" s="14"/>
      <c r="O326" s="14"/>
      <c r="Q326" s="1"/>
      <c r="S326" s="14"/>
      <c r="U326" s="14"/>
      <c r="W326" s="1"/>
      <c r="Y326" s="14"/>
      <c r="AA326" s="14"/>
      <c r="AC326" s="1"/>
      <c r="AE326" s="14"/>
      <c r="AG326" s="14"/>
      <c r="AJ326" s="1"/>
    </row>
    <row r="327" spans="2:36" s="63" customFormat="1" ht="15">
      <c r="D327" s="1"/>
      <c r="E327" s="1"/>
      <c r="F327" s="1"/>
      <c r="G327" s="1"/>
      <c r="H327" s="1"/>
      <c r="I327" s="1"/>
      <c r="K327" s="1"/>
      <c r="M327" s="14"/>
      <c r="O327" s="14"/>
      <c r="Q327" s="1"/>
      <c r="S327" s="14"/>
      <c r="U327" s="14"/>
      <c r="W327" s="1"/>
      <c r="Y327" s="14"/>
      <c r="AA327" s="14"/>
      <c r="AC327" s="1"/>
      <c r="AE327" s="14"/>
      <c r="AG327" s="14"/>
      <c r="AJ327" s="1"/>
    </row>
    <row r="328" spans="2:36" s="63" customFormat="1" ht="15">
      <c r="D328" s="1"/>
      <c r="E328" s="1"/>
      <c r="F328" s="1"/>
      <c r="G328" s="1"/>
      <c r="H328" s="1"/>
      <c r="I328" s="1"/>
      <c r="K328" s="1"/>
      <c r="M328" s="14"/>
      <c r="O328" s="14"/>
      <c r="Q328" s="1"/>
      <c r="S328" s="14"/>
      <c r="U328" s="14"/>
      <c r="W328" s="1"/>
      <c r="Y328" s="14"/>
      <c r="AA328" s="14"/>
      <c r="AC328" s="1"/>
      <c r="AE328" s="14"/>
      <c r="AG328" s="14"/>
      <c r="AJ328" s="1"/>
    </row>
    <row r="329" spans="2:36" s="63" customFormat="1" ht="15">
      <c r="D329" s="1"/>
      <c r="E329" s="1"/>
      <c r="F329" s="1"/>
      <c r="G329" s="1"/>
      <c r="H329" s="1"/>
      <c r="I329" s="1"/>
      <c r="K329" s="1"/>
      <c r="M329" s="14"/>
      <c r="O329" s="14"/>
      <c r="Q329" s="1"/>
      <c r="S329" s="14"/>
      <c r="U329" s="14"/>
      <c r="W329" s="1"/>
      <c r="Y329" s="14"/>
      <c r="AA329" s="14"/>
      <c r="AC329" s="1"/>
      <c r="AE329" s="14"/>
      <c r="AG329" s="14"/>
      <c r="AJ329" s="1"/>
    </row>
    <row r="330" spans="2:36" s="63" customFormat="1" ht="15">
      <c r="D330" s="1"/>
      <c r="E330" s="1"/>
      <c r="F330" s="1"/>
      <c r="G330" s="1"/>
      <c r="H330" s="1"/>
      <c r="I330" s="1"/>
      <c r="K330" s="1"/>
      <c r="M330" s="14"/>
      <c r="O330" s="14"/>
      <c r="Q330" s="1"/>
      <c r="S330" s="14"/>
      <c r="U330" s="14"/>
      <c r="W330" s="1"/>
      <c r="Y330" s="14"/>
      <c r="AA330" s="14"/>
      <c r="AC330" s="1"/>
      <c r="AE330" s="14"/>
      <c r="AG330" s="14"/>
      <c r="AJ330" s="1"/>
    </row>
    <row r="331" spans="2:36" s="63" customFormat="1" ht="15">
      <c r="D331" s="1"/>
      <c r="E331" s="1"/>
      <c r="F331" s="1"/>
      <c r="G331" s="1"/>
      <c r="H331" s="1"/>
      <c r="I331" s="1"/>
      <c r="K331" s="1"/>
      <c r="M331" s="14"/>
      <c r="O331" s="14"/>
      <c r="Q331" s="1"/>
      <c r="S331" s="14"/>
      <c r="U331" s="14"/>
      <c r="W331" s="1"/>
      <c r="Y331" s="14"/>
      <c r="AA331" s="14"/>
      <c r="AC331" s="1"/>
      <c r="AE331" s="14"/>
      <c r="AG331" s="14"/>
      <c r="AJ331" s="1"/>
    </row>
    <row r="332" spans="2:36" s="63" customFormat="1" ht="15">
      <c r="D332" s="1"/>
      <c r="E332" s="1"/>
      <c r="F332" s="1"/>
      <c r="G332" s="1"/>
      <c r="H332" s="1"/>
      <c r="I332" s="1"/>
      <c r="K332" s="1"/>
      <c r="M332" s="14"/>
      <c r="O332" s="14"/>
      <c r="Q332" s="1"/>
      <c r="S332" s="14"/>
      <c r="U332" s="14"/>
      <c r="W332" s="1"/>
      <c r="Y332" s="14"/>
      <c r="AA332" s="14"/>
      <c r="AC332" s="1"/>
      <c r="AE332" s="14"/>
      <c r="AG332" s="14"/>
      <c r="AJ332" s="1"/>
    </row>
    <row r="333" spans="2:36" s="63" customFormat="1" ht="15">
      <c r="D333" s="1"/>
      <c r="E333" s="1"/>
      <c r="F333" s="1"/>
      <c r="G333" s="1"/>
      <c r="H333" s="1"/>
      <c r="I333" s="1"/>
      <c r="K333" s="1"/>
      <c r="M333" s="14"/>
      <c r="O333" s="14"/>
      <c r="Q333" s="1"/>
      <c r="S333" s="14"/>
      <c r="U333" s="14"/>
      <c r="W333" s="1"/>
      <c r="Y333" s="14"/>
      <c r="AA333" s="14"/>
      <c r="AC333" s="1"/>
      <c r="AE333" s="14"/>
      <c r="AG333" s="14"/>
      <c r="AJ333" s="1"/>
    </row>
    <row r="334" spans="2:36" s="63" customFormat="1" ht="15">
      <c r="D334" s="1"/>
      <c r="E334" s="1"/>
      <c r="F334" s="1"/>
      <c r="G334" s="1"/>
      <c r="H334" s="1"/>
      <c r="I334" s="1"/>
      <c r="K334" s="1"/>
      <c r="M334" s="14"/>
      <c r="O334" s="14"/>
      <c r="Q334" s="1"/>
      <c r="S334" s="14"/>
      <c r="U334" s="14"/>
      <c r="W334" s="1"/>
      <c r="Y334" s="14"/>
      <c r="AA334" s="14"/>
      <c r="AC334" s="1"/>
      <c r="AE334" s="14"/>
      <c r="AG334" s="14"/>
      <c r="AJ334" s="1"/>
    </row>
    <row r="335" spans="2:36" s="63" customFormat="1" ht="15">
      <c r="D335" s="1"/>
      <c r="E335" s="1"/>
      <c r="F335" s="1"/>
      <c r="G335" s="1"/>
      <c r="H335" s="1"/>
      <c r="I335" s="1"/>
      <c r="K335" s="1"/>
      <c r="M335" s="14"/>
      <c r="O335" s="14"/>
      <c r="Q335" s="1"/>
      <c r="S335" s="14"/>
      <c r="U335" s="14"/>
      <c r="W335" s="1"/>
      <c r="Y335" s="14"/>
      <c r="AA335" s="14"/>
      <c r="AC335" s="1"/>
      <c r="AE335" s="14"/>
      <c r="AG335" s="14"/>
      <c r="AJ335" s="1"/>
    </row>
    <row r="336" spans="2:36" s="63" customFormat="1" ht="15">
      <c r="D336" s="1"/>
      <c r="E336" s="1"/>
      <c r="F336" s="1"/>
      <c r="G336" s="1"/>
      <c r="H336" s="1"/>
      <c r="I336" s="1"/>
      <c r="K336" s="1"/>
      <c r="M336" s="14"/>
      <c r="O336" s="14"/>
      <c r="Q336" s="1"/>
      <c r="S336" s="14"/>
      <c r="U336" s="14"/>
      <c r="W336" s="1"/>
      <c r="Y336" s="14"/>
      <c r="AA336" s="14"/>
      <c r="AC336" s="1"/>
      <c r="AE336" s="14"/>
      <c r="AG336" s="14"/>
      <c r="AJ336" s="1"/>
    </row>
    <row r="337" spans="4:36" s="63" customFormat="1" ht="15">
      <c r="D337" s="1"/>
      <c r="E337" s="1"/>
      <c r="F337" s="1"/>
      <c r="G337" s="1"/>
      <c r="H337" s="1"/>
      <c r="I337" s="1"/>
      <c r="K337" s="1"/>
      <c r="M337" s="14"/>
      <c r="O337" s="14"/>
      <c r="Q337" s="1"/>
      <c r="S337" s="14"/>
      <c r="U337" s="14"/>
      <c r="W337" s="1"/>
      <c r="Y337" s="14"/>
      <c r="AA337" s="14"/>
      <c r="AC337" s="1"/>
      <c r="AE337" s="14"/>
      <c r="AG337" s="14"/>
      <c r="AJ337" s="1"/>
    </row>
    <row r="338" spans="4:36" s="63" customFormat="1" ht="15">
      <c r="D338" s="1"/>
      <c r="E338" s="1"/>
      <c r="F338" s="1"/>
      <c r="G338" s="1"/>
      <c r="H338" s="1"/>
      <c r="I338" s="1"/>
      <c r="K338" s="1"/>
      <c r="M338" s="14"/>
      <c r="O338" s="14"/>
      <c r="Q338" s="1"/>
      <c r="S338" s="14"/>
      <c r="U338" s="14"/>
      <c r="W338" s="1"/>
      <c r="Y338" s="14"/>
      <c r="AA338" s="14"/>
      <c r="AC338" s="1"/>
      <c r="AE338" s="14"/>
      <c r="AG338" s="14"/>
      <c r="AJ338" s="1"/>
    </row>
    <row r="339" spans="4:36" s="63" customFormat="1" ht="15">
      <c r="D339" s="1"/>
      <c r="E339" s="1"/>
      <c r="F339" s="1"/>
      <c r="G339" s="1"/>
      <c r="H339" s="1"/>
      <c r="I339" s="1"/>
      <c r="K339" s="1"/>
      <c r="M339" s="14"/>
      <c r="O339" s="14"/>
      <c r="Q339" s="1"/>
      <c r="S339" s="14"/>
      <c r="U339" s="14"/>
      <c r="W339" s="1"/>
      <c r="Y339" s="14"/>
      <c r="AA339" s="14"/>
      <c r="AC339" s="1"/>
      <c r="AE339" s="14"/>
      <c r="AG339" s="14"/>
      <c r="AJ339" s="1"/>
    </row>
    <row r="340" spans="4:36" s="63" customFormat="1" ht="15">
      <c r="D340" s="1"/>
      <c r="E340" s="1"/>
      <c r="F340" s="1"/>
      <c r="G340" s="1"/>
      <c r="H340" s="1"/>
      <c r="I340" s="1"/>
      <c r="K340" s="1"/>
      <c r="M340" s="14"/>
      <c r="O340" s="14"/>
      <c r="Q340" s="1"/>
      <c r="S340" s="14"/>
      <c r="U340" s="14"/>
      <c r="W340" s="1"/>
      <c r="Y340" s="14"/>
      <c r="AA340" s="14"/>
      <c r="AC340" s="1"/>
      <c r="AE340" s="14"/>
      <c r="AG340" s="14"/>
      <c r="AJ340" s="1"/>
    </row>
    <row r="341" spans="4:36" s="63" customFormat="1" ht="15">
      <c r="D341" s="1"/>
      <c r="E341" s="1"/>
      <c r="F341" s="1"/>
      <c r="G341" s="1"/>
      <c r="H341" s="1"/>
      <c r="I341" s="1"/>
      <c r="K341" s="1"/>
      <c r="M341" s="14"/>
      <c r="O341" s="14"/>
      <c r="Q341" s="1"/>
      <c r="S341" s="14"/>
      <c r="U341" s="14"/>
      <c r="W341" s="1"/>
      <c r="Y341" s="14"/>
      <c r="AA341" s="14"/>
      <c r="AC341" s="1"/>
      <c r="AE341" s="14"/>
      <c r="AG341" s="14"/>
      <c r="AJ341" s="1"/>
    </row>
    <row r="342" spans="4:36" s="63" customFormat="1" ht="15">
      <c r="D342" s="1"/>
      <c r="E342" s="1"/>
      <c r="F342" s="1"/>
      <c r="G342" s="1"/>
      <c r="H342" s="1"/>
      <c r="I342" s="1"/>
      <c r="K342" s="1"/>
      <c r="M342" s="14"/>
      <c r="O342" s="14"/>
      <c r="Q342" s="1"/>
      <c r="S342" s="14"/>
      <c r="U342" s="14"/>
      <c r="W342" s="1"/>
      <c r="Y342" s="14"/>
      <c r="AA342" s="14"/>
      <c r="AC342" s="1"/>
      <c r="AE342" s="14"/>
      <c r="AG342" s="14"/>
      <c r="AJ342" s="1"/>
    </row>
    <row r="343" spans="4:36" s="63" customFormat="1" ht="15">
      <c r="D343" s="1"/>
      <c r="E343" s="1"/>
      <c r="F343" s="1"/>
      <c r="G343" s="1"/>
      <c r="H343" s="1"/>
      <c r="I343" s="1"/>
      <c r="K343" s="1"/>
      <c r="M343" s="14"/>
      <c r="O343" s="14"/>
      <c r="Q343" s="1"/>
      <c r="S343" s="14"/>
      <c r="U343" s="14"/>
      <c r="W343" s="1"/>
      <c r="Y343" s="14"/>
      <c r="AA343" s="14"/>
      <c r="AC343" s="1"/>
      <c r="AE343" s="14"/>
      <c r="AG343" s="14"/>
      <c r="AJ343" s="1"/>
    </row>
    <row r="344" spans="4:36" s="63" customFormat="1" ht="15">
      <c r="D344" s="1"/>
      <c r="E344" s="1"/>
      <c r="F344" s="1"/>
      <c r="G344" s="1"/>
      <c r="H344" s="1"/>
      <c r="I344" s="1"/>
      <c r="K344" s="1"/>
      <c r="M344" s="14"/>
      <c r="O344" s="14"/>
      <c r="Q344" s="1"/>
      <c r="S344" s="14"/>
      <c r="U344" s="14"/>
      <c r="W344" s="1"/>
      <c r="Y344" s="14"/>
      <c r="AA344" s="14"/>
      <c r="AC344" s="1"/>
      <c r="AE344" s="14"/>
      <c r="AG344" s="14"/>
      <c r="AJ344" s="1"/>
    </row>
    <row r="345" spans="4:36" s="63" customFormat="1" ht="15">
      <c r="D345" s="1"/>
      <c r="E345" s="1"/>
      <c r="F345" s="1"/>
      <c r="G345" s="1"/>
      <c r="H345" s="1"/>
      <c r="I345" s="1"/>
      <c r="K345" s="1"/>
      <c r="M345" s="14"/>
      <c r="O345" s="14"/>
      <c r="Q345" s="1"/>
      <c r="S345" s="14"/>
      <c r="U345" s="14"/>
      <c r="W345" s="1"/>
      <c r="Y345" s="14"/>
      <c r="AA345" s="14"/>
      <c r="AC345" s="1"/>
      <c r="AE345" s="14"/>
      <c r="AG345" s="14"/>
      <c r="AJ345" s="1"/>
    </row>
    <row r="346" spans="4:36" s="63" customFormat="1" ht="15">
      <c r="D346" s="1"/>
      <c r="E346" s="1"/>
      <c r="F346" s="1"/>
      <c r="G346" s="1"/>
      <c r="H346" s="1"/>
      <c r="I346" s="1"/>
      <c r="K346" s="1"/>
      <c r="M346" s="14"/>
      <c r="O346" s="14"/>
      <c r="Q346" s="1"/>
      <c r="S346" s="14"/>
      <c r="U346" s="14"/>
      <c r="W346" s="1"/>
      <c r="Y346" s="14"/>
      <c r="AA346" s="14"/>
      <c r="AC346" s="1"/>
      <c r="AE346" s="14"/>
      <c r="AG346" s="14"/>
      <c r="AJ346" s="1"/>
    </row>
    <row r="347" spans="4:36" s="63" customFormat="1" ht="15">
      <c r="D347" s="1"/>
      <c r="E347" s="1"/>
      <c r="F347" s="1"/>
      <c r="G347" s="1"/>
      <c r="H347" s="1"/>
      <c r="I347" s="1"/>
      <c r="K347" s="1"/>
      <c r="M347" s="14"/>
      <c r="O347" s="14"/>
      <c r="Q347" s="1"/>
      <c r="S347" s="14"/>
      <c r="U347" s="14"/>
      <c r="W347" s="1"/>
      <c r="Y347" s="14"/>
      <c r="AA347" s="14"/>
      <c r="AC347" s="1"/>
      <c r="AE347" s="14"/>
      <c r="AG347" s="14"/>
      <c r="AJ347" s="1"/>
    </row>
    <row r="348" spans="4:36" s="63" customFormat="1" ht="15">
      <c r="D348" s="1"/>
      <c r="E348" s="1"/>
      <c r="F348" s="1"/>
      <c r="G348" s="1"/>
      <c r="H348" s="1"/>
      <c r="I348" s="1"/>
      <c r="K348" s="1"/>
      <c r="M348" s="14"/>
      <c r="O348" s="14"/>
      <c r="Q348" s="1"/>
      <c r="S348" s="14"/>
      <c r="U348" s="14"/>
      <c r="W348" s="1"/>
      <c r="Y348" s="14"/>
      <c r="AA348" s="14"/>
      <c r="AC348" s="1"/>
      <c r="AE348" s="14"/>
      <c r="AG348" s="14"/>
      <c r="AJ348" s="1"/>
    </row>
    <row r="349" spans="4:36" s="63" customFormat="1" ht="15">
      <c r="D349" s="1"/>
      <c r="E349" s="1"/>
      <c r="F349" s="1"/>
      <c r="G349" s="1"/>
      <c r="H349" s="1"/>
      <c r="I349" s="1"/>
      <c r="K349" s="1"/>
      <c r="M349" s="14"/>
      <c r="O349" s="14"/>
      <c r="Q349" s="1"/>
      <c r="S349" s="14"/>
      <c r="U349" s="14"/>
      <c r="W349" s="1"/>
      <c r="Y349" s="14"/>
      <c r="AA349" s="14"/>
      <c r="AC349" s="1"/>
      <c r="AE349" s="14"/>
      <c r="AG349" s="14"/>
      <c r="AJ349" s="1"/>
    </row>
    <row r="350" spans="4:36" s="63" customFormat="1" ht="15">
      <c r="D350" s="1"/>
      <c r="E350" s="1"/>
      <c r="F350" s="1"/>
      <c r="G350" s="1"/>
      <c r="H350" s="1"/>
      <c r="I350" s="1"/>
      <c r="K350" s="1"/>
      <c r="M350" s="14"/>
      <c r="O350" s="14"/>
      <c r="Q350" s="1"/>
      <c r="S350" s="14"/>
      <c r="U350" s="14"/>
      <c r="W350" s="1"/>
      <c r="Y350" s="14"/>
      <c r="AA350" s="14"/>
      <c r="AC350" s="1"/>
      <c r="AE350" s="14"/>
      <c r="AG350" s="14"/>
      <c r="AJ350" s="1"/>
    </row>
    <row r="351" spans="4:36" s="63" customFormat="1" ht="15">
      <c r="D351" s="1"/>
      <c r="E351" s="1"/>
      <c r="F351" s="1"/>
      <c r="G351" s="1"/>
      <c r="H351" s="1"/>
      <c r="I351" s="1"/>
      <c r="K351" s="1"/>
      <c r="M351" s="14"/>
      <c r="O351" s="14"/>
      <c r="Q351" s="1"/>
      <c r="S351" s="14"/>
      <c r="U351" s="14"/>
      <c r="W351" s="1"/>
      <c r="Y351" s="14"/>
      <c r="AA351" s="14"/>
      <c r="AC351" s="1"/>
      <c r="AE351" s="14"/>
      <c r="AG351" s="14"/>
      <c r="AJ351" s="1"/>
    </row>
    <row r="352" spans="4:36" s="63" customFormat="1" ht="15">
      <c r="D352" s="1"/>
      <c r="E352" s="1"/>
      <c r="F352" s="1"/>
      <c r="G352" s="1"/>
      <c r="H352" s="1"/>
      <c r="I352" s="1"/>
      <c r="K352" s="1"/>
      <c r="M352" s="14"/>
      <c r="O352" s="14"/>
      <c r="Q352" s="1"/>
      <c r="S352" s="14"/>
      <c r="U352" s="14"/>
      <c r="W352" s="1"/>
      <c r="Y352" s="14"/>
      <c r="AA352" s="14"/>
      <c r="AC352" s="1"/>
      <c r="AE352" s="14"/>
      <c r="AG352" s="14"/>
      <c r="AJ352" s="1"/>
    </row>
    <row r="353" spans="4:36" s="63" customFormat="1" ht="15">
      <c r="D353" s="1"/>
      <c r="E353" s="1"/>
      <c r="F353" s="1"/>
      <c r="G353" s="1"/>
      <c r="H353" s="1"/>
      <c r="I353" s="1"/>
      <c r="K353" s="1"/>
      <c r="M353" s="14"/>
      <c r="O353" s="14"/>
      <c r="Q353" s="1"/>
      <c r="S353" s="14"/>
      <c r="U353" s="14"/>
      <c r="W353" s="1"/>
      <c r="Y353" s="14"/>
      <c r="AA353" s="14"/>
      <c r="AC353" s="1"/>
      <c r="AE353" s="14"/>
      <c r="AG353" s="14"/>
      <c r="AJ353" s="1"/>
    </row>
    <row r="354" spans="4:36" s="63" customFormat="1" ht="15">
      <c r="D354" s="1"/>
      <c r="E354" s="1"/>
      <c r="F354" s="1"/>
      <c r="G354" s="1"/>
      <c r="H354" s="1"/>
      <c r="I354" s="1"/>
      <c r="K354" s="1"/>
      <c r="M354" s="14"/>
      <c r="O354" s="14"/>
      <c r="Q354" s="1"/>
      <c r="S354" s="14"/>
      <c r="U354" s="14"/>
      <c r="W354" s="1"/>
      <c r="Y354" s="14"/>
      <c r="AA354" s="14"/>
      <c r="AC354" s="1"/>
      <c r="AE354" s="14"/>
      <c r="AG354" s="14"/>
      <c r="AJ354" s="1"/>
    </row>
    <row r="355" spans="4:36" s="63" customFormat="1" ht="15">
      <c r="D355" s="1"/>
      <c r="E355" s="1"/>
      <c r="F355" s="1"/>
      <c r="G355" s="1"/>
      <c r="H355" s="1"/>
      <c r="I355" s="1"/>
      <c r="K355" s="1"/>
      <c r="M355" s="14"/>
      <c r="O355" s="14"/>
      <c r="Q355" s="1"/>
      <c r="S355" s="14"/>
      <c r="U355" s="14"/>
      <c r="W355" s="1"/>
      <c r="Y355" s="14"/>
      <c r="AA355" s="14"/>
      <c r="AC355" s="1"/>
      <c r="AE355" s="14"/>
      <c r="AG355" s="14"/>
      <c r="AJ355" s="1"/>
    </row>
    <row r="356" spans="4:36" s="63" customFormat="1" ht="15">
      <c r="D356" s="1"/>
      <c r="E356" s="1"/>
      <c r="F356" s="1"/>
      <c r="G356" s="1"/>
      <c r="H356" s="1"/>
      <c r="I356" s="1"/>
      <c r="K356" s="1"/>
      <c r="M356" s="14"/>
      <c r="O356" s="14"/>
      <c r="Q356" s="1"/>
      <c r="S356" s="14"/>
      <c r="U356" s="14"/>
      <c r="W356" s="1"/>
      <c r="Y356" s="14"/>
      <c r="AA356" s="14"/>
      <c r="AC356" s="1"/>
      <c r="AE356" s="14"/>
      <c r="AG356" s="14"/>
      <c r="AJ356" s="1"/>
    </row>
    <row r="357" spans="4:36" s="63" customFormat="1" ht="15">
      <c r="D357" s="1"/>
      <c r="E357" s="1"/>
      <c r="F357" s="1"/>
      <c r="G357" s="1"/>
      <c r="H357" s="1"/>
      <c r="I357" s="1"/>
      <c r="K357" s="1"/>
      <c r="M357" s="14"/>
      <c r="O357" s="14"/>
      <c r="Q357" s="1"/>
      <c r="S357" s="14"/>
      <c r="U357" s="14"/>
      <c r="W357" s="1"/>
      <c r="Y357" s="14"/>
      <c r="AA357" s="14"/>
      <c r="AC357" s="1"/>
      <c r="AE357" s="14"/>
      <c r="AG357" s="14"/>
      <c r="AJ357" s="1"/>
    </row>
    <row r="358" spans="4:36" s="63" customFormat="1" ht="15">
      <c r="D358" s="1"/>
      <c r="E358" s="1"/>
      <c r="F358" s="1"/>
      <c r="G358" s="1"/>
      <c r="H358" s="1"/>
      <c r="I358" s="1"/>
      <c r="K358" s="1"/>
      <c r="M358" s="14"/>
      <c r="O358" s="14"/>
      <c r="Q358" s="1"/>
      <c r="S358" s="14"/>
      <c r="U358" s="14"/>
      <c r="W358" s="1"/>
      <c r="Y358" s="14"/>
      <c r="AA358" s="14"/>
      <c r="AC358" s="1"/>
      <c r="AE358" s="14"/>
      <c r="AG358" s="14"/>
      <c r="AJ358" s="1"/>
    </row>
    <row r="359" spans="4:36" s="63" customFormat="1" ht="15">
      <c r="D359" s="1"/>
      <c r="E359" s="1"/>
      <c r="F359" s="1"/>
      <c r="G359" s="1"/>
      <c r="H359" s="1"/>
      <c r="I359" s="1"/>
      <c r="K359" s="1"/>
      <c r="M359" s="14"/>
      <c r="O359" s="14"/>
      <c r="Q359" s="1"/>
      <c r="S359" s="14"/>
      <c r="U359" s="14"/>
      <c r="W359" s="1"/>
      <c r="Y359" s="14"/>
      <c r="AA359" s="14"/>
      <c r="AC359" s="1"/>
      <c r="AE359" s="14"/>
      <c r="AG359" s="14"/>
      <c r="AJ359" s="1"/>
    </row>
    <row r="360" spans="4:36" s="63" customFormat="1" ht="15">
      <c r="D360" s="1"/>
      <c r="E360" s="1"/>
      <c r="F360" s="1"/>
      <c r="G360" s="1"/>
      <c r="H360" s="1"/>
      <c r="I360" s="1"/>
      <c r="K360" s="1"/>
      <c r="M360" s="14"/>
      <c r="O360" s="14"/>
      <c r="Q360" s="1"/>
      <c r="S360" s="14"/>
      <c r="U360" s="14"/>
      <c r="W360" s="1"/>
      <c r="Y360" s="14"/>
      <c r="AA360" s="14"/>
      <c r="AC360" s="1"/>
      <c r="AE360" s="14"/>
      <c r="AG360" s="14"/>
      <c r="AJ360" s="1"/>
    </row>
    <row r="361" spans="4:36" s="63" customFormat="1" ht="15">
      <c r="D361" s="1"/>
      <c r="E361" s="1"/>
      <c r="F361" s="1"/>
      <c r="G361" s="1"/>
      <c r="H361" s="1"/>
      <c r="I361" s="1"/>
      <c r="K361" s="1"/>
      <c r="M361" s="14"/>
      <c r="O361" s="14"/>
      <c r="Q361" s="1"/>
      <c r="S361" s="14"/>
      <c r="U361" s="14"/>
      <c r="W361" s="1"/>
      <c r="Y361" s="14"/>
      <c r="AA361" s="14"/>
      <c r="AC361" s="1"/>
      <c r="AE361" s="14"/>
      <c r="AG361" s="14"/>
      <c r="AJ361" s="1"/>
    </row>
    <row r="362" spans="4:36" s="63" customFormat="1" ht="15">
      <c r="D362" s="1"/>
      <c r="E362" s="1"/>
      <c r="F362" s="1"/>
      <c r="G362" s="1"/>
      <c r="H362" s="1"/>
      <c r="I362" s="1"/>
      <c r="K362" s="1"/>
      <c r="M362" s="14"/>
      <c r="O362" s="14"/>
      <c r="Q362" s="1"/>
      <c r="S362" s="14"/>
      <c r="U362" s="14"/>
      <c r="W362" s="1"/>
      <c r="Y362" s="14"/>
      <c r="AA362" s="14"/>
      <c r="AC362" s="1"/>
      <c r="AE362" s="14"/>
      <c r="AG362" s="14"/>
      <c r="AJ362" s="1"/>
    </row>
    <row r="363" spans="4:36" s="63" customFormat="1" ht="15">
      <c r="D363" s="1"/>
      <c r="E363" s="1"/>
      <c r="F363" s="1"/>
      <c r="G363" s="1"/>
      <c r="H363" s="1"/>
      <c r="I363" s="1"/>
      <c r="K363" s="1"/>
      <c r="M363" s="14"/>
      <c r="O363" s="14"/>
      <c r="Q363" s="1"/>
      <c r="S363" s="14"/>
      <c r="U363" s="14"/>
      <c r="W363" s="1"/>
      <c r="Y363" s="14"/>
      <c r="AA363" s="14"/>
      <c r="AC363" s="1"/>
      <c r="AE363" s="14"/>
      <c r="AG363" s="14"/>
      <c r="AJ363" s="1"/>
    </row>
    <row r="364" spans="4:36" s="63" customFormat="1" ht="15">
      <c r="D364" s="1"/>
      <c r="E364" s="1"/>
      <c r="F364" s="1"/>
      <c r="G364" s="1"/>
      <c r="H364" s="1"/>
      <c r="I364" s="1"/>
      <c r="K364" s="1"/>
      <c r="M364" s="14"/>
      <c r="O364" s="14"/>
      <c r="Q364" s="1"/>
      <c r="S364" s="14"/>
      <c r="U364" s="14"/>
      <c r="W364" s="1"/>
      <c r="Y364" s="14"/>
      <c r="AA364" s="14"/>
      <c r="AC364" s="1"/>
      <c r="AE364" s="14"/>
      <c r="AG364" s="14"/>
      <c r="AJ364" s="1"/>
    </row>
    <row r="365" spans="4:36" s="63" customFormat="1" ht="15">
      <c r="D365" s="1"/>
      <c r="E365" s="1"/>
      <c r="F365" s="1"/>
      <c r="G365" s="1"/>
      <c r="H365" s="1"/>
      <c r="I365" s="1"/>
      <c r="K365" s="1"/>
      <c r="M365" s="14"/>
      <c r="O365" s="14"/>
      <c r="Q365" s="1"/>
      <c r="S365" s="14"/>
      <c r="U365" s="14"/>
      <c r="W365" s="1"/>
      <c r="Y365" s="14"/>
      <c r="AA365" s="14"/>
      <c r="AC365" s="1"/>
      <c r="AE365" s="14"/>
      <c r="AG365" s="14"/>
      <c r="AJ365" s="1"/>
    </row>
    <row r="366" spans="4:36" s="63" customFormat="1" ht="15">
      <c r="D366" s="1"/>
      <c r="E366" s="1"/>
      <c r="F366" s="1"/>
      <c r="G366" s="1"/>
      <c r="H366" s="1"/>
      <c r="I366" s="1"/>
      <c r="K366" s="1"/>
      <c r="M366" s="14"/>
      <c r="O366" s="14"/>
      <c r="Q366" s="1"/>
      <c r="S366" s="14"/>
      <c r="U366" s="14"/>
      <c r="W366" s="1"/>
      <c r="Y366" s="14"/>
      <c r="AA366" s="14"/>
      <c r="AC366" s="1"/>
      <c r="AE366" s="14"/>
      <c r="AG366" s="14"/>
      <c r="AJ366" s="1"/>
    </row>
    <row r="367" spans="4:36" s="63" customFormat="1" ht="15">
      <c r="D367" s="1"/>
      <c r="E367" s="1"/>
      <c r="F367" s="1"/>
      <c r="G367" s="1"/>
      <c r="H367" s="1"/>
      <c r="I367" s="1"/>
      <c r="K367" s="1"/>
      <c r="M367" s="14"/>
      <c r="O367" s="14"/>
      <c r="Q367" s="1"/>
      <c r="S367" s="14"/>
      <c r="U367" s="14"/>
      <c r="W367" s="1"/>
      <c r="Y367" s="14"/>
      <c r="AA367" s="14"/>
      <c r="AC367" s="1"/>
      <c r="AE367" s="14"/>
      <c r="AG367" s="14"/>
      <c r="AJ367" s="1"/>
    </row>
    <row r="368" spans="4:36" s="63" customFormat="1" ht="15">
      <c r="D368" s="1"/>
      <c r="E368" s="1"/>
      <c r="F368" s="1"/>
      <c r="G368" s="1"/>
      <c r="H368" s="1"/>
      <c r="I368" s="1"/>
      <c r="K368" s="1"/>
      <c r="M368" s="14"/>
      <c r="O368" s="14"/>
      <c r="Q368" s="1"/>
      <c r="S368" s="14"/>
      <c r="U368" s="14"/>
      <c r="W368" s="1"/>
      <c r="Y368" s="14"/>
      <c r="AA368" s="14"/>
      <c r="AC368" s="1"/>
      <c r="AE368" s="14"/>
      <c r="AG368" s="14"/>
      <c r="AJ368" s="1"/>
    </row>
    <row r="369" spans="4:36" s="63" customFormat="1" ht="15">
      <c r="D369" s="1"/>
      <c r="E369" s="1"/>
      <c r="F369" s="1"/>
      <c r="G369" s="1"/>
      <c r="H369" s="1"/>
      <c r="I369" s="1"/>
      <c r="K369" s="1"/>
      <c r="M369" s="14"/>
      <c r="O369" s="14"/>
      <c r="Q369" s="1"/>
      <c r="S369" s="14"/>
      <c r="U369" s="14"/>
      <c r="W369" s="1"/>
      <c r="Y369" s="14"/>
      <c r="AA369" s="14"/>
      <c r="AC369" s="1"/>
      <c r="AE369" s="14"/>
      <c r="AG369" s="14"/>
      <c r="AJ369" s="1"/>
    </row>
    <row r="370" spans="4:36" s="63" customFormat="1" ht="15">
      <c r="D370" s="1"/>
      <c r="E370" s="1"/>
      <c r="F370" s="1"/>
      <c r="G370" s="1"/>
      <c r="H370" s="1"/>
      <c r="I370" s="1"/>
      <c r="K370" s="1"/>
      <c r="M370" s="14"/>
      <c r="O370" s="14"/>
      <c r="Q370" s="1"/>
      <c r="S370" s="14"/>
      <c r="U370" s="14"/>
      <c r="W370" s="1"/>
      <c r="Y370" s="14"/>
      <c r="AA370" s="14"/>
      <c r="AC370" s="1"/>
      <c r="AE370" s="14"/>
      <c r="AG370" s="14"/>
      <c r="AJ370" s="1"/>
    </row>
    <row r="371" spans="4:36" s="63" customFormat="1" ht="15">
      <c r="D371" s="1"/>
      <c r="E371" s="1"/>
      <c r="F371" s="1"/>
      <c r="G371" s="1"/>
      <c r="H371" s="1"/>
      <c r="I371" s="1"/>
      <c r="K371" s="1"/>
      <c r="M371" s="14"/>
      <c r="O371" s="14"/>
      <c r="Q371" s="1"/>
      <c r="S371" s="14"/>
      <c r="U371" s="14"/>
      <c r="W371" s="1"/>
      <c r="Y371" s="14"/>
      <c r="AA371" s="14"/>
      <c r="AC371" s="1"/>
      <c r="AE371" s="14"/>
      <c r="AG371" s="14"/>
      <c r="AJ371" s="1"/>
    </row>
    <row r="372" spans="4:36" s="63" customFormat="1" ht="15">
      <c r="D372" s="1"/>
      <c r="E372" s="1"/>
      <c r="F372" s="1"/>
      <c r="G372" s="1"/>
      <c r="H372" s="1"/>
      <c r="I372" s="1"/>
      <c r="K372" s="1"/>
      <c r="M372" s="14"/>
      <c r="O372" s="14"/>
      <c r="Q372" s="1"/>
      <c r="S372" s="14"/>
      <c r="U372" s="14"/>
      <c r="W372" s="1"/>
      <c r="Y372" s="14"/>
      <c r="AA372" s="14"/>
      <c r="AC372" s="1"/>
      <c r="AE372" s="14"/>
      <c r="AG372" s="14"/>
      <c r="AJ372" s="1"/>
    </row>
    <row r="373" spans="4:36" s="63" customFormat="1" ht="15">
      <c r="D373" s="1"/>
      <c r="E373" s="1"/>
      <c r="F373" s="1"/>
      <c r="G373" s="1"/>
      <c r="H373" s="1"/>
      <c r="I373" s="1"/>
      <c r="K373" s="1"/>
      <c r="M373" s="14"/>
      <c r="O373" s="14"/>
      <c r="Q373" s="1"/>
      <c r="S373" s="14"/>
      <c r="U373" s="14"/>
      <c r="W373" s="1"/>
      <c r="Y373" s="14"/>
      <c r="AA373" s="14"/>
      <c r="AC373" s="1"/>
      <c r="AE373" s="14"/>
      <c r="AG373" s="14"/>
      <c r="AJ373" s="1"/>
    </row>
    <row r="374" spans="4:36" s="63" customFormat="1" ht="15">
      <c r="D374" s="1"/>
      <c r="E374" s="1"/>
      <c r="F374" s="1"/>
      <c r="G374" s="1"/>
      <c r="H374" s="1"/>
      <c r="I374" s="1"/>
      <c r="K374" s="1"/>
      <c r="M374" s="14"/>
      <c r="O374" s="14"/>
      <c r="Q374" s="1"/>
      <c r="S374" s="14"/>
      <c r="U374" s="14"/>
      <c r="W374" s="1"/>
      <c r="Y374" s="14"/>
      <c r="AA374" s="14"/>
      <c r="AC374" s="1"/>
      <c r="AE374" s="14"/>
      <c r="AG374" s="14"/>
      <c r="AJ374" s="1"/>
    </row>
    <row r="375" spans="4:36" s="63" customFormat="1" ht="15">
      <c r="D375" s="1"/>
      <c r="E375" s="1"/>
      <c r="F375" s="1"/>
      <c r="G375" s="1"/>
      <c r="H375" s="1"/>
      <c r="I375" s="1"/>
      <c r="K375" s="1"/>
      <c r="M375" s="14"/>
      <c r="O375" s="14"/>
      <c r="Q375" s="1"/>
      <c r="S375" s="14"/>
      <c r="U375" s="14"/>
      <c r="W375" s="1"/>
      <c r="Y375" s="14"/>
      <c r="AA375" s="14"/>
      <c r="AC375" s="1"/>
      <c r="AE375" s="14"/>
      <c r="AG375" s="14"/>
      <c r="AJ375" s="1"/>
    </row>
    <row r="376" spans="4:36" s="63" customFormat="1" ht="15">
      <c r="D376" s="1"/>
      <c r="E376" s="1"/>
      <c r="F376" s="1"/>
      <c r="G376" s="1"/>
      <c r="H376" s="1"/>
      <c r="I376" s="1"/>
      <c r="K376" s="1"/>
      <c r="M376" s="14"/>
      <c r="O376" s="14"/>
      <c r="Q376" s="1"/>
      <c r="S376" s="14"/>
      <c r="U376" s="14"/>
      <c r="W376" s="1"/>
      <c r="Y376" s="14"/>
      <c r="AA376" s="14"/>
      <c r="AC376" s="1"/>
      <c r="AE376" s="14"/>
      <c r="AG376" s="14"/>
      <c r="AJ376" s="1"/>
    </row>
    <row r="377" spans="4:36" s="63" customFormat="1" ht="15">
      <c r="D377" s="1"/>
      <c r="E377" s="1"/>
      <c r="F377" s="1"/>
      <c r="G377" s="1"/>
      <c r="H377" s="1"/>
      <c r="I377" s="1"/>
      <c r="K377" s="1"/>
      <c r="M377" s="14"/>
      <c r="O377" s="14"/>
      <c r="Q377" s="1"/>
      <c r="S377" s="14"/>
      <c r="U377" s="14"/>
      <c r="W377" s="1"/>
      <c r="Y377" s="14"/>
      <c r="AA377" s="14"/>
      <c r="AC377" s="1"/>
      <c r="AE377" s="14"/>
      <c r="AG377" s="14"/>
      <c r="AJ377" s="1"/>
    </row>
    <row r="378" spans="4:36" s="63" customFormat="1" ht="15">
      <c r="D378" s="1"/>
      <c r="E378" s="1"/>
      <c r="F378" s="1"/>
      <c r="G378" s="1"/>
      <c r="H378" s="1"/>
      <c r="I378" s="1"/>
      <c r="K378" s="1"/>
      <c r="M378" s="14"/>
      <c r="O378" s="14"/>
      <c r="Q378" s="1"/>
      <c r="S378" s="14"/>
      <c r="U378" s="14"/>
      <c r="W378" s="1"/>
      <c r="Y378" s="14"/>
      <c r="AA378" s="14"/>
      <c r="AC378" s="1"/>
      <c r="AE378" s="14"/>
      <c r="AG378" s="14"/>
      <c r="AJ378" s="1"/>
    </row>
    <row r="379" spans="4:36" s="63" customFormat="1" ht="15">
      <c r="D379" s="1"/>
      <c r="E379" s="1"/>
      <c r="F379" s="1"/>
      <c r="G379" s="1"/>
      <c r="H379" s="1"/>
      <c r="I379" s="1"/>
      <c r="K379" s="1"/>
      <c r="M379" s="14"/>
      <c r="O379" s="14"/>
      <c r="Q379" s="1"/>
      <c r="S379" s="14"/>
      <c r="U379" s="14"/>
      <c r="W379" s="1"/>
      <c r="Y379" s="14"/>
      <c r="AA379" s="14"/>
      <c r="AC379" s="1"/>
      <c r="AE379" s="14"/>
      <c r="AG379" s="14"/>
      <c r="AJ379" s="1"/>
    </row>
    <row r="380" spans="4:36" s="63" customFormat="1" ht="15">
      <c r="D380" s="1"/>
      <c r="E380" s="1"/>
      <c r="F380" s="1"/>
      <c r="G380" s="1"/>
      <c r="H380" s="1"/>
      <c r="I380" s="1"/>
      <c r="K380" s="1"/>
      <c r="M380" s="14"/>
      <c r="O380" s="14"/>
      <c r="Q380" s="1"/>
      <c r="S380" s="14"/>
      <c r="U380" s="14"/>
      <c r="W380" s="1"/>
      <c r="Y380" s="14"/>
      <c r="AA380" s="14"/>
      <c r="AC380" s="1"/>
      <c r="AE380" s="14"/>
      <c r="AG380" s="14"/>
      <c r="AJ380" s="1"/>
    </row>
    <row r="381" spans="4:36" s="63" customFormat="1" ht="15">
      <c r="D381" s="1"/>
      <c r="E381" s="1"/>
      <c r="F381" s="1"/>
      <c r="G381" s="1"/>
      <c r="H381" s="1"/>
      <c r="I381" s="1"/>
      <c r="K381" s="1"/>
      <c r="M381" s="14"/>
      <c r="O381" s="14"/>
      <c r="Q381" s="1"/>
      <c r="S381" s="14"/>
      <c r="U381" s="14"/>
      <c r="W381" s="1"/>
      <c r="Y381" s="14"/>
      <c r="AA381" s="14"/>
      <c r="AC381" s="1"/>
      <c r="AE381" s="14"/>
      <c r="AG381" s="14"/>
      <c r="AJ381" s="1"/>
    </row>
    <row r="382" spans="4:36" s="63" customFormat="1" ht="15">
      <c r="D382" s="1"/>
      <c r="E382" s="1"/>
      <c r="F382" s="1"/>
      <c r="G382" s="1"/>
      <c r="H382" s="1"/>
      <c r="I382" s="1"/>
      <c r="K382" s="1"/>
      <c r="M382" s="14"/>
      <c r="O382" s="14"/>
      <c r="Q382" s="1"/>
      <c r="S382" s="14"/>
      <c r="U382" s="14"/>
      <c r="W382" s="1"/>
      <c r="Y382" s="14"/>
      <c r="AA382" s="14"/>
      <c r="AC382" s="1"/>
      <c r="AE382" s="14"/>
      <c r="AG382" s="14"/>
      <c r="AJ382" s="1"/>
    </row>
    <row r="383" spans="4:36" s="63" customFormat="1" ht="15">
      <c r="D383" s="1"/>
      <c r="E383" s="1"/>
      <c r="F383" s="1"/>
      <c r="G383" s="1"/>
      <c r="H383" s="1"/>
      <c r="I383" s="1"/>
      <c r="K383" s="1"/>
      <c r="M383" s="14"/>
      <c r="O383" s="14"/>
      <c r="Q383" s="1"/>
      <c r="S383" s="14"/>
      <c r="U383" s="14"/>
      <c r="W383" s="1"/>
      <c r="Y383" s="14"/>
      <c r="AA383" s="14"/>
      <c r="AC383" s="1"/>
      <c r="AE383" s="14"/>
      <c r="AG383" s="14"/>
      <c r="AJ383" s="1"/>
    </row>
    <row r="384" spans="4:36" s="63" customFormat="1" ht="15">
      <c r="D384" s="1"/>
      <c r="E384" s="1"/>
      <c r="F384" s="1"/>
      <c r="G384" s="1"/>
      <c r="H384" s="1"/>
      <c r="I384" s="1"/>
      <c r="K384" s="1"/>
      <c r="M384" s="14"/>
      <c r="O384" s="14"/>
      <c r="Q384" s="1"/>
      <c r="S384" s="14"/>
      <c r="U384" s="14"/>
      <c r="W384" s="1"/>
      <c r="Y384" s="14"/>
      <c r="AA384" s="14"/>
      <c r="AC384" s="1"/>
      <c r="AE384" s="14"/>
      <c r="AG384" s="14"/>
      <c r="AJ384" s="1"/>
    </row>
    <row r="385" spans="4:36" s="63" customFormat="1" ht="15">
      <c r="D385" s="1"/>
      <c r="E385" s="1"/>
      <c r="F385" s="1"/>
      <c r="G385" s="1"/>
      <c r="H385" s="1"/>
      <c r="I385" s="1"/>
      <c r="K385" s="1"/>
      <c r="M385" s="14"/>
      <c r="O385" s="14"/>
      <c r="Q385" s="1"/>
      <c r="S385" s="14"/>
      <c r="U385" s="14"/>
      <c r="W385" s="1"/>
      <c r="Y385" s="14"/>
      <c r="AA385" s="14"/>
      <c r="AC385" s="1"/>
      <c r="AE385" s="14"/>
      <c r="AG385" s="14"/>
      <c r="AJ385" s="1"/>
    </row>
    <row r="386" spans="4:36" s="63" customFormat="1" ht="15">
      <c r="D386" s="1"/>
      <c r="E386" s="1"/>
      <c r="F386" s="1"/>
      <c r="G386" s="1"/>
      <c r="H386" s="1"/>
      <c r="I386" s="1"/>
      <c r="K386" s="1"/>
      <c r="M386" s="14"/>
      <c r="O386" s="14"/>
      <c r="Q386" s="1"/>
      <c r="S386" s="14"/>
      <c r="U386" s="14"/>
      <c r="W386" s="1"/>
      <c r="Y386" s="14"/>
      <c r="AA386" s="14"/>
      <c r="AC386" s="1"/>
      <c r="AE386" s="14"/>
      <c r="AG386" s="14"/>
      <c r="AJ386" s="1"/>
    </row>
    <row r="387" spans="4:36" s="63" customFormat="1" ht="15">
      <c r="D387" s="1"/>
      <c r="E387" s="1"/>
      <c r="F387" s="1"/>
      <c r="G387" s="1"/>
      <c r="H387" s="1"/>
      <c r="I387" s="1"/>
      <c r="K387" s="1"/>
      <c r="M387" s="14"/>
      <c r="O387" s="14"/>
      <c r="Q387" s="1"/>
      <c r="S387" s="14"/>
      <c r="U387" s="14"/>
      <c r="W387" s="1"/>
      <c r="Y387" s="14"/>
      <c r="AA387" s="14"/>
      <c r="AC387" s="1"/>
      <c r="AE387" s="14"/>
      <c r="AG387" s="14"/>
      <c r="AJ387" s="1"/>
    </row>
    <row r="388" spans="4:36" s="63" customFormat="1" ht="15">
      <c r="D388" s="1"/>
      <c r="E388" s="1"/>
      <c r="F388" s="1"/>
      <c r="G388" s="1"/>
      <c r="H388" s="1"/>
      <c r="I388" s="1"/>
      <c r="K388" s="1"/>
      <c r="M388" s="14"/>
      <c r="O388" s="14"/>
      <c r="Q388" s="1"/>
      <c r="S388" s="14"/>
      <c r="U388" s="14"/>
      <c r="W388" s="1"/>
      <c r="Y388" s="14"/>
      <c r="AA388" s="14"/>
      <c r="AC388" s="1"/>
      <c r="AE388" s="14"/>
      <c r="AG388" s="14"/>
      <c r="AJ388" s="1"/>
    </row>
    <row r="389" spans="4:36" s="63" customFormat="1" ht="15">
      <c r="D389" s="1"/>
      <c r="E389" s="1"/>
      <c r="F389" s="1"/>
      <c r="G389" s="1"/>
      <c r="H389" s="1"/>
      <c r="I389" s="1"/>
      <c r="K389" s="1"/>
      <c r="M389" s="14"/>
      <c r="O389" s="14"/>
      <c r="Q389" s="1"/>
      <c r="S389" s="14"/>
      <c r="U389" s="14"/>
      <c r="W389" s="1"/>
      <c r="Y389" s="14"/>
      <c r="AA389" s="14"/>
      <c r="AC389" s="1"/>
      <c r="AE389" s="14"/>
      <c r="AG389" s="14"/>
      <c r="AJ389" s="1"/>
    </row>
    <row r="390" spans="4:36" s="63" customFormat="1" ht="15">
      <c r="D390" s="1"/>
      <c r="E390" s="1"/>
      <c r="F390" s="1"/>
      <c r="G390" s="1"/>
      <c r="H390" s="1"/>
      <c r="I390" s="1"/>
      <c r="K390" s="1"/>
      <c r="M390" s="14"/>
      <c r="O390" s="14"/>
      <c r="Q390" s="1"/>
      <c r="S390" s="14"/>
      <c r="U390" s="14"/>
      <c r="W390" s="1"/>
      <c r="Y390" s="14"/>
      <c r="AA390" s="14"/>
      <c r="AC390" s="1"/>
      <c r="AE390" s="14"/>
      <c r="AG390" s="14"/>
      <c r="AJ390" s="1"/>
    </row>
    <row r="391" spans="4:36" s="63" customFormat="1" ht="15">
      <c r="D391" s="1"/>
      <c r="E391" s="1"/>
      <c r="F391" s="1"/>
      <c r="G391" s="1"/>
      <c r="H391" s="1"/>
      <c r="I391" s="1"/>
      <c r="K391" s="1"/>
      <c r="M391" s="14"/>
      <c r="O391" s="14"/>
      <c r="Q391" s="1"/>
      <c r="S391" s="14"/>
      <c r="U391" s="14"/>
      <c r="W391" s="1"/>
      <c r="Y391" s="14"/>
      <c r="AA391" s="14"/>
      <c r="AC391" s="1"/>
      <c r="AE391" s="14"/>
      <c r="AG391" s="14"/>
      <c r="AJ391" s="1"/>
    </row>
    <row r="392" spans="4:36" s="63" customFormat="1" ht="15">
      <c r="D392" s="1"/>
      <c r="E392" s="1"/>
      <c r="F392" s="1"/>
      <c r="G392" s="1"/>
      <c r="H392" s="1"/>
      <c r="I392" s="1"/>
      <c r="K392" s="1"/>
      <c r="M392" s="14"/>
      <c r="O392" s="14"/>
      <c r="Q392" s="1"/>
      <c r="S392" s="14"/>
      <c r="U392" s="14"/>
      <c r="W392" s="1"/>
      <c r="Y392" s="14"/>
      <c r="AA392" s="14"/>
      <c r="AC392" s="1"/>
      <c r="AE392" s="14"/>
      <c r="AG392" s="14"/>
      <c r="AJ392" s="1"/>
    </row>
    <row r="393" spans="4:36" s="63" customFormat="1" ht="15">
      <c r="D393" s="1"/>
      <c r="E393" s="1"/>
      <c r="F393" s="1"/>
      <c r="G393" s="1"/>
      <c r="H393" s="1"/>
      <c r="I393" s="1"/>
      <c r="K393" s="1"/>
      <c r="M393" s="14"/>
      <c r="O393" s="14"/>
      <c r="Q393" s="1"/>
      <c r="S393" s="14"/>
      <c r="U393" s="14"/>
      <c r="W393" s="1"/>
      <c r="Y393" s="14"/>
      <c r="AA393" s="14"/>
      <c r="AC393" s="1"/>
      <c r="AE393" s="14"/>
      <c r="AG393" s="14"/>
      <c r="AJ393" s="1"/>
    </row>
    <row r="394" spans="4:36" s="63" customFormat="1" ht="15">
      <c r="D394" s="1"/>
      <c r="E394" s="1"/>
      <c r="F394" s="1"/>
      <c r="G394" s="1"/>
      <c r="H394" s="1"/>
      <c r="I394" s="1"/>
      <c r="K394" s="1"/>
      <c r="M394" s="14"/>
      <c r="O394" s="14"/>
      <c r="Q394" s="1"/>
      <c r="S394" s="14"/>
      <c r="U394" s="14"/>
      <c r="W394" s="1"/>
      <c r="Y394" s="14"/>
      <c r="AA394" s="14"/>
      <c r="AC394" s="1"/>
      <c r="AE394" s="14"/>
      <c r="AG394" s="14"/>
      <c r="AJ394" s="1"/>
    </row>
    <row r="395" spans="4:36" s="63" customFormat="1" ht="15">
      <c r="D395" s="1"/>
      <c r="E395" s="1"/>
      <c r="F395" s="1"/>
      <c r="G395" s="1"/>
      <c r="H395" s="1"/>
      <c r="I395" s="1"/>
      <c r="K395" s="1"/>
      <c r="M395" s="14"/>
      <c r="O395" s="14"/>
      <c r="Q395" s="1"/>
      <c r="S395" s="14"/>
      <c r="U395" s="14"/>
      <c r="W395" s="1"/>
      <c r="Y395" s="14"/>
      <c r="AA395" s="14"/>
      <c r="AC395" s="1"/>
      <c r="AE395" s="14"/>
      <c r="AG395" s="14"/>
      <c r="AJ395" s="1"/>
    </row>
    <row r="396" spans="4:36" s="63" customFormat="1" ht="15">
      <c r="D396" s="1"/>
      <c r="E396" s="1"/>
      <c r="F396" s="1"/>
      <c r="G396" s="1"/>
      <c r="H396" s="1"/>
      <c r="I396" s="1"/>
      <c r="K396" s="1"/>
      <c r="M396" s="14"/>
      <c r="O396" s="14"/>
      <c r="Q396" s="1"/>
      <c r="S396" s="14"/>
      <c r="U396" s="14"/>
      <c r="W396" s="1"/>
      <c r="Y396" s="14"/>
      <c r="AA396" s="14"/>
      <c r="AC396" s="1"/>
      <c r="AE396" s="14"/>
      <c r="AG396" s="14"/>
      <c r="AJ396" s="1"/>
    </row>
    <row r="397" spans="4:36" s="63" customFormat="1" ht="15">
      <c r="D397" s="1"/>
      <c r="E397" s="1"/>
      <c r="F397" s="1"/>
      <c r="G397" s="1"/>
      <c r="H397" s="1"/>
      <c r="I397" s="1"/>
      <c r="K397" s="1"/>
      <c r="M397" s="14"/>
      <c r="O397" s="14"/>
      <c r="Q397" s="1"/>
      <c r="S397" s="14"/>
      <c r="U397" s="14"/>
      <c r="W397" s="1"/>
      <c r="Y397" s="14"/>
      <c r="AA397" s="14"/>
      <c r="AC397" s="1"/>
      <c r="AE397" s="14"/>
      <c r="AG397" s="14"/>
      <c r="AJ397" s="1"/>
    </row>
    <row r="398" spans="4:36" s="63" customFormat="1" ht="15">
      <c r="D398" s="1"/>
      <c r="E398" s="1"/>
      <c r="F398" s="1"/>
      <c r="G398" s="1"/>
      <c r="H398" s="1"/>
      <c r="I398" s="1"/>
      <c r="K398" s="1"/>
      <c r="M398" s="14"/>
      <c r="O398" s="14"/>
      <c r="Q398" s="1"/>
      <c r="S398" s="14"/>
      <c r="U398" s="14"/>
      <c r="W398" s="1"/>
      <c r="Y398" s="14"/>
      <c r="AA398" s="14"/>
      <c r="AC398" s="1"/>
      <c r="AE398" s="14"/>
      <c r="AG398" s="14"/>
      <c r="AJ398" s="1"/>
    </row>
    <row r="399" spans="4:36" s="63" customFormat="1" ht="15">
      <c r="D399" s="1"/>
      <c r="E399" s="1"/>
      <c r="F399" s="1"/>
      <c r="G399" s="1"/>
      <c r="H399" s="1"/>
      <c r="I399" s="1"/>
      <c r="K399" s="1"/>
      <c r="M399" s="14"/>
      <c r="O399" s="14"/>
      <c r="Q399" s="1"/>
      <c r="S399" s="14"/>
      <c r="U399" s="14"/>
      <c r="W399" s="1"/>
      <c r="Y399" s="14"/>
      <c r="AA399" s="14"/>
      <c r="AC399" s="1"/>
      <c r="AE399" s="14"/>
      <c r="AG399" s="14"/>
      <c r="AJ399" s="1"/>
    </row>
    <row r="400" spans="4:36" s="63" customFormat="1" ht="15">
      <c r="D400" s="1"/>
      <c r="E400" s="1"/>
      <c r="F400" s="1"/>
      <c r="G400" s="1"/>
      <c r="H400" s="1"/>
      <c r="I400" s="1"/>
      <c r="K400" s="1"/>
      <c r="M400" s="14"/>
      <c r="O400" s="14"/>
      <c r="Q400" s="1"/>
      <c r="S400" s="14"/>
      <c r="U400" s="14"/>
      <c r="W400" s="1"/>
      <c r="Y400" s="14"/>
      <c r="AA400" s="14"/>
      <c r="AC400" s="1"/>
      <c r="AE400" s="14"/>
      <c r="AG400" s="14"/>
      <c r="AJ400" s="1"/>
    </row>
    <row r="401" spans="4:36" s="63" customFormat="1" ht="15">
      <c r="D401" s="1"/>
      <c r="E401" s="1"/>
      <c r="F401" s="1"/>
      <c r="G401" s="1"/>
      <c r="H401" s="1"/>
      <c r="I401" s="1"/>
      <c r="K401" s="1"/>
      <c r="M401" s="14"/>
      <c r="O401" s="14"/>
      <c r="Q401" s="1"/>
      <c r="S401" s="14"/>
      <c r="U401" s="14"/>
      <c r="W401" s="1"/>
      <c r="Y401" s="14"/>
      <c r="AA401" s="14"/>
      <c r="AC401" s="1"/>
      <c r="AE401" s="14"/>
      <c r="AG401" s="14"/>
      <c r="AJ401" s="1"/>
    </row>
    <row r="402" spans="4:36" s="63" customFormat="1" ht="15">
      <c r="D402" s="1"/>
      <c r="E402" s="1"/>
      <c r="F402" s="1"/>
      <c r="G402" s="1"/>
      <c r="H402" s="1"/>
      <c r="I402" s="1"/>
      <c r="K402" s="1"/>
      <c r="M402" s="14"/>
      <c r="O402" s="14"/>
      <c r="Q402" s="1"/>
      <c r="S402" s="14"/>
      <c r="U402" s="14"/>
      <c r="W402" s="1"/>
      <c r="Y402" s="14"/>
      <c r="AA402" s="14"/>
      <c r="AC402" s="1"/>
      <c r="AE402" s="14"/>
      <c r="AG402" s="14"/>
      <c r="AJ402" s="1"/>
    </row>
    <row r="403" spans="4:36" s="63" customFormat="1" ht="15">
      <c r="D403" s="1"/>
      <c r="E403" s="1"/>
      <c r="F403" s="1"/>
      <c r="G403" s="1"/>
      <c r="H403" s="1"/>
      <c r="I403" s="1"/>
      <c r="K403" s="1"/>
      <c r="M403" s="14"/>
      <c r="O403" s="14"/>
      <c r="Q403" s="1"/>
      <c r="S403" s="14"/>
      <c r="U403" s="14"/>
      <c r="W403" s="1"/>
      <c r="Y403" s="14"/>
      <c r="AA403" s="14"/>
      <c r="AC403" s="1"/>
      <c r="AE403" s="14"/>
      <c r="AG403" s="14"/>
      <c r="AJ403" s="1"/>
    </row>
    <row r="404" spans="4:36" s="63" customFormat="1" ht="15">
      <c r="D404" s="1"/>
      <c r="E404" s="1"/>
      <c r="F404" s="1"/>
      <c r="G404" s="1"/>
      <c r="H404" s="1"/>
      <c r="I404" s="1"/>
      <c r="K404" s="1"/>
      <c r="M404" s="14"/>
      <c r="O404" s="14"/>
      <c r="Q404" s="1"/>
      <c r="S404" s="14"/>
      <c r="U404" s="14"/>
      <c r="W404" s="1"/>
      <c r="Y404" s="14"/>
      <c r="AA404" s="14"/>
      <c r="AC404" s="1"/>
      <c r="AE404" s="14"/>
      <c r="AG404" s="14"/>
      <c r="AJ404" s="1"/>
    </row>
    <row r="405" spans="4:36" s="63" customFormat="1" ht="15">
      <c r="D405" s="1"/>
      <c r="E405" s="1"/>
      <c r="F405" s="1"/>
      <c r="G405" s="1"/>
      <c r="H405" s="1"/>
      <c r="I405" s="1"/>
      <c r="K405" s="1"/>
      <c r="M405" s="14"/>
      <c r="O405" s="14"/>
      <c r="Q405" s="1"/>
      <c r="S405" s="14"/>
      <c r="U405" s="14"/>
      <c r="W405" s="1"/>
      <c r="Y405" s="14"/>
      <c r="AA405" s="14"/>
      <c r="AC405" s="1"/>
      <c r="AE405" s="14"/>
      <c r="AG405" s="14"/>
      <c r="AJ405" s="1"/>
    </row>
    <row r="406" spans="4:36" s="63" customFormat="1" ht="15">
      <c r="D406" s="1"/>
      <c r="E406" s="1"/>
      <c r="F406" s="1"/>
      <c r="G406" s="1"/>
      <c r="H406" s="1"/>
      <c r="I406" s="1"/>
      <c r="K406" s="1"/>
      <c r="M406" s="14"/>
      <c r="O406" s="14"/>
      <c r="Q406" s="1"/>
      <c r="S406" s="14"/>
      <c r="U406" s="14"/>
      <c r="W406" s="1"/>
      <c r="Y406" s="14"/>
      <c r="AA406" s="14"/>
      <c r="AC406" s="1"/>
      <c r="AE406" s="14"/>
      <c r="AG406" s="14"/>
      <c r="AJ406" s="1"/>
    </row>
    <row r="407" spans="4:36" s="63" customFormat="1" ht="15">
      <c r="D407" s="1"/>
      <c r="E407" s="1"/>
      <c r="F407" s="1"/>
      <c r="G407" s="1"/>
      <c r="H407" s="1"/>
      <c r="I407" s="1"/>
      <c r="K407" s="1"/>
      <c r="M407" s="14"/>
      <c r="O407" s="14"/>
      <c r="Q407" s="1"/>
      <c r="S407" s="14"/>
      <c r="U407" s="14"/>
      <c r="W407" s="1"/>
      <c r="Y407" s="14"/>
      <c r="AA407" s="14"/>
      <c r="AC407" s="1"/>
      <c r="AE407" s="14"/>
      <c r="AG407" s="14"/>
      <c r="AJ407" s="1"/>
    </row>
    <row r="408" spans="4:36" s="63" customFormat="1" ht="15">
      <c r="D408" s="1"/>
      <c r="E408" s="1"/>
      <c r="F408" s="1"/>
      <c r="G408" s="1"/>
      <c r="H408" s="1"/>
      <c r="I408" s="1"/>
      <c r="K408" s="1"/>
      <c r="M408" s="14"/>
      <c r="O408" s="14"/>
      <c r="Q408" s="1"/>
      <c r="S408" s="14"/>
      <c r="U408" s="14"/>
      <c r="W408" s="1"/>
      <c r="Y408" s="14"/>
      <c r="AA408" s="14"/>
      <c r="AC408" s="1"/>
      <c r="AE408" s="14"/>
      <c r="AG408" s="14"/>
      <c r="AJ408" s="1"/>
    </row>
    <row r="409" spans="4:36" s="63" customFormat="1" ht="15">
      <c r="D409" s="1"/>
      <c r="E409" s="1"/>
      <c r="F409" s="1"/>
      <c r="G409" s="1"/>
      <c r="H409" s="1"/>
      <c r="I409" s="1"/>
      <c r="K409" s="1"/>
      <c r="M409" s="14"/>
      <c r="O409" s="14"/>
      <c r="Q409" s="1"/>
      <c r="S409" s="14"/>
      <c r="U409" s="14"/>
      <c r="W409" s="1"/>
      <c r="Y409" s="14"/>
      <c r="AA409" s="14"/>
      <c r="AC409" s="1"/>
      <c r="AE409" s="14"/>
      <c r="AG409" s="14"/>
      <c r="AJ409" s="1"/>
    </row>
    <row r="410" spans="4:36" s="63" customFormat="1" ht="15">
      <c r="D410" s="1"/>
      <c r="E410" s="1"/>
      <c r="F410" s="1"/>
      <c r="G410" s="1"/>
      <c r="H410" s="1"/>
      <c r="I410" s="1"/>
      <c r="K410" s="1"/>
      <c r="M410" s="14"/>
      <c r="O410" s="14"/>
      <c r="Q410" s="1"/>
      <c r="S410" s="14"/>
      <c r="U410" s="14"/>
      <c r="W410" s="1"/>
      <c r="Y410" s="14"/>
      <c r="AA410" s="14"/>
      <c r="AC410" s="1"/>
      <c r="AE410" s="14"/>
      <c r="AG410" s="14"/>
      <c r="AJ410" s="1"/>
    </row>
    <row r="411" spans="4:36" s="63" customFormat="1" ht="15">
      <c r="D411" s="1"/>
      <c r="E411" s="1"/>
      <c r="F411" s="1"/>
      <c r="G411" s="1"/>
      <c r="H411" s="1"/>
      <c r="I411" s="1"/>
      <c r="K411" s="1"/>
      <c r="M411" s="14"/>
      <c r="O411" s="14"/>
      <c r="Q411" s="1"/>
      <c r="S411" s="14"/>
      <c r="U411" s="14"/>
      <c r="W411" s="1"/>
      <c r="Y411" s="14"/>
      <c r="AA411" s="14"/>
      <c r="AC411" s="1"/>
      <c r="AE411" s="14"/>
      <c r="AG411" s="14"/>
      <c r="AJ411" s="1"/>
    </row>
    <row r="412" spans="4:36" s="63" customFormat="1" ht="15">
      <c r="D412" s="1"/>
      <c r="E412" s="1"/>
      <c r="F412" s="1"/>
      <c r="G412" s="1"/>
      <c r="H412" s="1"/>
      <c r="I412" s="1"/>
      <c r="K412" s="1"/>
      <c r="M412" s="14"/>
      <c r="O412" s="14"/>
      <c r="Q412" s="1"/>
      <c r="S412" s="14"/>
      <c r="U412" s="14"/>
      <c r="W412" s="1"/>
      <c r="Y412" s="14"/>
      <c r="AA412" s="14"/>
      <c r="AC412" s="1"/>
      <c r="AE412" s="14"/>
      <c r="AG412" s="14"/>
      <c r="AJ412" s="1"/>
    </row>
    <row r="413" spans="4:36" s="63" customFormat="1" ht="15">
      <c r="D413" s="1"/>
      <c r="E413" s="1"/>
      <c r="F413" s="1"/>
      <c r="G413" s="1"/>
      <c r="H413" s="1"/>
      <c r="I413" s="1"/>
      <c r="K413" s="1"/>
      <c r="M413" s="14"/>
      <c r="O413" s="14"/>
      <c r="Q413" s="1"/>
      <c r="S413" s="14"/>
      <c r="U413" s="14"/>
      <c r="W413" s="1"/>
      <c r="Y413" s="14"/>
      <c r="AA413" s="14"/>
      <c r="AC413" s="1"/>
      <c r="AE413" s="14"/>
      <c r="AG413" s="14"/>
      <c r="AJ413" s="1"/>
    </row>
    <row r="414" spans="4:36" s="63" customFormat="1" ht="15">
      <c r="D414" s="1"/>
      <c r="E414" s="1"/>
      <c r="F414" s="1"/>
      <c r="G414" s="1"/>
      <c r="H414" s="1"/>
      <c r="I414" s="1"/>
      <c r="K414" s="1"/>
      <c r="M414" s="14"/>
      <c r="O414" s="14"/>
      <c r="Q414" s="1"/>
      <c r="S414" s="14"/>
      <c r="U414" s="14"/>
      <c r="W414" s="1"/>
      <c r="Y414" s="14"/>
      <c r="AA414" s="14"/>
      <c r="AC414" s="1"/>
      <c r="AE414" s="14"/>
      <c r="AG414" s="14"/>
      <c r="AJ414" s="1"/>
    </row>
    <row r="415" spans="4:36" s="63" customFormat="1" ht="15">
      <c r="D415" s="1"/>
      <c r="E415" s="1"/>
      <c r="F415" s="1"/>
      <c r="G415" s="1"/>
      <c r="H415" s="1"/>
      <c r="I415" s="1"/>
      <c r="K415" s="1"/>
      <c r="M415" s="14"/>
      <c r="O415" s="14"/>
      <c r="Q415" s="1"/>
      <c r="S415" s="14"/>
      <c r="U415" s="14"/>
      <c r="W415" s="1"/>
      <c r="Y415" s="14"/>
      <c r="AA415" s="14"/>
      <c r="AC415" s="1"/>
      <c r="AE415" s="14"/>
      <c r="AG415" s="14"/>
      <c r="AJ415" s="1"/>
    </row>
    <row r="416" spans="4:36" s="63" customFormat="1" ht="15">
      <c r="D416" s="1"/>
      <c r="E416" s="1"/>
      <c r="F416" s="1"/>
      <c r="G416" s="1"/>
      <c r="H416" s="1"/>
      <c r="I416" s="1"/>
      <c r="K416" s="1"/>
      <c r="M416" s="14"/>
      <c r="O416" s="14"/>
      <c r="Q416" s="1"/>
      <c r="S416" s="14"/>
      <c r="U416" s="14"/>
      <c r="W416" s="1"/>
      <c r="Y416" s="14"/>
      <c r="AA416" s="14"/>
      <c r="AC416" s="1"/>
      <c r="AE416" s="14"/>
      <c r="AG416" s="14"/>
      <c r="AJ416" s="1"/>
    </row>
    <row r="417" spans="4:36" s="63" customFormat="1" ht="15">
      <c r="D417" s="1"/>
      <c r="E417" s="1"/>
      <c r="F417" s="1"/>
      <c r="G417" s="1"/>
      <c r="H417" s="1"/>
      <c r="I417" s="1"/>
      <c r="K417" s="1"/>
      <c r="M417" s="14"/>
      <c r="O417" s="14"/>
      <c r="Q417" s="1"/>
      <c r="S417" s="14"/>
      <c r="U417" s="14"/>
      <c r="W417" s="1"/>
      <c r="Y417" s="14"/>
      <c r="AA417" s="14"/>
      <c r="AC417" s="1"/>
      <c r="AE417" s="14"/>
      <c r="AG417" s="14"/>
      <c r="AJ417" s="1"/>
    </row>
    <row r="418" spans="4:36" s="63" customFormat="1" ht="15">
      <c r="D418" s="1"/>
      <c r="E418" s="1"/>
      <c r="F418" s="1"/>
      <c r="G418" s="1"/>
      <c r="H418" s="1"/>
      <c r="I418" s="1"/>
      <c r="K418" s="1"/>
      <c r="M418" s="14"/>
      <c r="O418" s="14"/>
      <c r="Q418" s="1"/>
      <c r="S418" s="14"/>
      <c r="U418" s="14"/>
      <c r="W418" s="1"/>
      <c r="Y418" s="14"/>
      <c r="AA418" s="14"/>
      <c r="AC418" s="1"/>
      <c r="AE418" s="14"/>
      <c r="AG418" s="14"/>
      <c r="AJ418" s="1"/>
    </row>
    <row r="419" spans="4:36" s="63" customFormat="1" ht="15">
      <c r="D419" s="1"/>
      <c r="E419" s="1"/>
      <c r="F419" s="1"/>
      <c r="G419" s="1"/>
      <c r="H419" s="1"/>
      <c r="I419" s="1"/>
      <c r="K419" s="1"/>
      <c r="M419" s="14"/>
      <c r="O419" s="14"/>
      <c r="Q419" s="1"/>
      <c r="S419" s="14"/>
      <c r="U419" s="14"/>
      <c r="W419" s="1"/>
      <c r="Y419" s="14"/>
      <c r="AA419" s="14"/>
      <c r="AC419" s="1"/>
      <c r="AE419" s="14"/>
      <c r="AG419" s="14"/>
      <c r="AJ419" s="1"/>
    </row>
    <row r="420" spans="4:36" s="63" customFormat="1" ht="15">
      <c r="D420" s="1"/>
      <c r="E420" s="1"/>
      <c r="F420" s="1"/>
      <c r="G420" s="1"/>
      <c r="H420" s="1"/>
      <c r="I420" s="1"/>
      <c r="K420" s="1"/>
      <c r="M420" s="14"/>
      <c r="O420" s="14"/>
      <c r="Q420" s="1"/>
      <c r="S420" s="14"/>
      <c r="U420" s="14"/>
      <c r="W420" s="1"/>
      <c r="Y420" s="14"/>
      <c r="AA420" s="14"/>
      <c r="AC420" s="1"/>
      <c r="AE420" s="14"/>
      <c r="AG420" s="14"/>
      <c r="AJ420" s="1"/>
    </row>
    <row r="421" spans="4:36" s="63" customFormat="1" ht="15">
      <c r="D421" s="1"/>
      <c r="E421" s="1"/>
      <c r="F421" s="1"/>
      <c r="G421" s="1"/>
      <c r="H421" s="1"/>
      <c r="I421" s="1"/>
      <c r="K421" s="1"/>
      <c r="M421" s="14"/>
      <c r="O421" s="14"/>
      <c r="Q421" s="1"/>
      <c r="S421" s="14"/>
      <c r="U421" s="14"/>
      <c r="W421" s="1"/>
      <c r="Y421" s="14"/>
      <c r="AA421" s="14"/>
      <c r="AC421" s="1"/>
      <c r="AE421" s="14"/>
      <c r="AG421" s="14"/>
      <c r="AJ421" s="1"/>
    </row>
    <row r="422" spans="4:36" s="63" customFormat="1" ht="15">
      <c r="D422" s="1"/>
      <c r="E422" s="1"/>
      <c r="F422" s="1"/>
      <c r="G422" s="1"/>
      <c r="H422" s="1"/>
      <c r="I422" s="1"/>
      <c r="K422" s="1"/>
      <c r="M422" s="14"/>
      <c r="O422" s="14"/>
      <c r="Q422" s="1"/>
      <c r="S422" s="14"/>
      <c r="U422" s="14"/>
      <c r="W422" s="1"/>
      <c r="Y422" s="14"/>
      <c r="AA422" s="14"/>
      <c r="AC422" s="1"/>
      <c r="AE422" s="14"/>
      <c r="AG422" s="14"/>
      <c r="AJ422" s="1"/>
    </row>
    <row r="423" spans="4:36" s="63" customFormat="1" ht="15">
      <c r="D423" s="1"/>
      <c r="E423" s="1"/>
      <c r="F423" s="1"/>
      <c r="G423" s="1"/>
      <c r="H423" s="1"/>
      <c r="I423" s="1"/>
      <c r="K423" s="1"/>
      <c r="M423" s="14"/>
      <c r="O423" s="14"/>
      <c r="Q423" s="1"/>
      <c r="S423" s="14"/>
      <c r="U423" s="14"/>
      <c r="W423" s="1"/>
      <c r="Y423" s="14"/>
      <c r="AA423" s="14"/>
      <c r="AC423" s="1"/>
      <c r="AE423" s="14"/>
      <c r="AG423" s="14"/>
      <c r="AJ423" s="1"/>
    </row>
    <row r="424" spans="4:36" s="63" customFormat="1" ht="15">
      <c r="D424" s="1"/>
      <c r="E424" s="1"/>
      <c r="F424" s="1"/>
      <c r="G424" s="1"/>
      <c r="H424" s="1"/>
      <c r="I424" s="1"/>
      <c r="K424" s="1"/>
      <c r="M424" s="14"/>
      <c r="O424" s="14"/>
      <c r="Q424" s="1"/>
      <c r="S424" s="14"/>
      <c r="U424" s="14"/>
      <c r="W424" s="1"/>
      <c r="Y424" s="14"/>
      <c r="AA424" s="14"/>
      <c r="AC424" s="1"/>
      <c r="AE424" s="14"/>
      <c r="AG424" s="14"/>
      <c r="AJ424" s="1"/>
    </row>
    <row r="425" spans="4:36" s="63" customFormat="1" ht="15">
      <c r="D425" s="1"/>
      <c r="E425" s="1"/>
      <c r="F425" s="1"/>
      <c r="G425" s="1"/>
      <c r="H425" s="1"/>
      <c r="I425" s="1"/>
      <c r="K425" s="1"/>
      <c r="M425" s="14"/>
      <c r="O425" s="14"/>
      <c r="Q425" s="1"/>
      <c r="S425" s="14"/>
      <c r="U425" s="14"/>
      <c r="W425" s="1"/>
      <c r="Y425" s="14"/>
      <c r="AA425" s="14"/>
      <c r="AC425" s="1"/>
      <c r="AE425" s="14"/>
      <c r="AG425" s="14"/>
      <c r="AJ425" s="1"/>
    </row>
    <row r="426" spans="4:36" s="63" customFormat="1" ht="15">
      <c r="D426" s="1"/>
      <c r="E426" s="1"/>
      <c r="F426" s="1"/>
      <c r="G426" s="1"/>
      <c r="H426" s="1"/>
      <c r="I426" s="1"/>
      <c r="K426" s="1"/>
      <c r="M426" s="14"/>
      <c r="O426" s="14"/>
      <c r="Q426" s="1"/>
      <c r="S426" s="14"/>
      <c r="U426" s="14"/>
      <c r="W426" s="1"/>
      <c r="Y426" s="14"/>
      <c r="AA426" s="14"/>
      <c r="AC426" s="1"/>
      <c r="AE426" s="14"/>
      <c r="AG426" s="14"/>
      <c r="AJ426" s="1"/>
    </row>
    <row r="427" spans="4:36" s="63" customFormat="1" ht="15">
      <c r="D427" s="1"/>
      <c r="E427" s="1"/>
      <c r="F427" s="1"/>
      <c r="G427" s="1"/>
      <c r="H427" s="1"/>
      <c r="I427" s="1"/>
      <c r="K427" s="1"/>
      <c r="M427" s="14"/>
      <c r="O427" s="14"/>
      <c r="Q427" s="1"/>
      <c r="S427" s="14"/>
      <c r="U427" s="14"/>
      <c r="W427" s="1"/>
      <c r="Y427" s="14"/>
      <c r="AA427" s="14"/>
      <c r="AC427" s="1"/>
      <c r="AE427" s="14"/>
      <c r="AG427" s="14"/>
      <c r="AJ427" s="1"/>
    </row>
    <row r="428" spans="4:36" s="63" customFormat="1" ht="15">
      <c r="D428" s="1"/>
      <c r="E428" s="1"/>
      <c r="F428" s="1"/>
      <c r="G428" s="1"/>
      <c r="H428" s="1"/>
      <c r="I428" s="1"/>
      <c r="K428" s="1"/>
      <c r="M428" s="14"/>
      <c r="O428" s="14"/>
      <c r="Q428" s="1"/>
      <c r="S428" s="14"/>
      <c r="U428" s="14"/>
      <c r="W428" s="1"/>
      <c r="Y428" s="14"/>
      <c r="AA428" s="14"/>
      <c r="AC428" s="1"/>
      <c r="AE428" s="14"/>
      <c r="AG428" s="14"/>
      <c r="AJ428" s="1"/>
    </row>
    <row r="429" spans="4:36" s="63" customFormat="1" ht="15">
      <c r="D429" s="1"/>
      <c r="E429" s="1"/>
      <c r="F429" s="1"/>
      <c r="G429" s="1"/>
      <c r="H429" s="1"/>
      <c r="I429" s="1"/>
      <c r="K429" s="1"/>
      <c r="M429" s="14"/>
      <c r="O429" s="14"/>
      <c r="Q429" s="1"/>
      <c r="S429" s="14"/>
      <c r="U429" s="14"/>
      <c r="W429" s="1"/>
      <c r="Y429" s="14"/>
      <c r="AA429" s="14"/>
      <c r="AC429" s="1"/>
      <c r="AE429" s="14"/>
      <c r="AG429" s="14"/>
      <c r="AJ429" s="1"/>
    </row>
    <row r="430" spans="4:36" s="63" customFormat="1" ht="15">
      <c r="D430" s="1"/>
      <c r="E430" s="1"/>
      <c r="F430" s="1"/>
      <c r="G430" s="1"/>
      <c r="H430" s="1"/>
      <c r="I430" s="1"/>
      <c r="K430" s="1"/>
      <c r="M430" s="14"/>
      <c r="O430" s="14"/>
      <c r="Q430" s="1"/>
      <c r="S430" s="14"/>
      <c r="U430" s="14"/>
      <c r="W430" s="1"/>
      <c r="Y430" s="14"/>
      <c r="AA430" s="14"/>
      <c r="AC430" s="1"/>
      <c r="AE430" s="14"/>
      <c r="AG430" s="14"/>
      <c r="AJ430" s="1"/>
    </row>
    <row r="431" spans="4:36" s="63" customFormat="1" ht="15">
      <c r="D431" s="1"/>
      <c r="E431" s="1"/>
      <c r="F431" s="1"/>
      <c r="G431" s="1"/>
      <c r="H431" s="1"/>
      <c r="I431" s="1"/>
      <c r="K431" s="1"/>
      <c r="M431" s="14"/>
      <c r="O431" s="14"/>
      <c r="Q431" s="1"/>
      <c r="S431" s="14"/>
      <c r="U431" s="14"/>
      <c r="W431" s="1"/>
      <c r="Y431" s="14"/>
      <c r="AA431" s="14"/>
      <c r="AC431" s="1"/>
      <c r="AE431" s="14"/>
      <c r="AG431" s="14"/>
      <c r="AJ431" s="1"/>
    </row>
    <row r="432" spans="4:36" s="63" customFormat="1" ht="15">
      <c r="D432" s="1"/>
      <c r="E432" s="1"/>
      <c r="F432" s="1"/>
      <c r="G432" s="1"/>
      <c r="H432" s="1"/>
      <c r="I432" s="1"/>
      <c r="K432" s="1"/>
      <c r="M432" s="14"/>
      <c r="O432" s="14"/>
      <c r="Q432" s="1"/>
      <c r="S432" s="14"/>
      <c r="U432" s="14"/>
      <c r="W432" s="1"/>
      <c r="Y432" s="14"/>
      <c r="AA432" s="14"/>
      <c r="AC432" s="1"/>
      <c r="AE432" s="14"/>
      <c r="AG432" s="14"/>
      <c r="AJ432" s="1"/>
    </row>
    <row r="433" spans="4:36" s="63" customFormat="1" ht="15">
      <c r="D433" s="1"/>
      <c r="E433" s="1"/>
      <c r="F433" s="1"/>
      <c r="G433" s="1"/>
      <c r="H433" s="1"/>
      <c r="I433" s="1"/>
      <c r="K433" s="1"/>
      <c r="M433" s="14"/>
      <c r="O433" s="14"/>
      <c r="Q433" s="1"/>
      <c r="S433" s="14"/>
      <c r="U433" s="14"/>
      <c r="W433" s="1"/>
      <c r="Y433" s="14"/>
      <c r="AA433" s="14"/>
      <c r="AC433" s="1"/>
      <c r="AE433" s="14"/>
      <c r="AG433" s="14"/>
      <c r="AJ433" s="1"/>
    </row>
    <row r="434" spans="4:36" s="63" customFormat="1" ht="15">
      <c r="D434" s="1"/>
      <c r="E434" s="1"/>
      <c r="F434" s="1"/>
      <c r="G434" s="1"/>
      <c r="H434" s="1"/>
      <c r="I434" s="1"/>
      <c r="K434" s="1"/>
      <c r="M434" s="14"/>
      <c r="O434" s="14"/>
      <c r="Q434" s="1"/>
      <c r="S434" s="14"/>
      <c r="U434" s="14"/>
      <c r="W434" s="1"/>
      <c r="Y434" s="14"/>
      <c r="AA434" s="14"/>
      <c r="AC434" s="1"/>
      <c r="AE434" s="14"/>
      <c r="AG434" s="14"/>
      <c r="AJ434" s="1"/>
    </row>
    <row r="435" spans="4:36" s="63" customFormat="1" ht="15">
      <c r="D435" s="1"/>
      <c r="E435" s="1"/>
      <c r="F435" s="1"/>
      <c r="G435" s="1"/>
      <c r="H435" s="1"/>
      <c r="I435" s="1"/>
      <c r="K435" s="1"/>
      <c r="M435" s="14"/>
      <c r="O435" s="14"/>
      <c r="Q435" s="1"/>
      <c r="S435" s="14"/>
      <c r="U435" s="14"/>
      <c r="W435" s="1"/>
      <c r="Y435" s="14"/>
      <c r="AA435" s="14"/>
      <c r="AC435" s="1"/>
      <c r="AE435" s="14"/>
      <c r="AG435" s="14"/>
      <c r="AJ435" s="1"/>
    </row>
    <row r="436" spans="4:36" s="63" customFormat="1" ht="15">
      <c r="D436" s="1"/>
      <c r="E436" s="1"/>
      <c r="F436" s="1"/>
      <c r="G436" s="1"/>
      <c r="H436" s="1"/>
      <c r="I436" s="1"/>
      <c r="K436" s="1"/>
      <c r="M436" s="14"/>
      <c r="O436" s="14"/>
      <c r="Q436" s="1"/>
      <c r="S436" s="14"/>
      <c r="U436" s="14"/>
      <c r="W436" s="1"/>
      <c r="Y436" s="14"/>
      <c r="AA436" s="14"/>
      <c r="AC436" s="1"/>
      <c r="AE436" s="14"/>
      <c r="AG436" s="14"/>
      <c r="AJ436" s="1"/>
    </row>
    <row r="437" spans="4:36" s="63" customFormat="1" ht="15">
      <c r="D437" s="1"/>
      <c r="E437" s="1"/>
      <c r="F437" s="1"/>
      <c r="G437" s="1"/>
      <c r="H437" s="1"/>
      <c r="I437" s="1"/>
      <c r="K437" s="1"/>
      <c r="M437" s="14"/>
      <c r="O437" s="14"/>
      <c r="Q437" s="1"/>
      <c r="S437" s="14"/>
      <c r="U437" s="14"/>
      <c r="W437" s="1"/>
      <c r="Y437" s="14"/>
      <c r="AA437" s="14"/>
      <c r="AC437" s="1"/>
      <c r="AE437" s="14"/>
      <c r="AG437" s="14"/>
      <c r="AJ437" s="1"/>
    </row>
    <row r="438" spans="4:36" s="63" customFormat="1" ht="15">
      <c r="D438" s="1"/>
      <c r="E438" s="1"/>
      <c r="F438" s="1"/>
      <c r="G438" s="1"/>
      <c r="H438" s="1"/>
      <c r="I438" s="1"/>
      <c r="K438" s="1"/>
      <c r="M438" s="14"/>
      <c r="O438" s="14"/>
      <c r="Q438" s="1"/>
      <c r="S438" s="14"/>
      <c r="U438" s="14"/>
      <c r="W438" s="1"/>
      <c r="Y438" s="14"/>
      <c r="AA438" s="14"/>
      <c r="AC438" s="1"/>
      <c r="AE438" s="14"/>
      <c r="AG438" s="14"/>
      <c r="AJ438" s="1"/>
    </row>
    <row r="439" spans="4:36" s="63" customFormat="1" ht="15">
      <c r="D439" s="1"/>
      <c r="E439" s="1"/>
      <c r="F439" s="1"/>
      <c r="G439" s="1"/>
      <c r="H439" s="1"/>
      <c r="I439" s="1"/>
      <c r="K439" s="1"/>
      <c r="M439" s="14"/>
      <c r="O439" s="14"/>
      <c r="Q439" s="1"/>
      <c r="S439" s="14"/>
      <c r="U439" s="14"/>
      <c r="W439" s="1"/>
      <c r="Y439" s="14"/>
      <c r="AA439" s="14"/>
      <c r="AC439" s="1"/>
      <c r="AE439" s="14"/>
      <c r="AG439" s="14"/>
      <c r="AJ439" s="1"/>
    </row>
    <row r="440" spans="4:36" s="63" customFormat="1" ht="15">
      <c r="D440" s="1"/>
      <c r="E440" s="1"/>
      <c r="F440" s="1"/>
      <c r="G440" s="1"/>
      <c r="H440" s="1"/>
      <c r="I440" s="1"/>
      <c r="K440" s="1"/>
      <c r="M440" s="14"/>
      <c r="O440" s="14"/>
      <c r="Q440" s="1"/>
      <c r="S440" s="14"/>
      <c r="U440" s="14"/>
      <c r="W440" s="1"/>
      <c r="Y440" s="14"/>
      <c r="AA440" s="14"/>
      <c r="AC440" s="1"/>
      <c r="AE440" s="14"/>
      <c r="AG440" s="14"/>
      <c r="AJ440" s="1"/>
    </row>
    <row r="441" spans="4:36" s="63" customFormat="1" ht="15">
      <c r="D441" s="1"/>
      <c r="E441" s="1"/>
      <c r="F441" s="1"/>
      <c r="G441" s="1"/>
      <c r="H441" s="1"/>
      <c r="I441" s="1"/>
      <c r="K441" s="1"/>
      <c r="M441" s="14"/>
      <c r="O441" s="14"/>
      <c r="Q441" s="1"/>
      <c r="S441" s="14"/>
      <c r="U441" s="14"/>
      <c r="W441" s="1"/>
      <c r="Y441" s="14"/>
      <c r="AA441" s="14"/>
      <c r="AC441" s="1"/>
      <c r="AE441" s="14"/>
      <c r="AG441" s="14"/>
      <c r="AJ441" s="1"/>
    </row>
    <row r="442" spans="4:36" s="63" customFormat="1" ht="15">
      <c r="D442" s="1"/>
      <c r="E442" s="1"/>
      <c r="F442" s="1"/>
      <c r="G442" s="1"/>
      <c r="H442" s="1"/>
      <c r="I442" s="1"/>
      <c r="K442" s="1"/>
      <c r="M442" s="14"/>
      <c r="O442" s="14"/>
      <c r="Q442" s="1"/>
      <c r="S442" s="14"/>
      <c r="U442" s="14"/>
      <c r="W442" s="1"/>
      <c r="Y442" s="14"/>
      <c r="AA442" s="14"/>
      <c r="AC442" s="1"/>
      <c r="AE442" s="14"/>
      <c r="AG442" s="14"/>
      <c r="AJ442" s="1"/>
    </row>
    <row r="443" spans="4:36" s="63" customFormat="1" ht="15">
      <c r="D443" s="1"/>
      <c r="E443" s="1"/>
      <c r="F443" s="1"/>
      <c r="G443" s="1"/>
      <c r="H443" s="1"/>
      <c r="I443" s="1"/>
      <c r="K443" s="1"/>
      <c r="M443" s="14"/>
      <c r="O443" s="14"/>
      <c r="Q443" s="1"/>
      <c r="S443" s="14"/>
      <c r="U443" s="14"/>
      <c r="W443" s="1"/>
      <c r="Y443" s="14"/>
      <c r="AA443" s="14"/>
      <c r="AC443" s="1"/>
      <c r="AE443" s="14"/>
      <c r="AG443" s="14"/>
      <c r="AJ443" s="1"/>
    </row>
    <row r="444" spans="4:36" s="63" customFormat="1" ht="15">
      <c r="D444" s="1"/>
      <c r="E444" s="1"/>
      <c r="F444" s="1"/>
      <c r="G444" s="1"/>
      <c r="H444" s="1"/>
      <c r="I444" s="1"/>
      <c r="K444" s="1"/>
      <c r="M444" s="14"/>
      <c r="O444" s="14"/>
      <c r="Q444" s="1"/>
      <c r="S444" s="14"/>
      <c r="U444" s="14"/>
      <c r="W444" s="1"/>
      <c r="Y444" s="14"/>
      <c r="AA444" s="14"/>
      <c r="AC444" s="1"/>
      <c r="AE444" s="14"/>
      <c r="AG444" s="14"/>
      <c r="AJ444" s="1"/>
    </row>
    <row r="445" spans="4:36" s="63" customFormat="1" ht="15">
      <c r="D445" s="1"/>
      <c r="E445" s="1"/>
      <c r="F445" s="1"/>
      <c r="G445" s="1"/>
      <c r="H445" s="1"/>
      <c r="I445" s="1"/>
      <c r="K445" s="1"/>
      <c r="M445" s="14"/>
      <c r="O445" s="14"/>
      <c r="Q445" s="1"/>
      <c r="S445" s="14"/>
      <c r="U445" s="14"/>
      <c r="W445" s="1"/>
      <c r="Y445" s="14"/>
      <c r="AA445" s="14"/>
      <c r="AC445" s="1"/>
      <c r="AE445" s="14"/>
      <c r="AG445" s="14"/>
      <c r="AJ445" s="1"/>
    </row>
    <row r="446" spans="4:36" s="63" customFormat="1" ht="15">
      <c r="D446" s="1"/>
      <c r="E446" s="1"/>
      <c r="F446" s="1"/>
      <c r="G446" s="1"/>
      <c r="H446" s="1"/>
      <c r="I446" s="1"/>
      <c r="K446" s="1"/>
      <c r="M446" s="14"/>
      <c r="O446" s="14"/>
      <c r="Q446" s="1"/>
      <c r="S446" s="14"/>
      <c r="U446" s="14"/>
      <c r="W446" s="1"/>
      <c r="Y446" s="14"/>
      <c r="AA446" s="14"/>
      <c r="AC446" s="1"/>
      <c r="AE446" s="14"/>
      <c r="AG446" s="14"/>
      <c r="AJ446" s="1"/>
    </row>
    <row r="447" spans="4:36" s="63" customFormat="1" ht="15">
      <c r="D447" s="1"/>
      <c r="E447" s="1"/>
      <c r="F447" s="1"/>
      <c r="G447" s="1"/>
      <c r="H447" s="1"/>
      <c r="I447" s="1"/>
      <c r="K447" s="1"/>
      <c r="M447" s="14"/>
      <c r="O447" s="14"/>
      <c r="Q447" s="1"/>
      <c r="S447" s="14"/>
      <c r="U447" s="14"/>
      <c r="W447" s="1"/>
      <c r="Y447" s="14"/>
      <c r="AA447" s="14"/>
      <c r="AC447" s="1"/>
      <c r="AE447" s="14"/>
      <c r="AG447" s="14"/>
      <c r="AJ447" s="1"/>
    </row>
    <row r="448" spans="4:36" s="63" customFormat="1" ht="15">
      <c r="D448" s="1"/>
      <c r="E448" s="1"/>
      <c r="F448" s="1"/>
      <c r="G448" s="1"/>
      <c r="H448" s="1"/>
      <c r="I448" s="1"/>
      <c r="K448" s="1"/>
      <c r="M448" s="14"/>
      <c r="O448" s="14"/>
      <c r="Q448" s="1"/>
      <c r="S448" s="14"/>
      <c r="U448" s="14"/>
      <c r="W448" s="1"/>
      <c r="Y448" s="14"/>
      <c r="AA448" s="14"/>
      <c r="AC448" s="1"/>
      <c r="AE448" s="14"/>
      <c r="AG448" s="14"/>
      <c r="AJ448" s="1"/>
    </row>
    <row r="449" spans="4:36" s="63" customFormat="1" ht="15">
      <c r="D449" s="1"/>
      <c r="E449" s="1"/>
      <c r="F449" s="1"/>
      <c r="G449" s="1"/>
      <c r="H449" s="1"/>
      <c r="I449" s="1"/>
      <c r="K449" s="1"/>
      <c r="M449" s="14"/>
      <c r="O449" s="14"/>
      <c r="Q449" s="1"/>
      <c r="S449" s="14"/>
      <c r="U449" s="14"/>
      <c r="W449" s="1"/>
      <c r="Y449" s="14"/>
      <c r="AA449" s="14"/>
      <c r="AC449" s="1"/>
      <c r="AE449" s="14"/>
      <c r="AG449" s="14"/>
      <c r="AJ449" s="1"/>
    </row>
    <row r="450" spans="4:36" s="63" customFormat="1" ht="15">
      <c r="D450" s="1"/>
      <c r="E450" s="1"/>
      <c r="F450" s="1"/>
      <c r="G450" s="1"/>
      <c r="H450" s="1"/>
      <c r="I450" s="1"/>
      <c r="K450" s="1"/>
      <c r="M450" s="14"/>
      <c r="O450" s="14"/>
      <c r="Q450" s="1"/>
      <c r="S450" s="14"/>
      <c r="U450" s="14"/>
      <c r="W450" s="1"/>
      <c r="Y450" s="14"/>
      <c r="AA450" s="14"/>
      <c r="AC450" s="1"/>
      <c r="AE450" s="14"/>
      <c r="AG450" s="14"/>
      <c r="AJ450" s="1"/>
    </row>
    <row r="451" spans="4:36" s="63" customFormat="1" ht="15">
      <c r="D451" s="1"/>
      <c r="E451" s="1"/>
      <c r="F451" s="1"/>
      <c r="G451" s="1"/>
      <c r="H451" s="1"/>
      <c r="I451" s="1"/>
      <c r="K451" s="1"/>
      <c r="M451" s="14"/>
      <c r="O451" s="14"/>
      <c r="Q451" s="1"/>
      <c r="S451" s="14"/>
      <c r="U451" s="14"/>
      <c r="W451" s="1"/>
      <c r="Y451" s="14"/>
      <c r="AA451" s="14"/>
      <c r="AC451" s="1"/>
      <c r="AE451" s="14"/>
      <c r="AG451" s="14"/>
      <c r="AJ451" s="1"/>
    </row>
    <row r="452" spans="4:36" s="63" customFormat="1" ht="15">
      <c r="D452" s="1"/>
      <c r="E452" s="1"/>
      <c r="F452" s="1"/>
      <c r="G452" s="1"/>
      <c r="H452" s="1"/>
      <c r="I452" s="1"/>
      <c r="K452" s="1"/>
      <c r="M452" s="14"/>
      <c r="O452" s="14"/>
      <c r="Q452" s="1"/>
      <c r="S452" s="14"/>
      <c r="U452" s="14"/>
      <c r="W452" s="1"/>
      <c r="Y452" s="14"/>
      <c r="AA452" s="14"/>
      <c r="AC452" s="1"/>
      <c r="AE452" s="14"/>
      <c r="AG452" s="14"/>
      <c r="AJ452" s="1"/>
    </row>
    <row r="453" spans="4:36" s="63" customFormat="1" ht="15">
      <c r="D453" s="1"/>
      <c r="E453" s="1"/>
      <c r="F453" s="1"/>
      <c r="G453" s="1"/>
      <c r="H453" s="1"/>
      <c r="I453" s="1"/>
      <c r="K453" s="1"/>
      <c r="M453" s="14"/>
      <c r="O453" s="14"/>
      <c r="Q453" s="1"/>
      <c r="S453" s="14"/>
      <c r="U453" s="14"/>
      <c r="W453" s="1"/>
      <c r="Y453" s="14"/>
      <c r="AA453" s="14"/>
      <c r="AC453" s="1"/>
      <c r="AE453" s="14"/>
      <c r="AG453" s="14"/>
      <c r="AJ453" s="1"/>
    </row>
    <row r="454" spans="4:36" s="63" customFormat="1" ht="15">
      <c r="D454" s="1"/>
      <c r="E454" s="1"/>
      <c r="F454" s="1"/>
      <c r="G454" s="1"/>
      <c r="H454" s="1"/>
      <c r="I454" s="1"/>
      <c r="K454" s="1"/>
      <c r="M454" s="14"/>
      <c r="O454" s="14"/>
      <c r="Q454" s="1"/>
      <c r="S454" s="14"/>
      <c r="U454" s="14"/>
      <c r="W454" s="1"/>
      <c r="Y454" s="14"/>
      <c r="AA454" s="14"/>
      <c r="AC454" s="1"/>
      <c r="AE454" s="14"/>
      <c r="AG454" s="14"/>
      <c r="AJ454" s="1"/>
    </row>
    <row r="455" spans="4:36" s="63" customFormat="1" ht="15">
      <c r="D455" s="1"/>
      <c r="E455" s="1"/>
      <c r="F455" s="1"/>
      <c r="G455" s="1"/>
      <c r="H455" s="1"/>
      <c r="I455" s="1"/>
      <c r="K455" s="1"/>
      <c r="M455" s="14"/>
      <c r="O455" s="14"/>
      <c r="Q455" s="1"/>
      <c r="S455" s="14"/>
      <c r="U455" s="14"/>
      <c r="W455" s="1"/>
      <c r="Y455" s="14"/>
      <c r="AA455" s="14"/>
      <c r="AC455" s="1"/>
      <c r="AE455" s="14"/>
      <c r="AG455" s="14"/>
      <c r="AJ455" s="1"/>
    </row>
    <row r="456" spans="4:36" s="63" customFormat="1" ht="15">
      <c r="D456" s="1"/>
      <c r="E456" s="1"/>
      <c r="F456" s="1"/>
      <c r="G456" s="1"/>
      <c r="H456" s="1"/>
      <c r="I456" s="1"/>
      <c r="K456" s="1"/>
      <c r="M456" s="14"/>
      <c r="O456" s="14"/>
      <c r="Q456" s="1"/>
      <c r="S456" s="14"/>
      <c r="U456" s="14"/>
      <c r="W456" s="1"/>
      <c r="Y456" s="14"/>
      <c r="AA456" s="14"/>
      <c r="AC456" s="1"/>
      <c r="AE456" s="14"/>
      <c r="AG456" s="14"/>
      <c r="AJ456" s="1"/>
    </row>
    <row r="457" spans="4:36" s="63" customFormat="1" ht="15">
      <c r="D457" s="1"/>
      <c r="E457" s="1"/>
      <c r="F457" s="1"/>
      <c r="G457" s="1"/>
      <c r="H457" s="1"/>
      <c r="I457" s="1"/>
      <c r="K457" s="1"/>
      <c r="M457" s="14"/>
      <c r="O457" s="14"/>
      <c r="Q457" s="1"/>
      <c r="S457" s="14"/>
      <c r="U457" s="14"/>
      <c r="W457" s="1"/>
      <c r="Y457" s="14"/>
      <c r="AA457" s="14"/>
      <c r="AC457" s="1"/>
      <c r="AE457" s="14"/>
      <c r="AG457" s="14"/>
      <c r="AJ457" s="1"/>
    </row>
    <row r="458" spans="4:36" s="63" customFormat="1" ht="15">
      <c r="D458" s="1"/>
      <c r="E458" s="1"/>
      <c r="F458" s="1"/>
      <c r="G458" s="1"/>
      <c r="H458" s="1"/>
      <c r="I458" s="1"/>
      <c r="K458" s="1"/>
      <c r="M458" s="14"/>
      <c r="O458" s="14"/>
      <c r="Q458" s="1"/>
      <c r="S458" s="14"/>
      <c r="U458" s="14"/>
      <c r="W458" s="1"/>
      <c r="Y458" s="14"/>
      <c r="AA458" s="14"/>
      <c r="AC458" s="1"/>
      <c r="AE458" s="14"/>
      <c r="AG458" s="14"/>
      <c r="AJ458" s="1"/>
    </row>
    <row r="459" spans="4:36" s="63" customFormat="1" ht="15">
      <c r="D459" s="1"/>
      <c r="E459" s="1"/>
      <c r="F459" s="1"/>
      <c r="G459" s="1"/>
      <c r="H459" s="1"/>
      <c r="I459" s="1"/>
      <c r="K459" s="1"/>
      <c r="M459" s="14"/>
      <c r="O459" s="14"/>
      <c r="Q459" s="1"/>
      <c r="S459" s="14"/>
      <c r="U459" s="14"/>
      <c r="W459" s="1"/>
      <c r="Y459" s="14"/>
      <c r="AA459" s="14"/>
      <c r="AC459" s="1"/>
      <c r="AE459" s="14"/>
      <c r="AG459" s="14"/>
      <c r="AJ459" s="1"/>
    </row>
    <row r="460" spans="4:36" s="63" customFormat="1" ht="15">
      <c r="D460" s="1"/>
      <c r="E460" s="1"/>
      <c r="F460" s="1"/>
      <c r="G460" s="1"/>
      <c r="H460" s="1"/>
      <c r="I460" s="1"/>
      <c r="K460" s="1"/>
      <c r="M460" s="14"/>
      <c r="O460" s="14"/>
      <c r="Q460" s="1"/>
      <c r="S460" s="14"/>
      <c r="U460" s="14"/>
      <c r="W460" s="1"/>
      <c r="Y460" s="14"/>
      <c r="AA460" s="14"/>
      <c r="AC460" s="1"/>
      <c r="AE460" s="14"/>
      <c r="AG460" s="14"/>
      <c r="AJ460" s="1"/>
    </row>
    <row r="461" spans="4:36" s="63" customFormat="1" ht="15">
      <c r="D461" s="1"/>
      <c r="E461" s="1"/>
      <c r="F461" s="1"/>
      <c r="G461" s="1"/>
      <c r="H461" s="1"/>
      <c r="I461" s="1"/>
      <c r="K461" s="1"/>
      <c r="M461" s="14"/>
      <c r="O461" s="14"/>
      <c r="Q461" s="1"/>
      <c r="S461" s="14"/>
      <c r="U461" s="14"/>
      <c r="W461" s="1"/>
      <c r="Y461" s="14"/>
      <c r="AA461" s="14"/>
      <c r="AC461" s="1"/>
      <c r="AE461" s="14"/>
      <c r="AG461" s="14"/>
      <c r="AJ461" s="1"/>
    </row>
    <row r="462" spans="4:36" s="63" customFormat="1" ht="15">
      <c r="D462" s="1"/>
      <c r="E462" s="1"/>
      <c r="F462" s="1"/>
      <c r="G462" s="1"/>
      <c r="H462" s="1"/>
      <c r="I462" s="1"/>
      <c r="K462" s="1"/>
      <c r="M462" s="14"/>
      <c r="O462" s="14"/>
      <c r="Q462" s="1"/>
      <c r="S462" s="14"/>
      <c r="U462" s="14"/>
      <c r="W462" s="1"/>
      <c r="Y462" s="14"/>
      <c r="AA462" s="14"/>
      <c r="AC462" s="1"/>
      <c r="AE462" s="14"/>
      <c r="AG462" s="14"/>
      <c r="AJ462" s="1"/>
    </row>
    <row r="463" spans="4:36" s="63" customFormat="1" ht="15">
      <c r="D463" s="1"/>
      <c r="E463" s="1"/>
      <c r="F463" s="1"/>
      <c r="G463" s="1"/>
      <c r="H463" s="1"/>
      <c r="I463" s="1"/>
      <c r="K463" s="1"/>
      <c r="M463" s="14"/>
      <c r="O463" s="14"/>
      <c r="Q463" s="1"/>
      <c r="S463" s="14"/>
      <c r="U463" s="14"/>
      <c r="W463" s="1"/>
      <c r="Y463" s="14"/>
      <c r="AA463" s="14"/>
      <c r="AC463" s="1"/>
      <c r="AE463" s="14"/>
      <c r="AG463" s="14"/>
      <c r="AJ463" s="1"/>
    </row>
    <row r="464" spans="4:36" s="63" customFormat="1" ht="15">
      <c r="D464" s="1"/>
      <c r="E464" s="1"/>
      <c r="F464" s="1"/>
      <c r="G464" s="1"/>
      <c r="H464" s="1"/>
      <c r="I464" s="1"/>
      <c r="K464" s="1"/>
      <c r="M464" s="14"/>
      <c r="O464" s="14"/>
      <c r="Q464" s="1"/>
      <c r="S464" s="14"/>
      <c r="U464" s="14"/>
      <c r="W464" s="1"/>
      <c r="Y464" s="14"/>
      <c r="AA464" s="14"/>
      <c r="AC464" s="1"/>
      <c r="AE464" s="14"/>
      <c r="AG464" s="14"/>
      <c r="AJ464" s="1"/>
    </row>
    <row r="465" spans="1:36" s="63" customFormat="1" ht="15">
      <c r="D465" s="1"/>
      <c r="E465" s="1"/>
      <c r="F465" s="1"/>
      <c r="G465" s="1"/>
      <c r="H465" s="1"/>
      <c r="I465" s="1"/>
      <c r="K465" s="1"/>
      <c r="M465" s="14"/>
      <c r="O465" s="14"/>
      <c r="Q465" s="1"/>
      <c r="S465" s="14"/>
      <c r="U465" s="14"/>
      <c r="W465" s="1"/>
      <c r="Y465" s="14"/>
      <c r="AA465" s="14"/>
      <c r="AC465" s="1"/>
      <c r="AE465" s="14"/>
      <c r="AG465" s="14"/>
      <c r="AJ465" s="1"/>
    </row>
    <row r="466" spans="1:36" s="63" customFormat="1" ht="15">
      <c r="D466" s="1"/>
      <c r="E466" s="1"/>
      <c r="F466" s="1"/>
      <c r="G466" s="1"/>
      <c r="H466" s="1"/>
      <c r="I466" s="1"/>
      <c r="K466" s="1"/>
      <c r="M466" s="14"/>
      <c r="O466" s="14"/>
      <c r="Q466" s="1"/>
      <c r="S466" s="14"/>
      <c r="U466" s="14"/>
      <c r="W466" s="1"/>
      <c r="Y466" s="14"/>
      <c r="AA466" s="14"/>
      <c r="AC466" s="1"/>
      <c r="AE466" s="14"/>
      <c r="AG466" s="14"/>
      <c r="AJ466" s="1"/>
    </row>
    <row r="467" spans="1:36" s="63" customFormat="1" ht="15">
      <c r="D467" s="1"/>
      <c r="E467" s="1"/>
      <c r="F467" s="1"/>
      <c r="G467" s="1"/>
      <c r="H467" s="1"/>
      <c r="I467" s="1"/>
      <c r="K467" s="1"/>
      <c r="M467" s="14"/>
      <c r="O467" s="14"/>
      <c r="Q467" s="1"/>
      <c r="S467" s="14"/>
      <c r="U467" s="14"/>
      <c r="W467" s="1"/>
      <c r="Y467" s="14"/>
      <c r="AA467" s="14"/>
      <c r="AC467" s="1"/>
      <c r="AE467" s="14"/>
      <c r="AG467" s="14"/>
      <c r="AJ467" s="1"/>
    </row>
    <row r="468" spans="1:36" s="63" customFormat="1" ht="15">
      <c r="D468" s="1"/>
      <c r="E468" s="1"/>
      <c r="F468" s="1"/>
      <c r="G468" s="1"/>
      <c r="H468" s="1"/>
      <c r="I468" s="1"/>
      <c r="K468" s="1"/>
      <c r="M468" s="14"/>
      <c r="O468" s="14"/>
      <c r="Q468" s="1"/>
      <c r="S468" s="14"/>
      <c r="U468" s="14"/>
      <c r="W468" s="1"/>
      <c r="Y468" s="14"/>
      <c r="AA468" s="14"/>
      <c r="AC468" s="1"/>
      <c r="AE468" s="14"/>
      <c r="AG468" s="14"/>
      <c r="AJ468" s="1"/>
    </row>
    <row r="469" spans="1:36" s="63" customFormat="1" ht="15">
      <c r="D469" s="1"/>
      <c r="E469" s="1"/>
      <c r="F469" s="1"/>
      <c r="G469" s="1"/>
      <c r="H469" s="1"/>
      <c r="I469" s="1"/>
      <c r="K469" s="1"/>
      <c r="M469" s="14"/>
      <c r="O469" s="14"/>
      <c r="Q469" s="1"/>
      <c r="S469" s="14"/>
      <c r="U469" s="14"/>
      <c r="W469" s="1"/>
      <c r="Y469" s="14"/>
      <c r="AA469" s="14"/>
      <c r="AC469" s="1"/>
      <c r="AE469" s="14"/>
      <c r="AG469" s="14"/>
      <c r="AJ469" s="1"/>
    </row>
    <row r="470" spans="1:36" s="63" customFormat="1" ht="15">
      <c r="D470" s="1"/>
      <c r="E470" s="1"/>
      <c r="F470" s="1"/>
      <c r="G470" s="1"/>
      <c r="H470" s="1"/>
      <c r="I470" s="1"/>
      <c r="K470" s="1"/>
      <c r="M470" s="14"/>
      <c r="O470" s="14"/>
      <c r="Q470" s="1"/>
      <c r="S470" s="14"/>
      <c r="U470" s="14"/>
      <c r="W470" s="1"/>
      <c r="Y470" s="14"/>
      <c r="AA470" s="14"/>
      <c r="AC470" s="1"/>
      <c r="AE470" s="14"/>
      <c r="AG470" s="14"/>
      <c r="AJ470" s="1"/>
    </row>
    <row r="471" spans="1:36" s="63" customFormat="1" ht="15">
      <c r="D471" s="1"/>
      <c r="E471" s="1"/>
      <c r="F471" s="1"/>
      <c r="G471" s="1"/>
      <c r="H471" s="1"/>
      <c r="I471" s="1"/>
      <c r="K471" s="1"/>
      <c r="M471" s="14"/>
      <c r="O471" s="14"/>
      <c r="Q471" s="1"/>
      <c r="S471" s="14"/>
      <c r="U471" s="14"/>
      <c r="W471" s="1"/>
      <c r="Y471" s="14"/>
      <c r="AA471" s="14"/>
      <c r="AC471" s="1"/>
      <c r="AE471" s="14"/>
      <c r="AG471" s="14"/>
      <c r="AJ471" s="1"/>
    </row>
    <row r="472" spans="1:36" s="63" customFormat="1" ht="15">
      <c r="D472" s="1"/>
      <c r="E472" s="1"/>
      <c r="F472" s="1"/>
      <c r="G472" s="1"/>
      <c r="H472" s="1"/>
      <c r="I472" s="1"/>
      <c r="K472" s="1"/>
      <c r="M472" s="14"/>
      <c r="O472" s="14"/>
      <c r="Q472" s="1"/>
      <c r="S472" s="14"/>
      <c r="U472" s="14"/>
      <c r="W472" s="1"/>
      <c r="Y472" s="14"/>
      <c r="AA472" s="14"/>
      <c r="AC472" s="1"/>
      <c r="AE472" s="14"/>
      <c r="AG472" s="14"/>
      <c r="AJ472" s="1"/>
    </row>
    <row r="473" spans="1:36" s="63" customFormat="1" ht="15">
      <c r="D473" s="1"/>
      <c r="E473" s="1"/>
      <c r="F473" s="1"/>
      <c r="G473" s="1"/>
      <c r="H473" s="1"/>
      <c r="I473" s="1"/>
      <c r="K473" s="1"/>
      <c r="M473" s="14"/>
      <c r="O473" s="14"/>
      <c r="Q473" s="1"/>
      <c r="S473" s="14"/>
      <c r="U473" s="14"/>
      <c r="W473" s="1"/>
      <c r="Y473" s="14"/>
      <c r="AA473" s="14"/>
      <c r="AC473" s="1"/>
      <c r="AE473" s="14"/>
      <c r="AG473" s="14"/>
      <c r="AJ473" s="1"/>
    </row>
    <row r="474" spans="1:36" s="63" customFormat="1" ht="15">
      <c r="D474" s="1"/>
      <c r="E474" s="1"/>
      <c r="F474" s="1"/>
      <c r="G474" s="1"/>
      <c r="H474" s="1"/>
      <c r="I474" s="1"/>
      <c r="K474" s="1"/>
      <c r="M474" s="14"/>
      <c r="O474" s="14"/>
      <c r="Q474" s="1"/>
      <c r="S474" s="14"/>
      <c r="U474" s="14"/>
      <c r="W474" s="1"/>
      <c r="Y474" s="14"/>
      <c r="AA474" s="14"/>
      <c r="AC474" s="1"/>
      <c r="AE474" s="14"/>
      <c r="AG474" s="14"/>
      <c r="AJ474" s="1"/>
    </row>
    <row r="475" spans="1:36" s="63" customFormat="1" ht="15">
      <c r="D475" s="1"/>
      <c r="E475" s="1"/>
      <c r="F475" s="1"/>
      <c r="G475" s="1"/>
      <c r="H475" s="1"/>
      <c r="I475" s="1"/>
      <c r="K475" s="1"/>
      <c r="M475" s="14"/>
      <c r="O475" s="14"/>
      <c r="Q475" s="1"/>
      <c r="S475" s="14"/>
      <c r="U475" s="14"/>
      <c r="W475" s="1"/>
      <c r="Y475" s="14"/>
      <c r="AA475" s="14"/>
      <c r="AC475" s="1"/>
      <c r="AE475" s="14"/>
      <c r="AG475" s="14"/>
      <c r="AJ475" s="1"/>
    </row>
    <row r="476" spans="1:36" s="63" customFormat="1" ht="15">
      <c r="D476" s="1"/>
      <c r="E476" s="1"/>
      <c r="F476" s="1"/>
      <c r="G476" s="1"/>
      <c r="H476" s="1"/>
      <c r="I476" s="1"/>
      <c r="K476" s="1"/>
      <c r="M476" s="14"/>
      <c r="O476" s="14"/>
      <c r="Q476" s="1"/>
      <c r="S476" s="14"/>
      <c r="U476" s="14"/>
      <c r="W476" s="1"/>
      <c r="Y476" s="14"/>
      <c r="AA476" s="14"/>
      <c r="AC476" s="1"/>
      <c r="AE476" s="14"/>
      <c r="AG476" s="14"/>
      <c r="AJ476" s="1"/>
    </row>
    <row r="477" spans="1:36" s="63" customFormat="1" ht="15">
      <c r="D477" s="1"/>
      <c r="E477" s="1"/>
      <c r="F477" s="1"/>
      <c r="G477" s="1"/>
      <c r="H477" s="1"/>
      <c r="I477" s="1"/>
      <c r="K477" s="1"/>
      <c r="M477" s="14"/>
      <c r="O477" s="14"/>
      <c r="Q477" s="1"/>
      <c r="S477" s="14"/>
      <c r="U477" s="14"/>
      <c r="W477" s="1"/>
      <c r="Y477" s="14"/>
      <c r="AA477" s="14"/>
      <c r="AC477" s="1"/>
      <c r="AE477" s="14"/>
      <c r="AG477" s="14"/>
      <c r="AJ477" s="1"/>
    </row>
    <row r="478" spans="1:36" s="63" customFormat="1" ht="15">
      <c r="D478" s="1"/>
      <c r="E478" s="1"/>
      <c r="F478" s="1"/>
      <c r="G478" s="1"/>
      <c r="H478" s="1"/>
      <c r="I478" s="1"/>
      <c r="K478" s="1"/>
      <c r="M478" s="14"/>
      <c r="O478" s="14"/>
      <c r="Q478" s="1"/>
      <c r="S478" s="14"/>
      <c r="U478" s="14"/>
      <c r="W478" s="1"/>
      <c r="Y478" s="14"/>
      <c r="AA478" s="14"/>
      <c r="AC478" s="1"/>
      <c r="AE478" s="14"/>
      <c r="AG478" s="14"/>
      <c r="AJ478" s="1"/>
    </row>
    <row r="479" spans="1:36" s="63" customFormat="1" ht="15">
      <c r="D479" s="1"/>
      <c r="E479" s="1"/>
      <c r="F479" s="1"/>
      <c r="G479" s="1"/>
      <c r="H479" s="1"/>
      <c r="I479" s="1"/>
      <c r="K479" s="1"/>
      <c r="M479" s="14"/>
      <c r="O479" s="14"/>
      <c r="Q479" s="1"/>
      <c r="S479" s="14"/>
      <c r="U479" s="14"/>
      <c r="W479" s="1"/>
      <c r="Y479" s="14"/>
      <c r="AA479" s="14"/>
      <c r="AC479" s="1"/>
      <c r="AE479" s="14"/>
      <c r="AG479" s="14"/>
      <c r="AJ479" s="1"/>
    </row>
    <row r="480" spans="1:36" s="63" customFormat="1">
      <c r="A480" s="1"/>
      <c r="C480" s="1"/>
      <c r="D480" s="1"/>
      <c r="E480" s="1"/>
      <c r="F480" s="1"/>
      <c r="G480" s="1"/>
      <c r="H480" s="1"/>
      <c r="I480" s="1"/>
      <c r="K480" s="1"/>
      <c r="M480" s="1"/>
      <c r="O480" s="1"/>
      <c r="Q480" s="1"/>
      <c r="S480" s="1"/>
      <c r="U480" s="1"/>
      <c r="W480" s="1"/>
      <c r="Y480" s="1"/>
      <c r="AA480" s="1"/>
      <c r="AC480" s="1"/>
      <c r="AE480" s="1"/>
      <c r="AG480" s="1"/>
      <c r="AI480" s="1"/>
      <c r="AJ480" s="1"/>
    </row>
    <row r="481" spans="1:36" s="63" customFormat="1">
      <c r="A481" s="1"/>
      <c r="C481" s="1"/>
      <c r="D481" s="1"/>
      <c r="E481" s="1"/>
      <c r="F481" s="1"/>
      <c r="G481" s="1"/>
      <c r="H481" s="1"/>
      <c r="I481" s="1"/>
      <c r="K481" s="1"/>
      <c r="M481" s="1"/>
      <c r="O481" s="1"/>
      <c r="Q481" s="1"/>
      <c r="S481" s="1"/>
      <c r="U481" s="1"/>
      <c r="W481" s="1"/>
      <c r="Y481" s="1"/>
      <c r="AA481" s="1"/>
      <c r="AC481" s="1"/>
      <c r="AE481" s="1"/>
      <c r="AG481" s="1"/>
      <c r="AI481" s="1"/>
      <c r="AJ481" s="1"/>
    </row>
    <row r="482" spans="1:36" s="63" customFormat="1">
      <c r="A482" s="1"/>
      <c r="C482" s="1"/>
      <c r="D482" s="1"/>
      <c r="E482" s="1"/>
      <c r="F482" s="1"/>
      <c r="G482" s="1"/>
      <c r="H482" s="1"/>
      <c r="I482" s="1"/>
      <c r="K482" s="1"/>
      <c r="M482" s="1"/>
      <c r="O482" s="1"/>
      <c r="Q482" s="1"/>
      <c r="S482" s="1"/>
      <c r="U482" s="1"/>
      <c r="W482" s="1"/>
      <c r="Y482" s="1"/>
      <c r="AA482" s="1"/>
      <c r="AC482" s="1"/>
      <c r="AE482" s="1"/>
      <c r="AG482" s="1"/>
      <c r="AI482" s="1"/>
      <c r="AJ482" s="1"/>
    </row>
    <row r="483" spans="1:36" s="63" customFormat="1">
      <c r="A483" s="1"/>
      <c r="C483" s="1"/>
      <c r="D483" s="1"/>
      <c r="E483" s="1"/>
      <c r="F483" s="1"/>
      <c r="G483" s="1"/>
      <c r="H483" s="1"/>
      <c r="I483" s="1"/>
      <c r="K483" s="1"/>
      <c r="M483" s="1"/>
      <c r="O483" s="1"/>
      <c r="Q483" s="1"/>
      <c r="S483" s="1"/>
      <c r="U483" s="1"/>
      <c r="W483" s="1"/>
      <c r="Y483" s="1"/>
      <c r="AA483" s="1"/>
      <c r="AC483" s="1"/>
      <c r="AE483" s="1"/>
      <c r="AG483" s="1"/>
      <c r="AI483" s="1"/>
      <c r="AJ483" s="1"/>
    </row>
    <row r="484" spans="1:36" s="63" customFormat="1">
      <c r="A484" s="1"/>
      <c r="C484" s="1"/>
      <c r="D484" s="1"/>
      <c r="E484" s="1"/>
      <c r="F484" s="1"/>
      <c r="G484" s="1"/>
      <c r="H484" s="1"/>
      <c r="I484" s="1"/>
      <c r="K484" s="1"/>
      <c r="M484" s="1"/>
      <c r="O484" s="1"/>
      <c r="Q484" s="1"/>
      <c r="S484" s="1"/>
      <c r="U484" s="1"/>
      <c r="W484" s="1"/>
      <c r="Y484" s="1"/>
      <c r="AA484" s="1"/>
      <c r="AC484" s="1"/>
      <c r="AE484" s="1"/>
      <c r="AG484" s="1"/>
      <c r="AI484" s="1"/>
      <c r="AJ484" s="1"/>
    </row>
    <row r="485" spans="1:36" s="63" customFormat="1">
      <c r="A485" s="1"/>
      <c r="C485" s="1"/>
      <c r="D485" s="1"/>
      <c r="E485" s="1"/>
      <c r="F485" s="1"/>
      <c r="G485" s="1"/>
      <c r="H485" s="1"/>
      <c r="I485" s="1"/>
      <c r="K485" s="1"/>
      <c r="M485" s="1"/>
      <c r="O485" s="1"/>
      <c r="Q485" s="1"/>
      <c r="S485" s="1"/>
      <c r="U485" s="1"/>
      <c r="W485" s="1"/>
      <c r="Y485" s="1"/>
      <c r="AA485" s="1"/>
      <c r="AC485" s="1"/>
      <c r="AE485" s="1"/>
      <c r="AG485" s="1"/>
      <c r="AI485" s="1"/>
      <c r="AJ485" s="1"/>
    </row>
    <row r="486" spans="1:36" s="63" customFormat="1">
      <c r="A486" s="1"/>
      <c r="C486" s="1"/>
      <c r="D486" s="1"/>
      <c r="E486" s="1"/>
      <c r="F486" s="1"/>
      <c r="G486" s="1"/>
      <c r="H486" s="1"/>
      <c r="I486" s="1"/>
      <c r="K486" s="1"/>
      <c r="M486" s="1"/>
      <c r="O486" s="1"/>
      <c r="Q486" s="1"/>
      <c r="S486" s="1"/>
      <c r="U486" s="1"/>
      <c r="W486" s="1"/>
      <c r="Y486" s="1"/>
      <c r="AA486" s="1"/>
      <c r="AC486" s="1"/>
      <c r="AE486" s="1"/>
      <c r="AG486" s="1"/>
      <c r="AI486" s="1"/>
      <c r="AJ486" s="1"/>
    </row>
    <row r="487" spans="1:36" s="63" customFormat="1">
      <c r="A487" s="1"/>
      <c r="C487" s="1"/>
      <c r="D487" s="1"/>
      <c r="E487" s="1"/>
      <c r="F487" s="1"/>
      <c r="G487" s="1"/>
      <c r="H487" s="1"/>
      <c r="I487" s="1"/>
      <c r="K487" s="1"/>
      <c r="M487" s="1"/>
      <c r="O487" s="1"/>
      <c r="Q487" s="1"/>
      <c r="S487" s="1"/>
      <c r="U487" s="1"/>
      <c r="W487" s="1"/>
      <c r="Y487" s="1"/>
      <c r="AA487" s="1"/>
      <c r="AC487" s="1"/>
      <c r="AE487" s="1"/>
      <c r="AG487" s="1"/>
      <c r="AI487" s="1"/>
      <c r="AJ487" s="1"/>
    </row>
    <row r="488" spans="1:36" s="63" customFormat="1">
      <c r="A488" s="1"/>
      <c r="C488" s="1"/>
      <c r="D488" s="1"/>
      <c r="E488" s="1"/>
      <c r="F488" s="1"/>
      <c r="G488" s="1"/>
      <c r="H488" s="1"/>
      <c r="I488" s="1"/>
      <c r="K488" s="1"/>
      <c r="M488" s="1"/>
      <c r="O488" s="1"/>
      <c r="Q488" s="1"/>
      <c r="S488" s="1"/>
      <c r="U488" s="1"/>
      <c r="W488" s="1"/>
      <c r="Y488" s="1"/>
      <c r="AA488" s="1"/>
      <c r="AC488" s="1"/>
      <c r="AE488" s="1"/>
      <c r="AG488" s="1"/>
      <c r="AI488" s="1"/>
      <c r="AJ488" s="1"/>
    </row>
    <row r="489" spans="1:36" s="63" customFormat="1">
      <c r="A489" s="1"/>
      <c r="C489" s="1"/>
      <c r="D489" s="1"/>
      <c r="E489" s="1"/>
      <c r="F489" s="1"/>
      <c r="G489" s="1"/>
      <c r="H489" s="1"/>
      <c r="I489" s="1"/>
      <c r="K489" s="1"/>
      <c r="M489" s="1"/>
      <c r="O489" s="1"/>
      <c r="Q489" s="1"/>
      <c r="S489" s="1"/>
      <c r="U489" s="1"/>
      <c r="W489" s="1"/>
      <c r="Y489" s="1"/>
      <c r="AA489" s="1"/>
      <c r="AC489" s="1"/>
      <c r="AE489" s="1"/>
      <c r="AG489" s="1"/>
      <c r="AI489" s="1"/>
      <c r="AJ489" s="1"/>
    </row>
    <row r="490" spans="1:36" s="63" customFormat="1">
      <c r="A490" s="1"/>
      <c r="C490" s="1"/>
      <c r="D490" s="1"/>
      <c r="E490" s="1"/>
      <c r="F490" s="1"/>
      <c r="G490" s="1"/>
      <c r="H490" s="1"/>
      <c r="I490" s="1"/>
      <c r="K490" s="1"/>
      <c r="M490" s="1"/>
      <c r="O490" s="1"/>
      <c r="Q490" s="1"/>
      <c r="S490" s="1"/>
      <c r="U490" s="1"/>
      <c r="W490" s="1"/>
      <c r="Y490" s="1"/>
      <c r="AA490" s="1"/>
      <c r="AC490" s="1"/>
      <c r="AE490" s="1"/>
      <c r="AG490" s="1"/>
      <c r="AI490" s="1"/>
      <c r="AJ490" s="1"/>
    </row>
    <row r="491" spans="1:36" s="63" customFormat="1">
      <c r="A491" s="1"/>
      <c r="C491" s="1"/>
      <c r="D491" s="1"/>
      <c r="E491" s="1"/>
      <c r="F491" s="1"/>
      <c r="G491" s="1"/>
      <c r="H491" s="1"/>
      <c r="I491" s="1"/>
      <c r="K491" s="1"/>
      <c r="M491" s="1"/>
      <c r="O491" s="1"/>
      <c r="Q491" s="1"/>
      <c r="S491" s="1"/>
      <c r="U491" s="1"/>
      <c r="W491" s="1"/>
      <c r="Y491" s="1"/>
      <c r="AA491" s="1"/>
      <c r="AC491" s="1"/>
      <c r="AE491" s="1"/>
      <c r="AG491" s="1"/>
      <c r="AI491" s="1"/>
      <c r="AJ491" s="1"/>
    </row>
    <row r="492" spans="1:36" s="63" customFormat="1">
      <c r="A492" s="1"/>
      <c r="C492" s="1"/>
      <c r="D492" s="1"/>
      <c r="E492" s="1"/>
      <c r="F492" s="1"/>
      <c r="G492" s="1"/>
      <c r="H492" s="1"/>
      <c r="I492" s="1"/>
      <c r="K492" s="1"/>
      <c r="M492" s="1"/>
      <c r="O492" s="1"/>
      <c r="Q492" s="1"/>
      <c r="S492" s="1"/>
      <c r="U492" s="1"/>
      <c r="W492" s="1"/>
      <c r="Y492" s="1"/>
      <c r="AA492" s="1"/>
      <c r="AC492" s="1"/>
      <c r="AE492" s="1"/>
      <c r="AG492" s="1"/>
      <c r="AI492" s="1"/>
      <c r="AJ492" s="1"/>
    </row>
    <row r="493" spans="1:36" s="63" customFormat="1">
      <c r="A493" s="1"/>
      <c r="C493" s="1"/>
      <c r="D493" s="1"/>
      <c r="E493" s="1"/>
      <c r="F493" s="1"/>
      <c r="G493" s="1"/>
      <c r="H493" s="1"/>
      <c r="I493" s="1"/>
      <c r="K493" s="1"/>
      <c r="M493" s="1"/>
      <c r="O493" s="1"/>
      <c r="Q493" s="1"/>
      <c r="S493" s="1"/>
      <c r="U493" s="1"/>
      <c r="W493" s="1"/>
      <c r="Y493" s="1"/>
      <c r="AA493" s="1"/>
      <c r="AC493" s="1"/>
      <c r="AE493" s="1"/>
      <c r="AG493" s="1"/>
      <c r="AI493" s="1"/>
      <c r="AJ493" s="1"/>
    </row>
    <row r="494" spans="1:36" s="63" customFormat="1">
      <c r="A494" s="1"/>
      <c r="C494" s="1"/>
      <c r="D494" s="1"/>
      <c r="E494" s="1"/>
      <c r="F494" s="1"/>
      <c r="G494" s="1"/>
      <c r="H494" s="1"/>
      <c r="I494" s="1"/>
      <c r="K494" s="1"/>
      <c r="M494" s="1"/>
      <c r="O494" s="1"/>
      <c r="Q494" s="1"/>
      <c r="S494" s="1"/>
      <c r="U494" s="1"/>
      <c r="W494" s="1"/>
      <c r="Y494" s="1"/>
      <c r="AA494" s="1"/>
      <c r="AC494" s="1"/>
      <c r="AE494" s="1"/>
      <c r="AG494" s="1"/>
      <c r="AI494" s="1"/>
      <c r="AJ494" s="1"/>
    </row>
    <row r="495" spans="1:36">
      <c r="B495" s="63"/>
    </row>
    <row r="496" spans="1:36">
      <c r="B496" s="63"/>
    </row>
    <row r="497" spans="2:2">
      <c r="B497" s="63"/>
    </row>
    <row r="498" spans="2:2">
      <c r="B498" s="63"/>
    </row>
    <row r="499" spans="2:2">
      <c r="B499" s="63"/>
    </row>
    <row r="500" spans="2:2">
      <c r="B500" s="63"/>
    </row>
    <row r="501" spans="2:2">
      <c r="B501" s="63"/>
    </row>
    <row r="502" spans="2:2">
      <c r="B502" s="63"/>
    </row>
    <row r="503" spans="2:2">
      <c r="B503" s="63"/>
    </row>
    <row r="504" spans="2:2">
      <c r="B504" s="63"/>
    </row>
    <row r="505" spans="2:2">
      <c r="B505" s="63"/>
    </row>
    <row r="506" spans="2:2">
      <c r="B506" s="63"/>
    </row>
    <row r="507" spans="2:2">
      <c r="B507" s="63"/>
    </row>
    <row r="508" spans="2:2">
      <c r="B508" s="63"/>
    </row>
    <row r="509" spans="2:2">
      <c r="B509" s="63"/>
    </row>
    <row r="510" spans="2:2">
      <c r="B510" s="63"/>
    </row>
    <row r="511" spans="2:2">
      <c r="B511" s="63"/>
    </row>
    <row r="512" spans="2:2">
      <c r="B512" s="63"/>
    </row>
    <row r="513" spans="2:2">
      <c r="B513" s="63"/>
    </row>
    <row r="514" spans="2:2">
      <c r="B514" s="63"/>
    </row>
  </sheetData>
  <customSheetViews>
    <customSheetView guid="{76FC386D-C488-46EF-BB9C-D1C49FEBAB90}" scale="85" showPageBreaks="1" showGridLines="0" printArea="1" hiddenColumns="1" topLeftCell="D1">
      <pane xSplit="4" ySplit="15" topLeftCell="H16" activePane="bottomRight" state="frozen"/>
      <selection pane="bottomRight" activeCell="H164" sqref="G164:H164"/>
      <pageMargins left="0.25" right="0.25" top="0.27" bottom="0.4" header="0.18" footer="0.25"/>
      <pageSetup scale="70" fitToHeight="0" orientation="portrait" errors="blank" horizontalDpi="4294967292" r:id="rId1"/>
      <headerFooter alignWithMargins="0">
        <oddFooter>&amp;L&amp;F - &amp;A&amp;CPrinted &amp;D - &amp;T&amp;RPage &amp;P of &amp;N</oddFooter>
      </headerFooter>
    </customSheetView>
    <customSheetView guid="{16F8EA47-9864-4C0F-89A1-62B7CCC013F9}" scale="85" showGridLines="0" hiddenColumns="1" topLeftCell="D1">
      <pane xSplit="4" ySplit="15" topLeftCell="H16" activePane="bottomRight" state="frozen"/>
      <selection pane="bottomRight" activeCell="H164" sqref="G164:H164"/>
      <pageMargins left="0.25" right="0.25" top="0.27" bottom="0.4" header="0.18" footer="0.25"/>
      <pageSetup scale="70" fitToHeight="0" orientation="portrait" errors="blank" horizontalDpi="4294967292" r:id="rId2"/>
      <headerFooter alignWithMargins="0">
        <oddFooter>&amp;L&amp;F - &amp;A&amp;CPrinted &amp;D - &amp;T&amp;RPage &amp;P of &amp;N</oddFooter>
      </headerFooter>
    </customSheetView>
  </customSheetViews>
  <pageMargins left="0.25" right="0.25" top="0.27" bottom="0.4" header="0.18" footer="0.25"/>
  <pageSetup scale="50" fitToHeight="5" orientation="landscape" errors="blank" r:id="rId3"/>
  <headerFooter alignWithMargins="0">
    <oddFooter>&amp;L&amp;F - &amp;A&amp;CPrinted &amp;D - &amp;T&amp;RPage &amp;P of &amp;N</oddFooter>
  </headerFooter>
  <rowBreaks count="1" manualBreakCount="1">
    <brk id="98" min="3" max="35"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D19"/>
  <sheetViews>
    <sheetView view="pageBreakPreview" zoomScale="60" zoomScaleNormal="100" workbookViewId="0">
      <selection activeCell="AP280" sqref="AP280"/>
    </sheetView>
  </sheetViews>
  <sheetFormatPr defaultRowHeight="15"/>
  <cols>
    <col min="1" max="1" width="9.7109375" bestFit="1" customWidth="1"/>
    <col min="4" max="4" width="15.7109375" customWidth="1"/>
  </cols>
  <sheetData>
    <row r="1" spans="1:4">
      <c r="A1" s="216" t="s">
        <v>312</v>
      </c>
    </row>
    <row r="2" spans="1:4">
      <c r="A2" s="216" t="s">
        <v>2773</v>
      </c>
    </row>
    <row r="3" spans="1:4">
      <c r="A3" s="216" t="s">
        <v>1245</v>
      </c>
    </row>
    <row r="6" spans="1:4">
      <c r="A6" s="452" t="s">
        <v>2774</v>
      </c>
      <c r="B6" s="452" t="s">
        <v>351</v>
      </c>
      <c r="C6" s="452" t="s">
        <v>2775</v>
      </c>
      <c r="D6" s="452" t="s">
        <v>2776</v>
      </c>
    </row>
    <row r="7" spans="1:4">
      <c r="A7" s="1096">
        <v>43435</v>
      </c>
      <c r="B7" s="1115">
        <v>50.56</v>
      </c>
      <c r="C7" s="453">
        <v>79.12</v>
      </c>
      <c r="D7" s="1117">
        <f>B7*C7</f>
        <v>4000.3072000000002</v>
      </c>
    </row>
    <row r="8" spans="1:4">
      <c r="A8" s="1096">
        <v>43466</v>
      </c>
      <c r="B8" s="1115">
        <v>50.56</v>
      </c>
      <c r="C8" s="453">
        <v>87.29</v>
      </c>
      <c r="D8" s="1117">
        <f t="shared" ref="D8:D18" si="0">B8*C8</f>
        <v>4413.3824000000004</v>
      </c>
    </row>
    <row r="9" spans="1:4">
      <c r="A9" s="1096">
        <v>43497</v>
      </c>
      <c r="B9" s="1115">
        <v>50.56</v>
      </c>
      <c r="C9" s="453">
        <v>98.35</v>
      </c>
      <c r="D9" s="1117">
        <f t="shared" si="0"/>
        <v>4972.576</v>
      </c>
    </row>
    <row r="10" spans="1:4">
      <c r="A10" s="1096">
        <v>43525</v>
      </c>
      <c r="B10" s="1115">
        <v>50.56</v>
      </c>
      <c r="C10" s="453">
        <v>100.64</v>
      </c>
      <c r="D10" s="1117">
        <f t="shared" si="0"/>
        <v>5088.3584000000001</v>
      </c>
    </row>
    <row r="11" spans="1:4">
      <c r="A11" s="1096">
        <v>43556</v>
      </c>
      <c r="B11" s="1115">
        <v>50.56</v>
      </c>
      <c r="C11" s="453">
        <v>106.57</v>
      </c>
      <c r="D11" s="1117">
        <f t="shared" si="0"/>
        <v>5388.1791999999996</v>
      </c>
    </row>
    <row r="12" spans="1:4">
      <c r="A12" s="1096">
        <v>43586</v>
      </c>
      <c r="B12" s="1115">
        <v>50.56</v>
      </c>
      <c r="C12" s="453">
        <v>108.97</v>
      </c>
      <c r="D12" s="1117">
        <f t="shared" si="0"/>
        <v>5509.5232000000005</v>
      </c>
    </row>
    <row r="13" spans="1:4">
      <c r="A13" s="1096">
        <v>43617</v>
      </c>
      <c r="B13" s="1115">
        <v>50.56</v>
      </c>
      <c r="C13" s="453">
        <v>107.61</v>
      </c>
      <c r="D13" s="1117">
        <f t="shared" si="0"/>
        <v>5440.7615999999998</v>
      </c>
    </row>
    <row r="14" spans="1:4">
      <c r="A14" s="1096">
        <v>43647</v>
      </c>
      <c r="B14" s="1115">
        <v>50.56</v>
      </c>
      <c r="C14" s="453">
        <v>105.67</v>
      </c>
      <c r="D14" s="1117">
        <f t="shared" si="0"/>
        <v>5342.6752000000006</v>
      </c>
    </row>
    <row r="15" spans="1:4">
      <c r="A15" s="1096">
        <v>43678</v>
      </c>
      <c r="B15" s="1115">
        <v>50.56</v>
      </c>
      <c r="C15" s="453">
        <v>105.9</v>
      </c>
      <c r="D15" s="1117">
        <f t="shared" si="0"/>
        <v>5354.3040000000001</v>
      </c>
    </row>
    <row r="16" spans="1:4">
      <c r="A16" s="1096">
        <v>43709</v>
      </c>
      <c r="B16" s="1115">
        <v>50.56</v>
      </c>
      <c r="C16" s="453">
        <v>109.95</v>
      </c>
      <c r="D16" s="1117">
        <f t="shared" si="0"/>
        <v>5559.0720000000001</v>
      </c>
    </row>
    <row r="17" spans="1:4">
      <c r="A17" s="1096">
        <v>43739</v>
      </c>
      <c r="B17" s="1115">
        <v>44</v>
      </c>
      <c r="C17" s="453">
        <v>111.93</v>
      </c>
      <c r="D17" s="1117">
        <f t="shared" si="0"/>
        <v>4924.92</v>
      </c>
    </row>
    <row r="18" spans="1:4">
      <c r="A18" s="1096">
        <v>43770</v>
      </c>
      <c r="B18" s="1116">
        <v>42.67</v>
      </c>
      <c r="C18" s="454">
        <v>112.08</v>
      </c>
      <c r="D18" s="1118">
        <f t="shared" si="0"/>
        <v>4782.4535999999998</v>
      </c>
    </row>
    <row r="19" spans="1:4">
      <c r="B19" s="1073">
        <f>SUM(B7:B18)</f>
        <v>592.27</v>
      </c>
      <c r="C19" s="1073"/>
      <c r="D19" s="1119">
        <f>SUM(D7:D18)</f>
        <v>60776.512800000004</v>
      </c>
    </row>
  </sheetData>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XFD34"/>
  <sheetViews>
    <sheetView showGridLines="0" view="pageBreakPreview" zoomScale="85" zoomScaleNormal="100" zoomScaleSheetLayoutView="85" workbookViewId="0">
      <selection activeCell="AP280" sqref="AP280"/>
    </sheetView>
  </sheetViews>
  <sheetFormatPr defaultRowHeight="15"/>
  <cols>
    <col min="1" max="2" width="9.140625" style="1010"/>
    <col min="3" max="3" width="20.5703125" style="1010" customWidth="1"/>
    <col min="4" max="4" width="15.7109375" style="1010" bestFit="1" customWidth="1"/>
    <col min="5" max="5" width="18.28515625" style="1010" bestFit="1" customWidth="1"/>
    <col min="6" max="6" width="10.5703125" style="1010" bestFit="1" customWidth="1"/>
    <col min="7" max="7" width="17.7109375" style="1010" customWidth="1"/>
    <col min="8" max="8" width="10.5703125" style="1010" bestFit="1" customWidth="1"/>
    <col min="9" max="9" width="19.7109375" style="1010" customWidth="1"/>
    <col min="10" max="12" width="9.140625" style="1010"/>
    <col min="13" max="14" width="16.28515625" style="1010" customWidth="1"/>
    <col min="15" max="15" width="18.28515625" style="1010" bestFit="1" customWidth="1"/>
    <col min="16" max="17" width="16.28515625" style="1010" customWidth="1"/>
    <col min="18" max="258" width="9.140625" style="1010"/>
    <col min="259" max="259" width="20.140625" style="1010" customWidth="1"/>
    <col min="260" max="260" width="12.28515625" style="1010" customWidth="1"/>
    <col min="261" max="261" width="11.28515625" style="1010" bestFit="1" customWidth="1"/>
    <col min="262" max="514" width="9.140625" style="1010"/>
    <col min="515" max="515" width="20.140625" style="1010" customWidth="1"/>
    <col min="516" max="516" width="12.28515625" style="1010" customWidth="1"/>
    <col min="517" max="517" width="11.28515625" style="1010" bestFit="1" customWidth="1"/>
    <col min="518" max="770" width="9.140625" style="1010"/>
    <col min="771" max="771" width="20.140625" style="1010" customWidth="1"/>
    <col min="772" max="772" width="12.28515625" style="1010" customWidth="1"/>
    <col min="773" max="773" width="11.28515625" style="1010" bestFit="1" customWidth="1"/>
    <col min="774" max="1026" width="9.140625" style="1010"/>
    <col min="1027" max="1027" width="20.140625" style="1010" customWidth="1"/>
    <col min="1028" max="1028" width="12.28515625" style="1010" customWidth="1"/>
    <col min="1029" max="1029" width="11.28515625" style="1010" bestFit="1" customWidth="1"/>
    <col min="1030" max="1282" width="9.140625" style="1010"/>
    <col min="1283" max="1283" width="20.140625" style="1010" customWidth="1"/>
    <col min="1284" max="1284" width="12.28515625" style="1010" customWidth="1"/>
    <col min="1285" max="1285" width="11.28515625" style="1010" bestFit="1" customWidth="1"/>
    <col min="1286" max="1538" width="9.140625" style="1010"/>
    <col min="1539" max="1539" width="20.140625" style="1010" customWidth="1"/>
    <col min="1540" max="1540" width="12.28515625" style="1010" customWidth="1"/>
    <col min="1541" max="1541" width="11.28515625" style="1010" bestFit="1" customWidth="1"/>
    <col min="1542" max="1794" width="9.140625" style="1010"/>
    <col min="1795" max="1795" width="20.140625" style="1010" customWidth="1"/>
    <col min="1796" max="1796" width="12.28515625" style="1010" customWidth="1"/>
    <col min="1797" max="1797" width="11.28515625" style="1010" bestFit="1" customWidth="1"/>
    <col min="1798" max="2050" width="9.140625" style="1010"/>
    <col min="2051" max="2051" width="20.140625" style="1010" customWidth="1"/>
    <col min="2052" max="2052" width="12.28515625" style="1010" customWidth="1"/>
    <col min="2053" max="2053" width="11.28515625" style="1010" bestFit="1" customWidth="1"/>
    <col min="2054" max="2306" width="9.140625" style="1010"/>
    <col min="2307" max="2307" width="20.140625" style="1010" customWidth="1"/>
    <col min="2308" max="2308" width="12.28515625" style="1010" customWidth="1"/>
    <col min="2309" max="2309" width="11.28515625" style="1010" bestFit="1" customWidth="1"/>
    <col min="2310" max="2562" width="9.140625" style="1010"/>
    <col min="2563" max="2563" width="20.140625" style="1010" customWidth="1"/>
    <col min="2564" max="2564" width="12.28515625" style="1010" customWidth="1"/>
    <col min="2565" max="2565" width="11.28515625" style="1010" bestFit="1" customWidth="1"/>
    <col min="2566" max="2818" width="9.140625" style="1010"/>
    <col min="2819" max="2819" width="20.140625" style="1010" customWidth="1"/>
    <col min="2820" max="2820" width="12.28515625" style="1010" customWidth="1"/>
    <col min="2821" max="2821" width="11.28515625" style="1010" bestFit="1" customWidth="1"/>
    <col min="2822" max="3074" width="9.140625" style="1010"/>
    <col min="3075" max="3075" width="20.140625" style="1010" customWidth="1"/>
    <col min="3076" max="3076" width="12.28515625" style="1010" customWidth="1"/>
    <col min="3077" max="3077" width="11.28515625" style="1010" bestFit="1" customWidth="1"/>
    <col min="3078" max="3330" width="9.140625" style="1010"/>
    <col min="3331" max="3331" width="20.140625" style="1010" customWidth="1"/>
    <col min="3332" max="3332" width="12.28515625" style="1010" customWidth="1"/>
    <col min="3333" max="3333" width="11.28515625" style="1010" bestFit="1" customWidth="1"/>
    <col min="3334" max="3586" width="9.140625" style="1010"/>
    <col min="3587" max="3587" width="20.140625" style="1010" customWidth="1"/>
    <col min="3588" max="3588" width="12.28515625" style="1010" customWidth="1"/>
    <col min="3589" max="3589" width="11.28515625" style="1010" bestFit="1" customWidth="1"/>
    <col min="3590" max="3842" width="9.140625" style="1010"/>
    <col min="3843" max="3843" width="20.140625" style="1010" customWidth="1"/>
    <col min="3844" max="3844" width="12.28515625" style="1010" customWidth="1"/>
    <col min="3845" max="3845" width="11.28515625" style="1010" bestFit="1" customWidth="1"/>
    <col min="3846" max="4098" width="9.140625" style="1010"/>
    <col min="4099" max="4099" width="20.140625" style="1010" customWidth="1"/>
    <col min="4100" max="4100" width="12.28515625" style="1010" customWidth="1"/>
    <col min="4101" max="4101" width="11.28515625" style="1010" bestFit="1" customWidth="1"/>
    <col min="4102" max="4354" width="9.140625" style="1010"/>
    <col min="4355" max="4355" width="20.140625" style="1010" customWidth="1"/>
    <col min="4356" max="4356" width="12.28515625" style="1010" customWidth="1"/>
    <col min="4357" max="4357" width="11.28515625" style="1010" bestFit="1" customWidth="1"/>
    <col min="4358" max="4610" width="9.140625" style="1010"/>
    <col min="4611" max="4611" width="20.140625" style="1010" customWidth="1"/>
    <col min="4612" max="4612" width="12.28515625" style="1010" customWidth="1"/>
    <col min="4613" max="4613" width="11.28515625" style="1010" bestFit="1" customWidth="1"/>
    <col min="4614" max="4866" width="9.140625" style="1010"/>
    <col min="4867" max="4867" width="20.140625" style="1010" customWidth="1"/>
    <col min="4868" max="4868" width="12.28515625" style="1010" customWidth="1"/>
    <col min="4869" max="4869" width="11.28515625" style="1010" bestFit="1" customWidth="1"/>
    <col min="4870" max="5122" width="9.140625" style="1010"/>
    <col min="5123" max="5123" width="20.140625" style="1010" customWidth="1"/>
    <col min="5124" max="5124" width="12.28515625" style="1010" customWidth="1"/>
    <col min="5125" max="5125" width="11.28515625" style="1010" bestFit="1" customWidth="1"/>
    <col min="5126" max="5378" width="9.140625" style="1010"/>
    <col min="5379" max="5379" width="20.140625" style="1010" customWidth="1"/>
    <col min="5380" max="5380" width="12.28515625" style="1010" customWidth="1"/>
    <col min="5381" max="5381" width="11.28515625" style="1010" bestFit="1" customWidth="1"/>
    <col min="5382" max="5634" width="9.140625" style="1010"/>
    <col min="5635" max="5635" width="20.140625" style="1010" customWidth="1"/>
    <col min="5636" max="5636" width="12.28515625" style="1010" customWidth="1"/>
    <col min="5637" max="5637" width="11.28515625" style="1010" bestFit="1" customWidth="1"/>
    <col min="5638" max="5890" width="9.140625" style="1010"/>
    <col min="5891" max="5891" width="20.140625" style="1010" customWidth="1"/>
    <col min="5892" max="5892" width="12.28515625" style="1010" customWidth="1"/>
    <col min="5893" max="5893" width="11.28515625" style="1010" bestFit="1" customWidth="1"/>
    <col min="5894" max="6146" width="9.140625" style="1010"/>
    <col min="6147" max="6147" width="20.140625" style="1010" customWidth="1"/>
    <col min="6148" max="6148" width="12.28515625" style="1010" customWidth="1"/>
    <col min="6149" max="6149" width="11.28515625" style="1010" bestFit="1" customWidth="1"/>
    <col min="6150" max="6402" width="9.140625" style="1010"/>
    <col min="6403" max="6403" width="20.140625" style="1010" customWidth="1"/>
    <col min="6404" max="6404" width="12.28515625" style="1010" customWidth="1"/>
    <col min="6405" max="6405" width="11.28515625" style="1010" bestFit="1" customWidth="1"/>
    <col min="6406" max="6658" width="9.140625" style="1010"/>
    <col min="6659" max="6659" width="20.140625" style="1010" customWidth="1"/>
    <col min="6660" max="6660" width="12.28515625" style="1010" customWidth="1"/>
    <col min="6661" max="6661" width="11.28515625" style="1010" bestFit="1" customWidth="1"/>
    <col min="6662" max="6914" width="9.140625" style="1010"/>
    <col min="6915" max="6915" width="20.140625" style="1010" customWidth="1"/>
    <col min="6916" max="6916" width="12.28515625" style="1010" customWidth="1"/>
    <col min="6917" max="6917" width="11.28515625" style="1010" bestFit="1" customWidth="1"/>
    <col min="6918" max="7170" width="9.140625" style="1010"/>
    <col min="7171" max="7171" width="20.140625" style="1010" customWidth="1"/>
    <col min="7172" max="7172" width="12.28515625" style="1010" customWidth="1"/>
    <col min="7173" max="7173" width="11.28515625" style="1010" bestFit="1" customWidth="1"/>
    <col min="7174" max="7426" width="9.140625" style="1010"/>
    <col min="7427" max="7427" width="20.140625" style="1010" customWidth="1"/>
    <col min="7428" max="7428" width="12.28515625" style="1010" customWidth="1"/>
    <col min="7429" max="7429" width="11.28515625" style="1010" bestFit="1" customWidth="1"/>
    <col min="7430" max="7682" width="9.140625" style="1010"/>
    <col min="7683" max="7683" width="20.140625" style="1010" customWidth="1"/>
    <col min="7684" max="7684" width="12.28515625" style="1010" customWidth="1"/>
    <col min="7685" max="7685" width="11.28515625" style="1010" bestFit="1" customWidth="1"/>
    <col min="7686" max="7938" width="9.140625" style="1010"/>
    <col min="7939" max="7939" width="20.140625" style="1010" customWidth="1"/>
    <col min="7940" max="7940" width="12.28515625" style="1010" customWidth="1"/>
    <col min="7941" max="7941" width="11.28515625" style="1010" bestFit="1" customWidth="1"/>
    <col min="7942" max="8194" width="9.140625" style="1010"/>
    <col min="8195" max="8195" width="20.140625" style="1010" customWidth="1"/>
    <col min="8196" max="8196" width="12.28515625" style="1010" customWidth="1"/>
    <col min="8197" max="8197" width="11.28515625" style="1010" bestFit="1" customWidth="1"/>
    <col min="8198" max="8450" width="9.140625" style="1010"/>
    <col min="8451" max="8451" width="20.140625" style="1010" customWidth="1"/>
    <col min="8452" max="8452" width="12.28515625" style="1010" customWidth="1"/>
    <col min="8453" max="8453" width="11.28515625" style="1010" bestFit="1" customWidth="1"/>
    <col min="8454" max="8706" width="9.140625" style="1010"/>
    <col min="8707" max="8707" width="20.140625" style="1010" customWidth="1"/>
    <col min="8708" max="8708" width="12.28515625" style="1010" customWidth="1"/>
    <col min="8709" max="8709" width="11.28515625" style="1010" bestFit="1" customWidth="1"/>
    <col min="8710" max="8962" width="9.140625" style="1010"/>
    <col min="8963" max="8963" width="20.140625" style="1010" customWidth="1"/>
    <col min="8964" max="8964" width="12.28515625" style="1010" customWidth="1"/>
    <col min="8965" max="8965" width="11.28515625" style="1010" bestFit="1" customWidth="1"/>
    <col min="8966" max="9218" width="9.140625" style="1010"/>
    <col min="9219" max="9219" width="20.140625" style="1010" customWidth="1"/>
    <col min="9220" max="9220" width="12.28515625" style="1010" customWidth="1"/>
    <col min="9221" max="9221" width="11.28515625" style="1010" bestFit="1" customWidth="1"/>
    <col min="9222" max="9474" width="9.140625" style="1010"/>
    <col min="9475" max="9475" width="20.140625" style="1010" customWidth="1"/>
    <col min="9476" max="9476" width="12.28515625" style="1010" customWidth="1"/>
    <col min="9477" max="9477" width="11.28515625" style="1010" bestFit="1" customWidth="1"/>
    <col min="9478" max="9730" width="9.140625" style="1010"/>
    <col min="9731" max="9731" width="20.140625" style="1010" customWidth="1"/>
    <col min="9732" max="9732" width="12.28515625" style="1010" customWidth="1"/>
    <col min="9733" max="9733" width="11.28515625" style="1010" bestFit="1" customWidth="1"/>
    <col min="9734" max="9986" width="9.140625" style="1010"/>
    <col min="9987" max="9987" width="20.140625" style="1010" customWidth="1"/>
    <col min="9988" max="9988" width="12.28515625" style="1010" customWidth="1"/>
    <col min="9989" max="9989" width="11.28515625" style="1010" bestFit="1" customWidth="1"/>
    <col min="9990" max="10242" width="9.140625" style="1010"/>
    <col min="10243" max="10243" width="20.140625" style="1010" customWidth="1"/>
    <col min="10244" max="10244" width="12.28515625" style="1010" customWidth="1"/>
    <col min="10245" max="10245" width="11.28515625" style="1010" bestFit="1" customWidth="1"/>
    <col min="10246" max="10498" width="9.140625" style="1010"/>
    <col min="10499" max="10499" width="20.140625" style="1010" customWidth="1"/>
    <col min="10500" max="10500" width="12.28515625" style="1010" customWidth="1"/>
    <col min="10501" max="10501" width="11.28515625" style="1010" bestFit="1" customWidth="1"/>
    <col min="10502" max="10754" width="9.140625" style="1010"/>
    <col min="10755" max="10755" width="20.140625" style="1010" customWidth="1"/>
    <col min="10756" max="10756" width="12.28515625" style="1010" customWidth="1"/>
    <col min="10757" max="10757" width="11.28515625" style="1010" bestFit="1" customWidth="1"/>
    <col min="10758" max="11010" width="9.140625" style="1010"/>
    <col min="11011" max="11011" width="20.140625" style="1010" customWidth="1"/>
    <col min="11012" max="11012" width="12.28515625" style="1010" customWidth="1"/>
    <col min="11013" max="11013" width="11.28515625" style="1010" bestFit="1" customWidth="1"/>
    <col min="11014" max="11266" width="9.140625" style="1010"/>
    <col min="11267" max="11267" width="20.140625" style="1010" customWidth="1"/>
    <col min="11268" max="11268" width="12.28515625" style="1010" customWidth="1"/>
    <col min="11269" max="11269" width="11.28515625" style="1010" bestFit="1" customWidth="1"/>
    <col min="11270" max="11522" width="9.140625" style="1010"/>
    <col min="11523" max="11523" width="20.140625" style="1010" customWidth="1"/>
    <col min="11524" max="11524" width="12.28515625" style="1010" customWidth="1"/>
    <col min="11525" max="11525" width="11.28515625" style="1010" bestFit="1" customWidth="1"/>
    <col min="11526" max="11778" width="9.140625" style="1010"/>
    <col min="11779" max="11779" width="20.140625" style="1010" customWidth="1"/>
    <col min="11780" max="11780" width="12.28515625" style="1010" customWidth="1"/>
    <col min="11781" max="11781" width="11.28515625" style="1010" bestFit="1" customWidth="1"/>
    <col min="11782" max="12034" width="9.140625" style="1010"/>
    <col min="12035" max="12035" width="20.140625" style="1010" customWidth="1"/>
    <col min="12036" max="12036" width="12.28515625" style="1010" customWidth="1"/>
    <col min="12037" max="12037" width="11.28515625" style="1010" bestFit="1" customWidth="1"/>
    <col min="12038" max="12290" width="9.140625" style="1010"/>
    <col min="12291" max="12291" width="20.140625" style="1010" customWidth="1"/>
    <col min="12292" max="12292" width="12.28515625" style="1010" customWidth="1"/>
    <col min="12293" max="12293" width="11.28515625" style="1010" bestFit="1" customWidth="1"/>
    <col min="12294" max="12546" width="9.140625" style="1010"/>
    <col min="12547" max="12547" width="20.140625" style="1010" customWidth="1"/>
    <col min="12548" max="12548" width="12.28515625" style="1010" customWidth="1"/>
    <col min="12549" max="12549" width="11.28515625" style="1010" bestFit="1" customWidth="1"/>
    <col min="12550" max="12802" width="9.140625" style="1010"/>
    <col min="12803" max="12803" width="20.140625" style="1010" customWidth="1"/>
    <col min="12804" max="12804" width="12.28515625" style="1010" customWidth="1"/>
    <col min="12805" max="12805" width="11.28515625" style="1010" bestFit="1" customWidth="1"/>
    <col min="12806" max="13058" width="9.140625" style="1010"/>
    <col min="13059" max="13059" width="20.140625" style="1010" customWidth="1"/>
    <col min="13060" max="13060" width="12.28515625" style="1010" customWidth="1"/>
    <col min="13061" max="13061" width="11.28515625" style="1010" bestFit="1" customWidth="1"/>
    <col min="13062" max="13314" width="9.140625" style="1010"/>
    <col min="13315" max="13315" width="20.140625" style="1010" customWidth="1"/>
    <col min="13316" max="13316" width="12.28515625" style="1010" customWidth="1"/>
    <col min="13317" max="13317" width="11.28515625" style="1010" bestFit="1" customWidth="1"/>
    <col min="13318" max="13570" width="9.140625" style="1010"/>
    <col min="13571" max="13571" width="20.140625" style="1010" customWidth="1"/>
    <col min="13572" max="13572" width="12.28515625" style="1010" customWidth="1"/>
    <col min="13573" max="13573" width="11.28515625" style="1010" bestFit="1" customWidth="1"/>
    <col min="13574" max="13826" width="9.140625" style="1010"/>
    <col min="13827" max="13827" width="20.140625" style="1010" customWidth="1"/>
    <col min="13828" max="13828" width="12.28515625" style="1010" customWidth="1"/>
    <col min="13829" max="13829" width="11.28515625" style="1010" bestFit="1" customWidth="1"/>
    <col min="13830" max="14082" width="9.140625" style="1010"/>
    <col min="14083" max="14083" width="20.140625" style="1010" customWidth="1"/>
    <col min="14084" max="14084" width="12.28515625" style="1010" customWidth="1"/>
    <col min="14085" max="14085" width="11.28515625" style="1010" bestFit="1" customWidth="1"/>
    <col min="14086" max="14338" width="9.140625" style="1010"/>
    <col min="14339" max="14339" width="20.140625" style="1010" customWidth="1"/>
    <col min="14340" max="14340" width="12.28515625" style="1010" customWidth="1"/>
    <col min="14341" max="14341" width="11.28515625" style="1010" bestFit="1" customWidth="1"/>
    <col min="14342" max="14594" width="9.140625" style="1010"/>
    <col min="14595" max="14595" width="20.140625" style="1010" customWidth="1"/>
    <col min="14596" max="14596" width="12.28515625" style="1010" customWidth="1"/>
    <col min="14597" max="14597" width="11.28515625" style="1010" bestFit="1" customWidth="1"/>
    <col min="14598" max="14850" width="9.140625" style="1010"/>
    <col min="14851" max="14851" width="20.140625" style="1010" customWidth="1"/>
    <col min="14852" max="14852" width="12.28515625" style="1010" customWidth="1"/>
    <col min="14853" max="14853" width="11.28515625" style="1010" bestFit="1" customWidth="1"/>
    <col min="14854" max="15106" width="9.140625" style="1010"/>
    <col min="15107" max="15107" width="20.140625" style="1010" customWidth="1"/>
    <col min="15108" max="15108" width="12.28515625" style="1010" customWidth="1"/>
    <col min="15109" max="15109" width="11.28515625" style="1010" bestFit="1" customWidth="1"/>
    <col min="15110" max="15362" width="9.140625" style="1010"/>
    <col min="15363" max="15363" width="20.140625" style="1010" customWidth="1"/>
    <col min="15364" max="15364" width="12.28515625" style="1010" customWidth="1"/>
    <col min="15365" max="15365" width="11.28515625" style="1010" bestFit="1" customWidth="1"/>
    <col min="15366" max="15618" width="9.140625" style="1010"/>
    <col min="15619" max="15619" width="20.140625" style="1010" customWidth="1"/>
    <col min="15620" max="15620" width="12.28515625" style="1010" customWidth="1"/>
    <col min="15621" max="15621" width="11.28515625" style="1010" bestFit="1" customWidth="1"/>
    <col min="15622" max="15874" width="9.140625" style="1010"/>
    <col min="15875" max="15875" width="20.140625" style="1010" customWidth="1"/>
    <col min="15876" max="15876" width="12.28515625" style="1010" customWidth="1"/>
    <col min="15877" max="15877" width="11.28515625" style="1010" bestFit="1" customWidth="1"/>
    <col min="15878" max="16130" width="9.140625" style="1010"/>
    <col min="16131" max="16131" width="20.140625" style="1010" customWidth="1"/>
    <col min="16132" max="16132" width="12.28515625" style="1010" customWidth="1"/>
    <col min="16133" max="16133" width="11.28515625" style="1010" bestFit="1" customWidth="1"/>
    <col min="16134" max="16384" width="9.140625" style="1010"/>
  </cols>
  <sheetData>
    <row r="1" spans="1:20 16384:16384" ht="13.5" customHeight="1">
      <c r="A1" s="1009" t="s">
        <v>2370</v>
      </c>
    </row>
    <row r="2" spans="1:20 16384:16384" ht="13.5" customHeight="1">
      <c r="A2" s="1011"/>
      <c r="E2" s="1012"/>
    </row>
    <row r="4" spans="1:20 16384:16384" ht="58.5" customHeight="1">
      <c r="A4" s="1565" t="s">
        <v>2371</v>
      </c>
      <c r="B4" s="1565"/>
      <c r="C4" s="1565"/>
      <c r="D4" s="1565"/>
      <c r="E4" s="1565"/>
      <c r="F4" s="1565"/>
      <c r="G4" s="1565"/>
      <c r="K4" s="1565" t="s">
        <v>2372</v>
      </c>
      <c r="L4" s="1565"/>
      <c r="M4" s="1565"/>
      <c r="N4" s="1565"/>
      <c r="O4" s="1565"/>
      <c r="P4" s="1565"/>
      <c r="Q4" s="1565"/>
    </row>
    <row r="5" spans="1:20 16384:16384">
      <c r="C5" s="1013"/>
      <c r="D5" s="1014"/>
    </row>
    <row r="6" spans="1:20 16384:16384">
      <c r="A6" s="1471"/>
      <c r="B6" s="1471"/>
      <c r="C6" s="1472"/>
      <c r="D6" s="1471"/>
      <c r="E6" s="1471"/>
      <c r="F6" s="1471"/>
      <c r="G6" s="1471"/>
      <c r="H6" s="1471"/>
      <c r="I6" s="1471"/>
      <c r="J6" s="1213"/>
      <c r="K6" s="1471"/>
      <c r="L6" s="1471"/>
      <c r="M6" s="1471"/>
      <c r="N6" s="1471"/>
      <c r="O6" s="1471"/>
      <c r="P6" s="1471"/>
      <c r="Q6" s="1471"/>
      <c r="R6" s="1471"/>
      <c r="S6" s="1471"/>
      <c r="T6" s="1471"/>
    </row>
    <row r="7" spans="1:20 16384:16384">
      <c r="A7" s="1471"/>
      <c r="B7" s="1471"/>
      <c r="C7" s="1473"/>
      <c r="D7" s="1474" t="s">
        <v>2373</v>
      </c>
      <c r="E7" s="1475">
        <v>219643</v>
      </c>
      <c r="F7" s="1471"/>
      <c r="G7" s="1471"/>
      <c r="H7" s="1471"/>
      <c r="I7" s="1471"/>
      <c r="J7" s="1213"/>
      <c r="K7" s="1471"/>
      <c r="L7" s="1471"/>
      <c r="M7" s="1471"/>
      <c r="N7" s="1474" t="s">
        <v>2374</v>
      </c>
      <c r="O7" s="1475">
        <v>78964</v>
      </c>
      <c r="P7" s="1471"/>
      <c r="Q7" s="1471"/>
      <c r="R7" s="1471"/>
      <c r="S7" s="1471"/>
      <c r="T7" s="1471"/>
    </row>
    <row r="8" spans="1:20 16384:16384">
      <c r="A8" s="1471"/>
      <c r="B8" s="1471"/>
      <c r="C8" s="1476"/>
      <c r="D8" s="1474"/>
      <c r="E8" s="1475"/>
      <c r="F8" s="1476"/>
      <c r="G8" s="1471"/>
      <c r="H8" s="1471"/>
      <c r="I8" s="1471"/>
      <c r="J8" s="1213"/>
      <c r="K8" s="1471"/>
      <c r="L8" s="1471"/>
      <c r="M8" s="1471"/>
      <c r="N8" s="1471"/>
      <c r="O8" s="1471"/>
      <c r="P8" s="1471"/>
      <c r="Q8" s="1471"/>
      <c r="R8" s="1471"/>
      <c r="S8" s="1471"/>
      <c r="T8" s="1471"/>
    </row>
    <row r="9" spans="1:20 16384:16384" ht="45">
      <c r="A9" s="1471"/>
      <c r="B9" s="1477" t="s">
        <v>2375</v>
      </c>
      <c r="C9" s="1478" t="s">
        <v>166</v>
      </c>
      <c r="D9" s="1479"/>
      <c r="E9" s="1480" t="s">
        <v>2376</v>
      </c>
      <c r="F9" s="1480" t="s">
        <v>286</v>
      </c>
      <c r="G9" s="1480" t="s">
        <v>2377</v>
      </c>
      <c r="H9" s="1480" t="s">
        <v>2378</v>
      </c>
      <c r="I9" s="1471"/>
      <c r="J9" s="1213"/>
      <c r="K9" s="1471"/>
      <c r="L9" s="1477" t="s">
        <v>2375</v>
      </c>
      <c r="M9" s="1478" t="s">
        <v>166</v>
      </c>
      <c r="N9" s="1479"/>
      <c r="O9" s="1480" t="s">
        <v>2376</v>
      </c>
      <c r="P9" s="1480" t="s">
        <v>286</v>
      </c>
      <c r="Q9" s="1480" t="s">
        <v>2377</v>
      </c>
      <c r="R9" s="1480" t="s">
        <v>2378</v>
      </c>
      <c r="S9" s="1471"/>
      <c r="T9" s="1471"/>
    </row>
    <row r="10" spans="1:20 16384:16384">
      <c r="A10" s="1471"/>
      <c r="B10" s="1481">
        <v>2111</v>
      </c>
      <c r="C10" s="1482">
        <v>34832038.369999997</v>
      </c>
      <c r="D10" s="1483">
        <f t="shared" ref="D10:D27" si="0">C10/$C$29</f>
        <v>0.10078946076826023</v>
      </c>
      <c r="E10" s="1484">
        <f>$E$7*D10</f>
        <v>22137.699531522983</v>
      </c>
      <c r="F10" s="1484">
        <f>E10*0.0765</f>
        <v>1693.5340141615081</v>
      </c>
      <c r="G10" s="1485">
        <f>-E10</f>
        <v>-22137.699531522983</v>
      </c>
      <c r="H10" s="1485">
        <f>-F10</f>
        <v>-1693.5340141615081</v>
      </c>
      <c r="I10" s="1471"/>
      <c r="J10" s="1213"/>
      <c r="K10" s="1471"/>
      <c r="L10" s="1481">
        <v>2111</v>
      </c>
      <c r="M10" s="1482">
        <v>34832038.369999997</v>
      </c>
      <c r="N10" s="1483">
        <f t="shared" ref="N10:N27" si="1">M10/$C$29</f>
        <v>0.10078946076826023</v>
      </c>
      <c r="O10" s="1484">
        <f>$O$7*N10</f>
        <v>7958.7389801049012</v>
      </c>
      <c r="P10" s="1484">
        <f t="shared" ref="P10:P27" si="2">O10*0.0765</f>
        <v>608.84353197802488</v>
      </c>
      <c r="Q10" s="1504"/>
      <c r="R10" s="1471"/>
      <c r="S10" s="1471"/>
      <c r="T10" s="1471"/>
    </row>
    <row r="11" spans="1:20 16384:16384">
      <c r="A11" s="1471"/>
      <c r="B11" s="1481">
        <v>2112</v>
      </c>
      <c r="C11" s="1482">
        <v>14503774.23</v>
      </c>
      <c r="D11" s="1483">
        <f t="shared" si="0"/>
        <v>4.1967902315051597E-2</v>
      </c>
      <c r="E11" s="1484">
        <f>$E$7*D11</f>
        <v>9217.9559681848787</v>
      </c>
      <c r="F11" s="1484">
        <f t="shared" ref="F11:F27" si="3">E11*0.0765</f>
        <v>705.17363156614317</v>
      </c>
      <c r="G11" s="1485">
        <f t="shared" ref="G11:G15" si="4">-E11</f>
        <v>-9217.9559681848787</v>
      </c>
      <c r="H11" s="1485">
        <f t="shared" ref="H11:H15" si="5">-F11</f>
        <v>-705.17363156614317</v>
      </c>
      <c r="I11" s="1471"/>
      <c r="J11" s="1213"/>
      <c r="K11" s="1471"/>
      <c r="L11" s="1481">
        <v>2112</v>
      </c>
      <c r="M11" s="1482">
        <v>14503774.23</v>
      </c>
      <c r="N11" s="1483">
        <f t="shared" si="1"/>
        <v>4.1967902315051597E-2</v>
      </c>
      <c r="O11" s="1484">
        <f t="shared" ref="O11:O27" si="6">$O$7*N11</f>
        <v>3313.9534384057342</v>
      </c>
      <c r="P11" s="1484">
        <f t="shared" si="2"/>
        <v>253.51743803803868</v>
      </c>
      <c r="Q11" s="1504"/>
      <c r="R11" s="1471"/>
      <c r="S11" s="1471"/>
      <c r="T11" s="1471"/>
    </row>
    <row r="12" spans="1:20 16384:16384">
      <c r="A12" s="1471"/>
      <c r="B12" s="1481">
        <v>2113</v>
      </c>
      <c r="C12" s="1482">
        <v>4717788.57</v>
      </c>
      <c r="D12" s="1483">
        <f t="shared" si="0"/>
        <v>1.3651321835890641E-2</v>
      </c>
      <c r="E12" s="1484">
        <f t="shared" ref="E12:E27" si="7">$E$7*D12</f>
        <v>2998.4172820005278</v>
      </c>
      <c r="F12" s="1484">
        <f t="shared" si="3"/>
        <v>229.37892207304037</v>
      </c>
      <c r="G12" s="1485">
        <f t="shared" si="4"/>
        <v>-2998.4172820005278</v>
      </c>
      <c r="H12" s="1485">
        <f t="shared" si="5"/>
        <v>-229.37892207304037</v>
      </c>
      <c r="I12" s="1471"/>
      <c r="J12" s="1213"/>
      <c r="K12" s="1471"/>
      <c r="L12" s="1481">
        <v>2113</v>
      </c>
      <c r="M12" s="1482">
        <v>4717788.57</v>
      </c>
      <c r="N12" s="1483">
        <f t="shared" si="1"/>
        <v>1.3651321835890641E-2</v>
      </c>
      <c r="O12" s="1484">
        <f t="shared" si="6"/>
        <v>1077.9629774492685</v>
      </c>
      <c r="P12" s="1484">
        <f t="shared" si="2"/>
        <v>82.46416777486904</v>
      </c>
      <c r="Q12" s="1504"/>
      <c r="R12" s="1471"/>
      <c r="S12" s="1471"/>
      <c r="T12" s="1471"/>
    </row>
    <row r="13" spans="1:20 16384:16384">
      <c r="A13" s="1471"/>
      <c r="B13" s="1481">
        <v>2132</v>
      </c>
      <c r="C13" s="1482">
        <v>884972.92</v>
      </c>
      <c r="D13" s="1483">
        <f t="shared" si="0"/>
        <v>2.5607442910414065E-3</v>
      </c>
      <c r="E13" s="1484">
        <f>$E$7*D13</f>
        <v>562.44955831720767</v>
      </c>
      <c r="F13" s="1484">
        <f t="shared" si="3"/>
        <v>43.027391211266384</v>
      </c>
      <c r="G13" s="1485">
        <f t="shared" si="4"/>
        <v>-562.44955831720767</v>
      </c>
      <c r="H13" s="1485">
        <f t="shared" si="5"/>
        <v>-43.027391211266384</v>
      </c>
      <c r="I13" s="1471"/>
      <c r="J13" s="1213"/>
      <c r="K13" s="1471"/>
      <c r="L13" s="1481">
        <v>2132</v>
      </c>
      <c r="M13" s="1482">
        <v>884972.92</v>
      </c>
      <c r="N13" s="1483">
        <f t="shared" si="1"/>
        <v>2.5607442910414065E-3</v>
      </c>
      <c r="O13" s="1484">
        <f t="shared" si="6"/>
        <v>202.20661219779362</v>
      </c>
      <c r="P13" s="1484">
        <f t="shared" si="2"/>
        <v>15.468805833131212</v>
      </c>
      <c r="Q13" s="1504"/>
      <c r="R13" s="1471"/>
      <c r="S13" s="1471"/>
      <c r="T13" s="1471"/>
    </row>
    <row r="14" spans="1:20 16384:16384">
      <c r="A14" s="1471"/>
      <c r="B14" s="1481">
        <v>2140</v>
      </c>
      <c r="C14" s="1482">
        <v>36377427.759999998</v>
      </c>
      <c r="D14" s="1483">
        <f t="shared" si="0"/>
        <v>0.10526117619417233</v>
      </c>
      <c r="E14" s="1484">
        <f t="shared" si="7"/>
        <v>23119.880522816591</v>
      </c>
      <c r="F14" s="1484">
        <f t="shared" si="3"/>
        <v>1768.6708599954693</v>
      </c>
      <c r="G14" s="1485">
        <f t="shared" si="4"/>
        <v>-23119.880522816591</v>
      </c>
      <c r="H14" s="1485">
        <f t="shared" si="5"/>
        <v>-1768.6708599954693</v>
      </c>
      <c r="I14" s="1471"/>
      <c r="J14" s="1213"/>
      <c r="K14" s="1471"/>
      <c r="L14" s="1481">
        <v>2140</v>
      </c>
      <c r="M14" s="1482">
        <v>36377427.759999998</v>
      </c>
      <c r="N14" s="1483">
        <f t="shared" si="1"/>
        <v>0.10526117619417233</v>
      </c>
      <c r="O14" s="1484">
        <f t="shared" si="6"/>
        <v>8311.8435169966233</v>
      </c>
      <c r="P14" s="1484">
        <f t="shared" si="2"/>
        <v>635.85602905024166</v>
      </c>
      <c r="Q14" s="1504"/>
      <c r="R14" s="1471"/>
      <c r="S14" s="1471"/>
      <c r="T14" s="1471"/>
    </row>
    <row r="15" spans="1:20 16384:16384">
      <c r="A15" s="1471"/>
      <c r="B15" s="1481">
        <v>2144</v>
      </c>
      <c r="C15" s="1482">
        <v>5803390.5</v>
      </c>
      <c r="D15" s="1483">
        <f t="shared" si="0"/>
        <v>1.6792603203676485E-2</v>
      </c>
      <c r="E15" s="1484">
        <f t="shared" si="7"/>
        <v>3688.377745465114</v>
      </c>
      <c r="F15" s="1484">
        <f t="shared" si="3"/>
        <v>282.16089752808119</v>
      </c>
      <c r="G15" s="1485">
        <f t="shared" si="4"/>
        <v>-3688.377745465114</v>
      </c>
      <c r="H15" s="1485">
        <f t="shared" si="5"/>
        <v>-282.16089752808119</v>
      </c>
      <c r="I15" s="1471"/>
      <c r="J15" s="1213"/>
      <c r="K15" s="1471"/>
      <c r="L15" s="1481">
        <v>2144</v>
      </c>
      <c r="M15" s="1482">
        <v>5803390.5</v>
      </c>
      <c r="N15" s="1483">
        <f t="shared" si="1"/>
        <v>1.6792603203676485E-2</v>
      </c>
      <c r="O15" s="1484">
        <f t="shared" si="6"/>
        <v>1326.01111937511</v>
      </c>
      <c r="P15" s="1484">
        <f t="shared" si="2"/>
        <v>101.43985063219591</v>
      </c>
      <c r="Q15" s="1504"/>
      <c r="R15" s="1471"/>
      <c r="S15" s="1471"/>
      <c r="T15" s="1471"/>
    </row>
    <row r="16" spans="1:20 16384:16384">
      <c r="A16" s="1471"/>
      <c r="B16" s="1481">
        <v>2180</v>
      </c>
      <c r="C16" s="1486">
        <v>58608448.939999998</v>
      </c>
      <c r="D16" s="1483">
        <f t="shared" si="0"/>
        <v>0.1695885237142587</v>
      </c>
      <c r="E16" s="1484">
        <f t="shared" si="7"/>
        <v>37248.932114170922</v>
      </c>
      <c r="F16" s="1484">
        <f t="shared" si="3"/>
        <v>2849.5433067340755</v>
      </c>
      <c r="G16" s="1476"/>
      <c r="H16" s="1471"/>
      <c r="I16" s="1471"/>
      <c r="J16" s="1213"/>
      <c r="K16" s="1471"/>
      <c r="L16" s="1481">
        <v>2180</v>
      </c>
      <c r="M16" s="1486">
        <v>58608448.939999998</v>
      </c>
      <c r="N16" s="1483">
        <f t="shared" si="1"/>
        <v>0.1695885237142587</v>
      </c>
      <c r="O16" s="1484">
        <f t="shared" si="6"/>
        <v>13391.388186572723</v>
      </c>
      <c r="P16" s="1484">
        <f t="shared" si="2"/>
        <v>1024.4411962728134</v>
      </c>
      <c r="Q16" s="1505">
        <f>O16</f>
        <v>13391.388186572723</v>
      </c>
      <c r="R16" s="1505">
        <f>P16</f>
        <v>1024.4411962728134</v>
      </c>
      <c r="S16" s="1471"/>
      <c r="T16" s="1471"/>
      <c r="XFD16" s="1015"/>
    </row>
    <row r="17" spans="1:20">
      <c r="A17" s="1471"/>
      <c r="B17" s="1481">
        <v>2182</v>
      </c>
      <c r="C17" s="1482">
        <v>11041963.199999999</v>
      </c>
      <c r="D17" s="1483">
        <f t="shared" si="0"/>
        <v>3.1950858141839296E-2</v>
      </c>
      <c r="E17" s="1484">
        <f t="shared" si="7"/>
        <v>7017.7823348480088</v>
      </c>
      <c r="F17" s="1484">
        <f t="shared" si="3"/>
        <v>536.86034861587268</v>
      </c>
      <c r="G17" s="1485">
        <f t="shared" ref="G17:G27" si="8">-E17</f>
        <v>-7017.7823348480088</v>
      </c>
      <c r="H17" s="1485">
        <f t="shared" ref="H17:H27" si="9">-F17</f>
        <v>-536.86034861587268</v>
      </c>
      <c r="I17" s="1471"/>
      <c r="J17" s="1213"/>
      <c r="K17" s="1471"/>
      <c r="L17" s="1481">
        <v>2182</v>
      </c>
      <c r="M17" s="1482">
        <v>11041963.199999999</v>
      </c>
      <c r="N17" s="1483">
        <f t="shared" si="1"/>
        <v>3.1950858141839296E-2</v>
      </c>
      <c r="O17" s="1484">
        <f t="shared" si="6"/>
        <v>2522.967562312198</v>
      </c>
      <c r="P17" s="1484">
        <f t="shared" si="2"/>
        <v>193.00701851688314</v>
      </c>
      <c r="Q17" s="1504"/>
      <c r="R17" s="1471"/>
      <c r="S17" s="1471"/>
      <c r="T17" s="1471"/>
    </row>
    <row r="18" spans="1:20">
      <c r="A18" s="1471"/>
      <c r="B18" s="1481">
        <v>2149</v>
      </c>
      <c r="C18" s="1482">
        <v>7564562.7599999998</v>
      </c>
      <c r="D18" s="1483">
        <f t="shared" si="0"/>
        <v>2.1888704687025251E-2</v>
      </c>
      <c r="E18" s="1484">
        <f t="shared" si="7"/>
        <v>4807.7007635722875</v>
      </c>
      <c r="F18" s="1484">
        <f t="shared" si="3"/>
        <v>367.78910841327996</v>
      </c>
      <c r="G18" s="1485">
        <f t="shared" si="8"/>
        <v>-4807.7007635722875</v>
      </c>
      <c r="H18" s="1485">
        <f t="shared" si="9"/>
        <v>-367.78910841327996</v>
      </c>
      <c r="I18" s="1471"/>
      <c r="J18" s="1213"/>
      <c r="K18" s="1471"/>
      <c r="L18" s="1481">
        <v>2149</v>
      </c>
      <c r="M18" s="1482">
        <v>7564562.7599999998</v>
      </c>
      <c r="N18" s="1483">
        <f t="shared" si="1"/>
        <v>2.1888704687025251E-2</v>
      </c>
      <c r="O18" s="1484">
        <f t="shared" si="6"/>
        <v>1728.4196769062619</v>
      </c>
      <c r="P18" s="1484">
        <f t="shared" si="2"/>
        <v>132.22410528332904</v>
      </c>
      <c r="Q18" s="1504"/>
      <c r="R18" s="1471"/>
      <c r="S18" s="1471"/>
      <c r="T18" s="1471"/>
    </row>
    <row r="19" spans="1:20">
      <c r="A19" s="1471"/>
      <c r="B19" s="1487">
        <v>2183</v>
      </c>
      <c r="C19" s="1482">
        <v>33466509.510000002</v>
      </c>
      <c r="D19" s="1483">
        <f t="shared" si="0"/>
        <v>9.6838187058667785E-2</v>
      </c>
      <c r="E19" s="1484">
        <f t="shared" si="7"/>
        <v>21269.829920126969</v>
      </c>
      <c r="F19" s="1484">
        <f t="shared" si="3"/>
        <v>1627.141988889713</v>
      </c>
      <c r="G19" s="1485">
        <f t="shared" si="8"/>
        <v>-21269.829920126969</v>
      </c>
      <c r="H19" s="1485">
        <f t="shared" si="9"/>
        <v>-1627.141988889713</v>
      </c>
      <c r="I19" s="1471"/>
      <c r="J19" s="1213"/>
      <c r="K19" s="1471"/>
      <c r="L19" s="1487">
        <v>2183</v>
      </c>
      <c r="M19" s="1482">
        <v>33466509.510000002</v>
      </c>
      <c r="N19" s="1483">
        <f t="shared" si="1"/>
        <v>9.6838187058667785E-2</v>
      </c>
      <c r="O19" s="1484">
        <f t="shared" si="6"/>
        <v>7646.7306029006431</v>
      </c>
      <c r="P19" s="1484">
        <f t="shared" si="2"/>
        <v>584.97489112189919</v>
      </c>
      <c r="Q19" s="1504"/>
      <c r="R19" s="1506"/>
      <c r="S19" s="1471"/>
      <c r="T19" s="1471"/>
    </row>
    <row r="20" spans="1:20">
      <c r="A20" s="1471"/>
      <c r="B20" s="1487">
        <v>2184</v>
      </c>
      <c r="C20" s="1482">
        <v>6609634.9699999997</v>
      </c>
      <c r="D20" s="1483">
        <f t="shared" si="0"/>
        <v>1.9125540039456955E-2</v>
      </c>
      <c r="E20" s="1484">
        <f t="shared" si="7"/>
        <v>4200.790990886444</v>
      </c>
      <c r="F20" s="1484">
        <f t="shared" si="3"/>
        <v>321.36051080281294</v>
      </c>
      <c r="G20" s="1485">
        <f t="shared" si="8"/>
        <v>-4200.790990886444</v>
      </c>
      <c r="H20" s="1485">
        <f t="shared" si="9"/>
        <v>-321.36051080281294</v>
      </c>
      <c r="I20" s="1471"/>
      <c r="J20" s="1213"/>
      <c r="K20" s="1471"/>
      <c r="L20" s="1487">
        <v>2184</v>
      </c>
      <c r="M20" s="1482">
        <v>6609634.9699999997</v>
      </c>
      <c r="N20" s="1483">
        <f t="shared" si="1"/>
        <v>1.9125540039456955E-2</v>
      </c>
      <c r="O20" s="1484">
        <f t="shared" si="6"/>
        <v>1510.2291436756791</v>
      </c>
      <c r="P20" s="1484">
        <f t="shared" si="2"/>
        <v>115.53252949118945</v>
      </c>
      <c r="Q20" s="1504"/>
      <c r="R20" s="1506"/>
      <c r="S20" s="1471"/>
      <c r="T20" s="1471"/>
    </row>
    <row r="21" spans="1:20">
      <c r="A21" s="1471"/>
      <c r="B21" s="1487">
        <v>2185</v>
      </c>
      <c r="C21" s="1482">
        <v>4104594.58</v>
      </c>
      <c r="D21" s="1483">
        <f t="shared" si="0"/>
        <v>1.1876992956772621E-2</v>
      </c>
      <c r="E21" s="1484">
        <f t="shared" si="7"/>
        <v>2608.6983640044086</v>
      </c>
      <c r="F21" s="1484">
        <f t="shared" si="3"/>
        <v>199.56542484633727</v>
      </c>
      <c r="G21" s="1485">
        <f t="shared" si="8"/>
        <v>-2608.6983640044086</v>
      </c>
      <c r="H21" s="1485">
        <f t="shared" si="9"/>
        <v>-199.56542484633727</v>
      </c>
      <c r="I21" s="1471"/>
      <c r="J21" s="1213"/>
      <c r="K21" s="1471"/>
      <c r="L21" s="1487">
        <v>2185</v>
      </c>
      <c r="M21" s="1482">
        <v>4104594.58</v>
      </c>
      <c r="N21" s="1483">
        <f t="shared" si="1"/>
        <v>1.1876992956772621E-2</v>
      </c>
      <c r="O21" s="1484">
        <f t="shared" si="6"/>
        <v>937.85487183859323</v>
      </c>
      <c r="P21" s="1484">
        <f t="shared" si="2"/>
        <v>71.745897695652374</v>
      </c>
      <c r="Q21" s="1504"/>
      <c r="R21" s="1506"/>
      <c r="S21" s="1471"/>
      <c r="T21" s="1471"/>
    </row>
    <row r="22" spans="1:20">
      <c r="A22" s="1471"/>
      <c r="B22" s="1487">
        <v>2186</v>
      </c>
      <c r="C22" s="1482">
        <v>11955138.699999999</v>
      </c>
      <c r="D22" s="1483">
        <f t="shared" si="0"/>
        <v>3.459320899291831E-2</v>
      </c>
      <c r="E22" s="1484">
        <f t="shared" si="7"/>
        <v>7598.1562028315566</v>
      </c>
      <c r="F22" s="1484">
        <f t="shared" si="3"/>
        <v>581.25894951661405</v>
      </c>
      <c r="G22" s="1485">
        <f t="shared" si="8"/>
        <v>-7598.1562028315566</v>
      </c>
      <c r="H22" s="1485">
        <f t="shared" si="9"/>
        <v>-581.25894951661405</v>
      </c>
      <c r="I22" s="1471"/>
      <c r="J22" s="1213"/>
      <c r="K22" s="1471"/>
      <c r="L22" s="1487">
        <v>2186</v>
      </c>
      <c r="M22" s="1482">
        <v>11955138.699999999</v>
      </c>
      <c r="N22" s="1483">
        <f t="shared" si="1"/>
        <v>3.459320899291831E-2</v>
      </c>
      <c r="O22" s="1484">
        <f t="shared" si="6"/>
        <v>2731.6181549168014</v>
      </c>
      <c r="P22" s="1484">
        <f t="shared" si="2"/>
        <v>208.96878885113529</v>
      </c>
      <c r="Q22" s="1504"/>
      <c r="R22" s="1471"/>
      <c r="S22" s="1471"/>
      <c r="T22" s="1471"/>
    </row>
    <row r="23" spans="1:20">
      <c r="A23" s="1471"/>
      <c r="B23" s="1487">
        <v>2187</v>
      </c>
      <c r="C23" s="1482">
        <v>5283011.84</v>
      </c>
      <c r="D23" s="1483">
        <f t="shared" si="0"/>
        <v>1.5286843363279585E-2</v>
      </c>
      <c r="E23" s="1484">
        <f t="shared" si="7"/>
        <v>3357.6481368408176</v>
      </c>
      <c r="F23" s="1484">
        <f t="shared" si="3"/>
        <v>256.86008246832256</v>
      </c>
      <c r="G23" s="1485">
        <f t="shared" si="8"/>
        <v>-3357.6481368408176</v>
      </c>
      <c r="H23" s="1485">
        <f t="shared" si="9"/>
        <v>-256.86008246832256</v>
      </c>
      <c r="I23" s="1471"/>
      <c r="J23" s="1213"/>
      <c r="K23" s="1471"/>
      <c r="L23" s="1487">
        <v>2187</v>
      </c>
      <c r="M23" s="1482">
        <v>5283011.84</v>
      </c>
      <c r="N23" s="1483">
        <f t="shared" si="1"/>
        <v>1.5286843363279585E-2</v>
      </c>
      <c r="O23" s="1484">
        <f t="shared" si="6"/>
        <v>1207.1102993380091</v>
      </c>
      <c r="P23" s="1484">
        <f t="shared" si="2"/>
        <v>92.343937899357698</v>
      </c>
      <c r="Q23" s="1504"/>
      <c r="R23" s="1471"/>
      <c r="S23" s="1471"/>
      <c r="T23" s="1471"/>
    </row>
    <row r="24" spans="1:20">
      <c r="A24" s="1471"/>
      <c r="B24" s="1487">
        <v>2188</v>
      </c>
      <c r="C24" s="1482">
        <v>14076883.710000001</v>
      </c>
      <c r="D24" s="1483">
        <f t="shared" si="0"/>
        <v>4.0732658346242137E-2</v>
      </c>
      <c r="E24" s="1484">
        <f t="shared" si="7"/>
        <v>8946.6432771436612</v>
      </c>
      <c r="F24" s="1484">
        <f t="shared" si="3"/>
        <v>684.41821070149001</v>
      </c>
      <c r="G24" s="1485">
        <f t="shared" si="8"/>
        <v>-8946.6432771436612</v>
      </c>
      <c r="H24" s="1485">
        <f t="shared" si="9"/>
        <v>-684.41821070149001</v>
      </c>
      <c r="I24" s="1471"/>
      <c r="J24" s="1213"/>
      <c r="K24" s="1471"/>
      <c r="L24" s="1487">
        <v>2188</v>
      </c>
      <c r="M24" s="1482">
        <v>14076883.710000001</v>
      </c>
      <c r="N24" s="1483">
        <f t="shared" si="1"/>
        <v>4.0732658346242137E-2</v>
      </c>
      <c r="O24" s="1484">
        <f t="shared" si="6"/>
        <v>3216.413633652664</v>
      </c>
      <c r="P24" s="1484">
        <f t="shared" si="2"/>
        <v>246.05564297442879</v>
      </c>
      <c r="Q24" s="1504"/>
      <c r="R24" s="1471"/>
      <c r="S24" s="1471"/>
      <c r="T24" s="1471"/>
    </row>
    <row r="25" spans="1:20">
      <c r="A25" s="1471"/>
      <c r="B25" s="1487">
        <v>2189</v>
      </c>
      <c r="C25" s="1482">
        <v>4177450.01</v>
      </c>
      <c r="D25" s="1483">
        <f t="shared" si="0"/>
        <v>1.2087806329959074E-2</v>
      </c>
      <c r="E25" s="1484">
        <f t="shared" si="7"/>
        <v>2655.0020457312007</v>
      </c>
      <c r="F25" s="1484">
        <f t="shared" si="3"/>
        <v>203.10765649843685</v>
      </c>
      <c r="G25" s="1485">
        <f t="shared" si="8"/>
        <v>-2655.0020457312007</v>
      </c>
      <c r="H25" s="1485">
        <f t="shared" si="9"/>
        <v>-203.10765649843685</v>
      </c>
      <c r="I25" s="1471"/>
      <c r="J25" s="1213"/>
      <c r="K25" s="1471"/>
      <c r="L25" s="1487">
        <v>2189</v>
      </c>
      <c r="M25" s="1482">
        <v>4177450.01</v>
      </c>
      <c r="N25" s="1483">
        <f t="shared" si="1"/>
        <v>1.2087806329959074E-2</v>
      </c>
      <c r="O25" s="1484">
        <f t="shared" si="6"/>
        <v>954.50153903888827</v>
      </c>
      <c r="P25" s="1484">
        <f t="shared" si="2"/>
        <v>73.019367736474948</v>
      </c>
      <c r="Q25" s="1504"/>
      <c r="R25" s="1471"/>
      <c r="S25" s="1471"/>
      <c r="T25" s="1471"/>
    </row>
    <row r="26" spans="1:20">
      <c r="A26" s="1471"/>
      <c r="B26" s="1487">
        <v>2190</v>
      </c>
      <c r="C26" s="1482">
        <v>87627350.299999997</v>
      </c>
      <c r="D26" s="1483">
        <f t="shared" si="0"/>
        <v>0.25355717892453755</v>
      </c>
      <c r="E26" s="1484">
        <f t="shared" si="7"/>
        <v>55692.059450522203</v>
      </c>
      <c r="F26" s="1484">
        <f t="shared" si="3"/>
        <v>4260.4425479649481</v>
      </c>
      <c r="G26" s="1485">
        <f t="shared" si="8"/>
        <v>-55692.059450522203</v>
      </c>
      <c r="H26" s="1485">
        <f t="shared" si="9"/>
        <v>-4260.4425479649481</v>
      </c>
      <c r="I26" s="1471"/>
      <c r="J26" s="1213"/>
      <c r="K26" s="1471"/>
      <c r="L26" s="1487">
        <v>2190</v>
      </c>
      <c r="M26" s="1482">
        <v>87627350.299999997</v>
      </c>
      <c r="N26" s="1483">
        <f t="shared" si="1"/>
        <v>0.25355717892453755</v>
      </c>
      <c r="O26" s="1484">
        <f t="shared" si="6"/>
        <v>20021.889076597185</v>
      </c>
      <c r="P26" s="1484">
        <f t="shared" si="2"/>
        <v>1531.6745143596845</v>
      </c>
      <c r="Q26" s="1504"/>
      <c r="R26" s="1471"/>
      <c r="S26" s="1471"/>
      <c r="T26" s="1471"/>
    </row>
    <row r="27" spans="1:20">
      <c r="A27" s="1471"/>
      <c r="B27" s="1487">
        <v>2191</v>
      </c>
      <c r="C27" s="1488">
        <v>3957129.02</v>
      </c>
      <c r="D27" s="1489">
        <f t="shared" si="0"/>
        <v>1.145028883695026E-2</v>
      </c>
      <c r="E27" s="1490">
        <f t="shared" si="7"/>
        <v>2514.9757910142662</v>
      </c>
      <c r="F27" s="1490">
        <f t="shared" si="3"/>
        <v>192.39564801259135</v>
      </c>
      <c r="G27" s="1485">
        <f t="shared" si="8"/>
        <v>-2514.9757910142662</v>
      </c>
      <c r="H27" s="1485">
        <f t="shared" si="9"/>
        <v>-192.39564801259135</v>
      </c>
      <c r="I27" s="1471"/>
      <c r="J27" s="1213"/>
      <c r="K27" s="1471"/>
      <c r="L27" s="1487">
        <v>2191</v>
      </c>
      <c r="M27" s="1488">
        <v>3957129.02</v>
      </c>
      <c r="N27" s="1489">
        <f t="shared" si="1"/>
        <v>1.145028883695026E-2</v>
      </c>
      <c r="O27" s="1490">
        <f t="shared" si="6"/>
        <v>904.16060772094033</v>
      </c>
      <c r="P27" s="1490">
        <f t="shared" si="2"/>
        <v>69.168286490651937</v>
      </c>
      <c r="Q27" s="1507"/>
      <c r="R27" s="1508"/>
      <c r="S27" s="1471"/>
      <c r="T27" s="1471"/>
    </row>
    <row r="28" spans="1:20">
      <c r="A28" s="1471"/>
      <c r="B28" s="1491"/>
      <c r="C28" s="1471"/>
      <c r="D28" s="1471"/>
      <c r="E28" s="1471"/>
      <c r="F28" s="1471"/>
      <c r="G28" s="1471"/>
      <c r="H28" s="1471"/>
      <c r="I28" s="1471"/>
      <c r="J28" s="1213"/>
      <c r="K28" s="1471"/>
      <c r="L28" s="1471"/>
      <c r="M28" s="1471"/>
      <c r="N28" s="1471"/>
      <c r="O28" s="1471"/>
      <c r="P28" s="1471"/>
      <c r="Q28" s="1471"/>
      <c r="R28" s="1471"/>
      <c r="S28" s="1471"/>
      <c r="T28" s="1471"/>
    </row>
    <row r="29" spans="1:20">
      <c r="A29" s="1471"/>
      <c r="B29" s="1492"/>
      <c r="C29" s="1493">
        <f t="shared" ref="C29:H29" si="10">SUM(C10:C27)</f>
        <v>345592069.88999993</v>
      </c>
      <c r="D29" s="1494">
        <f t="shared" si="10"/>
        <v>1.0000000000000002</v>
      </c>
      <c r="E29" s="1495">
        <f t="shared" si="10"/>
        <v>219643.00000000009</v>
      </c>
      <c r="F29" s="1495">
        <f t="shared" si="10"/>
        <v>16802.689500000004</v>
      </c>
      <c r="G29" s="1496">
        <f t="shared" si="10"/>
        <v>-182394.06788582914</v>
      </c>
      <c r="H29" s="1496">
        <f t="shared" si="10"/>
        <v>-13953.146193265924</v>
      </c>
      <c r="I29" s="1471"/>
      <c r="J29" s="1213"/>
      <c r="K29" s="1471"/>
      <c r="L29" s="1491"/>
      <c r="M29" s="1493">
        <f t="shared" ref="M29:R29" si="11">SUM(M10:M27)</f>
        <v>345592069.88999993</v>
      </c>
      <c r="N29" s="1494">
        <f t="shared" si="11"/>
        <v>1.0000000000000002</v>
      </c>
      <c r="O29" s="1495">
        <f t="shared" si="11"/>
        <v>78964.000000000029</v>
      </c>
      <c r="P29" s="1495">
        <f t="shared" si="11"/>
        <v>6040.746000000001</v>
      </c>
      <c r="Q29" s="1496">
        <f t="shared" si="11"/>
        <v>13391.388186572723</v>
      </c>
      <c r="R29" s="1496">
        <f t="shared" si="11"/>
        <v>1024.4411962728134</v>
      </c>
      <c r="S29" s="1471"/>
      <c r="T29" s="1471"/>
    </row>
    <row r="30" spans="1:20">
      <c r="A30" s="1471"/>
      <c r="B30" s="1492"/>
      <c r="C30" s="1497"/>
      <c r="D30" s="1498"/>
      <c r="E30" s="1499"/>
      <c r="F30" s="1471"/>
      <c r="G30" s="1500"/>
      <c r="H30" s="1471"/>
      <c r="I30" s="1471"/>
      <c r="J30" s="1213"/>
      <c r="K30" s="1471"/>
      <c r="L30" s="1492"/>
      <c r="M30" s="1497"/>
      <c r="N30" s="1498"/>
      <c r="O30" s="1499"/>
      <c r="P30" s="1471"/>
      <c r="Q30" s="1500"/>
      <c r="R30" s="1471"/>
      <c r="S30" s="1471"/>
      <c r="T30" s="1471"/>
    </row>
    <row r="31" spans="1:20" ht="15.75" thickBot="1">
      <c r="A31" s="1471"/>
      <c r="B31" s="1492"/>
      <c r="C31" s="1497"/>
      <c r="D31" s="1498"/>
      <c r="E31" s="1499"/>
      <c r="F31" s="1471"/>
      <c r="G31" s="1501">
        <f>+G29+H29</f>
        <v>-196347.21407909505</v>
      </c>
      <c r="H31" s="1502" t="s">
        <v>2386</v>
      </c>
      <c r="I31" s="1503"/>
      <c r="J31" s="1214"/>
      <c r="K31" s="1471"/>
      <c r="L31" s="1492"/>
      <c r="M31" s="1497"/>
      <c r="N31" s="1498"/>
      <c r="O31" s="1499"/>
      <c r="P31" s="1471"/>
      <c r="Q31" s="1501">
        <f>Q29+R29</f>
        <v>14415.829382845537</v>
      </c>
      <c r="R31" s="1502" t="s">
        <v>2379</v>
      </c>
      <c r="S31" s="1471"/>
      <c r="T31" s="1471"/>
    </row>
    <row r="32" spans="1:20">
      <c r="B32" s="770"/>
      <c r="C32" s="1017"/>
      <c r="D32" s="1018"/>
      <c r="E32" s="1019"/>
      <c r="G32" s="1016"/>
    </row>
    <row r="33" spans="2:7">
      <c r="B33" s="770"/>
      <c r="C33" s="1017"/>
      <c r="D33" s="1018"/>
      <c r="E33" s="1019"/>
      <c r="G33" s="1016"/>
    </row>
    <row r="34" spans="2:7">
      <c r="B34" s="770"/>
      <c r="C34" s="1017"/>
      <c r="D34" s="1018"/>
      <c r="E34" s="1019"/>
    </row>
  </sheetData>
  <mergeCells count="2">
    <mergeCell ref="A4:G4"/>
    <mergeCell ref="K4:Q4"/>
  </mergeCells>
  <pageMargins left="0.7" right="0.7" top="0.75" bottom="0.75" header="0.3" footer="0.3"/>
  <pageSetup scale="93" orientation="landscape" errors="blank" r:id="rId1"/>
  <headerFooter>
    <oddHeader>&amp;C&amp;"-,Bold"CONFIDENTIAL PER WAC 480-07-160</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CC"/>
  </sheetPr>
  <dimension ref="A1:AR252"/>
  <sheetViews>
    <sheetView showGridLines="0" view="pageBreakPreview" zoomScale="60" zoomScaleNormal="85" workbookViewId="0">
      <selection activeCell="AP280" sqref="AP280"/>
    </sheetView>
  </sheetViews>
  <sheetFormatPr defaultColWidth="13.85546875" defaultRowHeight="15" customHeight="1" outlineLevelRow="1" outlineLevelCol="1"/>
  <cols>
    <col min="1" max="1" width="7.85546875" style="1" customWidth="1"/>
    <col min="2" max="3" width="2.28515625" style="1" customWidth="1"/>
    <col min="4" max="4" width="31.42578125" style="1" customWidth="1"/>
    <col min="5" max="5" width="2.28515625" style="1" customWidth="1"/>
    <col min="6" max="6" width="2.140625" style="1" customWidth="1"/>
    <col min="7" max="7" width="12.28515625" style="63" hidden="1" customWidth="1" outlineLevel="1"/>
    <col min="8" max="8" width="1.5703125" style="1" hidden="1" customWidth="1" outlineLevel="1"/>
    <col min="9" max="9" width="12.28515625" style="63" hidden="1" customWidth="1" outlineLevel="1"/>
    <col min="10" max="10" width="1.5703125" style="1" hidden="1" customWidth="1" outlineLevel="1"/>
    <col min="11" max="11" width="12.28515625" style="63" hidden="1" customWidth="1" outlineLevel="1"/>
    <col min="12" max="12" width="1.5703125" style="1" hidden="1" customWidth="1" outlineLevel="1"/>
    <col min="13" max="13" width="13.5703125" style="63" hidden="1" customWidth="1" outlineLevel="1"/>
    <col min="14" max="14" width="0.85546875" style="1" hidden="1" customWidth="1" outlineLevel="1"/>
    <col min="15" max="15" width="12.28515625" style="63" hidden="1" customWidth="1" outlineLevel="1"/>
    <col min="16" max="16" width="1.5703125" style="1" hidden="1" customWidth="1" outlineLevel="1"/>
    <col min="17" max="17" width="12.28515625" style="63" hidden="1" customWidth="1" outlineLevel="1"/>
    <col min="18" max="18" width="1.5703125" style="1" hidden="1" customWidth="1" outlineLevel="1"/>
    <col min="19" max="19" width="12.28515625" style="63" hidden="1" customWidth="1" outlineLevel="1"/>
    <col min="20" max="20" width="0.85546875" style="1" hidden="1" customWidth="1" outlineLevel="1"/>
    <col min="21" max="21" width="12.28515625" style="63" hidden="1" customWidth="1" outlineLevel="1"/>
    <col min="22" max="22" width="1.5703125" style="1" hidden="1" customWidth="1" outlineLevel="1"/>
    <col min="23" max="23" width="12.28515625" style="63" hidden="1" customWidth="1" outlineLevel="1"/>
    <col min="24" max="24" width="1.5703125" style="1" hidden="1" customWidth="1" outlineLevel="1"/>
    <col min="25" max="25" width="12.28515625" style="63" hidden="1" customWidth="1" outlineLevel="1"/>
    <col min="26" max="26" width="0.85546875" style="1" hidden="1" customWidth="1" outlineLevel="1"/>
    <col min="27" max="27" width="12.28515625" style="63" hidden="1" customWidth="1" outlineLevel="1"/>
    <col min="28" max="28" width="1.5703125" style="1" hidden="1" customWidth="1" outlineLevel="1"/>
    <col min="29" max="29" width="12.28515625" style="63" hidden="1" customWidth="1" outlineLevel="1"/>
    <col min="30" max="30" width="1.5703125" style="1" hidden="1" customWidth="1" outlineLevel="1"/>
    <col min="31" max="31" width="12.28515625" style="63" customWidth="1" collapsed="1"/>
    <col min="32" max="32" width="4.85546875" style="1" customWidth="1"/>
    <col min="33" max="33" width="1.42578125" style="1" customWidth="1"/>
    <col min="34" max="34" width="18" style="1" customWidth="1"/>
    <col min="35" max="35" width="12.5703125" style="1" bestFit="1" customWidth="1"/>
    <col min="36" max="36" width="16" style="1" customWidth="1"/>
    <col min="37" max="37" width="6.28515625" style="1" customWidth="1"/>
    <col min="38" max="38" width="2.5703125" style="1" customWidth="1"/>
    <col min="39" max="39" width="3.28515625" style="1" customWidth="1"/>
    <col min="40" max="40" width="3.7109375" style="1" customWidth="1"/>
    <col min="41" max="44" width="18" style="1" customWidth="1"/>
    <col min="45" max="16384" width="13.85546875" style="1"/>
  </cols>
  <sheetData>
    <row r="1" spans="1:44" s="14" customFormat="1" ht="15" customHeight="1">
      <c r="A1" s="1580" t="s">
        <v>2759</v>
      </c>
      <c r="B1" s="1605"/>
      <c r="C1" s="1605"/>
      <c r="D1" s="1605"/>
      <c r="E1" s="1605"/>
      <c r="F1" s="1605"/>
      <c r="G1" s="1605"/>
      <c r="H1" s="1605"/>
      <c r="I1" s="1605"/>
      <c r="J1" s="1606"/>
      <c r="K1" s="1607"/>
      <c r="L1" s="1605"/>
      <c r="M1" s="1605"/>
      <c r="N1" s="1606"/>
      <c r="O1" s="1608"/>
      <c r="P1" s="1606"/>
      <c r="Q1" s="1607"/>
      <c r="R1" s="1605"/>
      <c r="S1" s="1605"/>
      <c r="T1" s="1605"/>
      <c r="U1" s="1605"/>
      <c r="V1" s="1606"/>
      <c r="W1" s="1607"/>
      <c r="X1" s="1605"/>
      <c r="Y1" s="1605"/>
      <c r="Z1" s="1605"/>
      <c r="AA1" s="1605"/>
      <c r="AB1" s="1606"/>
      <c r="AC1" s="1607"/>
      <c r="AD1" s="1605"/>
      <c r="AE1" s="1605"/>
      <c r="AF1" s="1605"/>
      <c r="AG1" s="1605"/>
      <c r="AH1" s="1605"/>
      <c r="AI1" s="1605"/>
      <c r="AJ1" s="1605"/>
      <c r="AO1" s="1097"/>
      <c r="AP1" s="1098"/>
      <c r="AQ1" s="1098"/>
      <c r="AR1" s="1098"/>
    </row>
    <row r="2" spans="1:44" s="14" customFormat="1" ht="15" customHeight="1">
      <c r="A2" s="1580" t="s">
        <v>298</v>
      </c>
      <c r="B2" s="1609"/>
      <c r="C2" s="1605"/>
      <c r="D2" s="1605"/>
      <c r="E2" s="1605"/>
      <c r="F2" s="1605"/>
      <c r="G2" s="1605"/>
      <c r="H2" s="1605"/>
      <c r="I2" s="1605"/>
      <c r="J2" s="1605"/>
      <c r="K2" s="1610"/>
      <c r="L2" s="1605"/>
      <c r="M2" s="1605"/>
      <c r="N2" s="1606"/>
      <c r="O2" s="1610"/>
      <c r="P2" s="1605"/>
      <c r="Q2" s="1610" t="s">
        <v>187</v>
      </c>
      <c r="R2" s="1605"/>
      <c r="S2" s="1605"/>
      <c r="T2" s="1605"/>
      <c r="U2" s="1605"/>
      <c r="V2" s="1605"/>
      <c r="W2" s="1610" t="s">
        <v>187</v>
      </c>
      <c r="X2" s="1605"/>
      <c r="Y2" s="1605"/>
      <c r="Z2" s="1605"/>
      <c r="AA2" s="1605"/>
      <c r="AB2" s="1605"/>
      <c r="AC2" s="1610" t="s">
        <v>187</v>
      </c>
      <c r="AD2" s="1605"/>
      <c r="AE2" s="1605"/>
      <c r="AF2" s="1605"/>
      <c r="AG2" s="1611" t="s">
        <v>2760</v>
      </c>
      <c r="AH2" s="1612">
        <f>AP45</f>
        <v>6.9442040274652353E-2</v>
      </c>
      <c r="AI2" s="1605"/>
      <c r="AJ2" s="1605"/>
      <c r="AO2" s="1099"/>
      <c r="AP2" s="1100" t="s">
        <v>2761</v>
      </c>
      <c r="AQ2" s="1101" t="s">
        <v>2762</v>
      </c>
      <c r="AR2" s="1101" t="s">
        <v>2762</v>
      </c>
    </row>
    <row r="3" spans="1:44" s="14" customFormat="1" ht="15" customHeight="1">
      <c r="A3" s="1580" t="s">
        <v>2763</v>
      </c>
      <c r="B3" s="1605"/>
      <c r="C3" s="1605"/>
      <c r="D3" s="1605"/>
      <c r="E3" s="1605"/>
      <c r="F3" s="1605"/>
      <c r="G3" s="1605"/>
      <c r="H3" s="1605"/>
      <c r="I3" s="1605"/>
      <c r="J3" s="1605"/>
      <c r="K3" s="1605"/>
      <c r="L3" s="1605"/>
      <c r="M3" s="1605"/>
      <c r="N3" s="1605"/>
      <c r="O3" s="1605"/>
      <c r="P3" s="1605"/>
      <c r="Q3" s="1605"/>
      <c r="R3" s="1605"/>
      <c r="S3" s="1605"/>
      <c r="T3" s="1605"/>
      <c r="U3" s="1605"/>
      <c r="V3" s="1605"/>
      <c r="W3" s="1605"/>
      <c r="X3" s="1605"/>
      <c r="Y3" s="1605"/>
      <c r="Z3" s="1605"/>
      <c r="AA3" s="1605"/>
      <c r="AB3" s="1605"/>
      <c r="AC3" s="1605"/>
      <c r="AD3" s="1605"/>
      <c r="AE3" s="1611" t="s">
        <v>2764</v>
      </c>
      <c r="AF3" s="1605"/>
      <c r="AG3" s="1611" t="s">
        <v>2765</v>
      </c>
      <c r="AH3" s="1612">
        <f>AQ45</f>
        <v>7.3385608699630664E-2</v>
      </c>
      <c r="AI3" s="1605"/>
      <c r="AJ3" s="1605"/>
      <c r="AO3" s="1102" t="s">
        <v>2766</v>
      </c>
      <c r="AP3" s="1103" t="s">
        <v>2767</v>
      </c>
      <c r="AQ3" s="1104" t="s">
        <v>2767</v>
      </c>
      <c r="AR3" s="1104" t="s">
        <v>2767</v>
      </c>
    </row>
    <row r="4" spans="1:44" s="14" customFormat="1" ht="15" customHeight="1">
      <c r="A4" s="1580"/>
      <c r="B4" s="1605"/>
      <c r="C4" s="1605"/>
      <c r="D4" s="1605"/>
      <c r="E4" s="1605"/>
      <c r="F4" s="1605"/>
      <c r="G4" s="1605"/>
      <c r="H4" s="1605"/>
      <c r="I4" s="1605"/>
      <c r="J4" s="1605"/>
      <c r="K4" s="1605"/>
      <c r="L4" s="1605"/>
      <c r="M4" s="1605"/>
      <c r="N4" s="1605"/>
      <c r="O4" s="1605"/>
      <c r="P4" s="1605"/>
      <c r="Q4" s="1605"/>
      <c r="R4" s="1605"/>
      <c r="S4" s="1605"/>
      <c r="T4" s="1605"/>
      <c r="U4" s="1605"/>
      <c r="V4" s="1605"/>
      <c r="W4" s="1605"/>
      <c r="X4" s="1605"/>
      <c r="Y4" s="1605"/>
      <c r="Z4" s="1605"/>
      <c r="AA4" s="1605"/>
      <c r="AB4" s="1605"/>
      <c r="AC4" s="1605"/>
      <c r="AD4" s="1605"/>
      <c r="AE4" s="1611" t="s">
        <v>2768</v>
      </c>
      <c r="AF4" s="1605"/>
      <c r="AG4" s="1611" t="s">
        <v>2765</v>
      </c>
      <c r="AH4" s="1612">
        <f>AR45</f>
        <v>7.2099514336713313E-2</v>
      </c>
      <c r="AI4" s="1605"/>
      <c r="AJ4" s="1605"/>
      <c r="AO4" s="1105"/>
      <c r="AP4" s="1106"/>
      <c r="AQ4" s="1106"/>
      <c r="AR4" s="1106"/>
    </row>
    <row r="5" spans="1:44" s="14" customFormat="1" ht="15" customHeight="1" thickBot="1">
      <c r="A5" s="1613"/>
      <c r="B5" s="1605"/>
      <c r="C5" s="1605"/>
      <c r="D5" s="1605"/>
      <c r="E5" s="1605"/>
      <c r="F5" s="1605"/>
      <c r="G5" s="1605"/>
      <c r="H5" s="1605"/>
      <c r="I5" s="1605"/>
      <c r="J5" s="1605"/>
      <c r="K5" s="1605"/>
      <c r="L5" s="1605"/>
      <c r="M5" s="1605"/>
      <c r="N5" s="1605"/>
      <c r="O5" s="1605"/>
      <c r="P5" s="1605"/>
      <c r="Q5" s="1605"/>
      <c r="R5" s="1605"/>
      <c r="S5" s="1605"/>
      <c r="T5" s="1605"/>
      <c r="U5" s="1605"/>
      <c r="V5" s="1605"/>
      <c r="W5" s="1605"/>
      <c r="X5" s="1605"/>
      <c r="Y5" s="1605"/>
      <c r="Z5" s="1605"/>
      <c r="AA5" s="1605"/>
      <c r="AB5" s="1605"/>
      <c r="AC5" s="1605"/>
      <c r="AD5" s="1605"/>
      <c r="AE5" s="1614"/>
      <c r="AF5" s="1614"/>
      <c r="AG5" s="1605"/>
      <c r="AH5" s="1614"/>
      <c r="AI5" s="1614"/>
      <c r="AJ5" s="1614"/>
      <c r="AK5" s="1107"/>
      <c r="AO5" s="1099">
        <v>2010</v>
      </c>
      <c r="AP5" s="1108">
        <f>IFERROR(VLOOKUP(AO5,'[53]2017 Alloc'!A:C,3,FALSE),0)</f>
        <v>0.12184542871155732</v>
      </c>
      <c r="AQ5" s="1108">
        <f>IFERROR(VLOOKUP(AO5,'[53]2018 Alloc Jan-Sep'!A:C,3,FALSE),0)</f>
        <v>0.1232474716646669</v>
      </c>
      <c r="AR5" s="1108">
        <f>IFERROR(VLOOKUP(AO5,'[53]2018 Alloc Oct-Dec'!A:C,3,FALSE),0)</f>
        <v>0.12108754029173897</v>
      </c>
    </row>
    <row r="6" spans="1:44" s="14" customFormat="1" ht="15" customHeight="1">
      <c r="A6" s="1566" t="s">
        <v>2769</v>
      </c>
      <c r="B6" s="1615"/>
      <c r="C6" s="1615"/>
      <c r="D6" s="1615"/>
      <c r="E6" s="1615"/>
      <c r="F6" s="1615"/>
      <c r="G6" s="161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7"/>
      <c r="AF6" s="1567"/>
      <c r="AG6" s="1605"/>
      <c r="AH6" s="1568" t="s">
        <v>298</v>
      </c>
      <c r="AI6" s="1568" t="s">
        <v>700</v>
      </c>
      <c r="AJ6" s="1568" t="s">
        <v>701</v>
      </c>
      <c r="AK6" s="1109"/>
      <c r="AO6" s="1099">
        <v>2011</v>
      </c>
      <c r="AP6" s="1108">
        <f>IFERROR(VLOOKUP(AO6,'[53]2017 Alloc'!A:C,3,FALSE),0)</f>
        <v>2.7466137268478449E-2</v>
      </c>
      <c r="AQ6" s="1108">
        <f>IFERROR(VLOOKUP(AO6,'[53]2018 Alloc Jan-Sep'!A:C,3,FALSE),0)</f>
        <v>2.7783310855255681E-2</v>
      </c>
      <c r="AR6" s="1108">
        <f>IFERROR(VLOOKUP(AO6,'[53]2018 Alloc Oct-Dec'!A:C,3,FALSE),0)</f>
        <v>2.7296403952018333E-2</v>
      </c>
    </row>
    <row r="7" spans="1:44" s="14" customFormat="1" ht="15" customHeight="1" thickBot="1">
      <c r="A7" s="1617"/>
      <c r="B7" s="1617"/>
      <c r="C7" s="1617"/>
      <c r="D7" s="1617"/>
      <c r="E7" s="1617"/>
      <c r="F7" s="1617"/>
      <c r="G7" s="1569">
        <f>'[53]2000_IS210'!J12</f>
        <v>43446</v>
      </c>
      <c r="H7" s="1570"/>
      <c r="I7" s="1569">
        <f>'[53]2000_IS210'!L12</f>
        <v>43466</v>
      </c>
      <c r="J7" s="1570"/>
      <c r="K7" s="1569">
        <f>'[53]2000_IS210'!N12</f>
        <v>43498</v>
      </c>
      <c r="L7" s="1571"/>
      <c r="M7" s="1569">
        <f>'[53]2000_IS210'!P12</f>
        <v>43527</v>
      </c>
      <c r="N7" s="1570"/>
      <c r="O7" s="1569">
        <f>'[53]2000_IS210'!R12</f>
        <v>43559</v>
      </c>
      <c r="P7" s="1570"/>
      <c r="Q7" s="1569">
        <f>'[53]2000_IS210'!T12</f>
        <v>43590</v>
      </c>
      <c r="R7" s="1571"/>
      <c r="S7" s="1569">
        <f>'[53]2000_IS210'!V12</f>
        <v>43622</v>
      </c>
      <c r="T7" s="1570"/>
      <c r="U7" s="1569">
        <f>'[53]2000_IS210'!X12</f>
        <v>43653</v>
      </c>
      <c r="V7" s="1570"/>
      <c r="W7" s="1569">
        <f>'[53]2000_IS210'!Z12</f>
        <v>43685</v>
      </c>
      <c r="X7" s="1571"/>
      <c r="Y7" s="1569">
        <f>'[53]2000_IS210'!AB12</f>
        <v>43717</v>
      </c>
      <c r="Z7" s="1570"/>
      <c r="AA7" s="1569">
        <f>'[53]2000_IS210'!AD12</f>
        <v>43748</v>
      </c>
      <c r="AB7" s="1570"/>
      <c r="AC7" s="1569">
        <f>'[53]2000_IS210'!AF12</f>
        <v>43780</v>
      </c>
      <c r="AD7" s="1571"/>
      <c r="AE7" s="1569" t="s">
        <v>13</v>
      </c>
      <c r="AF7" s="1572"/>
      <c r="AG7" s="1605"/>
      <c r="AH7" s="1569" t="s">
        <v>702</v>
      </c>
      <c r="AI7" s="1569" t="s">
        <v>703</v>
      </c>
      <c r="AJ7" s="1569" t="s">
        <v>704</v>
      </c>
      <c r="AK7" s="1109"/>
      <c r="AO7" s="1099">
        <v>2012</v>
      </c>
      <c r="AP7" s="1108">
        <f>IFERROR(VLOOKUP(AO7,'[53]2017 Alloc'!A:C,3,FALSE),0)</f>
        <v>2.1149782182216838E-2</v>
      </c>
      <c r="AQ7" s="1108">
        <f>IFERROR(VLOOKUP(AO7,'[53]2018 Alloc Jan-Sep'!A:C,3,FALSE),0)</f>
        <v>2.164928667666751E-2</v>
      </c>
      <c r="AR7" s="1108">
        <f>IFERROR(VLOOKUP(AO7,'[53]2018 Alloc Oct-Dec'!A:C,3,FALSE),0)</f>
        <v>2.1269879514290397E-2</v>
      </c>
    </row>
    <row r="8" spans="1:44" s="7" customFormat="1" ht="15" customHeight="1" outlineLevel="1">
      <c r="A8" s="1618"/>
      <c r="B8" s="1618"/>
      <c r="C8" s="1618"/>
      <c r="D8" s="1618"/>
      <c r="E8" s="1618"/>
      <c r="F8" s="1618"/>
      <c r="G8" s="1415"/>
      <c r="H8" s="1619"/>
      <c r="I8" s="1415"/>
      <c r="J8" s="1619"/>
      <c r="K8" s="1415"/>
      <c r="L8" s="1619"/>
      <c r="M8" s="1415"/>
      <c r="N8" s="1619"/>
      <c r="O8" s="1415"/>
      <c r="P8" s="1619"/>
      <c r="Q8" s="1415"/>
      <c r="R8" s="1619"/>
      <c r="S8" s="1415"/>
      <c r="T8" s="1619"/>
      <c r="U8" s="1415"/>
      <c r="V8" s="1619"/>
      <c r="W8" s="1415"/>
      <c r="X8" s="1619"/>
      <c r="Y8" s="1415"/>
      <c r="Z8" s="1619"/>
      <c r="AA8" s="1415"/>
      <c r="AB8" s="1619"/>
      <c r="AC8" s="1415"/>
      <c r="AD8" s="1619"/>
      <c r="AE8" s="1415"/>
      <c r="AF8" s="1620"/>
      <c r="AG8" s="1605"/>
      <c r="AH8" s="1618"/>
      <c r="AI8" s="1618"/>
      <c r="AJ8" s="1618"/>
      <c r="AO8" s="1099">
        <v>2013</v>
      </c>
      <c r="AP8" s="1108">
        <f>IFERROR(VLOOKUP(AO8,'[53]2017 Alloc'!A:C,3,FALSE),0)</f>
        <v>5.3904491950839538E-2</v>
      </c>
      <c r="AQ8" s="1108">
        <f>IFERROR(VLOOKUP(AO8,'[53]2018 Alloc Jan-Sep'!A:C,3,FALSE),0)</f>
        <v>5.4049883846845295E-2</v>
      </c>
      <c r="AR8" s="1108">
        <f>IFERROR(VLOOKUP(AO8,'[53]2018 Alloc Oct-Dec'!A:C,3,FALSE),0)</f>
        <v>5.3102651110570186E-2</v>
      </c>
    </row>
    <row r="9" spans="1:44" ht="15" customHeight="1" outlineLevel="1">
      <c r="A9" s="1621">
        <v>70035</v>
      </c>
      <c r="B9" s="1621" t="s">
        <v>27</v>
      </c>
      <c r="C9" s="1622"/>
      <c r="D9" s="1398"/>
      <c r="E9" s="1618"/>
      <c r="F9" s="1426"/>
      <c r="G9" s="1401">
        <f>+IFERROR(VLOOKUP($A9,'[53]2000_IS210'!$D:$AH,7,FALSE),0)</f>
        <v>62.5</v>
      </c>
      <c r="H9" s="1426"/>
      <c r="I9" s="1401">
        <f>+IFERROR(VLOOKUP($A9,'[53]2000_IS210'!$D:$AH,9,FALSE),0)</f>
        <v>916.66</v>
      </c>
      <c r="J9" s="1426"/>
      <c r="K9" s="1401">
        <f>+IFERROR(VLOOKUP($A9,'[53]2000_IS210'!$D:$AH,11,FALSE),0)</f>
        <v>874.99</v>
      </c>
      <c r="L9" s="1426"/>
      <c r="M9" s="1401">
        <f>+IFERROR(VLOOKUP($A9,'[53]2000_IS210'!$D:$AH,13,FALSE),0)</f>
        <v>874.99</v>
      </c>
      <c r="N9" s="1426"/>
      <c r="O9" s="1401">
        <f>+IFERROR(VLOOKUP($A9,'[53]2000_IS210'!$D:$AH,15,FALSE),0)</f>
        <v>750.02</v>
      </c>
      <c r="P9" s="1426"/>
      <c r="Q9" s="1401">
        <f>+IFERROR(VLOOKUP($A9,'[53]2000_IS210'!$D:$AH,17,FALSE),0)</f>
        <v>812.49</v>
      </c>
      <c r="R9" s="1426"/>
      <c r="S9" s="1401">
        <f>+IFERROR(VLOOKUP($A9,'[53]2000_IS210'!$D:$AH,19,FALSE),0)</f>
        <v>812.49</v>
      </c>
      <c r="T9" s="1426"/>
      <c r="U9" s="1401">
        <f>+IFERROR(VLOOKUP($A9,'[53]2000_IS210'!$D:$AH,21,FALSE),0)</f>
        <v>812.49</v>
      </c>
      <c r="V9" s="1426"/>
      <c r="W9" s="1401">
        <f>+IFERROR(VLOOKUP($A9,'[53]2000_IS210'!$D:$AH,23,FALSE),0)</f>
        <v>812.49</v>
      </c>
      <c r="X9" s="1426"/>
      <c r="Y9" s="1401">
        <f>+IFERROR(VLOOKUP($A9,'[53]2000_IS210'!$D:$AH,25,FALSE),0)</f>
        <v>1374.99</v>
      </c>
      <c r="Z9" s="1426"/>
      <c r="AA9" s="1401">
        <f>+IFERROR(VLOOKUP($A9,'[53]2000_IS210'!$D:$AH,27,FALSE),0)</f>
        <v>1374.99</v>
      </c>
      <c r="AB9" s="1426"/>
      <c r="AC9" s="1401">
        <f>+IFERROR(VLOOKUP($A9,'[53]2000_IS210'!$D:$AH,29,FALSE),0)</f>
        <v>1229.1600000000001</v>
      </c>
      <c r="AD9" s="1426"/>
      <c r="AE9" s="1401">
        <f t="shared" ref="AE9:AE46" si="0">AC9+AA9+Y9+W9+U9+S9+Q9+O9+M9+K9+I9+G9</f>
        <v>10708.259999999998</v>
      </c>
      <c r="AF9" s="1574"/>
      <c r="AG9" s="1401"/>
      <c r="AH9" s="1575">
        <f>(SUM(G9)*$AH$2)+(SUM(I9:Y9)*$AH$3)+(SUM(AA9:AC9)*$AH$4)</f>
        <v>782.23652255215461</v>
      </c>
      <c r="AI9" s="1424"/>
      <c r="AJ9" s="1576">
        <f t="shared" ref="AJ9:AJ46" si="1">AH9+AI9</f>
        <v>782.23652255215461</v>
      </c>
      <c r="AO9" s="1099">
        <v>2014</v>
      </c>
      <c r="AP9" s="1108">
        <f>IFERROR(VLOOKUP(AO9,'[53]2017 Alloc'!A:C,3,FALSE),0)</f>
        <v>6.4011020714326922E-5</v>
      </c>
      <c r="AQ9" s="1108">
        <f>IFERROR(VLOOKUP(AO9,'[53]2018 Alloc Jan-Sep'!A:C,3,FALSE),0)</f>
        <v>7.0649935866520707E-5</v>
      </c>
      <c r="AR9" s="1108">
        <f>IFERROR(VLOOKUP(AO9,'[53]2018 Alloc Oct-Dec'!A:C,3,FALSE),0)</f>
        <v>6.9411784601327718E-5</v>
      </c>
    </row>
    <row r="10" spans="1:44" ht="15" customHeight="1" outlineLevel="1">
      <c r="A10" s="1621">
        <v>70036</v>
      </c>
      <c r="B10" s="1621" t="s">
        <v>257</v>
      </c>
      <c r="C10" s="1622"/>
      <c r="D10" s="1398"/>
      <c r="E10" s="1618"/>
      <c r="F10" s="1426"/>
      <c r="G10" s="1401">
        <f>+IFERROR(VLOOKUP($A10,'[53]2000_IS210'!$D:$AH,7,FALSE),0)</f>
        <v>1838.93</v>
      </c>
      <c r="H10" s="1426"/>
      <c r="I10" s="1401">
        <f>+IFERROR(VLOOKUP($A10,'[53]2000_IS210'!$D:$AH,9,FALSE),0)</f>
        <v>1449.74</v>
      </c>
      <c r="J10" s="1426"/>
      <c r="K10" s="1401">
        <f>+IFERROR(VLOOKUP($A10,'[53]2000_IS210'!$D:$AH,11,FALSE),0)</f>
        <v>1493.4</v>
      </c>
      <c r="L10" s="1426"/>
      <c r="M10" s="1401">
        <f>+IFERROR(VLOOKUP($A10,'[53]2000_IS210'!$D:$AH,13,FALSE),0)</f>
        <v>7343</v>
      </c>
      <c r="N10" s="1426"/>
      <c r="O10" s="1401">
        <f>+IFERROR(VLOOKUP($A10,'[53]2000_IS210'!$D:$AH,15,FALSE),0)</f>
        <v>1592.87</v>
      </c>
      <c r="P10" s="1426"/>
      <c r="Q10" s="1401">
        <f>+IFERROR(VLOOKUP($A10,'[53]2000_IS210'!$D:$AH,17,FALSE),0)</f>
        <v>150</v>
      </c>
      <c r="R10" s="1426"/>
      <c r="S10" s="1401">
        <f>+IFERROR(VLOOKUP($A10,'[53]2000_IS210'!$D:$AH,19,FALSE),0)</f>
        <v>2785.74</v>
      </c>
      <c r="T10" s="1426"/>
      <c r="U10" s="1401">
        <f>+IFERROR(VLOOKUP($A10,'[53]2000_IS210'!$D:$AH,21,FALSE),0)</f>
        <v>1393.38</v>
      </c>
      <c r="V10" s="1426"/>
      <c r="W10" s="1401">
        <f>+IFERROR(VLOOKUP($A10,'[53]2000_IS210'!$D:$AH,23,FALSE),0)</f>
        <v>1343</v>
      </c>
      <c r="X10" s="1426"/>
      <c r="Y10" s="1401">
        <f>+IFERROR(VLOOKUP($A10,'[53]2000_IS210'!$D:$AH,25,FALSE),0)</f>
        <v>1493</v>
      </c>
      <c r="Z10" s="1426"/>
      <c r="AA10" s="1401">
        <f>+IFERROR(VLOOKUP($A10,'[53]2000_IS210'!$D:$AH,27,FALSE),0)</f>
        <v>21343</v>
      </c>
      <c r="AB10" s="1426"/>
      <c r="AC10" s="1401">
        <f>+IFERROR(VLOOKUP($A10,'[53]2000_IS210'!$D:$AH,29,FALSE),0)</f>
        <v>1343</v>
      </c>
      <c r="AD10" s="1426"/>
      <c r="AE10" s="1401">
        <f t="shared" si="0"/>
        <v>43569.060000000005</v>
      </c>
      <c r="AF10" s="1574"/>
      <c r="AG10" s="1401"/>
      <c r="AH10" s="1575">
        <f t="shared" ref="AH10:AH46" si="2">(SUM(G10)*$AH$2)+(SUM(I10:Y10)*$AH$3)+(SUM(AA10:AC10)*$AH$4)</f>
        <v>3160.913705569842</v>
      </c>
      <c r="AI10" s="1424"/>
      <c r="AJ10" s="1576">
        <f t="shared" si="1"/>
        <v>3160.913705569842</v>
      </c>
      <c r="AO10" s="1099">
        <v>2015</v>
      </c>
      <c r="AP10" s="1108">
        <f>IFERROR(VLOOKUP(AO10,'[53]2017 Alloc'!A:C,3,FALSE),0)</f>
        <v>0</v>
      </c>
      <c r="AQ10" s="1108">
        <f>IFERROR(VLOOKUP(AO10,'[53]2018 Alloc Jan-Sep'!A:C,3,FALSE),0)</f>
        <v>0</v>
      </c>
      <c r="AR10" s="1108">
        <f>IFERROR(VLOOKUP(AO10,'[53]2018 Alloc Oct-Dec'!A:C,3,FALSE),0)</f>
        <v>0</v>
      </c>
    </row>
    <row r="11" spans="1:44" ht="15" customHeight="1" outlineLevel="1">
      <c r="A11" s="1621">
        <v>70037</v>
      </c>
      <c r="B11" s="1621" t="s">
        <v>119</v>
      </c>
      <c r="C11" s="1622"/>
      <c r="D11" s="1398"/>
      <c r="E11" s="1618"/>
      <c r="F11" s="1426"/>
      <c r="G11" s="1401">
        <f>+IFERROR(VLOOKUP($A11,'[53]2000_IS210'!$D:$AH,7,FALSE),0)</f>
        <v>0</v>
      </c>
      <c r="H11" s="1426"/>
      <c r="I11" s="1401">
        <f>+IFERROR(VLOOKUP($A11,'[53]2000_IS210'!$D:$AH,9,FALSE),0)</f>
        <v>55000</v>
      </c>
      <c r="J11" s="1426"/>
      <c r="K11" s="1401">
        <f>+IFERROR(VLOOKUP($A11,'[53]2000_IS210'!$D:$AH,11,FALSE),0)</f>
        <v>0</v>
      </c>
      <c r="L11" s="1426"/>
      <c r="M11" s="1401">
        <f>+IFERROR(VLOOKUP($A11,'[53]2000_IS210'!$D:$AH,13,FALSE),0)</f>
        <v>0</v>
      </c>
      <c r="N11" s="1426"/>
      <c r="O11" s="1401">
        <f>+IFERROR(VLOOKUP($A11,'[53]2000_IS210'!$D:$AH,15,FALSE),0)</f>
        <v>0</v>
      </c>
      <c r="P11" s="1426"/>
      <c r="Q11" s="1401">
        <f>+IFERROR(VLOOKUP($A11,'[53]2000_IS210'!$D:$AH,17,FALSE),0)</f>
        <v>0</v>
      </c>
      <c r="R11" s="1426"/>
      <c r="S11" s="1401">
        <f>+IFERROR(VLOOKUP($A11,'[53]2000_IS210'!$D:$AH,19,FALSE),0)</f>
        <v>0</v>
      </c>
      <c r="T11" s="1426"/>
      <c r="U11" s="1401">
        <f>+IFERROR(VLOOKUP($A11,'[53]2000_IS210'!$D:$AH,21,FALSE),0)</f>
        <v>0</v>
      </c>
      <c r="V11" s="1426"/>
      <c r="W11" s="1401">
        <f>+IFERROR(VLOOKUP($A11,'[53]2000_IS210'!$D:$AH,23,FALSE),0)</f>
        <v>0</v>
      </c>
      <c r="X11" s="1426"/>
      <c r="Y11" s="1401">
        <f>+IFERROR(VLOOKUP($A11,'[53]2000_IS210'!$D:$AH,25,FALSE),0)</f>
        <v>101450</v>
      </c>
      <c r="Z11" s="1426"/>
      <c r="AA11" s="1401">
        <f>+IFERROR(VLOOKUP($A11,'[53]2000_IS210'!$D:$AH,27,FALSE),0)</f>
        <v>0</v>
      </c>
      <c r="AB11" s="1426"/>
      <c r="AC11" s="1401">
        <f>+IFERROR(VLOOKUP($A11,'[53]2000_IS210'!$D:$AH,29,FALSE),0)</f>
        <v>0</v>
      </c>
      <c r="AD11" s="1426"/>
      <c r="AE11" s="1401">
        <f t="shared" si="0"/>
        <v>156450</v>
      </c>
      <c r="AF11" s="1574"/>
      <c r="AG11" s="1401"/>
      <c r="AH11" s="1575"/>
      <c r="AI11" s="1424"/>
      <c r="AJ11" s="1576">
        <f t="shared" si="1"/>
        <v>0</v>
      </c>
      <c r="AO11" s="1099">
        <v>2025</v>
      </c>
      <c r="AP11" s="1108">
        <f>IFERROR(VLOOKUP(AO11,'[53]2017 Alloc'!A:C,3,FALSE),0)</f>
        <v>2.0276166984017079E-3</v>
      </c>
      <c r="AQ11" s="1108">
        <f>IFERROR(VLOOKUP(AO11,'[53]2018 Alloc Jan-Sep'!A:C,3,FALSE),0)</f>
        <v>2.0068158998034491E-3</v>
      </c>
      <c r="AR11" s="1108">
        <f>IFERROR(VLOOKUP(AO11,'[53]2018 Alloc Oct-Dec'!A:C,3,FALSE),0)</f>
        <v>1.9716461347516379E-3</v>
      </c>
    </row>
    <row r="12" spans="1:44" ht="15" customHeight="1" outlineLevel="1">
      <c r="A12" s="1621">
        <v>70086</v>
      </c>
      <c r="B12" s="1621" t="s">
        <v>61</v>
      </c>
      <c r="C12" s="1622"/>
      <c r="D12" s="1398"/>
      <c r="E12" s="1618"/>
      <c r="F12" s="1426"/>
      <c r="G12" s="1401">
        <f>+IFERROR(VLOOKUP($A12,'[53]2000_IS210'!$D:$AH,7,FALSE),0)</f>
        <v>491.1</v>
      </c>
      <c r="H12" s="1426"/>
      <c r="I12" s="1401">
        <f>+IFERROR(VLOOKUP($A12,'[53]2000_IS210'!$D:$AH,9,FALSE),0)</f>
        <v>272.57</v>
      </c>
      <c r="J12" s="1426"/>
      <c r="K12" s="1401">
        <f>+IFERROR(VLOOKUP($A12,'[53]2000_IS210'!$D:$AH,11,FALSE),0)</f>
        <v>5463.23</v>
      </c>
      <c r="L12" s="1426"/>
      <c r="M12" s="1401">
        <f>+IFERROR(VLOOKUP($A12,'[53]2000_IS210'!$D:$AH,13,FALSE),0)</f>
        <v>121.38</v>
      </c>
      <c r="N12" s="1426"/>
      <c r="O12" s="1401">
        <f>+IFERROR(VLOOKUP($A12,'[53]2000_IS210'!$D:$AH,15,FALSE),0)</f>
        <v>580.4</v>
      </c>
      <c r="P12" s="1426"/>
      <c r="Q12" s="1401">
        <f>+IFERROR(VLOOKUP($A12,'[53]2000_IS210'!$D:$AH,17,FALSE),0)</f>
        <v>-1485.01</v>
      </c>
      <c r="R12" s="1426"/>
      <c r="S12" s="1401">
        <f>+IFERROR(VLOOKUP($A12,'[53]2000_IS210'!$D:$AH,19,FALSE),0)</f>
        <v>3777.17</v>
      </c>
      <c r="T12" s="1426"/>
      <c r="U12" s="1401">
        <f>+IFERROR(VLOOKUP($A12,'[53]2000_IS210'!$D:$AH,21,FALSE),0)</f>
        <v>1918.64</v>
      </c>
      <c r="V12" s="1426"/>
      <c r="W12" s="1401">
        <f>+IFERROR(VLOOKUP($A12,'[53]2000_IS210'!$D:$AH,23,FALSE),0)</f>
        <v>423.1</v>
      </c>
      <c r="X12" s="1426"/>
      <c r="Y12" s="1401">
        <f>+IFERROR(VLOOKUP($A12,'[53]2000_IS210'!$D:$AH,25,FALSE),0)</f>
        <v>156.31</v>
      </c>
      <c r="Z12" s="1426"/>
      <c r="AA12" s="1401">
        <f>+IFERROR(VLOOKUP($A12,'[53]2000_IS210'!$D:$AH,27,FALSE),0)</f>
        <v>430.05</v>
      </c>
      <c r="AB12" s="1426"/>
      <c r="AC12" s="1401">
        <f>+IFERROR(VLOOKUP($A12,'[53]2000_IS210'!$D:$AH,29,FALSE),0)</f>
        <v>2845.53</v>
      </c>
      <c r="AD12" s="1426"/>
      <c r="AE12" s="1401">
        <f t="shared" si="0"/>
        <v>14994.469999999998</v>
      </c>
      <c r="AF12" s="1574"/>
      <c r="AG12" s="1401"/>
      <c r="AH12" s="1575">
        <f t="shared" si="2"/>
        <v>1094.2289166515591</v>
      </c>
      <c r="AI12" s="1424"/>
      <c r="AJ12" s="1576">
        <f t="shared" si="1"/>
        <v>1094.2289166515591</v>
      </c>
      <c r="AO12" s="1099">
        <v>2040</v>
      </c>
      <c r="AP12" s="1108">
        <f>IFERROR(VLOOKUP(AO12,'[53]2017 Alloc'!A:C,3,FALSE),0)</f>
        <v>7.2052968668859267E-3</v>
      </c>
      <c r="AQ12" s="1108">
        <f>IFERROR(VLOOKUP(AO12,'[53]2018 Alloc Jan-Sep'!A:C,3,FALSE),0)</f>
        <v>7.1946675195716341E-3</v>
      </c>
      <c r="AR12" s="1108">
        <f>IFERROR(VLOOKUP(AO12,'[53]2018 Alloc Oct-Dec'!A:C,3,FALSE),0)</f>
        <v>7.068579836932677E-3</v>
      </c>
    </row>
    <row r="13" spans="1:44" ht="15" customHeight="1" outlineLevel="1">
      <c r="A13" s="1621">
        <v>70090</v>
      </c>
      <c r="B13" s="1621" t="s">
        <v>121</v>
      </c>
      <c r="C13" s="1622"/>
      <c r="D13" s="1398"/>
      <c r="E13" s="1618"/>
      <c r="F13" s="1426"/>
      <c r="G13" s="1401">
        <f>+IFERROR(VLOOKUP($A13,'[53]2000_IS210'!$D:$AH,7,FALSE),0)</f>
        <v>0</v>
      </c>
      <c r="H13" s="1426"/>
      <c r="I13" s="1401">
        <f>+IFERROR(VLOOKUP($A13,'[53]2000_IS210'!$D:$AH,9,FALSE),0)</f>
        <v>0</v>
      </c>
      <c r="J13" s="1426"/>
      <c r="K13" s="1401">
        <f>+IFERROR(VLOOKUP($A13,'[53]2000_IS210'!$D:$AH,11,FALSE),0)</f>
        <v>0</v>
      </c>
      <c r="L13" s="1426"/>
      <c r="M13" s="1401">
        <f>+IFERROR(VLOOKUP($A13,'[53]2000_IS210'!$D:$AH,13,FALSE),0)</f>
        <v>126.44</v>
      </c>
      <c r="N13" s="1426"/>
      <c r="O13" s="1401">
        <f>+IFERROR(VLOOKUP($A13,'[53]2000_IS210'!$D:$AH,15,FALSE),0)</f>
        <v>0</v>
      </c>
      <c r="P13" s="1426"/>
      <c r="Q13" s="1401">
        <f>+IFERROR(VLOOKUP($A13,'[53]2000_IS210'!$D:$AH,17,FALSE),0)</f>
        <v>0</v>
      </c>
      <c r="R13" s="1426"/>
      <c r="S13" s="1401">
        <f>+IFERROR(VLOOKUP($A13,'[53]2000_IS210'!$D:$AH,19,FALSE),0)</f>
        <v>0</v>
      </c>
      <c r="T13" s="1426"/>
      <c r="U13" s="1401">
        <f>+IFERROR(VLOOKUP($A13,'[53]2000_IS210'!$D:$AH,21,FALSE),0)</f>
        <v>703.88</v>
      </c>
      <c r="V13" s="1426"/>
      <c r="W13" s="1401">
        <f>+IFERROR(VLOOKUP($A13,'[53]2000_IS210'!$D:$AH,23,FALSE),0)</f>
        <v>-703.88</v>
      </c>
      <c r="X13" s="1426"/>
      <c r="Y13" s="1401">
        <f>+IFERROR(VLOOKUP($A13,'[53]2000_IS210'!$D:$AH,25,FALSE),0)</f>
        <v>51.04</v>
      </c>
      <c r="Z13" s="1426"/>
      <c r="AA13" s="1401">
        <f>+IFERROR(VLOOKUP($A13,'[53]2000_IS210'!$D:$AH,27,FALSE),0)</f>
        <v>0</v>
      </c>
      <c r="AB13" s="1426"/>
      <c r="AC13" s="1401">
        <f>+IFERROR(VLOOKUP($A13,'[53]2000_IS210'!$D:$AH,29,FALSE),0)</f>
        <v>0</v>
      </c>
      <c r="AD13" s="1426"/>
      <c r="AE13" s="1401">
        <f t="shared" si="0"/>
        <v>177.47999999999996</v>
      </c>
      <c r="AF13" s="1574"/>
      <c r="AG13" s="1401"/>
      <c r="AH13" s="1575">
        <f t="shared" si="2"/>
        <v>13.024477832010446</v>
      </c>
      <c r="AI13" s="1424"/>
      <c r="AJ13" s="1576">
        <f t="shared" si="1"/>
        <v>13.024477832010446</v>
      </c>
      <c r="AO13" s="1099">
        <v>2041</v>
      </c>
      <c r="AP13" s="1108">
        <f>IFERROR(VLOOKUP(AO13,'[53]2017 Alloc'!A:C,3,FALSE),0)</f>
        <v>2.1340012117015751E-3</v>
      </c>
      <c r="AQ13" s="1108">
        <f>IFERROR(VLOOKUP(AO13,'[53]2018 Alloc Jan-Sep'!A:C,3,FALSE),0)</f>
        <v>2.0363278983299704E-3</v>
      </c>
      <c r="AR13" s="1108">
        <f>IFERROR(VLOOKUP(AO13,'[53]2018 Alloc Oct-Dec'!A:C,3,FALSE),0)</f>
        <v>2.0006409308509269E-3</v>
      </c>
    </row>
    <row r="14" spans="1:44" ht="15" customHeight="1" outlineLevel="1">
      <c r="A14" s="1621">
        <v>70095</v>
      </c>
      <c r="B14" s="1621" t="s">
        <v>235</v>
      </c>
      <c r="C14" s="1622"/>
      <c r="D14" s="1398"/>
      <c r="E14" s="1618"/>
      <c r="F14" s="1426"/>
      <c r="G14" s="1401">
        <f>+IFERROR(VLOOKUP($A14,'[53]2000_IS210'!$D:$AH,7,FALSE),0)</f>
        <v>24969.46</v>
      </c>
      <c r="H14" s="1426"/>
      <c r="I14" s="1401">
        <f>+IFERROR(VLOOKUP($A14,'[53]2000_IS210'!$D:$AH,9,FALSE),0)</f>
        <v>16399.62</v>
      </c>
      <c r="J14" s="1426"/>
      <c r="K14" s="1401">
        <f>+IFERROR(VLOOKUP($A14,'[53]2000_IS210'!$D:$AH,11,FALSE),0)</f>
        <v>15299.77</v>
      </c>
      <c r="L14" s="1426"/>
      <c r="M14" s="1401">
        <f>+IFERROR(VLOOKUP($A14,'[53]2000_IS210'!$D:$AH,13,FALSE),0)</f>
        <v>7823.47</v>
      </c>
      <c r="N14" s="1426"/>
      <c r="O14" s="1401">
        <f>+IFERROR(VLOOKUP($A14,'[53]2000_IS210'!$D:$AH,15,FALSE),0)</f>
        <v>9720.9699999999993</v>
      </c>
      <c r="P14" s="1426"/>
      <c r="Q14" s="1401">
        <f>+IFERROR(VLOOKUP($A14,'[53]2000_IS210'!$D:$AH,17,FALSE),0)</f>
        <v>13022.35</v>
      </c>
      <c r="R14" s="1426"/>
      <c r="S14" s="1401">
        <f>+IFERROR(VLOOKUP($A14,'[53]2000_IS210'!$D:$AH,19,FALSE),0)</f>
        <v>8106.15</v>
      </c>
      <c r="T14" s="1426"/>
      <c r="U14" s="1401">
        <f>+IFERROR(VLOOKUP($A14,'[53]2000_IS210'!$D:$AH,21,FALSE),0)</f>
        <v>7782.39</v>
      </c>
      <c r="V14" s="1426"/>
      <c r="W14" s="1401">
        <f>+IFERROR(VLOOKUP($A14,'[53]2000_IS210'!$D:$AH,23,FALSE),0)</f>
        <v>10766.94</v>
      </c>
      <c r="X14" s="1426"/>
      <c r="Y14" s="1401">
        <f>+IFERROR(VLOOKUP($A14,'[53]2000_IS210'!$D:$AH,25,FALSE),0)</f>
        <v>3092.73</v>
      </c>
      <c r="Z14" s="1426"/>
      <c r="AA14" s="1401">
        <f>+IFERROR(VLOOKUP($A14,'[53]2000_IS210'!$D:$AH,27,FALSE),0)</f>
        <v>4802.9799999999996</v>
      </c>
      <c r="AB14" s="1426"/>
      <c r="AC14" s="1401">
        <f>+IFERROR(VLOOKUP($A14,'[53]2000_IS210'!$D:$AH,29,FALSE),0)</f>
        <v>18003.009999999998</v>
      </c>
      <c r="AD14" s="1426"/>
      <c r="AE14" s="1401">
        <f t="shared" si="0"/>
        <v>139789.84</v>
      </c>
      <c r="AF14" s="1574"/>
      <c r="AG14" s="1401"/>
      <c r="AH14" s="1575">
        <f t="shared" si="2"/>
        <v>10130.763069199471</v>
      </c>
      <c r="AI14" s="1424">
        <f>-AH14</f>
        <v>-10130.763069199471</v>
      </c>
      <c r="AJ14" s="1576">
        <f t="shared" si="1"/>
        <v>0</v>
      </c>
      <c r="AO14" s="1099">
        <v>2042</v>
      </c>
      <c r="AP14" s="1108">
        <f>IFERROR(VLOOKUP(AO14,'[53]2017 Alloc'!A:C,3,FALSE),0)</f>
        <v>1.1720327736426057E-4</v>
      </c>
      <c r="AQ14" s="1108">
        <f>IFERROR(VLOOKUP(AO14,'[53]2018 Alloc Jan-Sep'!A:C,3,FALSE),0)</f>
        <v>1.0821066126391146E-4</v>
      </c>
      <c r="AR14" s="1108">
        <f>IFERROR(VLOOKUP(AO14,'[53]2018 Alloc Oct-Dec'!A:C,3,FALSE),0)</f>
        <v>1.0631425236405892E-4</v>
      </c>
    </row>
    <row r="15" spans="1:44" ht="15" customHeight="1" outlineLevel="1">
      <c r="A15" s="1621">
        <v>70105</v>
      </c>
      <c r="B15" s="1621" t="s">
        <v>122</v>
      </c>
      <c r="C15" s="1622"/>
      <c r="D15" s="1398"/>
      <c r="E15" s="1618"/>
      <c r="F15" s="1426"/>
      <c r="G15" s="1401">
        <f>+IFERROR(VLOOKUP($A15,'[53]2000_IS210'!$D:$AH,7,FALSE),0)</f>
        <v>0</v>
      </c>
      <c r="H15" s="1426"/>
      <c r="I15" s="1401">
        <f>+IFERROR(VLOOKUP($A15,'[53]2000_IS210'!$D:$AH,9,FALSE),0)</f>
        <v>0</v>
      </c>
      <c r="J15" s="1426"/>
      <c r="K15" s="1401">
        <f>+IFERROR(VLOOKUP($A15,'[53]2000_IS210'!$D:$AH,11,FALSE),0)</f>
        <v>0</v>
      </c>
      <c r="L15" s="1426"/>
      <c r="M15" s="1401">
        <f>+IFERROR(VLOOKUP($A15,'[53]2000_IS210'!$D:$AH,13,FALSE),0)</f>
        <v>0</v>
      </c>
      <c r="N15" s="1426"/>
      <c r="O15" s="1401">
        <f>+IFERROR(VLOOKUP($A15,'[53]2000_IS210'!$D:$AH,15,FALSE),0)</f>
        <v>0</v>
      </c>
      <c r="P15" s="1426"/>
      <c r="Q15" s="1401">
        <f>+IFERROR(VLOOKUP($A15,'[53]2000_IS210'!$D:$AH,17,FALSE),0)</f>
        <v>0</v>
      </c>
      <c r="R15" s="1426"/>
      <c r="S15" s="1401">
        <f>+IFERROR(VLOOKUP($A15,'[53]2000_IS210'!$D:$AH,19,FALSE),0)</f>
        <v>0</v>
      </c>
      <c r="T15" s="1426"/>
      <c r="U15" s="1401">
        <f>+IFERROR(VLOOKUP($A15,'[53]2000_IS210'!$D:$AH,21,FALSE),0)</f>
        <v>25650</v>
      </c>
      <c r="V15" s="1426"/>
      <c r="W15" s="1401">
        <f>+IFERROR(VLOOKUP($A15,'[53]2000_IS210'!$D:$AH,23,FALSE),0)</f>
        <v>-4066.22</v>
      </c>
      <c r="X15" s="1426"/>
      <c r="Y15" s="1401">
        <f>+IFERROR(VLOOKUP($A15,'[53]2000_IS210'!$D:$AH,25,FALSE),0)</f>
        <v>0</v>
      </c>
      <c r="Z15" s="1426"/>
      <c r="AA15" s="1401">
        <f>+IFERROR(VLOOKUP($A15,'[53]2000_IS210'!$D:$AH,27,FALSE),0)</f>
        <v>0</v>
      </c>
      <c r="AB15" s="1426"/>
      <c r="AC15" s="1401">
        <f>+IFERROR(VLOOKUP($A15,'[53]2000_IS210'!$D:$AH,29,FALSE),0)</f>
        <v>0</v>
      </c>
      <c r="AD15" s="1426"/>
      <c r="AE15" s="1401">
        <f t="shared" si="0"/>
        <v>21583.78</v>
      </c>
      <c r="AF15" s="1574"/>
      <c r="AG15" s="1401"/>
      <c r="AH15" s="1575">
        <f t="shared" si="2"/>
        <v>1583.9388333389143</v>
      </c>
      <c r="AI15" s="1424"/>
      <c r="AJ15" s="1576">
        <f t="shared" si="1"/>
        <v>1583.9388333389143</v>
      </c>
      <c r="AO15" s="1099">
        <v>2043</v>
      </c>
      <c r="AP15" s="1108">
        <f>IFERROR(VLOOKUP(AO15,'[53]2017 Alloc'!A:C,3,FALSE),0)</f>
        <v>4.8197593906872081E-3</v>
      </c>
      <c r="AQ15" s="1108">
        <f>IFERROR(VLOOKUP(AO15,'[53]2018 Alloc Jan-Sep'!A:C,3,FALSE),0)</f>
        <v>4.9338695718429719E-3</v>
      </c>
      <c r="AR15" s="1108">
        <f>IFERROR(VLOOKUP(AO15,'[53]2018 Alloc Oct-Dec'!A:C,3,FALSE),0)</f>
        <v>4.84740272969019E-3</v>
      </c>
    </row>
    <row r="16" spans="1:44" ht="15" customHeight="1" outlineLevel="1">
      <c r="A16" s="1621">
        <v>70110</v>
      </c>
      <c r="B16" s="1621" t="s">
        <v>123</v>
      </c>
      <c r="C16" s="1622"/>
      <c r="D16" s="1398"/>
      <c r="E16" s="1618"/>
      <c r="F16" s="1426"/>
      <c r="G16" s="1401">
        <f>+IFERROR(VLOOKUP($A16,'[53]2000_IS210'!$D:$AH,7,FALSE),0)</f>
        <v>1250</v>
      </c>
      <c r="H16" s="1426"/>
      <c r="I16" s="1401">
        <f>+IFERROR(VLOOKUP($A16,'[53]2000_IS210'!$D:$AH,9,FALSE),0)</f>
        <v>0</v>
      </c>
      <c r="J16" s="1426"/>
      <c r="K16" s="1401">
        <f>+IFERROR(VLOOKUP($A16,'[53]2000_IS210'!$D:$AH,11,FALSE),0)</f>
        <v>0</v>
      </c>
      <c r="L16" s="1426"/>
      <c r="M16" s="1401">
        <f>+IFERROR(VLOOKUP($A16,'[53]2000_IS210'!$D:$AH,13,FALSE),0)</f>
        <v>0</v>
      </c>
      <c r="N16" s="1426"/>
      <c r="O16" s="1401">
        <f>+IFERROR(VLOOKUP($A16,'[53]2000_IS210'!$D:$AH,15,FALSE),0)</f>
        <v>500</v>
      </c>
      <c r="P16" s="1426"/>
      <c r="Q16" s="1401">
        <f>+IFERROR(VLOOKUP($A16,'[53]2000_IS210'!$D:$AH,17,FALSE),0)</f>
        <v>5000</v>
      </c>
      <c r="R16" s="1426"/>
      <c r="S16" s="1401">
        <f>+IFERROR(VLOOKUP($A16,'[53]2000_IS210'!$D:$AH,19,FALSE),0)</f>
        <v>1000</v>
      </c>
      <c r="T16" s="1426"/>
      <c r="U16" s="1401">
        <f>+IFERROR(VLOOKUP($A16,'[53]2000_IS210'!$D:$AH,21,FALSE),0)</f>
        <v>0</v>
      </c>
      <c r="V16" s="1426"/>
      <c r="W16" s="1401">
        <f>+IFERROR(VLOOKUP($A16,'[53]2000_IS210'!$D:$AH,23,FALSE),0)</f>
        <v>5000</v>
      </c>
      <c r="X16" s="1426"/>
      <c r="Y16" s="1401">
        <f>+IFERROR(VLOOKUP($A16,'[53]2000_IS210'!$D:$AH,25,FALSE),0)</f>
        <v>0</v>
      </c>
      <c r="Z16" s="1426"/>
      <c r="AA16" s="1401">
        <f>+IFERROR(VLOOKUP($A16,'[53]2000_IS210'!$D:$AH,27,FALSE),0)</f>
        <v>5500</v>
      </c>
      <c r="AB16" s="1426"/>
      <c r="AC16" s="1401">
        <f>+IFERROR(VLOOKUP($A16,'[53]2000_IS210'!$D:$AH,29,FALSE),0)</f>
        <v>0</v>
      </c>
      <c r="AD16" s="1426"/>
      <c r="AE16" s="1401">
        <f t="shared" si="0"/>
        <v>18250</v>
      </c>
      <c r="AF16" s="1574"/>
      <c r="AG16" s="1401"/>
      <c r="AH16" s="1575">
        <f t="shared" si="2"/>
        <v>1327.2843792409913</v>
      </c>
      <c r="AI16" s="1424">
        <f>-AH16</f>
        <v>-1327.2843792409913</v>
      </c>
      <c r="AJ16" s="1576">
        <f t="shared" si="1"/>
        <v>0</v>
      </c>
      <c r="AO16" s="1099">
        <v>2044</v>
      </c>
      <c r="AP16" s="1108">
        <f>IFERROR(VLOOKUP(AO16,'[53]2017 Alloc'!A:C,3,FALSE),0)</f>
        <v>6.9988387859904215E-3</v>
      </c>
      <c r="AQ16" s="1108">
        <f>IFERROR(VLOOKUP(AO16,'[53]2018 Alloc Jan-Sep'!A:C,3,FALSE),0)</f>
        <v>6.971091773158594E-3</v>
      </c>
      <c r="AR16" s="1108">
        <f>IFERROR(VLOOKUP(AO16,'[53]2018 Alloc Oct-Dec'!A:C,3,FALSE),0)</f>
        <v>6.8489222907259437E-3</v>
      </c>
    </row>
    <row r="17" spans="1:44" ht="15" customHeight="1" outlineLevel="1">
      <c r="A17" s="1621">
        <v>70112</v>
      </c>
      <c r="B17" s="1621" t="s">
        <v>258</v>
      </c>
      <c r="C17" s="1622"/>
      <c r="D17" s="1398"/>
      <c r="E17" s="1618"/>
      <c r="F17" s="1426"/>
      <c r="G17" s="1401">
        <f>+IFERROR(VLOOKUP($A17,'[53]2000_IS210'!$D:$AH,7,FALSE),0)</f>
        <v>0</v>
      </c>
      <c r="H17" s="1426"/>
      <c r="I17" s="1401">
        <f>+IFERROR(VLOOKUP($A17,'[53]2000_IS210'!$D:$AH,9,FALSE),0)</f>
        <v>0</v>
      </c>
      <c r="J17" s="1426"/>
      <c r="K17" s="1401">
        <f>+IFERROR(VLOOKUP($A17,'[53]2000_IS210'!$D:$AH,11,FALSE),0)</f>
        <v>0</v>
      </c>
      <c r="L17" s="1426"/>
      <c r="M17" s="1401">
        <f>+IFERROR(VLOOKUP($A17,'[53]2000_IS210'!$D:$AH,13,FALSE),0)</f>
        <v>0</v>
      </c>
      <c r="N17" s="1426"/>
      <c r="O17" s="1401">
        <f>+IFERROR(VLOOKUP($A17,'[53]2000_IS210'!$D:$AH,15,FALSE),0)</f>
        <v>0</v>
      </c>
      <c r="P17" s="1426"/>
      <c r="Q17" s="1401">
        <f>+IFERROR(VLOOKUP($A17,'[53]2000_IS210'!$D:$AH,17,FALSE),0)</f>
        <v>0</v>
      </c>
      <c r="R17" s="1426"/>
      <c r="S17" s="1401">
        <f>+IFERROR(VLOOKUP($A17,'[53]2000_IS210'!$D:$AH,19,FALSE),0)</f>
        <v>0</v>
      </c>
      <c r="T17" s="1426"/>
      <c r="U17" s="1401">
        <f>+IFERROR(VLOOKUP($A17,'[53]2000_IS210'!$D:$AH,21,FALSE),0)</f>
        <v>0</v>
      </c>
      <c r="V17" s="1426"/>
      <c r="W17" s="1401">
        <f>+IFERROR(VLOOKUP($A17,'[53]2000_IS210'!$D:$AH,23,FALSE),0)</f>
        <v>0</v>
      </c>
      <c r="X17" s="1426"/>
      <c r="Y17" s="1401">
        <f>+IFERROR(VLOOKUP($A17,'[53]2000_IS210'!$D:$AH,25,FALSE),0)</f>
        <v>0</v>
      </c>
      <c r="Z17" s="1426"/>
      <c r="AA17" s="1401">
        <f>+IFERROR(VLOOKUP($A17,'[53]2000_IS210'!$D:$AH,27,FALSE),0)</f>
        <v>0</v>
      </c>
      <c r="AB17" s="1426"/>
      <c r="AC17" s="1401">
        <f>+IFERROR(VLOOKUP($A17,'[53]2000_IS210'!$D:$AH,29,FALSE),0)</f>
        <v>1000</v>
      </c>
      <c r="AD17" s="1426"/>
      <c r="AE17" s="1401">
        <f t="shared" si="0"/>
        <v>1000</v>
      </c>
      <c r="AF17" s="1574"/>
      <c r="AG17" s="1401"/>
      <c r="AH17" s="1575">
        <f t="shared" si="2"/>
        <v>72.099514336713312</v>
      </c>
      <c r="AI17" s="1424"/>
      <c r="AJ17" s="1576">
        <f t="shared" si="1"/>
        <v>72.099514336713312</v>
      </c>
      <c r="AO17" s="1099">
        <v>2045</v>
      </c>
      <c r="AP17" s="1108">
        <f>IFERROR(VLOOKUP(AO17,'[53]2017 Alloc'!A:C,3,FALSE),0)</f>
        <v>5.6897683341988348E-3</v>
      </c>
      <c r="AQ17" s="1108">
        <f>IFERROR(VLOOKUP(AO17,'[53]2018 Alloc Jan-Sep'!A:C,3,FALSE),0)</f>
        <v>5.6815068678481781E-3</v>
      </c>
      <c r="AR17" s="1108">
        <f>IFERROR(VLOOKUP(AO17,'[53]2018 Alloc Oct-Dec'!A:C,3,FALSE),0)</f>
        <v>5.5819375642055065E-3</v>
      </c>
    </row>
    <row r="18" spans="1:44" ht="15" customHeight="1" outlineLevel="1">
      <c r="A18" s="1621">
        <v>70147</v>
      </c>
      <c r="B18" s="1621" t="s">
        <v>1755</v>
      </c>
      <c r="C18" s="1622"/>
      <c r="D18" s="1398"/>
      <c r="E18" s="1618"/>
      <c r="F18" s="1426"/>
      <c r="G18" s="1401">
        <f>+IFERROR(VLOOKUP($A18,'[53]2000_IS210'!$D:$AH,7,FALSE),0)</f>
        <v>1194.26</v>
      </c>
      <c r="H18" s="1426"/>
      <c r="I18" s="1401">
        <f>+IFERROR(VLOOKUP($A18,'[53]2000_IS210'!$D:$AH,9,FALSE),0)</f>
        <v>1383.95</v>
      </c>
      <c r="J18" s="1426"/>
      <c r="K18" s="1401">
        <f>+IFERROR(VLOOKUP($A18,'[53]2000_IS210'!$D:$AH,11,FALSE),0)</f>
        <v>1570.96</v>
      </c>
      <c r="L18" s="1426"/>
      <c r="M18" s="1401">
        <f>+IFERROR(VLOOKUP($A18,'[53]2000_IS210'!$D:$AH,13,FALSE),0)</f>
        <v>1055</v>
      </c>
      <c r="N18" s="1426"/>
      <c r="O18" s="1401">
        <f>+IFERROR(VLOOKUP($A18,'[53]2000_IS210'!$D:$AH,15,FALSE),0)</f>
        <v>1417.05</v>
      </c>
      <c r="P18" s="1426"/>
      <c r="Q18" s="1401">
        <f>+IFERROR(VLOOKUP($A18,'[53]2000_IS210'!$D:$AH,17,FALSE),0)</f>
        <v>1055</v>
      </c>
      <c r="R18" s="1426"/>
      <c r="S18" s="1401">
        <f>+IFERROR(VLOOKUP($A18,'[53]2000_IS210'!$D:$AH,19,FALSE),0)</f>
        <v>1503</v>
      </c>
      <c r="T18" s="1426"/>
      <c r="U18" s="1401">
        <f>+IFERROR(VLOOKUP($A18,'[53]2000_IS210'!$D:$AH,21,FALSE),0)</f>
        <v>1581.24</v>
      </c>
      <c r="V18" s="1426"/>
      <c r="W18" s="1401">
        <f>+IFERROR(VLOOKUP($A18,'[53]2000_IS210'!$D:$AH,23,FALSE),0)</f>
        <v>1086.6500000000001</v>
      </c>
      <c r="X18" s="1426"/>
      <c r="Y18" s="1401">
        <f>+IFERROR(VLOOKUP($A18,'[53]2000_IS210'!$D:$AH,25,FALSE),0)</f>
        <v>1086.6500000000001</v>
      </c>
      <c r="Z18" s="1426"/>
      <c r="AA18" s="1401">
        <f>+IFERROR(VLOOKUP($A18,'[53]2000_IS210'!$D:$AH,27,FALSE),0)</f>
        <v>6726.09</v>
      </c>
      <c r="AB18" s="1426"/>
      <c r="AC18" s="1401">
        <f>+IFERROR(VLOOKUP($A18,'[53]2000_IS210'!$D:$AH,29,FALSE),0)</f>
        <v>0</v>
      </c>
      <c r="AD18" s="1426"/>
      <c r="AE18" s="1401">
        <f t="shared" si="0"/>
        <v>19659.849999999999</v>
      </c>
      <c r="AF18" s="1574"/>
      <c r="AG18" s="1401"/>
      <c r="AH18" s="1575">
        <f t="shared" si="2"/>
        <v>1429.3900267327444</v>
      </c>
      <c r="AI18" s="1424"/>
      <c r="AJ18" s="1576">
        <f t="shared" si="1"/>
        <v>1429.3900267327444</v>
      </c>
      <c r="AO18" s="1099">
        <v>2046</v>
      </c>
      <c r="AP18" s="1108">
        <f>IFERROR(VLOOKUP(AO18,'[53]2017 Alloc'!A:C,3,FALSE),0)</f>
        <v>8.4774032081241704E-3</v>
      </c>
      <c r="AQ18" s="1108">
        <f>IFERROR(VLOOKUP(AO18,'[53]2018 Alloc Jan-Sep'!A:C,3,FALSE),0)</f>
        <v>8.4288056397716169E-3</v>
      </c>
      <c r="AR18" s="1108">
        <f>IFERROR(VLOOKUP(AO18,'[53]2018 Alloc Oct-Dec'!A:C,3,FALSE),0)</f>
        <v>8.2810894919938451E-3</v>
      </c>
    </row>
    <row r="19" spans="1:44" ht="15" customHeight="1" outlineLevel="1">
      <c r="A19" s="1621">
        <v>70165</v>
      </c>
      <c r="B19" s="1621" t="s">
        <v>230</v>
      </c>
      <c r="C19" s="1622"/>
      <c r="D19" s="1398"/>
      <c r="E19" s="1618"/>
      <c r="F19" s="1426"/>
      <c r="G19" s="1401">
        <f>+IFERROR(VLOOKUP($A19,'[53]2000_IS210'!$D:$AH,7,FALSE),0)</f>
        <v>2975.76</v>
      </c>
      <c r="H19" s="1426"/>
      <c r="I19" s="1401">
        <f>+IFERROR(VLOOKUP($A19,'[53]2000_IS210'!$D:$AH,9,FALSE),0)</f>
        <v>2480.6799999999998</v>
      </c>
      <c r="J19" s="1426"/>
      <c r="K19" s="1401">
        <f>+IFERROR(VLOOKUP($A19,'[53]2000_IS210'!$D:$AH,11,FALSE),0)</f>
        <v>3224.5</v>
      </c>
      <c r="L19" s="1426"/>
      <c r="M19" s="1401">
        <f>+IFERROR(VLOOKUP($A19,'[53]2000_IS210'!$D:$AH,13,FALSE),0)</f>
        <v>2694.21</v>
      </c>
      <c r="N19" s="1426"/>
      <c r="O19" s="1401">
        <f>+IFERROR(VLOOKUP($A19,'[53]2000_IS210'!$D:$AH,15,FALSE),0)</f>
        <v>2582.11</v>
      </c>
      <c r="P19" s="1426"/>
      <c r="Q19" s="1401">
        <f>+IFERROR(VLOOKUP($A19,'[53]2000_IS210'!$D:$AH,17,FALSE),0)</f>
        <v>3239.32</v>
      </c>
      <c r="R19" s="1426"/>
      <c r="S19" s="1401">
        <f>+IFERROR(VLOOKUP($A19,'[53]2000_IS210'!$D:$AH,19,FALSE),0)</f>
        <v>2716.7</v>
      </c>
      <c r="T19" s="1426"/>
      <c r="U19" s="1401">
        <f>+IFERROR(VLOOKUP($A19,'[53]2000_IS210'!$D:$AH,21,FALSE),0)</f>
        <v>2393.71</v>
      </c>
      <c r="V19" s="1426"/>
      <c r="W19" s="1401">
        <f>+IFERROR(VLOOKUP($A19,'[53]2000_IS210'!$D:$AH,23,FALSE),0)</f>
        <v>2653.29</v>
      </c>
      <c r="X19" s="1426"/>
      <c r="Y19" s="1401">
        <f>+IFERROR(VLOOKUP($A19,'[53]2000_IS210'!$D:$AH,25,FALSE),0)</f>
        <v>4062.25</v>
      </c>
      <c r="Z19" s="1426"/>
      <c r="AA19" s="1401">
        <f>+IFERROR(VLOOKUP($A19,'[53]2000_IS210'!$D:$AH,27,FALSE),0)</f>
        <v>2377.63</v>
      </c>
      <c r="AB19" s="1426"/>
      <c r="AC19" s="1401">
        <f>+IFERROR(VLOOKUP($A19,'[53]2000_IS210'!$D:$AH,29,FALSE),0)</f>
        <v>2578.6799999999998</v>
      </c>
      <c r="AD19" s="1426"/>
      <c r="AE19" s="1401">
        <f t="shared" si="0"/>
        <v>33978.839999999997</v>
      </c>
      <c r="AF19" s="1574"/>
      <c r="AG19" s="1401"/>
      <c r="AH19" s="1575">
        <f t="shared" si="2"/>
        <v>2475.4484607791737</v>
      </c>
      <c r="AI19" s="1424"/>
      <c r="AJ19" s="1576">
        <f t="shared" si="1"/>
        <v>2475.4484607791737</v>
      </c>
      <c r="AO19" s="1099">
        <v>2047</v>
      </c>
      <c r="AP19" s="1108">
        <f>IFERROR(VLOOKUP(AO19,'[53]2017 Alloc'!A:C,3,FALSE),0)</f>
        <v>1.2356831688881196E-2</v>
      </c>
      <c r="AQ19" s="1108">
        <f>IFERROR(VLOOKUP(AO19,'[53]2018 Alloc Jan-Sep'!A:C,3,FALSE),0)</f>
        <v>1.2316340718401559E-2</v>
      </c>
      <c r="AR19" s="1108">
        <f>IFERROR(VLOOKUP(AO19,'[53]2018 Alloc Oct-Dec'!A:C,3,FALSE),0)</f>
        <v>1.2100494905436524E-2</v>
      </c>
    </row>
    <row r="20" spans="1:44" ht="15" customHeight="1" outlineLevel="1">
      <c r="A20" s="1621">
        <v>70167</v>
      </c>
      <c r="B20" s="1621" t="s">
        <v>259</v>
      </c>
      <c r="C20" s="1622"/>
      <c r="D20" s="1398"/>
      <c r="E20" s="1618"/>
      <c r="F20" s="1426"/>
      <c r="G20" s="1401">
        <f>+IFERROR(VLOOKUP($A20,'[53]2000_IS210'!$D:$AH,7,FALSE),0)</f>
        <v>3781.33</v>
      </c>
      <c r="H20" s="1426"/>
      <c r="I20" s="1401">
        <f>+IFERROR(VLOOKUP($A20,'[53]2000_IS210'!$D:$AH,9,FALSE),0)</f>
        <v>1207.3599999999999</v>
      </c>
      <c r="J20" s="1426"/>
      <c r="K20" s="1401">
        <f>+IFERROR(VLOOKUP($A20,'[53]2000_IS210'!$D:$AH,11,FALSE),0)</f>
        <v>2866.79</v>
      </c>
      <c r="L20" s="1426"/>
      <c r="M20" s="1401">
        <f>+IFERROR(VLOOKUP($A20,'[53]2000_IS210'!$D:$AH,13,FALSE),0)</f>
        <v>2801.9</v>
      </c>
      <c r="N20" s="1426"/>
      <c r="O20" s="1401">
        <f>+IFERROR(VLOOKUP($A20,'[53]2000_IS210'!$D:$AH,15,FALSE),0)</f>
        <v>2490.11</v>
      </c>
      <c r="P20" s="1426"/>
      <c r="Q20" s="1401">
        <f>+IFERROR(VLOOKUP($A20,'[53]2000_IS210'!$D:$AH,17,FALSE),0)</f>
        <v>2745.22</v>
      </c>
      <c r="R20" s="1426"/>
      <c r="S20" s="1401">
        <f>+IFERROR(VLOOKUP($A20,'[53]2000_IS210'!$D:$AH,19,FALSE),0)</f>
        <v>2722.13</v>
      </c>
      <c r="T20" s="1426"/>
      <c r="U20" s="1401">
        <f>+IFERROR(VLOOKUP($A20,'[53]2000_IS210'!$D:$AH,21,FALSE),0)</f>
        <v>2447.91</v>
      </c>
      <c r="V20" s="1426"/>
      <c r="W20" s="1401">
        <f>+IFERROR(VLOOKUP($A20,'[53]2000_IS210'!$D:$AH,23,FALSE),0)</f>
        <v>2751.15</v>
      </c>
      <c r="X20" s="1426"/>
      <c r="Y20" s="1401">
        <f>+IFERROR(VLOOKUP($A20,'[53]2000_IS210'!$D:$AH,25,FALSE),0)</f>
        <v>2769.47</v>
      </c>
      <c r="Z20" s="1426"/>
      <c r="AA20" s="1401">
        <f>+IFERROR(VLOOKUP($A20,'[53]2000_IS210'!$D:$AH,27,FALSE),0)</f>
        <v>3207.8</v>
      </c>
      <c r="AB20" s="1426"/>
      <c r="AC20" s="1401">
        <f>+IFERROR(VLOOKUP($A20,'[53]2000_IS210'!$D:$AH,29,FALSE),0)</f>
        <v>2509.31</v>
      </c>
      <c r="AD20" s="1426"/>
      <c r="AE20" s="1401">
        <f t="shared" si="0"/>
        <v>32300.480000000003</v>
      </c>
      <c r="AF20" s="1574"/>
      <c r="AG20" s="1401"/>
      <c r="AH20" s="1575">
        <f t="shared" si="2"/>
        <v>2348.1257095546448</v>
      </c>
      <c r="AI20" s="1424"/>
      <c r="AJ20" s="1576">
        <f t="shared" si="1"/>
        <v>2348.1257095546448</v>
      </c>
      <c r="AO20" s="1099">
        <v>2048</v>
      </c>
      <c r="AP20" s="1108">
        <f>IFERROR(VLOOKUP(AO20,'[53]2017 Alloc'!A:C,3,FALSE),0)</f>
        <v>1.3793924182101437E-4</v>
      </c>
      <c r="AQ20" s="1108">
        <f>IFERROR(VLOOKUP(AO20,'[53]2018 Alloc Jan-Sep'!A:C,3,FALSE),0)</f>
        <v>1.4040556874738927E-4</v>
      </c>
      <c r="AR20" s="1108">
        <f>IFERROR(VLOOKUP(AO20,'[53]2018 Alloc Oct-Dec'!A:C,3,FALSE),0)</f>
        <v>1.3794493901782851E-4</v>
      </c>
    </row>
    <row r="21" spans="1:44" ht="15" customHeight="1" outlineLevel="1">
      <c r="A21" s="1621">
        <v>70170</v>
      </c>
      <c r="B21" s="1621" t="s">
        <v>647</v>
      </c>
      <c r="C21" s="1622"/>
      <c r="D21" s="1398"/>
      <c r="E21" s="1618"/>
      <c r="F21" s="1426"/>
      <c r="G21" s="1401">
        <f>+IFERROR(VLOOKUP($A21,'[53]2000_IS210'!$D:$AH,7,FALSE),0)</f>
        <v>27878.45</v>
      </c>
      <c r="H21" s="1426"/>
      <c r="I21" s="1401">
        <f>+IFERROR(VLOOKUP($A21,'[53]2000_IS210'!$D:$AH,9,FALSE),0)</f>
        <v>30547.53</v>
      </c>
      <c r="J21" s="1426"/>
      <c r="K21" s="1401">
        <f>+IFERROR(VLOOKUP($A21,'[53]2000_IS210'!$D:$AH,11,FALSE),0)</f>
        <v>30547.53</v>
      </c>
      <c r="L21" s="1426"/>
      <c r="M21" s="1401">
        <f>+IFERROR(VLOOKUP($A21,'[53]2000_IS210'!$D:$AH,13,FALSE),0)</f>
        <v>30547.53</v>
      </c>
      <c r="N21" s="1426"/>
      <c r="O21" s="1401">
        <f>+IFERROR(VLOOKUP($A21,'[53]2000_IS210'!$D:$AH,15,FALSE),0)</f>
        <v>30547.53</v>
      </c>
      <c r="P21" s="1426"/>
      <c r="Q21" s="1401">
        <f>+IFERROR(VLOOKUP($A21,'[53]2000_IS210'!$D:$AH,17,FALSE),0)</f>
        <v>30547.53</v>
      </c>
      <c r="R21" s="1426"/>
      <c r="S21" s="1401">
        <f>+IFERROR(VLOOKUP($A21,'[53]2000_IS210'!$D:$AH,19,FALSE),0)</f>
        <v>30547.53</v>
      </c>
      <c r="T21" s="1426"/>
      <c r="U21" s="1401">
        <f>+IFERROR(VLOOKUP($A21,'[53]2000_IS210'!$D:$AH,21,FALSE),0)</f>
        <v>30547.53</v>
      </c>
      <c r="V21" s="1426"/>
      <c r="W21" s="1401">
        <f>+IFERROR(VLOOKUP($A21,'[53]2000_IS210'!$D:$AH,23,FALSE),0)</f>
        <v>30547.53</v>
      </c>
      <c r="X21" s="1426"/>
      <c r="Y21" s="1401">
        <f>+IFERROR(VLOOKUP($A21,'[53]2000_IS210'!$D:$AH,25,FALSE),0)</f>
        <v>30547.53</v>
      </c>
      <c r="Z21" s="1426"/>
      <c r="AA21" s="1401">
        <f>+IFERROR(VLOOKUP($A21,'[53]2000_IS210'!$D:$AH,27,FALSE),0)</f>
        <v>30547.53</v>
      </c>
      <c r="AB21" s="1426"/>
      <c r="AC21" s="1401">
        <f>+IFERROR(VLOOKUP($A21,'[53]2000_IS210'!$D:$AH,29,FALSE),0)</f>
        <v>30547.53</v>
      </c>
      <c r="AD21" s="1426"/>
      <c r="AE21" s="1401">
        <f t="shared" si="0"/>
        <v>363901.28000000009</v>
      </c>
      <c r="AF21" s="1574"/>
      <c r="AG21" s="1401"/>
      <c r="AH21" s="1575">
        <f t="shared" si="2"/>
        <v>26516.602351949303</v>
      </c>
      <c r="AI21" s="1424"/>
      <c r="AJ21" s="1576">
        <f t="shared" si="1"/>
        <v>26516.602351949303</v>
      </c>
      <c r="AO21" s="1099">
        <v>2049</v>
      </c>
      <c r="AP21" s="1108">
        <f>IFERROR(VLOOKUP(AO21,'[53]2017 Alloc'!A:C,3,FALSE),0)</f>
        <v>6.3109457042294153E-6</v>
      </c>
      <c r="AQ21" s="1108">
        <f>IFERROR(VLOOKUP(AO21,'[53]2018 Alloc Jan-Sep'!A:C,3,FALSE),0)</f>
        <v>2.6829089569564824E-6</v>
      </c>
      <c r="AR21" s="1108">
        <f>IFERROR(VLOOKUP(AO21,'[53]2018 Alloc Oct-Dec'!A:C,3,FALSE),0)</f>
        <v>2.6358905544807995E-6</v>
      </c>
    </row>
    <row r="22" spans="1:44" ht="15" customHeight="1" outlineLevel="1">
      <c r="A22" s="1621">
        <v>70171</v>
      </c>
      <c r="B22" s="1621" t="s">
        <v>2770</v>
      </c>
      <c r="C22" s="1622"/>
      <c r="D22" s="1398"/>
      <c r="E22" s="1618"/>
      <c r="F22" s="1426"/>
      <c r="G22" s="1401">
        <f>+IFERROR(VLOOKUP($A22,'[53]2000_IS210'!$D:$AH,7,FALSE),0)</f>
        <v>2668.93</v>
      </c>
      <c r="H22" s="1426"/>
      <c r="I22" s="1401">
        <f>+IFERROR(VLOOKUP($A22,'[53]2000_IS210'!$D:$AH,9,FALSE),0)</f>
        <v>0</v>
      </c>
      <c r="J22" s="1426"/>
      <c r="K22" s="1401">
        <f>+IFERROR(VLOOKUP($A22,'[53]2000_IS210'!$D:$AH,11,FALSE),0)</f>
        <v>0</v>
      </c>
      <c r="L22" s="1426"/>
      <c r="M22" s="1401">
        <f>+IFERROR(VLOOKUP($A22,'[53]2000_IS210'!$D:$AH,13,FALSE),0)</f>
        <v>0</v>
      </c>
      <c r="N22" s="1426"/>
      <c r="O22" s="1401">
        <f>+IFERROR(VLOOKUP($A22,'[53]2000_IS210'!$D:$AH,15,FALSE),0)</f>
        <v>-0.56000000000000005</v>
      </c>
      <c r="P22" s="1426"/>
      <c r="Q22" s="1401">
        <f>+IFERROR(VLOOKUP($A22,'[53]2000_IS210'!$D:$AH,17,FALSE),0)</f>
        <v>-0.28000000000000003</v>
      </c>
      <c r="R22" s="1426"/>
      <c r="S22" s="1401">
        <f>+IFERROR(VLOOKUP($A22,'[53]2000_IS210'!$D:$AH,19,FALSE),0)</f>
        <v>0</v>
      </c>
      <c r="T22" s="1426"/>
      <c r="U22" s="1401">
        <f>+IFERROR(VLOOKUP($A22,'[53]2000_IS210'!$D:$AH,21,FALSE),0)</f>
        <v>0</v>
      </c>
      <c r="V22" s="1426"/>
      <c r="W22" s="1401">
        <f>+IFERROR(VLOOKUP($A22,'[53]2000_IS210'!$D:$AH,23,FALSE),0)</f>
        <v>0</v>
      </c>
      <c r="X22" s="1426"/>
      <c r="Y22" s="1401">
        <f>+IFERROR(VLOOKUP($A22,'[53]2000_IS210'!$D:$AH,25,FALSE),0)</f>
        <v>0</v>
      </c>
      <c r="Z22" s="1426"/>
      <c r="AA22" s="1401">
        <f>+IFERROR(VLOOKUP($A22,'[53]2000_IS210'!$D:$AH,27,FALSE),0)</f>
        <v>0</v>
      </c>
      <c r="AB22" s="1426"/>
      <c r="AC22" s="1401">
        <f>+IFERROR(VLOOKUP($A22,'[53]2000_IS210'!$D:$AH,29,FALSE),0)</f>
        <v>0</v>
      </c>
      <c r="AD22" s="1426"/>
      <c r="AE22" s="1401">
        <f t="shared" si="0"/>
        <v>2668.0899999999997</v>
      </c>
      <c r="AF22" s="1574"/>
      <c r="AG22" s="1401"/>
      <c r="AH22" s="1575">
        <f t="shared" si="2"/>
        <v>185.27430063892018</v>
      </c>
      <c r="AI22" s="1424"/>
      <c r="AJ22" s="1576">
        <f t="shared" si="1"/>
        <v>185.27430063892018</v>
      </c>
      <c r="AO22" s="1099">
        <v>2050</v>
      </c>
      <c r="AP22" s="1108">
        <f>IFERROR(VLOOKUP(AO22,'[53]2017 Alloc'!A:C,3,FALSE),0)</f>
        <v>4.3275056257573132E-5</v>
      </c>
      <c r="AQ22" s="1108">
        <f>IFERROR(VLOOKUP(AO22,'[53]2018 Alloc Jan-Sep'!A:C,3,FALSE),0)</f>
        <v>4.0243634354347236E-5</v>
      </c>
      <c r="AR22" s="1108">
        <f>IFERROR(VLOOKUP(AO22,'[53]2018 Alloc Oct-Dec'!A:C,3,FALSE),0)</f>
        <v>3.9538358317211995E-5</v>
      </c>
    </row>
    <row r="23" spans="1:44" ht="15" customHeight="1" outlineLevel="1">
      <c r="A23" s="1621">
        <v>70185</v>
      </c>
      <c r="B23" s="1621" t="s">
        <v>71</v>
      </c>
      <c r="C23" s="1622"/>
      <c r="D23" s="1398"/>
      <c r="E23" s="1618"/>
      <c r="F23" s="1426"/>
      <c r="G23" s="1401">
        <f>+IFERROR(VLOOKUP($A23,'[53]2000_IS210'!$D:$AH,7,FALSE),0)</f>
        <v>1384.15</v>
      </c>
      <c r="H23" s="1426"/>
      <c r="I23" s="1401">
        <f>+IFERROR(VLOOKUP($A23,'[53]2000_IS210'!$D:$AH,9,FALSE),0)</f>
        <v>1363.84</v>
      </c>
      <c r="J23" s="1426"/>
      <c r="K23" s="1401">
        <f>+IFERROR(VLOOKUP($A23,'[53]2000_IS210'!$D:$AH,11,FALSE),0)</f>
        <v>2361.16</v>
      </c>
      <c r="L23" s="1426"/>
      <c r="M23" s="1401">
        <f>+IFERROR(VLOOKUP($A23,'[53]2000_IS210'!$D:$AH,13,FALSE),0)</f>
        <v>2141.91</v>
      </c>
      <c r="N23" s="1426"/>
      <c r="O23" s="1401">
        <f>+IFERROR(VLOOKUP($A23,'[53]2000_IS210'!$D:$AH,15,FALSE),0)</f>
        <v>3572.03</v>
      </c>
      <c r="P23" s="1426"/>
      <c r="Q23" s="1401">
        <f>+IFERROR(VLOOKUP($A23,'[53]2000_IS210'!$D:$AH,17,FALSE),0)</f>
        <v>1825.23</v>
      </c>
      <c r="R23" s="1426"/>
      <c r="S23" s="1401">
        <f>+IFERROR(VLOOKUP($A23,'[53]2000_IS210'!$D:$AH,19,FALSE),0)</f>
        <v>3020.98</v>
      </c>
      <c r="T23" s="1426"/>
      <c r="U23" s="1401">
        <f>+IFERROR(VLOOKUP($A23,'[53]2000_IS210'!$D:$AH,21,FALSE),0)</f>
        <v>1455.19</v>
      </c>
      <c r="V23" s="1426"/>
      <c r="W23" s="1401">
        <f>+IFERROR(VLOOKUP($A23,'[53]2000_IS210'!$D:$AH,23,FALSE),0)</f>
        <v>998.02</v>
      </c>
      <c r="X23" s="1426"/>
      <c r="Y23" s="1401">
        <f>+IFERROR(VLOOKUP($A23,'[53]2000_IS210'!$D:$AH,25,FALSE),0)</f>
        <v>432.96</v>
      </c>
      <c r="Z23" s="1426"/>
      <c r="AA23" s="1401">
        <f>+IFERROR(VLOOKUP($A23,'[53]2000_IS210'!$D:$AH,27,FALSE),0)</f>
        <v>1654.85</v>
      </c>
      <c r="AB23" s="1426"/>
      <c r="AC23" s="1401">
        <f>+IFERROR(VLOOKUP($A23,'[53]2000_IS210'!$D:$AH,29,FALSE),0)</f>
        <v>1123.75</v>
      </c>
      <c r="AD23" s="1426"/>
      <c r="AE23" s="1401">
        <f t="shared" si="0"/>
        <v>21334.070000000003</v>
      </c>
      <c r="AF23" s="1574"/>
      <c r="AG23" s="1401"/>
      <c r="AH23" s="1575">
        <f t="shared" si="2"/>
        <v>1556.5816809582939</v>
      </c>
      <c r="AI23" s="1424"/>
      <c r="AJ23" s="1576">
        <f t="shared" si="1"/>
        <v>1556.5816809582939</v>
      </c>
      <c r="AO23" s="1099">
        <v>2051</v>
      </c>
      <c r="AP23" s="1108">
        <f>IFERROR(VLOOKUP(AO23,'[53]2017 Alloc'!A:C,3,FALSE),0)</f>
        <v>4.1381772546304313E-4</v>
      </c>
      <c r="AQ23" s="1108">
        <f>IFERROR(VLOOKUP(AO23,'[53]2018 Alloc Jan-Sep'!A:C,3,FALSE),0)</f>
        <v>4.3641985699825449E-4</v>
      </c>
      <c r="AR23" s="1108">
        <f>IFERROR(VLOOKUP(AO23,'[53]2018 Alloc Oct-Dec'!A:C,3,FALSE),0)</f>
        <v>4.2877153019554338E-4</v>
      </c>
    </row>
    <row r="24" spans="1:44" ht="15" customHeight="1" outlineLevel="1">
      <c r="A24" s="1621">
        <v>70190</v>
      </c>
      <c r="B24" s="1621" t="s">
        <v>311</v>
      </c>
      <c r="C24" s="1622"/>
      <c r="D24" s="1398"/>
      <c r="E24" s="1618"/>
      <c r="F24" s="1426"/>
      <c r="G24" s="1401">
        <f>+IFERROR(VLOOKUP($A24,'[53]2000_IS210'!$D:$AH,7,FALSE),0)</f>
        <v>250</v>
      </c>
      <c r="H24" s="1426"/>
      <c r="I24" s="1401">
        <f>+IFERROR(VLOOKUP($A24,'[53]2000_IS210'!$D:$AH,9,FALSE),0)</f>
        <v>179.98</v>
      </c>
      <c r="J24" s="1426"/>
      <c r="K24" s="1401">
        <f>+IFERROR(VLOOKUP($A24,'[53]2000_IS210'!$D:$AH,11,FALSE),0)</f>
        <v>1090.02</v>
      </c>
      <c r="L24" s="1426"/>
      <c r="M24" s="1401">
        <f>+IFERROR(VLOOKUP($A24,'[53]2000_IS210'!$D:$AH,13,FALSE),0)</f>
        <v>172.5</v>
      </c>
      <c r="N24" s="1426"/>
      <c r="O24" s="1401">
        <f>+IFERROR(VLOOKUP($A24,'[53]2000_IS210'!$D:$AH,15,FALSE),0)</f>
        <v>1347.02</v>
      </c>
      <c r="P24" s="1426"/>
      <c r="Q24" s="1401">
        <f>+IFERROR(VLOOKUP($A24,'[53]2000_IS210'!$D:$AH,17,FALSE),0)</f>
        <v>1605</v>
      </c>
      <c r="R24" s="1426"/>
      <c r="S24" s="1401">
        <f>+IFERROR(VLOOKUP($A24,'[53]2000_IS210'!$D:$AH,19,FALSE),0)</f>
        <v>0</v>
      </c>
      <c r="T24" s="1426"/>
      <c r="U24" s="1401">
        <f>+IFERROR(VLOOKUP($A24,'[53]2000_IS210'!$D:$AH,21,FALSE),0)</f>
        <v>79</v>
      </c>
      <c r="V24" s="1426"/>
      <c r="W24" s="1401">
        <f>+IFERROR(VLOOKUP($A24,'[53]2000_IS210'!$D:$AH,23,FALSE),0)</f>
        <v>3065</v>
      </c>
      <c r="X24" s="1426"/>
      <c r="Y24" s="1401">
        <f>+IFERROR(VLOOKUP($A24,'[53]2000_IS210'!$D:$AH,25,FALSE),0)</f>
        <v>1550</v>
      </c>
      <c r="Z24" s="1426"/>
      <c r="AA24" s="1401">
        <f>+IFERROR(VLOOKUP($A24,'[53]2000_IS210'!$D:$AH,27,FALSE),0)</f>
        <v>500</v>
      </c>
      <c r="AB24" s="1426"/>
      <c r="AC24" s="1401">
        <f>+IFERROR(VLOOKUP($A24,'[53]2000_IS210'!$D:$AH,29,FALSE),0)</f>
        <v>775</v>
      </c>
      <c r="AD24" s="1426"/>
      <c r="AE24" s="1401">
        <f t="shared" si="0"/>
        <v>10613.52</v>
      </c>
      <c r="AF24" s="1574"/>
      <c r="AG24" s="1401"/>
      <c r="AH24" s="1575">
        <f t="shared" si="2"/>
        <v>776.25396322673987</v>
      </c>
      <c r="AI24" s="1424"/>
      <c r="AJ24" s="1576">
        <f t="shared" si="1"/>
        <v>776.25396322673987</v>
      </c>
      <c r="AO24" s="1099">
        <v>2053</v>
      </c>
      <c r="AP24" s="1108">
        <f>IFERROR(VLOOKUP(AO24,'[53]2017 Alloc'!A:C,3,FALSE),0)</f>
        <v>9.1057930875310136E-5</v>
      </c>
      <c r="AQ24" s="1108">
        <f>IFERROR(VLOOKUP(AO24,'[53]2018 Alloc Jan-Sep'!A:C,3,FALSE),0)</f>
        <v>5.6341088096086132E-5</v>
      </c>
      <c r="AR24" s="1108">
        <f>IFERROR(VLOOKUP(AO24,'[53]2018 Alloc Oct-Dec'!A:C,3,FALSE),0)</f>
        <v>5.535370164409679E-5</v>
      </c>
    </row>
    <row r="25" spans="1:44" ht="15" customHeight="1" outlineLevel="1">
      <c r="A25" s="1621">
        <v>70195</v>
      </c>
      <c r="B25" s="1621" t="s">
        <v>76</v>
      </c>
      <c r="C25" s="1622"/>
      <c r="D25" s="1398"/>
      <c r="E25" s="1618"/>
      <c r="F25" s="1426"/>
      <c r="G25" s="1401">
        <f>+IFERROR(VLOOKUP($A25,'[53]2000_IS210'!$D:$AH,7,FALSE),0)</f>
        <v>530.99</v>
      </c>
      <c r="H25" s="1426"/>
      <c r="I25" s="1401">
        <f>+IFERROR(VLOOKUP($A25,'[53]2000_IS210'!$D:$AH,9,FALSE),0)</f>
        <v>576.99</v>
      </c>
      <c r="J25" s="1426"/>
      <c r="K25" s="1401">
        <f>+IFERROR(VLOOKUP($A25,'[53]2000_IS210'!$D:$AH,11,FALSE),0)</f>
        <v>44.99</v>
      </c>
      <c r="L25" s="1426"/>
      <c r="M25" s="1401">
        <f>+IFERROR(VLOOKUP($A25,'[53]2000_IS210'!$D:$AH,13,FALSE),0)</f>
        <v>2343.0300000000002</v>
      </c>
      <c r="N25" s="1426"/>
      <c r="O25" s="1401">
        <f>+IFERROR(VLOOKUP($A25,'[53]2000_IS210'!$D:$AH,15,FALSE),0)</f>
        <v>44.99</v>
      </c>
      <c r="P25" s="1426"/>
      <c r="Q25" s="1401">
        <f>+IFERROR(VLOOKUP($A25,'[53]2000_IS210'!$D:$AH,17,FALSE),0)</f>
        <v>258.99</v>
      </c>
      <c r="R25" s="1426"/>
      <c r="S25" s="1401">
        <f>+IFERROR(VLOOKUP($A25,'[53]2000_IS210'!$D:$AH,19,FALSE),0)</f>
        <v>1764.23</v>
      </c>
      <c r="T25" s="1426"/>
      <c r="U25" s="1401">
        <f>+IFERROR(VLOOKUP($A25,'[53]2000_IS210'!$D:$AH,21,FALSE),0)</f>
        <v>805.99</v>
      </c>
      <c r="V25" s="1426"/>
      <c r="W25" s="1401">
        <f>+IFERROR(VLOOKUP($A25,'[53]2000_IS210'!$D:$AH,23,FALSE),0)</f>
        <v>1368.21</v>
      </c>
      <c r="X25" s="1426"/>
      <c r="Y25" s="1401">
        <f>+IFERROR(VLOOKUP($A25,'[53]2000_IS210'!$D:$AH,25,FALSE),0)</f>
        <v>283.99</v>
      </c>
      <c r="Z25" s="1426"/>
      <c r="AA25" s="1401">
        <f>+IFERROR(VLOOKUP($A25,'[53]2000_IS210'!$D:$AH,27,FALSE),0)</f>
        <v>44.99</v>
      </c>
      <c r="AB25" s="1426"/>
      <c r="AC25" s="1401">
        <f>+IFERROR(VLOOKUP($A25,'[53]2000_IS210'!$D:$AH,29,FALSE),0)</f>
        <v>655.86</v>
      </c>
      <c r="AD25" s="1426"/>
      <c r="AE25" s="1401">
        <f t="shared" si="0"/>
        <v>8723.25</v>
      </c>
      <c r="AF25" s="1574"/>
      <c r="AG25" s="1401"/>
      <c r="AH25" s="1575">
        <f t="shared" si="2"/>
        <v>637.16565645682329</v>
      </c>
      <c r="AI25" s="1424"/>
      <c r="AJ25" s="1576">
        <f>AH25+AI25</f>
        <v>637.16565645682329</v>
      </c>
      <c r="AO25" s="1099">
        <v>2111</v>
      </c>
      <c r="AP25" s="1108">
        <f>IFERROR(VLOOKUP(AO25,'[53]2017 Alloc'!A:C,3,FALSE),0)</f>
        <v>5.2414207200969364E-2</v>
      </c>
      <c r="AQ25" s="1108">
        <f>IFERROR(VLOOKUP(AO25,'[53]2018 Alloc Jan-Sep'!A:C,3,FALSE),0)</f>
        <v>5.4338088184821103E-2</v>
      </c>
      <c r="AR25" s="1108">
        <f>IFERROR(VLOOKUP(AO25,'[53]2018 Alloc Oct-Dec'!A:C,3,FALSE),0)</f>
        <v>5.3385804622082783E-2</v>
      </c>
    </row>
    <row r="26" spans="1:44" ht="15" customHeight="1" outlineLevel="1">
      <c r="A26" s="1621">
        <v>70200</v>
      </c>
      <c r="B26" s="1621" t="s">
        <v>60</v>
      </c>
      <c r="C26" s="1622"/>
      <c r="D26" s="1398"/>
      <c r="E26" s="1618"/>
      <c r="F26" s="1426"/>
      <c r="G26" s="1401">
        <f>+IFERROR(VLOOKUP($A26,'[53]2000_IS210'!$D:$AH,7,FALSE),0)</f>
        <v>6706.21</v>
      </c>
      <c r="H26" s="1426"/>
      <c r="I26" s="1401">
        <f>+IFERROR(VLOOKUP($A26,'[53]2000_IS210'!$D:$AH,9,FALSE),0)</f>
        <v>14491.61</v>
      </c>
      <c r="J26" s="1426"/>
      <c r="K26" s="1401">
        <f>+IFERROR(VLOOKUP($A26,'[53]2000_IS210'!$D:$AH,11,FALSE),0)</f>
        <v>13354.54</v>
      </c>
      <c r="L26" s="1426"/>
      <c r="M26" s="1401">
        <f>+IFERROR(VLOOKUP($A26,'[53]2000_IS210'!$D:$AH,13,FALSE),0)</f>
        <v>6730.21</v>
      </c>
      <c r="N26" s="1426"/>
      <c r="O26" s="1401">
        <f>+IFERROR(VLOOKUP($A26,'[53]2000_IS210'!$D:$AH,15,FALSE),0)</f>
        <v>18255.830000000002</v>
      </c>
      <c r="P26" s="1426"/>
      <c r="Q26" s="1401">
        <f>+IFERROR(VLOOKUP($A26,'[53]2000_IS210'!$D:$AH,17,FALSE),0)</f>
        <v>12998.5</v>
      </c>
      <c r="R26" s="1426"/>
      <c r="S26" s="1401">
        <f>+IFERROR(VLOOKUP($A26,'[53]2000_IS210'!$D:$AH,19,FALSE),0)</f>
        <v>13644.36</v>
      </c>
      <c r="T26" s="1426"/>
      <c r="U26" s="1401">
        <f>+IFERROR(VLOOKUP($A26,'[53]2000_IS210'!$D:$AH,21,FALSE),0)</f>
        <v>15071.96</v>
      </c>
      <c r="V26" s="1426"/>
      <c r="W26" s="1401">
        <f>+IFERROR(VLOOKUP($A26,'[53]2000_IS210'!$D:$AH,23,FALSE),0)</f>
        <v>20198.3</v>
      </c>
      <c r="X26" s="1426"/>
      <c r="Y26" s="1401">
        <f>+IFERROR(VLOOKUP($A26,'[53]2000_IS210'!$D:$AH,25,FALSE),0)</f>
        <v>8854.9</v>
      </c>
      <c r="Z26" s="1426"/>
      <c r="AA26" s="1401">
        <f>+IFERROR(VLOOKUP($A26,'[53]2000_IS210'!$D:$AH,27,FALSE),0)</f>
        <v>6312.76</v>
      </c>
      <c r="AB26" s="1426"/>
      <c r="AC26" s="1401">
        <f>+IFERROR(VLOOKUP($A26,'[53]2000_IS210'!$D:$AH,29,FALSE),0)</f>
        <v>12280.26</v>
      </c>
      <c r="AD26" s="1426"/>
      <c r="AE26" s="1401">
        <f t="shared" si="0"/>
        <v>148899.44000000003</v>
      </c>
      <c r="AF26" s="1574"/>
      <c r="AG26" s="1401"/>
      <c r="AH26" s="1575">
        <f t="shared" si="2"/>
        <v>10876.717263215251</v>
      </c>
      <c r="AI26" s="1424"/>
      <c r="AJ26" s="1576">
        <f t="shared" si="1"/>
        <v>10876.717263215251</v>
      </c>
      <c r="AO26" s="1099">
        <v>2112</v>
      </c>
      <c r="AP26" s="1108">
        <f>IFERROR(VLOOKUP(AO26,'[53]2017 Alloc'!A:C,3,FALSE),0)</f>
        <v>2.443417863943223E-2</v>
      </c>
      <c r="AQ26" s="1108">
        <f>IFERROR(VLOOKUP(AO26,'[53]2018 Alloc Jan-Sep'!A:C,3,FALSE),0)</f>
        <v>2.4741786401052682E-2</v>
      </c>
      <c r="AR26" s="1108">
        <f>IFERROR(VLOOKUP(AO26,'[53]2018 Alloc Oct-Dec'!A:C,3,FALSE),0)</f>
        <v>2.4308182693421932E-2</v>
      </c>
    </row>
    <row r="27" spans="1:44" ht="15" customHeight="1" outlineLevel="1">
      <c r="A27" s="1621">
        <v>70201</v>
      </c>
      <c r="B27" s="1621" t="s">
        <v>72</v>
      </c>
      <c r="C27" s="1622"/>
      <c r="D27" s="1398"/>
      <c r="E27" s="1618"/>
      <c r="F27" s="1426"/>
      <c r="G27" s="1401">
        <f>+IFERROR(VLOOKUP($A27,'[53]2000_IS210'!$D:$AH,7,FALSE),0)</f>
        <v>2417.1</v>
      </c>
      <c r="H27" s="1426"/>
      <c r="I27" s="1401">
        <f>+IFERROR(VLOOKUP($A27,'[53]2000_IS210'!$D:$AH,9,FALSE),0)</f>
        <v>3931.84</v>
      </c>
      <c r="J27" s="1426"/>
      <c r="K27" s="1401">
        <f>+IFERROR(VLOOKUP($A27,'[53]2000_IS210'!$D:$AH,11,FALSE),0)</f>
        <v>2018</v>
      </c>
      <c r="L27" s="1426"/>
      <c r="M27" s="1401">
        <f>+IFERROR(VLOOKUP($A27,'[53]2000_IS210'!$D:$AH,13,FALSE),0)</f>
        <v>3336.79</v>
      </c>
      <c r="N27" s="1426"/>
      <c r="O27" s="1401">
        <f>+IFERROR(VLOOKUP($A27,'[53]2000_IS210'!$D:$AH,15,FALSE),0)</f>
        <v>2693.72</v>
      </c>
      <c r="P27" s="1426"/>
      <c r="Q27" s="1401">
        <f>+IFERROR(VLOOKUP($A27,'[53]2000_IS210'!$D:$AH,17,FALSE),0)</f>
        <v>5133.57</v>
      </c>
      <c r="R27" s="1426"/>
      <c r="S27" s="1401">
        <f>+IFERROR(VLOOKUP($A27,'[53]2000_IS210'!$D:$AH,19,FALSE),0)</f>
        <v>3249.01</v>
      </c>
      <c r="T27" s="1426"/>
      <c r="U27" s="1401">
        <f>+IFERROR(VLOOKUP($A27,'[53]2000_IS210'!$D:$AH,21,FALSE),0)</f>
        <v>4020.19</v>
      </c>
      <c r="V27" s="1426"/>
      <c r="W27" s="1401">
        <f>+IFERROR(VLOOKUP($A27,'[53]2000_IS210'!$D:$AH,23,FALSE),0)</f>
        <v>4142.25</v>
      </c>
      <c r="X27" s="1426"/>
      <c r="Y27" s="1401">
        <f>+IFERROR(VLOOKUP($A27,'[53]2000_IS210'!$D:$AH,25,FALSE),0)</f>
        <v>2677.73</v>
      </c>
      <c r="Z27" s="1426"/>
      <c r="AA27" s="1401">
        <f>+IFERROR(VLOOKUP($A27,'[53]2000_IS210'!$D:$AH,27,FALSE),0)</f>
        <v>1921.39</v>
      </c>
      <c r="AB27" s="1426"/>
      <c r="AC27" s="1401">
        <f>+IFERROR(VLOOKUP($A27,'[53]2000_IS210'!$D:$AH,29,FALSE),0)</f>
        <v>2571.5</v>
      </c>
      <c r="AD27" s="1426"/>
      <c r="AE27" s="1401">
        <f t="shared" si="0"/>
        <v>38113.090000000004</v>
      </c>
      <c r="AF27" s="1574"/>
      <c r="AG27" s="1401"/>
      <c r="AH27" s="1575">
        <f t="shared" si="2"/>
        <v>2781.6420293315832</v>
      </c>
      <c r="AI27" s="1424"/>
      <c r="AJ27" s="1576">
        <f t="shared" si="1"/>
        <v>2781.6420293315832</v>
      </c>
      <c r="AO27" s="1099">
        <v>2113</v>
      </c>
      <c r="AP27" s="1108">
        <f>IFERROR(VLOOKUP(AO27,'[53]2017 Alloc'!A:C,3,FALSE),0)</f>
        <v>9.0156367203277362E-7</v>
      </c>
      <c r="AQ27" s="1108">
        <f>IFERROR(VLOOKUP(AO27,'[53]2018 Alloc Jan-Sep'!A:C,3,FALSE),0)</f>
        <v>0</v>
      </c>
      <c r="AR27" s="1108">
        <f>IFERROR(VLOOKUP(AO27,'[53]2018 Alloc Oct-Dec'!A:C,3,FALSE),0)</f>
        <v>0</v>
      </c>
    </row>
    <row r="28" spans="1:44" ht="15" customHeight="1" outlineLevel="1">
      <c r="A28" s="1621">
        <v>70202</v>
      </c>
      <c r="B28" s="1621" t="s">
        <v>260</v>
      </c>
      <c r="C28" s="1622"/>
      <c r="D28" s="1398"/>
      <c r="E28" s="1618"/>
      <c r="F28" s="1426"/>
      <c r="G28" s="1401">
        <f>+IFERROR(VLOOKUP($A28,'[53]2000_IS210'!$D:$AH,7,FALSE),0)</f>
        <v>9720.92</v>
      </c>
      <c r="H28" s="1426"/>
      <c r="I28" s="1401">
        <f>+IFERROR(VLOOKUP($A28,'[53]2000_IS210'!$D:$AH,9,FALSE),0)</f>
        <v>72676.240000000005</v>
      </c>
      <c r="J28" s="1426"/>
      <c r="K28" s="1401">
        <f>+IFERROR(VLOOKUP($A28,'[53]2000_IS210'!$D:$AH,11,FALSE),0)</f>
        <v>29397.16</v>
      </c>
      <c r="L28" s="1426"/>
      <c r="M28" s="1401">
        <f>+IFERROR(VLOOKUP($A28,'[53]2000_IS210'!$D:$AH,13,FALSE),0)</f>
        <v>109312.4</v>
      </c>
      <c r="N28" s="1426"/>
      <c r="O28" s="1401">
        <f>+IFERROR(VLOOKUP($A28,'[53]2000_IS210'!$D:$AH,15,FALSE),0)</f>
        <v>207639.42</v>
      </c>
      <c r="P28" s="1426"/>
      <c r="Q28" s="1401">
        <f>+IFERROR(VLOOKUP($A28,'[53]2000_IS210'!$D:$AH,17,FALSE),0)</f>
        <v>17283.46</v>
      </c>
      <c r="R28" s="1426"/>
      <c r="S28" s="1401">
        <f>+IFERROR(VLOOKUP($A28,'[53]2000_IS210'!$D:$AH,19,FALSE),0)</f>
        <v>424312.34</v>
      </c>
      <c r="T28" s="1426"/>
      <c r="U28" s="1401">
        <f>+IFERROR(VLOOKUP($A28,'[53]2000_IS210'!$D:$AH,21,FALSE),0)</f>
        <v>3632.05</v>
      </c>
      <c r="V28" s="1426"/>
      <c r="W28" s="1401">
        <f>+IFERROR(VLOOKUP($A28,'[53]2000_IS210'!$D:$AH,23,FALSE),0)</f>
        <v>2128.79</v>
      </c>
      <c r="X28" s="1426"/>
      <c r="Y28" s="1401">
        <f>+IFERROR(VLOOKUP($A28,'[53]2000_IS210'!$D:$AH,25,FALSE),0)</f>
        <v>28624.05</v>
      </c>
      <c r="Z28" s="1426"/>
      <c r="AA28" s="1401">
        <f>+IFERROR(VLOOKUP($A28,'[53]2000_IS210'!$D:$AH,27,FALSE),0)</f>
        <v>10806.77</v>
      </c>
      <c r="AB28" s="1426"/>
      <c r="AC28" s="1401">
        <f>+IFERROR(VLOOKUP($A28,'[53]2000_IS210'!$D:$AH,29,FALSE),0)</f>
        <v>22221.86</v>
      </c>
      <c r="AD28" s="1426"/>
      <c r="AE28" s="1401">
        <f t="shared" si="0"/>
        <v>937755.4600000002</v>
      </c>
      <c r="AF28" s="1574"/>
      <c r="AG28" s="1401"/>
      <c r="AH28" s="1575">
        <f t="shared" si="2"/>
        <v>68736.942195470547</v>
      </c>
      <c r="AI28" s="1424"/>
      <c r="AJ28" s="1576">
        <f t="shared" si="1"/>
        <v>68736.942195470547</v>
      </c>
      <c r="AO28" s="1099">
        <v>2120</v>
      </c>
      <c r="AP28" s="1108">
        <f>IFERROR(VLOOKUP(AO28,'[53]2017 Alloc'!A:C,3,FALSE),0)</f>
        <v>5.8114794299232589E-3</v>
      </c>
      <c r="AQ28" s="1108">
        <f>IFERROR(VLOOKUP(AO28,'[53]2018 Alloc Jan-Sep'!A:C,3,FALSE),0)</f>
        <v>5.7664656514851333E-3</v>
      </c>
      <c r="AR28" s="1108">
        <f>IFERROR(VLOOKUP(AO28,'[53]2018 Alloc Oct-Dec'!A:C,3,FALSE),0)</f>
        <v>5.6654074317640654E-3</v>
      </c>
    </row>
    <row r="29" spans="1:44" ht="15" customHeight="1" outlineLevel="1">
      <c r="A29" s="1621">
        <v>70203</v>
      </c>
      <c r="B29" s="1621" t="s">
        <v>130</v>
      </c>
      <c r="C29" s="1622"/>
      <c r="D29" s="1398"/>
      <c r="E29" s="1618"/>
      <c r="F29" s="1426"/>
      <c r="G29" s="1401">
        <f>+IFERROR(VLOOKUP($A29,'[53]2000_IS210'!$D:$AH,7,FALSE),0)</f>
        <v>3500.14</v>
      </c>
      <c r="H29" s="1426"/>
      <c r="I29" s="1401">
        <f>+IFERROR(VLOOKUP($A29,'[53]2000_IS210'!$D:$AH,9,FALSE),0)</f>
        <v>8326.41</v>
      </c>
      <c r="J29" s="1426"/>
      <c r="K29" s="1401">
        <f>+IFERROR(VLOOKUP($A29,'[53]2000_IS210'!$D:$AH,11,FALSE),0)</f>
        <v>5661.09</v>
      </c>
      <c r="L29" s="1426"/>
      <c r="M29" s="1401">
        <f>+IFERROR(VLOOKUP($A29,'[53]2000_IS210'!$D:$AH,13,FALSE),0)</f>
        <v>7421.25</v>
      </c>
      <c r="N29" s="1426"/>
      <c r="O29" s="1401">
        <f>+IFERROR(VLOOKUP($A29,'[53]2000_IS210'!$D:$AH,15,FALSE),0)</f>
        <v>5139.04</v>
      </c>
      <c r="P29" s="1426"/>
      <c r="Q29" s="1401">
        <f>+IFERROR(VLOOKUP($A29,'[53]2000_IS210'!$D:$AH,17,FALSE),0)</f>
        <v>12780.2</v>
      </c>
      <c r="R29" s="1426"/>
      <c r="S29" s="1401">
        <f>+IFERROR(VLOOKUP($A29,'[53]2000_IS210'!$D:$AH,19,FALSE),0)</f>
        <v>13543.93</v>
      </c>
      <c r="T29" s="1426"/>
      <c r="U29" s="1401">
        <f>+IFERROR(VLOOKUP($A29,'[53]2000_IS210'!$D:$AH,21,FALSE),0)</f>
        <v>8863.66</v>
      </c>
      <c r="V29" s="1426"/>
      <c r="W29" s="1401">
        <f>+IFERROR(VLOOKUP($A29,'[53]2000_IS210'!$D:$AH,23,FALSE),0)</f>
        <v>15208.79</v>
      </c>
      <c r="X29" s="1426"/>
      <c r="Y29" s="1401">
        <f>+IFERROR(VLOOKUP($A29,'[53]2000_IS210'!$D:$AH,25,FALSE),0)</f>
        <v>8655.77</v>
      </c>
      <c r="Z29" s="1426"/>
      <c r="AA29" s="1401">
        <f>+IFERROR(VLOOKUP($A29,'[53]2000_IS210'!$D:$AH,27,FALSE),0)</f>
        <v>4941.47</v>
      </c>
      <c r="AB29" s="1426"/>
      <c r="AC29" s="1401">
        <f>+IFERROR(VLOOKUP($A29,'[53]2000_IS210'!$D:$AH,29,FALSE),0)</f>
        <v>4496.41</v>
      </c>
      <c r="AD29" s="1426"/>
      <c r="AE29" s="1401">
        <f t="shared" si="0"/>
        <v>98538.16</v>
      </c>
      <c r="AF29" s="1574"/>
      <c r="AG29" s="1401"/>
      <c r="AH29" s="1575">
        <f t="shared" si="2"/>
        <v>7205.3418058887046</v>
      </c>
      <c r="AI29" s="1424"/>
      <c r="AJ29" s="1576">
        <f t="shared" si="1"/>
        <v>7205.3418058887046</v>
      </c>
      <c r="AO29" s="1099">
        <v>2121</v>
      </c>
      <c r="AP29" s="1108">
        <f>IFERROR(VLOOKUP(AO29,'[53]2017 Alloc'!A:C,3,FALSE),0)</f>
        <v>0</v>
      </c>
      <c r="AQ29" s="1108">
        <f>IFERROR(VLOOKUP(AO29,'[53]2018 Alloc Jan-Sep'!A:C,3,FALSE),0)</f>
        <v>0</v>
      </c>
      <c r="AR29" s="1108">
        <f>IFERROR(VLOOKUP(AO29,'[53]2018 Alloc Oct-Dec'!A:C,3,FALSE),0)</f>
        <v>0</v>
      </c>
    </row>
    <row r="30" spans="1:44" ht="15" customHeight="1" outlineLevel="1">
      <c r="A30" s="1621">
        <v>70205</v>
      </c>
      <c r="B30" s="1621" t="s">
        <v>254</v>
      </c>
      <c r="C30" s="1622"/>
      <c r="D30" s="1398"/>
      <c r="E30" s="1618"/>
      <c r="F30" s="1426"/>
      <c r="G30" s="1401">
        <f>+IFERROR(VLOOKUP($A30,'[53]2000_IS210'!$D:$AH,7,FALSE),0)</f>
        <v>6640.72</v>
      </c>
      <c r="H30" s="1426"/>
      <c r="I30" s="1401">
        <f>+IFERROR(VLOOKUP($A30,'[53]2000_IS210'!$D:$AH,9,FALSE),0)</f>
        <v>10582.95</v>
      </c>
      <c r="J30" s="1426"/>
      <c r="K30" s="1401">
        <f>+IFERROR(VLOOKUP($A30,'[53]2000_IS210'!$D:$AH,11,FALSE),0)</f>
        <v>3942.21</v>
      </c>
      <c r="L30" s="1426"/>
      <c r="M30" s="1401">
        <f>+IFERROR(VLOOKUP($A30,'[53]2000_IS210'!$D:$AH,13,FALSE),0)</f>
        <v>8988.34</v>
      </c>
      <c r="N30" s="1426"/>
      <c r="O30" s="1401">
        <f>+IFERROR(VLOOKUP($A30,'[53]2000_IS210'!$D:$AH,15,FALSE),0)</f>
        <v>6938.95</v>
      </c>
      <c r="P30" s="1426"/>
      <c r="Q30" s="1401">
        <f>+IFERROR(VLOOKUP($A30,'[53]2000_IS210'!$D:$AH,17,FALSE),0)</f>
        <v>12335.45</v>
      </c>
      <c r="R30" s="1426"/>
      <c r="S30" s="1401">
        <f>+IFERROR(VLOOKUP($A30,'[53]2000_IS210'!$D:$AH,19,FALSE),0)</f>
        <v>16075.48</v>
      </c>
      <c r="T30" s="1426"/>
      <c r="U30" s="1401">
        <f>+IFERROR(VLOOKUP($A30,'[53]2000_IS210'!$D:$AH,21,FALSE),0)</f>
        <v>9427.7900000000009</v>
      </c>
      <c r="V30" s="1426"/>
      <c r="W30" s="1401">
        <f>+IFERROR(VLOOKUP($A30,'[53]2000_IS210'!$D:$AH,23,FALSE),0)</f>
        <v>14022.72</v>
      </c>
      <c r="X30" s="1426"/>
      <c r="Y30" s="1401">
        <f>+IFERROR(VLOOKUP($A30,'[53]2000_IS210'!$D:$AH,25,FALSE),0)</f>
        <v>9302.0300000000007</v>
      </c>
      <c r="Z30" s="1426"/>
      <c r="AA30" s="1401">
        <f>+IFERROR(VLOOKUP($A30,'[53]2000_IS210'!$D:$AH,27,FALSE),0)</f>
        <v>6235.65</v>
      </c>
      <c r="AB30" s="1426"/>
      <c r="AC30" s="1401">
        <f>+IFERROR(VLOOKUP($A30,'[53]2000_IS210'!$D:$AH,29,FALSE),0)</f>
        <v>4577.76</v>
      </c>
      <c r="AD30" s="1426"/>
      <c r="AE30" s="1401">
        <f t="shared" si="0"/>
        <v>109070.05</v>
      </c>
      <c r="AF30" s="1574"/>
      <c r="AG30" s="1401"/>
      <c r="AH30" s="1575">
        <f t="shared" si="2"/>
        <v>7964.0768107931171</v>
      </c>
      <c r="AI30" s="1424"/>
      <c r="AJ30" s="1576">
        <f t="shared" si="1"/>
        <v>7964.0768107931171</v>
      </c>
      <c r="AO30" s="1099">
        <v>2125</v>
      </c>
      <c r="AP30" s="1108">
        <f>IFERROR(VLOOKUP(AO30,'[53]2017 Alloc'!A:C,3,FALSE),0)</f>
        <v>9.0156367203277362E-7</v>
      </c>
      <c r="AQ30" s="1108">
        <f>IFERROR(VLOOKUP(AO30,'[53]2018 Alloc Jan-Sep'!A:C,3,FALSE),0)</f>
        <v>8.9430298565216082E-7</v>
      </c>
      <c r="AR30" s="1108">
        <f>IFERROR(VLOOKUP(AO30,'[53]2018 Alloc Oct-Dec'!A:C,3,FALSE),0)</f>
        <v>8.7863018482693313E-7</v>
      </c>
    </row>
    <row r="31" spans="1:44" ht="15" customHeight="1" outlineLevel="1">
      <c r="A31" s="1621">
        <v>70206</v>
      </c>
      <c r="B31" s="1621" t="s">
        <v>261</v>
      </c>
      <c r="C31" s="1622"/>
      <c r="D31" s="1398"/>
      <c r="E31" s="1618"/>
      <c r="F31" s="1426"/>
      <c r="G31" s="1401">
        <f>+IFERROR(VLOOKUP($A31,'[53]2000_IS210'!$D:$AH,7,FALSE),0)</f>
        <v>1219.3499999999999</v>
      </c>
      <c r="H31" s="1426"/>
      <c r="I31" s="1401">
        <f>+IFERROR(VLOOKUP($A31,'[53]2000_IS210'!$D:$AH,9,FALSE),0)</f>
        <v>2282.71</v>
      </c>
      <c r="J31" s="1426"/>
      <c r="K31" s="1401">
        <f>+IFERROR(VLOOKUP($A31,'[53]2000_IS210'!$D:$AH,11,FALSE),0)</f>
        <v>1535.58</v>
      </c>
      <c r="L31" s="1426"/>
      <c r="M31" s="1401">
        <f>+IFERROR(VLOOKUP($A31,'[53]2000_IS210'!$D:$AH,13,FALSE),0)</f>
        <v>3139.32</v>
      </c>
      <c r="N31" s="1426"/>
      <c r="O31" s="1401">
        <f>+IFERROR(VLOOKUP($A31,'[53]2000_IS210'!$D:$AH,15,FALSE),0)</f>
        <v>2877.94</v>
      </c>
      <c r="P31" s="1426"/>
      <c r="Q31" s="1401">
        <f>+IFERROR(VLOOKUP($A31,'[53]2000_IS210'!$D:$AH,17,FALSE),0)</f>
        <v>2966.07</v>
      </c>
      <c r="R31" s="1426"/>
      <c r="S31" s="1401">
        <f>+IFERROR(VLOOKUP($A31,'[53]2000_IS210'!$D:$AH,19,FALSE),0)</f>
        <v>5042.1000000000004</v>
      </c>
      <c r="T31" s="1426"/>
      <c r="U31" s="1401">
        <f>+IFERROR(VLOOKUP($A31,'[53]2000_IS210'!$D:$AH,21,FALSE),0)</f>
        <v>1931.09</v>
      </c>
      <c r="V31" s="1426"/>
      <c r="W31" s="1401">
        <f>+IFERROR(VLOOKUP($A31,'[53]2000_IS210'!$D:$AH,23,FALSE),0)</f>
        <v>5021.8999999999996</v>
      </c>
      <c r="X31" s="1426"/>
      <c r="Y31" s="1401">
        <f>+IFERROR(VLOOKUP($A31,'[53]2000_IS210'!$D:$AH,25,FALSE),0)</f>
        <v>1881</v>
      </c>
      <c r="Z31" s="1426"/>
      <c r="AA31" s="1401">
        <f>+IFERROR(VLOOKUP($A31,'[53]2000_IS210'!$D:$AH,27,FALSE),0)</f>
        <v>3122.03</v>
      </c>
      <c r="AB31" s="1426"/>
      <c r="AC31" s="1401">
        <f>+IFERROR(VLOOKUP($A31,'[53]2000_IS210'!$D:$AH,29,FALSE),0)</f>
        <v>1185.18</v>
      </c>
      <c r="AD31" s="1426"/>
      <c r="AE31" s="1401">
        <f t="shared" si="0"/>
        <v>32204.269999999997</v>
      </c>
      <c r="AF31" s="1574"/>
      <c r="AG31" s="1401"/>
      <c r="AH31" s="1575">
        <f t="shared" si="2"/>
        <v>2352.9818880173561</v>
      </c>
      <c r="AI31" s="1424"/>
      <c r="AJ31" s="1576">
        <f t="shared" si="1"/>
        <v>2352.9818880173561</v>
      </c>
      <c r="AO31" s="1099">
        <v>2131</v>
      </c>
      <c r="AP31" s="1108">
        <f>IFERROR(VLOOKUP(AO31,'[53]2017 Alloc'!A:C,3,FALSE),0)</f>
        <v>0</v>
      </c>
      <c r="AQ31" s="1108">
        <f>IFERROR(VLOOKUP(AO31,'[53]2018 Alloc Jan-Sep'!A:C,3,FALSE),0)</f>
        <v>0</v>
      </c>
      <c r="AR31" s="1108">
        <f>IFERROR(VLOOKUP(AO31,'[53]2018 Alloc Oct-Dec'!A:C,3,FALSE),0)</f>
        <v>0</v>
      </c>
    </row>
    <row r="32" spans="1:44" ht="15" customHeight="1" outlineLevel="1">
      <c r="A32" s="1621">
        <v>70207</v>
      </c>
      <c r="B32" s="1621" t="s">
        <v>133</v>
      </c>
      <c r="C32" s="1622"/>
      <c r="D32" s="1398"/>
      <c r="E32" s="1618"/>
      <c r="F32" s="1426"/>
      <c r="G32" s="1401">
        <f>+IFERROR(VLOOKUP($A32,'[53]2000_IS210'!$D:$AH,7,FALSE),0)</f>
        <v>0</v>
      </c>
      <c r="H32" s="1426"/>
      <c r="I32" s="1401">
        <f>+IFERROR(VLOOKUP($A32,'[53]2000_IS210'!$D:$AH,9,FALSE),0)</f>
        <v>0</v>
      </c>
      <c r="J32" s="1426"/>
      <c r="K32" s="1401">
        <f>+IFERROR(VLOOKUP($A32,'[53]2000_IS210'!$D:$AH,11,FALSE),0)</f>
        <v>0</v>
      </c>
      <c r="L32" s="1426"/>
      <c r="M32" s="1401">
        <f>+IFERROR(VLOOKUP($A32,'[53]2000_IS210'!$D:$AH,13,FALSE),0)</f>
        <v>0</v>
      </c>
      <c r="N32" s="1426"/>
      <c r="O32" s="1401">
        <f>+IFERROR(VLOOKUP($A32,'[53]2000_IS210'!$D:$AH,15,FALSE),0)</f>
        <v>0</v>
      </c>
      <c r="P32" s="1426"/>
      <c r="Q32" s="1401">
        <f>+IFERROR(VLOOKUP($A32,'[53]2000_IS210'!$D:$AH,17,FALSE),0)</f>
        <v>0</v>
      </c>
      <c r="R32" s="1426"/>
      <c r="S32" s="1401">
        <f>+IFERROR(VLOOKUP($A32,'[53]2000_IS210'!$D:$AH,19,FALSE),0)</f>
        <v>0</v>
      </c>
      <c r="T32" s="1426"/>
      <c r="U32" s="1401">
        <f>+IFERROR(VLOOKUP($A32,'[53]2000_IS210'!$D:$AH,21,FALSE),0)</f>
        <v>5.88</v>
      </c>
      <c r="V32" s="1426"/>
      <c r="W32" s="1401">
        <f>+IFERROR(VLOOKUP($A32,'[53]2000_IS210'!$D:$AH,23,FALSE),0)</f>
        <v>0</v>
      </c>
      <c r="X32" s="1426"/>
      <c r="Y32" s="1401">
        <f>+IFERROR(VLOOKUP($A32,'[53]2000_IS210'!$D:$AH,25,FALSE),0)</f>
        <v>0</v>
      </c>
      <c r="Z32" s="1426"/>
      <c r="AA32" s="1401">
        <f>+IFERROR(VLOOKUP($A32,'[53]2000_IS210'!$D:$AH,27,FALSE),0)</f>
        <v>0</v>
      </c>
      <c r="AB32" s="1426"/>
      <c r="AC32" s="1401">
        <f>+IFERROR(VLOOKUP($A32,'[53]2000_IS210'!$D:$AH,29,FALSE),0)</f>
        <v>0</v>
      </c>
      <c r="AD32" s="1426"/>
      <c r="AE32" s="1401">
        <f t="shared" si="0"/>
        <v>5.88</v>
      </c>
      <c r="AF32" s="1574"/>
      <c r="AG32" s="1401"/>
      <c r="AH32" s="1575">
        <f t="shared" si="2"/>
        <v>0.43150737915382831</v>
      </c>
      <c r="AI32" s="1424"/>
      <c r="AJ32" s="1576">
        <f t="shared" si="1"/>
        <v>0.43150737915382831</v>
      </c>
      <c r="AO32" s="1099">
        <v>2132</v>
      </c>
      <c r="AP32" s="1108">
        <f>IFERROR(VLOOKUP(AO32,'[53]2017 Alloc'!A:C,3,FALSE),0)</f>
        <v>2.0176994980093473E-3</v>
      </c>
      <c r="AQ32" s="1108">
        <f>IFERROR(VLOOKUP(AO32,'[53]2018 Alloc Jan-Sep'!A:C,3,FALSE),0)</f>
        <v>2.0881974714977956E-3</v>
      </c>
      <c r="AR32" s="1108">
        <f>IFERROR(VLOOKUP(AO32,'[53]2018 Alloc Oct-Dec'!A:C,3,FALSE),0)</f>
        <v>2.0516014815708888E-3</v>
      </c>
    </row>
    <row r="33" spans="1:44" ht="15" customHeight="1" outlineLevel="1">
      <c r="A33" s="1621">
        <v>70210</v>
      </c>
      <c r="B33" s="1621" t="s">
        <v>262</v>
      </c>
      <c r="C33" s="1622"/>
      <c r="D33" s="1398"/>
      <c r="E33" s="1618"/>
      <c r="F33" s="1426"/>
      <c r="G33" s="1401">
        <f>+IFERROR(VLOOKUP($A33,'[53]2000_IS210'!$D:$AH,7,FALSE),0)</f>
        <v>2506.7399999999998</v>
      </c>
      <c r="H33" s="1426"/>
      <c r="I33" s="1401">
        <f>+IFERROR(VLOOKUP($A33,'[53]2000_IS210'!$D:$AH,9,FALSE),0)</f>
        <v>4929.13</v>
      </c>
      <c r="J33" s="1426"/>
      <c r="K33" s="1401">
        <f>+IFERROR(VLOOKUP($A33,'[53]2000_IS210'!$D:$AH,11,FALSE),0)</f>
        <v>4759.47</v>
      </c>
      <c r="L33" s="1426"/>
      <c r="M33" s="1401">
        <f>+IFERROR(VLOOKUP($A33,'[53]2000_IS210'!$D:$AH,13,FALSE),0)</f>
        <v>2867.79</v>
      </c>
      <c r="N33" s="1426"/>
      <c r="O33" s="1401">
        <f>+IFERROR(VLOOKUP($A33,'[53]2000_IS210'!$D:$AH,15,FALSE),0)</f>
        <v>5384.21</v>
      </c>
      <c r="P33" s="1426"/>
      <c r="Q33" s="1401">
        <f>+IFERROR(VLOOKUP($A33,'[53]2000_IS210'!$D:$AH,17,FALSE),0)</f>
        <v>2864.85</v>
      </c>
      <c r="R33" s="1426"/>
      <c r="S33" s="1401">
        <f>+IFERROR(VLOOKUP($A33,'[53]2000_IS210'!$D:$AH,19,FALSE),0)</f>
        <v>2428.52</v>
      </c>
      <c r="T33" s="1426"/>
      <c r="U33" s="1401">
        <f>+IFERROR(VLOOKUP($A33,'[53]2000_IS210'!$D:$AH,21,FALSE),0)</f>
        <v>4800.75</v>
      </c>
      <c r="V33" s="1426"/>
      <c r="W33" s="1401">
        <f>+IFERROR(VLOOKUP($A33,'[53]2000_IS210'!$D:$AH,23,FALSE),0)</f>
        <v>2730.57</v>
      </c>
      <c r="X33" s="1426"/>
      <c r="Y33" s="1401">
        <f>+IFERROR(VLOOKUP($A33,'[53]2000_IS210'!$D:$AH,25,FALSE),0)</f>
        <v>1876.54</v>
      </c>
      <c r="Z33" s="1426"/>
      <c r="AA33" s="1401">
        <f>+IFERROR(VLOOKUP($A33,'[53]2000_IS210'!$D:$AH,27,FALSE),0)</f>
        <v>7899.56</v>
      </c>
      <c r="AB33" s="1426"/>
      <c r="AC33" s="1401">
        <f>+IFERROR(VLOOKUP($A33,'[53]2000_IS210'!$D:$AH,29,FALSE),0)</f>
        <v>3813.63</v>
      </c>
      <c r="AD33" s="1426"/>
      <c r="AE33" s="1401">
        <f t="shared" si="0"/>
        <v>46861.759999999995</v>
      </c>
      <c r="AF33" s="1574"/>
      <c r="AG33" s="1401"/>
      <c r="AH33" s="1575">
        <f t="shared" si="2"/>
        <v>3414.0290139915937</v>
      </c>
      <c r="AI33" s="1424"/>
      <c r="AJ33" s="1576">
        <f t="shared" si="1"/>
        <v>3414.0290139915937</v>
      </c>
      <c r="AO33" s="1099">
        <v>2140</v>
      </c>
      <c r="AP33" s="1108">
        <f>IFERROR(VLOOKUP(AO33,'[53]2017 Alloc'!A:C,3,FALSE),0)</f>
        <v>2.8217139807281751E-2</v>
      </c>
      <c r="AQ33" s="1108">
        <f>IFERROR(VLOOKUP(AO33,'[53]2018 Alloc Jan-Sep'!A:C,3,FALSE),0)</f>
        <v>2.8709808748391321E-2</v>
      </c>
      <c r="AR33" s="1108">
        <f>IFERROR(VLOOKUP(AO33,'[53]2018 Alloc Oct-Dec'!A:C,3,FALSE),0)</f>
        <v>2.8206664823499036E-2</v>
      </c>
    </row>
    <row r="34" spans="1:44" ht="15" customHeight="1" outlineLevel="1">
      <c r="A34" s="1621">
        <v>70214</v>
      </c>
      <c r="B34" s="1621" t="s">
        <v>99</v>
      </c>
      <c r="C34" s="1622"/>
      <c r="D34" s="1398"/>
      <c r="E34" s="1618"/>
      <c r="F34" s="1426"/>
      <c r="G34" s="1401">
        <f>+IFERROR(VLOOKUP($A34,'[53]2000_IS210'!$D:$AH,7,FALSE),0)</f>
        <v>0</v>
      </c>
      <c r="H34" s="1426"/>
      <c r="I34" s="1401">
        <f>+IFERROR(VLOOKUP($A34,'[53]2000_IS210'!$D:$AH,9,FALSE),0)</f>
        <v>0</v>
      </c>
      <c r="J34" s="1426"/>
      <c r="K34" s="1401">
        <f>+IFERROR(VLOOKUP($A34,'[53]2000_IS210'!$D:$AH,11,FALSE),0)</f>
        <v>0.28000000000000003</v>
      </c>
      <c r="L34" s="1426"/>
      <c r="M34" s="1401">
        <f>+IFERROR(VLOOKUP($A34,'[53]2000_IS210'!$D:$AH,13,FALSE),0)</f>
        <v>0</v>
      </c>
      <c r="N34" s="1426"/>
      <c r="O34" s="1401">
        <f>+IFERROR(VLOOKUP($A34,'[53]2000_IS210'!$D:$AH,15,FALSE),0)</f>
        <v>0</v>
      </c>
      <c r="P34" s="1426"/>
      <c r="Q34" s="1401">
        <f>+IFERROR(VLOOKUP($A34,'[53]2000_IS210'!$D:$AH,17,FALSE),0)</f>
        <v>0</v>
      </c>
      <c r="R34" s="1426"/>
      <c r="S34" s="1401">
        <f>+IFERROR(VLOOKUP($A34,'[53]2000_IS210'!$D:$AH,19,FALSE),0)</f>
        <v>0</v>
      </c>
      <c r="T34" s="1426"/>
      <c r="U34" s="1401">
        <f>+IFERROR(VLOOKUP($A34,'[53]2000_IS210'!$D:$AH,21,FALSE),0)</f>
        <v>0</v>
      </c>
      <c r="V34" s="1426"/>
      <c r="W34" s="1401">
        <f>+IFERROR(VLOOKUP($A34,'[53]2000_IS210'!$D:$AH,23,FALSE),0)</f>
        <v>0</v>
      </c>
      <c r="X34" s="1426"/>
      <c r="Y34" s="1401">
        <f>+IFERROR(VLOOKUP($A34,'[53]2000_IS210'!$D:$AH,25,FALSE),0)</f>
        <v>0</v>
      </c>
      <c r="Z34" s="1426"/>
      <c r="AA34" s="1401">
        <f>+IFERROR(VLOOKUP($A34,'[53]2000_IS210'!$D:$AH,27,FALSE),0)</f>
        <v>0</v>
      </c>
      <c r="AB34" s="1426"/>
      <c r="AC34" s="1401">
        <f>+IFERROR(VLOOKUP($A34,'[53]2000_IS210'!$D:$AH,29,FALSE),0)</f>
        <v>0</v>
      </c>
      <c r="AD34" s="1426"/>
      <c r="AE34" s="1401">
        <f t="shared" si="0"/>
        <v>0.28000000000000003</v>
      </c>
      <c r="AF34" s="1574"/>
      <c r="AG34" s="1401"/>
      <c r="AH34" s="1575">
        <f t="shared" si="2"/>
        <v>2.0547970435896588E-2</v>
      </c>
      <c r="AI34" s="1424"/>
      <c r="AJ34" s="1576">
        <f t="shared" si="1"/>
        <v>2.0547970435896588E-2</v>
      </c>
      <c r="AO34" s="1099">
        <v>2143</v>
      </c>
      <c r="AP34" s="1108">
        <f>IFERROR(VLOOKUP(AO34,'[53]2017 Alloc'!A:C,3,FALSE),0)</f>
        <v>0</v>
      </c>
      <c r="AQ34" s="1108">
        <f>IFERROR(VLOOKUP(AO34,'[53]2018 Alloc Jan-Sep'!A:C,3,FALSE),0)</f>
        <v>0</v>
      </c>
      <c r="AR34" s="1108">
        <f>IFERROR(VLOOKUP(AO34,'[53]2018 Alloc Oct-Dec'!A:C,3,FALSE),0)</f>
        <v>0</v>
      </c>
    </row>
    <row r="35" spans="1:44" ht="15" customHeight="1" outlineLevel="1">
      <c r="A35" s="1621">
        <v>70215</v>
      </c>
      <c r="B35" s="1621" t="s">
        <v>100</v>
      </c>
      <c r="C35" s="1622"/>
      <c r="D35" s="1398"/>
      <c r="E35" s="1618"/>
      <c r="F35" s="1426"/>
      <c r="G35" s="1401">
        <f>+IFERROR(VLOOKUP($A35,'[53]2000_IS210'!$D:$AH,7,FALSE),0)</f>
        <v>0</v>
      </c>
      <c r="H35" s="1426"/>
      <c r="I35" s="1401">
        <f>+IFERROR(VLOOKUP($A35,'[53]2000_IS210'!$D:$AH,9,FALSE),0)</f>
        <v>0</v>
      </c>
      <c r="J35" s="1426"/>
      <c r="K35" s="1401">
        <f>+IFERROR(VLOOKUP($A35,'[53]2000_IS210'!$D:$AH,11,FALSE),0)</f>
        <v>5.09</v>
      </c>
      <c r="L35" s="1426"/>
      <c r="M35" s="1401">
        <f>+IFERROR(VLOOKUP($A35,'[53]2000_IS210'!$D:$AH,13,FALSE),0)</f>
        <v>0</v>
      </c>
      <c r="N35" s="1426"/>
      <c r="O35" s="1401">
        <f>+IFERROR(VLOOKUP($A35,'[53]2000_IS210'!$D:$AH,15,FALSE),0)</f>
        <v>110.25</v>
      </c>
      <c r="P35" s="1426"/>
      <c r="Q35" s="1401">
        <f>+IFERROR(VLOOKUP($A35,'[53]2000_IS210'!$D:$AH,17,FALSE),0)</f>
        <v>0</v>
      </c>
      <c r="R35" s="1426"/>
      <c r="S35" s="1401">
        <f>+IFERROR(VLOOKUP($A35,'[53]2000_IS210'!$D:$AH,19,FALSE),0)</f>
        <v>0</v>
      </c>
      <c r="T35" s="1426"/>
      <c r="U35" s="1401">
        <f>+IFERROR(VLOOKUP($A35,'[53]2000_IS210'!$D:$AH,21,FALSE),0)</f>
        <v>1.02</v>
      </c>
      <c r="V35" s="1426"/>
      <c r="W35" s="1401">
        <f>+IFERROR(VLOOKUP($A35,'[53]2000_IS210'!$D:$AH,23,FALSE),0)</f>
        <v>4.3899999999999997</v>
      </c>
      <c r="X35" s="1426"/>
      <c r="Y35" s="1401">
        <f>+IFERROR(VLOOKUP($A35,'[53]2000_IS210'!$D:$AH,25,FALSE),0)</f>
        <v>0</v>
      </c>
      <c r="Z35" s="1426"/>
      <c r="AA35" s="1401">
        <f>+IFERROR(VLOOKUP($A35,'[53]2000_IS210'!$D:$AH,27,FALSE),0)</f>
        <v>0</v>
      </c>
      <c r="AB35" s="1426"/>
      <c r="AC35" s="1401">
        <f>+IFERROR(VLOOKUP($A35,'[53]2000_IS210'!$D:$AH,29,FALSE),0)</f>
        <v>69.709999999999994</v>
      </c>
      <c r="AD35" s="1426"/>
      <c r="AE35" s="1401">
        <f t="shared" si="0"/>
        <v>190.46</v>
      </c>
      <c r="AF35" s="1574"/>
      <c r="AG35" s="1401"/>
      <c r="AH35" s="1575">
        <f t="shared" si="2"/>
        <v>13.887369394892687</v>
      </c>
      <c r="AI35" s="1424"/>
      <c r="AJ35" s="1576">
        <f t="shared" si="1"/>
        <v>13.887369394892687</v>
      </c>
      <c r="AO35" s="1099">
        <v>2144</v>
      </c>
      <c r="AP35" s="1108">
        <f>IFERROR(VLOOKUP(AO35,'[53]2017 Alloc'!A:C,3,FALSE),0)</f>
        <v>1.2336095724424442E-2</v>
      </c>
      <c r="AQ35" s="1108">
        <f>IFERROR(VLOOKUP(AO35,'[53]2018 Alloc Jan-Sep'!A:C,3,FALSE),0)</f>
        <v>1.2973653412855897E-2</v>
      </c>
      <c r="AR35" s="1108">
        <f>IFERROR(VLOOKUP(AO35,'[53]2018 Alloc Oct-Dec'!A:C,3,FALSE),0)</f>
        <v>1.274628809128432E-2</v>
      </c>
    </row>
    <row r="36" spans="1:44" ht="15" customHeight="1" outlineLevel="1">
      <c r="A36" s="1621">
        <v>70225</v>
      </c>
      <c r="B36" s="1621" t="s">
        <v>255</v>
      </c>
      <c r="C36" s="1622"/>
      <c r="D36" s="1398"/>
      <c r="E36" s="1618"/>
      <c r="F36" s="1426"/>
      <c r="G36" s="1401">
        <f>+IFERROR(VLOOKUP($A36,'[53]2000_IS210'!$D:$AH,7,FALSE),0)</f>
        <v>0</v>
      </c>
      <c r="H36" s="1426"/>
      <c r="I36" s="1401">
        <f>+IFERROR(VLOOKUP($A36,'[53]2000_IS210'!$D:$AH,9,FALSE),0)</f>
        <v>0</v>
      </c>
      <c r="J36" s="1426"/>
      <c r="K36" s="1401">
        <f>+IFERROR(VLOOKUP($A36,'[53]2000_IS210'!$D:$AH,11,FALSE),0)</f>
        <v>0</v>
      </c>
      <c r="L36" s="1426"/>
      <c r="M36" s="1401">
        <f>+IFERROR(VLOOKUP($A36,'[53]2000_IS210'!$D:$AH,13,FALSE),0)</f>
        <v>0</v>
      </c>
      <c r="N36" s="1426"/>
      <c r="O36" s="1401">
        <f>+IFERROR(VLOOKUP($A36,'[53]2000_IS210'!$D:$AH,15,FALSE),0)</f>
        <v>0</v>
      </c>
      <c r="P36" s="1426"/>
      <c r="Q36" s="1401">
        <f>+IFERROR(VLOOKUP($A36,'[53]2000_IS210'!$D:$AH,17,FALSE),0)</f>
        <v>0</v>
      </c>
      <c r="R36" s="1426"/>
      <c r="S36" s="1401">
        <f>+IFERROR(VLOOKUP($A36,'[53]2000_IS210'!$D:$AH,19,FALSE),0)</f>
        <v>0</v>
      </c>
      <c r="T36" s="1426"/>
      <c r="U36" s="1401">
        <f>+IFERROR(VLOOKUP($A36,'[53]2000_IS210'!$D:$AH,21,FALSE),0)</f>
        <v>0</v>
      </c>
      <c r="V36" s="1426"/>
      <c r="W36" s="1401">
        <f>+IFERROR(VLOOKUP($A36,'[53]2000_IS210'!$D:$AH,23,FALSE),0)</f>
        <v>0</v>
      </c>
      <c r="X36" s="1426"/>
      <c r="Y36" s="1401">
        <f>+IFERROR(VLOOKUP($A36,'[53]2000_IS210'!$D:$AH,25,FALSE),0)</f>
        <v>0</v>
      </c>
      <c r="Z36" s="1426"/>
      <c r="AA36" s="1401">
        <f>+IFERROR(VLOOKUP($A36,'[53]2000_IS210'!$D:$AH,27,FALSE),0)</f>
        <v>0</v>
      </c>
      <c r="AB36" s="1426"/>
      <c r="AC36" s="1401">
        <f>+IFERROR(VLOOKUP($A36,'[53]2000_IS210'!$D:$AH,29,FALSE),0)</f>
        <v>120.47</v>
      </c>
      <c r="AD36" s="1426"/>
      <c r="AE36" s="1401">
        <f t="shared" si="0"/>
        <v>120.47</v>
      </c>
      <c r="AF36" s="1574"/>
      <c r="AG36" s="1401"/>
      <c r="AH36" s="1575">
        <f t="shared" si="2"/>
        <v>8.6858284921438536</v>
      </c>
      <c r="AI36" s="1424">
        <f>-AH36</f>
        <v>-8.6858284921438536</v>
      </c>
      <c r="AJ36" s="1576">
        <f t="shared" si="1"/>
        <v>0</v>
      </c>
      <c r="AO36" s="1099">
        <v>2146</v>
      </c>
      <c r="AP36" s="1108">
        <f>IFERROR(VLOOKUP(AO36,'[53]2017 Alloc'!A:C,3,FALSE),0)</f>
        <v>6.8618011078414405E-3</v>
      </c>
      <c r="AQ36" s="1108">
        <f>IFERROR(VLOOKUP(AO36,'[53]2018 Alloc Jan-Sep'!A:C,3,FALSE),0)</f>
        <v>6.780605237214684E-3</v>
      </c>
      <c r="AR36" s="1108">
        <f>IFERROR(VLOOKUP(AO36,'[53]2018 Alloc Oct-Dec'!A:C,3,FALSE),0)</f>
        <v>6.6617740613578074E-3</v>
      </c>
    </row>
    <row r="37" spans="1:44" ht="15" customHeight="1" outlineLevel="1">
      <c r="A37" s="1621">
        <v>70231</v>
      </c>
      <c r="B37" s="1621" t="s">
        <v>135</v>
      </c>
      <c r="C37" s="1622"/>
      <c r="D37" s="1398"/>
      <c r="E37" s="1618"/>
      <c r="F37" s="1426"/>
      <c r="G37" s="1401">
        <f>+IFERROR(VLOOKUP($A37,'[53]2000_IS210'!$D:$AH,7,FALSE),0)</f>
        <v>130.03</v>
      </c>
      <c r="H37" s="1426"/>
      <c r="I37" s="1401">
        <f>+IFERROR(VLOOKUP($A37,'[53]2000_IS210'!$D:$AH,9,FALSE),0)</f>
        <v>30</v>
      </c>
      <c r="J37" s="1426"/>
      <c r="K37" s="1401">
        <f>+IFERROR(VLOOKUP($A37,'[53]2000_IS210'!$D:$AH,11,FALSE),0)</f>
        <v>109.24</v>
      </c>
      <c r="L37" s="1426"/>
      <c r="M37" s="1401">
        <f>+IFERROR(VLOOKUP($A37,'[53]2000_IS210'!$D:$AH,13,FALSE),0)</f>
        <v>36.72</v>
      </c>
      <c r="N37" s="1426"/>
      <c r="O37" s="1401">
        <f>+IFERROR(VLOOKUP($A37,'[53]2000_IS210'!$D:$AH,15,FALSE),0)</f>
        <v>2265.9299999999998</v>
      </c>
      <c r="P37" s="1426"/>
      <c r="Q37" s="1401">
        <f>+IFERROR(VLOOKUP($A37,'[53]2000_IS210'!$D:$AH,17,FALSE),0)</f>
        <v>34.869999999999997</v>
      </c>
      <c r="R37" s="1426"/>
      <c r="S37" s="1401">
        <f>+IFERROR(VLOOKUP($A37,'[53]2000_IS210'!$D:$AH,19,FALSE),0)</f>
        <v>3515</v>
      </c>
      <c r="T37" s="1426"/>
      <c r="U37" s="1401">
        <f>+IFERROR(VLOOKUP($A37,'[53]2000_IS210'!$D:$AH,21,FALSE),0)</f>
        <v>0</v>
      </c>
      <c r="V37" s="1426"/>
      <c r="W37" s="1401">
        <f>+IFERROR(VLOOKUP($A37,'[53]2000_IS210'!$D:$AH,23,FALSE),0)</f>
        <v>339.65</v>
      </c>
      <c r="X37" s="1426"/>
      <c r="Y37" s="1401">
        <f>+IFERROR(VLOOKUP($A37,'[53]2000_IS210'!$D:$AH,25,FALSE),0)</f>
        <v>7110.44</v>
      </c>
      <c r="Z37" s="1426"/>
      <c r="AA37" s="1401">
        <f>+IFERROR(VLOOKUP($A37,'[53]2000_IS210'!$D:$AH,27,FALSE),0)</f>
        <v>210.13</v>
      </c>
      <c r="AB37" s="1426"/>
      <c r="AC37" s="1401">
        <f>+IFERROR(VLOOKUP($A37,'[53]2000_IS210'!$D:$AH,29,FALSE),0)</f>
        <v>-16.25</v>
      </c>
      <c r="AD37" s="1426"/>
      <c r="AE37" s="1401">
        <f t="shared" si="0"/>
        <v>13765.76</v>
      </c>
      <c r="AF37" s="1574"/>
      <c r="AG37" s="1401"/>
      <c r="AH37" s="1575">
        <f t="shared" si="2"/>
        <v>1009.4465466356454</v>
      </c>
      <c r="AI37" s="1424"/>
      <c r="AJ37" s="1576">
        <f t="shared" si="1"/>
        <v>1009.4465466356454</v>
      </c>
      <c r="AO37" s="1099">
        <v>2148</v>
      </c>
      <c r="AP37" s="1108">
        <f>IFERROR(VLOOKUP(AO37,'[53]2017 Alloc'!A:C,3,FALSE),0)</f>
        <v>0</v>
      </c>
      <c r="AQ37" s="1108">
        <f>IFERROR(VLOOKUP(AO37,'[53]2018 Alloc Jan-Sep'!A:C,3,FALSE),0)</f>
        <v>0</v>
      </c>
      <c r="AR37" s="1108">
        <f>IFERROR(VLOOKUP(AO37,'[53]2018 Alloc Oct-Dec'!A:C,3,FALSE),0)</f>
        <v>0</v>
      </c>
    </row>
    <row r="38" spans="1:44" ht="15" customHeight="1" outlineLevel="1">
      <c r="A38" s="1621">
        <v>70232</v>
      </c>
      <c r="B38" s="1621" t="s">
        <v>136</v>
      </c>
      <c r="C38" s="1622"/>
      <c r="D38" s="1398"/>
      <c r="E38" s="1618"/>
      <c r="F38" s="1426"/>
      <c r="G38" s="1401">
        <f>+IFERROR(VLOOKUP($A38,'[53]2000_IS210'!$D:$AH,7,FALSE),0)</f>
        <v>0</v>
      </c>
      <c r="H38" s="1426"/>
      <c r="I38" s="1401">
        <f>+IFERROR(VLOOKUP($A38,'[53]2000_IS210'!$D:$AH,9,FALSE),0)</f>
        <v>0</v>
      </c>
      <c r="J38" s="1426"/>
      <c r="K38" s="1401">
        <f>+IFERROR(VLOOKUP($A38,'[53]2000_IS210'!$D:$AH,11,FALSE),0)</f>
        <v>0</v>
      </c>
      <c r="L38" s="1426"/>
      <c r="M38" s="1401">
        <f>+IFERROR(VLOOKUP($A38,'[53]2000_IS210'!$D:$AH,13,FALSE),0)</f>
        <v>783.22</v>
      </c>
      <c r="N38" s="1426"/>
      <c r="O38" s="1401">
        <f>+IFERROR(VLOOKUP($A38,'[53]2000_IS210'!$D:$AH,15,FALSE),0)</f>
        <v>1868.21</v>
      </c>
      <c r="P38" s="1426"/>
      <c r="Q38" s="1401">
        <f>+IFERROR(VLOOKUP($A38,'[53]2000_IS210'!$D:$AH,17,FALSE),0)</f>
        <v>1442.61</v>
      </c>
      <c r="R38" s="1426"/>
      <c r="S38" s="1401">
        <f>+IFERROR(VLOOKUP($A38,'[53]2000_IS210'!$D:$AH,19,FALSE),0)</f>
        <v>0</v>
      </c>
      <c r="T38" s="1426"/>
      <c r="U38" s="1401">
        <f>+IFERROR(VLOOKUP($A38,'[53]2000_IS210'!$D:$AH,21,FALSE),0)</f>
        <v>0</v>
      </c>
      <c r="V38" s="1426"/>
      <c r="W38" s="1401">
        <f>+IFERROR(VLOOKUP($A38,'[53]2000_IS210'!$D:$AH,23,FALSE),0)</f>
        <v>0</v>
      </c>
      <c r="X38" s="1426"/>
      <c r="Y38" s="1401">
        <f>+IFERROR(VLOOKUP($A38,'[53]2000_IS210'!$D:$AH,25,FALSE),0)</f>
        <v>0</v>
      </c>
      <c r="Z38" s="1426"/>
      <c r="AA38" s="1401">
        <f>+IFERROR(VLOOKUP($A38,'[53]2000_IS210'!$D:$AH,27,FALSE),0)</f>
        <v>0</v>
      </c>
      <c r="AB38" s="1426"/>
      <c r="AC38" s="1401">
        <f>+IFERROR(VLOOKUP($A38,'[53]2000_IS210'!$D:$AH,29,FALSE),0)</f>
        <v>1097.21</v>
      </c>
      <c r="AD38" s="1426"/>
      <c r="AE38" s="1401">
        <f t="shared" si="0"/>
        <v>5191.25</v>
      </c>
      <c r="AF38" s="1574"/>
      <c r="AG38" s="1401"/>
      <c r="AH38" s="1575">
        <f t="shared" si="2"/>
        <v>379.55192556602117</v>
      </c>
      <c r="AI38" s="1424"/>
      <c r="AJ38" s="1576">
        <f t="shared" si="1"/>
        <v>379.55192556602117</v>
      </c>
      <c r="AO38" s="1099">
        <v>2149</v>
      </c>
      <c r="AP38" s="1108">
        <f>IFERROR(VLOOKUP(AO38,'[53]2017 Alloc'!A:C,3,FALSE),0)</f>
        <v>1.4521486065431886E-2</v>
      </c>
      <c r="AQ38" s="1108">
        <f>IFERROR(VLOOKUP(AO38,'[53]2018 Alloc Jan-Sep'!A:C,3,FALSE),0)</f>
        <v>1.5838105875899768E-2</v>
      </c>
      <c r="AR38" s="1108">
        <f>IFERROR(VLOOKUP(AO38,'[53]2018 Alloc Oct-Dec'!A:C,3,FALSE),0)</f>
        <v>1.5560540573284987E-2</v>
      </c>
    </row>
    <row r="39" spans="1:44" ht="15" customHeight="1" outlineLevel="1">
      <c r="A39" s="1621">
        <v>70235</v>
      </c>
      <c r="B39" s="1621" t="s">
        <v>107</v>
      </c>
      <c r="C39" s="1622"/>
      <c r="D39" s="1398"/>
      <c r="E39" s="1618"/>
      <c r="F39" s="1426"/>
      <c r="G39" s="1401">
        <f>+IFERROR(VLOOKUP($A39,'[53]2000_IS210'!$D:$AH,7,FALSE),0)</f>
        <v>3937.03</v>
      </c>
      <c r="H39" s="1426"/>
      <c r="I39" s="1401">
        <f>+IFERROR(VLOOKUP($A39,'[53]2000_IS210'!$D:$AH,9,FALSE),0)</f>
        <v>-769</v>
      </c>
      <c r="J39" s="1426"/>
      <c r="K39" s="1401">
        <f>+IFERROR(VLOOKUP($A39,'[53]2000_IS210'!$D:$AH,11,FALSE),0)</f>
        <v>0</v>
      </c>
      <c r="L39" s="1426"/>
      <c r="M39" s="1401">
        <f>+IFERROR(VLOOKUP($A39,'[53]2000_IS210'!$D:$AH,13,FALSE),0)</f>
        <v>3203.1</v>
      </c>
      <c r="N39" s="1426"/>
      <c r="O39" s="1401">
        <f>+IFERROR(VLOOKUP($A39,'[53]2000_IS210'!$D:$AH,15,FALSE),0)</f>
        <v>196</v>
      </c>
      <c r="P39" s="1426"/>
      <c r="Q39" s="1401">
        <f>+IFERROR(VLOOKUP($A39,'[53]2000_IS210'!$D:$AH,17,FALSE),0)</f>
        <v>-228</v>
      </c>
      <c r="R39" s="1426"/>
      <c r="S39" s="1401">
        <f>+IFERROR(VLOOKUP($A39,'[53]2000_IS210'!$D:$AH,19,FALSE),0)</f>
        <v>0</v>
      </c>
      <c r="T39" s="1426"/>
      <c r="U39" s="1401">
        <f>+IFERROR(VLOOKUP($A39,'[53]2000_IS210'!$D:$AH,21,FALSE),0)</f>
        <v>0</v>
      </c>
      <c r="V39" s="1426"/>
      <c r="W39" s="1401">
        <f>+IFERROR(VLOOKUP($A39,'[53]2000_IS210'!$D:$AH,23,FALSE),0)</f>
        <v>0</v>
      </c>
      <c r="X39" s="1426"/>
      <c r="Y39" s="1401">
        <f>+IFERROR(VLOOKUP($A39,'[53]2000_IS210'!$D:$AH,25,FALSE),0)</f>
        <v>1456.5</v>
      </c>
      <c r="Z39" s="1426"/>
      <c r="AA39" s="1401">
        <f>+IFERROR(VLOOKUP($A39,'[53]2000_IS210'!$D:$AH,27,FALSE),0)</f>
        <v>0</v>
      </c>
      <c r="AB39" s="1426"/>
      <c r="AC39" s="1401">
        <f>+IFERROR(VLOOKUP($A39,'[53]2000_IS210'!$D:$AH,29,FALSE),0)</f>
        <v>797.5</v>
      </c>
      <c r="AD39" s="1426"/>
      <c r="AE39" s="1401">
        <f t="shared" si="0"/>
        <v>8593.130000000001</v>
      </c>
      <c r="AF39" s="1574"/>
      <c r="AG39" s="1401"/>
      <c r="AH39" s="1575">
        <f t="shared" si="2"/>
        <v>614.06046823443819</v>
      </c>
      <c r="AI39" s="1424"/>
      <c r="AJ39" s="1576">
        <f t="shared" si="1"/>
        <v>614.06046823443819</v>
      </c>
      <c r="AO39" s="1099">
        <v>2150</v>
      </c>
      <c r="AP39" s="1108">
        <f>IFERROR(VLOOKUP(AO39,'[53]2017 Alloc'!A:C,3,FALSE),0)</f>
        <v>0</v>
      </c>
      <c r="AQ39" s="1108">
        <f>IFERROR(VLOOKUP(AO39,'[53]2018 Alloc Jan-Sep'!A:C,3,FALSE),0)</f>
        <v>0</v>
      </c>
      <c r="AR39" s="1108">
        <f>IFERROR(VLOOKUP(AO39,'[53]2018 Alloc Oct-Dec'!A:C,3,FALSE),0)</f>
        <v>0</v>
      </c>
    </row>
    <row r="40" spans="1:44" ht="15" customHeight="1" outlineLevel="1">
      <c r="A40" s="1621">
        <v>70255</v>
      </c>
      <c r="B40" s="1621" t="s">
        <v>65</v>
      </c>
      <c r="C40" s="1622"/>
      <c r="D40" s="1398"/>
      <c r="E40" s="1618"/>
      <c r="F40" s="1426"/>
      <c r="G40" s="1401">
        <f>+IFERROR(VLOOKUP($A40,'[53]2000_IS210'!$D:$AH,7,FALSE),0)</f>
        <v>0</v>
      </c>
      <c r="H40" s="1426"/>
      <c r="I40" s="1401">
        <f>+IFERROR(VLOOKUP($A40,'[53]2000_IS210'!$D:$AH,9,FALSE),0)</f>
        <v>0</v>
      </c>
      <c r="J40" s="1426"/>
      <c r="K40" s="1401">
        <f>+IFERROR(VLOOKUP($A40,'[53]2000_IS210'!$D:$AH,11,FALSE),0)</f>
        <v>0</v>
      </c>
      <c r="L40" s="1426"/>
      <c r="M40" s="1401">
        <f>+IFERROR(VLOOKUP($A40,'[53]2000_IS210'!$D:$AH,13,FALSE),0)</f>
        <v>0</v>
      </c>
      <c r="N40" s="1426"/>
      <c r="O40" s="1401">
        <f>+IFERROR(VLOOKUP($A40,'[53]2000_IS210'!$D:$AH,15,FALSE),0)</f>
        <v>0</v>
      </c>
      <c r="P40" s="1426"/>
      <c r="Q40" s="1401">
        <f>+IFERROR(VLOOKUP($A40,'[53]2000_IS210'!$D:$AH,17,FALSE),0)</f>
        <v>0</v>
      </c>
      <c r="R40" s="1426"/>
      <c r="S40" s="1401">
        <f>+IFERROR(VLOOKUP($A40,'[53]2000_IS210'!$D:$AH,19,FALSE),0)</f>
        <v>0</v>
      </c>
      <c r="T40" s="1426"/>
      <c r="U40" s="1401">
        <f>+IFERROR(VLOOKUP($A40,'[53]2000_IS210'!$D:$AH,21,FALSE),0)</f>
        <v>25.75</v>
      </c>
      <c r="V40" s="1426"/>
      <c r="W40" s="1401">
        <f>+IFERROR(VLOOKUP($A40,'[53]2000_IS210'!$D:$AH,23,FALSE),0)</f>
        <v>0</v>
      </c>
      <c r="X40" s="1426"/>
      <c r="Y40" s="1401">
        <f>+IFERROR(VLOOKUP($A40,'[53]2000_IS210'!$D:$AH,25,FALSE),0)</f>
        <v>0</v>
      </c>
      <c r="Z40" s="1426"/>
      <c r="AA40" s="1401">
        <f>+IFERROR(VLOOKUP($A40,'[53]2000_IS210'!$D:$AH,27,FALSE),0)</f>
        <v>0</v>
      </c>
      <c r="AB40" s="1426"/>
      <c r="AC40" s="1401">
        <f>+IFERROR(VLOOKUP($A40,'[53]2000_IS210'!$D:$AH,29,FALSE),0)</f>
        <v>0</v>
      </c>
      <c r="AD40" s="1426"/>
      <c r="AE40" s="1401">
        <f t="shared" si="0"/>
        <v>25.75</v>
      </c>
      <c r="AF40" s="1574"/>
      <c r="AG40" s="1401"/>
      <c r="AH40" s="1575">
        <f t="shared" si="2"/>
        <v>1.8896794240154895</v>
      </c>
      <c r="AI40" s="1424"/>
      <c r="AJ40" s="1576">
        <f t="shared" si="1"/>
        <v>1.8896794240154895</v>
      </c>
      <c r="AO40" s="1099">
        <v>2160</v>
      </c>
      <c r="AP40" s="1108">
        <f>IFERROR(VLOOKUP(AO40,'[53]2017 Alloc'!A:C,3,FALSE),0)</f>
        <v>0</v>
      </c>
      <c r="AQ40" s="1108">
        <f>IFERROR(VLOOKUP(AO40,'[53]2018 Alloc Jan-Sep'!A:C,3,FALSE),0)</f>
        <v>0</v>
      </c>
      <c r="AR40" s="1108">
        <f>IFERROR(VLOOKUP(AO40,'[53]2018 Alloc Oct-Dec'!A:C,3,FALSE),0)</f>
        <v>0</v>
      </c>
    </row>
    <row r="41" spans="1:44" ht="15" customHeight="1" outlineLevel="1">
      <c r="A41" s="1621">
        <v>70275</v>
      </c>
      <c r="B41" s="1621" t="s">
        <v>238</v>
      </c>
      <c r="C41" s="1622"/>
      <c r="D41" s="1398"/>
      <c r="E41" s="1618"/>
      <c r="F41" s="1426"/>
      <c r="G41" s="1401">
        <f>+IFERROR(VLOOKUP($A41,'[53]2000_IS210'!$D:$AH,7,FALSE),0)</f>
        <v>0</v>
      </c>
      <c r="H41" s="1426"/>
      <c r="I41" s="1401">
        <f>+IFERROR(VLOOKUP($A41,'[53]2000_IS210'!$D:$AH,9,FALSE),0)</f>
        <v>0</v>
      </c>
      <c r="J41" s="1426"/>
      <c r="K41" s="1401">
        <f>+IFERROR(VLOOKUP($A41,'[53]2000_IS210'!$D:$AH,11,FALSE),0)</f>
        <v>0</v>
      </c>
      <c r="L41" s="1426"/>
      <c r="M41" s="1401">
        <f>+IFERROR(VLOOKUP($A41,'[53]2000_IS210'!$D:$AH,13,FALSE),0)</f>
        <v>0</v>
      </c>
      <c r="N41" s="1426"/>
      <c r="O41" s="1401">
        <f>+IFERROR(VLOOKUP($A41,'[53]2000_IS210'!$D:$AH,15,FALSE),0)</f>
        <v>0</v>
      </c>
      <c r="P41" s="1426"/>
      <c r="Q41" s="1401">
        <f>+IFERROR(VLOOKUP($A41,'[53]2000_IS210'!$D:$AH,17,FALSE),0)</f>
        <v>0</v>
      </c>
      <c r="R41" s="1426"/>
      <c r="S41" s="1401">
        <f>+IFERROR(VLOOKUP($A41,'[53]2000_IS210'!$D:$AH,19,FALSE),0)</f>
        <v>1049.06</v>
      </c>
      <c r="T41" s="1426"/>
      <c r="U41" s="1401">
        <f>+IFERROR(VLOOKUP($A41,'[53]2000_IS210'!$D:$AH,21,FALSE),0)</f>
        <v>0</v>
      </c>
      <c r="V41" s="1426"/>
      <c r="W41" s="1401">
        <f>+IFERROR(VLOOKUP($A41,'[53]2000_IS210'!$D:$AH,23,FALSE),0)</f>
        <v>0</v>
      </c>
      <c r="X41" s="1426"/>
      <c r="Y41" s="1401">
        <f>+IFERROR(VLOOKUP($A41,'[53]2000_IS210'!$D:$AH,25,FALSE),0)</f>
        <v>0</v>
      </c>
      <c r="Z41" s="1426"/>
      <c r="AA41" s="1401">
        <f>+IFERROR(VLOOKUP($A41,'[53]2000_IS210'!$D:$AH,27,FALSE),0)</f>
        <v>0</v>
      </c>
      <c r="AB41" s="1426"/>
      <c r="AC41" s="1401">
        <f>+IFERROR(VLOOKUP($A41,'[53]2000_IS210'!$D:$AH,29,FALSE),0)</f>
        <v>0</v>
      </c>
      <c r="AD41" s="1426"/>
      <c r="AE41" s="1401">
        <f t="shared" si="0"/>
        <v>1049.06</v>
      </c>
      <c r="AF41" s="1574"/>
      <c r="AG41" s="1401"/>
      <c r="AH41" s="1575">
        <f t="shared" si="2"/>
        <v>76.985906662434545</v>
      </c>
      <c r="AI41" s="1424"/>
      <c r="AJ41" s="1576">
        <f t="shared" si="1"/>
        <v>76.985906662434545</v>
      </c>
      <c r="AO41" s="1099">
        <v>2170</v>
      </c>
      <c r="AP41" s="1108">
        <f>IFERROR(VLOOKUP(AO41,'[53]2017 Alloc'!A:C,3,FALSE),0)</f>
        <v>0</v>
      </c>
      <c r="AQ41" s="1108">
        <f>IFERROR(VLOOKUP(AO41,'[53]2018 Alloc Jan-Sep'!A:C,3,FALSE),0)</f>
        <v>0</v>
      </c>
      <c r="AR41" s="1108">
        <f>IFERROR(VLOOKUP(AO41,'[53]2018 Alloc Oct-Dec'!A:C,3,FALSE),0)</f>
        <v>0</v>
      </c>
    </row>
    <row r="42" spans="1:44" ht="15" customHeight="1" outlineLevel="1">
      <c r="A42" s="1621">
        <v>70302</v>
      </c>
      <c r="B42" s="1621" t="s">
        <v>263</v>
      </c>
      <c r="C42" s="1622"/>
      <c r="D42" s="1398"/>
      <c r="E42" s="1618"/>
      <c r="F42" s="1426"/>
      <c r="G42" s="1401">
        <f>+IFERROR(VLOOKUP($A42,'[53]2000_IS210'!$D:$AH,7,FALSE),0)</f>
        <v>21.34</v>
      </c>
      <c r="H42" s="1426"/>
      <c r="I42" s="1401">
        <f>+IFERROR(VLOOKUP($A42,'[53]2000_IS210'!$D:$AH,9,FALSE),0)</f>
        <v>96.72</v>
      </c>
      <c r="J42" s="1426"/>
      <c r="K42" s="1401">
        <f>+IFERROR(VLOOKUP($A42,'[53]2000_IS210'!$D:$AH,11,FALSE),0)</f>
        <v>0</v>
      </c>
      <c r="L42" s="1426"/>
      <c r="M42" s="1401">
        <f>+IFERROR(VLOOKUP($A42,'[53]2000_IS210'!$D:$AH,13,FALSE),0)</f>
        <v>0</v>
      </c>
      <c r="N42" s="1426"/>
      <c r="O42" s="1401">
        <f>+IFERROR(VLOOKUP($A42,'[53]2000_IS210'!$D:$AH,15,FALSE),0)</f>
        <v>162.99</v>
      </c>
      <c r="P42" s="1426"/>
      <c r="Q42" s="1401">
        <f>+IFERROR(VLOOKUP($A42,'[53]2000_IS210'!$D:$AH,17,FALSE),0)</f>
        <v>162.21</v>
      </c>
      <c r="R42" s="1426"/>
      <c r="S42" s="1401">
        <f>+IFERROR(VLOOKUP($A42,'[53]2000_IS210'!$D:$AH,19,FALSE),0)</f>
        <v>31.14</v>
      </c>
      <c r="T42" s="1426"/>
      <c r="U42" s="1401">
        <f>+IFERROR(VLOOKUP($A42,'[53]2000_IS210'!$D:$AH,21,FALSE),0)</f>
        <v>80.8</v>
      </c>
      <c r="V42" s="1426"/>
      <c r="W42" s="1401">
        <f>+IFERROR(VLOOKUP($A42,'[53]2000_IS210'!$D:$AH,23,FALSE),0)</f>
        <v>881.38</v>
      </c>
      <c r="X42" s="1426"/>
      <c r="Y42" s="1401">
        <f>+IFERROR(VLOOKUP($A42,'[53]2000_IS210'!$D:$AH,25,FALSE),0)</f>
        <v>102.77</v>
      </c>
      <c r="Z42" s="1426"/>
      <c r="AA42" s="1401">
        <f>+IFERROR(VLOOKUP($A42,'[53]2000_IS210'!$D:$AH,27,FALSE),0)</f>
        <v>443.5</v>
      </c>
      <c r="AB42" s="1426"/>
      <c r="AC42" s="1401">
        <f>+IFERROR(VLOOKUP($A42,'[53]2000_IS210'!$D:$AH,29,FALSE),0)</f>
        <v>1063.31</v>
      </c>
      <c r="AD42" s="1426"/>
      <c r="AE42" s="1401">
        <f t="shared" si="0"/>
        <v>3046.1600000000003</v>
      </c>
      <c r="AF42" s="1574"/>
      <c r="AG42" s="1401"/>
      <c r="AH42" s="1575">
        <f t="shared" si="2"/>
        <v>221.5222501992904</v>
      </c>
      <c r="AI42" s="1424"/>
      <c r="AJ42" s="1576">
        <f t="shared" si="1"/>
        <v>221.5222501992904</v>
      </c>
      <c r="AO42" s="1099">
        <v>2171</v>
      </c>
      <c r="AP42" s="1108">
        <f>IFERROR(VLOOKUP(AO42,'[53]2017 Alloc'!A:C,3,FALSE),0)</f>
        <v>3.9668801569442041E-5</v>
      </c>
      <c r="AQ42" s="1108">
        <f>IFERROR(VLOOKUP(AO42,'[53]2018 Alloc Jan-Sep'!A:C,3,FALSE),0)</f>
        <v>3.8455028383042915E-5</v>
      </c>
      <c r="AR42" s="1108">
        <f>IFERROR(VLOOKUP(AO42,'[53]2018 Alloc Oct-Dec'!A:C,3,FALSE),0)</f>
        <v>3.7781097947558128E-5</v>
      </c>
    </row>
    <row r="43" spans="1:44" ht="15" customHeight="1" outlineLevel="1">
      <c r="A43" s="1621">
        <v>70310</v>
      </c>
      <c r="B43" s="1621" t="s">
        <v>117</v>
      </c>
      <c r="C43" s="1622"/>
      <c r="D43" s="1398"/>
      <c r="E43" s="1618"/>
      <c r="F43" s="1426"/>
      <c r="G43" s="1401">
        <f>+IFERROR(VLOOKUP($A43,'[53]2000_IS210'!$D:$AH,7,FALSE),0)</f>
        <v>300000</v>
      </c>
      <c r="H43" s="1426"/>
      <c r="I43" s="1401">
        <f>+IFERROR(VLOOKUP($A43,'[53]2000_IS210'!$D:$AH,9,FALSE),0)</f>
        <v>0</v>
      </c>
      <c r="J43" s="1426"/>
      <c r="K43" s="1401">
        <f>+IFERROR(VLOOKUP($A43,'[53]2000_IS210'!$D:$AH,11,FALSE),0)</f>
        <v>0</v>
      </c>
      <c r="L43" s="1426"/>
      <c r="M43" s="1401">
        <f>+IFERROR(VLOOKUP($A43,'[53]2000_IS210'!$D:$AH,13,FALSE),0)</f>
        <v>-300000</v>
      </c>
      <c r="N43" s="1426"/>
      <c r="O43" s="1401">
        <f>+IFERROR(VLOOKUP($A43,'[53]2000_IS210'!$D:$AH,15,FALSE),0)</f>
        <v>0</v>
      </c>
      <c r="P43" s="1426"/>
      <c r="Q43" s="1401">
        <f>+IFERROR(VLOOKUP($A43,'[53]2000_IS210'!$D:$AH,17,FALSE),0)</f>
        <v>0</v>
      </c>
      <c r="R43" s="1426"/>
      <c r="S43" s="1401">
        <f>+IFERROR(VLOOKUP($A43,'[53]2000_IS210'!$D:$AH,19,FALSE),0)</f>
        <v>0</v>
      </c>
      <c r="T43" s="1426"/>
      <c r="U43" s="1401">
        <f>+IFERROR(VLOOKUP($A43,'[53]2000_IS210'!$D:$AH,21,FALSE),0)</f>
        <v>0</v>
      </c>
      <c r="V43" s="1426"/>
      <c r="W43" s="1401">
        <f>+IFERROR(VLOOKUP($A43,'[53]2000_IS210'!$D:$AH,23,FALSE),0)</f>
        <v>0</v>
      </c>
      <c r="X43" s="1426"/>
      <c r="Y43" s="1401">
        <f>+IFERROR(VLOOKUP($A43,'[53]2000_IS210'!$D:$AH,25,FALSE),0)</f>
        <v>0</v>
      </c>
      <c r="Z43" s="1426"/>
      <c r="AA43" s="1401">
        <f>+IFERROR(VLOOKUP($A43,'[53]2000_IS210'!$D:$AH,27,FALSE),0)</f>
        <v>0</v>
      </c>
      <c r="AB43" s="1426"/>
      <c r="AC43" s="1401">
        <f>+IFERROR(VLOOKUP($A43,'[53]2000_IS210'!$D:$AH,29,FALSE),0)</f>
        <v>0</v>
      </c>
      <c r="AD43" s="1426"/>
      <c r="AE43" s="1401">
        <f t="shared" si="0"/>
        <v>0</v>
      </c>
      <c r="AF43" s="1574"/>
      <c r="AG43" s="1401"/>
      <c r="AH43" s="1575">
        <f>(SUM(G43)*$AH$2)+(SUM(I43:Y43)*$AH$3)+(SUM(AA43:AC43)*$AH$4)</f>
        <v>-1183.0705274934917</v>
      </c>
      <c r="AI43" s="1424"/>
      <c r="AJ43" s="1576">
        <f t="shared" si="1"/>
        <v>-1183.0705274934917</v>
      </c>
      <c r="AO43" s="1099">
        <v>2172</v>
      </c>
      <c r="AP43" s="1108">
        <f>IFERROR(VLOOKUP(AO43,'[53]2017 Alloc'!A:C,3,FALSE),0)</f>
        <v>9.0156367203277356E-6</v>
      </c>
      <c r="AQ43" s="1108">
        <f>IFERROR(VLOOKUP(AO43,'[53]2018 Alloc Jan-Sep'!A:C,3,FALSE),0)</f>
        <v>8.9430298565216085E-6</v>
      </c>
      <c r="AR43" s="1108">
        <f>IFERROR(VLOOKUP(AO43,'[53]2018 Alloc Oct-Dec'!A:C,3,FALSE),0)</f>
        <v>8.786301848269331E-6</v>
      </c>
    </row>
    <row r="44" spans="1:44" ht="15" customHeight="1" outlineLevel="1">
      <c r="A44" s="1621">
        <v>70320</v>
      </c>
      <c r="B44" s="1621" t="s">
        <v>105</v>
      </c>
      <c r="C44" s="1622"/>
      <c r="D44" s="1398"/>
      <c r="E44" s="1618"/>
      <c r="F44" s="1426"/>
      <c r="G44" s="1401">
        <f>+IFERROR(VLOOKUP($A44,'[53]2000_IS210'!$D:$AH,7,FALSE),0)</f>
        <v>4803.13</v>
      </c>
      <c r="H44" s="1426"/>
      <c r="I44" s="1401">
        <f>+IFERROR(VLOOKUP($A44,'[53]2000_IS210'!$D:$AH,9,FALSE),0)</f>
        <v>4534.08</v>
      </c>
      <c r="J44" s="1426"/>
      <c r="K44" s="1401">
        <f>+IFERROR(VLOOKUP($A44,'[53]2000_IS210'!$D:$AH,11,FALSE),0)</f>
        <v>4492.2299999999996</v>
      </c>
      <c r="L44" s="1426"/>
      <c r="M44" s="1401">
        <f>+IFERROR(VLOOKUP($A44,'[53]2000_IS210'!$D:$AH,13,FALSE),0)</f>
        <v>4492.2299999999996</v>
      </c>
      <c r="N44" s="1426"/>
      <c r="O44" s="1401">
        <f>+IFERROR(VLOOKUP($A44,'[53]2000_IS210'!$D:$AH,15,FALSE),0)</f>
        <v>4570.58</v>
      </c>
      <c r="P44" s="1426"/>
      <c r="Q44" s="1401">
        <f>+IFERROR(VLOOKUP($A44,'[53]2000_IS210'!$D:$AH,17,FALSE),0)</f>
        <v>4679.84</v>
      </c>
      <c r="R44" s="1426"/>
      <c r="S44" s="1401">
        <f>+IFERROR(VLOOKUP($A44,'[53]2000_IS210'!$D:$AH,19,FALSE),0)</f>
        <v>4436.7700000000004</v>
      </c>
      <c r="T44" s="1426"/>
      <c r="U44" s="1401">
        <f>+IFERROR(VLOOKUP($A44,'[53]2000_IS210'!$D:$AH,21,FALSE),0)</f>
        <v>4515.8900000000003</v>
      </c>
      <c r="V44" s="1426"/>
      <c r="W44" s="1401">
        <f>+IFERROR(VLOOKUP($A44,'[53]2000_IS210'!$D:$AH,23,FALSE),0)</f>
        <v>4367.59</v>
      </c>
      <c r="X44" s="1426"/>
      <c r="Y44" s="1401">
        <f>+IFERROR(VLOOKUP($A44,'[53]2000_IS210'!$D:$AH,25,FALSE),0)</f>
        <v>4359.04</v>
      </c>
      <c r="Z44" s="1426"/>
      <c r="AA44" s="1401">
        <f>+IFERROR(VLOOKUP($A44,'[53]2000_IS210'!$D:$AH,27,FALSE),0)</f>
        <v>4395.12</v>
      </c>
      <c r="AB44" s="1426"/>
      <c r="AC44" s="1401">
        <f>+IFERROR(VLOOKUP($A44,'[53]2000_IS210'!$D:$AH,29,FALSE),0)</f>
        <v>4393.87</v>
      </c>
      <c r="AD44" s="1426"/>
      <c r="AE44" s="1401">
        <f t="shared" si="0"/>
        <v>54040.369999999988</v>
      </c>
      <c r="AF44" s="1574"/>
      <c r="AG44" s="1401"/>
      <c r="AH44" s="1575">
        <f t="shared" si="2"/>
        <v>3935.5405044994573</v>
      </c>
      <c r="AI44" s="1424"/>
      <c r="AJ44" s="1576">
        <f t="shared" si="1"/>
        <v>3935.5405044994573</v>
      </c>
      <c r="AO44" s="1099">
        <v>2173</v>
      </c>
      <c r="AP44" s="1108">
        <f>IFERROR(VLOOKUP(AO44,'[53]2017 Alloc'!A:C,3,FALSE),0)</f>
        <v>8.1140730482949627E-6</v>
      </c>
      <c r="AQ44" s="1108">
        <f>IFERROR(VLOOKUP(AO44,'[53]2018 Alloc Jan-Sep'!A:C,3,FALSE),0)</f>
        <v>4.4715149282608042E-6</v>
      </c>
      <c r="AR44" s="1108">
        <f>IFERROR(VLOOKUP(AO44,'[53]2018 Alloc Oct-Dec'!A:C,3,FALSE),0)</f>
        <v>4.3931509241346655E-6</v>
      </c>
    </row>
    <row r="45" spans="1:44" ht="15" customHeight="1" outlineLevel="1">
      <c r="A45" s="1621">
        <v>70330</v>
      </c>
      <c r="B45" s="1621" t="s">
        <v>538</v>
      </c>
      <c r="C45" s="1622"/>
      <c r="D45" s="1398"/>
      <c r="E45" s="1618"/>
      <c r="F45" s="1426"/>
      <c r="G45" s="1401">
        <f>+IFERROR(VLOOKUP($A45,'[53]2000_IS210'!$D:$AH,7,FALSE),0)</f>
        <v>0</v>
      </c>
      <c r="H45" s="1426"/>
      <c r="I45" s="1401">
        <f>+IFERROR(VLOOKUP($A45,'[53]2000_IS210'!$D:$AH,9,FALSE),0)</f>
        <v>0</v>
      </c>
      <c r="J45" s="1426"/>
      <c r="K45" s="1401">
        <f>+IFERROR(VLOOKUP($A45,'[53]2000_IS210'!$D:$AH,11,FALSE),0)</f>
        <v>0</v>
      </c>
      <c r="L45" s="1426"/>
      <c r="M45" s="1401">
        <f>+IFERROR(VLOOKUP($A45,'[53]2000_IS210'!$D:$AH,13,FALSE),0)</f>
        <v>1637</v>
      </c>
      <c r="N45" s="1426"/>
      <c r="O45" s="1401">
        <f>+IFERROR(VLOOKUP($A45,'[53]2000_IS210'!$D:$AH,15,FALSE),0)</f>
        <v>2507.16</v>
      </c>
      <c r="P45" s="1426"/>
      <c r="Q45" s="1401">
        <f>+IFERROR(VLOOKUP($A45,'[53]2000_IS210'!$D:$AH,17,FALSE),0)</f>
        <v>2240.56</v>
      </c>
      <c r="R45" s="1426"/>
      <c r="S45" s="1401">
        <f>+IFERROR(VLOOKUP($A45,'[53]2000_IS210'!$D:$AH,19,FALSE),0)</f>
        <v>38859.879999999997</v>
      </c>
      <c r="T45" s="1426"/>
      <c r="U45" s="1401">
        <f>+IFERROR(VLOOKUP($A45,'[53]2000_IS210'!$D:$AH,21,FALSE),0)</f>
        <v>13419.64</v>
      </c>
      <c r="V45" s="1426"/>
      <c r="W45" s="1401">
        <f>+IFERROR(VLOOKUP($A45,'[53]2000_IS210'!$D:$AH,23,FALSE),0)</f>
        <v>-55.23</v>
      </c>
      <c r="X45" s="1426"/>
      <c r="Y45" s="1401">
        <f>+IFERROR(VLOOKUP($A45,'[53]2000_IS210'!$D:$AH,25,FALSE),0)</f>
        <v>0</v>
      </c>
      <c r="Z45" s="1426"/>
      <c r="AA45" s="1401">
        <f>+IFERROR(VLOOKUP($A45,'[53]2000_IS210'!$D:$AH,27,FALSE),0)</f>
        <v>0</v>
      </c>
      <c r="AB45" s="1426"/>
      <c r="AC45" s="1401">
        <f>+IFERROR(VLOOKUP($A45,'[53]2000_IS210'!$D:$AH,29,FALSE),0)</f>
        <v>0</v>
      </c>
      <c r="AD45" s="1426"/>
      <c r="AE45" s="1401">
        <f t="shared" si="0"/>
        <v>58609.009999999995</v>
      </c>
      <c r="AF45" s="1574"/>
      <c r="AG45" s="1401"/>
      <c r="AH45" s="1575">
        <f t="shared" si="2"/>
        <v>4301.0578741327399</v>
      </c>
      <c r="AI45" s="1424"/>
      <c r="AJ45" s="1576">
        <f t="shared" si="1"/>
        <v>4301.0578741327399</v>
      </c>
      <c r="AO45" s="1099">
        <v>2180</v>
      </c>
      <c r="AP45" s="1108">
        <f>IFERROR(VLOOKUP(AO45,'[53]2017 Alloc'!A:C,3,FALSE),0)</f>
        <v>6.9442040274652353E-2</v>
      </c>
      <c r="AQ45" s="1108">
        <f>IFERROR(VLOOKUP(AO45,'[53]2018 Alloc Jan-Sep'!A:C,3,FALSE),0)</f>
        <v>7.3385608699630664E-2</v>
      </c>
      <c r="AR45" s="1108">
        <f>IFERROR(VLOOKUP(AO45,'[53]2018 Alloc Oct-Dec'!A:C,3,FALSE),0)</f>
        <v>7.2099514336713313E-2</v>
      </c>
    </row>
    <row r="46" spans="1:44" ht="15" customHeight="1" outlineLevel="1">
      <c r="A46" s="1621">
        <v>70336</v>
      </c>
      <c r="B46" s="1621" t="s">
        <v>139</v>
      </c>
      <c r="C46" s="1622"/>
      <c r="D46" s="1398"/>
      <c r="E46" s="1618"/>
      <c r="F46" s="1426"/>
      <c r="G46" s="1401">
        <f>+IFERROR(VLOOKUP($A46,'[53]2000_IS210'!$D:$AH,7,FALSE),0)</f>
        <v>553.79999999999995</v>
      </c>
      <c r="H46" s="1426"/>
      <c r="I46" s="1401">
        <f>+IFERROR(VLOOKUP($A46,'[53]2000_IS210'!$D:$AH,9,FALSE),0)</f>
        <v>422.52</v>
      </c>
      <c r="J46" s="1426"/>
      <c r="K46" s="1401">
        <f>+IFERROR(VLOOKUP($A46,'[53]2000_IS210'!$D:$AH,11,FALSE),0)</f>
        <v>521.5</v>
      </c>
      <c r="L46" s="1426"/>
      <c r="M46" s="1401">
        <f>+IFERROR(VLOOKUP($A46,'[53]2000_IS210'!$D:$AH,13,FALSE),0)</f>
        <v>269.58999999999997</v>
      </c>
      <c r="N46" s="1426"/>
      <c r="O46" s="1401">
        <f>+IFERROR(VLOOKUP($A46,'[53]2000_IS210'!$D:$AH,15,FALSE),0)</f>
        <v>456.74</v>
      </c>
      <c r="P46" s="1426"/>
      <c r="Q46" s="1401">
        <f>+IFERROR(VLOOKUP($A46,'[53]2000_IS210'!$D:$AH,17,FALSE),0)</f>
        <v>470.58</v>
      </c>
      <c r="R46" s="1426"/>
      <c r="S46" s="1401">
        <f>+IFERROR(VLOOKUP($A46,'[53]2000_IS210'!$D:$AH,19,FALSE),0)</f>
        <v>585.89</v>
      </c>
      <c r="T46" s="1426"/>
      <c r="U46" s="1401">
        <f>+IFERROR(VLOOKUP($A46,'[53]2000_IS210'!$D:$AH,21,FALSE),0)</f>
        <v>58.53</v>
      </c>
      <c r="V46" s="1426"/>
      <c r="W46" s="1401">
        <f>+IFERROR(VLOOKUP($A46,'[53]2000_IS210'!$D:$AH,23,FALSE),0)</f>
        <v>618.66</v>
      </c>
      <c r="X46" s="1426"/>
      <c r="Y46" s="1401">
        <f>+IFERROR(VLOOKUP($A46,'[53]2000_IS210'!$D:$AH,25,FALSE),0)</f>
        <v>424.75</v>
      </c>
      <c r="Z46" s="1426"/>
      <c r="AA46" s="1401">
        <f>+IFERROR(VLOOKUP($A46,'[53]2000_IS210'!$D:$AH,27,FALSE),0)</f>
        <v>970.91</v>
      </c>
      <c r="AB46" s="1426"/>
      <c r="AC46" s="1401">
        <f>+IFERROR(VLOOKUP($A46,'[53]2000_IS210'!$D:$AH,29,FALSE),0)</f>
        <v>1107.83</v>
      </c>
      <c r="AD46" s="1426"/>
      <c r="AE46" s="1401">
        <f t="shared" si="0"/>
        <v>6461.3</v>
      </c>
      <c r="AF46" s="1574"/>
      <c r="AG46" s="1401"/>
      <c r="AH46" s="1575">
        <f t="shared" si="2"/>
        <v>469.3090295011998</v>
      </c>
      <c r="AI46" s="1424"/>
      <c r="AJ46" s="1576">
        <f t="shared" si="1"/>
        <v>469.3090295011998</v>
      </c>
      <c r="AO46" s="1099">
        <v>2182</v>
      </c>
      <c r="AP46" s="1108">
        <f>IFERROR(VLOOKUP(AO46,'[53]2017 Alloc'!A:C,3,FALSE),0)</f>
        <v>1.8031273440655472E-6</v>
      </c>
      <c r="AQ46" s="1108">
        <f>IFERROR(VLOOKUP(AO46,'[53]2018 Alloc Jan-Sep'!A:C,3,FALSE),0)</f>
        <v>1.7886059713043216E-6</v>
      </c>
      <c r="AR46" s="1108">
        <f>IFERROR(VLOOKUP(AO46,'[53]2018 Alloc Oct-Dec'!A:C,3,FALSE),0)</f>
        <v>1.7572603696538663E-6</v>
      </c>
    </row>
    <row r="47" spans="1:44" ht="15" customHeight="1" outlineLevel="1">
      <c r="A47" s="1622"/>
      <c r="B47" s="1622"/>
      <c r="C47" s="1622"/>
      <c r="D47" s="1622"/>
      <c r="E47" s="1618"/>
      <c r="F47" s="1618"/>
      <c r="G47" s="1623"/>
      <c r="H47" s="1619"/>
      <c r="I47" s="1623"/>
      <c r="J47" s="1619"/>
      <c r="K47" s="1623"/>
      <c r="L47" s="1619"/>
      <c r="M47" s="1623"/>
      <c r="N47" s="1619"/>
      <c r="O47" s="1623"/>
      <c r="P47" s="1619"/>
      <c r="Q47" s="1623"/>
      <c r="R47" s="1619"/>
      <c r="S47" s="1623"/>
      <c r="T47" s="1619"/>
      <c r="U47" s="1623"/>
      <c r="V47" s="1619"/>
      <c r="W47" s="1623"/>
      <c r="X47" s="1619"/>
      <c r="Y47" s="1623"/>
      <c r="Z47" s="1619"/>
      <c r="AA47" s="1623"/>
      <c r="AB47" s="1619"/>
      <c r="AC47" s="1623"/>
      <c r="AD47" s="1619"/>
      <c r="AE47" s="1623"/>
      <c r="AF47" s="1620"/>
      <c r="AG47" s="1605"/>
      <c r="AH47" s="1624"/>
      <c r="AI47" s="1624"/>
      <c r="AJ47" s="1624"/>
      <c r="AK47" s="1110"/>
      <c r="AL47" s="7"/>
      <c r="AO47" s="1099">
        <v>2183</v>
      </c>
      <c r="AP47" s="1108">
        <f>IFERROR(VLOOKUP(AO47,'[53]2017 Alloc'!A:C,3,FALSE),0)</f>
        <v>5.970154636201027E-2</v>
      </c>
      <c r="AQ47" s="1108">
        <f>IFERROR(VLOOKUP(AO47,'[53]2018 Alloc Jan-Sep'!A:C,3,FALSE),0)</f>
        <v>6.0401223650946946E-2</v>
      </c>
      <c r="AR47" s="1108">
        <f>IFERROR(VLOOKUP(AO47,'[53]2018 Alloc Oct-Dec'!A:C,3,FALSE),0)</f>
        <v>5.9342682683211065E-2</v>
      </c>
    </row>
    <row r="48" spans="1:44" ht="15" customHeight="1" outlineLevel="1">
      <c r="A48" s="1618"/>
      <c r="B48" s="1618"/>
      <c r="C48" s="1622" t="s">
        <v>264</v>
      </c>
      <c r="D48" s="1618"/>
      <c r="E48" s="1618"/>
      <c r="F48" s="1618"/>
      <c r="G48" s="1625">
        <f>SUM(G8:G47)</f>
        <v>411432.37</v>
      </c>
      <c r="H48" s="1619"/>
      <c r="I48" s="1625">
        <f>SUM(I8:I47)</f>
        <v>233314.12999999998</v>
      </c>
      <c r="J48" s="1619"/>
      <c r="K48" s="1625">
        <f>SUM(K8:K47)</f>
        <v>130633.73000000001</v>
      </c>
      <c r="L48" s="1619"/>
      <c r="M48" s="1625">
        <f>SUM(M8:M47)</f>
        <v>-89736.679999999978</v>
      </c>
      <c r="N48" s="1619"/>
      <c r="O48" s="1625">
        <f>SUM(O8:O47)</f>
        <v>316211.51</v>
      </c>
      <c r="P48" s="1619"/>
      <c r="Q48" s="1625">
        <f>SUM(Q8:Q47)</f>
        <v>133940.60999999999</v>
      </c>
      <c r="R48" s="1619"/>
      <c r="S48" s="1625">
        <f>SUM(S8:S47)</f>
        <v>585529.60000000009</v>
      </c>
      <c r="T48" s="1619"/>
      <c r="U48" s="1625">
        <f>SUM(U8:U47)</f>
        <v>143426.35</v>
      </c>
      <c r="V48" s="1619"/>
      <c r="W48" s="1625">
        <f>SUM(W8:W47)</f>
        <v>125655.04000000001</v>
      </c>
      <c r="X48" s="1619"/>
      <c r="Y48" s="1625">
        <f>SUM(Y8:Y47)</f>
        <v>223676.43999999994</v>
      </c>
      <c r="Z48" s="1619"/>
      <c r="AA48" s="1625">
        <f>SUM(AA8:AA47)</f>
        <v>125769.20000000001</v>
      </c>
      <c r="AB48" s="1619"/>
      <c r="AC48" s="1625">
        <f>SUM(AC8:AC47)</f>
        <v>122391.08</v>
      </c>
      <c r="AD48" s="1619"/>
      <c r="AE48" s="1625">
        <f>SUM(AE8:AE47)</f>
        <v>2462243.3799999994</v>
      </c>
      <c r="AF48" s="1574"/>
      <c r="AG48" s="1605"/>
      <c r="AH48" s="1625">
        <f>SUM(AH9:AH47)</f>
        <v>167270.38148632483</v>
      </c>
      <c r="AI48" s="1625">
        <f>SUM(AI9:AI47)</f>
        <v>-11466.733276932606</v>
      </c>
      <c r="AJ48" s="1625">
        <f>SUM(AJ9:AJ47)</f>
        <v>155803.64820939224</v>
      </c>
      <c r="AK48" s="36"/>
      <c r="AL48" s="7"/>
      <c r="AO48" s="1099">
        <v>2184</v>
      </c>
      <c r="AP48" s="1108">
        <f>IFERROR(VLOOKUP(AO48,'[53]2017 Alloc'!A:C,3,FALSE),0)</f>
        <v>9.0156367203277362E-7</v>
      </c>
      <c r="AQ48" s="1108">
        <f>IFERROR(VLOOKUP(AO48,'[53]2018 Alloc Jan-Sep'!A:C,3,FALSE),0)</f>
        <v>8.9430298565216082E-7</v>
      </c>
      <c r="AR48" s="1108">
        <f>IFERROR(VLOOKUP(AO48,'[53]2018 Alloc Oct-Dec'!A:C,3,FALSE),0)</f>
        <v>8.7863018482693313E-7</v>
      </c>
    </row>
    <row r="49" spans="1:44" s="7" customFormat="1" ht="15" customHeight="1" outlineLevel="1">
      <c r="A49" s="1618"/>
      <c r="B49" s="1618"/>
      <c r="C49" s="1618"/>
      <c r="D49" s="1618"/>
      <c r="E49" s="1618"/>
      <c r="F49" s="1618"/>
      <c r="G49" s="1415"/>
      <c r="H49" s="1619"/>
      <c r="I49" s="1415"/>
      <c r="J49" s="1619"/>
      <c r="K49" s="1415"/>
      <c r="L49" s="1619"/>
      <c r="M49" s="1415"/>
      <c r="N49" s="1619"/>
      <c r="O49" s="1415"/>
      <c r="P49" s="1619"/>
      <c r="Q49" s="1415"/>
      <c r="R49" s="1619"/>
      <c r="S49" s="1415"/>
      <c r="T49" s="1619"/>
      <c r="U49" s="1415"/>
      <c r="V49" s="1619"/>
      <c r="W49" s="1415"/>
      <c r="X49" s="1619"/>
      <c r="Y49" s="1415"/>
      <c r="Z49" s="1619"/>
      <c r="AA49" s="1415"/>
      <c r="AB49" s="1619"/>
      <c r="AC49" s="1415"/>
      <c r="AD49" s="1619"/>
      <c r="AE49" s="1415"/>
      <c r="AF49" s="1620"/>
      <c r="AG49" s="1605"/>
      <c r="AH49" s="1618"/>
      <c r="AI49" s="1618"/>
      <c r="AJ49" s="1618"/>
      <c r="AO49" s="1099">
        <v>2185</v>
      </c>
      <c r="AP49" s="1108">
        <f>IFERROR(VLOOKUP(AO49,'[53]2017 Alloc'!A:C,3,FALSE),0)</f>
        <v>3.78025647683342E-3</v>
      </c>
      <c r="AQ49" s="1108">
        <f>IFERROR(VLOOKUP(AO49,'[53]2018 Alloc Jan-Sep'!A:C,3,FALSE),0)</f>
        <v>3.7882674472225534E-3</v>
      </c>
      <c r="AR49" s="1108">
        <f>IFERROR(VLOOKUP(AO49,'[53]2018 Alloc Oct-Dec'!A:C,3,FALSE),0)</f>
        <v>3.7218774629268888E-3</v>
      </c>
    </row>
    <row r="50" spans="1:44" s="7" customFormat="1" ht="15" customHeight="1" thickBot="1">
      <c r="A50" s="1626"/>
      <c r="B50" s="1626"/>
      <c r="C50" s="1626"/>
      <c r="D50" s="1626"/>
      <c r="E50" s="1424"/>
      <c r="F50" s="1424"/>
      <c r="G50" s="1426"/>
      <c r="H50" s="1424"/>
      <c r="I50" s="1426"/>
      <c r="J50" s="1605"/>
      <c r="K50" s="1426"/>
      <c r="L50" s="1605"/>
      <c r="M50" s="1426"/>
      <c r="N50" s="1424"/>
      <c r="O50" s="1426"/>
      <c r="P50" s="1605"/>
      <c r="Q50" s="1426"/>
      <c r="R50" s="1605"/>
      <c r="S50" s="1426"/>
      <c r="T50" s="1424"/>
      <c r="U50" s="1426"/>
      <c r="V50" s="1605"/>
      <c r="W50" s="1426"/>
      <c r="X50" s="1605"/>
      <c r="Y50" s="1426"/>
      <c r="Z50" s="1424"/>
      <c r="AA50" s="1426"/>
      <c r="AB50" s="1605"/>
      <c r="AC50" s="1426"/>
      <c r="AD50" s="1605"/>
      <c r="AE50" s="1426"/>
      <c r="AF50" s="1577" t="s">
        <v>706</v>
      </c>
      <c r="AG50" s="1424"/>
      <c r="AH50" s="1578">
        <f>'Converted IS (C)'!$C$226</f>
        <v>167995.83000000002</v>
      </c>
      <c r="AI50" s="1426"/>
      <c r="AJ50" s="1579">
        <f>AH50+AI48</f>
        <v>156529.0967230674</v>
      </c>
      <c r="AK50" s="1111"/>
      <c r="AL50" s="1112"/>
      <c r="AO50" s="1099">
        <v>2186</v>
      </c>
      <c r="AP50" s="1108">
        <f>IFERROR(VLOOKUP(AO50,'[53]2017 Alloc'!A:C,3,FALSE),0)</f>
        <v>1.8702036812647857E-2</v>
      </c>
      <c r="AQ50" s="1108">
        <f>IFERROR(VLOOKUP(AO50,'[53]2018 Alloc Jan-Sep'!A:C,3,FALSE),0)</f>
        <v>1.8631908403077119E-2</v>
      </c>
      <c r="AR50" s="1108">
        <f>IFERROR(VLOOKUP(AO50,'[53]2018 Alloc Oct-Dec'!A:C,3,FALSE),0)</f>
        <v>1.8305381270684325E-2</v>
      </c>
    </row>
    <row r="51" spans="1:44" s="7" customFormat="1" ht="15" customHeight="1" outlineLevel="1">
      <c r="A51" s="1622"/>
      <c r="B51" s="1622"/>
      <c r="C51" s="1622"/>
      <c r="D51" s="1622"/>
      <c r="E51" s="1424"/>
      <c r="F51" s="1424"/>
      <c r="G51" s="1426"/>
      <c r="H51" s="1424"/>
      <c r="I51" s="1426"/>
      <c r="J51" s="1605"/>
      <c r="K51" s="1426"/>
      <c r="L51" s="1605"/>
      <c r="M51" s="1426"/>
      <c r="N51" s="1424"/>
      <c r="O51" s="1426"/>
      <c r="P51" s="1605"/>
      <c r="Q51" s="1426"/>
      <c r="R51" s="1605"/>
      <c r="S51" s="1426"/>
      <c r="T51" s="1424"/>
      <c r="U51" s="1426"/>
      <c r="V51" s="1605"/>
      <c r="W51" s="1426"/>
      <c r="X51" s="1605"/>
      <c r="Y51" s="1426"/>
      <c r="Z51" s="1424"/>
      <c r="AA51" s="1426"/>
      <c r="AB51" s="1605"/>
      <c r="AC51" s="1426"/>
      <c r="AD51" s="1605"/>
      <c r="AE51" s="1426"/>
      <c r="AF51" s="1426"/>
      <c r="AG51" s="1424"/>
      <c r="AH51" s="1426">
        <f>AH48-AH50</f>
        <v>-725.44851367519004</v>
      </c>
      <c r="AI51" s="1627" t="s">
        <v>2771</v>
      </c>
      <c r="AJ51" s="1426">
        <f>AJ48-AJ50</f>
        <v>-725.44851367516094</v>
      </c>
      <c r="AK51" s="63"/>
      <c r="AL51" s="63"/>
      <c r="AO51" s="1099">
        <v>2187</v>
      </c>
      <c r="AP51" s="1108">
        <f>IFERROR(VLOOKUP(AO51,'[53]2017 Alloc'!A:C,3,FALSE),0)</f>
        <v>9.0156367203277362E-7</v>
      </c>
      <c r="AQ51" s="1108">
        <f>IFERROR(VLOOKUP(AO51,'[53]2018 Alloc Jan-Sep'!A:C,3,FALSE),0)</f>
        <v>8.9430298565216082E-7</v>
      </c>
      <c r="AR51" s="1108">
        <f>IFERROR(VLOOKUP(AO51,'[53]2018 Alloc Oct-Dec'!A:C,3,FALSE),0)</f>
        <v>8.7863018482693313E-7</v>
      </c>
    </row>
    <row r="52" spans="1:44" s="63" customFormat="1" ht="15" customHeight="1">
      <c r="A52" s="1618"/>
      <c r="B52" s="1618"/>
      <c r="C52" s="1622"/>
      <c r="D52" s="1618"/>
      <c r="E52" s="1424"/>
      <c r="F52" s="1424"/>
      <c r="G52" s="1426"/>
      <c r="H52" s="1424"/>
      <c r="I52" s="1426"/>
      <c r="J52" s="1605"/>
      <c r="K52" s="1426"/>
      <c r="L52" s="1605"/>
      <c r="M52" s="1426"/>
      <c r="N52" s="1424"/>
      <c r="O52" s="1426"/>
      <c r="P52" s="1605"/>
      <c r="Q52" s="1426"/>
      <c r="R52" s="1605"/>
      <c r="S52" s="1426"/>
      <c r="T52" s="1424"/>
      <c r="U52" s="1426"/>
      <c r="V52" s="1605"/>
      <c r="W52" s="1426"/>
      <c r="X52" s="1605"/>
      <c r="Y52" s="1426"/>
      <c r="Z52" s="1424"/>
      <c r="AA52" s="1426"/>
      <c r="AB52" s="1605"/>
      <c r="AC52" s="1426"/>
      <c r="AD52" s="1605"/>
      <c r="AE52" s="1426"/>
      <c r="AF52" s="1426"/>
      <c r="AG52" s="1424"/>
      <c r="AH52" s="1426"/>
      <c r="AI52" s="1426"/>
      <c r="AJ52" s="1426"/>
      <c r="AO52" s="1099">
        <v>2188</v>
      </c>
      <c r="AP52" s="1108">
        <f>IFERROR(VLOOKUP(AO52,'[53]2017 Alloc'!A:C,3,FALSE),0)</f>
        <v>2.4133056372973284E-2</v>
      </c>
      <c r="AQ52" s="1108">
        <f>IFERROR(VLOOKUP(AO52,'[53]2018 Alloc Jan-Sep'!A:C,3,FALSE),0)</f>
        <v>2.4013823770731822E-2</v>
      </c>
      <c r="AR52" s="1108">
        <f>IFERROR(VLOOKUP(AO52,'[53]2018 Alloc Oct-Dec'!A:C,3,FALSE),0)</f>
        <v>2.3592977722972811E-2</v>
      </c>
    </row>
    <row r="53" spans="1:44" s="63" customFormat="1" ht="15" customHeight="1">
      <c r="A53" s="1627" t="s">
        <v>2772</v>
      </c>
      <c r="B53" s="1618"/>
      <c r="C53" s="1618"/>
      <c r="D53" s="1618"/>
      <c r="E53" s="1424"/>
      <c r="F53" s="1424"/>
      <c r="G53" s="1426"/>
      <c r="H53" s="1424"/>
      <c r="I53" s="1426"/>
      <c r="J53" s="1605"/>
      <c r="K53" s="1426"/>
      <c r="L53" s="1605"/>
      <c r="M53" s="1426"/>
      <c r="N53" s="1424"/>
      <c r="O53" s="1426"/>
      <c r="P53" s="1605"/>
      <c r="Q53" s="1426"/>
      <c r="R53" s="1605"/>
      <c r="S53" s="1426"/>
      <c r="T53" s="1424"/>
      <c r="U53" s="1426"/>
      <c r="V53" s="1605"/>
      <c r="W53" s="1426"/>
      <c r="X53" s="1605"/>
      <c r="Y53" s="1426"/>
      <c r="Z53" s="1424"/>
      <c r="AA53" s="1426"/>
      <c r="AB53" s="1605"/>
      <c r="AC53" s="1426"/>
      <c r="AD53" s="1605"/>
      <c r="AE53" s="1426"/>
      <c r="AF53" s="1426"/>
      <c r="AG53" s="1424"/>
      <c r="AH53" s="1426"/>
      <c r="AI53" s="1426"/>
      <c r="AJ53" s="1426"/>
      <c r="AO53" s="1099">
        <v>2189</v>
      </c>
      <c r="AP53" s="1108">
        <f>IFERROR(VLOOKUP(AO53,'[53]2017 Alloc'!A:C,3,FALSE),0)</f>
        <v>9.0156367203277362E-7</v>
      </c>
      <c r="AQ53" s="1108">
        <f>IFERROR(VLOOKUP(AO53,'[53]2018 Alloc Jan-Sep'!A:C,3,FALSE),0)</f>
        <v>8.9430298565216082E-7</v>
      </c>
      <c r="AR53" s="1108">
        <f>IFERROR(VLOOKUP(AO53,'[53]2018 Alloc Oct-Dec'!A:C,3,FALSE),0)</f>
        <v>8.7863018482693313E-7</v>
      </c>
    </row>
    <row r="54" spans="1:44" s="63" customFormat="1" ht="15" customHeight="1">
      <c r="A54" s="1618"/>
      <c r="B54" s="1628"/>
      <c r="C54" s="1618"/>
      <c r="D54" s="1618"/>
      <c r="E54" s="1424"/>
      <c r="F54" s="1424"/>
      <c r="G54" s="1426"/>
      <c r="H54" s="1424"/>
      <c r="I54" s="1426"/>
      <c r="J54" s="1426"/>
      <c r="K54" s="1426"/>
      <c r="L54" s="1426"/>
      <c r="M54" s="1426"/>
      <c r="N54" s="1426"/>
      <c r="O54" s="1426"/>
      <c r="P54" s="1605"/>
      <c r="Q54" s="1426"/>
      <c r="R54" s="1605"/>
      <c r="S54" s="1426"/>
      <c r="T54" s="1424"/>
      <c r="U54" s="1426"/>
      <c r="V54" s="1605"/>
      <c r="W54" s="1426"/>
      <c r="X54" s="1605"/>
      <c r="Y54" s="1426"/>
      <c r="Z54" s="1424"/>
      <c r="AA54" s="1426"/>
      <c r="AB54" s="1605"/>
      <c r="AC54" s="1426"/>
      <c r="AD54" s="1605"/>
      <c r="AE54" s="1426"/>
      <c r="AF54" s="1426"/>
      <c r="AG54" s="1424"/>
      <c r="AH54" s="1426"/>
      <c r="AI54" s="1426"/>
      <c r="AJ54" s="1426"/>
      <c r="AO54" s="1099">
        <v>2190</v>
      </c>
      <c r="AP54" s="1108">
        <f>IFERROR(VLOOKUP(AO54,'[53]2017 Alloc'!A:C,3,FALSE),0)</f>
        <v>4.1922710749523975E-4</v>
      </c>
      <c r="AQ54" s="1108">
        <f>IFERROR(VLOOKUP(AO54,'[53]2018 Alloc Jan-Sep'!A:C,3,FALSE),0)</f>
        <v>4.0690785847173318E-4</v>
      </c>
      <c r="AR54" s="1108">
        <f>IFERROR(VLOOKUP(AO54,'[53]2018 Alloc Oct-Dec'!A:C,3,FALSE),0)</f>
        <v>3.9977673409625461E-4</v>
      </c>
    </row>
    <row r="55" spans="1:44" s="63" customFormat="1" ht="15" customHeight="1">
      <c r="A55" s="1629"/>
      <c r="B55" s="1629"/>
      <c r="C55" s="1629"/>
      <c r="D55" s="1629"/>
      <c r="E55" s="1"/>
      <c r="F55" s="1"/>
      <c r="H55" s="1"/>
      <c r="P55" s="1630"/>
      <c r="R55" s="1630"/>
      <c r="T55" s="1"/>
      <c r="V55" s="1630"/>
      <c r="X55" s="1630"/>
      <c r="Z55" s="1"/>
      <c r="AB55" s="1630"/>
      <c r="AD55" s="1630"/>
      <c r="AG55" s="1"/>
      <c r="AO55" s="1099">
        <v>2191</v>
      </c>
      <c r="AP55" s="1108">
        <f>IFERROR(VLOOKUP(AO55,'[53]2017 Alloc'!A:C,3,FALSE),0)</f>
        <v>5.4093820321966415E-6</v>
      </c>
      <c r="AQ55" s="1108">
        <f>IFERROR(VLOOKUP(AO55,'[53]2018 Alloc Jan-Sep'!A:C,3,FALSE),0)</f>
        <v>5.3658179139129647E-6</v>
      </c>
      <c r="AR55" s="1108">
        <f>IFERROR(VLOOKUP(AO55,'[53]2018 Alloc Oct-Dec'!A:C,3,FALSE),0)</f>
        <v>5.271781108961599E-6</v>
      </c>
    </row>
    <row r="56" spans="1:44" s="63" customFormat="1" ht="15" customHeight="1">
      <c r="A56" s="77"/>
      <c r="B56" s="77"/>
      <c r="C56" s="77"/>
      <c r="D56" s="77"/>
      <c r="E56" s="1"/>
      <c r="F56" s="1"/>
      <c r="H56" s="1"/>
      <c r="P56" s="1630"/>
      <c r="R56" s="1630"/>
      <c r="T56" s="1"/>
      <c r="V56" s="1630"/>
      <c r="X56" s="1630"/>
      <c r="Z56" s="1"/>
      <c r="AB56" s="1630"/>
      <c r="AD56" s="1630"/>
      <c r="AG56" s="1"/>
      <c r="AO56" s="1099">
        <v>2195</v>
      </c>
      <c r="AP56" s="1108">
        <f>IFERROR(VLOOKUP(AO56,'[53]2017 Alloc'!A:C,3,FALSE),0)</f>
        <v>2.8137802204142866E-2</v>
      </c>
      <c r="AQ56" s="1108">
        <f>IFERROR(VLOOKUP(AO56,'[53]2018 Alloc Jan-Sep'!A:C,3,FALSE),0)</f>
        <v>2.8425420398953932E-2</v>
      </c>
      <c r="AR56" s="1108">
        <f>IFERROR(VLOOKUP(AO56,'[53]2018 Alloc Oct-Dec'!A:C,3,FALSE),0)</f>
        <v>2.7927260424724071E-2</v>
      </c>
    </row>
    <row r="57" spans="1:44" s="63" customFormat="1" ht="15" customHeight="1">
      <c r="A57" s="1631"/>
      <c r="B57" s="1631"/>
      <c r="C57" s="1631"/>
      <c r="D57" s="1631"/>
      <c r="E57" s="1"/>
      <c r="F57" s="1"/>
      <c r="H57" s="1"/>
      <c r="P57" s="1630"/>
      <c r="R57" s="1630"/>
      <c r="T57" s="1"/>
      <c r="V57" s="1630"/>
      <c r="X57" s="1630"/>
      <c r="Z57" s="1"/>
      <c r="AB57" s="1630"/>
      <c r="AD57" s="1630"/>
      <c r="AG57" s="1"/>
      <c r="AO57" s="1099">
        <v>2210</v>
      </c>
      <c r="AP57" s="1108">
        <f>IFERROR(VLOOKUP(AO57,'[53]2017 Alloc'!A:C,3,FALSE),0)</f>
        <v>1.8834566672436673E-2</v>
      </c>
      <c r="AQ57" s="1108">
        <f>IFERROR(VLOOKUP(AO57,'[53]2018 Alloc Jan-Sep'!A:C,3,FALSE),0)</f>
        <v>1.8597030586636684E-2</v>
      </c>
      <c r="AR57" s="1108">
        <f>IFERROR(VLOOKUP(AO57,'[53]2018 Alloc Oct-Dec'!A:C,3,FALSE),0)</f>
        <v>1.8271114693476077E-2</v>
      </c>
    </row>
    <row r="58" spans="1:44" s="63" customFormat="1" ht="15" customHeight="1">
      <c r="A58" s="1629"/>
      <c r="B58" s="1629"/>
      <c r="C58" s="1632"/>
      <c r="D58" s="1629"/>
      <c r="E58" s="1"/>
      <c r="F58" s="1"/>
      <c r="H58" s="1"/>
      <c r="P58" s="1630"/>
      <c r="R58" s="1630"/>
      <c r="T58" s="1"/>
      <c r="V58" s="1630"/>
      <c r="X58" s="1630"/>
      <c r="Z58" s="1"/>
      <c r="AB58" s="1630"/>
      <c r="AD58" s="1630"/>
      <c r="AG58" s="1"/>
      <c r="AO58" s="1099">
        <v>2211</v>
      </c>
      <c r="AP58" s="1108">
        <f>IFERROR(VLOOKUP(AO58,'[53]2017 Alloc'!A:C,3,FALSE),0)</f>
        <v>2.1692523512780566E-2</v>
      </c>
      <c r="AQ58" s="1108">
        <f>IFERROR(VLOOKUP(AO58,'[53]2018 Alloc Jan-Sep'!A:C,3,FALSE),0)</f>
        <v>2.0675390725292307E-2</v>
      </c>
      <c r="AR58" s="1108">
        <f>IFERROR(VLOOKUP(AO58,'[53]2018 Alloc Oct-Dec'!A:C,3,FALSE),0)</f>
        <v>2.0313051243013868E-2</v>
      </c>
    </row>
    <row r="59" spans="1:44" s="63" customFormat="1" ht="15" customHeight="1">
      <c r="A59" s="1629"/>
      <c r="B59" s="1629"/>
      <c r="C59" s="1629"/>
      <c r="D59" s="1629"/>
      <c r="E59" s="1"/>
      <c r="F59" s="1"/>
      <c r="H59" s="1"/>
      <c r="P59" s="1630"/>
      <c r="R59" s="1630"/>
      <c r="T59" s="1"/>
      <c r="V59" s="1630"/>
      <c r="X59" s="1630"/>
      <c r="Z59" s="1"/>
      <c r="AB59" s="1630"/>
      <c r="AD59" s="1630"/>
      <c r="AG59" s="1"/>
      <c r="AO59" s="1099">
        <v>2212</v>
      </c>
      <c r="AP59" s="1108">
        <f>IFERROR(VLOOKUP(AO59,'[53]2017 Alloc'!A:C,3,FALSE),0)</f>
        <v>4.7521421152847496E-3</v>
      </c>
      <c r="AQ59" s="1108">
        <f>IFERROR(VLOOKUP(AO59,'[53]2018 Alloc Jan-Sep'!A:C,3,FALSE),0)</f>
        <v>4.8819999986751458E-3</v>
      </c>
      <c r="AR59" s="1108">
        <f>IFERROR(VLOOKUP(AO59,'[53]2018 Alloc Oct-Dec'!A:C,3,FALSE),0)</f>
        <v>4.7964421789702281E-3</v>
      </c>
    </row>
    <row r="60" spans="1:44" s="63" customFormat="1" ht="15" customHeight="1">
      <c r="A60" s="1629"/>
      <c r="B60" s="1633"/>
      <c r="C60" s="1629"/>
      <c r="D60" s="1629"/>
      <c r="E60" s="1"/>
      <c r="F60" s="1"/>
      <c r="H60" s="1"/>
      <c r="P60" s="1630"/>
      <c r="R60" s="1630"/>
      <c r="T60" s="1"/>
      <c r="V60" s="1630"/>
      <c r="X60" s="1630"/>
      <c r="Z60" s="1"/>
      <c r="AB60" s="1630"/>
      <c r="AD60" s="1630"/>
      <c r="AG60" s="1"/>
      <c r="AO60" s="1099">
        <v>2213</v>
      </c>
      <c r="AP60" s="1108">
        <f>IFERROR(VLOOKUP(AO60,'[53]2017 Alloc'!A:C,3,FALSE),0)</f>
        <v>0</v>
      </c>
      <c r="AQ60" s="1108">
        <f>IFERROR(VLOOKUP(AO60,'[53]2018 Alloc Jan-Sep'!A:C,3,FALSE),0)</f>
        <v>0</v>
      </c>
      <c r="AR60" s="1108">
        <f>IFERROR(VLOOKUP(AO60,'[53]2018 Alloc Oct-Dec'!A:C,3,FALSE),0)</f>
        <v>0</v>
      </c>
    </row>
    <row r="61" spans="1:44" s="63" customFormat="1" ht="15" customHeight="1">
      <c r="A61" s="1"/>
      <c r="B61" s="1"/>
      <c r="C61" s="1"/>
      <c r="D61" s="1"/>
      <c r="E61" s="1"/>
      <c r="F61" s="1"/>
      <c r="H61" s="1"/>
      <c r="P61" s="1630"/>
      <c r="R61" s="1630"/>
      <c r="T61" s="1"/>
      <c r="V61" s="1630"/>
      <c r="X61" s="1630"/>
      <c r="Z61" s="1"/>
      <c r="AB61" s="1630"/>
      <c r="AD61" s="1630"/>
      <c r="AG61" s="1"/>
      <c r="AO61" s="1099">
        <v>2214</v>
      </c>
      <c r="AP61" s="1108">
        <f>IFERROR(VLOOKUP(AO61,'[53]2017 Alloc'!A:C,3,FALSE),0)</f>
        <v>7.8147539091800826E-3</v>
      </c>
      <c r="AQ61" s="1108">
        <f>IFERROR(VLOOKUP(AO61,'[53]2018 Alloc Jan-Sep'!A:C,3,FALSE),0)</f>
        <v>7.8242568214707559E-3</v>
      </c>
      <c r="AR61" s="1108">
        <f>IFERROR(VLOOKUP(AO61,'[53]2018 Alloc Oct-Dec'!A:C,3,FALSE),0)</f>
        <v>7.6871354870508384E-3</v>
      </c>
    </row>
    <row r="62" spans="1:44" s="63" customFormat="1" ht="15" customHeight="1">
      <c r="A62" s="77"/>
      <c r="B62" s="77"/>
      <c r="C62" s="77"/>
      <c r="D62" s="77"/>
      <c r="E62" s="1"/>
      <c r="F62" s="1"/>
      <c r="H62" s="1"/>
      <c r="P62" s="1630"/>
      <c r="R62" s="1630"/>
      <c r="T62" s="1"/>
      <c r="V62" s="1630"/>
      <c r="X62" s="1630"/>
      <c r="Z62" s="1"/>
      <c r="AB62" s="1630"/>
      <c r="AD62" s="1630"/>
      <c r="AG62" s="1"/>
      <c r="AO62" s="1099">
        <v>2215</v>
      </c>
      <c r="AP62" s="1108">
        <f>IFERROR(VLOOKUP(AO62,'[53]2017 Alloc'!A:C,3,FALSE),0)</f>
        <v>0</v>
      </c>
      <c r="AQ62" s="1108">
        <f>IFERROR(VLOOKUP(AO62,'[53]2018 Alloc Jan-Sep'!A:C,3,FALSE),0)</f>
        <v>0</v>
      </c>
      <c r="AR62" s="1108">
        <f>IFERROR(VLOOKUP(AO62,'[53]2018 Alloc Oct-Dec'!A:C,3,FALSE),0)</f>
        <v>1.752515766655801E-2</v>
      </c>
    </row>
    <row r="63" spans="1:44" s="63" customFormat="1" ht="15" customHeight="1">
      <c r="A63" s="1631"/>
      <c r="B63" s="1631"/>
      <c r="C63" s="1631"/>
      <c r="D63" s="1631"/>
      <c r="E63" s="1"/>
      <c r="F63" s="1"/>
      <c r="H63" s="1"/>
      <c r="P63" s="1630"/>
      <c r="R63" s="1630"/>
      <c r="T63" s="1"/>
      <c r="V63" s="1630"/>
      <c r="X63" s="1630"/>
      <c r="Z63" s="1"/>
      <c r="AB63" s="1630"/>
      <c r="AD63" s="1630"/>
      <c r="AG63" s="1"/>
      <c r="AO63" s="1099">
        <v>2310</v>
      </c>
      <c r="AP63" s="1108">
        <f>IFERROR(VLOOKUP(AO63,'[53]2017 Alloc'!A:C,3,FALSE),0)</f>
        <v>1.0550999653799549E-2</v>
      </c>
      <c r="AQ63" s="1108">
        <f>IFERROR(VLOOKUP(AO63,'[53]2018 Alloc Jan-Sep'!A:C,3,FALSE),0)</f>
        <v>1.094269133243984E-2</v>
      </c>
      <c r="AR63" s="1108">
        <f>IFERROR(VLOOKUP(AO63,'[53]2018 Alloc Oct-Dec'!A:C,3,FALSE),0)</f>
        <v>1.0750918941542354E-2</v>
      </c>
    </row>
    <row r="64" spans="1:44" s="63" customFormat="1" ht="15" customHeight="1">
      <c r="A64" s="1629"/>
      <c r="B64" s="1629"/>
      <c r="C64" s="1632"/>
      <c r="D64" s="1629"/>
      <c r="E64" s="1"/>
      <c r="F64" s="1"/>
      <c r="H64" s="1"/>
      <c r="P64" s="1630"/>
      <c r="R64" s="1630"/>
      <c r="T64" s="1"/>
      <c r="V64" s="1630"/>
      <c r="X64" s="1630"/>
      <c r="Z64" s="1"/>
      <c r="AB64" s="1630"/>
      <c r="AD64" s="1630"/>
      <c r="AG64" s="1"/>
      <c r="AO64" s="1099">
        <v>2410</v>
      </c>
      <c r="AP64" s="1108">
        <f>IFERROR(VLOOKUP(AO64,'[53]2017 Alloc'!A:C,3,FALSE),0)</f>
        <v>0.10150795539784202</v>
      </c>
      <c r="AQ64" s="1108">
        <f>IFERROR(VLOOKUP(AO64,'[53]2018 Alloc Jan-Sep'!A:C,3,FALSE),0)</f>
        <v>8.4600168139708762E-2</v>
      </c>
      <c r="AR64" s="1108">
        <f>IFERROR(VLOOKUP(AO64,'[53]2018 Alloc Oct-Dec'!A:C,3,FALSE),0)</f>
        <v>8.311753685444305E-2</v>
      </c>
    </row>
    <row r="65" spans="1:44" s="63" customFormat="1" ht="15" customHeight="1">
      <c r="A65" s="1629"/>
      <c r="B65" s="1629"/>
      <c r="C65" s="1629"/>
      <c r="D65" s="1629"/>
      <c r="E65" s="1"/>
      <c r="F65" s="1"/>
      <c r="H65" s="1"/>
      <c r="P65" s="1630"/>
      <c r="R65" s="1630"/>
      <c r="T65" s="1"/>
      <c r="V65" s="1630"/>
      <c r="X65" s="1630"/>
      <c r="Z65" s="1"/>
      <c r="AB65" s="1630"/>
      <c r="AD65" s="1630"/>
      <c r="AG65" s="1"/>
      <c r="AO65" s="1099">
        <v>2411</v>
      </c>
      <c r="AP65" s="1108">
        <f>IFERROR(VLOOKUP(AO65,'[53]2017 Alloc'!A:C,3,FALSE),0)</f>
        <v>0</v>
      </c>
      <c r="AQ65" s="1108">
        <f>IFERROR(VLOOKUP(AO65,'[53]2018 Alloc Jan-Sep'!A:C,3,FALSE),0)</f>
        <v>0</v>
      </c>
      <c r="AR65" s="1108">
        <f>IFERROR(VLOOKUP(AO65,'[53]2018 Alloc Oct-Dec'!A:C,3,FALSE),0)</f>
        <v>0</v>
      </c>
    </row>
    <row r="66" spans="1:44" s="63" customFormat="1" ht="15" customHeight="1">
      <c r="A66" s="1629"/>
      <c r="B66" s="1633"/>
      <c r="C66" s="1629"/>
      <c r="D66" s="1629"/>
      <c r="E66" s="1"/>
      <c r="F66" s="1"/>
      <c r="H66" s="1"/>
      <c r="P66" s="1630"/>
      <c r="R66" s="1630"/>
      <c r="T66" s="1"/>
      <c r="V66" s="1630"/>
      <c r="X66" s="1630"/>
      <c r="Z66" s="1"/>
      <c r="AB66" s="1630"/>
      <c r="AD66" s="1630"/>
      <c r="AG66" s="1"/>
      <c r="AO66" s="1099">
        <v>2412</v>
      </c>
      <c r="AP66" s="1108">
        <f>IFERROR(VLOOKUP(AO66,'[53]2017 Alloc'!A:C,3,FALSE),0)</f>
        <v>0</v>
      </c>
      <c r="AQ66" s="1108">
        <f>IFERROR(VLOOKUP(AO66,'[53]2018 Alloc Jan-Sep'!A:C,3,FALSE),0)</f>
        <v>0</v>
      </c>
      <c r="AR66" s="1108">
        <f>IFERROR(VLOOKUP(AO66,'[53]2018 Alloc Oct-Dec'!A:C,3,FALSE),0)</f>
        <v>0</v>
      </c>
    </row>
    <row r="67" spans="1:44" s="63" customFormat="1" ht="15" customHeight="1">
      <c r="A67" s="1629"/>
      <c r="B67" s="1629"/>
      <c r="C67" s="1629"/>
      <c r="D67" s="1629"/>
      <c r="E67" s="1"/>
      <c r="F67" s="1"/>
      <c r="H67" s="1"/>
      <c r="P67" s="1630"/>
      <c r="R67" s="1630"/>
      <c r="T67" s="1"/>
      <c r="V67" s="1630"/>
      <c r="X67" s="1630"/>
      <c r="Z67" s="1"/>
      <c r="AB67" s="1630"/>
      <c r="AD67" s="1630"/>
      <c r="AG67" s="1"/>
      <c r="AO67" s="1099">
        <v>2413</v>
      </c>
      <c r="AP67" s="1108">
        <f>IFERROR(VLOOKUP(AO67,'[53]2017 Alloc'!A:C,3,FALSE),0)</f>
        <v>0</v>
      </c>
      <c r="AQ67" s="1108">
        <f>IFERROR(VLOOKUP(AO67,'[53]2018 Alloc Jan-Sep'!A:C,3,FALSE),0)</f>
        <v>0</v>
      </c>
      <c r="AR67" s="1108">
        <f>IFERROR(VLOOKUP(AO67,'[53]2018 Alloc Oct-Dec'!A:C,3,FALSE),0)</f>
        <v>0</v>
      </c>
    </row>
    <row r="68" spans="1:44" s="63" customFormat="1" ht="15" customHeight="1">
      <c r="A68" s="77"/>
      <c r="B68" s="77"/>
      <c r="C68" s="77"/>
      <c r="D68" s="77"/>
      <c r="E68" s="1"/>
      <c r="F68" s="1"/>
      <c r="H68" s="1"/>
      <c r="P68" s="1630"/>
      <c r="R68" s="1630"/>
      <c r="T68" s="1"/>
      <c r="V68" s="1630"/>
      <c r="X68" s="1630"/>
      <c r="Z68" s="1"/>
      <c r="AB68" s="1630"/>
      <c r="AD68" s="1630"/>
      <c r="AG68" s="1"/>
      <c r="AO68" s="1099">
        <v>2414</v>
      </c>
      <c r="AP68" s="1108">
        <f>IFERROR(VLOOKUP(AO68,'[53]2017 Alloc'!A:C,3,FALSE),0)</f>
        <v>0</v>
      </c>
      <c r="AQ68" s="1108">
        <f>IFERROR(VLOOKUP(AO68,'[53]2018 Alloc Jan-Sep'!A:C,3,FALSE),0)</f>
        <v>0</v>
      </c>
      <c r="AR68" s="1108">
        <f>IFERROR(VLOOKUP(AO68,'[53]2018 Alloc Oct-Dec'!A:C,3,FALSE),0)</f>
        <v>0</v>
      </c>
    </row>
    <row r="69" spans="1:44" s="63" customFormat="1" ht="15" customHeight="1">
      <c r="A69" s="1631"/>
      <c r="B69" s="1631"/>
      <c r="C69" s="1631"/>
      <c r="D69" s="1631"/>
      <c r="E69" s="1"/>
      <c r="F69" s="1"/>
      <c r="H69" s="1"/>
      <c r="P69" s="1630"/>
      <c r="R69" s="1630"/>
      <c r="T69" s="1"/>
      <c r="V69" s="1630"/>
      <c r="X69" s="1630"/>
      <c r="Z69" s="1"/>
      <c r="AB69" s="1630"/>
      <c r="AD69" s="1630"/>
      <c r="AG69" s="1"/>
      <c r="AO69" s="1099">
        <v>2420</v>
      </c>
      <c r="AP69" s="1108">
        <f>IFERROR(VLOOKUP(AO69,'[53]2017 Alloc'!A:C,3,FALSE),0)</f>
        <v>0</v>
      </c>
      <c r="AQ69" s="1108">
        <f>IFERROR(VLOOKUP(AO69,'[53]2018 Alloc Jan-Sep'!A:C,3,FALSE),0)</f>
        <v>0</v>
      </c>
      <c r="AR69" s="1108">
        <f>IFERROR(VLOOKUP(AO69,'[53]2018 Alloc Oct-Dec'!A:C,3,FALSE),0)</f>
        <v>0</v>
      </c>
    </row>
    <row r="70" spans="1:44" s="63" customFormat="1" ht="15" customHeight="1">
      <c r="A70" s="1629"/>
      <c r="B70" s="1629"/>
      <c r="C70" s="1632"/>
      <c r="D70" s="1629"/>
      <c r="E70" s="1"/>
      <c r="F70" s="1"/>
      <c r="H70" s="1"/>
      <c r="P70" s="1630"/>
      <c r="R70" s="1630"/>
      <c r="T70" s="1"/>
      <c r="V70" s="1630"/>
      <c r="X70" s="1630"/>
      <c r="Z70" s="1"/>
      <c r="AB70" s="1630"/>
      <c r="AD70" s="1630"/>
      <c r="AG70" s="1"/>
      <c r="AO70" s="1099">
        <v>2430</v>
      </c>
      <c r="AP70" s="1108">
        <f>IFERROR(VLOOKUP(AO70,'[53]2017 Alloc'!A:C,3,FALSE),0)</f>
        <v>0</v>
      </c>
      <c r="AQ70" s="1108">
        <f>IFERROR(VLOOKUP(AO70,'[53]2018 Alloc Jan-Sep'!A:C,3,FALSE),0)</f>
        <v>0</v>
      </c>
      <c r="AR70" s="1108">
        <f>IFERROR(VLOOKUP(AO70,'[53]2018 Alloc Oct-Dec'!A:C,3,FALSE),0)</f>
        <v>0</v>
      </c>
    </row>
    <row r="71" spans="1:44" s="63" customFormat="1" ht="15" customHeight="1">
      <c r="A71" s="1629"/>
      <c r="B71" s="1629"/>
      <c r="C71" s="1629"/>
      <c r="D71" s="1629"/>
      <c r="E71" s="1"/>
      <c r="F71" s="1"/>
      <c r="H71" s="1"/>
      <c r="P71" s="1630"/>
      <c r="R71" s="1630"/>
      <c r="T71" s="1"/>
      <c r="V71" s="1630"/>
      <c r="X71" s="1630"/>
      <c r="Z71" s="1"/>
      <c r="AB71" s="1630"/>
      <c r="AD71" s="1630"/>
      <c r="AG71" s="1"/>
      <c r="AO71" s="1099">
        <v>2431</v>
      </c>
      <c r="AP71" s="1108">
        <f>IFERROR(VLOOKUP(AO71,'[53]2017 Alloc'!A:C,3,FALSE),0)</f>
        <v>0</v>
      </c>
      <c r="AQ71" s="1108">
        <f>IFERROR(VLOOKUP(AO71,'[53]2018 Alloc Jan-Sep'!A:C,3,FALSE),0)</f>
        <v>0</v>
      </c>
      <c r="AR71" s="1108">
        <f>IFERROR(VLOOKUP(AO71,'[53]2018 Alloc Oct-Dec'!A:C,3,FALSE),0)</f>
        <v>0</v>
      </c>
    </row>
    <row r="72" spans="1:44" s="63" customFormat="1" ht="15" customHeight="1">
      <c r="A72" s="1629"/>
      <c r="B72" s="1633"/>
      <c r="C72" s="1629"/>
      <c r="D72" s="1629"/>
      <c r="E72" s="1"/>
      <c r="F72" s="1"/>
      <c r="H72" s="1"/>
      <c r="P72" s="1630"/>
      <c r="R72" s="1630"/>
      <c r="T72" s="1"/>
      <c r="V72" s="1630"/>
      <c r="X72" s="1630"/>
      <c r="Z72" s="1"/>
      <c r="AB72" s="1630"/>
      <c r="AD72" s="1630"/>
      <c r="AG72" s="1"/>
      <c r="AO72" s="1099">
        <v>2432</v>
      </c>
      <c r="AP72" s="1108">
        <f>IFERROR(VLOOKUP(AO72,'[53]2017 Alloc'!A:C,3,FALSE),0)</f>
        <v>0</v>
      </c>
      <c r="AQ72" s="1108">
        <f>IFERROR(VLOOKUP(AO72,'[53]2018 Alloc Jan-Sep'!A:C,3,FALSE),0)</f>
        <v>0</v>
      </c>
      <c r="AR72" s="1108">
        <f>IFERROR(VLOOKUP(AO72,'[53]2018 Alloc Oct-Dec'!A:C,3,FALSE),0)</f>
        <v>0</v>
      </c>
    </row>
    <row r="73" spans="1:44" s="63" customFormat="1" ht="15" customHeight="1">
      <c r="A73" s="1"/>
      <c r="B73" s="1"/>
      <c r="C73" s="1"/>
      <c r="D73" s="1"/>
      <c r="E73" s="1"/>
      <c r="F73" s="1"/>
      <c r="H73" s="1"/>
      <c r="P73" s="1630"/>
      <c r="R73" s="1630"/>
      <c r="T73" s="1"/>
      <c r="V73" s="1630"/>
      <c r="X73" s="1630"/>
      <c r="Z73" s="1"/>
      <c r="AB73" s="1630"/>
      <c r="AD73" s="1630"/>
      <c r="AG73" s="1"/>
      <c r="AO73" s="1099">
        <v>2440</v>
      </c>
      <c r="AP73" s="1108">
        <f>IFERROR(VLOOKUP(AO73,'[53]2017 Alloc'!A:C,3,FALSE),0)</f>
        <v>0</v>
      </c>
      <c r="AQ73" s="1108">
        <f>IFERROR(VLOOKUP(AO73,'[53]2018 Alloc Jan-Sep'!A:C,3,FALSE),0)</f>
        <v>0</v>
      </c>
      <c r="AR73" s="1108">
        <f>IFERROR(VLOOKUP(AO73,'[53]2018 Alloc Oct-Dec'!A:C,3,FALSE),0)</f>
        <v>0</v>
      </c>
    </row>
    <row r="74" spans="1:44" s="63" customFormat="1" ht="15" customHeight="1">
      <c r="A74" s="1"/>
      <c r="B74" s="1"/>
      <c r="C74" s="1"/>
      <c r="D74" s="1"/>
      <c r="E74" s="1"/>
      <c r="F74" s="1"/>
      <c r="H74" s="1"/>
      <c r="P74" s="1630"/>
      <c r="R74" s="1630"/>
      <c r="T74" s="1"/>
      <c r="V74" s="1630"/>
      <c r="X74" s="1630"/>
      <c r="Z74" s="1"/>
      <c r="AB74" s="1630"/>
      <c r="AD74" s="1630"/>
      <c r="AG74" s="1"/>
      <c r="AO74" s="1099">
        <v>2450</v>
      </c>
      <c r="AP74" s="1108">
        <f>IFERROR(VLOOKUP(AO74,'[53]2017 Alloc'!A:C,3,FALSE),0)</f>
        <v>0</v>
      </c>
      <c r="AQ74" s="1108">
        <f>IFERROR(VLOOKUP(AO74,'[53]2018 Alloc Jan-Sep'!A:C,3,FALSE),0)</f>
        <v>0</v>
      </c>
      <c r="AR74" s="1108">
        <f>IFERROR(VLOOKUP(AO74,'[53]2018 Alloc Oct-Dec'!A:C,3,FALSE),0)</f>
        <v>0</v>
      </c>
    </row>
    <row r="75" spans="1:44" s="63" customFormat="1" ht="15" customHeight="1">
      <c r="A75" s="1"/>
      <c r="B75" s="1"/>
      <c r="C75" s="1"/>
      <c r="D75" s="1"/>
      <c r="E75" s="1"/>
      <c r="F75" s="1"/>
      <c r="H75" s="1"/>
      <c r="P75" s="1630"/>
      <c r="R75" s="1630"/>
      <c r="T75" s="1"/>
      <c r="V75" s="1630"/>
      <c r="X75" s="1630"/>
      <c r="Z75" s="1"/>
      <c r="AB75" s="1630"/>
      <c r="AD75" s="1630"/>
      <c r="AG75" s="1"/>
      <c r="AO75" s="1099">
        <v>2451</v>
      </c>
      <c r="AP75" s="1108">
        <f>IFERROR(VLOOKUP(AO75,'[53]2017 Alloc'!A:C,3,FALSE),0)</f>
        <v>0</v>
      </c>
      <c r="AQ75" s="1108">
        <f>IFERROR(VLOOKUP(AO75,'[53]2018 Alloc Jan-Sep'!A:C,3,FALSE),0)</f>
        <v>0</v>
      </c>
      <c r="AR75" s="1108">
        <f>IFERROR(VLOOKUP(AO75,'[53]2018 Alloc Oct-Dec'!A:C,3,FALSE),0)</f>
        <v>0</v>
      </c>
    </row>
    <row r="76" spans="1:44" s="63" customFormat="1" ht="15" customHeight="1">
      <c r="A76" s="1"/>
      <c r="B76" s="1"/>
      <c r="C76" s="1"/>
      <c r="D76" s="1"/>
      <c r="E76" s="1"/>
      <c r="F76" s="1"/>
      <c r="H76" s="1"/>
      <c r="P76" s="1630"/>
      <c r="R76" s="1630"/>
      <c r="T76" s="1"/>
      <c r="V76" s="1630"/>
      <c r="X76" s="1630"/>
      <c r="Z76" s="1"/>
      <c r="AB76" s="1630"/>
      <c r="AD76" s="1630"/>
      <c r="AG76" s="1"/>
      <c r="AO76" s="1099">
        <v>3022</v>
      </c>
      <c r="AP76" s="1108">
        <f>IFERROR(VLOOKUP(AO76,'[53]2017 Alloc'!A:C,3,FALSE),0)</f>
        <v>4.1634210374473487E-3</v>
      </c>
      <c r="AQ76" s="1108">
        <f>IFERROR(VLOOKUP(AO76,'[53]2018 Alloc Jan-Sep'!A:C,3,FALSE),0)</f>
        <v>4.4259054759925439E-3</v>
      </c>
      <c r="AR76" s="1108">
        <f>IFERROR(VLOOKUP(AO76,'[53]2018 Alloc Oct-Dec'!A:C,3,FALSE),0)</f>
        <v>4.3483407847084926E-3</v>
      </c>
    </row>
    <row r="77" spans="1:44" s="63" customFormat="1" ht="15" customHeight="1">
      <c r="A77" s="1"/>
      <c r="B77" s="1"/>
      <c r="C77" s="1"/>
      <c r="D77" s="1"/>
      <c r="E77" s="1"/>
      <c r="F77" s="1"/>
      <c r="H77" s="1"/>
      <c r="P77" s="1630"/>
      <c r="R77" s="1630"/>
      <c r="T77" s="1"/>
      <c r="V77" s="1630"/>
      <c r="X77" s="1630"/>
      <c r="Z77" s="1"/>
      <c r="AB77" s="1630"/>
      <c r="AD77" s="1630"/>
      <c r="AG77" s="1"/>
      <c r="AO77" s="1099">
        <v>3023</v>
      </c>
      <c r="AP77" s="1108">
        <f>IFERROR(VLOOKUP(AO77,'[53]2017 Alloc'!A:C,3,FALSE),0)</f>
        <v>8.6117361952570536E-3</v>
      </c>
      <c r="AQ77" s="1108">
        <f>IFERROR(VLOOKUP(AO77,'[53]2018 Alloc Jan-Sep'!A:C,3,FALSE),0)</f>
        <v>1.202658655105026E-2</v>
      </c>
      <c r="AR77" s="1108">
        <f>IFERROR(VLOOKUP(AO77,'[53]2018 Alloc Oct-Dec'!A:C,3,FALSE),0)</f>
        <v>1.1815818725552598E-2</v>
      </c>
    </row>
    <row r="78" spans="1:44" s="63" customFormat="1" ht="15" customHeight="1">
      <c r="A78" s="1"/>
      <c r="B78" s="1"/>
      <c r="C78" s="1"/>
      <c r="D78" s="1"/>
      <c r="E78" s="1"/>
      <c r="F78" s="1"/>
      <c r="H78" s="1"/>
      <c r="P78" s="1630"/>
      <c r="R78" s="1630"/>
      <c r="T78" s="1"/>
      <c r="V78" s="1630"/>
      <c r="X78" s="1630"/>
      <c r="Z78" s="1"/>
      <c r="AB78" s="1630"/>
      <c r="AD78" s="1630"/>
      <c r="AG78" s="1"/>
      <c r="AO78" s="1099">
        <v>3024</v>
      </c>
      <c r="AP78" s="1108">
        <f>IFERROR(VLOOKUP(AO78,'[53]2017 Alloc'!A:C,3,FALSE),0)</f>
        <v>4.0002380128094164E-3</v>
      </c>
      <c r="AQ78" s="1108">
        <f>IFERROR(VLOOKUP(AO78,'[53]2018 Alloc Jan-Sep'!A:C,3,FALSE),0)</f>
        <v>4.3713529938677626E-3</v>
      </c>
      <c r="AR78" s="1108">
        <f>IFERROR(VLOOKUP(AO78,'[53]2018 Alloc Oct-Dec'!A:C,3,FALSE),0)</f>
        <v>4.2947443434340491E-3</v>
      </c>
    </row>
    <row r="79" spans="1:44" s="63" customFormat="1" ht="15" customHeight="1">
      <c r="A79" s="1"/>
      <c r="B79" s="1"/>
      <c r="C79" s="1"/>
      <c r="D79" s="1"/>
      <c r="E79" s="1"/>
      <c r="F79" s="1"/>
      <c r="H79" s="1"/>
      <c r="P79" s="1630"/>
      <c r="R79" s="1630"/>
      <c r="T79" s="1"/>
      <c r="V79" s="1630"/>
      <c r="X79" s="1630"/>
      <c r="Z79" s="1"/>
      <c r="AB79" s="1630"/>
      <c r="AD79" s="1630"/>
      <c r="AG79" s="1"/>
      <c r="AO79" s="1099">
        <v>3025</v>
      </c>
      <c r="AP79" s="1108">
        <f>IFERROR(VLOOKUP(AO79,'[53]2017 Alloc'!A:C,3,FALSE),0)</f>
        <v>1.0701560787029023E-3</v>
      </c>
      <c r="AQ79" s="1108">
        <f>IFERROR(VLOOKUP(AO79,'[53]2018 Alloc Jan-Sep'!A:C,3,FALSE),0)</f>
        <v>1.1116186111656359E-3</v>
      </c>
      <c r="AR79" s="1108">
        <f>IFERROR(VLOOKUP(AO79,'[53]2018 Alloc Oct-Dec'!A:C,3,FALSE),0)</f>
        <v>1.092137319739878E-3</v>
      </c>
    </row>
    <row r="80" spans="1:44" s="63" customFormat="1" ht="15" customHeight="1">
      <c r="A80" s="1"/>
      <c r="B80" s="1"/>
      <c r="C80" s="1"/>
      <c r="D80" s="1"/>
      <c r="E80" s="1"/>
      <c r="F80" s="1"/>
      <c r="H80" s="1"/>
      <c r="P80" s="1630"/>
      <c r="R80" s="1630"/>
      <c r="T80" s="1"/>
      <c r="V80" s="1630"/>
      <c r="X80" s="1630"/>
      <c r="Z80" s="1"/>
      <c r="AB80" s="1630"/>
      <c r="AD80" s="1630"/>
      <c r="AG80" s="1"/>
      <c r="AO80" s="1099">
        <v>4008</v>
      </c>
      <c r="AP80" s="1108">
        <f>IFERROR(VLOOKUP(AO80,'[53]2017 Alloc'!A:C,3,FALSE),0)</f>
        <v>0</v>
      </c>
      <c r="AQ80" s="1108">
        <f>IFERROR(VLOOKUP(AO80,'[53]2018 Alloc Jan-Sep'!A:C,3,FALSE),0)</f>
        <v>0</v>
      </c>
      <c r="AR80" s="1108">
        <f>IFERROR(VLOOKUP(AO80,'[53]2018 Alloc Oct-Dec'!A:C,3,FALSE),0)</f>
        <v>0</v>
      </c>
    </row>
    <row r="81" spans="1:44" s="63" customFormat="1" ht="15" customHeight="1">
      <c r="A81" s="1"/>
      <c r="B81" s="1"/>
      <c r="C81" s="1"/>
      <c r="D81" s="1"/>
      <c r="E81" s="1"/>
      <c r="F81" s="1"/>
      <c r="H81" s="1"/>
      <c r="P81" s="1630"/>
      <c r="R81" s="1630"/>
      <c r="T81" s="1"/>
      <c r="V81" s="1630"/>
      <c r="X81" s="1630"/>
      <c r="Z81" s="1"/>
      <c r="AB81" s="1630"/>
      <c r="AD81" s="1630"/>
      <c r="AG81" s="1"/>
      <c r="AO81" s="1099">
        <v>4009</v>
      </c>
      <c r="AP81" s="1108">
        <f>IFERROR(VLOOKUP(AO81,'[53]2017 Alloc'!A:C,3,FALSE),0)</f>
        <v>0</v>
      </c>
      <c r="AQ81" s="1108">
        <f>IFERROR(VLOOKUP(AO81,'[53]2018 Alloc Jan-Sep'!A:C,3,FALSE),0)</f>
        <v>0</v>
      </c>
      <c r="AR81" s="1108">
        <f>IFERROR(VLOOKUP(AO81,'[53]2018 Alloc Oct-Dec'!A:C,3,FALSE),0)</f>
        <v>0</v>
      </c>
    </row>
    <row r="82" spans="1:44" s="63" customFormat="1" ht="15" customHeight="1">
      <c r="A82" s="1"/>
      <c r="B82" s="1"/>
      <c r="C82" s="1"/>
      <c r="D82" s="1"/>
      <c r="E82" s="1"/>
      <c r="F82" s="1"/>
      <c r="H82" s="1"/>
      <c r="P82" s="1630"/>
      <c r="R82" s="1630"/>
      <c r="T82" s="1"/>
      <c r="V82" s="1630"/>
      <c r="X82" s="1630"/>
      <c r="Z82" s="1"/>
      <c r="AB82" s="1630"/>
      <c r="AD82" s="1630"/>
      <c r="AG82" s="1"/>
      <c r="AO82" s="1099">
        <v>4010</v>
      </c>
      <c r="AP82" s="1108">
        <f>IFERROR(VLOOKUP(AO82,'[53]2017 Alloc'!A:C,3,FALSE),0)</f>
        <v>0</v>
      </c>
      <c r="AQ82" s="1108">
        <f>IFERROR(VLOOKUP(AO82,'[53]2018 Alloc Jan-Sep'!A:C,3,FALSE),0)</f>
        <v>0</v>
      </c>
      <c r="AR82" s="1108">
        <f>IFERROR(VLOOKUP(AO82,'[53]2018 Alloc Oct-Dec'!A:C,3,FALSE),0)</f>
        <v>0</v>
      </c>
    </row>
    <row r="83" spans="1:44" s="63" customFormat="1" ht="15" customHeight="1">
      <c r="A83" s="1"/>
      <c r="B83" s="1"/>
      <c r="C83" s="1"/>
      <c r="D83" s="1"/>
      <c r="E83" s="1"/>
      <c r="F83" s="1"/>
      <c r="H83" s="1"/>
      <c r="P83" s="1630"/>
      <c r="R83" s="1630"/>
      <c r="T83" s="1"/>
      <c r="V83" s="1630"/>
      <c r="X83" s="1630"/>
      <c r="Z83" s="1"/>
      <c r="AB83" s="1630"/>
      <c r="AD83" s="1630"/>
      <c r="AG83" s="1"/>
      <c r="AO83" s="1099">
        <v>4012</v>
      </c>
      <c r="AP83" s="1108">
        <f>IFERROR(VLOOKUP(AO83,'[53]2017 Alloc'!A:C,3,FALSE),0)</f>
        <v>0</v>
      </c>
      <c r="AQ83" s="1108">
        <f>IFERROR(VLOOKUP(AO83,'[53]2018 Alloc Jan-Sep'!A:C,3,FALSE),0)</f>
        <v>0</v>
      </c>
      <c r="AR83" s="1108">
        <f>IFERROR(VLOOKUP(AO83,'[53]2018 Alloc Oct-Dec'!A:C,3,FALSE),0)</f>
        <v>0</v>
      </c>
    </row>
    <row r="84" spans="1:44" s="63" customFormat="1" ht="15" customHeight="1">
      <c r="A84" s="1"/>
      <c r="B84" s="1"/>
      <c r="C84" s="1"/>
      <c r="D84" s="1"/>
      <c r="E84" s="1"/>
      <c r="F84" s="1"/>
      <c r="H84" s="1"/>
      <c r="P84" s="1630"/>
      <c r="R84" s="1630"/>
      <c r="T84" s="1"/>
      <c r="V84" s="1630"/>
      <c r="X84" s="1630"/>
      <c r="Z84" s="1"/>
      <c r="AB84" s="1630"/>
      <c r="AD84" s="1630"/>
      <c r="AG84" s="1"/>
      <c r="AO84" s="1099">
        <v>4013</v>
      </c>
      <c r="AP84" s="1108">
        <f>IFERROR(VLOOKUP(AO84,'[53]2017 Alloc'!A:C,3,FALSE),0)</f>
        <v>0</v>
      </c>
      <c r="AQ84" s="1108">
        <f>IFERROR(VLOOKUP(AO84,'[53]2018 Alloc Jan-Sep'!A:C,3,FALSE),0)</f>
        <v>0</v>
      </c>
      <c r="AR84" s="1108">
        <f>IFERROR(VLOOKUP(AO84,'[53]2018 Alloc Oct-Dec'!A:C,3,FALSE),0)</f>
        <v>0</v>
      </c>
    </row>
    <row r="85" spans="1:44" s="63" customFormat="1" ht="15" customHeight="1">
      <c r="A85" s="1"/>
      <c r="B85" s="1"/>
      <c r="C85" s="1"/>
      <c r="D85" s="1"/>
      <c r="E85" s="1"/>
      <c r="F85" s="1"/>
      <c r="H85" s="1"/>
      <c r="P85" s="1630"/>
      <c r="R85" s="1630"/>
      <c r="T85" s="1"/>
      <c r="V85" s="1630"/>
      <c r="X85" s="1630"/>
      <c r="Z85" s="1"/>
      <c r="AB85" s="1630"/>
      <c r="AD85" s="1630"/>
      <c r="AG85" s="1"/>
      <c r="AO85" s="1099">
        <v>4014</v>
      </c>
      <c r="AP85" s="1108">
        <f>IFERROR(VLOOKUP(AO85,'[53]2017 Alloc'!A:C,3,FALSE),0)</f>
        <v>5.3994648318042814E-3</v>
      </c>
      <c r="AQ85" s="1108">
        <f>IFERROR(VLOOKUP(AO85,'[53]2018 Alloc Jan-Sep'!A:C,3,FALSE),0)</f>
        <v>5.4793943930907894E-3</v>
      </c>
      <c r="AR85" s="1108">
        <f>IFERROR(VLOOKUP(AO85,'[53]2018 Alloc Oct-Dec'!A:C,3,FALSE),0)</f>
        <v>5.3833671424346197E-3</v>
      </c>
    </row>
    <row r="86" spans="1:44" s="63" customFormat="1" ht="15" customHeight="1">
      <c r="A86" s="1"/>
      <c r="B86" s="1"/>
      <c r="C86" s="1"/>
      <c r="D86" s="1"/>
      <c r="E86" s="1"/>
      <c r="F86" s="1"/>
      <c r="H86" s="1"/>
      <c r="P86" s="1630"/>
      <c r="R86" s="1630"/>
      <c r="T86" s="1"/>
      <c r="V86" s="1630"/>
      <c r="X86" s="1630"/>
      <c r="Z86" s="1"/>
      <c r="AB86" s="1630"/>
      <c r="AD86" s="1630"/>
      <c r="AG86" s="1"/>
      <c r="AO86" s="1099">
        <v>4016</v>
      </c>
      <c r="AP86" s="1108">
        <f>IFERROR(VLOOKUP(AO86,'[53]2017 Alloc'!A:C,3,FALSE),0)</f>
        <v>3.6964110553343722E-5</v>
      </c>
      <c r="AQ86" s="1108">
        <f>IFERROR(VLOOKUP(AO86,'[53]2018 Alloc Jan-Sep'!A:C,3,FALSE),0)</f>
        <v>2.9511998526521307E-5</v>
      </c>
      <c r="AR86" s="1108">
        <f>IFERROR(VLOOKUP(AO86,'[53]2018 Alloc Oct-Dec'!A:C,3,FALSE),0)</f>
        <v>2.8994796099288793E-5</v>
      </c>
    </row>
    <row r="87" spans="1:44" s="63" customFormat="1" ht="15" customHeight="1">
      <c r="A87" s="1"/>
      <c r="B87" s="1"/>
      <c r="C87" s="1"/>
      <c r="D87" s="1"/>
      <c r="E87" s="1"/>
      <c r="F87" s="1"/>
      <c r="H87" s="1"/>
      <c r="P87" s="1630"/>
      <c r="R87" s="1630"/>
      <c r="T87" s="1"/>
      <c r="V87" s="1630"/>
      <c r="X87" s="1630"/>
      <c r="Z87" s="1"/>
      <c r="AB87" s="1630"/>
      <c r="AD87" s="1630"/>
      <c r="AG87" s="1"/>
      <c r="AO87" s="1099">
        <v>4018</v>
      </c>
      <c r="AP87" s="1108">
        <f>IFERROR(VLOOKUP(AO87,'[53]2017 Alloc'!A:C,3,FALSE),0)</f>
        <v>1.3893997749697075E-2</v>
      </c>
      <c r="AQ87" s="1108">
        <f>IFERROR(VLOOKUP(AO87,'[53]2018 Alloc Jan-Sep'!A:C,3,FALSE),0)</f>
        <v>1.4154133353916749E-2</v>
      </c>
      <c r="AR87" s="1108">
        <f>IFERROR(VLOOKUP(AO87,'[53]2018 Alloc Oct-Dec'!A:C,3,FALSE),0)</f>
        <v>1.3906079935255871E-2</v>
      </c>
    </row>
    <row r="88" spans="1:44" s="63" customFormat="1" ht="15" customHeight="1">
      <c r="A88" s="1"/>
      <c r="B88" s="1"/>
      <c r="C88" s="1"/>
      <c r="D88" s="1"/>
      <c r="E88" s="1"/>
      <c r="F88" s="1"/>
      <c r="H88" s="1"/>
      <c r="P88" s="1630"/>
      <c r="R88" s="1630"/>
      <c r="T88" s="1"/>
      <c r="V88" s="1630"/>
      <c r="X88" s="1630"/>
      <c r="Z88" s="1"/>
      <c r="AB88" s="1630"/>
      <c r="AD88" s="1630"/>
      <c r="AG88" s="1"/>
      <c r="AO88" s="1099">
        <v>4019</v>
      </c>
      <c r="AP88" s="1108">
        <f>IFERROR(VLOOKUP(AO88,'[53]2017 Alloc'!A:C,3,FALSE),0)</f>
        <v>6.4912584386359702E-5</v>
      </c>
      <c r="AQ88" s="1108">
        <f>IFERROR(VLOOKUP(AO88,'[53]2018 Alloc Jan-Sep'!A:C,3,FALSE),0)</f>
        <v>6.7967026909564226E-5</v>
      </c>
      <c r="AR88" s="1108">
        <f>IFERROR(VLOOKUP(AO88,'[53]2018 Alloc Oct-Dec'!A:C,3,FALSE),0)</f>
        <v>6.6775894046846915E-5</v>
      </c>
    </row>
    <row r="89" spans="1:44" s="63" customFormat="1" ht="15" customHeight="1">
      <c r="A89" s="1"/>
      <c r="B89" s="1"/>
      <c r="C89" s="1"/>
      <c r="D89" s="1"/>
      <c r="E89" s="1"/>
      <c r="F89" s="1"/>
      <c r="H89" s="1"/>
      <c r="P89" s="1630"/>
      <c r="R89" s="1630"/>
      <c r="T89" s="1"/>
      <c r="V89" s="1630"/>
      <c r="X89" s="1630"/>
      <c r="Z89" s="1"/>
      <c r="AB89" s="1630"/>
      <c r="AD89" s="1630"/>
      <c r="AG89" s="1"/>
      <c r="AO89" s="1099">
        <v>4020</v>
      </c>
      <c r="AP89" s="1108">
        <f>IFERROR(VLOOKUP(AO89,'[53]2017 Alloc'!A:C,3,FALSE),0)</f>
        <v>5.3095789337026141E-2</v>
      </c>
      <c r="AQ89" s="1108">
        <f>IFERROR(VLOOKUP(AO89,'[53]2018 Alloc Jan-Sep'!A:C,3,FALSE),0)</f>
        <v>5.2668185734012711E-2</v>
      </c>
      <c r="AR89" s="1108">
        <f>IFERROR(VLOOKUP(AO89,'[53]2018 Alloc Oct-Dec'!A:C,3,FALSE),0)</f>
        <v>5.1745167475012573E-2</v>
      </c>
    </row>
    <row r="90" spans="1:44" s="63" customFormat="1" ht="15" customHeight="1">
      <c r="A90" s="1"/>
      <c r="B90" s="1"/>
      <c r="C90" s="1"/>
      <c r="D90" s="1"/>
      <c r="E90" s="1"/>
      <c r="F90" s="1"/>
      <c r="H90" s="1"/>
      <c r="P90" s="1630"/>
      <c r="R90" s="1630"/>
      <c r="T90" s="1"/>
      <c r="V90" s="1630"/>
      <c r="X90" s="1630"/>
      <c r="Z90" s="1"/>
      <c r="AB90" s="1630"/>
      <c r="AD90" s="1630"/>
      <c r="AG90" s="1"/>
      <c r="AO90" s="1099">
        <v>4021</v>
      </c>
      <c r="AP90" s="1108">
        <f>IFERROR(VLOOKUP(AO90,'[53]2017 Alloc'!A:C,3,FALSE),0)</f>
        <v>1.3703767814898159E-4</v>
      </c>
      <c r="AQ90" s="1108">
        <f>IFERROR(VLOOKUP(AO90,'[53]2018 Alloc Jan-Sep'!A:C,3,FALSE),0)</f>
        <v>1.2699102396260685E-4</v>
      </c>
      <c r="AR90" s="1108">
        <f>IFERROR(VLOOKUP(AO90,'[53]2018 Alloc Oct-Dec'!A:C,3,FALSE),0)</f>
        <v>1.247654862454245E-4</v>
      </c>
    </row>
    <row r="91" spans="1:44" s="63" customFormat="1" ht="15" customHeight="1">
      <c r="A91" s="1"/>
      <c r="B91" s="1"/>
      <c r="C91" s="1"/>
      <c r="D91" s="1"/>
      <c r="E91" s="1"/>
      <c r="F91" s="1"/>
      <c r="H91" s="1"/>
      <c r="P91" s="1630"/>
      <c r="R91" s="1630"/>
      <c r="T91" s="1"/>
      <c r="V91" s="1630"/>
      <c r="X91" s="1630"/>
      <c r="Z91" s="1"/>
      <c r="AB91" s="1630"/>
      <c r="AD91" s="1630"/>
      <c r="AG91" s="1"/>
      <c r="AO91" s="1099">
        <v>4022</v>
      </c>
      <c r="AP91" s="1108">
        <f>IFERROR(VLOOKUP(AO91,'[53]2017 Alloc'!A:C,3,FALSE),0)</f>
        <v>0</v>
      </c>
      <c r="AQ91" s="1108">
        <f>IFERROR(VLOOKUP(AO91,'[53]2018 Alloc Jan-Sep'!A:C,3,FALSE),0)</f>
        <v>0</v>
      </c>
      <c r="AR91" s="1108">
        <f>IFERROR(VLOOKUP(AO91,'[53]2018 Alloc Oct-Dec'!A:C,3,FALSE),0)</f>
        <v>0</v>
      </c>
    </row>
    <row r="92" spans="1:44" s="63" customFormat="1" ht="15" customHeight="1">
      <c r="A92" s="1"/>
      <c r="B92" s="1"/>
      <c r="C92" s="1"/>
      <c r="D92" s="1"/>
      <c r="E92" s="1"/>
      <c r="F92" s="1"/>
      <c r="H92" s="1"/>
      <c r="P92" s="1630"/>
      <c r="R92" s="1630"/>
      <c r="T92" s="1"/>
      <c r="V92" s="1630"/>
      <c r="X92" s="1630"/>
      <c r="Z92" s="1"/>
      <c r="AB92" s="1630"/>
      <c r="AD92" s="1630"/>
      <c r="AG92" s="1"/>
      <c r="AO92" s="1099">
        <v>4025</v>
      </c>
      <c r="AP92" s="1108">
        <f>IFERROR(VLOOKUP(AO92,'[53]2017 Alloc'!A:C,3,FALSE),0)</f>
        <v>0</v>
      </c>
      <c r="AQ92" s="1108">
        <f>IFERROR(VLOOKUP(AO92,'[53]2018 Alloc Jan-Sep'!A:C,3,FALSE),0)</f>
        <v>0</v>
      </c>
      <c r="AR92" s="1108">
        <f>IFERROR(VLOOKUP(AO92,'[53]2018 Alloc Oct-Dec'!A:C,3,FALSE),0)</f>
        <v>0</v>
      </c>
    </row>
    <row r="93" spans="1:44" s="63" customFormat="1" ht="15" customHeight="1">
      <c r="A93" s="1"/>
      <c r="B93" s="1"/>
      <c r="C93" s="1"/>
      <c r="D93" s="1"/>
      <c r="E93" s="1"/>
      <c r="F93" s="1"/>
      <c r="H93" s="1"/>
      <c r="P93" s="1630"/>
      <c r="R93" s="1630"/>
      <c r="T93" s="1"/>
      <c r="V93" s="1630"/>
      <c r="X93" s="1630"/>
      <c r="Z93" s="1"/>
      <c r="AB93" s="1630"/>
      <c r="AD93" s="1630"/>
      <c r="AG93" s="1"/>
      <c r="AO93" s="1099">
        <v>4030</v>
      </c>
      <c r="AP93" s="1108">
        <f>IFERROR(VLOOKUP(AO93,'[53]2017 Alloc'!A:C,3,FALSE),0)</f>
        <v>4.1976804569845941E-2</v>
      </c>
      <c r="AQ93" s="1108">
        <f>IFERROR(VLOOKUP(AO93,'[53]2018 Alloc Jan-Sep'!A:C,3,FALSE),0)</f>
        <v>4.3819057690984577E-2</v>
      </c>
      <c r="AR93" s="1108">
        <f>IFERROR(VLOOKUP(AO93,'[53]2018 Alloc Oct-Dec'!A:C,3,FALSE),0)</f>
        <v>4.3051121796150074E-2</v>
      </c>
    </row>
    <row r="94" spans="1:44" s="63" customFormat="1" ht="15" customHeight="1">
      <c r="A94" s="1"/>
      <c r="B94" s="1"/>
      <c r="C94" s="1"/>
      <c r="D94" s="1"/>
      <c r="E94" s="1"/>
      <c r="F94" s="1"/>
      <c r="H94" s="1"/>
      <c r="P94" s="1630"/>
      <c r="R94" s="1630"/>
      <c r="T94" s="1"/>
      <c r="V94" s="1630"/>
      <c r="X94" s="1630"/>
      <c r="Z94" s="1"/>
      <c r="AB94" s="1630"/>
      <c r="AD94" s="1630"/>
      <c r="AG94" s="1"/>
      <c r="AO94" s="1099">
        <v>4031</v>
      </c>
      <c r="AP94" s="1108">
        <f>IFERROR(VLOOKUP(AO94,'[53]2017 Alloc'!A:C,3,FALSE),0)</f>
        <v>1.6859240667012866E-4</v>
      </c>
      <c r="AQ94" s="1108">
        <f>IFERROR(VLOOKUP(AO94,'[53]2018 Alloc Jan-Sep'!A:C,3,FALSE),0)</f>
        <v>1.234138120199982E-4</v>
      </c>
      <c r="AR94" s="1108">
        <f>IFERROR(VLOOKUP(AO94,'[53]2018 Alloc Oct-Dec'!A:C,3,FALSE),0)</f>
        <v>1.2125096550611678E-4</v>
      </c>
    </row>
    <row r="95" spans="1:44" s="63" customFormat="1" ht="15" customHeight="1">
      <c r="A95" s="1"/>
      <c r="B95" s="1"/>
      <c r="C95" s="1"/>
      <c r="D95" s="1"/>
      <c r="E95" s="1"/>
      <c r="F95" s="1"/>
      <c r="H95" s="1"/>
      <c r="P95" s="1630"/>
      <c r="R95" s="1630"/>
      <c r="T95" s="1"/>
      <c r="V95" s="1630"/>
      <c r="X95" s="1630"/>
      <c r="Z95" s="1"/>
      <c r="AB95" s="1630"/>
      <c r="AD95" s="1630"/>
      <c r="AG95" s="1"/>
      <c r="AO95" s="1099">
        <v>4040</v>
      </c>
      <c r="AP95" s="1108">
        <f>IFERROR(VLOOKUP(AO95,'[53]2017 Alloc'!A:C,3,FALSE),0)</f>
        <v>2.2989873636835727E-4</v>
      </c>
      <c r="AQ95" s="1108">
        <f>IFERROR(VLOOKUP(AO95,'[53]2018 Alloc Jan-Sep'!A:C,3,FALSE),0)</f>
        <v>2.3073017029825749E-4</v>
      </c>
      <c r="AR95" s="1108">
        <f>IFERROR(VLOOKUP(AO95,'[53]2018 Alloc Oct-Dec'!A:C,3,FALSE),0)</f>
        <v>2.2668658768534877E-4</v>
      </c>
    </row>
    <row r="96" spans="1:44" s="63" customFormat="1" ht="15" customHeight="1">
      <c r="A96" s="1"/>
      <c r="B96" s="1"/>
      <c r="C96" s="1"/>
      <c r="D96" s="1"/>
      <c r="E96" s="1"/>
      <c r="F96" s="1"/>
      <c r="H96" s="1"/>
      <c r="P96" s="1630"/>
      <c r="R96" s="1630"/>
      <c r="T96" s="1"/>
      <c r="V96" s="1630"/>
      <c r="X96" s="1630"/>
      <c r="Z96" s="1"/>
      <c r="AB96" s="1630"/>
      <c r="AD96" s="1630"/>
      <c r="AG96" s="1"/>
      <c r="AO96" s="1099">
        <v>4050</v>
      </c>
      <c r="AP96" s="1108">
        <f>IFERROR(VLOOKUP(AO96,'[53]2017 Alloc'!A:C,3,FALSE),0)</f>
        <v>9.3762621891408461E-5</v>
      </c>
      <c r="AQ96" s="1108">
        <f>IFERROR(VLOOKUP(AO96,'[53]2018 Alloc Jan-Sep'!A:C,3,FALSE),0)</f>
        <v>8.4958783636955275E-5</v>
      </c>
      <c r="AR96" s="1108">
        <f>IFERROR(VLOOKUP(AO96,'[53]2018 Alloc Oct-Dec'!A:C,3,FALSE),0)</f>
        <v>8.3469867558558653E-5</v>
      </c>
    </row>
    <row r="97" spans="1:44" s="63" customFormat="1" ht="15" customHeight="1">
      <c r="A97" s="1"/>
      <c r="B97" s="1"/>
      <c r="C97" s="1"/>
      <c r="D97" s="1"/>
      <c r="E97" s="1"/>
      <c r="F97" s="1"/>
      <c r="H97" s="1"/>
      <c r="P97" s="1630"/>
      <c r="R97" s="1630"/>
      <c r="T97" s="1"/>
      <c r="V97" s="1630"/>
      <c r="X97" s="1630"/>
      <c r="Z97" s="1"/>
      <c r="AB97" s="1630"/>
      <c r="AD97" s="1630"/>
      <c r="AG97" s="1"/>
      <c r="AO97" s="1099">
        <v>4100</v>
      </c>
      <c r="AP97" s="1108">
        <f>IFERROR(VLOOKUP(AO97,'[53]2017 Alloc'!A:C,3,FALSE),0)</f>
        <v>2.1727684495989846E-4</v>
      </c>
      <c r="AQ97" s="1108">
        <f>IFERROR(VLOOKUP(AO97,'[53]2018 Alloc Jan-Sep'!A:C,3,FALSE),0)</f>
        <v>2.0032386878608403E-4</v>
      </c>
      <c r="AR97" s="1108">
        <f>IFERROR(VLOOKUP(AO97,'[53]2018 Alloc Oct-Dec'!A:C,3,FALSE),0)</f>
        <v>1.9681316140123304E-4</v>
      </c>
    </row>
    <row r="98" spans="1:44" s="63" customFormat="1" ht="15" customHeight="1">
      <c r="A98" s="1"/>
      <c r="B98" s="1"/>
      <c r="C98" s="1"/>
      <c r="D98" s="1"/>
      <c r="E98" s="1"/>
      <c r="F98" s="1"/>
      <c r="H98" s="1"/>
      <c r="P98" s="1630"/>
      <c r="R98" s="1630"/>
      <c r="T98" s="1"/>
      <c r="V98" s="1630"/>
      <c r="X98" s="1630"/>
      <c r="Z98" s="1"/>
      <c r="AB98" s="1630"/>
      <c r="AD98" s="1630"/>
      <c r="AG98" s="1"/>
      <c r="AO98" s="1099">
        <v>4105</v>
      </c>
      <c r="AP98" s="1108">
        <f>IFERROR(VLOOKUP(AO98,'[53]2017 Alloc'!A:C,3,FALSE),0)</f>
        <v>1.3523455080491605E-5</v>
      </c>
      <c r="AQ98" s="1108">
        <f>IFERROR(VLOOKUP(AO98,'[53]2018 Alloc Jan-Sep'!A:C,3,FALSE),0)</f>
        <v>8.9430298565216085E-6</v>
      </c>
      <c r="AR98" s="1108">
        <f>IFERROR(VLOOKUP(AO98,'[53]2018 Alloc Oct-Dec'!A:C,3,FALSE),0)</f>
        <v>8.786301848269331E-6</v>
      </c>
    </row>
    <row r="99" spans="1:44" s="63" customFormat="1" ht="15" customHeight="1">
      <c r="A99" s="1"/>
      <c r="B99" s="1"/>
      <c r="C99" s="1"/>
      <c r="D99" s="1"/>
      <c r="E99" s="1"/>
      <c r="F99" s="1"/>
      <c r="H99" s="1"/>
      <c r="P99" s="1630"/>
      <c r="R99" s="1630"/>
      <c r="T99" s="1"/>
      <c r="V99" s="1630"/>
      <c r="X99" s="1630"/>
      <c r="Z99" s="1"/>
      <c r="AB99" s="1630"/>
      <c r="AD99" s="1630"/>
      <c r="AG99" s="1"/>
      <c r="AO99" s="1099">
        <v>4110</v>
      </c>
      <c r="AP99" s="1108">
        <f>IFERROR(VLOOKUP(AO99,'[53]2017 Alloc'!A:C,3,FALSE),0)</f>
        <v>1.2749011886215453E-2</v>
      </c>
      <c r="AQ99" s="1108">
        <f>IFERROR(VLOOKUP(AO99,'[53]2018 Alloc Jan-Sep'!A:C,3,FALSE),0)</f>
        <v>1.3096172921890244E-2</v>
      </c>
      <c r="AR99" s="1108">
        <f>IFERROR(VLOOKUP(AO99,'[53]2018 Alloc Oct-Dec'!A:C,3,FALSE),0)</f>
        <v>1.2866660426605609E-2</v>
      </c>
    </row>
    <row r="100" spans="1:44" s="63" customFormat="1" ht="15" customHeight="1">
      <c r="A100" s="1"/>
      <c r="B100" s="1"/>
      <c r="C100" s="1"/>
      <c r="D100" s="1"/>
      <c r="E100" s="1"/>
      <c r="F100" s="1"/>
      <c r="H100" s="1"/>
      <c r="P100" s="1630"/>
      <c r="R100" s="1630"/>
      <c r="T100" s="1"/>
      <c r="V100" s="1630"/>
      <c r="X100" s="1630"/>
      <c r="Z100" s="1"/>
      <c r="AB100" s="1630"/>
      <c r="AD100" s="1630"/>
      <c r="AG100" s="1"/>
      <c r="AO100" s="1099">
        <v>4120</v>
      </c>
      <c r="AP100" s="1108">
        <f>IFERROR(VLOOKUP(AO100,'[53]2017 Alloc'!A:C,3,FALSE),0)</f>
        <v>2.5535889446656281E-2</v>
      </c>
      <c r="AQ100" s="1108">
        <f>IFERROR(VLOOKUP(AO100,'[53]2018 Alloc Jan-Sep'!A:C,3,FALSE),0)</f>
        <v>2.5492106606014846E-2</v>
      </c>
      <c r="AR100" s="1108">
        <f>IFERROR(VLOOKUP(AO100,'[53]2018 Alloc Oct-Dec'!A:C,3,FALSE),0)</f>
        <v>2.504535341849173E-2</v>
      </c>
    </row>
    <row r="101" spans="1:44" s="63" customFormat="1" ht="15" customHeight="1">
      <c r="A101" s="1"/>
      <c r="B101" s="1"/>
      <c r="C101" s="1"/>
      <c r="D101" s="1"/>
      <c r="E101" s="1"/>
      <c r="F101" s="1"/>
      <c r="H101" s="1"/>
      <c r="P101" s="1630"/>
      <c r="R101" s="1630"/>
      <c r="T101" s="1"/>
      <c r="V101" s="1630"/>
      <c r="X101" s="1630"/>
      <c r="Z101" s="1"/>
      <c r="AB101" s="1630"/>
      <c r="AD101" s="1630"/>
      <c r="AG101" s="1"/>
      <c r="AO101" s="1099">
        <v>4130</v>
      </c>
      <c r="AP101" s="1108">
        <f>IFERROR(VLOOKUP(AO101,'[53]2017 Alloc'!A:C,3,FALSE),0)</f>
        <v>1.0567227799896139E-2</v>
      </c>
      <c r="AQ101" s="1108">
        <f>IFERROR(VLOOKUP(AO101,'[53]2018 Alloc Jan-Sep'!A:C,3,FALSE),0)</f>
        <v>1.0529523353068542E-2</v>
      </c>
      <c r="AR101" s="1108">
        <f>IFERROR(VLOOKUP(AO101,'[53]2018 Alloc Oct-Dec'!A:C,3,FALSE),0)</f>
        <v>1.0344991796152312E-2</v>
      </c>
    </row>
    <row r="102" spans="1:44" s="63" customFormat="1" ht="15" customHeight="1">
      <c r="A102" s="1"/>
      <c r="B102" s="1"/>
      <c r="C102" s="1"/>
      <c r="D102" s="1"/>
      <c r="E102" s="1"/>
      <c r="F102" s="1"/>
      <c r="H102" s="1"/>
      <c r="P102" s="1630"/>
      <c r="R102" s="1630"/>
      <c r="T102" s="1"/>
      <c r="V102" s="1630"/>
      <c r="X102" s="1630"/>
      <c r="Z102" s="1"/>
      <c r="AB102" s="1630"/>
      <c r="AD102" s="1630"/>
      <c r="AG102" s="1"/>
      <c r="AO102" s="1099">
        <v>4140</v>
      </c>
      <c r="AP102" s="1108">
        <f>IFERROR(VLOOKUP(AO102,'[53]2017 Alloc'!A:C,3,FALSE),0)</f>
        <v>4.6908357855865212E-3</v>
      </c>
      <c r="AQ102" s="1108">
        <f>IFERROR(VLOOKUP(AO102,'[53]2018 Alloc Jan-Sep'!A:C,3,FALSE),0)</f>
        <v>4.6861476448173227E-3</v>
      </c>
      <c r="AR102" s="1108">
        <f>IFERROR(VLOOKUP(AO102,'[53]2018 Alloc Oct-Dec'!A:C,3,FALSE),0)</f>
        <v>4.6040221684931302E-3</v>
      </c>
    </row>
    <row r="103" spans="1:44" s="63" customFormat="1" ht="15" customHeight="1">
      <c r="A103" s="1"/>
      <c r="B103" s="1"/>
      <c r="C103" s="1"/>
      <c r="D103" s="1"/>
      <c r="E103" s="1"/>
      <c r="F103" s="1"/>
      <c r="H103" s="1"/>
      <c r="P103" s="1630"/>
      <c r="R103" s="1630"/>
      <c r="T103" s="1"/>
      <c r="V103" s="1630"/>
      <c r="X103" s="1630"/>
      <c r="Z103" s="1"/>
      <c r="AB103" s="1630"/>
      <c r="AD103" s="1630"/>
      <c r="AG103" s="1"/>
      <c r="AO103" s="1099">
        <v>4150</v>
      </c>
      <c r="AP103" s="1108">
        <f>IFERROR(VLOOKUP(AO103,'[53]2017 Alloc'!A:C,3,FALSE),0)</f>
        <v>9.4664185563441227E-5</v>
      </c>
      <c r="AQ103" s="1108">
        <f>IFERROR(VLOOKUP(AO103,'[53]2018 Alloc Jan-Sep'!A:C,3,FALSE),0)</f>
        <v>1.2073090306304171E-4</v>
      </c>
      <c r="AR103" s="1108">
        <f>IFERROR(VLOOKUP(AO103,'[53]2018 Alloc Oct-Dec'!A:C,3,FALSE),0)</f>
        <v>1.1861507495163598E-4</v>
      </c>
    </row>
    <row r="104" spans="1:44" s="63" customFormat="1" ht="15" customHeight="1">
      <c r="A104" s="1"/>
      <c r="B104" s="1"/>
      <c r="C104" s="1"/>
      <c r="D104" s="1"/>
      <c r="E104" s="1"/>
      <c r="F104" s="1"/>
      <c r="H104" s="1"/>
      <c r="P104" s="1630"/>
      <c r="R104" s="1630"/>
      <c r="T104" s="1"/>
      <c r="V104" s="1630"/>
      <c r="X104" s="1630"/>
      <c r="Z104" s="1"/>
      <c r="AB104" s="1630"/>
      <c r="AD104" s="1630"/>
      <c r="AG104" s="1"/>
      <c r="AO104" s="1099">
        <v>4160</v>
      </c>
      <c r="AP104" s="1108">
        <f>IFERROR(VLOOKUP(AO104,'[53]2017 Alloc'!A:C,3,FALSE),0)</f>
        <v>0</v>
      </c>
      <c r="AQ104" s="1108">
        <f>IFERROR(VLOOKUP(AO104,'[53]2018 Alloc Jan-Sep'!A:C,3,FALSE),0)</f>
        <v>0</v>
      </c>
      <c r="AR104" s="1108">
        <f>IFERROR(VLOOKUP(AO104,'[53]2018 Alloc Oct-Dec'!A:C,3,FALSE),0)</f>
        <v>0</v>
      </c>
    </row>
    <row r="105" spans="1:44" s="63" customFormat="1" ht="15" customHeight="1">
      <c r="A105" s="1"/>
      <c r="B105" s="1"/>
      <c r="C105" s="1"/>
      <c r="D105" s="1"/>
      <c r="E105" s="1"/>
      <c r="F105" s="1"/>
      <c r="H105" s="1"/>
      <c r="P105" s="1630"/>
      <c r="R105" s="1630"/>
      <c r="T105" s="1"/>
      <c r="V105" s="1630"/>
      <c r="X105" s="1630"/>
      <c r="Z105" s="1"/>
      <c r="AB105" s="1630"/>
      <c r="AD105" s="1630"/>
      <c r="AG105" s="1"/>
      <c r="AO105" s="1099">
        <v>5411</v>
      </c>
      <c r="AP105" s="1108">
        <f>IFERROR(VLOOKUP(AO105,'[53]2017 Alloc'!A:C,3,FALSE),0)</f>
        <v>1.3241265651145346E-2</v>
      </c>
      <c r="AQ105" s="1108">
        <f>IFERROR(VLOOKUP(AO105,'[53]2018 Alloc Jan-Sep'!A:C,3,FALSE),0)</f>
        <v>1.3257147459307632E-2</v>
      </c>
      <c r="AR105" s="1108">
        <f>IFERROR(VLOOKUP(AO105,'[53]2018 Alloc Oct-Dec'!A:C,3,FALSE),0)</f>
        <v>1.3024813859874458E-2</v>
      </c>
    </row>
    <row r="106" spans="1:44" s="63" customFormat="1" ht="15" customHeight="1">
      <c r="A106" s="1"/>
      <c r="B106" s="1"/>
      <c r="C106" s="1"/>
      <c r="D106" s="1"/>
      <c r="E106" s="1"/>
      <c r="F106" s="1"/>
      <c r="H106" s="1"/>
      <c r="P106" s="1630"/>
      <c r="R106" s="1630"/>
      <c r="T106" s="1"/>
      <c r="V106" s="1630"/>
      <c r="X106" s="1630"/>
      <c r="Z106" s="1"/>
      <c r="AB106" s="1630"/>
      <c r="AD106" s="1630"/>
      <c r="AG106" s="1"/>
      <c r="AO106" s="1099">
        <v>5412</v>
      </c>
      <c r="AP106" s="1108">
        <f>IFERROR(VLOOKUP(AO106,'[53]2017 Alloc'!A:C,3,FALSE),0)</f>
        <v>8.8470443136576069E-3</v>
      </c>
      <c r="AQ106" s="1108">
        <f>IFERROR(VLOOKUP(AO106,'[53]2018 Alloc Jan-Sep'!A:C,3,FALSE),0)</f>
        <v>8.8607539818416105E-3</v>
      </c>
      <c r="AR106" s="1108">
        <f>IFERROR(VLOOKUP(AO106,'[53]2018 Alloc Oct-Dec'!A:C,3,FALSE),0)</f>
        <v>8.7054678712652541E-3</v>
      </c>
    </row>
    <row r="107" spans="1:44" s="63" customFormat="1" ht="15" customHeight="1">
      <c r="A107" s="1"/>
      <c r="B107" s="1"/>
      <c r="C107" s="1"/>
      <c r="D107" s="1"/>
      <c r="E107" s="1"/>
      <c r="F107" s="1"/>
      <c r="H107" s="1"/>
      <c r="P107" s="1630"/>
      <c r="R107" s="1630"/>
      <c r="T107" s="1"/>
      <c r="V107" s="1630"/>
      <c r="X107" s="1630"/>
      <c r="Z107" s="1"/>
      <c r="AB107" s="1630"/>
      <c r="AD107" s="1630"/>
      <c r="AG107" s="1"/>
      <c r="AO107" s="1099">
        <v>5414</v>
      </c>
      <c r="AP107" s="1108">
        <f>IFERROR(VLOOKUP(AO107,'[53]2017 Alloc'!A:C,3,FALSE),0)</f>
        <v>0</v>
      </c>
      <c r="AQ107" s="1108">
        <f>IFERROR(VLOOKUP(AO107,'[53]2018 Alloc Jan-Sep'!A:C,3,FALSE),0)</f>
        <v>0</v>
      </c>
      <c r="AR107" s="1108">
        <f>IFERROR(VLOOKUP(AO107,'[53]2018 Alloc Oct-Dec'!A:C,3,FALSE),0)</f>
        <v>0</v>
      </c>
    </row>
    <row r="108" spans="1:44" s="63" customFormat="1" ht="15" customHeight="1">
      <c r="A108" s="1"/>
      <c r="B108" s="1"/>
      <c r="C108" s="1"/>
      <c r="D108" s="1"/>
      <c r="E108" s="1"/>
      <c r="F108" s="1"/>
      <c r="H108" s="1"/>
      <c r="P108" s="1630"/>
      <c r="R108" s="1630"/>
      <c r="T108" s="1"/>
      <c r="V108" s="1630"/>
      <c r="X108" s="1630"/>
      <c r="Z108" s="1"/>
      <c r="AB108" s="1630"/>
      <c r="AD108" s="1630"/>
      <c r="AG108" s="1"/>
      <c r="AO108" s="1099"/>
      <c r="AP108" s="1113">
        <f>+SUM(AP5:AP107)</f>
        <v>1.0000000000000004</v>
      </c>
      <c r="AQ108" s="1113">
        <f>+SUM(AQ5:AQ107)</f>
        <v>1.0000000000000002</v>
      </c>
      <c r="AR108" s="1113">
        <f>+SUM(AR5:AR107)</f>
        <v>0.99999999999999978</v>
      </c>
    </row>
    <row r="109" spans="1:44" s="63" customFormat="1" ht="15" customHeight="1">
      <c r="A109" s="1"/>
      <c r="B109" s="1"/>
      <c r="C109" s="1"/>
      <c r="D109" s="1"/>
      <c r="E109" s="1"/>
      <c r="F109" s="1"/>
      <c r="H109" s="1"/>
      <c r="P109" s="1630"/>
      <c r="R109" s="1630"/>
      <c r="T109" s="1"/>
      <c r="V109" s="1630"/>
      <c r="X109" s="1630"/>
      <c r="Z109" s="1"/>
      <c r="AB109" s="1630"/>
      <c r="AD109" s="1630"/>
      <c r="AG109" s="1"/>
    </row>
    <row r="110" spans="1:44" s="63" customFormat="1" ht="15" customHeight="1">
      <c r="A110" s="1"/>
      <c r="B110" s="1"/>
      <c r="C110" s="1"/>
      <c r="D110" s="1"/>
      <c r="E110" s="1"/>
      <c r="F110" s="1"/>
      <c r="H110" s="1"/>
      <c r="P110" s="1630"/>
      <c r="R110" s="1630"/>
      <c r="T110" s="1"/>
      <c r="V110" s="1630"/>
      <c r="X110" s="1630"/>
      <c r="Z110" s="1"/>
      <c r="AB110" s="1630"/>
      <c r="AD110" s="1630"/>
      <c r="AG110" s="1"/>
    </row>
    <row r="111" spans="1:44" s="63" customFormat="1" ht="15" customHeight="1">
      <c r="A111" s="1"/>
      <c r="B111" s="1"/>
      <c r="C111" s="1"/>
      <c r="D111" s="1"/>
      <c r="E111" s="1"/>
      <c r="F111" s="1"/>
      <c r="H111" s="1"/>
      <c r="P111" s="1630"/>
      <c r="R111" s="1630"/>
      <c r="T111" s="1"/>
      <c r="V111" s="1630"/>
      <c r="X111" s="1630"/>
      <c r="Z111" s="1"/>
      <c r="AB111" s="1630"/>
      <c r="AD111" s="1630"/>
      <c r="AG111" s="1"/>
    </row>
    <row r="112" spans="1:44" s="63" customFormat="1" ht="15" customHeight="1">
      <c r="A112" s="1"/>
      <c r="B112" s="1"/>
      <c r="C112" s="1"/>
      <c r="D112" s="1"/>
      <c r="E112" s="1"/>
      <c r="F112" s="1"/>
      <c r="H112" s="1"/>
      <c r="P112" s="1630"/>
      <c r="R112" s="1630"/>
      <c r="T112" s="1"/>
      <c r="V112" s="1630"/>
      <c r="X112" s="1630"/>
      <c r="Z112" s="1"/>
      <c r="AB112" s="1630"/>
      <c r="AD112" s="1630"/>
      <c r="AG112" s="1"/>
    </row>
    <row r="113" spans="1:33" s="63" customFormat="1" ht="15" customHeight="1">
      <c r="A113" s="1"/>
      <c r="B113" s="1"/>
      <c r="C113" s="1"/>
      <c r="D113" s="1"/>
      <c r="E113" s="1"/>
      <c r="F113" s="1"/>
      <c r="H113" s="1"/>
      <c r="P113" s="1630"/>
      <c r="R113" s="1630"/>
      <c r="T113" s="1"/>
      <c r="V113" s="1630"/>
      <c r="X113" s="1630"/>
      <c r="Z113" s="1"/>
      <c r="AB113" s="1630"/>
      <c r="AD113" s="1630"/>
      <c r="AG113" s="1"/>
    </row>
    <row r="114" spans="1:33" s="63" customFormat="1" ht="15" customHeight="1">
      <c r="A114" s="1"/>
      <c r="B114" s="1"/>
      <c r="C114" s="1"/>
      <c r="D114" s="1"/>
      <c r="E114" s="1"/>
      <c r="F114" s="1"/>
      <c r="H114" s="1"/>
      <c r="P114" s="1630"/>
      <c r="R114" s="1630"/>
      <c r="T114" s="1"/>
      <c r="V114" s="1630"/>
      <c r="X114" s="1630"/>
      <c r="Z114" s="1"/>
      <c r="AB114" s="1630"/>
      <c r="AD114" s="1630"/>
      <c r="AG114" s="1"/>
    </row>
    <row r="115" spans="1:33" s="63" customFormat="1" ht="15" customHeight="1">
      <c r="A115" s="1"/>
      <c r="B115" s="1"/>
      <c r="C115" s="1"/>
      <c r="D115" s="1"/>
      <c r="E115" s="1"/>
      <c r="F115" s="1"/>
      <c r="H115" s="1"/>
      <c r="P115" s="1630"/>
      <c r="R115" s="1630"/>
      <c r="T115" s="1"/>
      <c r="V115" s="1630"/>
      <c r="X115" s="1630"/>
      <c r="Z115" s="1"/>
      <c r="AB115" s="1630"/>
      <c r="AD115" s="1630"/>
      <c r="AG115" s="1"/>
    </row>
    <row r="116" spans="1:33" s="63" customFormat="1" ht="15" customHeight="1">
      <c r="A116" s="1"/>
      <c r="B116" s="1"/>
      <c r="C116" s="1"/>
      <c r="D116" s="1"/>
      <c r="E116" s="1"/>
      <c r="F116" s="1"/>
      <c r="H116" s="1"/>
      <c r="P116" s="1630"/>
      <c r="R116" s="1630"/>
      <c r="T116" s="1"/>
      <c r="V116" s="1630"/>
      <c r="X116" s="1630"/>
      <c r="Z116" s="1"/>
      <c r="AB116" s="1630"/>
      <c r="AD116" s="1630"/>
      <c r="AG116" s="1"/>
    </row>
    <row r="117" spans="1:33" s="63" customFormat="1" ht="15" customHeight="1">
      <c r="A117" s="1"/>
      <c r="B117" s="1"/>
      <c r="C117" s="1"/>
      <c r="D117" s="1"/>
      <c r="E117" s="1"/>
      <c r="F117" s="1"/>
      <c r="H117" s="1"/>
      <c r="P117" s="1630"/>
      <c r="R117" s="1630"/>
      <c r="T117" s="1"/>
      <c r="V117" s="1630"/>
      <c r="X117" s="1630"/>
      <c r="Z117" s="1"/>
      <c r="AB117" s="1630"/>
      <c r="AD117" s="1630"/>
      <c r="AG117" s="1"/>
    </row>
    <row r="118" spans="1:33" s="63" customFormat="1" ht="15" customHeight="1">
      <c r="A118" s="1"/>
      <c r="B118" s="1"/>
      <c r="C118" s="1"/>
      <c r="D118" s="1"/>
      <c r="E118" s="1"/>
      <c r="F118" s="1"/>
      <c r="H118" s="1"/>
      <c r="P118" s="1630"/>
      <c r="R118" s="1630"/>
      <c r="T118" s="1"/>
      <c r="V118" s="1630"/>
      <c r="X118" s="1630"/>
      <c r="Z118" s="1"/>
      <c r="AB118" s="1630"/>
      <c r="AD118" s="1630"/>
      <c r="AG118" s="1"/>
    </row>
    <row r="119" spans="1:33" s="63" customFormat="1" ht="15" customHeight="1">
      <c r="A119" s="1"/>
      <c r="B119" s="1"/>
      <c r="C119" s="1"/>
      <c r="D119" s="1"/>
      <c r="E119" s="1"/>
      <c r="F119" s="1"/>
      <c r="H119" s="1"/>
      <c r="P119" s="1630"/>
      <c r="R119" s="1630"/>
      <c r="T119" s="1"/>
      <c r="V119" s="1630"/>
      <c r="X119" s="1630"/>
      <c r="Z119" s="1"/>
      <c r="AB119" s="1630"/>
      <c r="AD119" s="1630"/>
      <c r="AG119" s="1"/>
    </row>
    <row r="120" spans="1:33" s="63" customFormat="1" ht="15" customHeight="1">
      <c r="A120" s="1"/>
      <c r="B120" s="1"/>
      <c r="C120" s="1"/>
      <c r="D120" s="1"/>
      <c r="E120" s="1"/>
      <c r="F120" s="1"/>
      <c r="H120" s="1"/>
      <c r="P120" s="1630"/>
      <c r="R120" s="1630"/>
      <c r="T120" s="1"/>
      <c r="V120" s="1630"/>
      <c r="X120" s="1630"/>
      <c r="Z120" s="1"/>
      <c r="AB120" s="1630"/>
      <c r="AD120" s="1630"/>
      <c r="AG120" s="1"/>
    </row>
    <row r="121" spans="1:33" s="63" customFormat="1" ht="15" customHeight="1">
      <c r="A121" s="1"/>
      <c r="B121" s="1"/>
      <c r="C121" s="1"/>
      <c r="D121" s="1"/>
      <c r="E121" s="1"/>
      <c r="F121" s="1"/>
      <c r="H121" s="1"/>
      <c r="P121" s="1630"/>
      <c r="R121" s="1630"/>
      <c r="T121" s="1"/>
      <c r="V121" s="1630"/>
      <c r="X121" s="1630"/>
      <c r="Z121" s="1"/>
      <c r="AB121" s="1630"/>
      <c r="AD121" s="1630"/>
      <c r="AG121" s="1"/>
    </row>
    <row r="122" spans="1:33" s="63" customFormat="1" ht="15" customHeight="1">
      <c r="A122" s="1"/>
      <c r="B122" s="1"/>
      <c r="C122" s="1"/>
      <c r="D122" s="1"/>
      <c r="E122" s="1"/>
      <c r="F122" s="1"/>
      <c r="H122" s="1"/>
      <c r="P122" s="1630"/>
      <c r="R122" s="1630"/>
      <c r="T122" s="1"/>
      <c r="V122" s="1630"/>
      <c r="X122" s="1630"/>
      <c r="Z122" s="1"/>
      <c r="AB122" s="1630"/>
      <c r="AD122" s="1630"/>
      <c r="AG122" s="1"/>
    </row>
    <row r="123" spans="1:33" s="63" customFormat="1" ht="15" customHeight="1">
      <c r="A123" s="1"/>
      <c r="B123" s="1"/>
      <c r="C123" s="1"/>
      <c r="D123" s="1"/>
      <c r="E123" s="1"/>
      <c r="F123" s="1"/>
      <c r="H123" s="1"/>
      <c r="P123" s="1630"/>
      <c r="R123" s="1630"/>
      <c r="T123" s="1"/>
      <c r="V123" s="1630"/>
      <c r="X123" s="1630"/>
      <c r="Z123" s="1"/>
      <c r="AB123" s="1630"/>
      <c r="AD123" s="1630"/>
      <c r="AG123" s="1"/>
    </row>
    <row r="124" spans="1:33" s="63" customFormat="1" ht="15" customHeight="1">
      <c r="A124" s="1"/>
      <c r="B124" s="1"/>
      <c r="C124" s="1"/>
      <c r="D124" s="1"/>
      <c r="E124" s="1"/>
      <c r="F124" s="1"/>
      <c r="H124" s="1"/>
      <c r="P124" s="1630"/>
      <c r="R124" s="1630"/>
      <c r="T124" s="1"/>
      <c r="V124" s="1630"/>
      <c r="X124" s="1630"/>
      <c r="Z124" s="1"/>
      <c r="AB124" s="1630"/>
      <c r="AD124" s="1630"/>
      <c r="AG124" s="1"/>
    </row>
    <row r="125" spans="1:33" s="63" customFormat="1" ht="15" customHeight="1">
      <c r="A125" s="1"/>
      <c r="B125" s="1"/>
      <c r="C125" s="1"/>
      <c r="D125" s="1"/>
      <c r="E125" s="1"/>
      <c r="F125" s="1"/>
      <c r="H125" s="1"/>
      <c r="P125" s="1630"/>
      <c r="R125" s="1630"/>
      <c r="T125" s="1"/>
      <c r="V125" s="1630"/>
      <c r="X125" s="1630"/>
      <c r="Z125" s="1"/>
      <c r="AB125" s="1630"/>
      <c r="AD125" s="1630"/>
      <c r="AG125" s="1"/>
    </row>
    <row r="126" spans="1:33" s="63" customFormat="1" ht="15" customHeight="1">
      <c r="A126" s="1"/>
      <c r="B126" s="1"/>
      <c r="C126" s="1"/>
      <c r="D126" s="1"/>
      <c r="E126" s="1"/>
      <c r="F126" s="1"/>
      <c r="H126" s="1"/>
      <c r="P126" s="1630"/>
      <c r="R126" s="1630"/>
      <c r="T126" s="1"/>
      <c r="V126" s="1630"/>
      <c r="X126" s="1630"/>
      <c r="Z126" s="1"/>
      <c r="AB126" s="1630"/>
      <c r="AD126" s="1630"/>
      <c r="AG126" s="1"/>
    </row>
    <row r="127" spans="1:33" s="63" customFormat="1" ht="15" customHeight="1">
      <c r="A127" s="1"/>
      <c r="B127" s="1"/>
      <c r="C127" s="1"/>
      <c r="D127" s="1"/>
      <c r="E127" s="1"/>
      <c r="F127" s="1"/>
      <c r="H127" s="1"/>
      <c r="P127" s="1630"/>
      <c r="R127" s="1630"/>
      <c r="T127" s="1"/>
      <c r="V127" s="1630"/>
      <c r="X127" s="1630"/>
      <c r="Z127" s="1"/>
      <c r="AB127" s="1630"/>
      <c r="AD127" s="1630"/>
      <c r="AG127" s="1"/>
    </row>
    <row r="128" spans="1:33" s="63" customFormat="1" ht="15" customHeight="1">
      <c r="A128" s="1"/>
      <c r="B128" s="1"/>
      <c r="C128" s="1"/>
      <c r="D128" s="1"/>
      <c r="E128" s="1"/>
      <c r="F128" s="1"/>
      <c r="H128" s="1"/>
      <c r="P128" s="1630"/>
      <c r="R128" s="1630"/>
      <c r="T128" s="1"/>
      <c r="V128" s="1630"/>
      <c r="X128" s="1630"/>
      <c r="Z128" s="1"/>
      <c r="AB128" s="1630"/>
      <c r="AD128" s="1630"/>
      <c r="AG128" s="1"/>
    </row>
    <row r="129" spans="1:33" s="63" customFormat="1" ht="15" customHeight="1">
      <c r="A129" s="1"/>
      <c r="B129" s="1"/>
      <c r="C129" s="1"/>
      <c r="D129" s="1"/>
      <c r="E129" s="1"/>
      <c r="F129" s="1"/>
      <c r="H129" s="1"/>
      <c r="P129" s="1630"/>
      <c r="R129" s="1630"/>
      <c r="T129" s="1"/>
      <c r="V129" s="1630"/>
      <c r="X129" s="1630"/>
      <c r="Z129" s="1"/>
      <c r="AB129" s="1630"/>
      <c r="AD129" s="1630"/>
      <c r="AG129" s="1"/>
    </row>
    <row r="130" spans="1:33" s="63" customFormat="1" ht="15" customHeight="1">
      <c r="A130" s="1"/>
      <c r="B130" s="1"/>
      <c r="C130" s="1"/>
      <c r="D130" s="1"/>
      <c r="E130" s="1"/>
      <c r="F130" s="1"/>
      <c r="H130" s="1"/>
      <c r="P130" s="1630"/>
      <c r="R130" s="1630"/>
      <c r="T130" s="1"/>
      <c r="V130" s="1630"/>
      <c r="X130" s="1630"/>
      <c r="Z130" s="1"/>
      <c r="AB130" s="1630"/>
      <c r="AD130" s="1630"/>
      <c r="AG130" s="1"/>
    </row>
    <row r="131" spans="1:33" s="63" customFormat="1" ht="15" customHeight="1">
      <c r="A131" s="1"/>
      <c r="B131" s="1"/>
      <c r="C131" s="1"/>
      <c r="D131" s="1"/>
      <c r="E131" s="1"/>
      <c r="F131" s="1"/>
      <c r="H131" s="1"/>
      <c r="P131" s="1630"/>
      <c r="R131" s="1630"/>
      <c r="T131" s="1"/>
      <c r="V131" s="1630"/>
      <c r="X131" s="1630"/>
      <c r="Z131" s="1"/>
      <c r="AB131" s="1630"/>
      <c r="AD131" s="1630"/>
      <c r="AG131" s="1"/>
    </row>
    <row r="132" spans="1:33" s="63" customFormat="1" ht="15" customHeight="1">
      <c r="A132" s="1"/>
      <c r="B132" s="1"/>
      <c r="C132" s="1"/>
      <c r="D132" s="1"/>
      <c r="E132" s="1"/>
      <c r="F132" s="1"/>
      <c r="H132" s="1"/>
      <c r="P132" s="1630"/>
      <c r="R132" s="1630"/>
      <c r="T132" s="1"/>
      <c r="V132" s="1630"/>
      <c r="X132" s="1630"/>
      <c r="Z132" s="1"/>
      <c r="AB132" s="1630"/>
      <c r="AD132" s="1630"/>
      <c r="AG132" s="1"/>
    </row>
    <row r="133" spans="1:33" s="63" customFormat="1" ht="15" customHeight="1">
      <c r="A133" s="1"/>
      <c r="B133" s="1"/>
      <c r="C133" s="1"/>
      <c r="D133" s="1"/>
      <c r="E133" s="1"/>
      <c r="F133" s="1"/>
      <c r="H133" s="1"/>
      <c r="P133" s="1630"/>
      <c r="R133" s="1630"/>
      <c r="T133" s="1"/>
      <c r="V133" s="1630"/>
      <c r="X133" s="1630"/>
      <c r="Z133" s="1"/>
      <c r="AB133" s="1630"/>
      <c r="AD133" s="1630"/>
      <c r="AG133" s="1"/>
    </row>
    <row r="134" spans="1:33" s="63" customFormat="1" ht="15" customHeight="1">
      <c r="A134" s="1"/>
      <c r="B134" s="1"/>
      <c r="C134" s="1"/>
      <c r="D134" s="1"/>
      <c r="E134" s="1"/>
      <c r="F134" s="1"/>
      <c r="H134" s="1"/>
      <c r="P134" s="1630"/>
      <c r="R134" s="1630"/>
      <c r="T134" s="1"/>
      <c r="V134" s="1630"/>
      <c r="X134" s="1630"/>
      <c r="Z134" s="1"/>
      <c r="AB134" s="1630"/>
      <c r="AD134" s="1630"/>
      <c r="AG134" s="1"/>
    </row>
    <row r="135" spans="1:33" s="63" customFormat="1" ht="15" customHeight="1">
      <c r="A135" s="1"/>
      <c r="B135" s="1"/>
      <c r="C135" s="1"/>
      <c r="D135" s="1"/>
      <c r="E135" s="1"/>
      <c r="F135" s="1"/>
      <c r="H135" s="1"/>
      <c r="P135" s="1630"/>
      <c r="R135" s="1630"/>
      <c r="T135" s="1"/>
      <c r="V135" s="1630"/>
      <c r="X135" s="1630"/>
      <c r="Z135" s="1"/>
      <c r="AB135" s="1630"/>
      <c r="AD135" s="1630"/>
      <c r="AG135" s="1"/>
    </row>
    <row r="136" spans="1:33" s="63" customFormat="1" ht="15" customHeight="1">
      <c r="A136" s="1"/>
      <c r="B136" s="1"/>
      <c r="C136" s="1"/>
      <c r="D136" s="1"/>
      <c r="E136" s="1"/>
      <c r="F136" s="1"/>
      <c r="H136" s="1"/>
      <c r="P136" s="1630"/>
      <c r="R136" s="1630"/>
      <c r="T136" s="1"/>
      <c r="V136" s="1630"/>
      <c r="X136" s="1630"/>
      <c r="Z136" s="1"/>
      <c r="AB136" s="1630"/>
      <c r="AD136" s="1630"/>
      <c r="AG136" s="1"/>
    </row>
    <row r="137" spans="1:33" s="63" customFormat="1" ht="15" customHeight="1">
      <c r="A137" s="1"/>
      <c r="B137" s="1"/>
      <c r="C137" s="1"/>
      <c r="D137" s="1"/>
      <c r="E137" s="1"/>
      <c r="F137" s="1"/>
      <c r="H137" s="1"/>
      <c r="P137" s="1630"/>
      <c r="R137" s="1630"/>
      <c r="T137" s="1"/>
      <c r="V137" s="1630"/>
      <c r="X137" s="1630"/>
      <c r="Z137" s="1"/>
      <c r="AB137" s="1630"/>
      <c r="AD137" s="1630"/>
      <c r="AG137" s="1"/>
    </row>
    <row r="138" spans="1:33" s="63" customFormat="1" ht="15" customHeight="1">
      <c r="A138" s="1"/>
      <c r="B138" s="1"/>
      <c r="C138" s="1"/>
      <c r="D138" s="1"/>
      <c r="E138" s="1"/>
      <c r="F138" s="1"/>
      <c r="H138" s="1"/>
      <c r="P138" s="1630"/>
      <c r="R138" s="1630"/>
      <c r="T138" s="1"/>
      <c r="V138" s="1630"/>
      <c r="X138" s="1630"/>
      <c r="Z138" s="1"/>
      <c r="AB138" s="1630"/>
      <c r="AD138" s="1630"/>
      <c r="AG138" s="1"/>
    </row>
    <row r="139" spans="1:33" s="63" customFormat="1" ht="15" customHeight="1">
      <c r="A139" s="1"/>
      <c r="B139" s="1"/>
      <c r="C139" s="1"/>
      <c r="D139" s="1"/>
      <c r="E139" s="1"/>
      <c r="F139" s="1"/>
      <c r="H139" s="1"/>
      <c r="P139" s="1630"/>
      <c r="R139" s="1630"/>
      <c r="T139" s="1"/>
      <c r="V139" s="1630"/>
      <c r="X139" s="1630"/>
      <c r="Z139" s="1"/>
      <c r="AB139" s="1630"/>
      <c r="AD139" s="1630"/>
      <c r="AG139" s="1"/>
    </row>
    <row r="140" spans="1:33" s="63" customFormat="1" ht="15" customHeight="1">
      <c r="A140" s="1"/>
      <c r="B140" s="1"/>
      <c r="C140" s="1"/>
      <c r="D140" s="1"/>
      <c r="E140" s="1"/>
      <c r="F140" s="1"/>
      <c r="H140" s="1"/>
      <c r="P140" s="1630"/>
      <c r="R140" s="1630"/>
      <c r="T140" s="1"/>
      <c r="V140" s="1630"/>
      <c r="X140" s="1630"/>
      <c r="Z140" s="1"/>
      <c r="AB140" s="1630"/>
      <c r="AD140" s="1630"/>
      <c r="AG140" s="1"/>
    </row>
    <row r="141" spans="1:33" s="63" customFormat="1" ht="15" customHeight="1">
      <c r="A141" s="1"/>
      <c r="B141" s="1"/>
      <c r="C141" s="1"/>
      <c r="D141" s="1"/>
      <c r="E141" s="1"/>
      <c r="F141" s="1"/>
      <c r="H141" s="1"/>
      <c r="P141" s="1630"/>
      <c r="R141" s="1630"/>
      <c r="T141" s="1"/>
      <c r="V141" s="1630"/>
      <c r="X141" s="1630"/>
      <c r="Z141" s="1"/>
      <c r="AB141" s="1630"/>
      <c r="AD141" s="1630"/>
      <c r="AG141" s="1"/>
    </row>
    <row r="142" spans="1:33" s="63" customFormat="1" ht="15" customHeight="1">
      <c r="A142" s="1"/>
      <c r="B142" s="1"/>
      <c r="C142" s="1"/>
      <c r="D142" s="1"/>
      <c r="E142" s="1"/>
      <c r="F142" s="1"/>
      <c r="H142" s="1"/>
      <c r="P142" s="1630"/>
      <c r="R142" s="1630"/>
      <c r="T142" s="1"/>
      <c r="V142" s="1630"/>
      <c r="X142" s="1630"/>
      <c r="Z142" s="1"/>
      <c r="AB142" s="1630"/>
      <c r="AD142" s="1630"/>
      <c r="AG142" s="1"/>
    </row>
    <row r="143" spans="1:33" s="63" customFormat="1" ht="15" customHeight="1">
      <c r="A143" s="1"/>
      <c r="B143" s="1"/>
      <c r="C143" s="1"/>
      <c r="D143" s="1"/>
      <c r="E143" s="1"/>
      <c r="F143" s="1"/>
      <c r="H143" s="1"/>
      <c r="P143" s="1630"/>
      <c r="R143" s="1630"/>
      <c r="T143" s="1"/>
      <c r="V143" s="1630"/>
      <c r="X143" s="1630"/>
      <c r="Z143" s="1"/>
      <c r="AB143" s="1630"/>
      <c r="AD143" s="1630"/>
      <c r="AG143" s="1"/>
    </row>
    <row r="144" spans="1:33" s="63" customFormat="1" ht="15" customHeight="1">
      <c r="A144" s="1"/>
      <c r="B144" s="1"/>
      <c r="C144" s="1"/>
      <c r="D144" s="1"/>
      <c r="E144" s="1"/>
      <c r="F144" s="1"/>
      <c r="H144" s="1"/>
      <c r="P144" s="1630"/>
      <c r="R144" s="1630"/>
      <c r="T144" s="1"/>
      <c r="V144" s="1630"/>
      <c r="X144" s="1630"/>
      <c r="Z144" s="1"/>
      <c r="AB144" s="1630"/>
      <c r="AD144" s="1630"/>
      <c r="AG144" s="1"/>
    </row>
    <row r="145" spans="1:33" s="63" customFormat="1" ht="15" customHeight="1">
      <c r="A145" s="1"/>
      <c r="B145" s="1"/>
      <c r="C145" s="1"/>
      <c r="D145" s="1"/>
      <c r="E145" s="1"/>
      <c r="F145" s="1"/>
      <c r="H145" s="1"/>
      <c r="P145" s="1630"/>
      <c r="R145" s="1630"/>
      <c r="T145" s="1"/>
      <c r="V145" s="1630"/>
      <c r="X145" s="1630"/>
      <c r="Z145" s="1"/>
      <c r="AB145" s="1630"/>
      <c r="AD145" s="1630"/>
      <c r="AG145" s="1"/>
    </row>
    <row r="146" spans="1:33" s="63" customFormat="1" ht="15" customHeight="1">
      <c r="A146" s="1"/>
      <c r="B146" s="1"/>
      <c r="C146" s="1"/>
      <c r="D146" s="1"/>
      <c r="E146" s="1"/>
      <c r="F146" s="1"/>
      <c r="H146" s="1"/>
      <c r="P146" s="1630"/>
      <c r="R146" s="1630"/>
      <c r="T146" s="1"/>
      <c r="V146" s="1630"/>
      <c r="X146" s="1630"/>
      <c r="Z146" s="1"/>
      <c r="AB146" s="1630"/>
      <c r="AD146" s="1630"/>
      <c r="AG146" s="1"/>
    </row>
    <row r="147" spans="1:33" s="63" customFormat="1" ht="15" customHeight="1">
      <c r="A147" s="1"/>
      <c r="B147" s="1"/>
      <c r="C147" s="1"/>
      <c r="D147" s="1"/>
      <c r="E147" s="1"/>
      <c r="F147" s="1"/>
      <c r="H147" s="1"/>
      <c r="P147" s="1630"/>
      <c r="R147" s="1630"/>
      <c r="T147" s="1"/>
      <c r="V147" s="1630"/>
      <c r="X147" s="1630"/>
      <c r="Z147" s="1"/>
      <c r="AB147" s="1630"/>
      <c r="AD147" s="1630"/>
      <c r="AG147" s="1"/>
    </row>
    <row r="148" spans="1:33" s="63" customFormat="1" ht="15" customHeight="1">
      <c r="A148" s="1"/>
      <c r="B148" s="1"/>
      <c r="C148" s="1"/>
      <c r="D148" s="1"/>
      <c r="E148" s="1"/>
      <c r="F148" s="1"/>
      <c r="H148" s="1"/>
      <c r="P148" s="1630"/>
      <c r="R148" s="1630"/>
      <c r="T148" s="1"/>
      <c r="V148" s="1630"/>
      <c r="X148" s="1630"/>
      <c r="Z148" s="1"/>
      <c r="AB148" s="1630"/>
      <c r="AD148" s="1630"/>
      <c r="AG148" s="1"/>
    </row>
    <row r="149" spans="1:33" s="63" customFormat="1" ht="15" customHeight="1">
      <c r="A149" s="1"/>
      <c r="B149" s="1"/>
      <c r="C149" s="1"/>
      <c r="D149" s="1"/>
      <c r="E149" s="1"/>
      <c r="F149" s="1"/>
      <c r="H149" s="1"/>
      <c r="P149" s="1630"/>
      <c r="R149" s="1630"/>
      <c r="T149" s="1"/>
      <c r="V149" s="1630"/>
      <c r="X149" s="1630"/>
      <c r="Z149" s="1"/>
      <c r="AB149" s="1630"/>
      <c r="AD149" s="1630"/>
      <c r="AG149" s="1"/>
    </row>
    <row r="150" spans="1:33" s="63" customFormat="1" ht="15" customHeight="1">
      <c r="A150" s="1"/>
      <c r="B150" s="1"/>
      <c r="C150" s="1"/>
      <c r="D150" s="1"/>
      <c r="E150" s="1"/>
      <c r="F150" s="1"/>
      <c r="H150" s="1"/>
      <c r="P150" s="1630"/>
      <c r="R150" s="1630"/>
      <c r="T150" s="1"/>
      <c r="V150" s="1630"/>
      <c r="X150" s="1630"/>
      <c r="Z150" s="1"/>
      <c r="AB150" s="1630"/>
      <c r="AD150" s="1630"/>
      <c r="AG150" s="1"/>
    </row>
    <row r="151" spans="1:33" s="63" customFormat="1" ht="15" customHeight="1">
      <c r="A151" s="1"/>
      <c r="B151" s="1"/>
      <c r="C151" s="1"/>
      <c r="D151" s="1"/>
      <c r="E151" s="1"/>
      <c r="F151" s="1"/>
      <c r="H151" s="1"/>
      <c r="P151" s="1630"/>
      <c r="R151" s="1630"/>
      <c r="T151" s="1"/>
      <c r="V151" s="1630"/>
      <c r="X151" s="1630"/>
      <c r="Z151" s="1"/>
      <c r="AB151" s="1630"/>
      <c r="AD151" s="1630"/>
      <c r="AG151" s="1"/>
    </row>
    <row r="152" spans="1:33" s="63" customFormat="1" ht="15" customHeight="1">
      <c r="A152" s="1"/>
      <c r="B152" s="1"/>
      <c r="C152" s="1"/>
      <c r="D152" s="1"/>
      <c r="E152" s="1"/>
      <c r="F152" s="1"/>
      <c r="H152" s="1"/>
      <c r="P152" s="1630"/>
      <c r="R152" s="1630"/>
      <c r="T152" s="1"/>
      <c r="V152" s="1630"/>
      <c r="X152" s="1630"/>
      <c r="Z152" s="1"/>
      <c r="AB152" s="1630"/>
      <c r="AD152" s="1630"/>
      <c r="AG152" s="1"/>
    </row>
    <row r="153" spans="1:33" s="63" customFormat="1" ht="15" customHeight="1">
      <c r="A153" s="1"/>
      <c r="B153" s="1"/>
      <c r="C153" s="1"/>
      <c r="D153" s="1"/>
      <c r="E153" s="1"/>
      <c r="F153" s="1"/>
      <c r="H153" s="1"/>
      <c r="P153" s="1630"/>
      <c r="R153" s="1630"/>
      <c r="T153" s="1"/>
      <c r="V153" s="1630"/>
      <c r="X153" s="1630"/>
      <c r="Z153" s="1"/>
      <c r="AB153" s="1630"/>
      <c r="AD153" s="1630"/>
      <c r="AG153" s="1"/>
    </row>
    <row r="154" spans="1:33" s="63" customFormat="1" ht="15" customHeight="1">
      <c r="A154" s="1"/>
      <c r="B154" s="1"/>
      <c r="C154" s="1"/>
      <c r="D154" s="1"/>
      <c r="E154" s="1"/>
      <c r="F154" s="1"/>
      <c r="H154" s="1"/>
      <c r="P154" s="1630"/>
      <c r="R154" s="1630"/>
      <c r="T154" s="1"/>
      <c r="V154" s="1630"/>
      <c r="X154" s="1630"/>
      <c r="Z154" s="1"/>
      <c r="AB154" s="1630"/>
      <c r="AD154" s="1630"/>
      <c r="AG154" s="1"/>
    </row>
    <row r="155" spans="1:33" s="63" customFormat="1" ht="15" customHeight="1">
      <c r="A155" s="1"/>
      <c r="B155" s="1"/>
      <c r="C155" s="1"/>
      <c r="D155" s="1"/>
      <c r="E155" s="1"/>
      <c r="F155" s="1"/>
      <c r="H155" s="1"/>
      <c r="P155" s="1630"/>
      <c r="R155" s="1630"/>
      <c r="T155" s="1"/>
      <c r="V155" s="1630"/>
      <c r="X155" s="1630"/>
      <c r="Z155" s="1"/>
      <c r="AB155" s="1630"/>
      <c r="AD155" s="1630"/>
      <c r="AG155" s="1"/>
    </row>
    <row r="156" spans="1:33" s="63" customFormat="1" ht="15" customHeight="1">
      <c r="A156" s="1"/>
      <c r="B156" s="1"/>
      <c r="C156" s="1"/>
      <c r="D156" s="1"/>
      <c r="E156" s="1"/>
      <c r="F156" s="1"/>
      <c r="H156" s="1"/>
      <c r="P156" s="1630"/>
      <c r="R156" s="1630"/>
      <c r="T156" s="1"/>
      <c r="V156" s="1630"/>
      <c r="X156" s="1630"/>
      <c r="Z156" s="1"/>
      <c r="AB156" s="1630"/>
      <c r="AD156" s="1630"/>
      <c r="AG156" s="1"/>
    </row>
    <row r="157" spans="1:33" s="63" customFormat="1" ht="15" customHeight="1">
      <c r="A157" s="1"/>
      <c r="B157" s="1"/>
      <c r="C157" s="1"/>
      <c r="D157" s="1"/>
      <c r="E157" s="1"/>
      <c r="F157" s="1"/>
      <c r="H157" s="1"/>
      <c r="P157" s="1630"/>
      <c r="R157" s="1630"/>
      <c r="T157" s="1"/>
      <c r="V157" s="1630"/>
      <c r="X157" s="1630"/>
      <c r="Z157" s="1"/>
      <c r="AB157" s="1630"/>
      <c r="AD157" s="1630"/>
      <c r="AG157" s="1"/>
    </row>
    <row r="158" spans="1:33" s="63" customFormat="1" ht="15" customHeight="1">
      <c r="A158" s="1"/>
      <c r="B158" s="1"/>
      <c r="C158" s="1"/>
      <c r="D158" s="1"/>
      <c r="E158" s="1"/>
      <c r="F158" s="1"/>
      <c r="H158" s="1"/>
      <c r="P158" s="1630"/>
      <c r="R158" s="1630"/>
      <c r="T158" s="1"/>
      <c r="V158" s="1630"/>
      <c r="X158" s="1630"/>
      <c r="Z158" s="1"/>
      <c r="AB158" s="1630"/>
      <c r="AD158" s="1630"/>
      <c r="AG158" s="1"/>
    </row>
    <row r="159" spans="1:33" s="63" customFormat="1" ht="15" customHeight="1">
      <c r="A159" s="1"/>
      <c r="B159" s="1"/>
      <c r="C159" s="1"/>
      <c r="D159" s="1"/>
      <c r="E159" s="1"/>
      <c r="F159" s="1"/>
      <c r="H159" s="1"/>
      <c r="P159" s="1630"/>
      <c r="R159" s="1630"/>
      <c r="T159" s="1"/>
      <c r="V159" s="1630"/>
      <c r="X159" s="1630"/>
      <c r="Z159" s="1"/>
      <c r="AB159" s="1630"/>
      <c r="AD159" s="1630"/>
      <c r="AG159" s="1"/>
    </row>
    <row r="160" spans="1:33" s="63" customFormat="1" ht="15" customHeight="1">
      <c r="A160" s="1"/>
      <c r="B160" s="1"/>
      <c r="C160" s="1"/>
      <c r="D160" s="1"/>
      <c r="E160" s="1"/>
      <c r="F160" s="1"/>
      <c r="H160" s="1"/>
      <c r="P160" s="1630"/>
      <c r="R160" s="1630"/>
      <c r="T160" s="1"/>
      <c r="V160" s="1630"/>
      <c r="X160" s="1630"/>
      <c r="Z160" s="1"/>
      <c r="AB160" s="1630"/>
      <c r="AD160" s="1630"/>
      <c r="AG160" s="1"/>
    </row>
    <row r="161" spans="1:33" s="63" customFormat="1" ht="15" customHeight="1">
      <c r="A161" s="1"/>
      <c r="B161" s="1"/>
      <c r="C161" s="1"/>
      <c r="D161" s="1"/>
      <c r="E161" s="1"/>
      <c r="F161" s="1"/>
      <c r="H161" s="1"/>
      <c r="P161" s="1630"/>
      <c r="R161" s="1630"/>
      <c r="T161" s="1"/>
      <c r="V161" s="1630"/>
      <c r="X161" s="1630"/>
      <c r="Z161" s="1"/>
      <c r="AB161" s="1630"/>
      <c r="AD161" s="1630"/>
      <c r="AG161" s="1"/>
    </row>
    <row r="162" spans="1:33" s="63" customFormat="1" ht="15" customHeight="1">
      <c r="A162" s="1"/>
      <c r="B162" s="1"/>
      <c r="C162" s="1"/>
      <c r="D162" s="1"/>
      <c r="E162" s="1"/>
      <c r="F162" s="1"/>
      <c r="H162" s="1"/>
      <c r="P162" s="1630"/>
      <c r="R162" s="1630"/>
      <c r="T162" s="1"/>
      <c r="V162" s="1630"/>
      <c r="X162" s="1630"/>
      <c r="Z162" s="1"/>
      <c r="AB162" s="1630"/>
      <c r="AD162" s="1630"/>
      <c r="AG162" s="1"/>
    </row>
    <row r="163" spans="1:33" s="63" customFormat="1" ht="15" customHeight="1">
      <c r="A163" s="1"/>
      <c r="B163" s="1"/>
      <c r="C163" s="1"/>
      <c r="D163" s="1"/>
      <c r="E163" s="1"/>
      <c r="F163" s="1"/>
      <c r="H163" s="1"/>
      <c r="P163" s="1630"/>
      <c r="R163" s="1630"/>
      <c r="T163" s="1"/>
      <c r="V163" s="1630"/>
      <c r="X163" s="1630"/>
      <c r="Z163" s="1"/>
      <c r="AB163" s="1630"/>
      <c r="AD163" s="1630"/>
      <c r="AG163" s="1"/>
    </row>
    <row r="164" spans="1:33" s="63" customFormat="1" ht="15" customHeight="1">
      <c r="A164" s="1"/>
      <c r="B164" s="1"/>
      <c r="C164" s="1"/>
      <c r="D164" s="1"/>
      <c r="E164" s="1"/>
      <c r="F164" s="1"/>
      <c r="H164" s="1"/>
      <c r="P164" s="1630"/>
      <c r="R164" s="1630"/>
      <c r="T164" s="1"/>
      <c r="V164" s="1630"/>
      <c r="X164" s="1630"/>
      <c r="Z164" s="1"/>
      <c r="AB164" s="1630"/>
      <c r="AD164" s="1630"/>
      <c r="AG164" s="1"/>
    </row>
    <row r="165" spans="1:33" s="63" customFormat="1" ht="15" customHeight="1">
      <c r="A165" s="1"/>
      <c r="B165" s="1"/>
      <c r="C165" s="1"/>
      <c r="D165" s="1"/>
      <c r="E165" s="1"/>
      <c r="F165" s="1"/>
      <c r="H165" s="1"/>
      <c r="P165" s="1630"/>
      <c r="R165" s="1630"/>
      <c r="T165" s="1"/>
      <c r="V165" s="1630"/>
      <c r="X165" s="1630"/>
      <c r="Z165" s="1"/>
      <c r="AB165" s="1630"/>
      <c r="AD165" s="1630"/>
      <c r="AG165" s="1"/>
    </row>
    <row r="166" spans="1:33" s="63" customFormat="1" ht="15" customHeight="1">
      <c r="A166" s="1"/>
      <c r="B166" s="1"/>
      <c r="C166" s="1"/>
      <c r="D166" s="1"/>
      <c r="E166" s="1"/>
      <c r="F166" s="1"/>
      <c r="H166" s="1"/>
      <c r="P166" s="1630"/>
      <c r="R166" s="1630"/>
      <c r="T166" s="1"/>
      <c r="V166" s="1630"/>
      <c r="X166" s="1630"/>
      <c r="Z166" s="1"/>
      <c r="AB166" s="1630"/>
      <c r="AD166" s="1630"/>
      <c r="AG166" s="1"/>
    </row>
    <row r="167" spans="1:33" s="63" customFormat="1" ht="15" customHeight="1">
      <c r="A167" s="1"/>
      <c r="B167" s="1"/>
      <c r="C167" s="1"/>
      <c r="D167" s="1"/>
      <c r="E167" s="1"/>
      <c r="F167" s="1"/>
      <c r="H167" s="1"/>
      <c r="P167" s="1630"/>
      <c r="R167" s="1630"/>
      <c r="T167" s="1"/>
      <c r="V167" s="1630"/>
      <c r="X167" s="1630"/>
      <c r="Z167" s="1"/>
      <c r="AB167" s="1630"/>
      <c r="AD167" s="1630"/>
      <c r="AG167" s="1"/>
    </row>
    <row r="168" spans="1:33" s="63" customFormat="1" ht="15" customHeight="1">
      <c r="A168" s="1"/>
      <c r="B168" s="1"/>
      <c r="C168" s="1"/>
      <c r="D168" s="1"/>
      <c r="E168" s="1"/>
      <c r="F168" s="1"/>
      <c r="H168" s="1"/>
      <c r="P168" s="1630"/>
      <c r="R168" s="1630"/>
      <c r="T168" s="1"/>
      <c r="V168" s="1630"/>
      <c r="X168" s="1630"/>
      <c r="Z168" s="1"/>
      <c r="AB168" s="1630"/>
      <c r="AD168" s="1630"/>
      <c r="AG168" s="1"/>
    </row>
    <row r="169" spans="1:33" s="63" customFormat="1" ht="15" customHeight="1">
      <c r="A169" s="1"/>
      <c r="B169" s="1"/>
      <c r="C169" s="1"/>
      <c r="D169" s="1"/>
      <c r="E169" s="1"/>
      <c r="F169" s="1"/>
      <c r="H169" s="1"/>
      <c r="P169" s="1630"/>
      <c r="R169" s="1630"/>
      <c r="T169" s="1"/>
      <c r="V169" s="1630"/>
      <c r="X169" s="1630"/>
      <c r="Z169" s="1"/>
      <c r="AB169" s="1630"/>
      <c r="AD169" s="1630"/>
      <c r="AG169" s="1"/>
    </row>
    <row r="170" spans="1:33" s="63" customFormat="1" ht="15" customHeight="1">
      <c r="A170" s="1"/>
      <c r="B170" s="1"/>
      <c r="C170" s="1"/>
      <c r="D170" s="1"/>
      <c r="E170" s="1"/>
      <c r="F170" s="1"/>
      <c r="H170" s="1"/>
      <c r="P170" s="1630"/>
      <c r="R170" s="1630"/>
      <c r="T170" s="1"/>
      <c r="V170" s="1630"/>
      <c r="X170" s="1630"/>
      <c r="Z170" s="1"/>
      <c r="AB170" s="1630"/>
      <c r="AD170" s="1630"/>
      <c r="AG170" s="1"/>
    </row>
    <row r="171" spans="1:33" s="63" customFormat="1" ht="15" customHeight="1">
      <c r="A171" s="1"/>
      <c r="B171" s="1"/>
      <c r="C171" s="1"/>
      <c r="D171" s="1"/>
      <c r="E171" s="1"/>
      <c r="F171" s="1"/>
      <c r="H171" s="1"/>
      <c r="P171" s="1630"/>
      <c r="R171" s="1630"/>
      <c r="T171" s="1"/>
      <c r="V171" s="1630"/>
      <c r="X171" s="1630"/>
      <c r="Z171" s="1"/>
      <c r="AB171" s="1630"/>
      <c r="AD171" s="1630"/>
      <c r="AG171" s="1"/>
    </row>
    <row r="172" spans="1:33" s="63" customFormat="1" ht="15" customHeight="1">
      <c r="A172" s="1"/>
      <c r="B172" s="1"/>
      <c r="C172" s="1"/>
      <c r="D172" s="1"/>
      <c r="E172" s="1"/>
      <c r="F172" s="1"/>
      <c r="H172" s="1"/>
      <c r="P172" s="1630"/>
      <c r="R172" s="1630"/>
      <c r="T172" s="1"/>
      <c r="V172" s="1630"/>
      <c r="X172" s="1630"/>
      <c r="Z172" s="1"/>
      <c r="AB172" s="1630"/>
      <c r="AD172" s="1630"/>
      <c r="AG172" s="1"/>
    </row>
    <row r="173" spans="1:33" s="63" customFormat="1" ht="15" customHeight="1">
      <c r="A173" s="1"/>
      <c r="B173" s="1"/>
      <c r="C173" s="1"/>
      <c r="D173" s="1"/>
      <c r="E173" s="1"/>
      <c r="F173" s="1"/>
      <c r="H173" s="1"/>
      <c r="P173" s="1630"/>
      <c r="R173" s="1630"/>
      <c r="T173" s="1"/>
      <c r="V173" s="1630"/>
      <c r="X173" s="1630"/>
      <c r="Z173" s="1"/>
      <c r="AB173" s="1630"/>
      <c r="AD173" s="1630"/>
      <c r="AG173" s="1"/>
    </row>
    <row r="174" spans="1:33" s="63" customFormat="1" ht="15" customHeight="1">
      <c r="A174" s="1"/>
      <c r="B174" s="1"/>
      <c r="C174" s="1"/>
      <c r="D174" s="1"/>
      <c r="E174" s="1"/>
      <c r="F174" s="1"/>
      <c r="H174" s="1"/>
      <c r="P174" s="1630"/>
      <c r="R174" s="1630"/>
      <c r="T174" s="1"/>
      <c r="V174" s="1630"/>
      <c r="X174" s="1630"/>
      <c r="Z174" s="1"/>
      <c r="AB174" s="1630"/>
      <c r="AD174" s="1630"/>
      <c r="AG174" s="1"/>
    </row>
    <row r="175" spans="1:33" s="63" customFormat="1" ht="15" customHeight="1">
      <c r="A175" s="1"/>
      <c r="B175" s="1"/>
      <c r="C175" s="1"/>
      <c r="D175" s="1"/>
      <c r="E175" s="1"/>
      <c r="F175" s="1"/>
      <c r="H175" s="1"/>
      <c r="P175" s="1630"/>
      <c r="R175" s="1630"/>
      <c r="T175" s="1"/>
      <c r="V175" s="1630"/>
      <c r="X175" s="1630"/>
      <c r="Z175" s="1"/>
      <c r="AB175" s="1630"/>
      <c r="AD175" s="1630"/>
      <c r="AG175" s="1"/>
    </row>
    <row r="176" spans="1:33" s="63" customFormat="1" ht="15" customHeight="1">
      <c r="A176" s="1"/>
      <c r="B176" s="1"/>
      <c r="C176" s="1"/>
      <c r="D176" s="1"/>
      <c r="E176" s="1"/>
      <c r="F176" s="1"/>
      <c r="H176" s="1"/>
      <c r="P176" s="1630"/>
      <c r="R176" s="1630"/>
      <c r="T176" s="1"/>
      <c r="V176" s="1630"/>
      <c r="X176" s="1630"/>
      <c r="Z176" s="1"/>
      <c r="AB176" s="1630"/>
      <c r="AD176" s="1630"/>
      <c r="AG176" s="1"/>
    </row>
    <row r="177" spans="1:33" s="63" customFormat="1" ht="15" customHeight="1">
      <c r="A177" s="1"/>
      <c r="B177" s="1"/>
      <c r="C177" s="1"/>
      <c r="D177" s="1"/>
      <c r="E177" s="1"/>
      <c r="F177" s="1"/>
      <c r="H177" s="1"/>
      <c r="P177" s="1630"/>
      <c r="R177" s="1630"/>
      <c r="T177" s="1"/>
      <c r="V177" s="1630"/>
      <c r="X177" s="1630"/>
      <c r="Z177" s="1"/>
      <c r="AB177" s="1630"/>
      <c r="AD177" s="1630"/>
      <c r="AG177" s="1"/>
    </row>
    <row r="178" spans="1:33" s="63" customFormat="1" ht="15" customHeight="1">
      <c r="A178" s="1"/>
      <c r="B178" s="1"/>
      <c r="C178" s="1"/>
      <c r="D178" s="1"/>
      <c r="E178" s="1"/>
      <c r="F178" s="1"/>
      <c r="H178" s="1"/>
      <c r="P178" s="1630"/>
      <c r="R178" s="1630"/>
      <c r="T178" s="1"/>
      <c r="V178" s="1630"/>
      <c r="X178" s="1630"/>
      <c r="Z178" s="1"/>
      <c r="AB178" s="1630"/>
      <c r="AD178" s="1630"/>
      <c r="AG178" s="1"/>
    </row>
    <row r="179" spans="1:33" s="63" customFormat="1" ht="15" customHeight="1">
      <c r="A179" s="1"/>
      <c r="B179" s="1"/>
      <c r="C179" s="1"/>
      <c r="D179" s="1"/>
      <c r="E179" s="1"/>
      <c r="F179" s="1"/>
      <c r="H179" s="1"/>
      <c r="P179" s="1630"/>
      <c r="R179" s="1630"/>
      <c r="T179" s="1"/>
      <c r="V179" s="1630"/>
      <c r="X179" s="1630"/>
      <c r="Z179" s="1"/>
      <c r="AB179" s="1630"/>
      <c r="AD179" s="1630"/>
      <c r="AG179" s="1"/>
    </row>
    <row r="180" spans="1:33" s="63" customFormat="1" ht="15" customHeight="1">
      <c r="A180" s="1"/>
      <c r="B180" s="1"/>
      <c r="C180" s="1"/>
      <c r="D180" s="1"/>
      <c r="E180" s="1"/>
      <c r="F180" s="1"/>
      <c r="H180" s="1"/>
      <c r="P180" s="1630"/>
      <c r="R180" s="1630"/>
      <c r="T180" s="1"/>
      <c r="V180" s="1630"/>
      <c r="X180" s="1630"/>
      <c r="Z180" s="1"/>
      <c r="AB180" s="1630"/>
      <c r="AD180" s="1630"/>
      <c r="AG180" s="1"/>
    </row>
    <row r="181" spans="1:33" s="63" customFormat="1" ht="15" customHeight="1">
      <c r="A181" s="1"/>
      <c r="B181" s="1"/>
      <c r="C181" s="1"/>
      <c r="D181" s="1"/>
      <c r="E181" s="1"/>
      <c r="F181" s="1"/>
      <c r="H181" s="1"/>
      <c r="P181" s="1630"/>
      <c r="R181" s="1630"/>
      <c r="T181" s="1"/>
      <c r="V181" s="1630"/>
      <c r="X181" s="1630"/>
      <c r="Z181" s="1"/>
      <c r="AB181" s="1630"/>
      <c r="AD181" s="1630"/>
      <c r="AG181" s="1"/>
    </row>
    <row r="182" spans="1:33" s="63" customFormat="1" ht="15" customHeight="1">
      <c r="A182" s="1"/>
      <c r="B182" s="1"/>
      <c r="C182" s="1"/>
      <c r="D182" s="1"/>
      <c r="E182" s="1"/>
      <c r="F182" s="1"/>
      <c r="H182" s="1"/>
      <c r="P182" s="1630"/>
      <c r="R182" s="1630"/>
      <c r="T182" s="1"/>
      <c r="V182" s="1630"/>
      <c r="X182" s="1630"/>
      <c r="Z182" s="1"/>
      <c r="AB182" s="1630"/>
      <c r="AD182" s="1630"/>
      <c r="AG182" s="1"/>
    </row>
    <row r="183" spans="1:33" s="63" customFormat="1" ht="15" customHeight="1">
      <c r="A183" s="1"/>
      <c r="B183" s="1"/>
      <c r="C183" s="1"/>
      <c r="D183" s="1"/>
      <c r="E183" s="1"/>
      <c r="F183" s="1"/>
      <c r="H183" s="1"/>
      <c r="P183" s="1630"/>
      <c r="R183" s="1630"/>
      <c r="T183" s="1"/>
      <c r="V183" s="1630"/>
      <c r="X183" s="1630"/>
      <c r="Z183" s="1"/>
      <c r="AB183" s="1630"/>
      <c r="AD183" s="1630"/>
      <c r="AG183" s="1"/>
    </row>
    <row r="184" spans="1:33" s="63" customFormat="1" ht="15" customHeight="1">
      <c r="A184" s="1"/>
      <c r="B184" s="1"/>
      <c r="C184" s="1"/>
      <c r="D184" s="1"/>
      <c r="E184" s="1"/>
      <c r="F184" s="1"/>
      <c r="H184" s="1"/>
      <c r="P184" s="1630"/>
      <c r="R184" s="1630"/>
      <c r="T184" s="1"/>
      <c r="V184" s="1630"/>
      <c r="X184" s="1630"/>
      <c r="Z184" s="1"/>
      <c r="AB184" s="1630"/>
      <c r="AD184" s="1630"/>
      <c r="AG184" s="1"/>
    </row>
    <row r="185" spans="1:33" s="63" customFormat="1" ht="15" customHeight="1">
      <c r="A185" s="1"/>
      <c r="B185" s="1"/>
      <c r="C185" s="1"/>
      <c r="D185" s="1"/>
      <c r="E185" s="1"/>
      <c r="F185" s="1"/>
      <c r="H185" s="1"/>
      <c r="P185" s="1630"/>
      <c r="R185" s="1630"/>
      <c r="T185" s="1"/>
      <c r="V185" s="1630"/>
      <c r="X185" s="1630"/>
      <c r="Z185" s="1"/>
      <c r="AB185" s="1630"/>
      <c r="AD185" s="1630"/>
      <c r="AG185" s="1"/>
    </row>
    <row r="186" spans="1:33" s="63" customFormat="1" ht="15" customHeight="1">
      <c r="A186" s="1"/>
      <c r="B186" s="1"/>
      <c r="C186" s="1"/>
      <c r="D186" s="1"/>
      <c r="E186" s="1"/>
      <c r="F186" s="1"/>
      <c r="H186" s="1"/>
      <c r="P186" s="1630"/>
      <c r="R186" s="1630"/>
      <c r="T186" s="1"/>
      <c r="V186" s="1630"/>
      <c r="X186" s="1630"/>
      <c r="Z186" s="1"/>
      <c r="AB186" s="1630"/>
      <c r="AD186" s="1630"/>
      <c r="AG186" s="1"/>
    </row>
    <row r="187" spans="1:33" s="63" customFormat="1" ht="15" customHeight="1">
      <c r="A187" s="1"/>
      <c r="B187" s="1"/>
      <c r="C187" s="1"/>
      <c r="D187" s="1"/>
      <c r="E187" s="1"/>
      <c r="F187" s="1"/>
      <c r="H187" s="1"/>
      <c r="P187" s="1630"/>
      <c r="R187" s="1630"/>
      <c r="T187" s="1"/>
      <c r="V187" s="1630"/>
      <c r="X187" s="1630"/>
      <c r="Z187" s="1"/>
      <c r="AB187" s="1630"/>
      <c r="AD187" s="1630"/>
      <c r="AG187" s="1"/>
    </row>
    <row r="188" spans="1:33" s="63" customFormat="1" ht="15" customHeight="1">
      <c r="A188" s="1"/>
      <c r="B188" s="1"/>
      <c r="C188" s="1"/>
      <c r="D188" s="1"/>
      <c r="E188" s="1"/>
      <c r="F188" s="1"/>
      <c r="H188" s="1"/>
      <c r="P188" s="1630"/>
      <c r="R188" s="1630"/>
      <c r="T188" s="1"/>
      <c r="V188" s="1630"/>
      <c r="X188" s="1630"/>
      <c r="Z188" s="1"/>
      <c r="AB188" s="1630"/>
      <c r="AD188" s="1630"/>
      <c r="AG188" s="1"/>
    </row>
    <row r="189" spans="1:33" s="63" customFormat="1" ht="15" customHeight="1">
      <c r="A189" s="1"/>
      <c r="B189" s="1"/>
      <c r="C189" s="1"/>
      <c r="D189" s="1"/>
      <c r="E189" s="1"/>
      <c r="F189" s="1"/>
      <c r="H189" s="1"/>
      <c r="P189" s="1630"/>
      <c r="R189" s="1630"/>
      <c r="T189" s="1"/>
      <c r="V189" s="1630"/>
      <c r="X189" s="1630"/>
      <c r="Z189" s="1"/>
      <c r="AB189" s="1630"/>
      <c r="AD189" s="1630"/>
      <c r="AG189" s="1"/>
    </row>
    <row r="190" spans="1:33" s="63" customFormat="1" ht="15" customHeight="1">
      <c r="A190" s="1"/>
      <c r="B190" s="1"/>
      <c r="C190" s="1"/>
      <c r="D190" s="1"/>
      <c r="E190" s="1"/>
      <c r="F190" s="1"/>
      <c r="H190" s="1"/>
      <c r="P190" s="1630"/>
      <c r="R190" s="1630"/>
      <c r="T190" s="1"/>
      <c r="V190" s="1630"/>
      <c r="X190" s="1630"/>
      <c r="Z190" s="1"/>
      <c r="AB190" s="1630"/>
      <c r="AD190" s="1630"/>
      <c r="AG190" s="1"/>
    </row>
    <row r="191" spans="1:33" s="63" customFormat="1" ht="15" customHeight="1">
      <c r="A191" s="1"/>
      <c r="B191" s="1"/>
      <c r="C191" s="1"/>
      <c r="D191" s="1"/>
      <c r="E191" s="1"/>
      <c r="F191" s="1"/>
      <c r="H191" s="1"/>
      <c r="P191" s="1630"/>
      <c r="R191" s="1630"/>
      <c r="T191" s="1"/>
      <c r="V191" s="1630"/>
      <c r="X191" s="1630"/>
      <c r="Z191" s="1"/>
      <c r="AB191" s="1630"/>
      <c r="AD191" s="1630"/>
      <c r="AG191" s="1"/>
    </row>
    <row r="192" spans="1:33" s="63" customFormat="1" ht="15" customHeight="1">
      <c r="A192" s="1"/>
      <c r="B192" s="1"/>
      <c r="C192" s="1"/>
      <c r="D192" s="1"/>
      <c r="E192" s="1"/>
      <c r="F192" s="1"/>
      <c r="H192" s="1"/>
      <c r="P192" s="1630"/>
      <c r="R192" s="1630"/>
      <c r="T192" s="1"/>
      <c r="V192" s="1630"/>
      <c r="X192" s="1630"/>
      <c r="Z192" s="1"/>
      <c r="AB192" s="1630"/>
      <c r="AD192" s="1630"/>
      <c r="AG192" s="1"/>
    </row>
    <row r="193" spans="1:33" s="63" customFormat="1" ht="15" customHeight="1">
      <c r="A193" s="1"/>
      <c r="B193" s="1"/>
      <c r="C193" s="1"/>
      <c r="D193" s="1"/>
      <c r="E193" s="1"/>
      <c r="F193" s="1"/>
      <c r="H193" s="1"/>
      <c r="P193" s="1630"/>
      <c r="R193" s="1630"/>
      <c r="T193" s="1"/>
      <c r="V193" s="1630"/>
      <c r="X193" s="1630"/>
      <c r="Z193" s="1"/>
      <c r="AB193" s="1630"/>
      <c r="AD193" s="1630"/>
      <c r="AG193" s="1"/>
    </row>
    <row r="194" spans="1:33" s="63" customFormat="1" ht="15" customHeight="1">
      <c r="A194" s="1"/>
      <c r="B194" s="1"/>
      <c r="C194" s="1"/>
      <c r="D194" s="1"/>
      <c r="E194" s="1"/>
      <c r="F194" s="1"/>
      <c r="H194" s="1"/>
      <c r="P194" s="1630"/>
      <c r="R194" s="1630"/>
      <c r="T194" s="1"/>
      <c r="V194" s="1630"/>
      <c r="X194" s="1630"/>
      <c r="Z194" s="1"/>
      <c r="AB194" s="1630"/>
      <c r="AD194" s="1630"/>
      <c r="AG194" s="1"/>
    </row>
    <row r="195" spans="1:33" s="63" customFormat="1" ht="15" customHeight="1">
      <c r="A195" s="1"/>
      <c r="B195" s="1"/>
      <c r="C195" s="1"/>
      <c r="D195" s="1"/>
      <c r="E195" s="1"/>
      <c r="F195" s="1"/>
      <c r="H195" s="1"/>
      <c r="P195" s="1630"/>
      <c r="R195" s="1630"/>
      <c r="T195" s="1"/>
      <c r="V195" s="1630"/>
      <c r="X195" s="1630"/>
      <c r="Z195" s="1"/>
      <c r="AB195" s="1630"/>
      <c r="AD195" s="1630"/>
      <c r="AG195" s="1"/>
    </row>
    <row r="196" spans="1:33" s="63" customFormat="1" ht="15" customHeight="1">
      <c r="A196" s="1"/>
      <c r="B196" s="1"/>
      <c r="C196" s="1"/>
      <c r="D196" s="1"/>
      <c r="E196" s="1"/>
      <c r="F196" s="1"/>
      <c r="H196" s="1"/>
      <c r="P196" s="1630"/>
      <c r="R196" s="1630"/>
      <c r="T196" s="1"/>
      <c r="V196" s="1630"/>
      <c r="X196" s="1630"/>
      <c r="Z196" s="1"/>
      <c r="AB196" s="1630"/>
      <c r="AD196" s="1630"/>
      <c r="AG196" s="1"/>
    </row>
    <row r="197" spans="1:33" s="63" customFormat="1" ht="15" customHeight="1">
      <c r="A197" s="1"/>
      <c r="B197" s="1"/>
      <c r="C197" s="1"/>
      <c r="D197" s="1"/>
      <c r="E197" s="1"/>
      <c r="F197" s="1"/>
      <c r="H197" s="1"/>
      <c r="P197" s="1630"/>
      <c r="R197" s="1630"/>
      <c r="T197" s="1"/>
      <c r="V197" s="1630"/>
      <c r="X197" s="1630"/>
      <c r="Z197" s="1"/>
      <c r="AB197" s="1630"/>
      <c r="AD197" s="1630"/>
      <c r="AG197" s="1"/>
    </row>
    <row r="198" spans="1:33" s="63" customFormat="1" ht="15" customHeight="1">
      <c r="A198" s="1"/>
      <c r="B198" s="1"/>
      <c r="C198" s="1"/>
      <c r="D198" s="1"/>
      <c r="E198" s="1"/>
      <c r="F198" s="1"/>
      <c r="H198" s="1"/>
      <c r="P198" s="1630"/>
      <c r="R198" s="1630"/>
      <c r="T198" s="1"/>
      <c r="V198" s="1630"/>
      <c r="X198" s="1630"/>
      <c r="Z198" s="1"/>
      <c r="AB198" s="1630"/>
      <c r="AD198" s="1630"/>
      <c r="AG198" s="1"/>
    </row>
    <row r="199" spans="1:33" s="63" customFormat="1" ht="15" customHeight="1">
      <c r="A199" s="1"/>
      <c r="B199" s="1"/>
      <c r="C199" s="1"/>
      <c r="D199" s="1"/>
      <c r="E199" s="1"/>
      <c r="F199" s="1"/>
      <c r="H199" s="1"/>
      <c r="P199" s="1630"/>
      <c r="R199" s="1630"/>
      <c r="T199" s="1"/>
      <c r="V199" s="1630"/>
      <c r="X199" s="1630"/>
      <c r="Z199" s="1"/>
      <c r="AB199" s="1630"/>
      <c r="AD199" s="1630"/>
      <c r="AG199" s="1"/>
    </row>
    <row r="200" spans="1:33" s="63" customFormat="1" ht="15" customHeight="1">
      <c r="A200" s="1"/>
      <c r="B200" s="1"/>
      <c r="C200" s="1"/>
      <c r="D200" s="1"/>
      <c r="E200" s="1"/>
      <c r="F200" s="1"/>
      <c r="H200" s="1"/>
      <c r="P200" s="1630"/>
      <c r="R200" s="1630"/>
      <c r="T200" s="1"/>
      <c r="V200" s="1630"/>
      <c r="X200" s="1630"/>
      <c r="Z200" s="1"/>
      <c r="AB200" s="1630"/>
      <c r="AD200" s="1630"/>
      <c r="AG200" s="1"/>
    </row>
    <row r="201" spans="1:33" s="63" customFormat="1" ht="15" customHeight="1">
      <c r="A201" s="1"/>
      <c r="B201" s="1"/>
      <c r="C201" s="1"/>
      <c r="D201" s="1"/>
      <c r="E201" s="1"/>
      <c r="F201" s="1"/>
      <c r="H201" s="1"/>
      <c r="P201" s="1630"/>
      <c r="R201" s="1630"/>
      <c r="T201" s="1"/>
      <c r="V201" s="1630"/>
      <c r="X201" s="1630"/>
      <c r="Z201" s="1"/>
      <c r="AB201" s="1630"/>
      <c r="AD201" s="1630"/>
      <c r="AG201" s="1"/>
    </row>
    <row r="202" spans="1:33" s="63" customFormat="1" ht="15" customHeight="1">
      <c r="A202" s="1"/>
      <c r="B202" s="1"/>
      <c r="C202" s="1"/>
      <c r="D202" s="1"/>
      <c r="E202" s="1"/>
      <c r="F202" s="1"/>
      <c r="H202" s="1"/>
      <c r="P202" s="1630"/>
      <c r="R202" s="1630"/>
      <c r="T202" s="1"/>
      <c r="V202" s="1630"/>
      <c r="X202" s="1630"/>
      <c r="Z202" s="1"/>
      <c r="AB202" s="1630"/>
      <c r="AD202" s="1630"/>
      <c r="AG202" s="1"/>
    </row>
    <row r="203" spans="1:33" s="63" customFormat="1" ht="15" customHeight="1">
      <c r="A203" s="1"/>
      <c r="B203" s="1"/>
      <c r="C203" s="1"/>
      <c r="D203" s="1"/>
      <c r="E203" s="1"/>
      <c r="F203" s="1"/>
      <c r="H203" s="1"/>
      <c r="P203" s="1630"/>
      <c r="R203" s="1630"/>
      <c r="T203" s="1"/>
      <c r="V203" s="1630"/>
      <c r="X203" s="1630"/>
      <c r="Z203" s="1"/>
      <c r="AB203" s="1630"/>
      <c r="AD203" s="1630"/>
      <c r="AG203" s="1"/>
    </row>
    <row r="204" spans="1:33" s="63" customFormat="1" ht="15" customHeight="1">
      <c r="A204" s="1"/>
      <c r="B204" s="1"/>
      <c r="C204" s="1"/>
      <c r="D204" s="1"/>
      <c r="E204" s="1"/>
      <c r="F204" s="1"/>
      <c r="H204" s="1"/>
      <c r="P204" s="1630"/>
      <c r="R204" s="1630"/>
      <c r="T204" s="1"/>
      <c r="V204" s="1630"/>
      <c r="X204" s="1630"/>
      <c r="Z204" s="1"/>
      <c r="AB204" s="1630"/>
      <c r="AD204" s="1630"/>
      <c r="AG204" s="1"/>
    </row>
    <row r="205" spans="1:33" s="63" customFormat="1" ht="15" customHeight="1">
      <c r="A205" s="1"/>
      <c r="B205" s="1"/>
      <c r="C205" s="1"/>
      <c r="D205" s="1"/>
      <c r="E205" s="1"/>
      <c r="F205" s="1"/>
      <c r="H205" s="1"/>
      <c r="P205" s="1630"/>
      <c r="R205" s="1630"/>
      <c r="T205" s="1"/>
      <c r="V205" s="1630"/>
      <c r="X205" s="1630"/>
      <c r="Z205" s="1"/>
      <c r="AB205" s="1630"/>
      <c r="AD205" s="1630"/>
      <c r="AG205" s="1"/>
    </row>
    <row r="206" spans="1:33" s="63" customFormat="1" ht="15" customHeight="1">
      <c r="A206" s="1"/>
      <c r="B206" s="1"/>
      <c r="C206" s="1"/>
      <c r="D206" s="1"/>
      <c r="E206" s="1"/>
      <c r="F206" s="1"/>
      <c r="H206" s="1"/>
      <c r="P206" s="1630"/>
      <c r="R206" s="1630"/>
      <c r="T206" s="1"/>
      <c r="V206" s="1630"/>
      <c r="X206" s="1630"/>
      <c r="Z206" s="1"/>
      <c r="AB206" s="1630"/>
      <c r="AD206" s="1630"/>
      <c r="AG206" s="1"/>
    </row>
    <row r="207" spans="1:33" s="63" customFormat="1" ht="15" customHeight="1">
      <c r="A207" s="1"/>
      <c r="B207" s="1"/>
      <c r="C207" s="1"/>
      <c r="D207" s="1"/>
      <c r="E207" s="1"/>
      <c r="F207" s="1"/>
      <c r="H207" s="1"/>
      <c r="P207" s="1630"/>
      <c r="R207" s="1630"/>
      <c r="T207" s="1"/>
      <c r="V207" s="1630"/>
      <c r="X207" s="1630"/>
      <c r="Z207" s="1"/>
      <c r="AB207" s="1630"/>
      <c r="AD207" s="1630"/>
      <c r="AG207" s="1"/>
    </row>
    <row r="208" spans="1:33" s="63" customFormat="1" ht="15" customHeight="1">
      <c r="A208" s="1"/>
      <c r="B208" s="1"/>
      <c r="C208" s="1"/>
      <c r="D208" s="1"/>
      <c r="E208" s="1"/>
      <c r="F208" s="1"/>
      <c r="H208" s="1"/>
      <c r="P208" s="1630"/>
      <c r="R208" s="1630"/>
      <c r="T208" s="1"/>
      <c r="V208" s="1630"/>
      <c r="X208" s="1630"/>
      <c r="Z208" s="1"/>
      <c r="AB208" s="1630"/>
      <c r="AD208" s="1630"/>
      <c r="AG208" s="1"/>
    </row>
    <row r="209" spans="1:44" s="63" customFormat="1" ht="15" customHeight="1">
      <c r="A209" s="1"/>
      <c r="B209" s="1"/>
      <c r="C209" s="1"/>
      <c r="D209" s="1"/>
      <c r="E209" s="1"/>
      <c r="F209" s="1"/>
      <c r="H209" s="1"/>
      <c r="P209" s="1630"/>
      <c r="R209" s="1630"/>
      <c r="T209" s="1"/>
      <c r="V209" s="1630"/>
      <c r="X209" s="1630"/>
      <c r="Z209" s="1"/>
      <c r="AB209" s="1630"/>
      <c r="AD209" s="1630"/>
      <c r="AG209" s="1"/>
    </row>
    <row r="210" spans="1:44" s="63" customFormat="1" ht="15" customHeight="1">
      <c r="A210" s="1"/>
      <c r="B210" s="1"/>
      <c r="C210" s="1"/>
      <c r="D210" s="1"/>
      <c r="E210" s="1"/>
      <c r="F210" s="1"/>
      <c r="H210" s="1"/>
      <c r="P210" s="1630"/>
      <c r="R210" s="1630"/>
      <c r="T210" s="1"/>
      <c r="V210" s="1630"/>
      <c r="X210" s="1630"/>
      <c r="Z210" s="1"/>
      <c r="AB210" s="1630"/>
      <c r="AD210" s="1630"/>
      <c r="AG210" s="1"/>
    </row>
    <row r="211" spans="1:44" s="63" customFormat="1" ht="15" customHeight="1">
      <c r="A211" s="1"/>
      <c r="B211" s="1"/>
      <c r="C211" s="1"/>
      <c r="D211" s="1"/>
      <c r="E211" s="1"/>
      <c r="F211" s="1"/>
      <c r="H211" s="1"/>
      <c r="P211" s="1630"/>
      <c r="R211" s="1630"/>
      <c r="T211" s="1"/>
      <c r="V211" s="1630"/>
      <c r="X211" s="1630"/>
      <c r="Z211" s="1"/>
      <c r="AB211" s="1630"/>
      <c r="AD211" s="1630"/>
      <c r="AG211" s="1"/>
    </row>
    <row r="212" spans="1:44" s="63" customFormat="1" ht="15" customHeight="1">
      <c r="A212" s="1"/>
      <c r="B212" s="1"/>
      <c r="C212" s="1"/>
      <c r="D212" s="1"/>
      <c r="E212" s="1"/>
      <c r="F212" s="1"/>
      <c r="H212" s="1"/>
      <c r="P212" s="1630"/>
      <c r="R212" s="1630"/>
      <c r="T212" s="1"/>
      <c r="V212" s="1630"/>
      <c r="X212" s="1630"/>
      <c r="Z212" s="1"/>
      <c r="AB212" s="1630"/>
      <c r="AD212" s="1630"/>
      <c r="AG212" s="1"/>
    </row>
    <row r="213" spans="1:44" s="63" customFormat="1" ht="15" customHeight="1">
      <c r="A213" s="1"/>
      <c r="B213" s="1"/>
      <c r="C213" s="1"/>
      <c r="D213" s="1"/>
      <c r="E213" s="1"/>
      <c r="F213" s="1"/>
      <c r="H213" s="1"/>
      <c r="P213" s="1630"/>
      <c r="R213" s="1630"/>
      <c r="T213" s="1"/>
      <c r="V213" s="1630"/>
      <c r="X213" s="1630"/>
      <c r="Z213" s="1"/>
      <c r="AB213" s="1630"/>
      <c r="AD213" s="1630"/>
      <c r="AG213" s="1"/>
    </row>
    <row r="214" spans="1:44" s="63" customFormat="1" ht="15" customHeight="1">
      <c r="A214" s="1"/>
      <c r="B214" s="1"/>
      <c r="C214" s="1"/>
      <c r="D214" s="1"/>
      <c r="E214" s="1"/>
      <c r="F214" s="1"/>
      <c r="H214" s="1"/>
      <c r="P214" s="1630"/>
      <c r="R214" s="1630"/>
      <c r="T214" s="1"/>
      <c r="V214" s="1630"/>
      <c r="X214" s="1630"/>
      <c r="Z214" s="1"/>
      <c r="AB214" s="1630"/>
      <c r="AD214" s="1630"/>
      <c r="AG214" s="1"/>
    </row>
    <row r="215" spans="1:44" s="63" customFormat="1" ht="15" customHeight="1">
      <c r="A215" s="1"/>
      <c r="B215" s="1"/>
      <c r="C215" s="1"/>
      <c r="D215" s="1"/>
      <c r="E215" s="1"/>
      <c r="F215" s="1"/>
      <c r="H215" s="1"/>
      <c r="P215" s="1630"/>
      <c r="R215" s="1630"/>
      <c r="T215" s="1"/>
      <c r="V215" s="1630"/>
      <c r="X215" s="1630"/>
      <c r="Z215" s="1"/>
      <c r="AB215" s="1630"/>
      <c r="AD215" s="1630"/>
      <c r="AG215" s="1"/>
    </row>
    <row r="216" spans="1:44" s="63" customFormat="1" ht="15" customHeight="1">
      <c r="A216" s="1"/>
      <c r="B216" s="1"/>
      <c r="C216" s="1"/>
      <c r="D216" s="1"/>
      <c r="E216" s="1"/>
      <c r="F216" s="1"/>
      <c r="H216" s="1"/>
      <c r="P216" s="1630"/>
      <c r="R216" s="1630"/>
      <c r="T216" s="1"/>
      <c r="V216" s="1630"/>
      <c r="X216" s="1630"/>
      <c r="Z216" s="1"/>
      <c r="AB216" s="1630"/>
      <c r="AD216" s="1630"/>
      <c r="AG216" s="1"/>
    </row>
    <row r="217" spans="1:44" s="63" customFormat="1" ht="15" customHeight="1">
      <c r="A217" s="1"/>
      <c r="B217" s="1"/>
      <c r="C217" s="1"/>
      <c r="D217" s="1"/>
      <c r="E217" s="1"/>
      <c r="F217" s="1"/>
      <c r="H217" s="1"/>
      <c r="P217" s="1630"/>
      <c r="R217" s="1630"/>
      <c r="T217" s="1"/>
      <c r="V217" s="1630"/>
      <c r="X217" s="1630"/>
      <c r="Z217" s="1"/>
      <c r="AB217" s="1630"/>
      <c r="AD217" s="1630"/>
      <c r="AG217" s="1"/>
    </row>
    <row r="218" spans="1:44" s="63" customFormat="1" ht="15" customHeight="1">
      <c r="A218" s="1"/>
      <c r="B218" s="1"/>
      <c r="C218" s="1"/>
      <c r="D218" s="1"/>
      <c r="E218" s="1"/>
      <c r="F218" s="1"/>
      <c r="H218" s="1"/>
      <c r="P218" s="1630"/>
      <c r="R218" s="1630"/>
      <c r="T218" s="1"/>
      <c r="V218" s="1630"/>
      <c r="X218" s="1630"/>
      <c r="Z218" s="1"/>
      <c r="AB218" s="1630"/>
      <c r="AD218" s="1630"/>
      <c r="AG218" s="1"/>
    </row>
    <row r="219" spans="1:44" s="63" customFormat="1" ht="15" customHeight="1">
      <c r="A219" s="1"/>
      <c r="B219" s="1"/>
      <c r="C219" s="1"/>
      <c r="D219" s="1"/>
      <c r="E219" s="1"/>
      <c r="F219" s="1"/>
      <c r="H219" s="1"/>
      <c r="P219" s="1630"/>
      <c r="R219" s="1630"/>
      <c r="T219" s="1"/>
      <c r="V219" s="1630"/>
      <c r="X219" s="1630"/>
      <c r="Z219" s="1"/>
      <c r="AB219" s="1630"/>
      <c r="AD219" s="1630"/>
      <c r="AG219" s="1"/>
    </row>
    <row r="220" spans="1:44" s="63" customFormat="1" ht="15" customHeight="1">
      <c r="A220" s="1"/>
      <c r="B220" s="1"/>
      <c r="C220" s="1"/>
      <c r="D220" s="1"/>
      <c r="E220" s="1"/>
      <c r="F220" s="1"/>
      <c r="H220" s="1"/>
      <c r="P220" s="1630"/>
      <c r="R220" s="1630"/>
      <c r="T220" s="1"/>
      <c r="V220" s="1630"/>
      <c r="X220" s="1630"/>
      <c r="Z220" s="1"/>
      <c r="AB220" s="1630"/>
      <c r="AD220" s="1630"/>
      <c r="AG220" s="1"/>
    </row>
    <row r="221" spans="1:44" s="63" customFormat="1" ht="15" customHeight="1">
      <c r="A221" s="1"/>
      <c r="B221" s="1"/>
      <c r="C221" s="1"/>
      <c r="D221" s="1"/>
      <c r="E221" s="1"/>
      <c r="F221" s="1"/>
      <c r="H221" s="1"/>
      <c r="P221" s="1630"/>
      <c r="R221" s="1630"/>
      <c r="T221" s="1"/>
      <c r="V221" s="1630"/>
      <c r="X221" s="1630"/>
      <c r="Z221" s="1"/>
      <c r="AB221" s="1630"/>
      <c r="AD221" s="1630"/>
      <c r="AG221" s="1"/>
    </row>
    <row r="222" spans="1:44" s="63" customFormat="1" ht="15" customHeight="1">
      <c r="A222" s="1"/>
      <c r="B222" s="1"/>
      <c r="C222" s="1"/>
      <c r="D222" s="1"/>
      <c r="E222" s="1"/>
      <c r="F222" s="1"/>
      <c r="H222" s="1"/>
      <c r="P222" s="1630"/>
      <c r="R222" s="1630"/>
      <c r="T222" s="1"/>
      <c r="V222" s="1630"/>
      <c r="X222" s="1630"/>
      <c r="Z222" s="1"/>
      <c r="AB222" s="1630"/>
      <c r="AD222" s="1630"/>
      <c r="AG222" s="1"/>
    </row>
    <row r="223" spans="1:44" s="63" customFormat="1" ht="15" customHeight="1">
      <c r="A223" s="1"/>
      <c r="B223" s="1"/>
      <c r="C223" s="1"/>
      <c r="D223" s="1"/>
      <c r="E223" s="1"/>
      <c r="F223" s="1"/>
      <c r="H223" s="1"/>
      <c r="P223" s="1630"/>
      <c r="R223" s="1630"/>
      <c r="T223" s="1"/>
      <c r="V223" s="1630"/>
      <c r="X223" s="1630"/>
      <c r="Z223" s="1"/>
      <c r="AB223" s="1630"/>
      <c r="AD223" s="1630"/>
      <c r="AG223" s="1"/>
    </row>
    <row r="224" spans="1:44" s="63" customFormat="1" ht="15" customHeight="1">
      <c r="A224" s="1"/>
      <c r="B224" s="1"/>
      <c r="C224" s="1"/>
      <c r="D224" s="1"/>
      <c r="E224" s="1"/>
      <c r="F224" s="1"/>
      <c r="H224" s="1"/>
      <c r="P224" s="1630"/>
      <c r="R224" s="1630"/>
      <c r="T224" s="1"/>
      <c r="V224" s="1630"/>
      <c r="X224" s="1630"/>
      <c r="Z224" s="1"/>
      <c r="AB224" s="1630"/>
      <c r="AD224" s="1630"/>
      <c r="AG224" s="1"/>
      <c r="AO224" s="1"/>
      <c r="AP224" s="1"/>
      <c r="AQ224" s="1"/>
      <c r="AR224" s="1"/>
    </row>
    <row r="225" spans="1:44" s="63" customFormat="1" ht="15" customHeight="1">
      <c r="A225" s="1"/>
      <c r="B225" s="1"/>
      <c r="C225" s="1"/>
      <c r="D225" s="1"/>
      <c r="E225" s="1"/>
      <c r="F225" s="1"/>
      <c r="H225" s="1"/>
      <c r="P225" s="1630"/>
      <c r="R225" s="1630"/>
      <c r="T225" s="1"/>
      <c r="V225" s="1630"/>
      <c r="X225" s="1630"/>
      <c r="Z225" s="1"/>
      <c r="AB225" s="1630"/>
      <c r="AD225" s="1630"/>
      <c r="AG225" s="1"/>
      <c r="AO225" s="1"/>
      <c r="AP225" s="1"/>
      <c r="AQ225" s="1"/>
      <c r="AR225" s="1"/>
    </row>
    <row r="226" spans="1:44" s="63" customFormat="1" ht="15" customHeight="1">
      <c r="A226" s="1"/>
      <c r="B226" s="1"/>
      <c r="C226" s="1"/>
      <c r="D226" s="1"/>
      <c r="E226" s="1"/>
      <c r="F226" s="1"/>
      <c r="H226" s="1"/>
      <c r="P226" s="1630"/>
      <c r="R226" s="1630"/>
      <c r="T226" s="1"/>
      <c r="V226" s="1630"/>
      <c r="X226" s="1630"/>
      <c r="Z226" s="1"/>
      <c r="AB226" s="1630"/>
      <c r="AD226" s="1630"/>
      <c r="AG226" s="1"/>
      <c r="AO226" s="1"/>
      <c r="AP226" s="1"/>
      <c r="AQ226" s="1"/>
      <c r="AR226" s="1"/>
    </row>
    <row r="227" spans="1:44" s="63" customFormat="1" ht="15" customHeight="1">
      <c r="A227" s="1"/>
      <c r="B227" s="1"/>
      <c r="C227" s="1"/>
      <c r="D227" s="1"/>
      <c r="E227" s="1"/>
      <c r="F227" s="1"/>
      <c r="H227" s="1"/>
      <c r="P227" s="1630"/>
      <c r="R227" s="1630"/>
      <c r="T227" s="1"/>
      <c r="V227" s="1630"/>
      <c r="X227" s="1630"/>
      <c r="Z227" s="1"/>
      <c r="AB227" s="1630"/>
      <c r="AD227" s="1630"/>
      <c r="AG227" s="1"/>
      <c r="AO227" s="1"/>
      <c r="AP227" s="1"/>
      <c r="AQ227" s="1"/>
      <c r="AR227" s="1"/>
    </row>
    <row r="228" spans="1:44" s="63" customFormat="1" ht="15" customHeight="1">
      <c r="A228" s="1"/>
      <c r="B228" s="1"/>
      <c r="C228" s="1"/>
      <c r="D228" s="1"/>
      <c r="E228" s="1"/>
      <c r="F228" s="1"/>
      <c r="H228" s="1"/>
      <c r="P228" s="1630"/>
      <c r="R228" s="1630"/>
      <c r="T228" s="1"/>
      <c r="V228" s="1630"/>
      <c r="X228" s="1630"/>
      <c r="Z228" s="1"/>
      <c r="AB228" s="1630"/>
      <c r="AD228" s="1630"/>
      <c r="AG228" s="1"/>
      <c r="AO228" s="1"/>
      <c r="AP228" s="1"/>
      <c r="AQ228" s="1"/>
      <c r="AR228" s="1"/>
    </row>
    <row r="229" spans="1:44" s="63" customFormat="1" ht="15" customHeight="1">
      <c r="A229" s="1"/>
      <c r="B229" s="1"/>
      <c r="C229" s="1"/>
      <c r="D229" s="1"/>
      <c r="E229" s="1"/>
      <c r="F229" s="1"/>
      <c r="H229" s="1"/>
      <c r="P229" s="1630"/>
      <c r="R229" s="1630"/>
      <c r="T229" s="1"/>
      <c r="V229" s="1630"/>
      <c r="X229" s="1630"/>
      <c r="Z229" s="1"/>
      <c r="AB229" s="1630"/>
      <c r="AD229" s="1630"/>
      <c r="AG229" s="1"/>
      <c r="AO229" s="1"/>
      <c r="AP229" s="1"/>
      <c r="AQ229" s="1"/>
      <c r="AR229" s="1"/>
    </row>
    <row r="230" spans="1:44" s="63" customFormat="1" ht="15" customHeight="1">
      <c r="A230" s="1"/>
      <c r="B230" s="1"/>
      <c r="C230" s="1"/>
      <c r="D230" s="1"/>
      <c r="E230" s="1"/>
      <c r="F230" s="1"/>
      <c r="H230" s="1"/>
      <c r="P230" s="1630"/>
      <c r="R230" s="1630"/>
      <c r="T230" s="1"/>
      <c r="V230" s="1630"/>
      <c r="X230" s="1630"/>
      <c r="Z230" s="1"/>
      <c r="AB230" s="1630"/>
      <c r="AD230" s="1630"/>
      <c r="AG230" s="1"/>
      <c r="AO230" s="1"/>
      <c r="AP230" s="1"/>
      <c r="AQ230" s="1"/>
      <c r="AR230" s="1"/>
    </row>
    <row r="231" spans="1:44" s="63" customFormat="1" ht="15" customHeight="1">
      <c r="A231" s="1"/>
      <c r="B231" s="1"/>
      <c r="C231" s="1"/>
      <c r="D231" s="1"/>
      <c r="E231" s="1"/>
      <c r="F231" s="1"/>
      <c r="H231" s="1"/>
      <c r="P231" s="1630"/>
      <c r="R231" s="1630"/>
      <c r="T231" s="1"/>
      <c r="V231" s="1630"/>
      <c r="X231" s="1630"/>
      <c r="Z231" s="1"/>
      <c r="AB231" s="1630"/>
      <c r="AD231" s="1630"/>
      <c r="AG231" s="1"/>
      <c r="AO231" s="1"/>
      <c r="AP231" s="1"/>
      <c r="AQ231" s="1"/>
      <c r="AR231" s="1"/>
    </row>
    <row r="232" spans="1:44" s="63" customFormat="1" ht="15" customHeight="1">
      <c r="A232" s="1"/>
      <c r="B232" s="1"/>
      <c r="C232" s="1"/>
      <c r="D232" s="1"/>
      <c r="E232" s="1"/>
      <c r="F232" s="1"/>
      <c r="H232" s="1"/>
      <c r="P232" s="1630"/>
      <c r="R232" s="1630"/>
      <c r="T232" s="1"/>
      <c r="V232" s="1630"/>
      <c r="X232" s="1630"/>
      <c r="Z232" s="1"/>
      <c r="AB232" s="1630"/>
      <c r="AD232" s="1630"/>
      <c r="AG232" s="1"/>
      <c r="AO232" s="1"/>
      <c r="AP232" s="1"/>
      <c r="AQ232" s="1"/>
      <c r="AR232" s="1"/>
    </row>
    <row r="233" spans="1:44" s="63" customFormat="1" ht="15" customHeight="1">
      <c r="A233" s="1"/>
      <c r="B233" s="1"/>
      <c r="C233" s="1"/>
      <c r="D233" s="1"/>
      <c r="E233" s="1"/>
      <c r="F233" s="1"/>
      <c r="H233" s="1"/>
      <c r="P233" s="1630"/>
      <c r="R233" s="1630"/>
      <c r="T233" s="1"/>
      <c r="V233" s="1630"/>
      <c r="X233" s="1630"/>
      <c r="Z233" s="1"/>
      <c r="AB233" s="1630"/>
      <c r="AD233" s="1630"/>
      <c r="AG233" s="1"/>
      <c r="AO233" s="1"/>
      <c r="AP233" s="1"/>
      <c r="AQ233" s="1"/>
      <c r="AR233" s="1"/>
    </row>
    <row r="234" spans="1:44" s="63" customFormat="1" ht="15" customHeight="1">
      <c r="A234" s="1"/>
      <c r="B234" s="1"/>
      <c r="C234" s="1"/>
      <c r="D234" s="1"/>
      <c r="E234" s="1"/>
      <c r="F234" s="1"/>
      <c r="H234" s="1"/>
      <c r="P234" s="1630"/>
      <c r="R234" s="1630"/>
      <c r="T234" s="1"/>
      <c r="V234" s="1630"/>
      <c r="X234" s="1630"/>
      <c r="Z234" s="1"/>
      <c r="AB234" s="1630"/>
      <c r="AD234" s="1630"/>
      <c r="AG234" s="1"/>
      <c r="AO234" s="1"/>
      <c r="AP234" s="1"/>
      <c r="AQ234" s="1"/>
      <c r="AR234" s="1"/>
    </row>
    <row r="235" spans="1:44" s="63" customFormat="1" ht="15" customHeight="1">
      <c r="A235" s="1"/>
      <c r="B235" s="1"/>
      <c r="C235" s="1"/>
      <c r="D235" s="1"/>
      <c r="E235" s="1"/>
      <c r="F235" s="1"/>
      <c r="H235" s="1"/>
      <c r="P235" s="1630"/>
      <c r="R235" s="1630"/>
      <c r="T235" s="1"/>
      <c r="V235" s="1630"/>
      <c r="X235" s="1630"/>
      <c r="Z235" s="1"/>
      <c r="AB235" s="1630"/>
      <c r="AD235" s="1630"/>
      <c r="AG235" s="1"/>
      <c r="AO235" s="1"/>
      <c r="AP235" s="1"/>
      <c r="AQ235" s="1"/>
      <c r="AR235" s="1"/>
    </row>
    <row r="236" spans="1:44" s="63" customFormat="1" ht="15" customHeight="1">
      <c r="A236" s="1"/>
      <c r="B236" s="1"/>
      <c r="C236" s="1"/>
      <c r="D236" s="1"/>
      <c r="E236" s="1"/>
      <c r="F236" s="1"/>
      <c r="H236" s="1"/>
      <c r="P236" s="1"/>
      <c r="R236" s="1"/>
      <c r="T236" s="1"/>
      <c r="V236" s="1"/>
      <c r="X236" s="1"/>
      <c r="Z236" s="1"/>
      <c r="AB236" s="1"/>
      <c r="AD236" s="1"/>
      <c r="AF236" s="1"/>
      <c r="AG236" s="1"/>
      <c r="AO236" s="1"/>
      <c r="AP236" s="1"/>
      <c r="AQ236" s="1"/>
      <c r="AR236" s="1"/>
    </row>
    <row r="237" spans="1:44" s="63" customFormat="1" ht="15" customHeight="1">
      <c r="A237" s="1"/>
      <c r="B237" s="1"/>
      <c r="C237" s="1"/>
      <c r="D237" s="1"/>
      <c r="E237" s="1"/>
      <c r="F237" s="1"/>
      <c r="H237" s="1"/>
      <c r="P237" s="1"/>
      <c r="R237" s="1"/>
      <c r="T237" s="1"/>
      <c r="V237" s="1"/>
      <c r="X237" s="1"/>
      <c r="Z237" s="1"/>
      <c r="AB237" s="1"/>
      <c r="AD237" s="1"/>
      <c r="AF237" s="1"/>
      <c r="AG237" s="1"/>
      <c r="AO237" s="1"/>
      <c r="AP237" s="1"/>
      <c r="AQ237" s="1"/>
      <c r="AR237" s="1"/>
    </row>
    <row r="238" spans="1:44" s="63" customFormat="1" ht="15" customHeight="1">
      <c r="A238" s="1"/>
      <c r="B238" s="1"/>
      <c r="C238" s="1"/>
      <c r="D238" s="1"/>
      <c r="E238" s="1"/>
      <c r="F238" s="1"/>
      <c r="H238" s="1"/>
      <c r="P238" s="1"/>
      <c r="R238" s="1"/>
      <c r="T238" s="1"/>
      <c r="V238" s="1"/>
      <c r="X238" s="1"/>
      <c r="Z238" s="1"/>
      <c r="AB238" s="1"/>
      <c r="AD238" s="1"/>
      <c r="AF238" s="1"/>
      <c r="AG238" s="1"/>
      <c r="AO238" s="1"/>
      <c r="AP238" s="1"/>
      <c r="AQ238" s="1"/>
      <c r="AR238" s="1"/>
    </row>
    <row r="239" spans="1:44" s="63" customFormat="1" ht="15" customHeight="1">
      <c r="A239" s="1"/>
      <c r="B239" s="1"/>
      <c r="C239" s="1"/>
      <c r="D239" s="1"/>
      <c r="E239" s="1"/>
      <c r="F239" s="1"/>
      <c r="H239" s="1"/>
      <c r="P239" s="1"/>
      <c r="R239" s="1"/>
      <c r="T239" s="1"/>
      <c r="V239" s="1"/>
      <c r="X239" s="1"/>
      <c r="Z239" s="1"/>
      <c r="AB239" s="1"/>
      <c r="AD239" s="1"/>
      <c r="AF239" s="1"/>
      <c r="AG239" s="1"/>
      <c r="AO239" s="1"/>
      <c r="AP239" s="1"/>
      <c r="AQ239" s="1"/>
      <c r="AR239" s="1"/>
    </row>
    <row r="240" spans="1:44" s="63" customFormat="1" ht="15" customHeight="1">
      <c r="A240" s="1"/>
      <c r="B240" s="1"/>
      <c r="C240" s="1"/>
      <c r="D240" s="1"/>
      <c r="E240" s="1"/>
      <c r="F240" s="1"/>
      <c r="H240" s="1"/>
      <c r="P240" s="1"/>
      <c r="R240" s="1"/>
      <c r="T240" s="1"/>
      <c r="V240" s="1"/>
      <c r="X240" s="1"/>
      <c r="Z240" s="1"/>
      <c r="AB240" s="1"/>
      <c r="AD240" s="1"/>
      <c r="AF240" s="1"/>
      <c r="AG240" s="1"/>
      <c r="AO240" s="1"/>
      <c r="AP240" s="1"/>
      <c r="AQ240" s="1"/>
      <c r="AR240" s="1"/>
    </row>
    <row r="241" spans="1:44" s="63" customFormat="1" ht="15" customHeight="1">
      <c r="A241" s="1"/>
      <c r="B241" s="1"/>
      <c r="C241" s="1"/>
      <c r="D241" s="1"/>
      <c r="E241" s="1"/>
      <c r="F241" s="1"/>
      <c r="H241" s="1"/>
      <c r="P241" s="1"/>
      <c r="R241" s="1"/>
      <c r="T241" s="1"/>
      <c r="V241" s="1"/>
      <c r="X241" s="1"/>
      <c r="Z241" s="1"/>
      <c r="AB241" s="1"/>
      <c r="AD241" s="1"/>
      <c r="AF241" s="1"/>
      <c r="AG241" s="1"/>
      <c r="AO241" s="1"/>
      <c r="AP241" s="1"/>
      <c r="AQ241" s="1"/>
      <c r="AR241" s="1"/>
    </row>
    <row r="242" spans="1:44" s="63" customFormat="1" ht="15" customHeight="1">
      <c r="A242" s="1"/>
      <c r="B242" s="1"/>
      <c r="C242" s="1"/>
      <c r="D242" s="1"/>
      <c r="E242" s="1"/>
      <c r="F242" s="1"/>
      <c r="H242" s="1"/>
      <c r="P242" s="1"/>
      <c r="R242" s="1"/>
      <c r="T242" s="1"/>
      <c r="V242" s="1"/>
      <c r="X242" s="1"/>
      <c r="Z242" s="1"/>
      <c r="AB242" s="1"/>
      <c r="AD242" s="1"/>
      <c r="AF242" s="1"/>
      <c r="AG242" s="1"/>
      <c r="AO242" s="1"/>
      <c r="AP242" s="1"/>
      <c r="AQ242" s="1"/>
      <c r="AR242" s="1"/>
    </row>
    <row r="243" spans="1:44" s="63" customFormat="1" ht="15" customHeight="1">
      <c r="A243" s="1"/>
      <c r="B243" s="1"/>
      <c r="C243" s="1"/>
      <c r="D243" s="1"/>
      <c r="E243" s="1"/>
      <c r="F243" s="1"/>
      <c r="H243" s="1"/>
      <c r="P243" s="1"/>
      <c r="R243" s="1"/>
      <c r="T243" s="1"/>
      <c r="V243" s="1"/>
      <c r="X243" s="1"/>
      <c r="Z243" s="1"/>
      <c r="AB243" s="1"/>
      <c r="AD243" s="1"/>
      <c r="AF243" s="1"/>
      <c r="AG243" s="1"/>
      <c r="AO243" s="1"/>
      <c r="AP243" s="1"/>
      <c r="AQ243" s="1"/>
      <c r="AR243" s="1"/>
    </row>
    <row r="244" spans="1:44" s="63" customFormat="1" ht="15" customHeight="1">
      <c r="A244" s="1"/>
      <c r="B244" s="1"/>
      <c r="C244" s="1"/>
      <c r="D244" s="1"/>
      <c r="E244" s="1"/>
      <c r="F244" s="1"/>
      <c r="H244" s="1"/>
      <c r="P244" s="1"/>
      <c r="R244" s="1"/>
      <c r="T244" s="1"/>
      <c r="V244" s="1"/>
      <c r="X244" s="1"/>
      <c r="Z244" s="1"/>
      <c r="AB244" s="1"/>
      <c r="AD244" s="1"/>
      <c r="AF244" s="1"/>
      <c r="AG244" s="1"/>
      <c r="AO244" s="1"/>
      <c r="AP244" s="1"/>
      <c r="AQ244" s="1"/>
      <c r="AR244" s="1"/>
    </row>
    <row r="245" spans="1:44" s="63" customFormat="1" ht="15" customHeight="1">
      <c r="A245" s="1"/>
      <c r="B245" s="1"/>
      <c r="C245" s="1"/>
      <c r="D245" s="1"/>
      <c r="E245" s="1"/>
      <c r="F245" s="1"/>
      <c r="H245" s="1"/>
      <c r="P245" s="1"/>
      <c r="R245" s="1"/>
      <c r="T245" s="1"/>
      <c r="V245" s="1"/>
      <c r="X245" s="1"/>
      <c r="Z245" s="1"/>
      <c r="AB245" s="1"/>
      <c r="AD245" s="1"/>
      <c r="AF245" s="1"/>
      <c r="AG245" s="1"/>
      <c r="AO245" s="1"/>
      <c r="AP245" s="1"/>
      <c r="AQ245" s="1"/>
      <c r="AR245" s="1"/>
    </row>
    <row r="246" spans="1:44" s="63" customFormat="1" ht="15" customHeight="1">
      <c r="A246" s="1"/>
      <c r="B246" s="1"/>
      <c r="C246" s="1"/>
      <c r="D246" s="1"/>
      <c r="E246" s="1"/>
      <c r="F246" s="1"/>
      <c r="H246" s="1"/>
      <c r="P246" s="1"/>
      <c r="R246" s="1"/>
      <c r="T246" s="1"/>
      <c r="V246" s="1"/>
      <c r="X246" s="1"/>
      <c r="Z246" s="1"/>
      <c r="AB246" s="1"/>
      <c r="AD246" s="1"/>
      <c r="AF246" s="1"/>
      <c r="AG246" s="1"/>
      <c r="AO246" s="1"/>
      <c r="AP246" s="1"/>
      <c r="AQ246" s="1"/>
      <c r="AR246" s="1"/>
    </row>
    <row r="247" spans="1:44" s="63" customFormat="1" ht="15" customHeight="1">
      <c r="A247" s="1"/>
      <c r="B247" s="1"/>
      <c r="C247" s="1"/>
      <c r="D247" s="1"/>
      <c r="E247" s="1"/>
      <c r="F247" s="1"/>
      <c r="H247" s="1"/>
      <c r="J247" s="1"/>
      <c r="L247" s="1"/>
      <c r="N247" s="1"/>
      <c r="P247" s="1"/>
      <c r="R247" s="1"/>
      <c r="T247" s="1"/>
      <c r="V247" s="1"/>
      <c r="X247" s="1"/>
      <c r="Z247" s="1"/>
      <c r="AB247" s="1"/>
      <c r="AD247" s="1"/>
      <c r="AF247" s="1"/>
      <c r="AG247" s="1"/>
      <c r="AO247" s="1"/>
      <c r="AP247" s="1"/>
      <c r="AQ247" s="1"/>
      <c r="AR247" s="1"/>
    </row>
    <row r="248" spans="1:44" s="63" customFormat="1" ht="15" customHeight="1">
      <c r="A248" s="1"/>
      <c r="B248" s="1"/>
      <c r="C248" s="1"/>
      <c r="D248" s="1"/>
      <c r="E248" s="1"/>
      <c r="F248" s="1"/>
      <c r="H248" s="1"/>
      <c r="J248" s="1"/>
      <c r="L248" s="1"/>
      <c r="N248" s="1"/>
      <c r="P248" s="1"/>
      <c r="R248" s="1"/>
      <c r="T248" s="1"/>
      <c r="V248" s="1"/>
      <c r="X248" s="1"/>
      <c r="Z248" s="1"/>
      <c r="AB248" s="1"/>
      <c r="AD248" s="1"/>
      <c r="AF248" s="1"/>
      <c r="AG248" s="1"/>
      <c r="AO248" s="1"/>
      <c r="AP248" s="1"/>
      <c r="AQ248" s="1"/>
      <c r="AR248" s="1"/>
    </row>
    <row r="249" spans="1:44" s="63" customFormat="1" ht="15" customHeight="1">
      <c r="A249" s="1"/>
      <c r="B249" s="1"/>
      <c r="C249" s="1"/>
      <c r="D249" s="1"/>
      <c r="E249" s="1"/>
      <c r="F249" s="1"/>
      <c r="H249" s="1"/>
      <c r="J249" s="1"/>
      <c r="L249" s="1"/>
      <c r="N249" s="1"/>
      <c r="P249" s="1"/>
      <c r="R249" s="1"/>
      <c r="T249" s="1"/>
      <c r="V249" s="1"/>
      <c r="X249" s="1"/>
      <c r="Z249" s="1"/>
      <c r="AB249" s="1"/>
      <c r="AD249" s="1"/>
      <c r="AF249" s="1"/>
      <c r="AG249" s="1"/>
      <c r="AO249" s="1"/>
      <c r="AP249" s="1"/>
      <c r="AQ249" s="1"/>
      <c r="AR249" s="1"/>
    </row>
    <row r="250" spans="1:44" s="63" customFormat="1" ht="15" customHeight="1">
      <c r="A250" s="1"/>
      <c r="B250" s="1"/>
      <c r="C250" s="1"/>
      <c r="D250" s="1"/>
      <c r="E250" s="1"/>
      <c r="F250" s="1"/>
      <c r="H250" s="1"/>
      <c r="J250" s="1"/>
      <c r="L250" s="1"/>
      <c r="N250" s="1"/>
      <c r="P250" s="1"/>
      <c r="R250" s="1"/>
      <c r="T250" s="1"/>
      <c r="V250" s="1"/>
      <c r="X250" s="1"/>
      <c r="Z250" s="1"/>
      <c r="AB250" s="1"/>
      <c r="AD250" s="1"/>
      <c r="AF250" s="1"/>
      <c r="AG250" s="1"/>
      <c r="AO250" s="1"/>
      <c r="AP250" s="1"/>
      <c r="AQ250" s="1"/>
      <c r="AR250" s="1"/>
    </row>
    <row r="251" spans="1:44" s="63" customFormat="1" ht="15" customHeight="1">
      <c r="A251" s="1"/>
      <c r="B251" s="1"/>
      <c r="C251" s="1"/>
      <c r="D251" s="1"/>
      <c r="E251" s="1"/>
      <c r="F251" s="1"/>
      <c r="H251" s="1"/>
      <c r="J251" s="1"/>
      <c r="L251" s="1"/>
      <c r="N251" s="1"/>
      <c r="P251" s="1"/>
      <c r="R251" s="1"/>
      <c r="T251" s="1"/>
      <c r="V251" s="1"/>
      <c r="X251" s="1"/>
      <c r="Z251" s="1"/>
      <c r="AB251" s="1"/>
      <c r="AD251" s="1"/>
      <c r="AF251" s="1"/>
      <c r="AG251" s="1"/>
      <c r="AH251" s="1"/>
      <c r="AI251" s="1"/>
      <c r="AJ251" s="1"/>
      <c r="AK251" s="1"/>
      <c r="AL251" s="1"/>
      <c r="AO251" s="1"/>
      <c r="AP251" s="1"/>
      <c r="AQ251" s="1"/>
      <c r="AR251" s="1"/>
    </row>
    <row r="252" spans="1:44" s="63" customFormat="1" ht="15" customHeight="1">
      <c r="A252" s="1"/>
      <c r="B252" s="1"/>
      <c r="C252" s="1"/>
      <c r="D252" s="1"/>
      <c r="E252" s="1"/>
      <c r="F252" s="1"/>
      <c r="H252" s="1"/>
      <c r="J252" s="1"/>
      <c r="L252" s="1"/>
      <c r="N252" s="1"/>
      <c r="P252" s="1"/>
      <c r="R252" s="1"/>
      <c r="T252" s="1"/>
      <c r="V252" s="1"/>
      <c r="X252" s="1"/>
      <c r="Z252" s="1"/>
      <c r="AB252" s="1"/>
      <c r="AD252" s="1"/>
      <c r="AF252" s="1"/>
      <c r="AG252" s="1"/>
      <c r="AH252" s="1"/>
      <c r="AI252" s="1"/>
      <c r="AJ252" s="1"/>
      <c r="AK252" s="1"/>
      <c r="AL252" s="1"/>
      <c r="AO252" s="1"/>
      <c r="AP252" s="1"/>
      <c r="AQ252" s="1"/>
      <c r="AR252" s="1"/>
    </row>
  </sheetData>
  <pageMargins left="0.25" right="0.25" top="0.27" bottom="0.4" header="0.18" footer="0.25"/>
  <pageSetup scale="70" fitToHeight="0" orientation="portrait" errors="blank" r:id="rId1"/>
  <headerFooter alignWithMargins="0">
    <oddFooter>&amp;L&amp;F - &amp;A&amp;CPrinted &amp;D - &amp;T&amp;RPage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CC"/>
    <pageSetUpPr fitToPage="1"/>
  </sheetPr>
  <dimension ref="A1:M92"/>
  <sheetViews>
    <sheetView view="pageBreakPreview" topLeftCell="A5" zoomScale="60" zoomScaleNormal="90" workbookViewId="0">
      <selection activeCell="AP280" sqref="AP280"/>
    </sheetView>
  </sheetViews>
  <sheetFormatPr defaultRowHeight="15" outlineLevelRow="1"/>
  <cols>
    <col min="1" max="1" width="9.140625" style="1581"/>
    <col min="2" max="2" width="36.140625" style="1581" bestFit="1" customWidth="1"/>
    <col min="3" max="3" width="18" style="1581" bestFit="1" customWidth="1"/>
    <col min="4" max="4" width="14.28515625" style="1581" bestFit="1" customWidth="1"/>
    <col min="5" max="5" width="19.7109375" style="1581" customWidth="1"/>
    <col min="6" max="13" width="9.140625" style="1581"/>
    <col min="14" max="254" width="9.140625" style="834"/>
    <col min="255" max="255" width="36.140625" style="834" bestFit="1" customWidth="1"/>
    <col min="256" max="257" width="18" style="834" bestFit="1" customWidth="1"/>
    <col min="258" max="258" width="13.5703125" style="834" customWidth="1"/>
    <col min="259" max="510" width="9.140625" style="834"/>
    <col min="511" max="511" width="36.140625" style="834" bestFit="1" customWidth="1"/>
    <col min="512" max="513" width="18" style="834" bestFit="1" customWidth="1"/>
    <col min="514" max="514" width="13.5703125" style="834" customWidth="1"/>
    <col min="515" max="766" width="9.140625" style="834"/>
    <col min="767" max="767" width="36.140625" style="834" bestFit="1" customWidth="1"/>
    <col min="768" max="769" width="18" style="834" bestFit="1" customWidth="1"/>
    <col min="770" max="770" width="13.5703125" style="834" customWidth="1"/>
    <col min="771" max="1022" width="9.140625" style="834"/>
    <col min="1023" max="1023" width="36.140625" style="834" bestFit="1" customWidth="1"/>
    <col min="1024" max="1025" width="18" style="834" bestFit="1" customWidth="1"/>
    <col min="1026" max="1026" width="13.5703125" style="834" customWidth="1"/>
    <col min="1027" max="1278" width="9.140625" style="834"/>
    <col min="1279" max="1279" width="36.140625" style="834" bestFit="1" customWidth="1"/>
    <col min="1280" max="1281" width="18" style="834" bestFit="1" customWidth="1"/>
    <col min="1282" max="1282" width="13.5703125" style="834" customWidth="1"/>
    <col min="1283" max="1534" width="9.140625" style="834"/>
    <col min="1535" max="1535" width="36.140625" style="834" bestFit="1" customWidth="1"/>
    <col min="1536" max="1537" width="18" style="834" bestFit="1" customWidth="1"/>
    <col min="1538" max="1538" width="13.5703125" style="834" customWidth="1"/>
    <col min="1539" max="1790" width="9.140625" style="834"/>
    <col min="1791" max="1791" width="36.140625" style="834" bestFit="1" customWidth="1"/>
    <col min="1792" max="1793" width="18" style="834" bestFit="1" customWidth="1"/>
    <col min="1794" max="1794" width="13.5703125" style="834" customWidth="1"/>
    <col min="1795" max="2046" width="9.140625" style="834"/>
    <col min="2047" max="2047" width="36.140625" style="834" bestFit="1" customWidth="1"/>
    <col min="2048" max="2049" width="18" style="834" bestFit="1" customWidth="1"/>
    <col min="2050" max="2050" width="13.5703125" style="834" customWidth="1"/>
    <col min="2051" max="2302" width="9.140625" style="834"/>
    <col min="2303" max="2303" width="36.140625" style="834" bestFit="1" customWidth="1"/>
    <col min="2304" max="2305" width="18" style="834" bestFit="1" customWidth="1"/>
    <col min="2306" max="2306" width="13.5703125" style="834" customWidth="1"/>
    <col min="2307" max="2558" width="9.140625" style="834"/>
    <col min="2559" max="2559" width="36.140625" style="834" bestFit="1" customWidth="1"/>
    <col min="2560" max="2561" width="18" style="834" bestFit="1" customWidth="1"/>
    <col min="2562" max="2562" width="13.5703125" style="834" customWidth="1"/>
    <col min="2563" max="2814" width="9.140625" style="834"/>
    <col min="2815" max="2815" width="36.140625" style="834" bestFit="1" customWidth="1"/>
    <col min="2816" max="2817" width="18" style="834" bestFit="1" customWidth="1"/>
    <col min="2818" max="2818" width="13.5703125" style="834" customWidth="1"/>
    <col min="2819" max="3070" width="9.140625" style="834"/>
    <col min="3071" max="3071" width="36.140625" style="834" bestFit="1" customWidth="1"/>
    <col min="3072" max="3073" width="18" style="834" bestFit="1" customWidth="1"/>
    <col min="3074" max="3074" width="13.5703125" style="834" customWidth="1"/>
    <col min="3075" max="3326" width="9.140625" style="834"/>
    <col min="3327" max="3327" width="36.140625" style="834" bestFit="1" customWidth="1"/>
    <col min="3328" max="3329" width="18" style="834" bestFit="1" customWidth="1"/>
    <col min="3330" max="3330" width="13.5703125" style="834" customWidth="1"/>
    <col min="3331" max="3582" width="9.140625" style="834"/>
    <col min="3583" max="3583" width="36.140625" style="834" bestFit="1" customWidth="1"/>
    <col min="3584" max="3585" width="18" style="834" bestFit="1" customWidth="1"/>
    <col min="3586" max="3586" width="13.5703125" style="834" customWidth="1"/>
    <col min="3587" max="3838" width="9.140625" style="834"/>
    <col min="3839" max="3839" width="36.140625" style="834" bestFit="1" customWidth="1"/>
    <col min="3840" max="3841" width="18" style="834" bestFit="1" customWidth="1"/>
    <col min="3842" max="3842" width="13.5703125" style="834" customWidth="1"/>
    <col min="3843" max="4094" width="9.140625" style="834"/>
    <col min="4095" max="4095" width="36.140625" style="834" bestFit="1" customWidth="1"/>
    <col min="4096" max="4097" width="18" style="834" bestFit="1" customWidth="1"/>
    <col min="4098" max="4098" width="13.5703125" style="834" customWidth="1"/>
    <col min="4099" max="4350" width="9.140625" style="834"/>
    <col min="4351" max="4351" width="36.140625" style="834" bestFit="1" customWidth="1"/>
    <col min="4352" max="4353" width="18" style="834" bestFit="1" customWidth="1"/>
    <col min="4354" max="4354" width="13.5703125" style="834" customWidth="1"/>
    <col min="4355" max="4606" width="9.140625" style="834"/>
    <col min="4607" max="4607" width="36.140625" style="834" bestFit="1" customWidth="1"/>
    <col min="4608" max="4609" width="18" style="834" bestFit="1" customWidth="1"/>
    <col min="4610" max="4610" width="13.5703125" style="834" customWidth="1"/>
    <col min="4611" max="4862" width="9.140625" style="834"/>
    <col min="4863" max="4863" width="36.140625" style="834" bestFit="1" customWidth="1"/>
    <col min="4864" max="4865" width="18" style="834" bestFit="1" customWidth="1"/>
    <col min="4866" max="4866" width="13.5703125" style="834" customWidth="1"/>
    <col min="4867" max="5118" width="9.140625" style="834"/>
    <col min="5119" max="5119" width="36.140625" style="834" bestFit="1" customWidth="1"/>
    <col min="5120" max="5121" width="18" style="834" bestFit="1" customWidth="1"/>
    <col min="5122" max="5122" width="13.5703125" style="834" customWidth="1"/>
    <col min="5123" max="5374" width="9.140625" style="834"/>
    <col min="5375" max="5375" width="36.140625" style="834" bestFit="1" customWidth="1"/>
    <col min="5376" max="5377" width="18" style="834" bestFit="1" customWidth="1"/>
    <col min="5378" max="5378" width="13.5703125" style="834" customWidth="1"/>
    <col min="5379" max="5630" width="9.140625" style="834"/>
    <col min="5631" max="5631" width="36.140625" style="834" bestFit="1" customWidth="1"/>
    <col min="5632" max="5633" width="18" style="834" bestFit="1" customWidth="1"/>
    <col min="5634" max="5634" width="13.5703125" style="834" customWidth="1"/>
    <col min="5635" max="5886" width="9.140625" style="834"/>
    <col min="5887" max="5887" width="36.140625" style="834" bestFit="1" customWidth="1"/>
    <col min="5888" max="5889" width="18" style="834" bestFit="1" customWidth="1"/>
    <col min="5890" max="5890" width="13.5703125" style="834" customWidth="1"/>
    <col min="5891" max="6142" width="9.140625" style="834"/>
    <col min="6143" max="6143" width="36.140625" style="834" bestFit="1" customWidth="1"/>
    <col min="6144" max="6145" width="18" style="834" bestFit="1" customWidth="1"/>
    <col min="6146" max="6146" width="13.5703125" style="834" customWidth="1"/>
    <col min="6147" max="6398" width="9.140625" style="834"/>
    <col min="6399" max="6399" width="36.140625" style="834" bestFit="1" customWidth="1"/>
    <col min="6400" max="6401" width="18" style="834" bestFit="1" customWidth="1"/>
    <col min="6402" max="6402" width="13.5703125" style="834" customWidth="1"/>
    <col min="6403" max="6654" width="9.140625" style="834"/>
    <col min="6655" max="6655" width="36.140625" style="834" bestFit="1" customWidth="1"/>
    <col min="6656" max="6657" width="18" style="834" bestFit="1" customWidth="1"/>
    <col min="6658" max="6658" width="13.5703125" style="834" customWidth="1"/>
    <col min="6659" max="6910" width="9.140625" style="834"/>
    <col min="6911" max="6911" width="36.140625" style="834" bestFit="1" customWidth="1"/>
    <col min="6912" max="6913" width="18" style="834" bestFit="1" customWidth="1"/>
    <col min="6914" max="6914" width="13.5703125" style="834" customWidth="1"/>
    <col min="6915" max="7166" width="9.140625" style="834"/>
    <col min="7167" max="7167" width="36.140625" style="834" bestFit="1" customWidth="1"/>
    <col min="7168" max="7169" width="18" style="834" bestFit="1" customWidth="1"/>
    <col min="7170" max="7170" width="13.5703125" style="834" customWidth="1"/>
    <col min="7171" max="7422" width="9.140625" style="834"/>
    <col min="7423" max="7423" width="36.140625" style="834" bestFit="1" customWidth="1"/>
    <col min="7424" max="7425" width="18" style="834" bestFit="1" customWidth="1"/>
    <col min="7426" max="7426" width="13.5703125" style="834" customWidth="1"/>
    <col min="7427" max="7678" width="9.140625" style="834"/>
    <col min="7679" max="7679" width="36.140625" style="834" bestFit="1" customWidth="1"/>
    <col min="7680" max="7681" width="18" style="834" bestFit="1" customWidth="1"/>
    <col min="7682" max="7682" width="13.5703125" style="834" customWidth="1"/>
    <col min="7683" max="7934" width="9.140625" style="834"/>
    <col min="7935" max="7935" width="36.140625" style="834" bestFit="1" customWidth="1"/>
    <col min="7936" max="7937" width="18" style="834" bestFit="1" customWidth="1"/>
    <col min="7938" max="7938" width="13.5703125" style="834" customWidth="1"/>
    <col min="7939" max="8190" width="9.140625" style="834"/>
    <col min="8191" max="8191" width="36.140625" style="834" bestFit="1" customWidth="1"/>
    <col min="8192" max="8193" width="18" style="834" bestFit="1" customWidth="1"/>
    <col min="8194" max="8194" width="13.5703125" style="834" customWidth="1"/>
    <col min="8195" max="8446" width="9.140625" style="834"/>
    <col min="8447" max="8447" width="36.140625" style="834" bestFit="1" customWidth="1"/>
    <col min="8448" max="8449" width="18" style="834" bestFit="1" customWidth="1"/>
    <col min="8450" max="8450" width="13.5703125" style="834" customWidth="1"/>
    <col min="8451" max="8702" width="9.140625" style="834"/>
    <col min="8703" max="8703" width="36.140625" style="834" bestFit="1" customWidth="1"/>
    <col min="8704" max="8705" width="18" style="834" bestFit="1" customWidth="1"/>
    <col min="8706" max="8706" width="13.5703125" style="834" customWidth="1"/>
    <col min="8707" max="8958" width="9.140625" style="834"/>
    <col min="8959" max="8959" width="36.140625" style="834" bestFit="1" customWidth="1"/>
    <col min="8960" max="8961" width="18" style="834" bestFit="1" customWidth="1"/>
    <col min="8962" max="8962" width="13.5703125" style="834" customWidth="1"/>
    <col min="8963" max="9214" width="9.140625" style="834"/>
    <col min="9215" max="9215" width="36.140625" style="834" bestFit="1" customWidth="1"/>
    <col min="9216" max="9217" width="18" style="834" bestFit="1" customWidth="1"/>
    <col min="9218" max="9218" width="13.5703125" style="834" customWidth="1"/>
    <col min="9219" max="9470" width="9.140625" style="834"/>
    <col min="9471" max="9471" width="36.140625" style="834" bestFit="1" customWidth="1"/>
    <col min="9472" max="9473" width="18" style="834" bestFit="1" customWidth="1"/>
    <col min="9474" max="9474" width="13.5703125" style="834" customWidth="1"/>
    <col min="9475" max="9726" width="9.140625" style="834"/>
    <col min="9727" max="9727" width="36.140625" style="834" bestFit="1" customWidth="1"/>
    <col min="9728" max="9729" width="18" style="834" bestFit="1" customWidth="1"/>
    <col min="9730" max="9730" width="13.5703125" style="834" customWidth="1"/>
    <col min="9731" max="9982" width="9.140625" style="834"/>
    <col min="9983" max="9983" width="36.140625" style="834" bestFit="1" customWidth="1"/>
    <col min="9984" max="9985" width="18" style="834" bestFit="1" customWidth="1"/>
    <col min="9986" max="9986" width="13.5703125" style="834" customWidth="1"/>
    <col min="9987" max="10238" width="9.140625" style="834"/>
    <col min="10239" max="10239" width="36.140625" style="834" bestFit="1" customWidth="1"/>
    <col min="10240" max="10241" width="18" style="834" bestFit="1" customWidth="1"/>
    <col min="10242" max="10242" width="13.5703125" style="834" customWidth="1"/>
    <col min="10243" max="10494" width="9.140625" style="834"/>
    <col min="10495" max="10495" width="36.140625" style="834" bestFit="1" customWidth="1"/>
    <col min="10496" max="10497" width="18" style="834" bestFit="1" customWidth="1"/>
    <col min="10498" max="10498" width="13.5703125" style="834" customWidth="1"/>
    <col min="10499" max="10750" width="9.140625" style="834"/>
    <col min="10751" max="10751" width="36.140625" style="834" bestFit="1" customWidth="1"/>
    <col min="10752" max="10753" width="18" style="834" bestFit="1" customWidth="1"/>
    <col min="10754" max="10754" width="13.5703125" style="834" customWidth="1"/>
    <col min="10755" max="11006" width="9.140625" style="834"/>
    <col min="11007" max="11007" width="36.140625" style="834" bestFit="1" customWidth="1"/>
    <col min="11008" max="11009" width="18" style="834" bestFit="1" customWidth="1"/>
    <col min="11010" max="11010" width="13.5703125" style="834" customWidth="1"/>
    <col min="11011" max="11262" width="9.140625" style="834"/>
    <col min="11263" max="11263" width="36.140625" style="834" bestFit="1" customWidth="1"/>
    <col min="11264" max="11265" width="18" style="834" bestFit="1" customWidth="1"/>
    <col min="11266" max="11266" width="13.5703125" style="834" customWidth="1"/>
    <col min="11267" max="11518" width="9.140625" style="834"/>
    <col min="11519" max="11519" width="36.140625" style="834" bestFit="1" customWidth="1"/>
    <col min="11520" max="11521" width="18" style="834" bestFit="1" customWidth="1"/>
    <col min="11522" max="11522" width="13.5703125" style="834" customWidth="1"/>
    <col min="11523" max="11774" width="9.140625" style="834"/>
    <col min="11775" max="11775" width="36.140625" style="834" bestFit="1" customWidth="1"/>
    <col min="11776" max="11777" width="18" style="834" bestFit="1" customWidth="1"/>
    <col min="11778" max="11778" width="13.5703125" style="834" customWidth="1"/>
    <col min="11779" max="12030" width="9.140625" style="834"/>
    <col min="12031" max="12031" width="36.140625" style="834" bestFit="1" customWidth="1"/>
    <col min="12032" max="12033" width="18" style="834" bestFit="1" customWidth="1"/>
    <col min="12034" max="12034" width="13.5703125" style="834" customWidth="1"/>
    <col min="12035" max="12286" width="9.140625" style="834"/>
    <col min="12287" max="12287" width="36.140625" style="834" bestFit="1" customWidth="1"/>
    <col min="12288" max="12289" width="18" style="834" bestFit="1" customWidth="1"/>
    <col min="12290" max="12290" width="13.5703125" style="834" customWidth="1"/>
    <col min="12291" max="12542" width="9.140625" style="834"/>
    <col min="12543" max="12543" width="36.140625" style="834" bestFit="1" customWidth="1"/>
    <col min="12544" max="12545" width="18" style="834" bestFit="1" customWidth="1"/>
    <col min="12546" max="12546" width="13.5703125" style="834" customWidth="1"/>
    <col min="12547" max="12798" width="9.140625" style="834"/>
    <col min="12799" max="12799" width="36.140625" style="834" bestFit="1" customWidth="1"/>
    <col min="12800" max="12801" width="18" style="834" bestFit="1" customWidth="1"/>
    <col min="12802" max="12802" width="13.5703125" style="834" customWidth="1"/>
    <col min="12803" max="13054" width="9.140625" style="834"/>
    <col min="13055" max="13055" width="36.140625" style="834" bestFit="1" customWidth="1"/>
    <col min="13056" max="13057" width="18" style="834" bestFit="1" customWidth="1"/>
    <col min="13058" max="13058" width="13.5703125" style="834" customWidth="1"/>
    <col min="13059" max="13310" width="9.140625" style="834"/>
    <col min="13311" max="13311" width="36.140625" style="834" bestFit="1" customWidth="1"/>
    <col min="13312" max="13313" width="18" style="834" bestFit="1" customWidth="1"/>
    <col min="13314" max="13314" width="13.5703125" style="834" customWidth="1"/>
    <col min="13315" max="13566" width="9.140625" style="834"/>
    <col min="13567" max="13567" width="36.140625" style="834" bestFit="1" customWidth="1"/>
    <col min="13568" max="13569" width="18" style="834" bestFit="1" customWidth="1"/>
    <col min="13570" max="13570" width="13.5703125" style="834" customWidth="1"/>
    <col min="13571" max="13822" width="9.140625" style="834"/>
    <col min="13823" max="13823" width="36.140625" style="834" bestFit="1" customWidth="1"/>
    <col min="13824" max="13825" width="18" style="834" bestFit="1" customWidth="1"/>
    <col min="13826" max="13826" width="13.5703125" style="834" customWidth="1"/>
    <col min="13827" max="14078" width="9.140625" style="834"/>
    <col min="14079" max="14079" width="36.140625" style="834" bestFit="1" customWidth="1"/>
    <col min="14080" max="14081" width="18" style="834" bestFit="1" customWidth="1"/>
    <col min="14082" max="14082" width="13.5703125" style="834" customWidth="1"/>
    <col min="14083" max="14334" width="9.140625" style="834"/>
    <col min="14335" max="14335" width="36.140625" style="834" bestFit="1" customWidth="1"/>
    <col min="14336" max="14337" width="18" style="834" bestFit="1" customWidth="1"/>
    <col min="14338" max="14338" width="13.5703125" style="834" customWidth="1"/>
    <col min="14339" max="14590" width="9.140625" style="834"/>
    <col min="14591" max="14591" width="36.140625" style="834" bestFit="1" customWidth="1"/>
    <col min="14592" max="14593" width="18" style="834" bestFit="1" customWidth="1"/>
    <col min="14594" max="14594" width="13.5703125" style="834" customWidth="1"/>
    <col min="14595" max="14846" width="9.140625" style="834"/>
    <col min="14847" max="14847" width="36.140625" style="834" bestFit="1" customWidth="1"/>
    <col min="14848" max="14849" width="18" style="834" bestFit="1" customWidth="1"/>
    <col min="14850" max="14850" width="13.5703125" style="834" customWidth="1"/>
    <col min="14851" max="15102" width="9.140625" style="834"/>
    <col min="15103" max="15103" width="36.140625" style="834" bestFit="1" customWidth="1"/>
    <col min="15104" max="15105" width="18" style="834" bestFit="1" customWidth="1"/>
    <col min="15106" max="15106" width="13.5703125" style="834" customWidth="1"/>
    <col min="15107" max="15358" width="9.140625" style="834"/>
    <col min="15359" max="15359" width="36.140625" style="834" bestFit="1" customWidth="1"/>
    <col min="15360" max="15361" width="18" style="834" bestFit="1" customWidth="1"/>
    <col min="15362" max="15362" width="13.5703125" style="834" customWidth="1"/>
    <col min="15363" max="15614" width="9.140625" style="834"/>
    <col min="15615" max="15615" width="36.140625" style="834" bestFit="1" customWidth="1"/>
    <col min="15616" max="15617" width="18" style="834" bestFit="1" customWidth="1"/>
    <col min="15618" max="15618" width="13.5703125" style="834" customWidth="1"/>
    <col min="15619" max="15870" width="9.140625" style="834"/>
    <col min="15871" max="15871" width="36.140625" style="834" bestFit="1" customWidth="1"/>
    <col min="15872" max="15873" width="18" style="834" bestFit="1" customWidth="1"/>
    <col min="15874" max="15874" width="13.5703125" style="834" customWidth="1"/>
    <col min="15875" max="16126" width="9.140625" style="834"/>
    <col min="16127" max="16127" width="36.140625" style="834" bestFit="1" customWidth="1"/>
    <col min="16128" max="16129" width="18" style="834" bestFit="1" customWidth="1"/>
    <col min="16130" max="16130" width="13.5703125" style="834" customWidth="1"/>
    <col min="16131" max="16384" width="9.140625" style="834"/>
  </cols>
  <sheetData>
    <row r="1" spans="1:13" hidden="1" outlineLevel="1">
      <c r="C1" s="1581" t="s">
        <v>1739</v>
      </c>
    </row>
    <row r="2" spans="1:13" hidden="1" outlineLevel="1">
      <c r="C2" s="1581" t="s">
        <v>1740</v>
      </c>
    </row>
    <row r="3" spans="1:13" hidden="1" outlineLevel="1">
      <c r="C3" s="1581" t="s">
        <v>1740</v>
      </c>
    </row>
    <row r="4" spans="1:13" hidden="1" outlineLevel="1">
      <c r="C4" s="1581" t="s">
        <v>1741</v>
      </c>
    </row>
    <row r="5" spans="1:13" collapsed="1">
      <c r="A5" s="1580" t="s">
        <v>183</v>
      </c>
      <c r="C5" s="1582"/>
    </row>
    <row r="6" spans="1:13">
      <c r="A6" s="1580" t="s">
        <v>1742</v>
      </c>
      <c r="D6" s="1593">
        <f>+C29/(C28+C26+C25+C24+C23+C21+C31+C32+C22)</f>
        <v>3.6373318094253954E-2</v>
      </c>
      <c r="E6" s="1594" t="s">
        <v>1743</v>
      </c>
    </row>
    <row r="7" spans="1:13">
      <c r="A7" s="1580"/>
      <c r="E7" s="1595"/>
      <c r="F7" s="1596"/>
    </row>
    <row r="8" spans="1:13">
      <c r="A8" s="1580"/>
      <c r="C8" s="1597" t="s">
        <v>1744</v>
      </c>
    </row>
    <row r="9" spans="1:13">
      <c r="A9" s="1580"/>
      <c r="C9" s="1598" t="s">
        <v>1745</v>
      </c>
    </row>
    <row r="10" spans="1:13">
      <c r="C10" s="1583" t="s">
        <v>310</v>
      </c>
      <c r="D10" s="1584" t="s">
        <v>1746</v>
      </c>
      <c r="E10" s="1584" t="s">
        <v>1747</v>
      </c>
    </row>
    <row r="11" spans="1:13" s="835" customFormat="1">
      <c r="A11" s="1585">
        <v>50086</v>
      </c>
      <c r="B11" s="1586" t="s">
        <v>61</v>
      </c>
      <c r="C11" s="1587">
        <v>10146.609999999999</v>
      </c>
      <c r="D11" s="1599"/>
      <c r="E11" s="1588">
        <f>+C11+D11</f>
        <v>10146.609999999999</v>
      </c>
      <c r="F11" s="1596"/>
      <c r="G11" s="1596"/>
      <c r="H11" s="1596"/>
      <c r="I11" s="1596"/>
      <c r="J11" s="1596"/>
      <c r="K11" s="1596"/>
      <c r="L11" s="1596"/>
      <c r="M11" s="1596"/>
    </row>
    <row r="12" spans="1:13" s="835" customFormat="1">
      <c r="A12" s="1585">
        <v>51260</v>
      </c>
      <c r="B12" s="1586" t="s">
        <v>270</v>
      </c>
      <c r="C12" s="1587">
        <v>903793.68</v>
      </c>
      <c r="D12" s="1599">
        <v>-865000</v>
      </c>
      <c r="E12" s="1588">
        <f t="shared" ref="E12:E75" si="0">+C12+D12</f>
        <v>38793.680000000051</v>
      </c>
      <c r="F12" s="1596" t="s">
        <v>1748</v>
      </c>
      <c r="G12" s="1596"/>
      <c r="H12" s="1596"/>
      <c r="I12" s="1596"/>
      <c r="J12" s="1596"/>
      <c r="K12" s="1596"/>
      <c r="L12" s="1596"/>
      <c r="M12" s="1596"/>
    </row>
    <row r="13" spans="1:13" s="835" customFormat="1">
      <c r="A13" s="1585">
        <v>52090</v>
      </c>
      <c r="B13" s="1586" t="s">
        <v>41</v>
      </c>
      <c r="C13" s="1587">
        <v>0</v>
      </c>
      <c r="D13" s="1599"/>
      <c r="E13" s="1588">
        <f t="shared" si="0"/>
        <v>0</v>
      </c>
      <c r="F13" s="1596"/>
      <c r="G13" s="1596"/>
      <c r="H13" s="1596"/>
      <c r="I13" s="1596"/>
      <c r="J13" s="1596"/>
      <c r="K13" s="1596"/>
      <c r="L13" s="1596"/>
      <c r="M13" s="1596"/>
    </row>
    <row r="14" spans="1:13" s="835" customFormat="1">
      <c r="A14" s="1585">
        <v>52120</v>
      </c>
      <c r="B14" s="1586" t="s">
        <v>227</v>
      </c>
      <c r="C14" s="1587">
        <v>-190352.53</v>
      </c>
      <c r="D14" s="1599"/>
      <c r="E14" s="1588">
        <f t="shared" si="0"/>
        <v>-190352.53</v>
      </c>
      <c r="F14" s="1596"/>
      <c r="G14" s="1596"/>
      <c r="H14" s="1596"/>
      <c r="I14" s="1596"/>
      <c r="J14" s="1596"/>
      <c r="K14" s="1596"/>
      <c r="L14" s="1596"/>
      <c r="M14" s="1596"/>
    </row>
    <row r="15" spans="1:13" s="835" customFormat="1">
      <c r="A15" s="1585">
        <v>56037</v>
      </c>
      <c r="B15" s="1586" t="s">
        <v>119</v>
      </c>
      <c r="C15" s="1587">
        <v>0</v>
      </c>
      <c r="D15" s="1599"/>
      <c r="E15" s="1588">
        <f t="shared" si="0"/>
        <v>0</v>
      </c>
      <c r="F15" s="1596"/>
      <c r="G15" s="1596"/>
      <c r="H15" s="1596"/>
      <c r="I15" s="1596"/>
      <c r="J15" s="1596"/>
      <c r="K15" s="1596"/>
      <c r="L15" s="1596"/>
      <c r="M15" s="1596"/>
    </row>
    <row r="16" spans="1:13" s="835" customFormat="1">
      <c r="A16" s="1585">
        <v>57255</v>
      </c>
      <c r="B16" s="1586" t="s">
        <v>65</v>
      </c>
      <c r="C16" s="1587">
        <v>0</v>
      </c>
      <c r="D16" s="1599"/>
      <c r="E16" s="1588">
        <f t="shared" si="0"/>
        <v>0</v>
      </c>
      <c r="F16" s="1596"/>
      <c r="G16" s="1596"/>
      <c r="H16" s="1596"/>
      <c r="I16" s="1596"/>
      <c r="J16" s="1596"/>
      <c r="K16" s="1596"/>
      <c r="L16" s="1596"/>
      <c r="M16" s="1596"/>
    </row>
    <row r="17" spans="1:13" s="835" customFormat="1">
      <c r="A17" s="1585">
        <v>57260</v>
      </c>
      <c r="B17" s="1586" t="s">
        <v>270</v>
      </c>
      <c r="C17" s="1587">
        <v>730151.37</v>
      </c>
      <c r="D17" s="1600">
        <v>-4571</v>
      </c>
      <c r="E17" s="1588">
        <f t="shared" si="0"/>
        <v>725580.37</v>
      </c>
      <c r="F17" s="1596" t="s">
        <v>2353</v>
      </c>
      <c r="G17" s="1596"/>
      <c r="H17" s="1596"/>
      <c r="I17" s="1596"/>
      <c r="J17" s="1596"/>
      <c r="K17" s="1596"/>
      <c r="L17" s="1596"/>
      <c r="M17" s="1596"/>
    </row>
    <row r="18" spans="1:13" s="835" customFormat="1">
      <c r="A18" s="1585">
        <v>59271</v>
      </c>
      <c r="B18" s="1586" t="s">
        <v>1749</v>
      </c>
      <c r="C18" s="1587">
        <v>95000</v>
      </c>
      <c r="D18" s="1599"/>
      <c r="E18" s="1588">
        <f t="shared" si="0"/>
        <v>95000</v>
      </c>
      <c r="F18" s="1596"/>
      <c r="G18" s="1596"/>
      <c r="H18" s="1596"/>
      <c r="I18" s="1596"/>
      <c r="J18" s="1596"/>
      <c r="K18" s="1596"/>
      <c r="L18" s="1596"/>
      <c r="M18" s="1596"/>
    </row>
    <row r="19" spans="1:13" s="835" customFormat="1">
      <c r="A19" s="1585">
        <v>59331</v>
      </c>
      <c r="B19" s="1586" t="s">
        <v>1750</v>
      </c>
      <c r="C19" s="1587">
        <v>1399836.29</v>
      </c>
      <c r="D19" s="1599"/>
      <c r="E19" s="1588">
        <f t="shared" si="0"/>
        <v>1399836.29</v>
      </c>
      <c r="F19" s="1596"/>
      <c r="G19" s="1596"/>
      <c r="H19" s="1596"/>
      <c r="I19" s="1596"/>
      <c r="J19" s="1596"/>
      <c r="K19" s="1596"/>
      <c r="L19" s="1596"/>
      <c r="M19" s="1596"/>
    </row>
    <row r="20" spans="1:13" s="835" customFormat="1">
      <c r="A20" s="1585">
        <v>59340</v>
      </c>
      <c r="B20" s="1586" t="s">
        <v>80</v>
      </c>
      <c r="C20" s="1587">
        <v>-806218.29</v>
      </c>
      <c r="D20" s="1599"/>
      <c r="E20" s="1588">
        <f t="shared" si="0"/>
        <v>-806218.29</v>
      </c>
      <c r="F20" s="1596"/>
      <c r="G20" s="1596"/>
      <c r="H20" s="1596"/>
      <c r="I20" s="1596"/>
      <c r="J20" s="1596"/>
      <c r="K20" s="1596"/>
      <c r="L20" s="1596"/>
      <c r="M20" s="1596"/>
    </row>
    <row r="21" spans="1:13" s="835" customFormat="1">
      <c r="A21" s="1585">
        <v>70010</v>
      </c>
      <c r="B21" s="1586" t="s">
        <v>17</v>
      </c>
      <c r="C21" s="1587">
        <v>55772231.409999996</v>
      </c>
      <c r="D21" s="1599"/>
      <c r="E21" s="1588">
        <f t="shared" si="0"/>
        <v>55772231.409999996</v>
      </c>
      <c r="F21" s="1596"/>
      <c r="G21" s="1596"/>
      <c r="H21" s="1596"/>
      <c r="I21" s="1596"/>
      <c r="J21" s="1596"/>
      <c r="K21" s="1596"/>
      <c r="L21" s="1596"/>
      <c r="M21" s="1596"/>
    </row>
    <row r="22" spans="1:13" s="835" customFormat="1">
      <c r="A22" s="1585">
        <v>70015</v>
      </c>
      <c r="B22" s="1586" t="s">
        <v>1751</v>
      </c>
      <c r="C22" s="1587">
        <v>3020576.0000000005</v>
      </c>
      <c r="D22" s="1599"/>
      <c r="E22" s="1588">
        <f t="shared" si="0"/>
        <v>3020576.0000000005</v>
      </c>
      <c r="F22" s="1596"/>
      <c r="G22" s="1596"/>
      <c r="H22" s="1596"/>
      <c r="I22" s="1596"/>
      <c r="J22" s="1596"/>
      <c r="K22" s="1596"/>
      <c r="L22" s="1596"/>
      <c r="M22" s="1596"/>
    </row>
    <row r="23" spans="1:13" s="835" customFormat="1">
      <c r="A23" s="1585">
        <v>70020</v>
      </c>
      <c r="B23" s="1586" t="s">
        <v>25</v>
      </c>
      <c r="C23" s="1587">
        <v>1245605.0799999998</v>
      </c>
      <c r="D23" s="1599"/>
      <c r="E23" s="1588">
        <f t="shared" si="0"/>
        <v>1245605.0799999998</v>
      </c>
      <c r="F23" s="1596"/>
      <c r="G23" s="1596"/>
      <c r="H23" s="1596"/>
      <c r="I23" s="1596"/>
      <c r="J23" s="1596"/>
      <c r="K23" s="1596"/>
      <c r="L23" s="1596"/>
      <c r="M23" s="1596"/>
    </row>
    <row r="24" spans="1:13" s="835" customFormat="1">
      <c r="A24" s="1585">
        <v>70025</v>
      </c>
      <c r="B24" s="1586" t="s">
        <v>26</v>
      </c>
      <c r="C24" s="1587">
        <v>125289.28</v>
      </c>
      <c r="D24" s="1599"/>
      <c r="E24" s="1588">
        <f t="shared" si="0"/>
        <v>125289.28</v>
      </c>
      <c r="F24" s="1596"/>
      <c r="G24" s="1596"/>
      <c r="H24" s="1596"/>
      <c r="I24" s="1596"/>
      <c r="J24" s="1596"/>
      <c r="K24" s="1596"/>
      <c r="L24" s="1596"/>
      <c r="M24" s="1596"/>
    </row>
    <row r="25" spans="1:13" s="835" customFormat="1">
      <c r="A25" s="1585">
        <v>70030</v>
      </c>
      <c r="B25" s="1586" t="s">
        <v>89</v>
      </c>
      <c r="C25" s="1587">
        <v>31535789.82</v>
      </c>
      <c r="D25" s="1599">
        <f>-C25</f>
        <v>-31535789.82</v>
      </c>
      <c r="E25" s="1588">
        <f t="shared" si="0"/>
        <v>0</v>
      </c>
      <c r="F25" s="1596"/>
      <c r="G25" s="1596"/>
      <c r="H25" s="1596"/>
      <c r="I25" s="1596"/>
      <c r="J25" s="1596"/>
      <c r="K25" s="1596"/>
      <c r="L25" s="1596"/>
      <c r="M25" s="1596"/>
    </row>
    <row r="26" spans="1:13" s="835" customFormat="1">
      <c r="A26" s="1585">
        <v>70036</v>
      </c>
      <c r="B26" s="1586" t="s">
        <v>257</v>
      </c>
      <c r="C26" s="1587">
        <v>224248.94</v>
      </c>
      <c r="D26" s="1599">
        <f>-C26</f>
        <v>-224248.94</v>
      </c>
      <c r="E26" s="1588">
        <f t="shared" si="0"/>
        <v>0</v>
      </c>
      <c r="F26" s="1596"/>
      <c r="G26" s="1596"/>
      <c r="H26" s="1596"/>
      <c r="I26" s="1596"/>
      <c r="J26" s="1596"/>
      <c r="K26" s="1596"/>
      <c r="L26" s="1596"/>
      <c r="M26" s="1596"/>
    </row>
    <row r="27" spans="1:13" s="835" customFormat="1">
      <c r="A27" s="1585">
        <v>70037</v>
      </c>
      <c r="B27" s="1586" t="s">
        <v>119</v>
      </c>
      <c r="C27" s="1587">
        <v>798473.8</v>
      </c>
      <c r="D27" s="1599">
        <f>-C27</f>
        <v>-798473.8</v>
      </c>
      <c r="E27" s="1588">
        <f t="shared" si="0"/>
        <v>0</v>
      </c>
      <c r="F27" s="1596"/>
      <c r="G27" s="1596"/>
      <c r="H27" s="1596"/>
      <c r="I27" s="1596"/>
      <c r="J27" s="1596"/>
      <c r="K27" s="1596"/>
      <c r="L27" s="1596"/>
      <c r="M27" s="1596"/>
    </row>
    <row r="28" spans="1:13" s="835" customFormat="1">
      <c r="A28" s="1585">
        <v>70045</v>
      </c>
      <c r="B28" s="1586" t="s">
        <v>29</v>
      </c>
      <c r="C28" s="1587">
        <v>605765.25</v>
      </c>
      <c r="D28" s="1599"/>
      <c r="E28" s="1588">
        <f t="shared" si="0"/>
        <v>605765.25</v>
      </c>
      <c r="F28" s="1596"/>
      <c r="G28" s="1596"/>
      <c r="H28" s="1596"/>
      <c r="I28" s="1596"/>
      <c r="J28" s="1596"/>
      <c r="K28" s="1596"/>
      <c r="L28" s="1596"/>
      <c r="M28" s="1596"/>
    </row>
    <row r="29" spans="1:13" s="835" customFormat="1">
      <c r="A29" s="1585">
        <v>70050</v>
      </c>
      <c r="B29" s="1586" t="s">
        <v>158</v>
      </c>
      <c r="C29" s="1587">
        <v>3357044.4499999997</v>
      </c>
      <c r="D29" s="1599">
        <f>SUM(D25:D27)*D6</f>
        <v>-1184261.1340206426</v>
      </c>
      <c r="E29" s="1588">
        <f t="shared" si="0"/>
        <v>2172783.3159793569</v>
      </c>
      <c r="F29" s="1596" t="s">
        <v>1773</v>
      </c>
      <c r="G29" s="1596"/>
      <c r="H29" s="1596"/>
      <c r="I29" s="1596"/>
      <c r="J29" s="1596"/>
      <c r="K29" s="1596"/>
      <c r="L29" s="1596"/>
      <c r="M29" s="1596"/>
    </row>
    <row r="30" spans="1:13" s="835" customFormat="1">
      <c r="A30" s="1585">
        <v>70060</v>
      </c>
      <c r="B30" s="1586" t="s">
        <v>70</v>
      </c>
      <c r="C30" s="1587">
        <v>1602564.09</v>
      </c>
      <c r="D30" s="1599"/>
      <c r="E30" s="1588">
        <f t="shared" si="0"/>
        <v>1602564.09</v>
      </c>
      <c r="F30" s="1596"/>
      <c r="G30" s="1596"/>
      <c r="H30" s="1596"/>
      <c r="I30" s="1596"/>
      <c r="J30" s="1596"/>
      <c r="K30" s="1596"/>
      <c r="L30" s="1596"/>
      <c r="M30" s="1596"/>
    </row>
    <row r="31" spans="1:13" s="835" customFormat="1">
      <c r="A31" s="1585">
        <v>70065</v>
      </c>
      <c r="B31" s="1586" t="s">
        <v>22</v>
      </c>
      <c r="C31" s="1587">
        <v>-237846.96</v>
      </c>
      <c r="D31" s="1599"/>
      <c r="E31" s="1588">
        <f t="shared" si="0"/>
        <v>-237846.96</v>
      </c>
      <c r="F31" s="1596"/>
      <c r="G31" s="1596"/>
      <c r="H31" s="1596"/>
      <c r="I31" s="1596"/>
      <c r="J31" s="1596"/>
      <c r="K31" s="1596"/>
      <c r="L31" s="1596"/>
      <c r="M31" s="1596"/>
    </row>
    <row r="32" spans="1:13" s="835" customFormat="1">
      <c r="A32" s="1585">
        <v>70070</v>
      </c>
      <c r="B32" s="1586" t="s">
        <v>23</v>
      </c>
      <c r="C32" s="1587">
        <v>2490.46</v>
      </c>
      <c r="D32" s="1599"/>
      <c r="E32" s="1588">
        <f t="shared" si="0"/>
        <v>2490.46</v>
      </c>
      <c r="F32" s="1596"/>
      <c r="G32" s="1596"/>
      <c r="H32" s="1596"/>
      <c r="I32" s="1596"/>
      <c r="J32" s="1596"/>
      <c r="K32" s="1596"/>
      <c r="L32" s="1596"/>
      <c r="M32" s="1596"/>
    </row>
    <row r="33" spans="1:13" s="835" customFormat="1">
      <c r="A33" s="1585">
        <v>70086</v>
      </c>
      <c r="B33" s="1586" t="s">
        <v>61</v>
      </c>
      <c r="C33" s="1587">
        <v>363857.49</v>
      </c>
      <c r="D33" s="1599"/>
      <c r="E33" s="1588">
        <f t="shared" si="0"/>
        <v>363857.49</v>
      </c>
      <c r="F33" s="1596"/>
      <c r="G33" s="1596"/>
      <c r="H33" s="1596"/>
      <c r="I33" s="1596"/>
      <c r="J33" s="1596"/>
      <c r="K33" s="1596"/>
      <c r="L33" s="1596"/>
      <c r="M33" s="1596"/>
    </row>
    <row r="34" spans="1:13" s="835" customFormat="1">
      <c r="A34" s="1585">
        <v>70090</v>
      </c>
      <c r="B34" s="1586" t="s">
        <v>121</v>
      </c>
      <c r="C34" s="1587">
        <v>2211031.96</v>
      </c>
      <c r="D34" s="1599"/>
      <c r="E34" s="1588">
        <f t="shared" si="0"/>
        <v>2211031.96</v>
      </c>
      <c r="F34" s="1596"/>
      <c r="G34" s="1596"/>
      <c r="H34" s="1596"/>
      <c r="I34" s="1596"/>
      <c r="J34" s="1596"/>
      <c r="K34" s="1596"/>
      <c r="L34" s="1596"/>
      <c r="M34" s="1596"/>
    </row>
    <row r="35" spans="1:13" s="835" customFormat="1">
      <c r="A35" s="1585">
        <v>70095</v>
      </c>
      <c r="B35" s="1586" t="s">
        <v>235</v>
      </c>
      <c r="C35" s="1587">
        <v>1146768.46</v>
      </c>
      <c r="D35" s="1599">
        <f>-C35</f>
        <v>-1146768.46</v>
      </c>
      <c r="E35" s="1588">
        <f t="shared" si="0"/>
        <v>0</v>
      </c>
      <c r="F35" s="1596"/>
      <c r="G35" s="1596"/>
      <c r="H35" s="1596"/>
      <c r="I35" s="1596"/>
      <c r="J35" s="1596"/>
      <c r="K35" s="1596"/>
      <c r="L35" s="1596"/>
      <c r="M35" s="1596"/>
    </row>
    <row r="36" spans="1:13" s="835" customFormat="1">
      <c r="A36" s="1585">
        <v>70105</v>
      </c>
      <c r="B36" s="1586" t="s">
        <v>122</v>
      </c>
      <c r="C36" s="1587">
        <v>4616629.7699999996</v>
      </c>
      <c r="D36" s="1599">
        <f>-C36</f>
        <v>-4616629.7699999996</v>
      </c>
      <c r="E36" s="1588">
        <f t="shared" si="0"/>
        <v>0</v>
      </c>
      <c r="F36" s="1596"/>
      <c r="G36" s="1596"/>
      <c r="H36" s="1596"/>
      <c r="I36" s="1596"/>
      <c r="J36" s="1596"/>
      <c r="K36" s="1596"/>
      <c r="L36" s="1596"/>
      <c r="M36" s="1596"/>
    </row>
    <row r="37" spans="1:13" s="835" customFormat="1">
      <c r="A37" s="1585">
        <v>70106</v>
      </c>
      <c r="B37" s="1586" t="s">
        <v>1752</v>
      </c>
      <c r="C37" s="1587">
        <v>0</v>
      </c>
      <c r="D37" s="1599"/>
      <c r="E37" s="1588">
        <f t="shared" si="0"/>
        <v>0</v>
      </c>
      <c r="F37" s="1596"/>
      <c r="G37" s="1596"/>
      <c r="H37" s="1596"/>
      <c r="I37" s="1596"/>
      <c r="J37" s="1596"/>
      <c r="K37" s="1596"/>
      <c r="L37" s="1596"/>
      <c r="M37" s="1596"/>
    </row>
    <row r="38" spans="1:13" s="835" customFormat="1">
      <c r="A38" s="1585">
        <v>70110</v>
      </c>
      <c r="B38" s="1586" t="s">
        <v>123</v>
      </c>
      <c r="C38" s="1587">
        <v>162127.85</v>
      </c>
      <c r="D38" s="1599">
        <f>-C38</f>
        <v>-162127.85</v>
      </c>
      <c r="E38" s="1588">
        <f t="shared" si="0"/>
        <v>0</v>
      </c>
      <c r="F38" s="1596"/>
      <c r="G38" s="1596"/>
      <c r="H38" s="1596"/>
      <c r="I38" s="1596"/>
      <c r="J38" s="1596"/>
      <c r="K38" s="1596"/>
      <c r="L38" s="1596"/>
      <c r="M38" s="1596"/>
    </row>
    <row r="39" spans="1:13" s="835" customFormat="1">
      <c r="A39" s="1585">
        <v>70112</v>
      </c>
      <c r="B39" s="1586" t="s">
        <v>258</v>
      </c>
      <c r="C39" s="1587">
        <v>0</v>
      </c>
      <c r="D39" s="1599"/>
      <c r="E39" s="1588">
        <f t="shared" si="0"/>
        <v>0</v>
      </c>
      <c r="F39" s="1596"/>
      <c r="G39" s="1596"/>
      <c r="H39" s="1596"/>
      <c r="I39" s="1596"/>
      <c r="J39" s="1596"/>
      <c r="K39" s="1596"/>
      <c r="L39" s="1596"/>
      <c r="M39" s="1596"/>
    </row>
    <row r="40" spans="1:13" s="835" customFormat="1">
      <c r="A40" s="1585">
        <v>70116</v>
      </c>
      <c r="B40" s="1586" t="s">
        <v>116</v>
      </c>
      <c r="C40" s="1587">
        <v>8592.5799999999581</v>
      </c>
      <c r="D40" s="1599"/>
      <c r="E40" s="1588">
        <f t="shared" si="0"/>
        <v>8592.5799999999581</v>
      </c>
      <c r="F40" s="1596"/>
      <c r="G40" s="1596"/>
      <c r="H40" s="1596"/>
      <c r="I40" s="1596"/>
      <c r="J40" s="1596"/>
      <c r="K40" s="1596"/>
      <c r="L40" s="1596"/>
      <c r="M40" s="1596"/>
    </row>
    <row r="41" spans="1:13" s="835" customFormat="1">
      <c r="A41" s="1585">
        <v>70120</v>
      </c>
      <c r="B41" s="1586" t="s">
        <v>1753</v>
      </c>
      <c r="C41" s="1587">
        <v>154190.97</v>
      </c>
      <c r="D41" s="1599">
        <f>-C41</f>
        <v>-154190.97</v>
      </c>
      <c r="E41" s="1588">
        <f t="shared" si="0"/>
        <v>0</v>
      </c>
      <c r="F41" s="1596"/>
      <c r="G41" s="1596"/>
      <c r="H41" s="1596"/>
      <c r="I41" s="1596"/>
      <c r="J41" s="1596"/>
      <c r="K41" s="1596"/>
      <c r="L41" s="1596"/>
      <c r="M41" s="1596"/>
    </row>
    <row r="42" spans="1:13" s="835" customFormat="1">
      <c r="A42" s="1585">
        <v>70142</v>
      </c>
      <c r="B42" s="1586" t="s">
        <v>52</v>
      </c>
      <c r="C42" s="1587">
        <v>507243.13</v>
      </c>
      <c r="D42" s="1599"/>
      <c r="E42" s="1588">
        <f t="shared" si="0"/>
        <v>507243.13</v>
      </c>
      <c r="F42" s="1596"/>
      <c r="G42" s="1596"/>
      <c r="H42" s="1596"/>
      <c r="I42" s="1596"/>
      <c r="J42" s="1596"/>
      <c r="K42" s="1596"/>
      <c r="L42" s="1596"/>
      <c r="M42" s="1596"/>
    </row>
    <row r="43" spans="1:13" s="835" customFormat="1">
      <c r="A43" s="1585">
        <v>70145</v>
      </c>
      <c r="B43" s="1586" t="s">
        <v>229</v>
      </c>
      <c r="C43" s="1587">
        <v>48089.36</v>
      </c>
      <c r="D43" s="1599"/>
      <c r="E43" s="1588">
        <f t="shared" si="0"/>
        <v>48089.36</v>
      </c>
      <c r="F43" s="1596"/>
      <c r="G43" s="1596"/>
      <c r="H43" s="1596"/>
      <c r="I43" s="1596"/>
      <c r="J43" s="1596"/>
      <c r="K43" s="1596"/>
      <c r="L43" s="1596"/>
      <c r="M43" s="1596"/>
    </row>
    <row r="44" spans="1:13" s="835" customFormat="1">
      <c r="A44" s="1585">
        <v>70146</v>
      </c>
      <c r="B44" s="1586" t="s">
        <v>1754</v>
      </c>
      <c r="C44" s="1587">
        <v>3874.3599999999997</v>
      </c>
      <c r="D44" s="1599">
        <f>-C44</f>
        <v>-3874.3599999999997</v>
      </c>
      <c r="E44" s="1588">
        <f t="shared" si="0"/>
        <v>0</v>
      </c>
      <c r="F44" s="1596"/>
      <c r="G44" s="1596"/>
      <c r="H44" s="1596"/>
      <c r="I44" s="1596"/>
      <c r="J44" s="1596"/>
      <c r="K44" s="1596"/>
      <c r="L44" s="1596"/>
      <c r="M44" s="1596"/>
    </row>
    <row r="45" spans="1:13" s="835" customFormat="1">
      <c r="A45" s="1585">
        <v>70147</v>
      </c>
      <c r="B45" s="1586" t="s">
        <v>1755</v>
      </c>
      <c r="C45" s="1587">
        <v>113326.59000000001</v>
      </c>
      <c r="D45" s="1599"/>
      <c r="E45" s="1588">
        <f t="shared" si="0"/>
        <v>113326.59000000001</v>
      </c>
      <c r="F45" s="1596"/>
      <c r="G45" s="1596"/>
      <c r="H45" s="1596"/>
      <c r="I45" s="1596"/>
      <c r="J45" s="1596"/>
      <c r="K45" s="1596"/>
      <c r="L45" s="1596"/>
      <c r="M45" s="1596"/>
    </row>
    <row r="46" spans="1:13" s="835" customFormat="1">
      <c r="A46" s="1585">
        <v>70165</v>
      </c>
      <c r="B46" s="1586" t="s">
        <v>230</v>
      </c>
      <c r="C46" s="1587">
        <v>1174325.32</v>
      </c>
      <c r="D46" s="1599"/>
      <c r="E46" s="1588">
        <f t="shared" si="0"/>
        <v>1174325.32</v>
      </c>
      <c r="F46" s="1596"/>
      <c r="G46" s="1596"/>
      <c r="H46" s="1596"/>
      <c r="I46" s="1596"/>
      <c r="J46" s="1596"/>
      <c r="K46" s="1596"/>
      <c r="L46" s="1596"/>
      <c r="M46" s="1596"/>
    </row>
    <row r="47" spans="1:13" s="835" customFormat="1">
      <c r="A47" s="1585">
        <v>70167</v>
      </c>
      <c r="B47" s="1586" t="s">
        <v>259</v>
      </c>
      <c r="C47" s="1587">
        <v>44507.670000000006</v>
      </c>
      <c r="D47" s="1599"/>
      <c r="E47" s="1588">
        <f t="shared" si="0"/>
        <v>44507.670000000006</v>
      </c>
      <c r="F47" s="1596"/>
      <c r="G47" s="1596"/>
      <c r="H47" s="1596"/>
      <c r="I47" s="1596"/>
      <c r="J47" s="1596"/>
      <c r="K47" s="1596"/>
      <c r="L47" s="1596"/>
      <c r="M47" s="1596"/>
    </row>
    <row r="48" spans="1:13" s="835" customFormat="1">
      <c r="A48" s="1585">
        <v>70170</v>
      </c>
      <c r="B48" s="1586" t="s">
        <v>1756</v>
      </c>
      <c r="C48" s="1587">
        <v>2946258.14</v>
      </c>
      <c r="D48" s="1599"/>
      <c r="E48" s="1588">
        <f t="shared" si="0"/>
        <v>2946258.14</v>
      </c>
      <c r="F48" s="1596"/>
      <c r="G48" s="1596"/>
      <c r="H48" s="1596"/>
      <c r="I48" s="1596"/>
      <c r="J48" s="1596"/>
      <c r="K48" s="1596"/>
      <c r="L48" s="1596"/>
      <c r="M48" s="1596"/>
    </row>
    <row r="49" spans="1:13" s="835" customFormat="1">
      <c r="A49" s="1585">
        <v>70175</v>
      </c>
      <c r="B49" s="1586" t="s">
        <v>1757</v>
      </c>
      <c r="C49" s="1587">
        <v>17362.86</v>
      </c>
      <c r="D49" s="1599"/>
      <c r="E49" s="1588">
        <f t="shared" si="0"/>
        <v>17362.86</v>
      </c>
      <c r="F49" s="1596"/>
      <c r="G49" s="1596"/>
      <c r="H49" s="1596"/>
      <c r="I49" s="1596"/>
      <c r="J49" s="1596"/>
      <c r="K49" s="1596"/>
      <c r="L49" s="1596"/>
      <c r="M49" s="1596"/>
    </row>
    <row r="50" spans="1:13" s="835" customFormat="1">
      <c r="A50" s="1585">
        <v>70185</v>
      </c>
      <c r="B50" s="1586" t="s">
        <v>71</v>
      </c>
      <c r="C50" s="1587">
        <v>621327.68999999994</v>
      </c>
      <c r="D50" s="1599"/>
      <c r="E50" s="1588">
        <f t="shared" si="0"/>
        <v>621327.68999999994</v>
      </c>
      <c r="F50" s="1596"/>
      <c r="G50" s="1596"/>
      <c r="H50" s="1596"/>
      <c r="I50" s="1596"/>
      <c r="J50" s="1596"/>
      <c r="K50" s="1596"/>
      <c r="L50" s="1596"/>
      <c r="M50" s="1596"/>
    </row>
    <row r="51" spans="1:13" s="835" customFormat="1">
      <c r="A51" s="1585">
        <v>70190</v>
      </c>
      <c r="B51" s="1586" t="s">
        <v>311</v>
      </c>
      <c r="C51" s="1587">
        <v>885294.56</v>
      </c>
      <c r="D51" s="1599">
        <f>-C51</f>
        <v>-885294.56</v>
      </c>
      <c r="E51" s="1588">
        <f t="shared" si="0"/>
        <v>0</v>
      </c>
      <c r="F51" s="1596"/>
      <c r="G51" s="1596"/>
      <c r="H51" s="1596"/>
      <c r="I51" s="1596"/>
      <c r="J51" s="1596"/>
      <c r="K51" s="1596"/>
      <c r="L51" s="1596"/>
      <c r="M51" s="1596"/>
    </row>
    <row r="52" spans="1:13" s="835" customFormat="1">
      <c r="A52" s="1585">
        <v>70195</v>
      </c>
      <c r="B52" s="1586" t="s">
        <v>76</v>
      </c>
      <c r="C52" s="1587">
        <v>1435630.91</v>
      </c>
      <c r="D52" s="1599">
        <f>-C52*0.16</f>
        <v>-229700.94559999998</v>
      </c>
      <c r="E52" s="1588">
        <f t="shared" si="0"/>
        <v>1205929.9643999999</v>
      </c>
      <c r="F52" s="1596"/>
      <c r="G52" s="1596"/>
      <c r="H52" s="1596"/>
      <c r="I52" s="1596"/>
      <c r="J52" s="1596"/>
      <c r="K52" s="1596"/>
      <c r="L52" s="1596"/>
      <c r="M52" s="1596"/>
    </row>
    <row r="53" spans="1:13" s="835" customFormat="1">
      <c r="A53" s="1585">
        <v>70196</v>
      </c>
      <c r="B53" s="1586" t="s">
        <v>128</v>
      </c>
      <c r="C53" s="1587">
        <v>50826.049999999996</v>
      </c>
      <c r="D53" s="1599">
        <f>-C53</f>
        <v>-50826.049999999996</v>
      </c>
      <c r="E53" s="1588">
        <f t="shared" si="0"/>
        <v>0</v>
      </c>
      <c r="F53" s="1596"/>
      <c r="G53" s="1596"/>
      <c r="H53" s="1596"/>
      <c r="I53" s="1596"/>
      <c r="J53" s="1596"/>
      <c r="K53" s="1596"/>
      <c r="L53" s="1596"/>
      <c r="M53" s="1596"/>
    </row>
    <row r="54" spans="1:13" s="835" customFormat="1">
      <c r="A54" s="1585">
        <v>70200</v>
      </c>
      <c r="B54" s="1586" t="s">
        <v>60</v>
      </c>
      <c r="C54" s="1587">
        <v>883917.21</v>
      </c>
      <c r="D54" s="1599"/>
      <c r="E54" s="1588">
        <f t="shared" si="0"/>
        <v>883917.21</v>
      </c>
      <c r="F54" s="1596"/>
      <c r="G54" s="1596"/>
      <c r="H54" s="1596"/>
      <c r="I54" s="1596"/>
      <c r="J54" s="1596"/>
      <c r="K54" s="1596"/>
      <c r="L54" s="1596"/>
      <c r="M54" s="1596"/>
    </row>
    <row r="55" spans="1:13" s="835" customFormat="1">
      <c r="A55" s="1585">
        <v>70201</v>
      </c>
      <c r="B55" s="1586" t="s">
        <v>72</v>
      </c>
      <c r="C55" s="1587">
        <v>490280.58999999997</v>
      </c>
      <c r="D55" s="1599">
        <f>-C55</f>
        <v>-490280.58999999997</v>
      </c>
      <c r="E55" s="1588">
        <f t="shared" si="0"/>
        <v>0</v>
      </c>
      <c r="F55" s="1596"/>
      <c r="G55" s="1596"/>
      <c r="H55" s="1596"/>
      <c r="I55" s="1596"/>
      <c r="J55" s="1596"/>
      <c r="K55" s="1596"/>
      <c r="L55" s="1596"/>
      <c r="M55" s="1596"/>
    </row>
    <row r="56" spans="1:13" s="835" customFormat="1">
      <c r="A56" s="1585">
        <v>70202</v>
      </c>
      <c r="B56" s="1586" t="s">
        <v>260</v>
      </c>
      <c r="C56" s="1587">
        <v>2961568.9600000004</v>
      </c>
      <c r="D56" s="1599">
        <f>-C56</f>
        <v>-2961568.9600000004</v>
      </c>
      <c r="E56" s="1588">
        <f t="shared" si="0"/>
        <v>0</v>
      </c>
      <c r="F56" s="1596"/>
      <c r="G56" s="1596"/>
      <c r="H56" s="1596"/>
      <c r="I56" s="1596"/>
      <c r="J56" s="1596"/>
      <c r="K56" s="1596"/>
      <c r="L56" s="1596"/>
      <c r="M56" s="1596"/>
    </row>
    <row r="57" spans="1:13" s="835" customFormat="1">
      <c r="A57" s="1585">
        <v>70203</v>
      </c>
      <c r="B57" s="1586" t="s">
        <v>130</v>
      </c>
      <c r="C57" s="1587">
        <v>646726.82999999996</v>
      </c>
      <c r="D57" s="1599"/>
      <c r="E57" s="1588">
        <f t="shared" si="0"/>
        <v>646726.82999999996</v>
      </c>
      <c r="F57" s="1596"/>
      <c r="G57" s="1596"/>
      <c r="H57" s="1596"/>
      <c r="I57" s="1596"/>
      <c r="J57" s="1596"/>
      <c r="K57" s="1596"/>
      <c r="L57" s="1596"/>
      <c r="M57" s="1596"/>
    </row>
    <row r="58" spans="1:13" s="835" customFormat="1">
      <c r="A58" s="1585">
        <v>70205</v>
      </c>
      <c r="B58" s="1586" t="s">
        <v>254</v>
      </c>
      <c r="C58" s="1587">
        <v>380945.45</v>
      </c>
      <c r="D58" s="1599"/>
      <c r="E58" s="1588">
        <f t="shared" si="0"/>
        <v>380945.45</v>
      </c>
      <c r="F58" s="1596"/>
      <c r="G58" s="1596"/>
      <c r="H58" s="1596"/>
      <c r="I58" s="1596"/>
      <c r="J58" s="1596"/>
      <c r="K58" s="1596"/>
      <c r="L58" s="1596"/>
      <c r="M58" s="1596"/>
    </row>
    <row r="59" spans="1:13" s="835" customFormat="1">
      <c r="A59" s="1585">
        <v>70206</v>
      </c>
      <c r="B59" s="1586" t="s">
        <v>261</v>
      </c>
      <c r="C59" s="1587">
        <v>387023.69999999995</v>
      </c>
      <c r="D59" s="1599"/>
      <c r="E59" s="1588">
        <f t="shared" si="0"/>
        <v>387023.69999999995</v>
      </c>
      <c r="F59" s="1596"/>
      <c r="G59" s="1596"/>
      <c r="H59" s="1596"/>
      <c r="I59" s="1596"/>
      <c r="J59" s="1596"/>
      <c r="K59" s="1596"/>
      <c r="L59" s="1596"/>
      <c r="M59" s="1596"/>
    </row>
    <row r="60" spans="1:13" s="835" customFormat="1">
      <c r="A60" s="1585">
        <v>70210</v>
      </c>
      <c r="B60" s="1586" t="s">
        <v>262</v>
      </c>
      <c r="C60" s="1587">
        <v>274463.08</v>
      </c>
      <c r="D60" s="1599"/>
      <c r="E60" s="1588">
        <f t="shared" si="0"/>
        <v>274463.08</v>
      </c>
      <c r="F60" s="1596"/>
      <c r="G60" s="1596"/>
      <c r="H60" s="1596"/>
      <c r="I60" s="1596"/>
      <c r="J60" s="1596"/>
      <c r="K60" s="1596"/>
      <c r="L60" s="1596"/>
      <c r="M60" s="1596"/>
    </row>
    <row r="61" spans="1:13" s="835" customFormat="1">
      <c r="A61" s="1585">
        <v>70214</v>
      </c>
      <c r="B61" s="1586" t="s">
        <v>99</v>
      </c>
      <c r="C61" s="1587">
        <v>23729.35</v>
      </c>
      <c r="D61" s="1599"/>
      <c r="E61" s="1588">
        <f t="shared" si="0"/>
        <v>23729.35</v>
      </c>
      <c r="F61" s="1596"/>
      <c r="G61" s="1596"/>
      <c r="H61" s="1596"/>
      <c r="I61" s="1596"/>
      <c r="J61" s="1596"/>
      <c r="K61" s="1596"/>
      <c r="L61" s="1596"/>
      <c r="M61" s="1596"/>
    </row>
    <row r="62" spans="1:13" s="835" customFormat="1">
      <c r="A62" s="1585">
        <v>70215</v>
      </c>
      <c r="B62" s="1586" t="s">
        <v>100</v>
      </c>
      <c r="C62" s="1587">
        <v>3875955.01</v>
      </c>
      <c r="D62" s="1599"/>
      <c r="E62" s="1588">
        <f t="shared" si="0"/>
        <v>3875955.01</v>
      </c>
      <c r="F62" s="1596"/>
      <c r="G62" s="1596"/>
      <c r="H62" s="1596"/>
      <c r="I62" s="1596"/>
      <c r="J62" s="1596"/>
      <c r="K62" s="1596"/>
      <c r="L62" s="1596"/>
      <c r="M62" s="1596"/>
    </row>
    <row r="63" spans="1:13" s="835" customFormat="1">
      <c r="A63" s="1585">
        <v>70216</v>
      </c>
      <c r="B63" s="1586" t="s">
        <v>1758</v>
      </c>
      <c r="C63" s="1587">
        <v>104916.29999999999</v>
      </c>
      <c r="D63" s="1599"/>
      <c r="E63" s="1588">
        <f t="shared" si="0"/>
        <v>104916.29999999999</v>
      </c>
      <c r="F63" s="1596"/>
      <c r="G63" s="1596"/>
      <c r="H63" s="1596"/>
      <c r="I63" s="1596"/>
      <c r="J63" s="1596"/>
      <c r="K63" s="1596"/>
      <c r="L63" s="1596"/>
      <c r="M63" s="1596"/>
    </row>
    <row r="64" spans="1:13" s="835" customFormat="1">
      <c r="A64" s="1585">
        <v>70230</v>
      </c>
      <c r="B64" s="1586" t="s">
        <v>134</v>
      </c>
      <c r="C64" s="1587">
        <v>156443.75</v>
      </c>
      <c r="D64" s="1599"/>
      <c r="E64" s="1588">
        <f t="shared" si="0"/>
        <v>156443.75</v>
      </c>
      <c r="F64" s="1596"/>
      <c r="G64" s="1596"/>
      <c r="H64" s="1596"/>
      <c r="I64" s="1596"/>
      <c r="J64" s="1596"/>
      <c r="K64" s="1596"/>
      <c r="L64" s="1596"/>
      <c r="M64" s="1596"/>
    </row>
    <row r="65" spans="1:13" s="835" customFormat="1">
      <c r="A65" s="1585">
        <v>70231</v>
      </c>
      <c r="B65" s="1586" t="s">
        <v>135</v>
      </c>
      <c r="C65" s="1587">
        <v>748746.38</v>
      </c>
      <c r="D65" s="1599"/>
      <c r="E65" s="1588">
        <f t="shared" si="0"/>
        <v>748746.38</v>
      </c>
      <c r="F65" s="1596"/>
      <c r="G65" s="1596"/>
      <c r="H65" s="1596"/>
      <c r="I65" s="1596"/>
      <c r="J65" s="1596"/>
      <c r="K65" s="1596"/>
      <c r="L65" s="1596"/>
      <c r="M65" s="1596"/>
    </row>
    <row r="66" spans="1:13" s="835" customFormat="1">
      <c r="A66" s="1585">
        <v>70232</v>
      </c>
      <c r="B66" s="1586" t="s">
        <v>136</v>
      </c>
      <c r="C66" s="1587">
        <v>0</v>
      </c>
      <c r="D66" s="1599"/>
      <c r="E66" s="1588">
        <f t="shared" si="0"/>
        <v>0</v>
      </c>
      <c r="F66" s="1596"/>
      <c r="G66" s="1596"/>
      <c r="H66" s="1596"/>
      <c r="I66" s="1596"/>
      <c r="J66" s="1596"/>
      <c r="K66" s="1596"/>
      <c r="L66" s="1596"/>
      <c r="M66" s="1596"/>
    </row>
    <row r="67" spans="1:13" s="835" customFormat="1">
      <c r="A67" s="1585">
        <v>70235</v>
      </c>
      <c r="B67" s="1586" t="s">
        <v>107</v>
      </c>
      <c r="C67" s="1587">
        <v>5875131.75</v>
      </c>
      <c r="D67" s="1599">
        <f>-C67</f>
        <v>-5875131.75</v>
      </c>
      <c r="E67" s="1588">
        <f t="shared" si="0"/>
        <v>0</v>
      </c>
      <c r="F67" s="1596"/>
      <c r="G67" s="1596"/>
      <c r="H67" s="1596"/>
      <c r="I67" s="1596"/>
      <c r="J67" s="1596"/>
      <c r="K67" s="1596"/>
      <c r="L67" s="1596"/>
      <c r="M67" s="1596"/>
    </row>
    <row r="68" spans="1:13" s="835" customFormat="1">
      <c r="A68" s="1585">
        <v>70240</v>
      </c>
      <c r="B68" s="1586" t="s">
        <v>1759</v>
      </c>
      <c r="C68" s="1587">
        <v>5000201.32</v>
      </c>
      <c r="D68" s="1599"/>
      <c r="E68" s="1588">
        <f t="shared" si="0"/>
        <v>5000201.32</v>
      </c>
      <c r="F68" s="1596"/>
      <c r="G68" s="1596"/>
      <c r="H68" s="1596"/>
      <c r="I68" s="1596"/>
      <c r="J68" s="1596"/>
      <c r="K68" s="1596"/>
      <c r="L68" s="1596"/>
      <c r="M68" s="1596"/>
    </row>
    <row r="69" spans="1:13" s="835" customFormat="1">
      <c r="A69" s="1585">
        <v>70245</v>
      </c>
      <c r="B69" s="1586" t="s">
        <v>1760</v>
      </c>
      <c r="C69" s="1587">
        <v>1145980.98</v>
      </c>
      <c r="D69" s="1599"/>
      <c r="E69" s="1588">
        <f t="shared" si="0"/>
        <v>1145980.98</v>
      </c>
      <c r="F69" s="1596"/>
      <c r="G69" s="1596"/>
      <c r="H69" s="1596"/>
      <c r="I69" s="1596"/>
      <c r="J69" s="1596"/>
      <c r="K69" s="1596"/>
      <c r="L69" s="1596"/>
      <c r="M69" s="1596"/>
    </row>
    <row r="70" spans="1:13" s="835" customFormat="1">
      <c r="A70" s="1585">
        <v>70250</v>
      </c>
      <c r="B70" s="1586" t="s">
        <v>1761</v>
      </c>
      <c r="C70" s="1587">
        <v>11560044.870000001</v>
      </c>
      <c r="D70" s="1599">
        <f>-C70</f>
        <v>-11560044.870000001</v>
      </c>
      <c r="E70" s="1588">
        <f t="shared" si="0"/>
        <v>0</v>
      </c>
      <c r="F70" s="1596"/>
      <c r="G70" s="1596"/>
      <c r="H70" s="1596"/>
      <c r="I70" s="1596"/>
      <c r="J70" s="1596"/>
      <c r="K70" s="1596"/>
      <c r="L70" s="1596"/>
      <c r="M70" s="1596"/>
    </row>
    <row r="71" spans="1:13" s="835" customFormat="1">
      <c r="A71" s="1585">
        <v>70255</v>
      </c>
      <c r="B71" s="1586" t="s">
        <v>65</v>
      </c>
      <c r="C71" s="1587">
        <v>2759152.4699999997</v>
      </c>
      <c r="D71" s="1599"/>
      <c r="E71" s="1588">
        <f t="shared" si="0"/>
        <v>2759152.4699999997</v>
      </c>
      <c r="F71" s="1596"/>
      <c r="G71" s="1596"/>
      <c r="H71" s="1596"/>
      <c r="I71" s="1596"/>
      <c r="J71" s="1596"/>
      <c r="K71" s="1596"/>
      <c r="L71" s="1596"/>
      <c r="M71" s="1596"/>
    </row>
    <row r="72" spans="1:13" s="835" customFormat="1">
      <c r="A72" s="1585">
        <v>70260</v>
      </c>
      <c r="B72" s="1586" t="s">
        <v>270</v>
      </c>
      <c r="C72" s="1587">
        <v>6159513.46</v>
      </c>
      <c r="D72" s="1601">
        <v>-63927</v>
      </c>
      <c r="E72" s="1588">
        <f t="shared" si="0"/>
        <v>6095586.46</v>
      </c>
      <c r="F72" s="1596" t="s">
        <v>2354</v>
      </c>
      <c r="G72" s="1596"/>
      <c r="H72" s="1596"/>
      <c r="I72" s="1596"/>
      <c r="J72" s="1596"/>
      <c r="K72" s="1596"/>
      <c r="L72" s="1596"/>
      <c r="M72" s="1596"/>
    </row>
    <row r="73" spans="1:13" s="835" customFormat="1">
      <c r="A73" s="1585">
        <v>70271</v>
      </c>
      <c r="B73" s="1586" t="s">
        <v>1749</v>
      </c>
      <c r="C73" s="1587">
        <v>790210.7</v>
      </c>
      <c r="D73" s="1599"/>
      <c r="E73" s="1588">
        <f t="shared" si="0"/>
        <v>790210.7</v>
      </c>
      <c r="F73" s="1596"/>
      <c r="G73" s="1596"/>
      <c r="H73" s="1596"/>
      <c r="I73" s="1596"/>
      <c r="J73" s="1596"/>
      <c r="K73" s="1596"/>
      <c r="L73" s="1596"/>
      <c r="M73" s="1596"/>
    </row>
    <row r="74" spans="1:13" s="835" customFormat="1">
      <c r="A74" s="1585">
        <v>70273</v>
      </c>
      <c r="B74" s="1586" t="s">
        <v>1762</v>
      </c>
      <c r="C74" s="1587">
        <v>94944</v>
      </c>
      <c r="D74" s="1599">
        <f>-C74</f>
        <v>-94944</v>
      </c>
      <c r="E74" s="1588">
        <f t="shared" si="0"/>
        <v>0</v>
      </c>
      <c r="F74" s="1596"/>
      <c r="G74" s="1596"/>
      <c r="H74" s="1596"/>
      <c r="I74" s="1596"/>
      <c r="J74" s="1596"/>
      <c r="K74" s="1596"/>
      <c r="L74" s="1596"/>
      <c r="M74" s="1596"/>
    </row>
    <row r="75" spans="1:13" s="835" customFormat="1">
      <c r="A75" s="1585">
        <v>70275</v>
      </c>
      <c r="B75" s="1586" t="s">
        <v>238</v>
      </c>
      <c r="C75" s="1587">
        <v>114991.20000000001</v>
      </c>
      <c r="D75" s="1599"/>
      <c r="E75" s="1588">
        <f t="shared" si="0"/>
        <v>114991.20000000001</v>
      </c>
      <c r="F75" s="1596"/>
      <c r="G75" s="1596"/>
      <c r="H75" s="1596"/>
      <c r="I75" s="1596"/>
      <c r="J75" s="1596"/>
      <c r="K75" s="1596"/>
      <c r="L75" s="1596"/>
      <c r="M75" s="1596"/>
    </row>
    <row r="76" spans="1:13" s="835" customFormat="1">
      <c r="A76" s="1585">
        <v>70300</v>
      </c>
      <c r="B76" s="1586" t="s">
        <v>102</v>
      </c>
      <c r="C76" s="1587">
        <v>-478997.63</v>
      </c>
      <c r="D76" s="1599"/>
      <c r="E76" s="1588">
        <f t="shared" ref="E76:E84" si="1">+C76+D76</f>
        <v>-478997.63</v>
      </c>
      <c r="F76" s="1596"/>
      <c r="G76" s="1596"/>
      <c r="H76" s="1596"/>
      <c r="I76" s="1596"/>
      <c r="J76" s="1596"/>
      <c r="K76" s="1596"/>
      <c r="L76" s="1596"/>
      <c r="M76" s="1596"/>
    </row>
    <row r="77" spans="1:13" s="835" customFormat="1">
      <c r="A77" s="1585">
        <v>70301</v>
      </c>
      <c r="B77" s="1586" t="s">
        <v>103</v>
      </c>
      <c r="C77" s="1587">
        <v>25700.86</v>
      </c>
      <c r="D77" s="1599"/>
      <c r="E77" s="1588">
        <f t="shared" si="1"/>
        <v>25700.86</v>
      </c>
      <c r="F77" s="1596"/>
      <c r="G77" s="1596"/>
      <c r="H77" s="1596"/>
      <c r="I77" s="1596"/>
      <c r="J77" s="1596"/>
      <c r="K77" s="1596"/>
      <c r="L77" s="1596"/>
      <c r="M77" s="1596"/>
    </row>
    <row r="78" spans="1:13" s="835" customFormat="1">
      <c r="A78" s="1585">
        <v>70302</v>
      </c>
      <c r="B78" s="1586" t="s">
        <v>263</v>
      </c>
      <c r="C78" s="1587">
        <v>94819.66</v>
      </c>
      <c r="D78" s="1599"/>
      <c r="E78" s="1588">
        <f t="shared" si="1"/>
        <v>94819.66</v>
      </c>
      <c r="F78" s="1596"/>
      <c r="G78" s="1596"/>
      <c r="H78" s="1596"/>
      <c r="I78" s="1596"/>
      <c r="J78" s="1596"/>
      <c r="K78" s="1596"/>
      <c r="L78" s="1596"/>
      <c r="M78" s="1596"/>
    </row>
    <row r="79" spans="1:13" s="835" customFormat="1">
      <c r="A79" s="1585">
        <v>70324</v>
      </c>
      <c r="B79" s="1586" t="s">
        <v>138</v>
      </c>
      <c r="C79" s="1587">
        <v>48852.53</v>
      </c>
      <c r="D79" s="1599">
        <f>-C79</f>
        <v>-48852.53</v>
      </c>
      <c r="E79" s="1588">
        <f t="shared" si="1"/>
        <v>0</v>
      </c>
      <c r="F79" s="1596"/>
      <c r="G79" s="1596"/>
      <c r="H79" s="1596"/>
      <c r="I79" s="1596"/>
      <c r="J79" s="1596"/>
      <c r="K79" s="1596"/>
      <c r="L79" s="1596"/>
      <c r="M79" s="1596"/>
    </row>
    <row r="80" spans="1:13" s="835" customFormat="1">
      <c r="A80" s="1585">
        <v>70345</v>
      </c>
      <c r="B80" s="1586" t="s">
        <v>97</v>
      </c>
      <c r="C80" s="1587">
        <v>0</v>
      </c>
      <c r="D80" s="1599"/>
      <c r="E80" s="1588">
        <f t="shared" si="1"/>
        <v>0</v>
      </c>
      <c r="F80" s="1596"/>
      <c r="G80" s="1596"/>
      <c r="H80" s="1596"/>
      <c r="I80" s="1596"/>
      <c r="J80" s="1596"/>
      <c r="K80" s="1596"/>
      <c r="L80" s="1596"/>
      <c r="M80" s="1596"/>
    </row>
    <row r="81" spans="1:5">
      <c r="A81" s="1585">
        <v>70357</v>
      </c>
      <c r="B81" s="1586" t="s">
        <v>140</v>
      </c>
      <c r="C81" s="1587">
        <v>50</v>
      </c>
      <c r="D81" s="1599"/>
      <c r="E81" s="1588">
        <f t="shared" si="1"/>
        <v>50</v>
      </c>
    </row>
    <row r="82" spans="1:5">
      <c r="A82" s="1585">
        <v>70371</v>
      </c>
      <c r="B82" s="1586" t="s">
        <v>1763</v>
      </c>
      <c r="C82" s="1587">
        <v>790547.46</v>
      </c>
      <c r="D82" s="1599"/>
      <c r="E82" s="1588">
        <f t="shared" si="1"/>
        <v>790547.46</v>
      </c>
    </row>
    <row r="83" spans="1:5">
      <c r="A83" s="1585">
        <v>70372</v>
      </c>
      <c r="B83" s="1586" t="s">
        <v>1764</v>
      </c>
      <c r="C83" s="1587">
        <v>194616.58000000002</v>
      </c>
      <c r="D83" s="1599"/>
      <c r="E83" s="1588">
        <f t="shared" si="1"/>
        <v>194616.58000000002</v>
      </c>
    </row>
    <row r="84" spans="1:5">
      <c r="A84" s="1585">
        <v>70475</v>
      </c>
      <c r="B84" s="1586" t="s">
        <v>1765</v>
      </c>
      <c r="C84" s="1587">
        <v>806346.81</v>
      </c>
      <c r="D84" s="1599">
        <f>-C84</f>
        <v>-806346.81</v>
      </c>
      <c r="E84" s="1588">
        <f t="shared" si="1"/>
        <v>0</v>
      </c>
    </row>
    <row r="85" spans="1:5">
      <c r="A85" s="1586"/>
      <c r="B85" s="1586" t="s">
        <v>1766</v>
      </c>
      <c r="C85" s="1589">
        <v>162622678.09999996</v>
      </c>
      <c r="D85" s="1589">
        <f>+SUM(D11:D84)</f>
        <v>-63762854.169620663</v>
      </c>
      <c r="E85" s="1589">
        <f>+SUM(E11:E84)</f>
        <v>98859823.930379316</v>
      </c>
    </row>
    <row r="86" spans="1:5">
      <c r="A86" s="1586" t="s">
        <v>1767</v>
      </c>
      <c r="B86" s="1586" t="s">
        <v>1768</v>
      </c>
      <c r="C86" s="1587">
        <v>5355824326.5200005</v>
      </c>
      <c r="D86" s="1602"/>
      <c r="E86" s="1590">
        <f>+C86</f>
        <v>5355824326.5200005</v>
      </c>
    </row>
    <row r="87" spans="1:5" ht="15.75" thickBot="1">
      <c r="A87" s="1586"/>
      <c r="B87" s="1586"/>
      <c r="C87" s="1591">
        <f>C85/C86</f>
        <v>3.0363706534352601E-2</v>
      </c>
      <c r="D87" s="1603"/>
      <c r="E87" s="1591">
        <f>E85/E86</f>
        <v>1.8458376881568567E-2</v>
      </c>
    </row>
    <row r="88" spans="1:5">
      <c r="D88" s="1596"/>
    </row>
    <row r="89" spans="1:5">
      <c r="B89" s="1592" t="s">
        <v>1769</v>
      </c>
      <c r="C89" s="1587">
        <v>779322786.87000036</v>
      </c>
    </row>
    <row r="90" spans="1:5">
      <c r="A90" s="1581" t="s">
        <v>1770</v>
      </c>
      <c r="B90" s="1592" t="s">
        <v>1771</v>
      </c>
      <c r="C90" s="1587">
        <v>6135147113.3900003</v>
      </c>
    </row>
    <row r="91" spans="1:5" ht="15.75" thickBot="1">
      <c r="B91" s="1592" t="s">
        <v>1772</v>
      </c>
      <c r="C91" s="1591">
        <v>2.6506728379026945E-2</v>
      </c>
    </row>
    <row r="92" spans="1:5">
      <c r="C92" s="1604"/>
    </row>
  </sheetData>
  <customSheetViews>
    <customSheetView guid="{76FC386D-C488-46EF-BB9C-D1C49FEBAB90}" scale="90" showPageBreaks="1" fitToPage="1" hiddenRows="1" topLeftCell="A55">
      <selection activeCell="R93" sqref="R93"/>
      <pageMargins left="0.7" right="0.7" top="0.75" bottom="0.75" header="0.3" footer="0.3"/>
      <pageSetup scale="71" fitToHeight="0" orientation="landscape" r:id="rId1"/>
      <headerFooter>
        <oddFooter>&amp;L&amp;F - &amp;A&amp;R&amp;P of &amp;N</oddFooter>
      </headerFooter>
    </customSheetView>
    <customSheetView guid="{16F8EA47-9864-4C0F-89A1-62B7CCC013F9}" scale="90" fitToPage="1" hiddenRows="1" topLeftCell="A55">
      <selection activeCell="R93" sqref="R93"/>
      <pageMargins left="0.7" right="0.7" top="0.75" bottom="0.75" header="0.3" footer="0.3"/>
      <pageSetup scale="61" fitToHeight="0" orientation="landscape" r:id="rId2"/>
      <headerFooter>
        <oddFooter>&amp;L&amp;F - &amp;A&amp;R&amp;P of &amp;N</oddFooter>
      </headerFooter>
    </customSheetView>
  </customSheetViews>
  <pageMargins left="0.7" right="0.7" top="0.75" bottom="0.75" header="0.3" footer="0.3"/>
  <pageSetup scale="71" fitToHeight="0" orientation="landscape" r:id="rId3"/>
  <headerFooter>
    <oddFooter>&amp;L&amp;F - &amp;A&amp;R&amp;P of &amp;N</oddFooter>
  </headerFooter>
  <rowBreaks count="1" manualBreakCount="1">
    <brk id="49" max="16383" man="1"/>
  </rowBreaks>
  <legacyDrawing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7" tint="0.59999389629810485"/>
    <pageSetUpPr fitToPage="1"/>
  </sheetPr>
  <dimension ref="A1:AS90"/>
  <sheetViews>
    <sheetView showGridLines="0" tabSelected="1" view="pageBreakPreview" topLeftCell="A9" zoomScale="60" zoomScaleNormal="80" workbookViewId="0">
      <pane ySplit="11" topLeftCell="A20" activePane="bottomLeft" state="frozen"/>
      <selection activeCell="AP280" sqref="AP280"/>
      <selection pane="bottomLeft" activeCell="AP280" sqref="AP280"/>
    </sheetView>
  </sheetViews>
  <sheetFormatPr defaultRowHeight="12.75" outlineLevelRow="1"/>
  <cols>
    <col min="1" max="1" width="2.7109375" style="220" customWidth="1"/>
    <col min="2" max="2" width="39.140625" style="220" customWidth="1"/>
    <col min="3" max="3" width="16.7109375" style="220" customWidth="1"/>
    <col min="4" max="5" width="18.7109375" style="220" customWidth="1"/>
    <col min="6" max="6" width="12.28515625" style="220" customWidth="1"/>
    <col min="7" max="7" width="19" style="220" customWidth="1"/>
    <col min="8" max="8" width="13.42578125" style="220" bestFit="1" customWidth="1"/>
    <col min="9" max="9" width="30.28515625" style="220" customWidth="1"/>
    <col min="10" max="10" width="13.42578125" style="220" bestFit="1" customWidth="1"/>
    <col min="11" max="11" width="13.5703125" style="220" customWidth="1"/>
    <col min="12" max="12" width="15.140625" style="220" customWidth="1"/>
    <col min="13" max="13" width="29.85546875" style="220" customWidth="1"/>
    <col min="14" max="14" width="38.5703125" style="220" customWidth="1"/>
    <col min="15" max="15" width="11.42578125" style="220" customWidth="1"/>
    <col min="16" max="16" width="35.140625" style="220" customWidth="1"/>
    <col min="17" max="17" width="18" style="220" customWidth="1"/>
    <col min="18" max="18" width="14.140625" style="220" customWidth="1"/>
    <col min="19" max="19" width="17.7109375" style="220" customWidth="1"/>
    <col min="20" max="20" width="12.7109375" style="220" customWidth="1"/>
    <col min="21" max="21" width="15.85546875" style="220" customWidth="1"/>
    <col min="22" max="22" width="13.7109375" style="220" bestFit="1" customWidth="1"/>
    <col min="23" max="23" width="13.28515625" style="220" customWidth="1"/>
    <col min="24" max="24" width="12.28515625" style="220" customWidth="1"/>
    <col min="25" max="25" width="11.5703125" style="220" customWidth="1"/>
    <col min="26" max="26" width="9.85546875" style="220" customWidth="1"/>
    <col min="27" max="27" width="11.42578125" style="220" customWidth="1"/>
    <col min="28" max="28" width="11" style="220" customWidth="1"/>
    <col min="29" max="29" width="11.5703125" style="220" customWidth="1"/>
    <col min="30" max="30" width="7" style="220" customWidth="1"/>
    <col min="31" max="31" width="11.140625" style="220" customWidth="1"/>
    <col min="32" max="32" width="11" style="220" customWidth="1"/>
    <col min="33" max="33" width="8.5703125" style="220" customWidth="1"/>
    <col min="34" max="34" width="8.42578125" style="220" customWidth="1"/>
    <col min="35" max="36" width="10.28515625" style="220" customWidth="1"/>
    <col min="37" max="37" width="10.140625" style="220" customWidth="1"/>
    <col min="38" max="38" width="10.42578125" style="220" customWidth="1"/>
    <col min="39" max="39" width="21.140625" style="220" customWidth="1"/>
    <col min="40" max="42" width="18.85546875" style="220" customWidth="1"/>
    <col min="43" max="43" width="20.42578125" style="220" customWidth="1"/>
    <col min="44" max="44" width="9.140625" style="220" customWidth="1"/>
    <col min="45" max="45" width="9.140625" style="220" hidden="1" customWidth="1"/>
    <col min="46" max="46" width="9.140625" style="220" customWidth="1"/>
    <col min="47" max="16384" width="9.140625" style="220"/>
  </cols>
  <sheetData>
    <row r="1" spans="1:43" hidden="1" outlineLevel="1">
      <c r="A1" s="223" t="b">
        <v>1</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row>
    <row r="2" spans="1:43" hidden="1" outlineLevel="1">
      <c r="B2" s="220" t="s">
        <v>414</v>
      </c>
      <c r="C2" s="220" t="s">
        <v>415</v>
      </c>
      <c r="D2" s="224" t="s">
        <v>416</v>
      </c>
      <c r="E2" s="224" t="s">
        <v>417</v>
      </c>
      <c r="F2" s="224" t="s">
        <v>418</v>
      </c>
      <c r="G2" s="220" t="s">
        <v>419</v>
      </c>
      <c r="H2" s="220" t="s">
        <v>420</v>
      </c>
      <c r="I2" s="220" t="s">
        <v>421</v>
      </c>
      <c r="J2" s="220" t="s">
        <v>422</v>
      </c>
      <c r="K2" s="220" t="s">
        <v>423</v>
      </c>
      <c r="L2" s="220" t="s">
        <v>424</v>
      </c>
      <c r="M2" s="220" t="s">
        <v>425</v>
      </c>
      <c r="N2" s="220" t="s">
        <v>426</v>
      </c>
      <c r="O2" s="220" t="s">
        <v>427</v>
      </c>
      <c r="P2" s="220" t="s">
        <v>428</v>
      </c>
      <c r="Q2" s="220" t="s">
        <v>429</v>
      </c>
      <c r="R2" s="220" t="s">
        <v>430</v>
      </c>
      <c r="S2" s="220" t="s">
        <v>431</v>
      </c>
      <c r="T2" s="220" t="s">
        <v>432</v>
      </c>
      <c r="U2" s="220" t="s">
        <v>433</v>
      </c>
      <c r="V2" s="220" t="s">
        <v>434</v>
      </c>
      <c r="W2" s="220" t="s">
        <v>435</v>
      </c>
      <c r="X2" s="220" t="s">
        <v>436</v>
      </c>
      <c r="Y2" s="220" t="s">
        <v>437</v>
      </c>
      <c r="Z2" s="220" t="s">
        <v>438</v>
      </c>
      <c r="AA2" s="220" t="s">
        <v>439</v>
      </c>
      <c r="AB2" s="220" t="s">
        <v>440</v>
      </c>
      <c r="AC2" s="220" t="s">
        <v>441</v>
      </c>
      <c r="AD2" s="220" t="s">
        <v>442</v>
      </c>
      <c r="AE2" s="220" t="s">
        <v>443</v>
      </c>
      <c r="AF2" s="220" t="s">
        <v>444</v>
      </c>
      <c r="AG2" s="220" t="s">
        <v>445</v>
      </c>
      <c r="AH2" s="220" t="s">
        <v>446</v>
      </c>
      <c r="AI2" s="220" t="s">
        <v>447</v>
      </c>
      <c r="AJ2" s="220" t="s">
        <v>448</v>
      </c>
      <c r="AK2" s="220" t="s">
        <v>449</v>
      </c>
      <c r="AL2" s="220" t="s">
        <v>450</v>
      </c>
      <c r="AM2" s="220" t="s">
        <v>451</v>
      </c>
      <c r="AN2" s="220" t="s">
        <v>452</v>
      </c>
      <c r="AO2" s="220" t="s">
        <v>453</v>
      </c>
      <c r="AP2" s="220" t="s">
        <v>454</v>
      </c>
      <c r="AQ2" s="224"/>
    </row>
    <row r="3" spans="1:43" hidden="1" outlineLevel="1">
      <c r="A3" s="223" t="s">
        <v>455</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row>
    <row r="4" spans="1:43" hidden="1" outlineLevel="1">
      <c r="Q4" s="220" t="str">
        <f ca="1">_xll.ReportDrill('[54]JE Lookup'!B1,,_xll.PairGroup(_xll.Pair(G20:G72,'[54]JE Lookup'!N8),_xll.Pair(AB20:AB72,'[54]JE Lookup'!N7)),"JE Lookup")</f>
        <v>OK!: ReportDrill 'JE Lookup' Formula OK [jAction{}]</v>
      </c>
      <c r="U4" s="220" t="str">
        <f ca="1">_xll.ReportDrill(,"APDrill",_xll.PairGroup(_xll.PairExt(AQ20:AQ72,"H8")),"AP Detail")</f>
        <v>OK!: ReportDrill 'AP Detail' Formula OK [jAction{}]</v>
      </c>
      <c r="Y4" s="220" t="str">
        <f ca="1">_xll.ReportDrill(,"JEStaged_DrillToDetail",_xll.PairGroup(_xll.PairExt(Q19:Q72,"dControlNum",TRUE),_xll.PairExt(AP19:AP72,"dDistrict",TRUE),_xll.PairExt(AO19:AO72,"dApplyMonth",TRUE)),"JE Staged Details")</f>
        <v>OK!: ReportDrill 'JE Staged Details' Formula OK [jAction{}]</v>
      </c>
    </row>
    <row r="5" spans="1:43" hidden="1" outlineLevel="1">
      <c r="B5" s="220" t="str">
        <f ca="1">_xll.ReportRange("JEQuery_WithStaged",B20:AS71,B2:AS2,,_xll.Param(I12,DateTo,IF(M12="","all",M12),M13,M14,M15,P12,P13,P14,P15,EntrieShownLimit,DateFrom,DateTo),TRUE)</f>
        <v>OK!: ReportRange Formula OK [jAction{}]</v>
      </c>
      <c r="Q5" s="220" t="str">
        <f ca="1">_xll.ReportDrill('[54]JE Lookup'!B1,,_xll.PairGroup(_xll.Pair(V20:V72,'[54]JE Lookup'!N8),_xll.Pair(AS20:AS72,'[54]JE Lookup'!N7)),"I/C Originating JE")</f>
        <v>OK!: ReportDrill 'I/C Originating JE' Formula OK [jAction{}]</v>
      </c>
    </row>
    <row r="6" spans="1:43" hidden="1" outlineLevel="1">
      <c r="B6" s="222" t="s">
        <v>456</v>
      </c>
      <c r="D6" s="220">
        <v>10000</v>
      </c>
    </row>
    <row r="7" spans="1:43" hidden="1" outlineLevel="1">
      <c r="A7" s="223" t="s">
        <v>457</v>
      </c>
      <c r="B7" s="22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row>
    <row r="8" spans="1:43" hidden="1" outlineLevel="1">
      <c r="B8" s="225" t="s">
        <v>458</v>
      </c>
      <c r="C8" s="220" t="str">
        <f>IF(DateFrom="",CurrentMonth,DateFrom)</f>
        <v>2018-12</v>
      </c>
      <c r="E8" s="225" t="s">
        <v>459</v>
      </c>
      <c r="G8" s="220" t="str">
        <f>IF(DateTo="",CurrentMonth,DateTo)</f>
        <v>2019-11</v>
      </c>
      <c r="I8" s="225" t="s">
        <v>460</v>
      </c>
      <c r="J8" s="226" t="str">
        <f ca="1">TEXT(NOW() - 15,"yyyy-mm")</f>
        <v>2020-01</v>
      </c>
    </row>
    <row r="9" spans="1:43" ht="18" collapsed="1">
      <c r="B9" s="227" t="s">
        <v>461</v>
      </c>
      <c r="G9" s="228" t="s">
        <v>462</v>
      </c>
      <c r="P9" s="229"/>
      <c r="U9" s="222"/>
    </row>
    <row r="10" spans="1:43" ht="14.25">
      <c r="B10" s="224" t="s">
        <v>463</v>
      </c>
      <c r="G10" s="230"/>
      <c r="P10" s="229"/>
      <c r="U10" s="222"/>
    </row>
    <row r="11" spans="1:43">
      <c r="G11" s="231" t="s">
        <v>464</v>
      </c>
      <c r="H11" s="232"/>
      <c r="I11" s="233"/>
      <c r="L11" s="232" t="s">
        <v>465</v>
      </c>
      <c r="M11" s="232"/>
      <c r="N11" s="232"/>
      <c r="O11" s="232"/>
      <c r="P11" s="232"/>
      <c r="U11" s="224"/>
    </row>
    <row r="12" spans="1:43" s="222" customFormat="1">
      <c r="H12" s="234" t="s">
        <v>466</v>
      </c>
      <c r="I12" s="235" t="s">
        <v>944</v>
      </c>
      <c r="K12" s="236"/>
      <c r="L12" s="222" t="s">
        <v>467</v>
      </c>
      <c r="M12" s="235" t="s">
        <v>167</v>
      </c>
      <c r="O12" s="234" t="s">
        <v>468</v>
      </c>
      <c r="P12" s="237"/>
      <c r="Z12" s="220"/>
      <c r="AA12" s="220"/>
      <c r="AB12" s="220"/>
      <c r="AH12" s="220"/>
      <c r="AI12" s="220"/>
      <c r="AJ12" s="220"/>
      <c r="AK12" s="220"/>
      <c r="AL12" s="220"/>
    </row>
    <row r="13" spans="1:43" s="222" customFormat="1">
      <c r="H13" s="234" t="s">
        <v>469</v>
      </c>
      <c r="I13" s="235" t="s">
        <v>941</v>
      </c>
      <c r="K13" s="236"/>
      <c r="L13" s="222" t="s">
        <v>470</v>
      </c>
      <c r="M13" s="235" t="s">
        <v>545</v>
      </c>
      <c r="N13" s="220"/>
      <c r="O13" s="234" t="s">
        <v>471</v>
      </c>
      <c r="P13" s="238"/>
      <c r="Q13" s="239"/>
      <c r="Z13" s="220"/>
      <c r="AA13" s="220"/>
      <c r="AB13" s="220"/>
      <c r="AH13" s="220"/>
      <c r="AI13" s="220"/>
      <c r="AJ13" s="220"/>
      <c r="AK13" s="220"/>
      <c r="AL13" s="220"/>
    </row>
    <row r="14" spans="1:43">
      <c r="L14" s="222" t="s">
        <v>188</v>
      </c>
      <c r="M14" s="235" t="s">
        <v>187</v>
      </c>
      <c r="O14" s="234" t="s">
        <v>472</v>
      </c>
      <c r="P14" s="238"/>
      <c r="Q14" s="239"/>
    </row>
    <row r="15" spans="1:43">
      <c r="L15" s="222" t="s">
        <v>309</v>
      </c>
      <c r="M15" s="235" t="s">
        <v>187</v>
      </c>
      <c r="O15" s="234" t="s">
        <v>473</v>
      </c>
      <c r="P15" s="240" t="s">
        <v>474</v>
      </c>
    </row>
    <row r="16" spans="1:43">
      <c r="B16" s="241" t="s">
        <v>475</v>
      </c>
      <c r="C16" s="242"/>
      <c r="D16" s="243">
        <f>SUM(D19:D72)</f>
        <v>257499.68000000005</v>
      </c>
      <c r="E16" s="243">
        <f>SUM(E19:E72)</f>
        <v>0</v>
      </c>
      <c r="F16" s="220" t="s">
        <v>476</v>
      </c>
      <c r="N16" s="244"/>
      <c r="O16" s="244"/>
      <c r="P16" s="244"/>
      <c r="Q16" s="244"/>
    </row>
    <row r="17" spans="2:45">
      <c r="B17" s="241" t="s">
        <v>477</v>
      </c>
      <c r="C17" s="242"/>
      <c r="D17" s="245">
        <f>COUNT(D20:D73)</f>
        <v>51</v>
      </c>
      <c r="E17" s="245">
        <f>COUNT(E20:E73)</f>
        <v>51</v>
      </c>
      <c r="F17" s="224" t="s">
        <v>478</v>
      </c>
      <c r="G17" s="246" t="str">
        <f>""&amp;EntrieShownLimit</f>
        <v>10000</v>
      </c>
    </row>
    <row r="18" spans="2:45">
      <c r="O18" s="247"/>
      <c r="R18" s="445" t="s">
        <v>479</v>
      </c>
      <c r="S18" s="446"/>
      <c r="T18" s="446"/>
      <c r="U18" s="446"/>
      <c r="V18" s="446"/>
      <c r="W18" s="446"/>
      <c r="X18" s="446"/>
      <c r="Y18" s="446"/>
      <c r="Z18" s="447"/>
      <c r="AA18" s="447"/>
      <c r="AB18" s="447"/>
      <c r="AC18" s="447"/>
      <c r="AD18" s="447"/>
      <c r="AE18" s="447"/>
      <c r="AF18" s="447"/>
      <c r="AG18" s="447"/>
      <c r="AH18" s="447"/>
      <c r="AI18" s="447"/>
      <c r="AJ18" s="447"/>
      <c r="AK18" s="447"/>
      <c r="AL18" s="447"/>
      <c r="AM18" s="447"/>
      <c r="AN18" s="447"/>
      <c r="AO18" s="447"/>
      <c r="AP18" s="447"/>
      <c r="AQ18" s="447"/>
    </row>
    <row r="19" spans="2:45" s="248" customFormat="1" ht="29.25" customHeight="1" thickBot="1">
      <c r="B19" s="249" t="s">
        <v>480</v>
      </c>
      <c r="C19" s="250" t="s">
        <v>481</v>
      </c>
      <c r="D19" s="251" t="s">
        <v>482</v>
      </c>
      <c r="E19" s="251" t="s">
        <v>483</v>
      </c>
      <c r="F19" s="251" t="s">
        <v>484</v>
      </c>
      <c r="G19" s="252" t="s">
        <v>485</v>
      </c>
      <c r="H19" s="249" t="s">
        <v>486</v>
      </c>
      <c r="I19" s="249" t="s">
        <v>487</v>
      </c>
      <c r="J19" s="249" t="s">
        <v>422</v>
      </c>
      <c r="K19" s="249" t="s">
        <v>488</v>
      </c>
      <c r="L19" s="249" t="s">
        <v>489</v>
      </c>
      <c r="M19" s="249" t="s">
        <v>490</v>
      </c>
      <c r="N19" s="249" t="s">
        <v>491</v>
      </c>
      <c r="O19" s="253" t="s">
        <v>492</v>
      </c>
      <c r="P19" s="249" t="s">
        <v>493</v>
      </c>
      <c r="Q19" s="249" t="s">
        <v>494</v>
      </c>
      <c r="R19" s="249" t="s">
        <v>495</v>
      </c>
      <c r="S19" s="249" t="s">
        <v>496</v>
      </c>
      <c r="T19" s="249" t="s">
        <v>497</v>
      </c>
      <c r="U19" s="249" t="s">
        <v>498</v>
      </c>
      <c r="V19" s="249" t="s">
        <v>499</v>
      </c>
      <c r="W19" s="249" t="s">
        <v>500</v>
      </c>
      <c r="X19" s="249" t="s">
        <v>501</v>
      </c>
      <c r="Y19" s="249" t="s">
        <v>502</v>
      </c>
      <c r="Z19" s="249" t="s">
        <v>503</v>
      </c>
      <c r="AA19" s="249" t="s">
        <v>504</v>
      </c>
      <c r="AB19" s="249" t="s">
        <v>505</v>
      </c>
      <c r="AC19" s="254" t="s">
        <v>506</v>
      </c>
      <c r="AD19" s="254" t="s">
        <v>507</v>
      </c>
      <c r="AE19" s="254" t="s">
        <v>508</v>
      </c>
      <c r="AF19" s="254" t="s">
        <v>509</v>
      </c>
      <c r="AG19" s="254" t="s">
        <v>510</v>
      </c>
      <c r="AH19" s="254" t="s">
        <v>511</v>
      </c>
      <c r="AI19" s="250" t="s">
        <v>512</v>
      </c>
      <c r="AJ19" s="250" t="s">
        <v>513</v>
      </c>
      <c r="AK19" s="250" t="s">
        <v>514</v>
      </c>
      <c r="AL19" s="250" t="s">
        <v>515</v>
      </c>
      <c r="AM19" s="250" t="s">
        <v>516</v>
      </c>
      <c r="AN19" s="250" t="s">
        <v>452</v>
      </c>
      <c r="AO19" s="448" t="s">
        <v>517</v>
      </c>
      <c r="AP19" s="448" t="s">
        <v>518</v>
      </c>
      <c r="AQ19" s="448" t="s">
        <v>519</v>
      </c>
    </row>
    <row r="20" spans="2:45">
      <c r="B20" s="220" t="s">
        <v>524</v>
      </c>
      <c r="C20" s="255">
        <v>43465</v>
      </c>
      <c r="D20" s="256">
        <v>4021.88</v>
      </c>
      <c r="E20" s="256">
        <v>0</v>
      </c>
      <c r="F20" s="257" t="s">
        <v>413</v>
      </c>
      <c r="G20" s="220" t="s">
        <v>657</v>
      </c>
      <c r="H20" s="258" t="s">
        <v>520</v>
      </c>
      <c r="I20" s="220" t="s">
        <v>544</v>
      </c>
      <c r="J20" s="220" t="s">
        <v>543</v>
      </c>
      <c r="K20" s="220" t="s">
        <v>522</v>
      </c>
      <c r="L20" s="226"/>
      <c r="M20" s="226"/>
      <c r="N20" s="226" t="s">
        <v>526</v>
      </c>
      <c r="O20" s="247"/>
      <c r="P20" s="226"/>
      <c r="Q20" s="226"/>
      <c r="U20" s="220" t="s">
        <v>658</v>
      </c>
      <c r="V20" s="220" t="s">
        <v>658</v>
      </c>
      <c r="X20" s="255">
        <v>43469</v>
      </c>
      <c r="Y20" s="255">
        <v>43469</v>
      </c>
      <c r="AA20" s="255"/>
      <c r="AB20" s="220" t="s">
        <v>523</v>
      </c>
      <c r="AC20" s="220">
        <v>0</v>
      </c>
      <c r="AD20" s="220">
        <v>0</v>
      </c>
      <c r="AE20" s="220">
        <v>0</v>
      </c>
      <c r="AF20" s="220">
        <v>0</v>
      </c>
      <c r="AG20" s="220">
        <v>0</v>
      </c>
      <c r="AH20" s="220">
        <v>1</v>
      </c>
      <c r="AI20" s="220">
        <v>41129</v>
      </c>
      <c r="AJ20" s="220">
        <v>2180</v>
      </c>
      <c r="AK20" s="220">
        <v>0</v>
      </c>
      <c r="AL20" s="220">
        <v>3</v>
      </c>
      <c r="AO20" s="258"/>
      <c r="AP20" s="258"/>
      <c r="AQ20" s="220" t="str">
        <f>IF(LEFT(U20,2)="VO",U20,"")</f>
        <v/>
      </c>
      <c r="AS20" s="220" t="str">
        <f>IF(RIGHT(K20,2)="IC",IF(OR(AB20="wci_canada",AB20="wci_can_corp"),"wci_can_Corp","wci_corp"),AB20)</f>
        <v>wci_corp</v>
      </c>
    </row>
    <row r="21" spans="2:45">
      <c r="B21" s="220" t="s">
        <v>524</v>
      </c>
      <c r="C21" s="255">
        <v>43465</v>
      </c>
      <c r="D21" s="256">
        <v>8268.75</v>
      </c>
      <c r="E21" s="256">
        <v>0</v>
      </c>
      <c r="F21" s="257" t="s">
        <v>413</v>
      </c>
      <c r="G21" s="220" t="s">
        <v>657</v>
      </c>
      <c r="H21" s="258" t="s">
        <v>520</v>
      </c>
      <c r="I21" s="220" t="s">
        <v>544</v>
      </c>
      <c r="J21" s="220" t="s">
        <v>543</v>
      </c>
      <c r="K21" s="220" t="s">
        <v>522</v>
      </c>
      <c r="L21" s="226"/>
      <c r="M21" s="226"/>
      <c r="N21" s="226" t="s">
        <v>527</v>
      </c>
      <c r="O21" s="247"/>
      <c r="P21" s="226"/>
      <c r="Q21" s="226"/>
      <c r="U21" s="220" t="s">
        <v>658</v>
      </c>
      <c r="V21" s="220" t="s">
        <v>658</v>
      </c>
      <c r="X21" s="255">
        <v>43469</v>
      </c>
      <c r="Y21" s="255">
        <v>43469</v>
      </c>
      <c r="AA21" s="255"/>
      <c r="AB21" s="220" t="s">
        <v>523</v>
      </c>
      <c r="AC21" s="220">
        <v>0</v>
      </c>
      <c r="AD21" s="220">
        <v>0</v>
      </c>
      <c r="AE21" s="220">
        <v>0</v>
      </c>
      <c r="AF21" s="220">
        <v>0</v>
      </c>
      <c r="AG21" s="220">
        <v>0</v>
      </c>
      <c r="AH21" s="220">
        <v>1</v>
      </c>
      <c r="AI21" s="220">
        <v>41129</v>
      </c>
      <c r="AJ21" s="220">
        <v>2180</v>
      </c>
      <c r="AK21" s="220">
        <v>0</v>
      </c>
      <c r="AL21" s="220">
        <v>3</v>
      </c>
      <c r="AO21" s="258"/>
      <c r="AP21" s="258"/>
      <c r="AQ21" s="220" t="str">
        <f t="shared" ref="AQ21:AQ70" si="0">IF(LEFT(U21,2)="VO",U21,"")</f>
        <v/>
      </c>
      <c r="AS21" s="220" t="str">
        <f t="shared" ref="AS21:AS70" si="1">IF(RIGHT(K21,2)="IC",IF(OR(AB21="wci_canada",AB21="wci_can_corp"),"wci_can_Corp","wci_corp"),AB21)</f>
        <v>wci_corp</v>
      </c>
    </row>
    <row r="22" spans="2:45">
      <c r="B22" s="220" t="s">
        <v>524</v>
      </c>
      <c r="C22" s="255">
        <v>43465</v>
      </c>
      <c r="D22" s="256">
        <v>1743.75</v>
      </c>
      <c r="E22" s="256">
        <v>0</v>
      </c>
      <c r="F22" s="257" t="s">
        <v>413</v>
      </c>
      <c r="G22" s="220" t="s">
        <v>657</v>
      </c>
      <c r="H22" s="258" t="s">
        <v>520</v>
      </c>
      <c r="I22" s="220" t="s">
        <v>544</v>
      </c>
      <c r="J22" s="220" t="s">
        <v>543</v>
      </c>
      <c r="K22" s="220" t="s">
        <v>522</v>
      </c>
      <c r="L22" s="226"/>
      <c r="M22" s="226"/>
      <c r="N22" s="226" t="s">
        <v>528</v>
      </c>
      <c r="O22" s="247"/>
      <c r="P22" s="226"/>
      <c r="Q22" s="226"/>
      <c r="U22" s="220" t="s">
        <v>658</v>
      </c>
      <c r="V22" s="220" t="s">
        <v>658</v>
      </c>
      <c r="X22" s="255">
        <v>43469</v>
      </c>
      <c r="Y22" s="255">
        <v>43469</v>
      </c>
      <c r="AA22" s="255"/>
      <c r="AB22" s="220" t="s">
        <v>523</v>
      </c>
      <c r="AC22" s="220">
        <v>0</v>
      </c>
      <c r="AD22" s="220">
        <v>0</v>
      </c>
      <c r="AE22" s="220">
        <v>0</v>
      </c>
      <c r="AF22" s="220">
        <v>0</v>
      </c>
      <c r="AG22" s="220">
        <v>0</v>
      </c>
      <c r="AH22" s="220">
        <v>1</v>
      </c>
      <c r="AI22" s="220">
        <v>41129</v>
      </c>
      <c r="AJ22" s="220">
        <v>2180</v>
      </c>
      <c r="AK22" s="220">
        <v>0</v>
      </c>
      <c r="AL22" s="220">
        <v>3</v>
      </c>
      <c r="AO22" s="258"/>
      <c r="AP22" s="258"/>
      <c r="AQ22" s="220" t="str">
        <f t="shared" si="0"/>
        <v/>
      </c>
      <c r="AS22" s="220" t="str">
        <f t="shared" si="1"/>
        <v>wci_corp</v>
      </c>
    </row>
    <row r="23" spans="2:45">
      <c r="B23" s="220" t="s">
        <v>524</v>
      </c>
      <c r="C23" s="255">
        <v>43496</v>
      </c>
      <c r="D23" s="256">
        <v>618.75</v>
      </c>
      <c r="E23" s="256">
        <v>0</v>
      </c>
      <c r="F23" s="257" t="s">
        <v>413</v>
      </c>
      <c r="G23" s="220" t="s">
        <v>659</v>
      </c>
      <c r="H23" s="258" t="s">
        <v>520</v>
      </c>
      <c r="I23" s="220" t="s">
        <v>544</v>
      </c>
      <c r="J23" s="220" t="s">
        <v>536</v>
      </c>
      <c r="K23" s="220" t="s">
        <v>522</v>
      </c>
      <c r="L23" s="226"/>
      <c r="M23" s="226"/>
      <c r="N23" s="226" t="s">
        <v>525</v>
      </c>
      <c r="O23" s="247"/>
      <c r="P23" s="226"/>
      <c r="Q23" s="226"/>
      <c r="U23" s="220" t="s">
        <v>660</v>
      </c>
      <c r="V23" s="220" t="s">
        <v>660</v>
      </c>
      <c r="X23" s="255">
        <v>43501</v>
      </c>
      <c r="Y23" s="255">
        <v>43501</v>
      </c>
      <c r="AA23" s="255"/>
      <c r="AB23" s="220" t="s">
        <v>523</v>
      </c>
      <c r="AC23" s="220">
        <v>0</v>
      </c>
      <c r="AD23" s="220">
        <v>0</v>
      </c>
      <c r="AE23" s="220">
        <v>0</v>
      </c>
      <c r="AF23" s="220">
        <v>0</v>
      </c>
      <c r="AG23" s="220">
        <v>0</v>
      </c>
      <c r="AH23" s="220">
        <v>1</v>
      </c>
      <c r="AI23" s="220">
        <v>41129</v>
      </c>
      <c r="AJ23" s="220">
        <v>2180</v>
      </c>
      <c r="AK23" s="220">
        <v>0</v>
      </c>
      <c r="AL23" s="220">
        <v>3</v>
      </c>
      <c r="AO23" s="258"/>
      <c r="AP23" s="258"/>
      <c r="AQ23" s="220" t="str">
        <f t="shared" si="0"/>
        <v/>
      </c>
      <c r="AS23" s="220" t="str">
        <f t="shared" si="1"/>
        <v>wci_corp</v>
      </c>
    </row>
    <row r="24" spans="2:45">
      <c r="B24" s="220" t="s">
        <v>524</v>
      </c>
      <c r="C24" s="255">
        <v>43496</v>
      </c>
      <c r="D24" s="256">
        <v>4781.25</v>
      </c>
      <c r="E24" s="256">
        <v>0</v>
      </c>
      <c r="F24" s="257" t="s">
        <v>413</v>
      </c>
      <c r="G24" s="220" t="s">
        <v>659</v>
      </c>
      <c r="H24" s="258" t="s">
        <v>520</v>
      </c>
      <c r="I24" s="220" t="s">
        <v>544</v>
      </c>
      <c r="J24" s="220" t="s">
        <v>536</v>
      </c>
      <c r="K24" s="220" t="s">
        <v>522</v>
      </c>
      <c r="L24" s="226"/>
      <c r="M24" s="226"/>
      <c r="N24" s="226" t="s">
        <v>526</v>
      </c>
      <c r="O24" s="247"/>
      <c r="P24" s="226"/>
      <c r="Q24" s="226"/>
      <c r="U24" s="220" t="s">
        <v>660</v>
      </c>
      <c r="V24" s="220" t="s">
        <v>660</v>
      </c>
      <c r="X24" s="255">
        <v>43501</v>
      </c>
      <c r="Y24" s="255">
        <v>43501</v>
      </c>
      <c r="AA24" s="255"/>
      <c r="AB24" s="220" t="s">
        <v>523</v>
      </c>
      <c r="AC24" s="220">
        <v>0</v>
      </c>
      <c r="AD24" s="220">
        <v>0</v>
      </c>
      <c r="AE24" s="220">
        <v>0</v>
      </c>
      <c r="AF24" s="220">
        <v>0</v>
      </c>
      <c r="AG24" s="220">
        <v>0</v>
      </c>
      <c r="AH24" s="220">
        <v>1</v>
      </c>
      <c r="AI24" s="220">
        <v>41129</v>
      </c>
      <c r="AJ24" s="220">
        <v>2180</v>
      </c>
      <c r="AK24" s="220">
        <v>0</v>
      </c>
      <c r="AL24" s="220">
        <v>3</v>
      </c>
      <c r="AO24" s="258"/>
      <c r="AP24" s="258"/>
      <c r="AQ24" s="220" t="str">
        <f t="shared" si="0"/>
        <v/>
      </c>
      <c r="AS24" s="220" t="str">
        <f t="shared" si="1"/>
        <v>wci_corp</v>
      </c>
    </row>
    <row r="25" spans="2:45">
      <c r="B25" s="220" t="s">
        <v>524</v>
      </c>
      <c r="C25" s="255">
        <v>43496</v>
      </c>
      <c r="D25" s="256">
        <v>3037.5</v>
      </c>
      <c r="E25" s="256">
        <v>0</v>
      </c>
      <c r="F25" s="257" t="s">
        <v>413</v>
      </c>
      <c r="G25" s="220" t="s">
        <v>659</v>
      </c>
      <c r="H25" s="258" t="s">
        <v>520</v>
      </c>
      <c r="I25" s="220" t="s">
        <v>544</v>
      </c>
      <c r="J25" s="220" t="s">
        <v>536</v>
      </c>
      <c r="K25" s="220" t="s">
        <v>522</v>
      </c>
      <c r="L25" s="226"/>
      <c r="M25" s="226"/>
      <c r="N25" s="226" t="s">
        <v>527</v>
      </c>
      <c r="O25" s="247"/>
      <c r="P25" s="226"/>
      <c r="Q25" s="226"/>
      <c r="U25" s="220" t="s">
        <v>660</v>
      </c>
      <c r="V25" s="220" t="s">
        <v>660</v>
      </c>
      <c r="X25" s="255">
        <v>43501</v>
      </c>
      <c r="Y25" s="255">
        <v>43501</v>
      </c>
      <c r="AA25" s="255"/>
      <c r="AB25" s="220" t="s">
        <v>523</v>
      </c>
      <c r="AC25" s="220">
        <v>0</v>
      </c>
      <c r="AD25" s="220">
        <v>0</v>
      </c>
      <c r="AE25" s="220">
        <v>0</v>
      </c>
      <c r="AF25" s="220">
        <v>0</v>
      </c>
      <c r="AG25" s="220">
        <v>0</v>
      </c>
      <c r="AH25" s="220">
        <v>1</v>
      </c>
      <c r="AI25" s="220">
        <v>41129</v>
      </c>
      <c r="AJ25" s="220">
        <v>2180</v>
      </c>
      <c r="AK25" s="220">
        <v>0</v>
      </c>
      <c r="AL25" s="220">
        <v>3</v>
      </c>
      <c r="AO25" s="258"/>
      <c r="AP25" s="258"/>
      <c r="AQ25" s="220" t="str">
        <f t="shared" si="0"/>
        <v/>
      </c>
      <c r="AS25" s="220" t="str">
        <f t="shared" si="1"/>
        <v>wci_corp</v>
      </c>
    </row>
    <row r="26" spans="2:45">
      <c r="B26" s="220" t="s">
        <v>524</v>
      </c>
      <c r="C26" s="255">
        <v>43496</v>
      </c>
      <c r="D26" s="256">
        <v>4359.38</v>
      </c>
      <c r="E26" s="256">
        <v>0</v>
      </c>
      <c r="F26" s="257" t="s">
        <v>413</v>
      </c>
      <c r="G26" s="220" t="s">
        <v>659</v>
      </c>
      <c r="H26" s="258" t="s">
        <v>520</v>
      </c>
      <c r="I26" s="220" t="s">
        <v>544</v>
      </c>
      <c r="J26" s="220" t="s">
        <v>536</v>
      </c>
      <c r="K26" s="220" t="s">
        <v>522</v>
      </c>
      <c r="L26" s="226"/>
      <c r="M26" s="226"/>
      <c r="N26" s="226" t="s">
        <v>528</v>
      </c>
      <c r="O26" s="247"/>
      <c r="P26" s="226"/>
      <c r="Q26" s="226"/>
      <c r="U26" s="220" t="s">
        <v>660</v>
      </c>
      <c r="V26" s="220" t="s">
        <v>660</v>
      </c>
      <c r="X26" s="255">
        <v>43501</v>
      </c>
      <c r="Y26" s="255">
        <v>43501</v>
      </c>
      <c r="AA26" s="255"/>
      <c r="AB26" s="220" t="s">
        <v>523</v>
      </c>
      <c r="AC26" s="220">
        <v>0</v>
      </c>
      <c r="AD26" s="220">
        <v>0</v>
      </c>
      <c r="AE26" s="220">
        <v>0</v>
      </c>
      <c r="AF26" s="220">
        <v>0</v>
      </c>
      <c r="AG26" s="220">
        <v>0</v>
      </c>
      <c r="AH26" s="220">
        <v>1</v>
      </c>
      <c r="AI26" s="220">
        <v>41129</v>
      </c>
      <c r="AJ26" s="220">
        <v>2180</v>
      </c>
      <c r="AK26" s="220">
        <v>0</v>
      </c>
      <c r="AL26" s="220">
        <v>3</v>
      </c>
      <c r="AO26" s="258"/>
      <c r="AP26" s="258"/>
      <c r="AQ26" s="220" t="str">
        <f t="shared" si="0"/>
        <v/>
      </c>
      <c r="AS26" s="220" t="str">
        <f t="shared" si="1"/>
        <v>wci_corp</v>
      </c>
    </row>
    <row r="27" spans="2:45">
      <c r="B27" s="220" t="s">
        <v>524</v>
      </c>
      <c r="C27" s="255">
        <v>43524</v>
      </c>
      <c r="D27" s="256">
        <v>2728.13</v>
      </c>
      <c r="E27" s="256">
        <v>0</v>
      </c>
      <c r="F27" s="257" t="s">
        <v>413</v>
      </c>
      <c r="G27" s="220" t="s">
        <v>661</v>
      </c>
      <c r="H27" s="258" t="s">
        <v>520</v>
      </c>
      <c r="I27" s="220" t="s">
        <v>544</v>
      </c>
      <c r="J27" s="220" t="s">
        <v>543</v>
      </c>
      <c r="K27" s="220" t="s">
        <v>522</v>
      </c>
      <c r="L27" s="226"/>
      <c r="M27" s="226"/>
      <c r="N27" s="226" t="s">
        <v>527</v>
      </c>
      <c r="O27" s="247"/>
      <c r="P27" s="226"/>
      <c r="Q27" s="226"/>
      <c r="U27" s="220" t="s">
        <v>662</v>
      </c>
      <c r="V27" s="220" t="s">
        <v>662</v>
      </c>
      <c r="X27" s="255">
        <v>43529</v>
      </c>
      <c r="Y27" s="255">
        <v>43529</v>
      </c>
      <c r="AA27" s="255"/>
      <c r="AB27" s="220" t="s">
        <v>523</v>
      </c>
      <c r="AC27" s="220">
        <v>0</v>
      </c>
      <c r="AD27" s="220">
        <v>0</v>
      </c>
      <c r="AE27" s="220">
        <v>0</v>
      </c>
      <c r="AF27" s="220">
        <v>0</v>
      </c>
      <c r="AG27" s="220">
        <v>0</v>
      </c>
      <c r="AH27" s="220">
        <v>1</v>
      </c>
      <c r="AI27" s="220">
        <v>41129</v>
      </c>
      <c r="AJ27" s="220">
        <v>2180</v>
      </c>
      <c r="AK27" s="220">
        <v>0</v>
      </c>
      <c r="AL27" s="220">
        <v>3</v>
      </c>
      <c r="AO27" s="258"/>
      <c r="AP27" s="258"/>
      <c r="AQ27" s="220" t="str">
        <f t="shared" si="0"/>
        <v/>
      </c>
      <c r="AS27" s="220" t="str">
        <f t="shared" si="1"/>
        <v>wci_corp</v>
      </c>
    </row>
    <row r="28" spans="2:45">
      <c r="B28" s="220" t="s">
        <v>524</v>
      </c>
      <c r="C28" s="255">
        <v>43524</v>
      </c>
      <c r="D28" s="256">
        <v>393.75</v>
      </c>
      <c r="E28" s="256">
        <v>0</v>
      </c>
      <c r="F28" s="257" t="s">
        <v>413</v>
      </c>
      <c r="G28" s="220" t="s">
        <v>661</v>
      </c>
      <c r="H28" s="258" t="s">
        <v>520</v>
      </c>
      <c r="I28" s="220" t="s">
        <v>544</v>
      </c>
      <c r="J28" s="220" t="s">
        <v>543</v>
      </c>
      <c r="K28" s="220" t="s">
        <v>522</v>
      </c>
      <c r="L28" s="226"/>
      <c r="M28" s="226"/>
      <c r="N28" s="226" t="s">
        <v>525</v>
      </c>
      <c r="O28" s="247"/>
      <c r="P28" s="226"/>
      <c r="Q28" s="226"/>
      <c r="U28" s="220" t="s">
        <v>662</v>
      </c>
      <c r="V28" s="220" t="s">
        <v>662</v>
      </c>
      <c r="X28" s="255">
        <v>43529</v>
      </c>
      <c r="Y28" s="255">
        <v>43529</v>
      </c>
      <c r="AA28" s="255"/>
      <c r="AB28" s="220" t="s">
        <v>523</v>
      </c>
      <c r="AC28" s="220">
        <v>0</v>
      </c>
      <c r="AD28" s="220">
        <v>0</v>
      </c>
      <c r="AE28" s="220">
        <v>0</v>
      </c>
      <c r="AF28" s="220">
        <v>0</v>
      </c>
      <c r="AG28" s="220">
        <v>0</v>
      </c>
      <c r="AH28" s="220">
        <v>1</v>
      </c>
      <c r="AI28" s="220">
        <v>41129</v>
      </c>
      <c r="AJ28" s="220">
        <v>2180</v>
      </c>
      <c r="AK28" s="220">
        <v>0</v>
      </c>
      <c r="AL28" s="220">
        <v>3</v>
      </c>
      <c r="AO28" s="258"/>
      <c r="AP28" s="258"/>
      <c r="AQ28" s="220" t="str">
        <f t="shared" si="0"/>
        <v/>
      </c>
      <c r="AS28" s="220" t="str">
        <f t="shared" si="1"/>
        <v>wci_corp</v>
      </c>
    </row>
    <row r="29" spans="2:45">
      <c r="B29" s="220" t="s">
        <v>524</v>
      </c>
      <c r="C29" s="255">
        <v>43524</v>
      </c>
      <c r="D29" s="256">
        <v>2756.25</v>
      </c>
      <c r="E29" s="256">
        <v>0</v>
      </c>
      <c r="F29" s="257" t="s">
        <v>413</v>
      </c>
      <c r="G29" s="220" t="s">
        <v>661</v>
      </c>
      <c r="H29" s="258" t="s">
        <v>520</v>
      </c>
      <c r="I29" s="220" t="s">
        <v>544</v>
      </c>
      <c r="J29" s="220" t="s">
        <v>543</v>
      </c>
      <c r="K29" s="220" t="s">
        <v>522</v>
      </c>
      <c r="L29" s="226"/>
      <c r="M29" s="226"/>
      <c r="N29" s="226" t="s">
        <v>526</v>
      </c>
      <c r="O29" s="247"/>
      <c r="P29" s="226"/>
      <c r="Q29" s="226"/>
      <c r="U29" s="220" t="s">
        <v>662</v>
      </c>
      <c r="V29" s="220" t="s">
        <v>662</v>
      </c>
      <c r="X29" s="255">
        <v>43529</v>
      </c>
      <c r="Y29" s="255">
        <v>43529</v>
      </c>
      <c r="AA29" s="255"/>
      <c r="AB29" s="220" t="s">
        <v>523</v>
      </c>
      <c r="AC29" s="220">
        <v>0</v>
      </c>
      <c r="AD29" s="220">
        <v>0</v>
      </c>
      <c r="AE29" s="220">
        <v>0</v>
      </c>
      <c r="AF29" s="220">
        <v>0</v>
      </c>
      <c r="AG29" s="220">
        <v>0</v>
      </c>
      <c r="AH29" s="220">
        <v>1</v>
      </c>
      <c r="AI29" s="220">
        <v>41129</v>
      </c>
      <c r="AJ29" s="220">
        <v>2180</v>
      </c>
      <c r="AK29" s="220">
        <v>0</v>
      </c>
      <c r="AL29" s="220">
        <v>3</v>
      </c>
      <c r="AO29" s="258"/>
      <c r="AP29" s="258"/>
      <c r="AQ29" s="220" t="str">
        <f t="shared" si="0"/>
        <v/>
      </c>
      <c r="AS29" s="220" t="str">
        <f t="shared" si="1"/>
        <v>wci_corp</v>
      </c>
    </row>
    <row r="30" spans="2:45">
      <c r="B30" s="220" t="s">
        <v>524</v>
      </c>
      <c r="C30" s="255">
        <v>43524</v>
      </c>
      <c r="D30" s="256">
        <v>2700</v>
      </c>
      <c r="E30" s="256">
        <v>0</v>
      </c>
      <c r="F30" s="257" t="s">
        <v>413</v>
      </c>
      <c r="G30" s="220" t="s">
        <v>661</v>
      </c>
      <c r="H30" s="258" t="s">
        <v>520</v>
      </c>
      <c r="I30" s="220" t="s">
        <v>544</v>
      </c>
      <c r="J30" s="220" t="s">
        <v>543</v>
      </c>
      <c r="K30" s="220" t="s">
        <v>522</v>
      </c>
      <c r="L30" s="226"/>
      <c r="M30" s="226"/>
      <c r="N30" s="226" t="s">
        <v>527</v>
      </c>
      <c r="O30" s="247"/>
      <c r="P30" s="226"/>
      <c r="Q30" s="226"/>
      <c r="U30" s="220" t="s">
        <v>662</v>
      </c>
      <c r="V30" s="220" t="s">
        <v>662</v>
      </c>
      <c r="X30" s="255">
        <v>43529</v>
      </c>
      <c r="Y30" s="255">
        <v>43529</v>
      </c>
      <c r="AA30" s="255"/>
      <c r="AB30" s="220" t="s">
        <v>523</v>
      </c>
      <c r="AC30" s="220">
        <v>0</v>
      </c>
      <c r="AD30" s="220">
        <v>0</v>
      </c>
      <c r="AE30" s="220">
        <v>0</v>
      </c>
      <c r="AF30" s="220">
        <v>0</v>
      </c>
      <c r="AG30" s="220">
        <v>0</v>
      </c>
      <c r="AH30" s="220">
        <v>1</v>
      </c>
      <c r="AI30" s="220">
        <v>41129</v>
      </c>
      <c r="AJ30" s="220">
        <v>2180</v>
      </c>
      <c r="AK30" s="220">
        <v>0</v>
      </c>
      <c r="AL30" s="220">
        <v>3</v>
      </c>
      <c r="AO30" s="258"/>
      <c r="AP30" s="258"/>
      <c r="AQ30" s="220" t="str">
        <f t="shared" si="0"/>
        <v/>
      </c>
      <c r="AS30" s="220" t="str">
        <f t="shared" si="1"/>
        <v>wci_corp</v>
      </c>
    </row>
    <row r="31" spans="2:45">
      <c r="B31" s="220" t="s">
        <v>524</v>
      </c>
      <c r="C31" s="255">
        <v>43524</v>
      </c>
      <c r="D31" s="256">
        <v>2390.63</v>
      </c>
      <c r="E31" s="256">
        <v>0</v>
      </c>
      <c r="F31" s="257" t="s">
        <v>413</v>
      </c>
      <c r="G31" s="220" t="s">
        <v>661</v>
      </c>
      <c r="H31" s="258" t="s">
        <v>520</v>
      </c>
      <c r="I31" s="220" t="s">
        <v>544</v>
      </c>
      <c r="J31" s="220" t="s">
        <v>543</v>
      </c>
      <c r="K31" s="220" t="s">
        <v>522</v>
      </c>
      <c r="L31" s="226"/>
      <c r="M31" s="226"/>
      <c r="N31" s="226" t="s">
        <v>528</v>
      </c>
      <c r="O31" s="247"/>
      <c r="P31" s="226"/>
      <c r="Q31" s="226"/>
      <c r="U31" s="220" t="s">
        <v>662</v>
      </c>
      <c r="V31" s="220" t="s">
        <v>662</v>
      </c>
      <c r="X31" s="255">
        <v>43529</v>
      </c>
      <c r="Y31" s="255">
        <v>43529</v>
      </c>
      <c r="AA31" s="255"/>
      <c r="AB31" s="220" t="s">
        <v>523</v>
      </c>
      <c r="AC31" s="220">
        <v>0</v>
      </c>
      <c r="AD31" s="220">
        <v>0</v>
      </c>
      <c r="AE31" s="220">
        <v>0</v>
      </c>
      <c r="AF31" s="220">
        <v>0</v>
      </c>
      <c r="AG31" s="220">
        <v>0</v>
      </c>
      <c r="AH31" s="220">
        <v>1</v>
      </c>
      <c r="AI31" s="220">
        <v>41129</v>
      </c>
      <c r="AJ31" s="220">
        <v>2180</v>
      </c>
      <c r="AK31" s="220">
        <v>0</v>
      </c>
      <c r="AL31" s="220">
        <v>3</v>
      </c>
      <c r="AO31" s="258"/>
      <c r="AP31" s="258"/>
      <c r="AQ31" s="220" t="str">
        <f t="shared" si="0"/>
        <v/>
      </c>
      <c r="AS31" s="220" t="str">
        <f t="shared" si="1"/>
        <v>wci_corp</v>
      </c>
    </row>
    <row r="32" spans="2:45">
      <c r="B32" s="220" t="s">
        <v>524</v>
      </c>
      <c r="C32" s="255">
        <v>43555</v>
      </c>
      <c r="D32" s="256">
        <v>281.25</v>
      </c>
      <c r="E32" s="256">
        <v>0</v>
      </c>
      <c r="F32" s="257" t="s">
        <v>413</v>
      </c>
      <c r="G32" s="220" t="s">
        <v>663</v>
      </c>
      <c r="H32" s="258" t="s">
        <v>520</v>
      </c>
      <c r="I32" s="220" t="s">
        <v>544</v>
      </c>
      <c r="J32" s="220" t="s">
        <v>521</v>
      </c>
      <c r="K32" s="220" t="s">
        <v>522</v>
      </c>
      <c r="L32" s="226"/>
      <c r="M32" s="226"/>
      <c r="N32" s="226" t="s">
        <v>525</v>
      </c>
      <c r="O32" s="247"/>
      <c r="P32" s="226"/>
      <c r="Q32" s="226"/>
      <c r="U32" s="220" t="s">
        <v>664</v>
      </c>
      <c r="V32" s="220" t="s">
        <v>664</v>
      </c>
      <c r="X32" s="255">
        <v>43558</v>
      </c>
      <c r="Y32" s="255">
        <v>43558</v>
      </c>
      <c r="AA32" s="255"/>
      <c r="AB32" s="220" t="s">
        <v>523</v>
      </c>
      <c r="AC32" s="220">
        <v>0</v>
      </c>
      <c r="AD32" s="220">
        <v>0</v>
      </c>
      <c r="AE32" s="220">
        <v>0</v>
      </c>
      <c r="AF32" s="220">
        <v>0</v>
      </c>
      <c r="AG32" s="220">
        <v>0</v>
      </c>
      <c r="AH32" s="220">
        <v>1</v>
      </c>
      <c r="AI32" s="220">
        <v>41129</v>
      </c>
      <c r="AJ32" s="220">
        <v>2180</v>
      </c>
      <c r="AK32" s="220">
        <v>0</v>
      </c>
      <c r="AL32" s="220">
        <v>3</v>
      </c>
      <c r="AO32" s="258"/>
      <c r="AP32" s="258"/>
      <c r="AQ32" s="220" t="str">
        <f t="shared" si="0"/>
        <v/>
      </c>
      <c r="AS32" s="220" t="str">
        <f t="shared" si="1"/>
        <v>wci_corp</v>
      </c>
    </row>
    <row r="33" spans="2:45">
      <c r="B33" s="220" t="s">
        <v>524</v>
      </c>
      <c r="C33" s="255">
        <v>43555</v>
      </c>
      <c r="D33" s="256">
        <v>4584.38</v>
      </c>
      <c r="E33" s="256">
        <v>0</v>
      </c>
      <c r="F33" s="257" t="s">
        <v>413</v>
      </c>
      <c r="G33" s="220" t="s">
        <v>663</v>
      </c>
      <c r="H33" s="258" t="s">
        <v>520</v>
      </c>
      <c r="I33" s="220" t="s">
        <v>544</v>
      </c>
      <c r="J33" s="220" t="s">
        <v>521</v>
      </c>
      <c r="K33" s="220" t="s">
        <v>522</v>
      </c>
      <c r="L33" s="226"/>
      <c r="M33" s="226"/>
      <c r="N33" s="226" t="s">
        <v>526</v>
      </c>
      <c r="O33" s="247"/>
      <c r="P33" s="226"/>
      <c r="Q33" s="226"/>
      <c r="U33" s="220" t="s">
        <v>664</v>
      </c>
      <c r="V33" s="220" t="s">
        <v>664</v>
      </c>
      <c r="X33" s="255">
        <v>43558</v>
      </c>
      <c r="Y33" s="255">
        <v>43558</v>
      </c>
      <c r="AA33" s="255"/>
      <c r="AB33" s="220" t="s">
        <v>523</v>
      </c>
      <c r="AC33" s="220">
        <v>0</v>
      </c>
      <c r="AD33" s="220">
        <v>0</v>
      </c>
      <c r="AE33" s="220">
        <v>0</v>
      </c>
      <c r="AF33" s="220">
        <v>0</v>
      </c>
      <c r="AG33" s="220">
        <v>0</v>
      </c>
      <c r="AH33" s="220">
        <v>1</v>
      </c>
      <c r="AI33" s="220">
        <v>41129</v>
      </c>
      <c r="AJ33" s="220">
        <v>2180</v>
      </c>
      <c r="AK33" s="220">
        <v>0</v>
      </c>
      <c r="AL33" s="220">
        <v>3</v>
      </c>
      <c r="AO33" s="258"/>
      <c r="AP33" s="258"/>
      <c r="AQ33" s="220" t="str">
        <f t="shared" si="0"/>
        <v/>
      </c>
      <c r="AS33" s="220" t="str">
        <f t="shared" si="1"/>
        <v>wci_corp</v>
      </c>
    </row>
    <row r="34" spans="2:45">
      <c r="B34" s="220" t="s">
        <v>524</v>
      </c>
      <c r="C34" s="255">
        <v>43555</v>
      </c>
      <c r="D34" s="256">
        <v>6356.25</v>
      </c>
      <c r="E34" s="256">
        <v>0</v>
      </c>
      <c r="F34" s="257" t="s">
        <v>413</v>
      </c>
      <c r="G34" s="220" t="s">
        <v>663</v>
      </c>
      <c r="H34" s="258" t="s">
        <v>520</v>
      </c>
      <c r="I34" s="220" t="s">
        <v>544</v>
      </c>
      <c r="J34" s="220" t="s">
        <v>521</v>
      </c>
      <c r="K34" s="220" t="s">
        <v>522</v>
      </c>
      <c r="L34" s="226"/>
      <c r="M34" s="226"/>
      <c r="N34" s="226" t="s">
        <v>527</v>
      </c>
      <c r="O34" s="247"/>
      <c r="P34" s="226"/>
      <c r="Q34" s="226"/>
      <c r="U34" s="220" t="s">
        <v>664</v>
      </c>
      <c r="V34" s="220" t="s">
        <v>664</v>
      </c>
      <c r="X34" s="255">
        <v>43558</v>
      </c>
      <c r="Y34" s="255">
        <v>43558</v>
      </c>
      <c r="AA34" s="255"/>
      <c r="AB34" s="220" t="s">
        <v>523</v>
      </c>
      <c r="AC34" s="220">
        <v>0</v>
      </c>
      <c r="AD34" s="220">
        <v>0</v>
      </c>
      <c r="AE34" s="220">
        <v>0</v>
      </c>
      <c r="AF34" s="220">
        <v>0</v>
      </c>
      <c r="AG34" s="220">
        <v>0</v>
      </c>
      <c r="AH34" s="220">
        <v>1</v>
      </c>
      <c r="AI34" s="220">
        <v>41129</v>
      </c>
      <c r="AJ34" s="220">
        <v>2180</v>
      </c>
      <c r="AK34" s="220">
        <v>0</v>
      </c>
      <c r="AL34" s="220">
        <v>3</v>
      </c>
      <c r="AO34" s="258"/>
      <c r="AP34" s="258"/>
      <c r="AQ34" s="220" t="str">
        <f t="shared" si="0"/>
        <v/>
      </c>
      <c r="AS34" s="220" t="str">
        <f t="shared" si="1"/>
        <v>wci_corp</v>
      </c>
    </row>
    <row r="35" spans="2:45">
      <c r="B35" s="220" t="s">
        <v>524</v>
      </c>
      <c r="C35" s="255">
        <v>43555</v>
      </c>
      <c r="D35" s="256">
        <v>4696.88</v>
      </c>
      <c r="E35" s="256">
        <v>0</v>
      </c>
      <c r="F35" s="257" t="s">
        <v>413</v>
      </c>
      <c r="G35" s="220" t="s">
        <v>663</v>
      </c>
      <c r="H35" s="258" t="s">
        <v>520</v>
      </c>
      <c r="I35" s="220" t="s">
        <v>544</v>
      </c>
      <c r="J35" s="220" t="s">
        <v>521</v>
      </c>
      <c r="K35" s="220" t="s">
        <v>522</v>
      </c>
      <c r="L35" s="226"/>
      <c r="M35" s="226"/>
      <c r="N35" s="226" t="s">
        <v>528</v>
      </c>
      <c r="O35" s="247"/>
      <c r="P35" s="226"/>
      <c r="Q35" s="226"/>
      <c r="U35" s="220" t="s">
        <v>664</v>
      </c>
      <c r="V35" s="220" t="s">
        <v>664</v>
      </c>
      <c r="X35" s="255">
        <v>43558</v>
      </c>
      <c r="Y35" s="255">
        <v>43558</v>
      </c>
      <c r="AA35" s="255"/>
      <c r="AB35" s="220" t="s">
        <v>523</v>
      </c>
      <c r="AC35" s="220">
        <v>0</v>
      </c>
      <c r="AD35" s="220">
        <v>0</v>
      </c>
      <c r="AE35" s="220">
        <v>0</v>
      </c>
      <c r="AF35" s="220">
        <v>0</v>
      </c>
      <c r="AG35" s="220">
        <v>0</v>
      </c>
      <c r="AH35" s="220">
        <v>1</v>
      </c>
      <c r="AI35" s="220">
        <v>41129</v>
      </c>
      <c r="AJ35" s="220">
        <v>2180</v>
      </c>
      <c r="AK35" s="220">
        <v>0</v>
      </c>
      <c r="AL35" s="220">
        <v>3</v>
      </c>
      <c r="AO35" s="258"/>
      <c r="AP35" s="258"/>
      <c r="AQ35" s="220" t="str">
        <f t="shared" si="0"/>
        <v/>
      </c>
      <c r="AS35" s="220" t="str">
        <f t="shared" si="1"/>
        <v>wci_corp</v>
      </c>
    </row>
    <row r="36" spans="2:45">
      <c r="B36" s="220" t="s">
        <v>524</v>
      </c>
      <c r="C36" s="255">
        <v>43585</v>
      </c>
      <c r="D36" s="256">
        <v>393.75</v>
      </c>
      <c r="E36" s="256">
        <v>0</v>
      </c>
      <c r="F36" s="257" t="s">
        <v>413</v>
      </c>
      <c r="G36" s="220" t="s">
        <v>665</v>
      </c>
      <c r="H36" s="258" t="s">
        <v>520</v>
      </c>
      <c r="I36" s="220" t="s">
        <v>544</v>
      </c>
      <c r="J36" s="220" t="s">
        <v>536</v>
      </c>
      <c r="K36" s="220" t="s">
        <v>522</v>
      </c>
      <c r="L36" s="226"/>
      <c r="M36" s="226"/>
      <c r="N36" s="226" t="s">
        <v>525</v>
      </c>
      <c r="O36" s="247"/>
      <c r="P36" s="226"/>
      <c r="Q36" s="226"/>
      <c r="U36" s="220" t="s">
        <v>666</v>
      </c>
      <c r="V36" s="220" t="s">
        <v>666</v>
      </c>
      <c r="X36" s="255">
        <v>43587</v>
      </c>
      <c r="Y36" s="255">
        <v>43588</v>
      </c>
      <c r="AA36" s="255"/>
      <c r="AB36" s="220" t="s">
        <v>523</v>
      </c>
      <c r="AC36" s="220">
        <v>0</v>
      </c>
      <c r="AD36" s="220">
        <v>0</v>
      </c>
      <c r="AE36" s="220">
        <v>0</v>
      </c>
      <c r="AF36" s="220">
        <v>0</v>
      </c>
      <c r="AG36" s="220">
        <v>0</v>
      </c>
      <c r="AH36" s="220">
        <v>1</v>
      </c>
      <c r="AI36" s="220">
        <v>41129</v>
      </c>
      <c r="AJ36" s="220">
        <v>2180</v>
      </c>
      <c r="AK36" s="220">
        <v>0</v>
      </c>
      <c r="AL36" s="220">
        <v>3</v>
      </c>
      <c r="AO36" s="258"/>
      <c r="AP36" s="258"/>
      <c r="AQ36" s="220" t="str">
        <f t="shared" si="0"/>
        <v/>
      </c>
      <c r="AS36" s="220" t="str">
        <f t="shared" si="1"/>
        <v>wci_corp</v>
      </c>
    </row>
    <row r="37" spans="2:45">
      <c r="B37" s="220" t="s">
        <v>524</v>
      </c>
      <c r="C37" s="255">
        <v>43585</v>
      </c>
      <c r="D37" s="256">
        <v>5188.5</v>
      </c>
      <c r="E37" s="256">
        <v>0</v>
      </c>
      <c r="F37" s="257" t="s">
        <v>413</v>
      </c>
      <c r="G37" s="220" t="s">
        <v>665</v>
      </c>
      <c r="H37" s="258" t="s">
        <v>520</v>
      </c>
      <c r="I37" s="220" t="s">
        <v>544</v>
      </c>
      <c r="J37" s="220" t="s">
        <v>536</v>
      </c>
      <c r="K37" s="220" t="s">
        <v>522</v>
      </c>
      <c r="L37" s="226"/>
      <c r="M37" s="226"/>
      <c r="N37" s="226" t="s">
        <v>526</v>
      </c>
      <c r="O37" s="247"/>
      <c r="P37" s="226"/>
      <c r="Q37" s="226"/>
      <c r="U37" s="220" t="s">
        <v>666</v>
      </c>
      <c r="V37" s="220" t="s">
        <v>666</v>
      </c>
      <c r="X37" s="255">
        <v>43587</v>
      </c>
      <c r="Y37" s="255">
        <v>43588</v>
      </c>
      <c r="AA37" s="255"/>
      <c r="AB37" s="220" t="s">
        <v>523</v>
      </c>
      <c r="AC37" s="220">
        <v>0</v>
      </c>
      <c r="AD37" s="220">
        <v>0</v>
      </c>
      <c r="AE37" s="220">
        <v>0</v>
      </c>
      <c r="AF37" s="220">
        <v>0</v>
      </c>
      <c r="AG37" s="220">
        <v>0</v>
      </c>
      <c r="AH37" s="220">
        <v>1</v>
      </c>
      <c r="AI37" s="220">
        <v>41129</v>
      </c>
      <c r="AJ37" s="220">
        <v>2180</v>
      </c>
      <c r="AK37" s="220">
        <v>0</v>
      </c>
      <c r="AL37" s="220">
        <v>3</v>
      </c>
      <c r="AO37" s="258"/>
      <c r="AP37" s="258"/>
      <c r="AQ37" s="220" t="str">
        <f t="shared" si="0"/>
        <v/>
      </c>
      <c r="AS37" s="220" t="str">
        <f t="shared" si="1"/>
        <v>wci_corp</v>
      </c>
    </row>
    <row r="38" spans="2:45">
      <c r="B38" s="220" t="s">
        <v>524</v>
      </c>
      <c r="C38" s="255">
        <v>43585</v>
      </c>
      <c r="D38" s="256">
        <v>9140.6299999999992</v>
      </c>
      <c r="E38" s="256">
        <v>0</v>
      </c>
      <c r="F38" s="257" t="s">
        <v>413</v>
      </c>
      <c r="G38" s="220" t="s">
        <v>665</v>
      </c>
      <c r="H38" s="258" t="s">
        <v>520</v>
      </c>
      <c r="I38" s="220" t="s">
        <v>544</v>
      </c>
      <c r="J38" s="220" t="s">
        <v>536</v>
      </c>
      <c r="K38" s="220" t="s">
        <v>522</v>
      </c>
      <c r="L38" s="226"/>
      <c r="M38" s="226"/>
      <c r="N38" s="226" t="s">
        <v>527</v>
      </c>
      <c r="O38" s="247"/>
      <c r="P38" s="226"/>
      <c r="Q38" s="226"/>
      <c r="U38" s="220" t="s">
        <v>666</v>
      </c>
      <c r="V38" s="220" t="s">
        <v>666</v>
      </c>
      <c r="X38" s="255">
        <v>43587</v>
      </c>
      <c r="Y38" s="255">
        <v>43588</v>
      </c>
      <c r="AA38" s="255"/>
      <c r="AB38" s="220" t="s">
        <v>523</v>
      </c>
      <c r="AC38" s="220">
        <v>0</v>
      </c>
      <c r="AD38" s="220">
        <v>0</v>
      </c>
      <c r="AE38" s="220">
        <v>0</v>
      </c>
      <c r="AF38" s="220">
        <v>0</v>
      </c>
      <c r="AG38" s="220">
        <v>0</v>
      </c>
      <c r="AH38" s="220">
        <v>1</v>
      </c>
      <c r="AI38" s="220">
        <v>41129</v>
      </c>
      <c r="AJ38" s="220">
        <v>2180</v>
      </c>
      <c r="AK38" s="220">
        <v>0</v>
      </c>
      <c r="AL38" s="220">
        <v>3</v>
      </c>
      <c r="AO38" s="258"/>
      <c r="AP38" s="258"/>
      <c r="AQ38" s="220" t="str">
        <f t="shared" si="0"/>
        <v/>
      </c>
      <c r="AS38" s="220" t="str">
        <f t="shared" si="1"/>
        <v>wci_corp</v>
      </c>
    </row>
    <row r="39" spans="2:45">
      <c r="B39" s="220" t="s">
        <v>524</v>
      </c>
      <c r="C39" s="255">
        <v>43585</v>
      </c>
      <c r="D39" s="256">
        <v>7790.63</v>
      </c>
      <c r="E39" s="256">
        <v>0</v>
      </c>
      <c r="F39" s="257" t="s">
        <v>413</v>
      </c>
      <c r="G39" s="220" t="s">
        <v>665</v>
      </c>
      <c r="H39" s="258" t="s">
        <v>520</v>
      </c>
      <c r="I39" s="220" t="s">
        <v>544</v>
      </c>
      <c r="J39" s="220" t="s">
        <v>536</v>
      </c>
      <c r="K39" s="220" t="s">
        <v>522</v>
      </c>
      <c r="L39" s="226"/>
      <c r="M39" s="226"/>
      <c r="N39" s="226" t="s">
        <v>528</v>
      </c>
      <c r="O39" s="247"/>
      <c r="P39" s="226"/>
      <c r="Q39" s="226"/>
      <c r="U39" s="220" t="s">
        <v>666</v>
      </c>
      <c r="V39" s="220" t="s">
        <v>666</v>
      </c>
      <c r="X39" s="255">
        <v>43587</v>
      </c>
      <c r="Y39" s="255">
        <v>43588</v>
      </c>
      <c r="AA39" s="255"/>
      <c r="AB39" s="220" t="s">
        <v>523</v>
      </c>
      <c r="AC39" s="220">
        <v>0</v>
      </c>
      <c r="AD39" s="220">
        <v>0</v>
      </c>
      <c r="AE39" s="220">
        <v>0</v>
      </c>
      <c r="AF39" s="220">
        <v>0</v>
      </c>
      <c r="AG39" s="220">
        <v>0</v>
      </c>
      <c r="AH39" s="220">
        <v>1</v>
      </c>
      <c r="AI39" s="220">
        <v>41129</v>
      </c>
      <c r="AJ39" s="220">
        <v>2180</v>
      </c>
      <c r="AK39" s="220">
        <v>0</v>
      </c>
      <c r="AL39" s="220">
        <v>3</v>
      </c>
      <c r="AO39" s="258"/>
      <c r="AP39" s="258"/>
      <c r="AQ39" s="220" t="str">
        <f t="shared" si="0"/>
        <v/>
      </c>
      <c r="AS39" s="220" t="str">
        <f t="shared" si="1"/>
        <v>wci_corp</v>
      </c>
    </row>
    <row r="40" spans="2:45">
      <c r="B40" s="220" t="s">
        <v>524</v>
      </c>
      <c r="C40" s="255">
        <v>43616</v>
      </c>
      <c r="D40" s="256">
        <v>506.25</v>
      </c>
      <c r="E40" s="256">
        <v>0</v>
      </c>
      <c r="F40" s="257" t="s">
        <v>413</v>
      </c>
      <c r="G40" s="220" t="s">
        <v>667</v>
      </c>
      <c r="H40" s="258" t="s">
        <v>520</v>
      </c>
      <c r="I40" s="220" t="s">
        <v>544</v>
      </c>
      <c r="J40" s="220" t="s">
        <v>543</v>
      </c>
      <c r="K40" s="220" t="s">
        <v>522</v>
      </c>
      <c r="L40" s="226"/>
      <c r="M40" s="226"/>
      <c r="N40" s="226" t="s">
        <v>525</v>
      </c>
      <c r="O40" s="247"/>
      <c r="P40" s="226"/>
      <c r="Q40" s="226"/>
      <c r="U40" s="220" t="s">
        <v>668</v>
      </c>
      <c r="V40" s="220" t="s">
        <v>668</v>
      </c>
      <c r="X40" s="255">
        <v>43621</v>
      </c>
      <c r="Y40" s="255">
        <v>43621</v>
      </c>
      <c r="AA40" s="255"/>
      <c r="AB40" s="220" t="s">
        <v>523</v>
      </c>
      <c r="AC40" s="220">
        <v>0</v>
      </c>
      <c r="AD40" s="220">
        <v>0</v>
      </c>
      <c r="AE40" s="220">
        <v>0</v>
      </c>
      <c r="AF40" s="220">
        <v>0</v>
      </c>
      <c r="AG40" s="220">
        <v>0</v>
      </c>
      <c r="AH40" s="220">
        <v>1</v>
      </c>
      <c r="AI40" s="220">
        <v>41129</v>
      </c>
      <c r="AJ40" s="220">
        <v>2180</v>
      </c>
      <c r="AK40" s="220">
        <v>0</v>
      </c>
      <c r="AL40" s="220">
        <v>3</v>
      </c>
      <c r="AO40" s="258"/>
      <c r="AP40" s="258"/>
      <c r="AQ40" s="220" t="str">
        <f t="shared" si="0"/>
        <v/>
      </c>
      <c r="AS40" s="220" t="str">
        <f t="shared" si="1"/>
        <v>wci_corp</v>
      </c>
    </row>
    <row r="41" spans="2:45">
      <c r="B41" s="220" t="s">
        <v>524</v>
      </c>
      <c r="C41" s="255">
        <v>43616</v>
      </c>
      <c r="D41" s="256">
        <v>7143.75</v>
      </c>
      <c r="E41" s="256">
        <v>0</v>
      </c>
      <c r="F41" s="257" t="s">
        <v>413</v>
      </c>
      <c r="G41" s="220" t="s">
        <v>667</v>
      </c>
      <c r="H41" s="258" t="s">
        <v>520</v>
      </c>
      <c r="I41" s="220" t="s">
        <v>544</v>
      </c>
      <c r="J41" s="220" t="s">
        <v>543</v>
      </c>
      <c r="K41" s="220" t="s">
        <v>522</v>
      </c>
      <c r="L41" s="226"/>
      <c r="M41" s="226"/>
      <c r="N41" s="226" t="s">
        <v>526</v>
      </c>
      <c r="O41" s="247"/>
      <c r="P41" s="226"/>
      <c r="Q41" s="226"/>
      <c r="U41" s="220" t="s">
        <v>668</v>
      </c>
      <c r="V41" s="220" t="s">
        <v>668</v>
      </c>
      <c r="X41" s="255">
        <v>43621</v>
      </c>
      <c r="Y41" s="255">
        <v>43621</v>
      </c>
      <c r="AA41" s="255"/>
      <c r="AB41" s="220" t="s">
        <v>523</v>
      </c>
      <c r="AC41" s="220">
        <v>0</v>
      </c>
      <c r="AD41" s="220">
        <v>0</v>
      </c>
      <c r="AE41" s="220">
        <v>0</v>
      </c>
      <c r="AF41" s="220">
        <v>0</v>
      </c>
      <c r="AG41" s="220">
        <v>0</v>
      </c>
      <c r="AH41" s="220">
        <v>1</v>
      </c>
      <c r="AI41" s="220">
        <v>41129</v>
      </c>
      <c r="AJ41" s="220">
        <v>2180</v>
      </c>
      <c r="AK41" s="220">
        <v>0</v>
      </c>
      <c r="AL41" s="220">
        <v>3</v>
      </c>
      <c r="AO41" s="258"/>
      <c r="AP41" s="258"/>
      <c r="AQ41" s="220" t="str">
        <f t="shared" si="0"/>
        <v/>
      </c>
      <c r="AS41" s="220" t="str">
        <f t="shared" si="1"/>
        <v>wci_corp</v>
      </c>
    </row>
    <row r="42" spans="2:45">
      <c r="B42" s="220" t="s">
        <v>524</v>
      </c>
      <c r="C42" s="255">
        <v>43616</v>
      </c>
      <c r="D42" s="256">
        <v>17043.75</v>
      </c>
      <c r="E42" s="256">
        <v>0</v>
      </c>
      <c r="F42" s="257" t="s">
        <v>413</v>
      </c>
      <c r="G42" s="220" t="s">
        <v>667</v>
      </c>
      <c r="H42" s="258" t="s">
        <v>520</v>
      </c>
      <c r="I42" s="220" t="s">
        <v>544</v>
      </c>
      <c r="J42" s="220" t="s">
        <v>543</v>
      </c>
      <c r="K42" s="220" t="s">
        <v>522</v>
      </c>
      <c r="L42" s="226"/>
      <c r="M42" s="226"/>
      <c r="N42" s="226" t="s">
        <v>527</v>
      </c>
      <c r="O42" s="247"/>
      <c r="P42" s="226"/>
      <c r="Q42" s="226"/>
      <c r="U42" s="220" t="s">
        <v>668</v>
      </c>
      <c r="V42" s="220" t="s">
        <v>668</v>
      </c>
      <c r="X42" s="255">
        <v>43621</v>
      </c>
      <c r="Y42" s="255">
        <v>43621</v>
      </c>
      <c r="AA42" s="255"/>
      <c r="AB42" s="220" t="s">
        <v>523</v>
      </c>
      <c r="AC42" s="220">
        <v>0</v>
      </c>
      <c r="AD42" s="220">
        <v>0</v>
      </c>
      <c r="AE42" s="220">
        <v>0</v>
      </c>
      <c r="AF42" s="220">
        <v>0</v>
      </c>
      <c r="AG42" s="220">
        <v>0</v>
      </c>
      <c r="AH42" s="220">
        <v>1</v>
      </c>
      <c r="AI42" s="220">
        <v>41129</v>
      </c>
      <c r="AJ42" s="220">
        <v>2180</v>
      </c>
      <c r="AK42" s="220">
        <v>0</v>
      </c>
      <c r="AL42" s="220">
        <v>3</v>
      </c>
      <c r="AO42" s="258"/>
      <c r="AP42" s="258"/>
      <c r="AQ42" s="220" t="str">
        <f t="shared" si="0"/>
        <v/>
      </c>
      <c r="AS42" s="220" t="str">
        <f t="shared" si="1"/>
        <v>wci_corp</v>
      </c>
    </row>
    <row r="43" spans="2:45">
      <c r="B43" s="220" t="s">
        <v>524</v>
      </c>
      <c r="C43" s="255">
        <v>43616</v>
      </c>
      <c r="D43" s="256">
        <v>8184.38</v>
      </c>
      <c r="E43" s="256">
        <v>0</v>
      </c>
      <c r="F43" s="257" t="s">
        <v>413</v>
      </c>
      <c r="G43" s="220" t="s">
        <v>667</v>
      </c>
      <c r="H43" s="258" t="s">
        <v>520</v>
      </c>
      <c r="I43" s="220" t="s">
        <v>544</v>
      </c>
      <c r="J43" s="220" t="s">
        <v>543</v>
      </c>
      <c r="K43" s="220" t="s">
        <v>522</v>
      </c>
      <c r="L43" s="226"/>
      <c r="M43" s="226"/>
      <c r="N43" s="226" t="s">
        <v>528</v>
      </c>
      <c r="O43" s="247"/>
      <c r="P43" s="226"/>
      <c r="Q43" s="226"/>
      <c r="U43" s="220" t="s">
        <v>668</v>
      </c>
      <c r="V43" s="220" t="s">
        <v>668</v>
      </c>
      <c r="X43" s="255">
        <v>43621</v>
      </c>
      <c r="Y43" s="255">
        <v>43621</v>
      </c>
      <c r="AA43" s="255"/>
      <c r="AB43" s="220" t="s">
        <v>523</v>
      </c>
      <c r="AC43" s="220">
        <v>0</v>
      </c>
      <c r="AD43" s="220">
        <v>0</v>
      </c>
      <c r="AE43" s="220">
        <v>0</v>
      </c>
      <c r="AF43" s="220">
        <v>0</v>
      </c>
      <c r="AG43" s="220">
        <v>0</v>
      </c>
      <c r="AH43" s="220">
        <v>1</v>
      </c>
      <c r="AI43" s="220">
        <v>41129</v>
      </c>
      <c r="AJ43" s="220">
        <v>2180</v>
      </c>
      <c r="AK43" s="220">
        <v>0</v>
      </c>
      <c r="AL43" s="220">
        <v>3</v>
      </c>
      <c r="AO43" s="258"/>
      <c r="AP43" s="258"/>
      <c r="AQ43" s="220" t="str">
        <f t="shared" si="0"/>
        <v/>
      </c>
      <c r="AS43" s="220" t="str">
        <f t="shared" si="1"/>
        <v>wci_corp</v>
      </c>
    </row>
    <row r="44" spans="2:45">
      <c r="B44" s="220" t="s">
        <v>524</v>
      </c>
      <c r="C44" s="255">
        <v>43646</v>
      </c>
      <c r="D44" s="256">
        <v>590.63</v>
      </c>
      <c r="E44" s="256">
        <v>0</v>
      </c>
      <c r="F44" s="257" t="s">
        <v>413</v>
      </c>
      <c r="G44" s="220" t="s">
        <v>669</v>
      </c>
      <c r="H44" s="258" t="s">
        <v>520</v>
      </c>
      <c r="I44" s="220" t="s">
        <v>544</v>
      </c>
      <c r="J44" s="220" t="s">
        <v>670</v>
      </c>
      <c r="K44" s="220" t="s">
        <v>522</v>
      </c>
      <c r="L44" s="226"/>
      <c r="M44" s="226"/>
      <c r="N44" s="226" t="s">
        <v>525</v>
      </c>
      <c r="O44" s="247"/>
      <c r="P44" s="226"/>
      <c r="Q44" s="226"/>
      <c r="U44" s="220" t="s">
        <v>671</v>
      </c>
      <c r="V44" s="220" t="s">
        <v>671</v>
      </c>
      <c r="X44" s="255">
        <v>43649</v>
      </c>
      <c r="Y44" s="255">
        <v>43649</v>
      </c>
      <c r="AA44" s="255"/>
      <c r="AB44" s="220" t="s">
        <v>523</v>
      </c>
      <c r="AC44" s="220">
        <v>0</v>
      </c>
      <c r="AD44" s="220">
        <v>0</v>
      </c>
      <c r="AE44" s="220">
        <v>0</v>
      </c>
      <c r="AF44" s="220">
        <v>0</v>
      </c>
      <c r="AG44" s="220">
        <v>0</v>
      </c>
      <c r="AH44" s="220">
        <v>1</v>
      </c>
      <c r="AI44" s="220">
        <v>41129</v>
      </c>
      <c r="AJ44" s="220">
        <v>2180</v>
      </c>
      <c r="AK44" s="220">
        <v>0</v>
      </c>
      <c r="AL44" s="220">
        <v>3</v>
      </c>
      <c r="AO44" s="258"/>
      <c r="AP44" s="258"/>
      <c r="AQ44" s="220" t="str">
        <f t="shared" si="0"/>
        <v/>
      </c>
      <c r="AS44" s="220" t="str">
        <f t="shared" si="1"/>
        <v>wci_corp</v>
      </c>
    </row>
    <row r="45" spans="2:45">
      <c r="B45" s="220" t="s">
        <v>524</v>
      </c>
      <c r="C45" s="255">
        <v>43646</v>
      </c>
      <c r="D45" s="256">
        <v>5765.63</v>
      </c>
      <c r="E45" s="256">
        <v>0</v>
      </c>
      <c r="F45" s="257" t="s">
        <v>413</v>
      </c>
      <c r="G45" s="220" t="s">
        <v>669</v>
      </c>
      <c r="H45" s="258" t="s">
        <v>520</v>
      </c>
      <c r="I45" s="220" t="s">
        <v>544</v>
      </c>
      <c r="J45" s="220" t="s">
        <v>670</v>
      </c>
      <c r="K45" s="220" t="s">
        <v>522</v>
      </c>
      <c r="L45" s="226"/>
      <c r="M45" s="226"/>
      <c r="N45" s="226" t="s">
        <v>526</v>
      </c>
      <c r="O45" s="247"/>
      <c r="P45" s="226"/>
      <c r="Q45" s="226"/>
      <c r="U45" s="220" t="s">
        <v>671</v>
      </c>
      <c r="V45" s="220" t="s">
        <v>671</v>
      </c>
      <c r="X45" s="255">
        <v>43649</v>
      </c>
      <c r="Y45" s="255">
        <v>43649</v>
      </c>
      <c r="AA45" s="255"/>
      <c r="AB45" s="220" t="s">
        <v>523</v>
      </c>
      <c r="AC45" s="220">
        <v>0</v>
      </c>
      <c r="AD45" s="220">
        <v>0</v>
      </c>
      <c r="AE45" s="220">
        <v>0</v>
      </c>
      <c r="AF45" s="220">
        <v>0</v>
      </c>
      <c r="AG45" s="220">
        <v>0</v>
      </c>
      <c r="AH45" s="220">
        <v>1</v>
      </c>
      <c r="AI45" s="220">
        <v>41129</v>
      </c>
      <c r="AJ45" s="220">
        <v>2180</v>
      </c>
      <c r="AK45" s="220">
        <v>0</v>
      </c>
      <c r="AL45" s="220">
        <v>3</v>
      </c>
      <c r="AO45" s="258"/>
      <c r="AP45" s="258"/>
      <c r="AQ45" s="220" t="str">
        <f t="shared" si="0"/>
        <v/>
      </c>
      <c r="AS45" s="220" t="str">
        <f t="shared" si="1"/>
        <v>wci_corp</v>
      </c>
    </row>
    <row r="46" spans="2:45">
      <c r="B46" s="220" t="s">
        <v>524</v>
      </c>
      <c r="C46" s="255">
        <v>43646</v>
      </c>
      <c r="D46" s="256">
        <v>7228.13</v>
      </c>
      <c r="E46" s="256">
        <v>0</v>
      </c>
      <c r="F46" s="257" t="s">
        <v>413</v>
      </c>
      <c r="G46" s="220" t="s">
        <v>669</v>
      </c>
      <c r="H46" s="258" t="s">
        <v>520</v>
      </c>
      <c r="I46" s="220" t="s">
        <v>544</v>
      </c>
      <c r="J46" s="220" t="s">
        <v>670</v>
      </c>
      <c r="K46" s="220" t="s">
        <v>522</v>
      </c>
      <c r="L46" s="226"/>
      <c r="M46" s="226"/>
      <c r="N46" s="226" t="s">
        <v>527</v>
      </c>
      <c r="O46" s="247"/>
      <c r="P46" s="226"/>
      <c r="Q46" s="226"/>
      <c r="U46" s="220" t="s">
        <v>671</v>
      </c>
      <c r="V46" s="220" t="s">
        <v>671</v>
      </c>
      <c r="X46" s="255">
        <v>43649</v>
      </c>
      <c r="Y46" s="255">
        <v>43649</v>
      </c>
      <c r="AA46" s="255"/>
      <c r="AB46" s="220" t="s">
        <v>523</v>
      </c>
      <c r="AC46" s="220">
        <v>0</v>
      </c>
      <c r="AD46" s="220">
        <v>0</v>
      </c>
      <c r="AE46" s="220">
        <v>0</v>
      </c>
      <c r="AF46" s="220">
        <v>0</v>
      </c>
      <c r="AG46" s="220">
        <v>0</v>
      </c>
      <c r="AH46" s="220">
        <v>1</v>
      </c>
      <c r="AI46" s="220">
        <v>41129</v>
      </c>
      <c r="AJ46" s="220">
        <v>2180</v>
      </c>
      <c r="AK46" s="220">
        <v>0</v>
      </c>
      <c r="AL46" s="220">
        <v>3</v>
      </c>
      <c r="AO46" s="258"/>
      <c r="AP46" s="258"/>
      <c r="AQ46" s="220" t="str">
        <f t="shared" si="0"/>
        <v/>
      </c>
      <c r="AS46" s="220" t="str">
        <f t="shared" si="1"/>
        <v>wci_corp</v>
      </c>
    </row>
    <row r="47" spans="2:45">
      <c r="B47" s="220" t="s">
        <v>524</v>
      </c>
      <c r="C47" s="255">
        <v>43646</v>
      </c>
      <c r="D47" s="256">
        <v>7115.63</v>
      </c>
      <c r="E47" s="256">
        <v>0</v>
      </c>
      <c r="F47" s="257" t="s">
        <v>413</v>
      </c>
      <c r="G47" s="220" t="s">
        <v>669</v>
      </c>
      <c r="H47" s="258" t="s">
        <v>520</v>
      </c>
      <c r="I47" s="220" t="s">
        <v>544</v>
      </c>
      <c r="J47" s="220" t="s">
        <v>670</v>
      </c>
      <c r="K47" s="220" t="s">
        <v>522</v>
      </c>
      <c r="L47" s="226"/>
      <c r="M47" s="226"/>
      <c r="N47" s="226" t="s">
        <v>528</v>
      </c>
      <c r="O47" s="247"/>
      <c r="P47" s="226"/>
      <c r="Q47" s="226"/>
      <c r="U47" s="220" t="s">
        <v>671</v>
      </c>
      <c r="V47" s="220" t="s">
        <v>671</v>
      </c>
      <c r="X47" s="255">
        <v>43649</v>
      </c>
      <c r="Y47" s="255">
        <v>43649</v>
      </c>
      <c r="AA47" s="255"/>
      <c r="AB47" s="220" t="s">
        <v>523</v>
      </c>
      <c r="AC47" s="220">
        <v>0</v>
      </c>
      <c r="AD47" s="220">
        <v>0</v>
      </c>
      <c r="AE47" s="220">
        <v>0</v>
      </c>
      <c r="AF47" s="220">
        <v>0</v>
      </c>
      <c r="AG47" s="220">
        <v>0</v>
      </c>
      <c r="AH47" s="220">
        <v>1</v>
      </c>
      <c r="AI47" s="220">
        <v>41129</v>
      </c>
      <c r="AJ47" s="220">
        <v>2180</v>
      </c>
      <c r="AK47" s="220">
        <v>0</v>
      </c>
      <c r="AL47" s="220">
        <v>3</v>
      </c>
      <c r="AO47" s="258"/>
      <c r="AP47" s="258"/>
      <c r="AQ47" s="220" t="str">
        <f t="shared" si="0"/>
        <v/>
      </c>
      <c r="AS47" s="220" t="str">
        <f t="shared" si="1"/>
        <v>wci_corp</v>
      </c>
    </row>
    <row r="48" spans="2:45">
      <c r="B48" s="220" t="s">
        <v>524</v>
      </c>
      <c r="C48" s="255">
        <v>43677</v>
      </c>
      <c r="D48" s="256">
        <v>5990.63</v>
      </c>
      <c r="E48" s="256">
        <v>0</v>
      </c>
      <c r="F48" s="257" t="s">
        <v>413</v>
      </c>
      <c r="G48" s="220" t="s">
        <v>672</v>
      </c>
      <c r="H48" s="258" t="s">
        <v>520</v>
      </c>
      <c r="I48" s="220" t="s">
        <v>544</v>
      </c>
      <c r="J48" s="220" t="s">
        <v>543</v>
      </c>
      <c r="K48" s="220" t="s">
        <v>522</v>
      </c>
      <c r="L48" s="226"/>
      <c r="M48" s="226"/>
      <c r="N48" s="226" t="s">
        <v>526</v>
      </c>
      <c r="O48" s="247"/>
      <c r="P48" s="226"/>
      <c r="Q48" s="226"/>
      <c r="U48" s="220" t="s">
        <v>673</v>
      </c>
      <c r="V48" s="220" t="s">
        <v>673</v>
      </c>
      <c r="X48" s="255">
        <v>43682</v>
      </c>
      <c r="Y48" s="255">
        <v>43682</v>
      </c>
      <c r="AA48" s="255"/>
      <c r="AB48" s="220" t="s">
        <v>523</v>
      </c>
      <c r="AC48" s="220">
        <v>0</v>
      </c>
      <c r="AD48" s="220">
        <v>0</v>
      </c>
      <c r="AE48" s="220">
        <v>0</v>
      </c>
      <c r="AF48" s="220">
        <v>0</v>
      </c>
      <c r="AG48" s="220">
        <v>0</v>
      </c>
      <c r="AH48" s="220">
        <v>1</v>
      </c>
      <c r="AI48" s="220">
        <v>41129</v>
      </c>
      <c r="AJ48" s="220">
        <v>2180</v>
      </c>
      <c r="AK48" s="220">
        <v>0</v>
      </c>
      <c r="AL48" s="220">
        <v>3</v>
      </c>
      <c r="AO48" s="258"/>
      <c r="AP48" s="258"/>
      <c r="AQ48" s="220" t="str">
        <f t="shared" si="0"/>
        <v/>
      </c>
      <c r="AS48" s="220" t="str">
        <f t="shared" si="1"/>
        <v>wci_corp</v>
      </c>
    </row>
    <row r="49" spans="2:45">
      <c r="B49" s="220" t="s">
        <v>524</v>
      </c>
      <c r="C49" s="255">
        <v>43677</v>
      </c>
      <c r="D49" s="256">
        <v>10125</v>
      </c>
      <c r="E49" s="256">
        <v>0</v>
      </c>
      <c r="F49" s="257" t="s">
        <v>413</v>
      </c>
      <c r="G49" s="220" t="s">
        <v>672</v>
      </c>
      <c r="H49" s="258" t="s">
        <v>520</v>
      </c>
      <c r="I49" s="220" t="s">
        <v>544</v>
      </c>
      <c r="J49" s="220" t="s">
        <v>543</v>
      </c>
      <c r="K49" s="220" t="s">
        <v>522</v>
      </c>
      <c r="L49" s="226"/>
      <c r="M49" s="226"/>
      <c r="N49" s="226" t="s">
        <v>527</v>
      </c>
      <c r="O49" s="247"/>
      <c r="P49" s="226"/>
      <c r="Q49" s="226"/>
      <c r="U49" s="220" t="s">
        <v>673</v>
      </c>
      <c r="V49" s="220" t="s">
        <v>673</v>
      </c>
      <c r="X49" s="255">
        <v>43682</v>
      </c>
      <c r="Y49" s="255">
        <v>43682</v>
      </c>
      <c r="AA49" s="255"/>
      <c r="AB49" s="220" t="s">
        <v>523</v>
      </c>
      <c r="AC49" s="220">
        <v>0</v>
      </c>
      <c r="AD49" s="220">
        <v>0</v>
      </c>
      <c r="AE49" s="220">
        <v>0</v>
      </c>
      <c r="AF49" s="220">
        <v>0</v>
      </c>
      <c r="AG49" s="220">
        <v>0</v>
      </c>
      <c r="AH49" s="220">
        <v>1</v>
      </c>
      <c r="AI49" s="220">
        <v>41129</v>
      </c>
      <c r="AJ49" s="220">
        <v>2180</v>
      </c>
      <c r="AK49" s="220">
        <v>0</v>
      </c>
      <c r="AL49" s="220">
        <v>3</v>
      </c>
      <c r="AO49" s="258"/>
      <c r="AP49" s="258"/>
      <c r="AQ49" s="220" t="str">
        <f t="shared" si="0"/>
        <v/>
      </c>
      <c r="AS49" s="220" t="str">
        <f t="shared" si="1"/>
        <v>wci_corp</v>
      </c>
    </row>
    <row r="50" spans="2:45">
      <c r="B50" s="220" t="s">
        <v>524</v>
      </c>
      <c r="C50" s="255">
        <v>43677</v>
      </c>
      <c r="D50" s="256">
        <v>7228.13</v>
      </c>
      <c r="E50" s="256">
        <v>0</v>
      </c>
      <c r="F50" s="257" t="s">
        <v>413</v>
      </c>
      <c r="G50" s="220" t="s">
        <v>672</v>
      </c>
      <c r="H50" s="258" t="s">
        <v>520</v>
      </c>
      <c r="I50" s="220" t="s">
        <v>544</v>
      </c>
      <c r="J50" s="220" t="s">
        <v>543</v>
      </c>
      <c r="K50" s="220" t="s">
        <v>522</v>
      </c>
      <c r="L50" s="226"/>
      <c r="M50" s="226"/>
      <c r="N50" s="226" t="s">
        <v>528</v>
      </c>
      <c r="O50" s="247"/>
      <c r="P50" s="226"/>
      <c r="Q50" s="226"/>
      <c r="U50" s="220" t="s">
        <v>673</v>
      </c>
      <c r="V50" s="220" t="s">
        <v>673</v>
      </c>
      <c r="X50" s="255">
        <v>43682</v>
      </c>
      <c r="Y50" s="255">
        <v>43682</v>
      </c>
      <c r="AA50" s="255"/>
      <c r="AB50" s="220" t="s">
        <v>523</v>
      </c>
      <c r="AC50" s="220">
        <v>0</v>
      </c>
      <c r="AD50" s="220">
        <v>0</v>
      </c>
      <c r="AE50" s="220">
        <v>0</v>
      </c>
      <c r="AF50" s="220">
        <v>0</v>
      </c>
      <c r="AG50" s="220">
        <v>0</v>
      </c>
      <c r="AH50" s="220">
        <v>1</v>
      </c>
      <c r="AI50" s="220">
        <v>41129</v>
      </c>
      <c r="AJ50" s="220">
        <v>2180</v>
      </c>
      <c r="AK50" s="220">
        <v>0</v>
      </c>
      <c r="AL50" s="220">
        <v>3</v>
      </c>
      <c r="AO50" s="258"/>
      <c r="AP50" s="258"/>
      <c r="AQ50" s="220" t="str">
        <f t="shared" si="0"/>
        <v/>
      </c>
      <c r="AS50" s="220" t="str">
        <f t="shared" si="1"/>
        <v>wci_corp</v>
      </c>
    </row>
    <row r="51" spans="2:45">
      <c r="B51" s="220" t="s">
        <v>674</v>
      </c>
      <c r="C51" s="255">
        <v>43677</v>
      </c>
      <c r="D51" s="256">
        <v>226.69</v>
      </c>
      <c r="E51" s="256">
        <v>0</v>
      </c>
      <c r="F51" s="257" t="s">
        <v>413</v>
      </c>
      <c r="G51" s="220" t="s">
        <v>675</v>
      </c>
      <c r="H51" s="258" t="s">
        <v>520</v>
      </c>
      <c r="I51" s="220" t="s">
        <v>676</v>
      </c>
      <c r="J51" s="220" t="s">
        <v>543</v>
      </c>
      <c r="K51" s="220" t="s">
        <v>522</v>
      </c>
      <c r="L51" s="226"/>
      <c r="M51" s="226"/>
      <c r="N51" s="226" t="s">
        <v>677</v>
      </c>
      <c r="O51" s="247"/>
      <c r="P51" s="226"/>
      <c r="Q51" s="226"/>
      <c r="U51" s="220" t="s">
        <v>678</v>
      </c>
      <c r="V51" s="220" t="s">
        <v>678</v>
      </c>
      <c r="X51" s="255">
        <v>43684</v>
      </c>
      <c r="Y51" s="255">
        <v>43684</v>
      </c>
      <c r="AA51" s="255"/>
      <c r="AB51" s="220" t="s">
        <v>523</v>
      </c>
      <c r="AC51" s="220">
        <v>0</v>
      </c>
      <c r="AD51" s="220">
        <v>0</v>
      </c>
      <c r="AE51" s="220">
        <v>0</v>
      </c>
      <c r="AF51" s="220">
        <v>0</v>
      </c>
      <c r="AG51" s="220">
        <v>0</v>
      </c>
      <c r="AH51" s="220">
        <v>1</v>
      </c>
      <c r="AI51" s="220">
        <v>41121</v>
      </c>
      <c r="AJ51" s="220">
        <v>2180</v>
      </c>
      <c r="AK51" s="220">
        <v>0</v>
      </c>
      <c r="AL51" s="220">
        <v>0</v>
      </c>
      <c r="AO51" s="258"/>
      <c r="AP51" s="258"/>
      <c r="AQ51" s="220" t="str">
        <f t="shared" si="0"/>
        <v/>
      </c>
      <c r="AS51" s="220" t="str">
        <f t="shared" si="1"/>
        <v>wci_corp</v>
      </c>
    </row>
    <row r="52" spans="2:45">
      <c r="B52" s="220" t="s">
        <v>674</v>
      </c>
      <c r="C52" s="255">
        <v>43692</v>
      </c>
      <c r="D52" s="256">
        <v>226.69</v>
      </c>
      <c r="E52" s="256">
        <v>0</v>
      </c>
      <c r="F52" s="257" t="s">
        <v>413</v>
      </c>
      <c r="G52" s="220" t="s">
        <v>679</v>
      </c>
      <c r="H52" s="258" t="s">
        <v>520</v>
      </c>
      <c r="I52" s="220" t="s">
        <v>680</v>
      </c>
      <c r="J52" s="220" t="s">
        <v>681</v>
      </c>
      <c r="K52" s="220" t="s">
        <v>522</v>
      </c>
      <c r="L52" s="226" t="s">
        <v>682</v>
      </c>
      <c r="M52" s="226"/>
      <c r="N52" s="226" t="s">
        <v>683</v>
      </c>
      <c r="O52" s="247">
        <v>43672</v>
      </c>
      <c r="P52" s="226" t="s">
        <v>677</v>
      </c>
      <c r="Q52" s="226" t="s">
        <v>684</v>
      </c>
      <c r="R52" s="220" t="s">
        <v>685</v>
      </c>
      <c r="U52" s="220" t="s">
        <v>686</v>
      </c>
      <c r="V52" s="220" t="s">
        <v>687</v>
      </c>
      <c r="W52" s="220">
        <v>2190</v>
      </c>
      <c r="X52" s="255">
        <v>43692</v>
      </c>
      <c r="Y52" s="255">
        <v>43692</v>
      </c>
      <c r="Z52" s="220">
        <v>24854.3</v>
      </c>
      <c r="AA52" s="255">
        <v>43692</v>
      </c>
      <c r="AB52" s="220" t="s">
        <v>523</v>
      </c>
      <c r="AC52" s="220">
        <v>0</v>
      </c>
      <c r="AD52" s="220">
        <v>0</v>
      </c>
      <c r="AE52" s="220">
        <v>0</v>
      </c>
      <c r="AF52" s="220">
        <v>0</v>
      </c>
      <c r="AG52" s="220">
        <v>0</v>
      </c>
      <c r="AH52" s="220">
        <v>1</v>
      </c>
      <c r="AI52" s="220">
        <v>41121</v>
      </c>
      <c r="AJ52" s="220">
        <v>2180</v>
      </c>
      <c r="AK52" s="220">
        <v>0</v>
      </c>
      <c r="AL52" s="220">
        <v>0</v>
      </c>
      <c r="AO52" s="258"/>
      <c r="AP52" s="258"/>
      <c r="AQ52" s="220" t="str">
        <f t="shared" si="0"/>
        <v>VO05115714</v>
      </c>
      <c r="AS52" s="220" t="str">
        <f t="shared" si="1"/>
        <v>wci_corp</v>
      </c>
    </row>
    <row r="53" spans="2:45">
      <c r="B53" s="220" t="s">
        <v>674</v>
      </c>
      <c r="C53" s="255">
        <v>43708</v>
      </c>
      <c r="D53" s="256">
        <v>-226.69</v>
      </c>
      <c r="E53" s="256">
        <v>0</v>
      </c>
      <c r="F53" s="257" t="s">
        <v>413</v>
      </c>
      <c r="G53" s="220" t="s">
        <v>688</v>
      </c>
      <c r="H53" s="258" t="s">
        <v>520</v>
      </c>
      <c r="I53" s="220" t="s">
        <v>676</v>
      </c>
      <c r="J53" s="220" t="s">
        <v>689</v>
      </c>
      <c r="K53" s="220" t="s">
        <v>522</v>
      </c>
      <c r="L53" s="226"/>
      <c r="M53" s="226"/>
      <c r="N53" s="226" t="s">
        <v>677</v>
      </c>
      <c r="O53" s="247"/>
      <c r="P53" s="226"/>
      <c r="Q53" s="226"/>
      <c r="U53" s="220" t="s">
        <v>678</v>
      </c>
      <c r="V53" s="220" t="s">
        <v>690</v>
      </c>
      <c r="X53" s="255">
        <v>43684</v>
      </c>
      <c r="Y53" s="255">
        <v>43684</v>
      </c>
      <c r="AA53" s="255"/>
      <c r="AB53" s="220" t="s">
        <v>523</v>
      </c>
      <c r="AC53" s="220">
        <v>0</v>
      </c>
      <c r="AD53" s="220">
        <v>0</v>
      </c>
      <c r="AE53" s="220">
        <v>0</v>
      </c>
      <c r="AF53" s="220">
        <v>0</v>
      </c>
      <c r="AG53" s="220">
        <v>5</v>
      </c>
      <c r="AH53" s="220">
        <v>1</v>
      </c>
      <c r="AI53" s="220">
        <v>41121</v>
      </c>
      <c r="AJ53" s="220">
        <v>2180</v>
      </c>
      <c r="AK53" s="220">
        <v>0</v>
      </c>
      <c r="AL53" s="220">
        <v>0</v>
      </c>
      <c r="AO53" s="258"/>
      <c r="AP53" s="258"/>
      <c r="AQ53" s="220" t="str">
        <f t="shared" si="0"/>
        <v/>
      </c>
      <c r="AS53" s="220" t="str">
        <f t="shared" si="1"/>
        <v>wci_corp</v>
      </c>
    </row>
    <row r="54" spans="2:45">
      <c r="B54" s="220" t="s">
        <v>524</v>
      </c>
      <c r="C54" s="255">
        <v>43708</v>
      </c>
      <c r="D54" s="256">
        <v>253.13</v>
      </c>
      <c r="E54" s="256">
        <v>0</v>
      </c>
      <c r="F54" s="257" t="s">
        <v>413</v>
      </c>
      <c r="G54" s="220" t="s">
        <v>691</v>
      </c>
      <c r="H54" s="258" t="s">
        <v>520</v>
      </c>
      <c r="I54" s="220" t="s">
        <v>544</v>
      </c>
      <c r="J54" s="220" t="s">
        <v>543</v>
      </c>
      <c r="K54" s="220" t="s">
        <v>522</v>
      </c>
      <c r="L54" s="226"/>
      <c r="M54" s="226"/>
      <c r="N54" s="226" t="s">
        <v>525</v>
      </c>
      <c r="O54" s="247"/>
      <c r="P54" s="226"/>
      <c r="Q54" s="226"/>
      <c r="U54" s="220" t="s">
        <v>692</v>
      </c>
      <c r="V54" s="220" t="s">
        <v>692</v>
      </c>
      <c r="X54" s="255">
        <v>43712</v>
      </c>
      <c r="Y54" s="255">
        <v>43713</v>
      </c>
      <c r="AA54" s="255"/>
      <c r="AB54" s="220" t="s">
        <v>523</v>
      </c>
      <c r="AC54" s="220">
        <v>0</v>
      </c>
      <c r="AD54" s="220">
        <v>0</v>
      </c>
      <c r="AE54" s="220">
        <v>0</v>
      </c>
      <c r="AF54" s="220">
        <v>0</v>
      </c>
      <c r="AG54" s="220">
        <v>0</v>
      </c>
      <c r="AH54" s="220">
        <v>1</v>
      </c>
      <c r="AI54" s="220">
        <v>41129</v>
      </c>
      <c r="AJ54" s="220">
        <v>2180</v>
      </c>
      <c r="AK54" s="220">
        <v>0</v>
      </c>
      <c r="AL54" s="220">
        <v>3</v>
      </c>
      <c r="AO54" s="258"/>
      <c r="AP54" s="258"/>
      <c r="AQ54" s="220" t="str">
        <f t="shared" si="0"/>
        <v/>
      </c>
      <c r="AS54" s="220" t="str">
        <f t="shared" si="1"/>
        <v>wci_corp</v>
      </c>
    </row>
    <row r="55" spans="2:45">
      <c r="B55" s="220" t="s">
        <v>524</v>
      </c>
      <c r="C55" s="255">
        <v>43708</v>
      </c>
      <c r="D55" s="256">
        <v>5906.25</v>
      </c>
      <c r="E55" s="256">
        <v>0</v>
      </c>
      <c r="F55" s="257" t="s">
        <v>413</v>
      </c>
      <c r="G55" s="220" t="s">
        <v>691</v>
      </c>
      <c r="H55" s="258" t="s">
        <v>520</v>
      </c>
      <c r="I55" s="220" t="s">
        <v>544</v>
      </c>
      <c r="J55" s="220" t="s">
        <v>543</v>
      </c>
      <c r="K55" s="220" t="s">
        <v>522</v>
      </c>
      <c r="L55" s="226"/>
      <c r="M55" s="226"/>
      <c r="N55" s="226" t="s">
        <v>526</v>
      </c>
      <c r="O55" s="247"/>
      <c r="P55" s="226"/>
      <c r="Q55" s="226"/>
      <c r="U55" s="220" t="s">
        <v>692</v>
      </c>
      <c r="V55" s="220" t="s">
        <v>692</v>
      </c>
      <c r="X55" s="255">
        <v>43712</v>
      </c>
      <c r="Y55" s="255">
        <v>43713</v>
      </c>
      <c r="AA55" s="255"/>
      <c r="AB55" s="220" t="s">
        <v>523</v>
      </c>
      <c r="AC55" s="220">
        <v>0</v>
      </c>
      <c r="AD55" s="220">
        <v>0</v>
      </c>
      <c r="AE55" s="220">
        <v>0</v>
      </c>
      <c r="AF55" s="220">
        <v>0</v>
      </c>
      <c r="AG55" s="220">
        <v>0</v>
      </c>
      <c r="AH55" s="220">
        <v>1</v>
      </c>
      <c r="AI55" s="220">
        <v>41129</v>
      </c>
      <c r="AJ55" s="220">
        <v>2180</v>
      </c>
      <c r="AK55" s="220">
        <v>0</v>
      </c>
      <c r="AL55" s="220">
        <v>3</v>
      </c>
      <c r="AO55" s="258"/>
      <c r="AP55" s="258"/>
      <c r="AQ55" s="220" t="str">
        <f t="shared" si="0"/>
        <v/>
      </c>
      <c r="AS55" s="220" t="str">
        <f t="shared" si="1"/>
        <v>wci_corp</v>
      </c>
    </row>
    <row r="56" spans="2:45">
      <c r="B56" s="220" t="s">
        <v>524</v>
      </c>
      <c r="C56" s="255">
        <v>43708</v>
      </c>
      <c r="D56" s="256">
        <v>16453.13</v>
      </c>
      <c r="E56" s="256">
        <v>0</v>
      </c>
      <c r="F56" s="257" t="s">
        <v>413</v>
      </c>
      <c r="G56" s="220" t="s">
        <v>691</v>
      </c>
      <c r="H56" s="258" t="s">
        <v>520</v>
      </c>
      <c r="I56" s="220" t="s">
        <v>544</v>
      </c>
      <c r="J56" s="220" t="s">
        <v>543</v>
      </c>
      <c r="K56" s="220" t="s">
        <v>522</v>
      </c>
      <c r="L56" s="226"/>
      <c r="M56" s="226"/>
      <c r="N56" s="226" t="s">
        <v>527</v>
      </c>
      <c r="O56" s="247"/>
      <c r="P56" s="226"/>
      <c r="Q56" s="226"/>
      <c r="U56" s="220" t="s">
        <v>692</v>
      </c>
      <c r="V56" s="220" t="s">
        <v>692</v>
      </c>
      <c r="X56" s="255">
        <v>43712</v>
      </c>
      <c r="Y56" s="255">
        <v>43713</v>
      </c>
      <c r="AA56" s="255"/>
      <c r="AB56" s="220" t="s">
        <v>523</v>
      </c>
      <c r="AC56" s="220">
        <v>0</v>
      </c>
      <c r="AD56" s="220">
        <v>0</v>
      </c>
      <c r="AE56" s="220">
        <v>0</v>
      </c>
      <c r="AF56" s="220">
        <v>0</v>
      </c>
      <c r="AG56" s="220">
        <v>0</v>
      </c>
      <c r="AH56" s="220">
        <v>1</v>
      </c>
      <c r="AI56" s="220">
        <v>41129</v>
      </c>
      <c r="AJ56" s="220">
        <v>2180</v>
      </c>
      <c r="AK56" s="220">
        <v>0</v>
      </c>
      <c r="AL56" s="220">
        <v>3</v>
      </c>
      <c r="AO56" s="258"/>
      <c r="AP56" s="258"/>
      <c r="AQ56" s="220" t="str">
        <f t="shared" si="0"/>
        <v/>
      </c>
      <c r="AS56" s="220" t="str">
        <f t="shared" si="1"/>
        <v>wci_corp</v>
      </c>
    </row>
    <row r="57" spans="2:45">
      <c r="B57" s="220" t="s">
        <v>524</v>
      </c>
      <c r="C57" s="255">
        <v>43708</v>
      </c>
      <c r="D57" s="256">
        <v>5146.88</v>
      </c>
      <c r="E57" s="256">
        <v>0</v>
      </c>
      <c r="F57" s="257" t="s">
        <v>413</v>
      </c>
      <c r="G57" s="220" t="s">
        <v>691</v>
      </c>
      <c r="H57" s="258" t="s">
        <v>520</v>
      </c>
      <c r="I57" s="220" t="s">
        <v>544</v>
      </c>
      <c r="J57" s="220" t="s">
        <v>543</v>
      </c>
      <c r="K57" s="220" t="s">
        <v>522</v>
      </c>
      <c r="L57" s="226"/>
      <c r="M57" s="226"/>
      <c r="N57" s="226" t="s">
        <v>528</v>
      </c>
      <c r="O57" s="247"/>
      <c r="P57" s="226"/>
      <c r="Q57" s="226"/>
      <c r="U57" s="220" t="s">
        <v>692</v>
      </c>
      <c r="V57" s="220" t="s">
        <v>692</v>
      </c>
      <c r="X57" s="255">
        <v>43712</v>
      </c>
      <c r="Y57" s="255">
        <v>43713</v>
      </c>
      <c r="AA57" s="255"/>
      <c r="AB57" s="220" t="s">
        <v>523</v>
      </c>
      <c r="AC57" s="220">
        <v>0</v>
      </c>
      <c r="AD57" s="220">
        <v>0</v>
      </c>
      <c r="AE57" s="220">
        <v>0</v>
      </c>
      <c r="AF57" s="220">
        <v>0</v>
      </c>
      <c r="AG57" s="220">
        <v>0</v>
      </c>
      <c r="AH57" s="220">
        <v>1</v>
      </c>
      <c r="AI57" s="220">
        <v>41129</v>
      </c>
      <c r="AJ57" s="220">
        <v>2180</v>
      </c>
      <c r="AK57" s="220">
        <v>0</v>
      </c>
      <c r="AL57" s="220">
        <v>3</v>
      </c>
      <c r="AO57" s="258"/>
      <c r="AP57" s="258"/>
      <c r="AQ57" s="220" t="str">
        <f t="shared" si="0"/>
        <v/>
      </c>
      <c r="AS57" s="220" t="str">
        <f t="shared" si="1"/>
        <v>wci_corp</v>
      </c>
    </row>
    <row r="58" spans="2:45">
      <c r="B58" s="220" t="s">
        <v>524</v>
      </c>
      <c r="C58" s="255">
        <v>43738</v>
      </c>
      <c r="D58" s="256">
        <v>309.38</v>
      </c>
      <c r="E58" s="256">
        <v>0</v>
      </c>
      <c r="F58" s="257" t="s">
        <v>413</v>
      </c>
      <c r="G58" s="220" t="s">
        <v>945</v>
      </c>
      <c r="H58" s="258" t="s">
        <v>520</v>
      </c>
      <c r="I58" s="220" t="s">
        <v>544</v>
      </c>
      <c r="J58" s="220" t="s">
        <v>689</v>
      </c>
      <c r="K58" s="220" t="s">
        <v>522</v>
      </c>
      <c r="L58" s="226"/>
      <c r="M58" s="226"/>
      <c r="N58" s="226" t="s">
        <v>525</v>
      </c>
      <c r="O58" s="247"/>
      <c r="P58" s="226"/>
      <c r="Q58" s="226"/>
      <c r="U58" s="220" t="s">
        <v>946</v>
      </c>
      <c r="V58" s="220" t="s">
        <v>946</v>
      </c>
      <c r="X58" s="255">
        <v>43741</v>
      </c>
      <c r="Y58" s="255">
        <v>43741</v>
      </c>
      <c r="AA58" s="255"/>
      <c r="AB58" s="220" t="s">
        <v>523</v>
      </c>
      <c r="AC58" s="220">
        <v>0</v>
      </c>
      <c r="AD58" s="220">
        <v>0</v>
      </c>
      <c r="AE58" s="220">
        <v>0</v>
      </c>
      <c r="AF58" s="220">
        <v>0</v>
      </c>
      <c r="AG58" s="220">
        <v>0</v>
      </c>
      <c r="AH58" s="220">
        <v>1</v>
      </c>
      <c r="AI58" s="220">
        <v>41129</v>
      </c>
      <c r="AJ58" s="220">
        <v>2180</v>
      </c>
      <c r="AK58" s="220">
        <v>0</v>
      </c>
      <c r="AL58" s="220">
        <v>3</v>
      </c>
      <c r="AO58" s="258"/>
      <c r="AP58" s="258"/>
      <c r="AQ58" s="220" t="str">
        <f t="shared" si="0"/>
        <v/>
      </c>
      <c r="AS58" s="220" t="str">
        <f t="shared" si="1"/>
        <v>wci_corp</v>
      </c>
    </row>
    <row r="59" spans="2:45">
      <c r="B59" s="220" t="s">
        <v>524</v>
      </c>
      <c r="C59" s="255">
        <v>43738</v>
      </c>
      <c r="D59" s="256">
        <v>6468.75</v>
      </c>
      <c r="E59" s="256">
        <v>0</v>
      </c>
      <c r="F59" s="257" t="s">
        <v>413</v>
      </c>
      <c r="G59" s="220" t="s">
        <v>945</v>
      </c>
      <c r="H59" s="258" t="s">
        <v>520</v>
      </c>
      <c r="I59" s="220" t="s">
        <v>544</v>
      </c>
      <c r="J59" s="220" t="s">
        <v>689</v>
      </c>
      <c r="K59" s="220" t="s">
        <v>522</v>
      </c>
      <c r="L59" s="226"/>
      <c r="M59" s="226"/>
      <c r="N59" s="226" t="s">
        <v>526</v>
      </c>
      <c r="O59" s="247"/>
      <c r="P59" s="226"/>
      <c r="Q59" s="226"/>
      <c r="U59" s="220" t="s">
        <v>946</v>
      </c>
      <c r="V59" s="220" t="s">
        <v>946</v>
      </c>
      <c r="X59" s="255">
        <v>43741</v>
      </c>
      <c r="Y59" s="255">
        <v>43741</v>
      </c>
      <c r="AA59" s="255"/>
      <c r="AB59" s="220" t="s">
        <v>523</v>
      </c>
      <c r="AC59" s="220">
        <v>0</v>
      </c>
      <c r="AD59" s="220">
        <v>0</v>
      </c>
      <c r="AE59" s="220">
        <v>0</v>
      </c>
      <c r="AF59" s="220">
        <v>0</v>
      </c>
      <c r="AG59" s="220">
        <v>0</v>
      </c>
      <c r="AH59" s="220">
        <v>1</v>
      </c>
      <c r="AI59" s="220">
        <v>41129</v>
      </c>
      <c r="AJ59" s="220">
        <v>2180</v>
      </c>
      <c r="AK59" s="220">
        <v>0</v>
      </c>
      <c r="AL59" s="220">
        <v>3</v>
      </c>
      <c r="AO59" s="258"/>
      <c r="AP59" s="258"/>
      <c r="AQ59" s="220" t="str">
        <f t="shared" si="0"/>
        <v/>
      </c>
      <c r="AS59" s="220" t="str">
        <f t="shared" si="1"/>
        <v>wci_corp</v>
      </c>
    </row>
    <row r="60" spans="2:45">
      <c r="B60" s="220" t="s">
        <v>524</v>
      </c>
      <c r="C60" s="255">
        <v>43738</v>
      </c>
      <c r="D60" s="256">
        <v>10715.63</v>
      </c>
      <c r="E60" s="256">
        <v>0</v>
      </c>
      <c r="F60" s="257" t="s">
        <v>413</v>
      </c>
      <c r="G60" s="220" t="s">
        <v>945</v>
      </c>
      <c r="H60" s="258" t="s">
        <v>520</v>
      </c>
      <c r="I60" s="220" t="s">
        <v>544</v>
      </c>
      <c r="J60" s="220" t="s">
        <v>689</v>
      </c>
      <c r="K60" s="220" t="s">
        <v>522</v>
      </c>
      <c r="L60" s="226"/>
      <c r="M60" s="226"/>
      <c r="N60" s="226" t="s">
        <v>527</v>
      </c>
      <c r="O60" s="247"/>
      <c r="P60" s="226"/>
      <c r="Q60" s="226"/>
      <c r="U60" s="220" t="s">
        <v>946</v>
      </c>
      <c r="V60" s="220" t="s">
        <v>946</v>
      </c>
      <c r="X60" s="255">
        <v>43741</v>
      </c>
      <c r="Y60" s="255">
        <v>43741</v>
      </c>
      <c r="AA60" s="255"/>
      <c r="AB60" s="220" t="s">
        <v>523</v>
      </c>
      <c r="AC60" s="220">
        <v>0</v>
      </c>
      <c r="AD60" s="220">
        <v>0</v>
      </c>
      <c r="AE60" s="220">
        <v>0</v>
      </c>
      <c r="AF60" s="220">
        <v>0</v>
      </c>
      <c r="AG60" s="220">
        <v>0</v>
      </c>
      <c r="AH60" s="220">
        <v>1</v>
      </c>
      <c r="AI60" s="220">
        <v>41129</v>
      </c>
      <c r="AJ60" s="220">
        <v>2180</v>
      </c>
      <c r="AK60" s="220">
        <v>0</v>
      </c>
      <c r="AL60" s="220">
        <v>3</v>
      </c>
      <c r="AO60" s="258"/>
      <c r="AP60" s="258"/>
      <c r="AQ60" s="220" t="str">
        <f t="shared" si="0"/>
        <v/>
      </c>
      <c r="AS60" s="220" t="str">
        <f t="shared" si="1"/>
        <v>wci_corp</v>
      </c>
    </row>
    <row r="61" spans="2:45">
      <c r="B61" s="220" t="s">
        <v>524</v>
      </c>
      <c r="C61" s="255">
        <v>43738</v>
      </c>
      <c r="D61" s="256">
        <v>28096.880000000001</v>
      </c>
      <c r="E61" s="256">
        <v>0</v>
      </c>
      <c r="F61" s="257" t="s">
        <v>413</v>
      </c>
      <c r="G61" s="220" t="s">
        <v>945</v>
      </c>
      <c r="H61" s="258" t="s">
        <v>520</v>
      </c>
      <c r="I61" s="220" t="s">
        <v>544</v>
      </c>
      <c r="J61" s="220" t="s">
        <v>689</v>
      </c>
      <c r="K61" s="220" t="s">
        <v>522</v>
      </c>
      <c r="L61" s="226"/>
      <c r="M61" s="226"/>
      <c r="N61" s="226" t="s">
        <v>528</v>
      </c>
      <c r="O61" s="247"/>
      <c r="P61" s="226"/>
      <c r="Q61" s="226"/>
      <c r="U61" s="220" t="s">
        <v>946</v>
      </c>
      <c r="V61" s="220" t="s">
        <v>946</v>
      </c>
      <c r="X61" s="255">
        <v>43741</v>
      </c>
      <c r="Y61" s="255">
        <v>43741</v>
      </c>
      <c r="AA61" s="255"/>
      <c r="AB61" s="220" t="s">
        <v>523</v>
      </c>
      <c r="AC61" s="220">
        <v>0</v>
      </c>
      <c r="AD61" s="220">
        <v>0</v>
      </c>
      <c r="AE61" s="220">
        <v>0</v>
      </c>
      <c r="AF61" s="220">
        <v>0</v>
      </c>
      <c r="AG61" s="220">
        <v>0</v>
      </c>
      <c r="AH61" s="220">
        <v>1</v>
      </c>
      <c r="AI61" s="220">
        <v>41129</v>
      </c>
      <c r="AJ61" s="220">
        <v>2180</v>
      </c>
      <c r="AK61" s="220">
        <v>0</v>
      </c>
      <c r="AL61" s="220">
        <v>3</v>
      </c>
      <c r="AO61" s="258"/>
      <c r="AP61" s="258"/>
      <c r="AQ61" s="220" t="str">
        <f t="shared" si="0"/>
        <v/>
      </c>
      <c r="AS61" s="220" t="str">
        <f t="shared" si="1"/>
        <v>wci_corp</v>
      </c>
    </row>
    <row r="62" spans="2:45">
      <c r="B62" s="220" t="s">
        <v>524</v>
      </c>
      <c r="C62" s="255">
        <v>43769</v>
      </c>
      <c r="D62" s="256">
        <v>-24243.75</v>
      </c>
      <c r="E62" s="256">
        <v>0</v>
      </c>
      <c r="F62" s="257" t="s">
        <v>413</v>
      </c>
      <c r="G62" s="220" t="s">
        <v>947</v>
      </c>
      <c r="H62" s="258" t="s">
        <v>520</v>
      </c>
      <c r="I62" s="220" t="s">
        <v>948</v>
      </c>
      <c r="J62" s="220" t="s">
        <v>521</v>
      </c>
      <c r="K62" s="220" t="s">
        <v>522</v>
      </c>
      <c r="L62" s="226"/>
      <c r="M62" s="226"/>
      <c r="N62" s="226" t="s">
        <v>949</v>
      </c>
      <c r="O62" s="247"/>
      <c r="P62" s="226"/>
      <c r="Q62" s="226"/>
      <c r="U62" s="220" t="s">
        <v>950</v>
      </c>
      <c r="V62" s="220" t="s">
        <v>950</v>
      </c>
      <c r="X62" s="255">
        <v>43774</v>
      </c>
      <c r="Y62" s="255">
        <v>43774</v>
      </c>
      <c r="AA62" s="255"/>
      <c r="AB62" s="220" t="s">
        <v>523</v>
      </c>
      <c r="AC62" s="220">
        <v>0</v>
      </c>
      <c r="AD62" s="220">
        <v>0</v>
      </c>
      <c r="AE62" s="220">
        <v>0</v>
      </c>
      <c r="AF62" s="220">
        <v>0</v>
      </c>
      <c r="AG62" s="220">
        <v>0</v>
      </c>
      <c r="AH62" s="220">
        <v>1</v>
      </c>
      <c r="AI62" s="220">
        <v>41129</v>
      </c>
      <c r="AJ62" s="220">
        <v>2180</v>
      </c>
      <c r="AK62" s="220">
        <v>0</v>
      </c>
      <c r="AL62" s="220">
        <v>3</v>
      </c>
      <c r="AO62" s="258"/>
      <c r="AP62" s="258"/>
      <c r="AQ62" s="220" t="str">
        <f t="shared" si="0"/>
        <v/>
      </c>
      <c r="AS62" s="220" t="str">
        <f t="shared" si="1"/>
        <v>wci_corp</v>
      </c>
    </row>
    <row r="63" spans="2:45">
      <c r="B63" s="220" t="s">
        <v>524</v>
      </c>
      <c r="C63" s="255">
        <v>43769</v>
      </c>
      <c r="D63" s="256">
        <v>225</v>
      </c>
      <c r="E63" s="256">
        <v>0</v>
      </c>
      <c r="F63" s="257" t="s">
        <v>413</v>
      </c>
      <c r="G63" s="220" t="s">
        <v>951</v>
      </c>
      <c r="H63" s="258" t="s">
        <v>520</v>
      </c>
      <c r="I63" s="220" t="s">
        <v>544</v>
      </c>
      <c r="J63" s="220" t="s">
        <v>521</v>
      </c>
      <c r="K63" s="220" t="s">
        <v>522</v>
      </c>
      <c r="L63" s="226"/>
      <c r="M63" s="226"/>
      <c r="N63" s="226" t="s">
        <v>525</v>
      </c>
      <c r="O63" s="247"/>
      <c r="P63" s="226"/>
      <c r="Q63" s="226"/>
      <c r="U63" s="220" t="s">
        <v>952</v>
      </c>
      <c r="V63" s="220" t="s">
        <v>952</v>
      </c>
      <c r="X63" s="255">
        <v>43774</v>
      </c>
      <c r="Y63" s="255">
        <v>43774</v>
      </c>
      <c r="AA63" s="255"/>
      <c r="AB63" s="220" t="s">
        <v>523</v>
      </c>
      <c r="AC63" s="220">
        <v>0</v>
      </c>
      <c r="AD63" s="220">
        <v>0</v>
      </c>
      <c r="AE63" s="220">
        <v>0</v>
      </c>
      <c r="AF63" s="220">
        <v>0</v>
      </c>
      <c r="AG63" s="220">
        <v>0</v>
      </c>
      <c r="AH63" s="220">
        <v>1</v>
      </c>
      <c r="AI63" s="220">
        <v>41129</v>
      </c>
      <c r="AJ63" s="220">
        <v>2180</v>
      </c>
      <c r="AK63" s="220">
        <v>0</v>
      </c>
      <c r="AL63" s="220">
        <v>3</v>
      </c>
      <c r="AO63" s="258"/>
      <c r="AP63" s="258"/>
      <c r="AQ63" s="220" t="str">
        <f t="shared" si="0"/>
        <v/>
      </c>
      <c r="AS63" s="220" t="str">
        <f t="shared" si="1"/>
        <v>wci_corp</v>
      </c>
    </row>
    <row r="64" spans="2:45">
      <c r="B64" s="220" t="s">
        <v>524</v>
      </c>
      <c r="C64" s="255">
        <v>43769</v>
      </c>
      <c r="D64" s="256">
        <v>6356.25</v>
      </c>
      <c r="E64" s="256">
        <v>0</v>
      </c>
      <c r="F64" s="257" t="s">
        <v>413</v>
      </c>
      <c r="G64" s="220" t="s">
        <v>951</v>
      </c>
      <c r="H64" s="258" t="s">
        <v>520</v>
      </c>
      <c r="I64" s="220" t="s">
        <v>544</v>
      </c>
      <c r="J64" s="220" t="s">
        <v>521</v>
      </c>
      <c r="K64" s="220" t="s">
        <v>522</v>
      </c>
      <c r="L64" s="226"/>
      <c r="M64" s="226"/>
      <c r="N64" s="226" t="s">
        <v>526</v>
      </c>
      <c r="O64" s="247"/>
      <c r="P64" s="226"/>
      <c r="Q64" s="226"/>
      <c r="U64" s="220" t="s">
        <v>952</v>
      </c>
      <c r="V64" s="220" t="s">
        <v>952</v>
      </c>
      <c r="X64" s="255">
        <v>43774</v>
      </c>
      <c r="Y64" s="255">
        <v>43774</v>
      </c>
      <c r="AA64" s="255"/>
      <c r="AB64" s="220" t="s">
        <v>523</v>
      </c>
      <c r="AC64" s="220">
        <v>0</v>
      </c>
      <c r="AD64" s="220">
        <v>0</v>
      </c>
      <c r="AE64" s="220">
        <v>0</v>
      </c>
      <c r="AF64" s="220">
        <v>0</v>
      </c>
      <c r="AG64" s="220">
        <v>0</v>
      </c>
      <c r="AH64" s="220">
        <v>1</v>
      </c>
      <c r="AI64" s="220">
        <v>41129</v>
      </c>
      <c r="AJ64" s="220">
        <v>2180</v>
      </c>
      <c r="AK64" s="220">
        <v>0</v>
      </c>
      <c r="AL64" s="220">
        <v>3</v>
      </c>
      <c r="AO64" s="258"/>
      <c r="AP64" s="258"/>
      <c r="AQ64" s="220" t="str">
        <f t="shared" si="0"/>
        <v/>
      </c>
      <c r="AS64" s="220" t="str">
        <f t="shared" si="1"/>
        <v>wci_corp</v>
      </c>
    </row>
    <row r="65" spans="2:45">
      <c r="B65" s="220" t="s">
        <v>524</v>
      </c>
      <c r="C65" s="255">
        <v>43769</v>
      </c>
      <c r="D65" s="256">
        <v>7087.5</v>
      </c>
      <c r="E65" s="256">
        <v>0</v>
      </c>
      <c r="F65" s="257" t="s">
        <v>413</v>
      </c>
      <c r="G65" s="220" t="s">
        <v>951</v>
      </c>
      <c r="H65" s="258" t="s">
        <v>520</v>
      </c>
      <c r="I65" s="220" t="s">
        <v>544</v>
      </c>
      <c r="J65" s="220" t="s">
        <v>521</v>
      </c>
      <c r="K65" s="220" t="s">
        <v>522</v>
      </c>
      <c r="L65" s="226"/>
      <c r="M65" s="226"/>
      <c r="N65" s="226" t="s">
        <v>527</v>
      </c>
      <c r="O65" s="247"/>
      <c r="P65" s="226"/>
      <c r="Q65" s="226"/>
      <c r="U65" s="220" t="s">
        <v>952</v>
      </c>
      <c r="V65" s="220" t="s">
        <v>952</v>
      </c>
      <c r="X65" s="255">
        <v>43774</v>
      </c>
      <c r="Y65" s="255">
        <v>43774</v>
      </c>
      <c r="AA65" s="255"/>
      <c r="AB65" s="220" t="s">
        <v>523</v>
      </c>
      <c r="AC65" s="220">
        <v>0</v>
      </c>
      <c r="AD65" s="220">
        <v>0</v>
      </c>
      <c r="AE65" s="220">
        <v>0</v>
      </c>
      <c r="AF65" s="220">
        <v>0</v>
      </c>
      <c r="AG65" s="220">
        <v>0</v>
      </c>
      <c r="AH65" s="220">
        <v>1</v>
      </c>
      <c r="AI65" s="220">
        <v>41129</v>
      </c>
      <c r="AJ65" s="220">
        <v>2180</v>
      </c>
      <c r="AK65" s="220">
        <v>0</v>
      </c>
      <c r="AL65" s="220">
        <v>3</v>
      </c>
      <c r="AO65" s="258"/>
      <c r="AP65" s="258"/>
      <c r="AQ65" s="220" t="str">
        <f t="shared" si="0"/>
        <v/>
      </c>
      <c r="AS65" s="220" t="str">
        <f t="shared" si="1"/>
        <v>wci_corp</v>
      </c>
    </row>
    <row r="66" spans="2:45">
      <c r="B66" s="220" t="s">
        <v>524</v>
      </c>
      <c r="C66" s="255">
        <v>43769</v>
      </c>
      <c r="D66" s="256">
        <v>12796.88</v>
      </c>
      <c r="E66" s="256">
        <v>0</v>
      </c>
      <c r="F66" s="257" t="s">
        <v>413</v>
      </c>
      <c r="G66" s="220" t="s">
        <v>951</v>
      </c>
      <c r="H66" s="258" t="s">
        <v>520</v>
      </c>
      <c r="I66" s="220" t="s">
        <v>544</v>
      </c>
      <c r="J66" s="220" t="s">
        <v>521</v>
      </c>
      <c r="K66" s="220" t="s">
        <v>522</v>
      </c>
      <c r="L66" s="226"/>
      <c r="M66" s="226"/>
      <c r="N66" s="226" t="s">
        <v>528</v>
      </c>
      <c r="O66" s="247"/>
      <c r="P66" s="226"/>
      <c r="Q66" s="226"/>
      <c r="U66" s="220" t="s">
        <v>952</v>
      </c>
      <c r="V66" s="220" t="s">
        <v>952</v>
      </c>
      <c r="X66" s="255">
        <v>43774</v>
      </c>
      <c r="Y66" s="255">
        <v>43774</v>
      </c>
      <c r="AA66" s="255"/>
      <c r="AB66" s="220" t="s">
        <v>523</v>
      </c>
      <c r="AC66" s="220">
        <v>0</v>
      </c>
      <c r="AD66" s="220">
        <v>0</v>
      </c>
      <c r="AE66" s="220">
        <v>0</v>
      </c>
      <c r="AF66" s="220">
        <v>0</v>
      </c>
      <c r="AG66" s="220">
        <v>0</v>
      </c>
      <c r="AH66" s="220">
        <v>1</v>
      </c>
      <c r="AI66" s="220">
        <v>41129</v>
      </c>
      <c r="AJ66" s="220">
        <v>2180</v>
      </c>
      <c r="AK66" s="220">
        <v>0</v>
      </c>
      <c r="AL66" s="220">
        <v>3</v>
      </c>
      <c r="AO66" s="258"/>
      <c r="AP66" s="258"/>
      <c r="AQ66" s="220" t="str">
        <f t="shared" si="0"/>
        <v/>
      </c>
      <c r="AS66" s="220" t="str">
        <f t="shared" si="1"/>
        <v>wci_corp</v>
      </c>
    </row>
    <row r="67" spans="2:45">
      <c r="B67" s="220" t="s">
        <v>524</v>
      </c>
      <c r="C67" s="255">
        <v>43799</v>
      </c>
      <c r="D67" s="256">
        <v>703.13</v>
      </c>
      <c r="E67" s="256">
        <v>0</v>
      </c>
      <c r="F67" s="257" t="s">
        <v>413</v>
      </c>
      <c r="G67" s="220" t="s">
        <v>953</v>
      </c>
      <c r="H67" s="258" t="s">
        <v>520</v>
      </c>
      <c r="I67" s="220" t="s">
        <v>544</v>
      </c>
      <c r="J67" s="220" t="s">
        <v>670</v>
      </c>
      <c r="K67" s="220" t="s">
        <v>522</v>
      </c>
      <c r="L67" s="226"/>
      <c r="M67" s="226"/>
      <c r="N67" s="226" t="s">
        <v>525</v>
      </c>
      <c r="O67" s="247"/>
      <c r="P67" s="226"/>
      <c r="Q67" s="226"/>
      <c r="U67" s="220" t="s">
        <v>954</v>
      </c>
      <c r="V67" s="220" t="s">
        <v>954</v>
      </c>
      <c r="X67" s="255">
        <v>43803</v>
      </c>
      <c r="Y67" s="255">
        <v>43803</v>
      </c>
      <c r="AA67" s="255"/>
      <c r="AB67" s="220" t="s">
        <v>523</v>
      </c>
      <c r="AC67" s="220">
        <v>0</v>
      </c>
      <c r="AD67" s="220">
        <v>0</v>
      </c>
      <c r="AE67" s="220">
        <v>0</v>
      </c>
      <c r="AF67" s="220">
        <v>0</v>
      </c>
      <c r="AG67" s="220">
        <v>0</v>
      </c>
      <c r="AH67" s="220">
        <v>1</v>
      </c>
      <c r="AI67" s="220">
        <v>41129</v>
      </c>
      <c r="AJ67" s="220">
        <v>2180</v>
      </c>
      <c r="AK67" s="220">
        <v>0</v>
      </c>
      <c r="AL67" s="220">
        <v>3</v>
      </c>
      <c r="AO67" s="258"/>
      <c r="AP67" s="258"/>
      <c r="AQ67" s="220" t="str">
        <f t="shared" si="0"/>
        <v/>
      </c>
      <c r="AS67" s="220" t="str">
        <f t="shared" si="1"/>
        <v>wci_corp</v>
      </c>
    </row>
    <row r="68" spans="2:45">
      <c r="B68" s="220" t="s">
        <v>524</v>
      </c>
      <c r="C68" s="255">
        <v>43799</v>
      </c>
      <c r="D68" s="256">
        <v>5737.5</v>
      </c>
      <c r="E68" s="256">
        <v>0</v>
      </c>
      <c r="F68" s="257" t="s">
        <v>413</v>
      </c>
      <c r="G68" s="220" t="s">
        <v>953</v>
      </c>
      <c r="H68" s="258" t="s">
        <v>520</v>
      </c>
      <c r="I68" s="220" t="s">
        <v>544</v>
      </c>
      <c r="J68" s="220" t="s">
        <v>670</v>
      </c>
      <c r="K68" s="220" t="s">
        <v>522</v>
      </c>
      <c r="L68" s="226"/>
      <c r="M68" s="226"/>
      <c r="N68" s="226" t="s">
        <v>526</v>
      </c>
      <c r="O68" s="247"/>
      <c r="P68" s="226"/>
      <c r="Q68" s="226"/>
      <c r="U68" s="220" t="s">
        <v>954</v>
      </c>
      <c r="V68" s="220" t="s">
        <v>954</v>
      </c>
      <c r="X68" s="255">
        <v>43803</v>
      </c>
      <c r="Y68" s="255">
        <v>43803</v>
      </c>
      <c r="AA68" s="255"/>
      <c r="AB68" s="220" t="s">
        <v>523</v>
      </c>
      <c r="AC68" s="220">
        <v>0</v>
      </c>
      <c r="AD68" s="220">
        <v>0</v>
      </c>
      <c r="AE68" s="220">
        <v>0</v>
      </c>
      <c r="AF68" s="220">
        <v>0</v>
      </c>
      <c r="AG68" s="220">
        <v>0</v>
      </c>
      <c r="AH68" s="220">
        <v>1</v>
      </c>
      <c r="AI68" s="220">
        <v>41129</v>
      </c>
      <c r="AJ68" s="220">
        <v>2180</v>
      </c>
      <c r="AK68" s="220">
        <v>0</v>
      </c>
      <c r="AL68" s="220">
        <v>3</v>
      </c>
      <c r="AO68" s="258"/>
      <c r="AP68" s="258"/>
      <c r="AQ68" s="220" t="str">
        <f t="shared" si="0"/>
        <v/>
      </c>
      <c r="AS68" s="220" t="str">
        <f t="shared" si="1"/>
        <v>wci_corp</v>
      </c>
    </row>
    <row r="69" spans="2:45">
      <c r="B69" s="220" t="s">
        <v>524</v>
      </c>
      <c r="C69" s="255">
        <v>43799</v>
      </c>
      <c r="D69" s="256">
        <v>15750</v>
      </c>
      <c r="E69" s="256">
        <v>0</v>
      </c>
      <c r="F69" s="257" t="s">
        <v>413</v>
      </c>
      <c r="G69" s="220" t="s">
        <v>953</v>
      </c>
      <c r="H69" s="258" t="s">
        <v>520</v>
      </c>
      <c r="I69" s="220" t="s">
        <v>544</v>
      </c>
      <c r="J69" s="220" t="s">
        <v>670</v>
      </c>
      <c r="K69" s="220" t="s">
        <v>522</v>
      </c>
      <c r="L69" s="226"/>
      <c r="M69" s="226"/>
      <c r="N69" s="226" t="s">
        <v>527</v>
      </c>
      <c r="O69" s="247"/>
      <c r="P69" s="226"/>
      <c r="Q69" s="226"/>
      <c r="U69" s="220" t="s">
        <v>954</v>
      </c>
      <c r="V69" s="220" t="s">
        <v>954</v>
      </c>
      <c r="X69" s="255">
        <v>43803</v>
      </c>
      <c r="Y69" s="255">
        <v>43803</v>
      </c>
      <c r="AA69" s="255"/>
      <c r="AB69" s="220" t="s">
        <v>523</v>
      </c>
      <c r="AC69" s="220">
        <v>0</v>
      </c>
      <c r="AD69" s="220">
        <v>0</v>
      </c>
      <c r="AE69" s="220">
        <v>0</v>
      </c>
      <c r="AF69" s="220">
        <v>0</v>
      </c>
      <c r="AG69" s="220">
        <v>0</v>
      </c>
      <c r="AH69" s="220">
        <v>1</v>
      </c>
      <c r="AI69" s="220">
        <v>41129</v>
      </c>
      <c r="AJ69" s="220">
        <v>2180</v>
      </c>
      <c r="AK69" s="220">
        <v>0</v>
      </c>
      <c r="AL69" s="220">
        <v>3</v>
      </c>
      <c r="AO69" s="258"/>
      <c r="AP69" s="258"/>
      <c r="AQ69" s="220" t="str">
        <f t="shared" si="0"/>
        <v/>
      </c>
      <c r="AS69" s="220" t="str">
        <f t="shared" si="1"/>
        <v>wci_corp</v>
      </c>
    </row>
    <row r="70" spans="2:45">
      <c r="B70" s="220" t="s">
        <v>524</v>
      </c>
      <c r="C70" s="255">
        <v>43799</v>
      </c>
      <c r="D70" s="256">
        <v>6356.25</v>
      </c>
      <c r="E70" s="256">
        <v>0</v>
      </c>
      <c r="F70" s="257" t="s">
        <v>413</v>
      </c>
      <c r="G70" s="220" t="s">
        <v>953</v>
      </c>
      <c r="H70" s="258" t="s">
        <v>520</v>
      </c>
      <c r="I70" s="220" t="s">
        <v>544</v>
      </c>
      <c r="J70" s="220" t="s">
        <v>670</v>
      </c>
      <c r="K70" s="220" t="s">
        <v>522</v>
      </c>
      <c r="L70" s="226"/>
      <c r="M70" s="226"/>
      <c r="N70" s="226" t="s">
        <v>528</v>
      </c>
      <c r="O70" s="247"/>
      <c r="P70" s="226"/>
      <c r="Q70" s="226"/>
      <c r="U70" s="220" t="s">
        <v>954</v>
      </c>
      <c r="V70" s="220" t="s">
        <v>954</v>
      </c>
      <c r="X70" s="255">
        <v>43803</v>
      </c>
      <c r="Y70" s="255">
        <v>43803</v>
      </c>
      <c r="AA70" s="255"/>
      <c r="AB70" s="220" t="s">
        <v>523</v>
      </c>
      <c r="AC70" s="220">
        <v>0</v>
      </c>
      <c r="AD70" s="220">
        <v>0</v>
      </c>
      <c r="AE70" s="220">
        <v>0</v>
      </c>
      <c r="AF70" s="220">
        <v>0</v>
      </c>
      <c r="AG70" s="220">
        <v>0</v>
      </c>
      <c r="AH70" s="220">
        <v>1</v>
      </c>
      <c r="AI70" s="220">
        <v>41129</v>
      </c>
      <c r="AJ70" s="220">
        <v>2180</v>
      </c>
      <c r="AK70" s="220">
        <v>0</v>
      </c>
      <c r="AL70" s="220">
        <v>3</v>
      </c>
      <c r="AO70" s="258"/>
      <c r="AP70" s="258"/>
      <c r="AQ70" s="220" t="str">
        <f t="shared" si="0"/>
        <v/>
      </c>
      <c r="AS70" s="220" t="str">
        <f t="shared" si="1"/>
        <v>wci_corp</v>
      </c>
    </row>
    <row r="71" spans="2:45">
      <c r="C71" s="255"/>
      <c r="D71" s="259"/>
      <c r="E71" s="259"/>
      <c r="F71" s="259"/>
      <c r="H71" s="225"/>
    </row>
    <row r="72" spans="2:45">
      <c r="B72" s="426" t="s">
        <v>529</v>
      </c>
      <c r="C72" s="426"/>
      <c r="D72" s="449"/>
      <c r="E72" s="449"/>
      <c r="F72" s="449"/>
      <c r="G72" s="426"/>
      <c r="H72" s="450"/>
      <c r="I72" s="426"/>
      <c r="J72" s="426"/>
      <c r="K72" s="426"/>
      <c r="L72" s="426"/>
      <c r="M72" s="426"/>
      <c r="N72" s="426"/>
      <c r="O72" s="426"/>
      <c r="P72" s="426"/>
      <c r="Q72" s="426"/>
      <c r="R72" s="426"/>
      <c r="S72" s="426"/>
      <c r="T72" s="426"/>
      <c r="U72" s="426"/>
      <c r="V72" s="426"/>
      <c r="W72" s="426"/>
      <c r="X72" s="426"/>
      <c r="Y72" s="426"/>
      <c r="Z72" s="426"/>
      <c r="AA72" s="426"/>
      <c r="AB72" s="426"/>
      <c r="AC72" s="426"/>
      <c r="AD72" s="426"/>
      <c r="AE72" s="426"/>
      <c r="AF72" s="426"/>
      <c r="AG72" s="426"/>
      <c r="AH72" s="426"/>
      <c r="AI72" s="426"/>
      <c r="AJ72" s="426"/>
      <c r="AK72" s="426"/>
      <c r="AL72" s="426"/>
      <c r="AM72" s="426"/>
      <c r="AN72" s="426"/>
      <c r="AO72" s="426"/>
      <c r="AP72" s="221"/>
    </row>
    <row r="73" spans="2:45">
      <c r="H73" s="225"/>
    </row>
    <row r="74" spans="2:45">
      <c r="H74" s="225"/>
    </row>
    <row r="75" spans="2:45" ht="15">
      <c r="B75" s="561" t="s">
        <v>530</v>
      </c>
      <c r="C75" t="s">
        <v>531</v>
      </c>
      <c r="F75" s="552" t="s">
        <v>296</v>
      </c>
      <c r="G75" s="552" t="s">
        <v>573</v>
      </c>
      <c r="H75" s="552" t="s">
        <v>295</v>
      </c>
      <c r="I75" s="552" t="s">
        <v>317</v>
      </c>
    </row>
    <row r="76" spans="2:45" ht="15">
      <c r="B76" s="562" t="s">
        <v>674</v>
      </c>
      <c r="C76" s="542">
        <v>226.69</v>
      </c>
      <c r="D76" s="220">
        <f>+C76*1</f>
        <v>226.69</v>
      </c>
      <c r="H76" s="225"/>
    </row>
    <row r="77" spans="2:45" ht="15">
      <c r="B77" s="563" t="s">
        <v>683</v>
      </c>
      <c r="C77" s="542">
        <v>226.69</v>
      </c>
      <c r="D77" s="220">
        <f t="shared" ref="D77:D84" si="2">+C77*1</f>
        <v>226.69</v>
      </c>
      <c r="E77" s="224"/>
      <c r="F77" s="564">
        <f>+$D77*[47]Summary!B$32</f>
        <v>24.212962597516199</v>
      </c>
      <c r="G77" s="564">
        <f>+$D77*[47]Summary!C$32</f>
        <v>12.815343568527409</v>
      </c>
      <c r="H77" s="564">
        <f>+$D77*[47]Summary!D$32</f>
        <v>64.51741240429385</v>
      </c>
      <c r="I77" s="564">
        <f>+$D77*[47]Summary!E$32</f>
        <v>125.14428142966256</v>
      </c>
      <c r="J77" s="427"/>
      <c r="K77" s="427"/>
    </row>
    <row r="78" spans="2:45" ht="15">
      <c r="B78" s="563" t="s">
        <v>677</v>
      </c>
      <c r="C78" s="542">
        <v>0</v>
      </c>
      <c r="D78" s="220">
        <f t="shared" si="2"/>
        <v>0</v>
      </c>
      <c r="F78" s="564"/>
      <c r="G78" s="564"/>
      <c r="H78" s="565"/>
      <c r="I78" s="564"/>
      <c r="J78" s="427"/>
      <c r="K78" s="427"/>
    </row>
    <row r="79" spans="2:45" ht="15">
      <c r="B79" s="562" t="s">
        <v>524</v>
      </c>
      <c r="C79" s="542">
        <v>257272.99</v>
      </c>
      <c r="D79" s="220">
        <f t="shared" si="2"/>
        <v>257272.99</v>
      </c>
      <c r="F79" s="564"/>
      <c r="G79" s="564"/>
      <c r="H79" s="564"/>
      <c r="I79" s="564"/>
      <c r="J79" s="427"/>
      <c r="K79" s="427"/>
    </row>
    <row r="80" spans="2:45" ht="15">
      <c r="B80" s="563" t="s">
        <v>526</v>
      </c>
      <c r="C80" s="542">
        <v>64701.02</v>
      </c>
      <c r="D80" s="220">
        <f t="shared" si="2"/>
        <v>64701.02</v>
      </c>
      <c r="E80" s="224"/>
      <c r="F80" s="564">
        <f>+$D80*[47]Summary!B$29</f>
        <v>0</v>
      </c>
      <c r="G80" s="564">
        <f>+$D80*[47]Summary!C$29</f>
        <v>2747.5628922905125</v>
      </c>
      <c r="H80" s="564">
        <f>+$D80*[47]Summary!D$29</f>
        <v>5901.388531048322</v>
      </c>
      <c r="I80" s="564">
        <f>+$D80*[47]Summary!E$29</f>
        <v>56052.068576661164</v>
      </c>
      <c r="J80" s="427"/>
      <c r="K80" s="427"/>
    </row>
    <row r="81" spans="2:12" ht="15">
      <c r="B81" s="563" t="s">
        <v>525</v>
      </c>
      <c r="C81" s="542">
        <v>4275.0200000000004</v>
      </c>
      <c r="D81" s="220">
        <f t="shared" si="2"/>
        <v>4275.0200000000004</v>
      </c>
      <c r="E81" s="224"/>
      <c r="F81" s="564">
        <f>+$D81*[47]Summary!B30</f>
        <v>0</v>
      </c>
      <c r="G81" s="564">
        <f>+$D81*[47]Summary!C30</f>
        <v>1.9429680609148048</v>
      </c>
      <c r="H81" s="564">
        <f>+$D81*[47]Summary!D30</f>
        <v>779.82935288607518</v>
      </c>
      <c r="I81" s="564">
        <f>+$D81*[47]Summary!E30</f>
        <v>3493.2476790530104</v>
      </c>
      <c r="J81" s="427"/>
      <c r="K81" s="427"/>
    </row>
    <row r="82" spans="2:12" ht="15">
      <c r="B82" s="563" t="s">
        <v>527</v>
      </c>
      <c r="C82" s="542">
        <v>116634.40000000001</v>
      </c>
      <c r="D82" s="220">
        <f t="shared" si="2"/>
        <v>116634.40000000001</v>
      </c>
      <c r="E82" s="224"/>
      <c r="F82" s="564">
        <f>+[55]Summary!$E$6</f>
        <v>12459.375</v>
      </c>
      <c r="G82" s="564">
        <f>+[55]Summary!$E$4</f>
        <v>2278.125</v>
      </c>
      <c r="H82" s="565">
        <f>+[55]Summary!$E$8</f>
        <v>41287.5</v>
      </c>
      <c r="I82" s="564">
        <f>SUM(C82:C84)-SUM(F82:H82)</f>
        <v>132271.95000000001</v>
      </c>
      <c r="J82" s="427"/>
      <c r="K82" s="427"/>
    </row>
    <row r="83" spans="2:12" ht="15">
      <c r="B83" s="563" t="s">
        <v>528</v>
      </c>
      <c r="C83" s="542">
        <v>95906.3</v>
      </c>
      <c r="D83" s="220">
        <f t="shared" si="2"/>
        <v>95906.3</v>
      </c>
      <c r="E83" s="224"/>
      <c r="F83" s="564"/>
      <c r="G83" s="564"/>
      <c r="H83" s="564"/>
      <c r="I83" s="564"/>
      <c r="J83" s="427"/>
      <c r="K83" s="427"/>
    </row>
    <row r="84" spans="2:12" ht="15">
      <c r="B84" s="563" t="s">
        <v>949</v>
      </c>
      <c r="C84" s="542">
        <v>-24243.75</v>
      </c>
      <c r="D84" s="220">
        <f t="shared" si="2"/>
        <v>-24243.75</v>
      </c>
      <c r="F84" s="566"/>
      <c r="G84" s="566"/>
      <c r="H84" s="567"/>
      <c r="I84" s="566"/>
      <c r="K84" s="427"/>
    </row>
    <row r="85" spans="2:12" ht="15">
      <c r="B85" s="562" t="s">
        <v>303</v>
      </c>
      <c r="C85" s="542">
        <v>257499.68</v>
      </c>
      <c r="F85" s="553">
        <f>+SUM(F80:F84)</f>
        <v>12459.375</v>
      </c>
      <c r="G85" s="553">
        <f t="shared" ref="G85:I85" si="3">+SUM(G80:G84)</f>
        <v>5027.6308603514271</v>
      </c>
      <c r="H85" s="553">
        <f t="shared" si="3"/>
        <v>47968.717883934398</v>
      </c>
      <c r="I85" s="553">
        <f t="shared" si="3"/>
        <v>191817.26625571417</v>
      </c>
      <c r="J85" s="553">
        <f>SUM(F85:I85)</f>
        <v>257272.99</v>
      </c>
      <c r="K85" s="553"/>
      <c r="L85" s="553"/>
    </row>
    <row r="86" spans="2:12">
      <c r="H86" s="225"/>
    </row>
    <row r="87" spans="2:12">
      <c r="H87" s="225"/>
    </row>
    <row r="88" spans="2:12">
      <c r="H88" s="225"/>
    </row>
    <row r="89" spans="2:12">
      <c r="H89" s="225"/>
    </row>
    <row r="90" spans="2:12">
      <c r="H90" s="225"/>
    </row>
  </sheetData>
  <customSheetViews>
    <customSheetView guid="{76FC386D-C488-46EF-BB9C-D1C49FEBAB90}" scale="80" showPageBreaks="1" showGridLines="0" fitToPage="1" printArea="1" hiddenRows="1" hiddenColumns="1" topLeftCell="A9">
      <pane ySplit="11" topLeftCell="A50" activePane="bottomLeft" state="frozen"/>
      <selection pane="bottomLeft" activeCell="H84" sqref="H84"/>
      <pageMargins left="0.27" right="0.28999999999999998" top="0.37" bottom="0.43" header="0.25" footer="0.25"/>
      <pageSetup scale="33" fitToHeight="0"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customSheetView>
    <customSheetView guid="{16F8EA47-9864-4C0F-89A1-62B7CCC013F9}" scale="80" showGridLines="0" fitToPage="1" hiddenRows="1" hiddenColumns="1" topLeftCell="A9">
      <pane ySplit="11" topLeftCell="A47" activePane="bottomLeft" state="frozen"/>
      <selection pane="bottomLeft" activeCell="J90" sqref="J90"/>
      <pageMargins left="0.27" right="0.28999999999999998" top="0.37" bottom="0.43" header="0.25" footer="0.25"/>
      <pageSetup scale="53" fitToHeight="0" orientation="landscape" r:id="rId3"/>
      <headerFooter alignWithMargins="0">
        <oddHeader>&amp;L&amp;"Arial"&amp;L&amp;08 &amp;R&amp;"Arial"&amp;R&amp;08 &amp;D-&amp;T-Jeff Honsowetz</oddHeader>
        <oddFooter>&amp;L&amp;"Arial"&amp;L&amp;08 Path:D:\Data_WCNX\Financials\MidMonths\BrentProject\\&amp;F-&amp;A&amp;R&amp;"Arial"&amp;R&amp;08  Page &amp;P</oddFooter>
      </headerFooter>
    </customSheetView>
  </customSheetViews>
  <dataValidations disablePrompts="1" count="1">
    <dataValidation type="list" allowBlank="1" showInputMessage="1" showErrorMessage="1" sqref="P15">
      <formula1>"All,Posted/Unposted,Posted,Unposted,Staged"</formula1>
    </dataValidation>
  </dataValidations>
  <pageMargins left="0.27" right="0.28999999999999998" top="0.37" bottom="0.43" header="0.25" footer="0.25"/>
  <pageSetup scale="41" fitToHeight="0" orientation="landscape" r:id="rId4"/>
  <headerFooter alignWithMargins="0">
    <oddHeader>&amp;L&amp;"Arial"&amp;L&amp;08 &amp;R&amp;"Arial"&amp;R&amp;08 &amp;D-&amp;T-Jeff Honsowetz</oddHeader>
    <oddFooter>&amp;L&amp;"Arial"&amp;L&amp;08 Path:D:\Data_WCNX\Financials\MidMonths\BrentProject\\&amp;F-&amp;A&amp;R&amp;"Arial"&amp;R&amp;08  Page &amp;P</oddFooter>
  </headerFooter>
  <legacyDrawing r:id="rId5"/>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7" tint="0.79998168889431442"/>
    <pageSetUpPr fitToPage="1"/>
  </sheetPr>
  <dimension ref="A1:AS101"/>
  <sheetViews>
    <sheetView showGridLines="0" view="pageBreakPreview" topLeftCell="B9" zoomScale="60" zoomScaleNormal="80" workbookViewId="0">
      <pane ySplit="29" topLeftCell="A38" activePane="bottomLeft" state="frozen"/>
      <selection activeCell="AP280" sqref="AP280"/>
      <selection pane="bottomLeft" activeCell="AP280" sqref="AP280"/>
    </sheetView>
  </sheetViews>
  <sheetFormatPr defaultRowHeight="12.75" outlineLevelRow="1"/>
  <cols>
    <col min="1" max="1" width="2.7109375" style="220" customWidth="1"/>
    <col min="2" max="2" width="18" style="220" customWidth="1"/>
    <col min="3" max="3" width="12.42578125" style="220" customWidth="1"/>
    <col min="4" max="5" width="18.7109375" style="220" customWidth="1"/>
    <col min="6" max="6" width="12.28515625" style="220" customWidth="1"/>
    <col min="7" max="7" width="19" style="220" customWidth="1"/>
    <col min="8" max="8" width="7.85546875" style="220" customWidth="1"/>
    <col min="9" max="9" width="30.28515625" style="220" customWidth="1"/>
    <col min="10" max="10" width="10.28515625" style="220" customWidth="1"/>
    <col min="11" max="11" width="13.5703125" style="220" customWidth="1"/>
    <col min="12" max="12" width="15.140625" style="220" customWidth="1"/>
    <col min="13" max="13" width="29.85546875" style="220" customWidth="1"/>
    <col min="14" max="14" width="38.5703125" style="220" customWidth="1"/>
    <col min="15" max="15" width="11.42578125" style="220" customWidth="1"/>
    <col min="16" max="16" width="35.140625" style="220" customWidth="1"/>
    <col min="17" max="17" width="18" style="220" customWidth="1"/>
    <col min="18" max="18" width="14.140625" style="220" customWidth="1"/>
    <col min="19" max="19" width="17.7109375" style="220" customWidth="1"/>
    <col min="20" max="20" width="12.7109375" style="220" customWidth="1"/>
    <col min="21" max="21" width="15.85546875" style="220" customWidth="1"/>
    <col min="22" max="22" width="13.7109375" style="220" bestFit="1" customWidth="1"/>
    <col min="23" max="23" width="13.28515625" style="220" customWidth="1"/>
    <col min="24" max="24" width="12.28515625" style="220" customWidth="1"/>
    <col min="25" max="25" width="11.5703125" style="220" customWidth="1"/>
    <col min="26" max="26" width="9.85546875" style="220" customWidth="1"/>
    <col min="27" max="27" width="11.42578125" style="220" customWidth="1"/>
    <col min="28" max="28" width="11" style="220" customWidth="1"/>
    <col min="29" max="29" width="11.5703125" style="220" customWidth="1"/>
    <col min="30" max="30" width="7" style="220" customWidth="1"/>
    <col min="31" max="31" width="11.140625" style="220" customWidth="1"/>
    <col min="32" max="32" width="11" style="220" customWidth="1"/>
    <col min="33" max="33" width="8.5703125" style="220" customWidth="1"/>
    <col min="34" max="34" width="8.42578125" style="220" customWidth="1"/>
    <col min="35" max="36" width="10.28515625" style="220" customWidth="1"/>
    <col min="37" max="37" width="10.140625" style="220" customWidth="1"/>
    <col min="38" max="38" width="10.42578125" style="220" customWidth="1"/>
    <col min="39" max="39" width="21.140625" style="220" customWidth="1"/>
    <col min="40" max="42" width="18.85546875" style="220" customWidth="1"/>
    <col min="43" max="43" width="20.42578125" style="220" customWidth="1"/>
    <col min="44" max="44" width="9.140625" style="220" customWidth="1"/>
    <col min="45" max="45" width="9.140625" style="220" hidden="1" customWidth="1"/>
    <col min="46" max="46" width="9.140625" style="220" customWidth="1"/>
    <col min="47" max="16384" width="9.140625" style="220"/>
  </cols>
  <sheetData>
    <row r="1" spans="1:43" hidden="1" outlineLevel="1">
      <c r="A1" s="223" t="b">
        <v>1</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row>
    <row r="2" spans="1:43" hidden="1" outlineLevel="1">
      <c r="B2" s="220" t="s">
        <v>414</v>
      </c>
      <c r="C2" s="220" t="s">
        <v>415</v>
      </c>
      <c r="D2" s="224" t="s">
        <v>416</v>
      </c>
      <c r="E2" s="224" t="s">
        <v>417</v>
      </c>
      <c r="F2" s="224" t="s">
        <v>418</v>
      </c>
      <c r="G2" s="220" t="s">
        <v>419</v>
      </c>
      <c r="H2" s="220" t="s">
        <v>420</v>
      </c>
      <c r="I2" s="220" t="s">
        <v>421</v>
      </c>
      <c r="J2" s="220" t="s">
        <v>422</v>
      </c>
      <c r="K2" s="220" t="s">
        <v>423</v>
      </c>
      <c r="L2" s="220" t="s">
        <v>424</v>
      </c>
      <c r="M2" s="220" t="s">
        <v>425</v>
      </c>
      <c r="N2" s="220" t="s">
        <v>426</v>
      </c>
      <c r="O2" s="220" t="s">
        <v>427</v>
      </c>
      <c r="P2" s="220" t="s">
        <v>428</v>
      </c>
      <c r="Q2" s="220" t="s">
        <v>429</v>
      </c>
      <c r="R2" s="220" t="s">
        <v>430</v>
      </c>
      <c r="S2" s="220" t="s">
        <v>431</v>
      </c>
      <c r="T2" s="220" t="s">
        <v>432</v>
      </c>
      <c r="U2" s="220" t="s">
        <v>433</v>
      </c>
      <c r="V2" s="220" t="s">
        <v>434</v>
      </c>
      <c r="W2" s="220" t="s">
        <v>435</v>
      </c>
      <c r="X2" s="220" t="s">
        <v>436</v>
      </c>
      <c r="Y2" s="220" t="s">
        <v>437</v>
      </c>
      <c r="Z2" s="220" t="s">
        <v>438</v>
      </c>
      <c r="AA2" s="220" t="s">
        <v>439</v>
      </c>
      <c r="AB2" s="220" t="s">
        <v>440</v>
      </c>
      <c r="AC2" s="220" t="s">
        <v>441</v>
      </c>
      <c r="AD2" s="220" t="s">
        <v>442</v>
      </c>
      <c r="AE2" s="220" t="s">
        <v>443</v>
      </c>
      <c r="AF2" s="220" t="s">
        <v>444</v>
      </c>
      <c r="AG2" s="220" t="s">
        <v>445</v>
      </c>
      <c r="AH2" s="220" t="s">
        <v>446</v>
      </c>
      <c r="AI2" s="220" t="s">
        <v>447</v>
      </c>
      <c r="AJ2" s="220" t="s">
        <v>448</v>
      </c>
      <c r="AK2" s="220" t="s">
        <v>449</v>
      </c>
      <c r="AL2" s="220" t="s">
        <v>450</v>
      </c>
      <c r="AM2" s="220" t="s">
        <v>451</v>
      </c>
      <c r="AN2" s="220" t="s">
        <v>452</v>
      </c>
      <c r="AO2" s="220" t="s">
        <v>453</v>
      </c>
      <c r="AP2" s="220" t="s">
        <v>454</v>
      </c>
      <c r="AQ2" s="224"/>
    </row>
    <row r="3" spans="1:43" hidden="1" outlineLevel="1">
      <c r="A3" s="223" t="s">
        <v>455</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row>
    <row r="4" spans="1:43" hidden="1" outlineLevel="1">
      <c r="Q4" s="220" t="str">
        <f ca="1">_xll.ReportDrill('[56]JE Lookup'!B1,,_xll.PairGroup(_xll.Pair(G20:G83,'[56]JE Lookup'!N8),_xll.Pair(AB20:AB83,'[56]JE Lookup'!N7)),"JE Lookup")</f>
        <v>OK!: ReportDrill 'JE Lookup' Formula OK [jAction{}]</v>
      </c>
      <c r="U4" s="220" t="str">
        <f ca="1">_xll.ReportDrill(,"APDrill",_xll.PairGroup(_xll.PairExt(AQ20:AQ83,"H8")),"AP Detail")</f>
        <v>OK!: ReportDrill 'AP Detail' Formula OK [jAction{}]</v>
      </c>
      <c r="Y4" s="220" t="str">
        <f ca="1">_xll.ReportDrill(,"JEStaged_DrillToDetail",_xll.PairGroup(_xll.PairExt(Q19:Q83,"dControlNum",TRUE),_xll.PairExt(AP19:AP83,"dDistrict",TRUE),_xll.PairExt(AO19:AO83,"dApplyMonth",TRUE)),"JE Staged Details")</f>
        <v>OK!: ReportDrill 'JE Staged Details' Formula OK [jAction{}]</v>
      </c>
    </row>
    <row r="5" spans="1:43" hidden="1" outlineLevel="1">
      <c r="B5" s="220" t="str">
        <f ca="1">_xll.ReportRange("JEQuery_WithStaged",B20:AS82,B2:AS2,,_xll.Param(I12,DateTo,IF(M12="","all",M12),M13,M14,M15,P12,P13,P14,P15,EntrieShownLimit,DateFrom,DateTo),TRUE)</f>
        <v>OK!: ReportRange Formula OK [jAction{}]</v>
      </c>
      <c r="Q5" s="220" t="str">
        <f ca="1">_xll.ReportDrill('[56]JE Lookup'!B1,,_xll.PairGroup(_xll.Pair(V20:V83,'[56]JE Lookup'!N8),_xll.Pair(AS20:AS83,'[56]JE Lookup'!N7)),"I/C Originating JE")</f>
        <v>OK!: ReportDrill 'I/C Originating JE' Formula OK [jAction{}]</v>
      </c>
    </row>
    <row r="6" spans="1:43" hidden="1" outlineLevel="1">
      <c r="B6" s="222" t="s">
        <v>456</v>
      </c>
      <c r="D6" s="220">
        <v>10000</v>
      </c>
    </row>
    <row r="7" spans="1:43" hidden="1" outlineLevel="1">
      <c r="A7" s="223" t="s">
        <v>457</v>
      </c>
      <c r="B7" s="22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row>
    <row r="8" spans="1:43" hidden="1" outlineLevel="1">
      <c r="B8" s="225" t="s">
        <v>458</v>
      </c>
      <c r="C8" s="220" t="str">
        <f>IF(DateFrom="",CurrentMonth,DateFrom)</f>
        <v>2018-12</v>
      </c>
      <c r="E8" s="225" t="s">
        <v>459</v>
      </c>
      <c r="G8" s="220" t="str">
        <f>IF(DateTo="",CurrentMonth,DateTo)</f>
        <v>2019-11</v>
      </c>
      <c r="I8" s="225" t="s">
        <v>460</v>
      </c>
      <c r="J8" s="226" t="str">
        <f ca="1">TEXT(NOW() - 15,"yyyy-mm")</f>
        <v>2020-01</v>
      </c>
    </row>
    <row r="9" spans="1:43" ht="18" collapsed="1">
      <c r="B9" s="227" t="s">
        <v>461</v>
      </c>
      <c r="G9" s="228" t="s">
        <v>462</v>
      </c>
      <c r="P9" s="229"/>
      <c r="U9" s="222"/>
    </row>
    <row r="10" spans="1:43" ht="14.25">
      <c r="B10" s="224" t="s">
        <v>463</v>
      </c>
      <c r="G10" s="230"/>
      <c r="P10" s="229"/>
      <c r="U10" s="222"/>
    </row>
    <row r="11" spans="1:43">
      <c r="G11" s="231" t="s">
        <v>464</v>
      </c>
      <c r="H11" s="232"/>
      <c r="I11" s="233"/>
      <c r="L11" s="232" t="s">
        <v>465</v>
      </c>
      <c r="M11" s="232"/>
      <c r="N11" s="232"/>
      <c r="O11" s="232"/>
      <c r="P11" s="232"/>
      <c r="U11" s="224"/>
    </row>
    <row r="12" spans="1:43" s="222" customFormat="1">
      <c r="H12" s="234" t="s">
        <v>466</v>
      </c>
      <c r="I12" s="235" t="s">
        <v>944</v>
      </c>
      <c r="K12" s="236"/>
      <c r="L12" s="222" t="s">
        <v>467</v>
      </c>
      <c r="M12" s="235" t="s">
        <v>167</v>
      </c>
      <c r="O12" s="234" t="s">
        <v>468</v>
      </c>
      <c r="P12" s="237"/>
      <c r="Z12" s="220"/>
      <c r="AA12" s="220"/>
      <c r="AB12" s="220"/>
      <c r="AH12" s="220"/>
      <c r="AI12" s="220"/>
      <c r="AJ12" s="220"/>
      <c r="AK12" s="220"/>
      <c r="AL12" s="220"/>
    </row>
    <row r="13" spans="1:43" s="222" customFormat="1">
      <c r="H13" s="234" t="s">
        <v>469</v>
      </c>
      <c r="I13" s="235" t="s">
        <v>941</v>
      </c>
      <c r="K13" s="236"/>
      <c r="L13" s="222" t="s">
        <v>470</v>
      </c>
      <c r="M13" s="235" t="s">
        <v>956</v>
      </c>
      <c r="N13" s="220"/>
      <c r="O13" s="234" t="s">
        <v>471</v>
      </c>
      <c r="P13" s="238"/>
      <c r="Q13" s="239"/>
      <c r="Z13" s="220"/>
      <c r="AA13" s="220"/>
      <c r="AB13" s="220"/>
      <c r="AH13" s="220"/>
      <c r="AI13" s="220"/>
      <c r="AJ13" s="220"/>
      <c r="AK13" s="220"/>
      <c r="AL13" s="220"/>
    </row>
    <row r="14" spans="1:43">
      <c r="L14" s="222" t="s">
        <v>188</v>
      </c>
      <c r="M14" s="235" t="s">
        <v>187</v>
      </c>
      <c r="O14" s="234" t="s">
        <v>472</v>
      </c>
      <c r="P14" s="238"/>
      <c r="Q14" s="239"/>
    </row>
    <row r="15" spans="1:43">
      <c r="L15" s="222" t="s">
        <v>309</v>
      </c>
      <c r="M15" s="235" t="s">
        <v>187</v>
      </c>
      <c r="O15" s="234" t="s">
        <v>473</v>
      </c>
      <c r="P15" s="240" t="s">
        <v>474</v>
      </c>
    </row>
    <row r="16" spans="1:43">
      <c r="B16" s="241" t="s">
        <v>475</v>
      </c>
      <c r="C16" s="242"/>
      <c r="D16" s="243">
        <f>SUM(D19:D83)</f>
        <v>44304.119999999995</v>
      </c>
      <c r="E16" s="243">
        <f>SUM(E19:E83)</f>
        <v>0</v>
      </c>
      <c r="F16" s="220" t="s">
        <v>476</v>
      </c>
      <c r="N16" s="244"/>
      <c r="O16" s="244"/>
      <c r="P16" s="244"/>
      <c r="Q16" s="244"/>
    </row>
    <row r="17" spans="2:45">
      <c r="B17" s="241" t="s">
        <v>477</v>
      </c>
      <c r="C17" s="242"/>
      <c r="D17" s="245">
        <f>COUNT(D20:D84)</f>
        <v>63</v>
      </c>
      <c r="E17" s="245">
        <f>COUNT(E20:E84)</f>
        <v>62</v>
      </c>
      <c r="F17" s="224" t="s">
        <v>478</v>
      </c>
      <c r="G17" s="246" t="str">
        <f>""&amp;EntrieShownLimit</f>
        <v>10000</v>
      </c>
    </row>
    <row r="18" spans="2:45">
      <c r="O18" s="247"/>
      <c r="R18" s="569" t="s">
        <v>479</v>
      </c>
      <c r="S18" s="570"/>
      <c r="T18" s="570"/>
      <c r="U18" s="570"/>
      <c r="V18" s="570"/>
      <c r="W18" s="570"/>
      <c r="X18" s="570"/>
      <c r="Y18" s="570"/>
      <c r="Z18" s="571"/>
      <c r="AA18" s="571"/>
      <c r="AB18" s="571"/>
      <c r="AC18" s="571"/>
      <c r="AD18" s="571"/>
      <c r="AE18" s="571"/>
      <c r="AF18" s="571"/>
      <c r="AG18" s="571"/>
      <c r="AH18" s="571"/>
      <c r="AI18" s="571"/>
      <c r="AJ18" s="571"/>
      <c r="AK18" s="571"/>
      <c r="AL18" s="571"/>
      <c r="AM18" s="571"/>
      <c r="AN18" s="571"/>
      <c r="AO18" s="571"/>
      <c r="AP18" s="571"/>
      <c r="AQ18" s="571"/>
    </row>
    <row r="19" spans="2:45" s="248" customFormat="1" ht="29.25" customHeight="1" thickBot="1">
      <c r="B19" s="249" t="s">
        <v>480</v>
      </c>
      <c r="C19" s="250" t="s">
        <v>481</v>
      </c>
      <c r="D19" s="251" t="s">
        <v>482</v>
      </c>
      <c r="E19" s="251" t="s">
        <v>483</v>
      </c>
      <c r="F19" s="251" t="s">
        <v>484</v>
      </c>
      <c r="G19" s="252" t="s">
        <v>485</v>
      </c>
      <c r="H19" s="249" t="s">
        <v>486</v>
      </c>
      <c r="I19" s="249" t="s">
        <v>487</v>
      </c>
      <c r="J19" s="249" t="s">
        <v>422</v>
      </c>
      <c r="K19" s="249" t="s">
        <v>488</v>
      </c>
      <c r="L19" s="249" t="s">
        <v>489</v>
      </c>
      <c r="M19" s="249" t="s">
        <v>490</v>
      </c>
      <c r="N19" s="249" t="s">
        <v>491</v>
      </c>
      <c r="O19" s="253" t="s">
        <v>492</v>
      </c>
      <c r="P19" s="249" t="s">
        <v>493</v>
      </c>
      <c r="Q19" s="249" t="s">
        <v>494</v>
      </c>
      <c r="R19" s="249" t="s">
        <v>495</v>
      </c>
      <c r="S19" s="249" t="s">
        <v>496</v>
      </c>
      <c r="T19" s="249" t="s">
        <v>497</v>
      </c>
      <c r="U19" s="249" t="s">
        <v>498</v>
      </c>
      <c r="V19" s="249" t="s">
        <v>499</v>
      </c>
      <c r="W19" s="249" t="s">
        <v>500</v>
      </c>
      <c r="X19" s="249" t="s">
        <v>501</v>
      </c>
      <c r="Y19" s="249" t="s">
        <v>502</v>
      </c>
      <c r="Z19" s="249" t="s">
        <v>503</v>
      </c>
      <c r="AA19" s="249" t="s">
        <v>504</v>
      </c>
      <c r="AB19" s="249" t="s">
        <v>505</v>
      </c>
      <c r="AC19" s="254" t="s">
        <v>506</v>
      </c>
      <c r="AD19" s="254" t="s">
        <v>507</v>
      </c>
      <c r="AE19" s="254" t="s">
        <v>508</v>
      </c>
      <c r="AF19" s="254" t="s">
        <v>509</v>
      </c>
      <c r="AG19" s="254" t="s">
        <v>510</v>
      </c>
      <c r="AH19" s="254" t="s">
        <v>511</v>
      </c>
      <c r="AI19" s="250" t="s">
        <v>512</v>
      </c>
      <c r="AJ19" s="250" t="s">
        <v>513</v>
      </c>
      <c r="AK19" s="250" t="s">
        <v>514</v>
      </c>
      <c r="AL19" s="250" t="s">
        <v>515</v>
      </c>
      <c r="AM19" s="250" t="s">
        <v>516</v>
      </c>
      <c r="AN19" s="250" t="s">
        <v>452</v>
      </c>
      <c r="AO19" s="448" t="s">
        <v>517</v>
      </c>
      <c r="AP19" s="448" t="s">
        <v>518</v>
      </c>
      <c r="AQ19" s="448" t="s">
        <v>519</v>
      </c>
    </row>
    <row r="20" spans="2:45" hidden="1">
      <c r="B20" s="220" t="s">
        <v>957</v>
      </c>
      <c r="C20" s="255">
        <v>43465</v>
      </c>
      <c r="D20" s="256">
        <v>-74.8</v>
      </c>
      <c r="E20" s="256">
        <v>0</v>
      </c>
      <c r="F20" s="257" t="s">
        <v>413</v>
      </c>
      <c r="G20" s="220" t="s">
        <v>958</v>
      </c>
      <c r="H20" s="258" t="s">
        <v>520</v>
      </c>
      <c r="I20" s="220" t="s">
        <v>959</v>
      </c>
      <c r="J20" s="220" t="s">
        <v>536</v>
      </c>
      <c r="K20" s="220" t="s">
        <v>522</v>
      </c>
      <c r="L20" s="226"/>
      <c r="M20" s="226"/>
      <c r="N20" s="226" t="s">
        <v>960</v>
      </c>
      <c r="O20" s="247"/>
      <c r="P20" s="226"/>
      <c r="Q20" s="226"/>
      <c r="U20" s="220" t="s">
        <v>961</v>
      </c>
      <c r="V20" s="220" t="s">
        <v>962</v>
      </c>
      <c r="X20" s="255">
        <v>43441</v>
      </c>
      <c r="Y20" s="255">
        <v>43441</v>
      </c>
      <c r="AA20" s="255"/>
      <c r="AB20" s="220" t="s">
        <v>523</v>
      </c>
      <c r="AC20" s="220">
        <v>0</v>
      </c>
      <c r="AD20" s="220">
        <v>0</v>
      </c>
      <c r="AE20" s="220">
        <v>0</v>
      </c>
      <c r="AF20" s="220">
        <v>0</v>
      </c>
      <c r="AG20" s="220">
        <v>5</v>
      </c>
      <c r="AH20" s="220">
        <v>1</v>
      </c>
      <c r="AI20" s="220">
        <v>57125</v>
      </c>
      <c r="AJ20" s="220">
        <v>2180</v>
      </c>
      <c r="AK20" s="220">
        <v>0</v>
      </c>
      <c r="AL20" s="220">
        <v>0</v>
      </c>
      <c r="AO20" s="258"/>
      <c r="AP20" s="258"/>
      <c r="AQ20" s="220" t="str">
        <f>IF(LEFT(U20,2)="VO",U20,"")</f>
        <v/>
      </c>
      <c r="AS20" s="220" t="str">
        <f>IF(RIGHT(K20,2)="IC",IF(OR(AB20="wci_canada",AB20="wci_can_corp"),"wci_can_Corp","wci_corp"),AB20)</f>
        <v>wci_corp</v>
      </c>
    </row>
    <row r="21" spans="2:45" hidden="1">
      <c r="B21" s="220" t="s">
        <v>957</v>
      </c>
      <c r="C21" s="255">
        <v>43465</v>
      </c>
      <c r="D21" s="256">
        <v>74.8</v>
      </c>
      <c r="E21" s="256">
        <v>0</v>
      </c>
      <c r="F21" s="257" t="s">
        <v>413</v>
      </c>
      <c r="G21" s="220" t="s">
        <v>963</v>
      </c>
      <c r="H21" s="258" t="s">
        <v>520</v>
      </c>
      <c r="I21" s="220" t="s">
        <v>964</v>
      </c>
      <c r="J21" s="220" t="s">
        <v>543</v>
      </c>
      <c r="K21" s="220" t="s">
        <v>522</v>
      </c>
      <c r="L21" s="226"/>
      <c r="M21" s="226"/>
      <c r="N21" s="226" t="s">
        <v>960</v>
      </c>
      <c r="O21" s="247"/>
      <c r="P21" s="226"/>
      <c r="Q21" s="226"/>
      <c r="U21" s="220" t="s">
        <v>965</v>
      </c>
      <c r="V21" s="220" t="s">
        <v>965</v>
      </c>
      <c r="X21" s="255">
        <v>43468</v>
      </c>
      <c r="Y21" s="255">
        <v>43468</v>
      </c>
      <c r="AA21" s="255"/>
      <c r="AB21" s="220" t="s">
        <v>523</v>
      </c>
      <c r="AC21" s="220">
        <v>0</v>
      </c>
      <c r="AD21" s="220">
        <v>0</v>
      </c>
      <c r="AE21" s="220">
        <v>0</v>
      </c>
      <c r="AF21" s="220">
        <v>0</v>
      </c>
      <c r="AG21" s="220">
        <v>0</v>
      </c>
      <c r="AH21" s="220">
        <v>1</v>
      </c>
      <c r="AI21" s="220">
        <v>57125</v>
      </c>
      <c r="AJ21" s="220">
        <v>2180</v>
      </c>
      <c r="AK21" s="220">
        <v>0</v>
      </c>
      <c r="AL21" s="220">
        <v>0</v>
      </c>
      <c r="AO21" s="258"/>
      <c r="AP21" s="258"/>
      <c r="AQ21" s="220" t="str">
        <f t="shared" ref="AQ21:AQ81" si="0">IF(LEFT(U21,2)="VO",U21,"")</f>
        <v/>
      </c>
      <c r="AS21" s="220" t="str">
        <f t="shared" ref="AS21:AS81" si="1">IF(RIGHT(K21,2)="IC",IF(OR(AB21="wci_canada",AB21="wci_can_corp"),"wci_can_Corp","wci_corp"),AB21)</f>
        <v>wci_corp</v>
      </c>
    </row>
    <row r="22" spans="2:45" hidden="1">
      <c r="B22" s="220" t="s">
        <v>957</v>
      </c>
      <c r="C22" s="255">
        <v>43465</v>
      </c>
      <c r="D22" s="256">
        <v>78.3</v>
      </c>
      <c r="E22" s="256">
        <v>0</v>
      </c>
      <c r="F22" s="257" t="s">
        <v>413</v>
      </c>
      <c r="G22" s="220" t="s">
        <v>963</v>
      </c>
      <c r="H22" s="258" t="s">
        <v>520</v>
      </c>
      <c r="I22" s="220" t="s">
        <v>964</v>
      </c>
      <c r="J22" s="220" t="s">
        <v>543</v>
      </c>
      <c r="K22" s="220" t="s">
        <v>522</v>
      </c>
      <c r="L22" s="226"/>
      <c r="M22" s="226"/>
      <c r="N22" s="226" t="s">
        <v>966</v>
      </c>
      <c r="O22" s="247"/>
      <c r="P22" s="226"/>
      <c r="Q22" s="226"/>
      <c r="U22" s="220" t="s">
        <v>965</v>
      </c>
      <c r="V22" s="220" t="s">
        <v>965</v>
      </c>
      <c r="X22" s="255">
        <v>43468</v>
      </c>
      <c r="Y22" s="255">
        <v>43468</v>
      </c>
      <c r="AA22" s="255"/>
      <c r="AB22" s="220" t="s">
        <v>523</v>
      </c>
      <c r="AC22" s="220">
        <v>0</v>
      </c>
      <c r="AD22" s="220">
        <v>0</v>
      </c>
      <c r="AE22" s="220">
        <v>0</v>
      </c>
      <c r="AF22" s="220">
        <v>0</v>
      </c>
      <c r="AG22" s="220">
        <v>0</v>
      </c>
      <c r="AH22" s="220">
        <v>1</v>
      </c>
      <c r="AI22" s="220">
        <v>57125</v>
      </c>
      <c r="AJ22" s="220">
        <v>2180</v>
      </c>
      <c r="AK22" s="220">
        <v>0</v>
      </c>
      <c r="AL22" s="220">
        <v>0</v>
      </c>
      <c r="AO22" s="258"/>
      <c r="AP22" s="258"/>
      <c r="AQ22" s="220" t="str">
        <f t="shared" si="0"/>
        <v/>
      </c>
      <c r="AS22" s="220" t="str">
        <f t="shared" si="1"/>
        <v>wci_corp</v>
      </c>
    </row>
    <row r="23" spans="2:45" hidden="1">
      <c r="B23" s="220" t="s">
        <v>957</v>
      </c>
      <c r="C23" s="255">
        <v>43465</v>
      </c>
      <c r="D23" s="256">
        <v>1638.95</v>
      </c>
      <c r="E23" s="256">
        <v>0</v>
      </c>
      <c r="F23" s="257" t="s">
        <v>413</v>
      </c>
      <c r="G23" s="220" t="s">
        <v>963</v>
      </c>
      <c r="H23" s="258" t="s">
        <v>520</v>
      </c>
      <c r="I23" s="220" t="s">
        <v>964</v>
      </c>
      <c r="J23" s="220" t="s">
        <v>543</v>
      </c>
      <c r="K23" s="220" t="s">
        <v>522</v>
      </c>
      <c r="L23" s="226"/>
      <c r="M23" s="226"/>
      <c r="N23" s="226" t="s">
        <v>967</v>
      </c>
      <c r="O23" s="247"/>
      <c r="P23" s="226"/>
      <c r="Q23" s="226"/>
      <c r="U23" s="220" t="s">
        <v>965</v>
      </c>
      <c r="V23" s="220" t="s">
        <v>965</v>
      </c>
      <c r="X23" s="255">
        <v>43468</v>
      </c>
      <c r="Y23" s="255">
        <v>43468</v>
      </c>
      <c r="AA23" s="255"/>
      <c r="AB23" s="220" t="s">
        <v>523</v>
      </c>
      <c r="AC23" s="220">
        <v>0</v>
      </c>
      <c r="AD23" s="220">
        <v>0</v>
      </c>
      <c r="AE23" s="220">
        <v>0</v>
      </c>
      <c r="AF23" s="220">
        <v>0</v>
      </c>
      <c r="AG23" s="220">
        <v>0</v>
      </c>
      <c r="AH23" s="220">
        <v>1</v>
      </c>
      <c r="AI23" s="220">
        <v>57125</v>
      </c>
      <c r="AJ23" s="220">
        <v>2180</v>
      </c>
      <c r="AK23" s="220">
        <v>0</v>
      </c>
      <c r="AL23" s="220">
        <v>0</v>
      </c>
      <c r="AO23" s="258"/>
      <c r="AP23" s="258"/>
      <c r="AQ23" s="220" t="str">
        <f t="shared" si="0"/>
        <v/>
      </c>
      <c r="AS23" s="220" t="str">
        <f t="shared" si="1"/>
        <v>wci_corp</v>
      </c>
    </row>
    <row r="24" spans="2:45" hidden="1">
      <c r="B24" s="220" t="s">
        <v>957</v>
      </c>
      <c r="C24" s="255">
        <v>43465</v>
      </c>
      <c r="D24" s="256">
        <v>294.06</v>
      </c>
      <c r="E24" s="256">
        <v>0</v>
      </c>
      <c r="F24" s="257" t="s">
        <v>413</v>
      </c>
      <c r="G24" s="220" t="s">
        <v>963</v>
      </c>
      <c r="H24" s="258" t="s">
        <v>520</v>
      </c>
      <c r="I24" s="220" t="s">
        <v>964</v>
      </c>
      <c r="J24" s="220" t="s">
        <v>543</v>
      </c>
      <c r="K24" s="220" t="s">
        <v>522</v>
      </c>
      <c r="L24" s="226"/>
      <c r="M24" s="226"/>
      <c r="N24" s="226" t="s">
        <v>968</v>
      </c>
      <c r="O24" s="247"/>
      <c r="P24" s="226"/>
      <c r="Q24" s="226"/>
      <c r="U24" s="220" t="s">
        <v>965</v>
      </c>
      <c r="V24" s="220" t="s">
        <v>965</v>
      </c>
      <c r="X24" s="255">
        <v>43468</v>
      </c>
      <c r="Y24" s="255">
        <v>43468</v>
      </c>
      <c r="AA24" s="255"/>
      <c r="AB24" s="220" t="s">
        <v>523</v>
      </c>
      <c r="AC24" s="220">
        <v>0</v>
      </c>
      <c r="AD24" s="220">
        <v>0</v>
      </c>
      <c r="AE24" s="220">
        <v>0</v>
      </c>
      <c r="AF24" s="220">
        <v>0</v>
      </c>
      <c r="AG24" s="220">
        <v>0</v>
      </c>
      <c r="AH24" s="220">
        <v>1</v>
      </c>
      <c r="AI24" s="220">
        <v>57125</v>
      </c>
      <c r="AJ24" s="220">
        <v>2180</v>
      </c>
      <c r="AK24" s="220">
        <v>0</v>
      </c>
      <c r="AL24" s="220">
        <v>0</v>
      </c>
      <c r="AO24" s="258"/>
      <c r="AP24" s="258"/>
      <c r="AQ24" s="220" t="str">
        <f t="shared" si="0"/>
        <v/>
      </c>
      <c r="AS24" s="220" t="str">
        <f t="shared" si="1"/>
        <v>wci_corp</v>
      </c>
    </row>
    <row r="25" spans="2:45" hidden="1">
      <c r="B25" s="220" t="s">
        <v>957</v>
      </c>
      <c r="C25" s="255">
        <v>43465</v>
      </c>
      <c r="D25" s="256">
        <v>619.82000000000005</v>
      </c>
      <c r="E25" s="256">
        <v>0</v>
      </c>
      <c r="F25" s="257" t="s">
        <v>413</v>
      </c>
      <c r="G25" s="220" t="s">
        <v>963</v>
      </c>
      <c r="H25" s="258" t="s">
        <v>520</v>
      </c>
      <c r="I25" s="220" t="s">
        <v>964</v>
      </c>
      <c r="J25" s="220" t="s">
        <v>543</v>
      </c>
      <c r="K25" s="220" t="s">
        <v>522</v>
      </c>
      <c r="L25" s="226"/>
      <c r="M25" s="226"/>
      <c r="N25" s="226" t="s">
        <v>969</v>
      </c>
      <c r="O25" s="247"/>
      <c r="P25" s="226"/>
      <c r="Q25" s="226"/>
      <c r="U25" s="220" t="s">
        <v>965</v>
      </c>
      <c r="V25" s="220" t="s">
        <v>965</v>
      </c>
      <c r="X25" s="255">
        <v>43468</v>
      </c>
      <c r="Y25" s="255">
        <v>43468</v>
      </c>
      <c r="AA25" s="255"/>
      <c r="AB25" s="220" t="s">
        <v>523</v>
      </c>
      <c r="AC25" s="220">
        <v>0</v>
      </c>
      <c r="AD25" s="220">
        <v>0</v>
      </c>
      <c r="AE25" s="220">
        <v>0</v>
      </c>
      <c r="AF25" s="220">
        <v>0</v>
      </c>
      <c r="AG25" s="220">
        <v>0</v>
      </c>
      <c r="AH25" s="220">
        <v>1</v>
      </c>
      <c r="AI25" s="220">
        <v>57125</v>
      </c>
      <c r="AJ25" s="220">
        <v>2180</v>
      </c>
      <c r="AK25" s="220">
        <v>0</v>
      </c>
      <c r="AL25" s="220">
        <v>0</v>
      </c>
      <c r="AO25" s="258"/>
      <c r="AP25" s="258"/>
      <c r="AQ25" s="220" t="str">
        <f t="shared" si="0"/>
        <v/>
      </c>
      <c r="AS25" s="220" t="str">
        <f t="shared" si="1"/>
        <v>wci_corp</v>
      </c>
    </row>
    <row r="26" spans="2:45" hidden="1">
      <c r="B26" s="220" t="s">
        <v>957</v>
      </c>
      <c r="C26" s="255">
        <v>43490</v>
      </c>
      <c r="D26" s="256">
        <v>26.54</v>
      </c>
      <c r="E26" s="256">
        <v>0</v>
      </c>
      <c r="F26" s="257" t="s">
        <v>413</v>
      </c>
      <c r="G26" s="220" t="s">
        <v>970</v>
      </c>
      <c r="H26" s="258" t="s">
        <v>520</v>
      </c>
      <c r="I26" s="220" t="s">
        <v>680</v>
      </c>
      <c r="J26" s="220" t="s">
        <v>681</v>
      </c>
      <c r="K26" s="220" t="s">
        <v>522</v>
      </c>
      <c r="L26" s="226" t="s">
        <v>971</v>
      </c>
      <c r="M26" s="226"/>
      <c r="N26" s="226" t="s">
        <v>972</v>
      </c>
      <c r="O26" s="247">
        <v>43474</v>
      </c>
      <c r="P26" s="226" t="s">
        <v>973</v>
      </c>
      <c r="Q26" s="226">
        <v>20529</v>
      </c>
      <c r="R26" s="220" t="s">
        <v>974</v>
      </c>
      <c r="U26" s="220" t="s">
        <v>975</v>
      </c>
      <c r="V26" s="220" t="s">
        <v>976</v>
      </c>
      <c r="W26" s="220">
        <v>2180</v>
      </c>
      <c r="X26" s="255">
        <v>43490</v>
      </c>
      <c r="Y26" s="255">
        <v>43493</v>
      </c>
      <c r="Z26" s="220">
        <v>26.54</v>
      </c>
      <c r="AA26" s="255">
        <v>43484</v>
      </c>
      <c r="AB26" s="220" t="s">
        <v>523</v>
      </c>
      <c r="AC26" s="220">
        <v>0</v>
      </c>
      <c r="AD26" s="220">
        <v>0</v>
      </c>
      <c r="AE26" s="220">
        <v>0</v>
      </c>
      <c r="AF26" s="220">
        <v>0</v>
      </c>
      <c r="AG26" s="220">
        <v>0</v>
      </c>
      <c r="AH26" s="220">
        <v>1</v>
      </c>
      <c r="AI26" s="220">
        <v>57125</v>
      </c>
      <c r="AJ26" s="220">
        <v>2180</v>
      </c>
      <c r="AK26" s="220">
        <v>0</v>
      </c>
      <c r="AL26" s="220">
        <v>0</v>
      </c>
      <c r="AO26" s="258"/>
      <c r="AP26" s="258"/>
      <c r="AQ26" s="220" t="str">
        <f t="shared" si="0"/>
        <v>VO04903396</v>
      </c>
      <c r="AS26" s="220" t="str">
        <f t="shared" si="1"/>
        <v>wci_corp</v>
      </c>
    </row>
    <row r="27" spans="2:45" hidden="1">
      <c r="B27" s="220" t="s">
        <v>957</v>
      </c>
      <c r="C27" s="255">
        <v>43496</v>
      </c>
      <c r="D27" s="256">
        <v>1732.01</v>
      </c>
      <c r="E27" s="256">
        <v>0</v>
      </c>
      <c r="F27" s="257" t="s">
        <v>413</v>
      </c>
      <c r="G27" s="220" t="s">
        <v>977</v>
      </c>
      <c r="H27" s="258" t="s">
        <v>520</v>
      </c>
      <c r="I27" s="220" t="s">
        <v>680</v>
      </c>
      <c r="J27" s="220" t="s">
        <v>681</v>
      </c>
      <c r="K27" s="220" t="s">
        <v>522</v>
      </c>
      <c r="L27" s="226" t="s">
        <v>971</v>
      </c>
      <c r="M27" s="226"/>
      <c r="N27" s="226" t="s">
        <v>972</v>
      </c>
      <c r="O27" s="247">
        <v>43494</v>
      </c>
      <c r="P27" s="226" t="s">
        <v>978</v>
      </c>
      <c r="Q27" s="226">
        <v>20538</v>
      </c>
      <c r="R27" s="220" t="s">
        <v>979</v>
      </c>
      <c r="U27" s="220" t="s">
        <v>980</v>
      </c>
      <c r="V27" s="220" t="s">
        <v>981</v>
      </c>
      <c r="W27" s="220">
        <v>2180</v>
      </c>
      <c r="X27" s="255">
        <v>43497</v>
      </c>
      <c r="Y27" s="255">
        <v>43500</v>
      </c>
      <c r="Z27" s="220">
        <v>1732.01</v>
      </c>
      <c r="AA27" s="255">
        <v>43504</v>
      </c>
      <c r="AB27" s="220" t="s">
        <v>523</v>
      </c>
      <c r="AC27" s="220">
        <v>0</v>
      </c>
      <c r="AD27" s="220">
        <v>0</v>
      </c>
      <c r="AE27" s="220">
        <v>0</v>
      </c>
      <c r="AF27" s="220">
        <v>0</v>
      </c>
      <c r="AG27" s="220">
        <v>0</v>
      </c>
      <c r="AH27" s="220">
        <v>1</v>
      </c>
      <c r="AI27" s="220">
        <v>57125</v>
      </c>
      <c r="AJ27" s="220">
        <v>2180</v>
      </c>
      <c r="AK27" s="220">
        <v>0</v>
      </c>
      <c r="AL27" s="220">
        <v>0</v>
      </c>
      <c r="AO27" s="258"/>
      <c r="AP27" s="258"/>
      <c r="AQ27" s="220" t="str">
        <f t="shared" si="0"/>
        <v>VO04910415</v>
      </c>
      <c r="AS27" s="220" t="str">
        <f t="shared" si="1"/>
        <v>wci_corp</v>
      </c>
    </row>
    <row r="28" spans="2:45" hidden="1">
      <c r="B28" s="220" t="s">
        <v>957</v>
      </c>
      <c r="C28" s="255">
        <v>43496</v>
      </c>
      <c r="D28" s="256">
        <v>2121</v>
      </c>
      <c r="E28" s="256">
        <v>0</v>
      </c>
      <c r="F28" s="257" t="s">
        <v>413</v>
      </c>
      <c r="G28" s="220" t="s">
        <v>982</v>
      </c>
      <c r="H28" s="258" t="s">
        <v>520</v>
      </c>
      <c r="I28" s="220" t="s">
        <v>983</v>
      </c>
      <c r="J28" s="220" t="s">
        <v>536</v>
      </c>
      <c r="K28" s="220" t="s">
        <v>522</v>
      </c>
      <c r="L28" s="226"/>
      <c r="M28" s="226"/>
      <c r="N28" s="226" t="s">
        <v>967</v>
      </c>
      <c r="O28" s="247"/>
      <c r="P28" s="226"/>
      <c r="Q28" s="226"/>
      <c r="U28" s="220" t="s">
        <v>984</v>
      </c>
      <c r="V28" s="220" t="s">
        <v>984</v>
      </c>
      <c r="X28" s="255">
        <v>43500</v>
      </c>
      <c r="Y28" s="255">
        <v>43500</v>
      </c>
      <c r="AA28" s="255"/>
      <c r="AB28" s="220" t="s">
        <v>523</v>
      </c>
      <c r="AC28" s="220">
        <v>0</v>
      </c>
      <c r="AD28" s="220">
        <v>0</v>
      </c>
      <c r="AE28" s="220">
        <v>0</v>
      </c>
      <c r="AF28" s="220">
        <v>0</v>
      </c>
      <c r="AG28" s="220">
        <v>0</v>
      </c>
      <c r="AH28" s="220">
        <v>1</v>
      </c>
      <c r="AI28" s="220">
        <v>57125</v>
      </c>
      <c r="AJ28" s="220">
        <v>2180</v>
      </c>
      <c r="AK28" s="220">
        <v>0</v>
      </c>
      <c r="AL28" s="220">
        <v>0</v>
      </c>
      <c r="AO28" s="258"/>
      <c r="AP28" s="258"/>
      <c r="AQ28" s="220" t="str">
        <f t="shared" si="0"/>
        <v/>
      </c>
      <c r="AS28" s="220" t="str">
        <f t="shared" si="1"/>
        <v>wci_corp</v>
      </c>
    </row>
    <row r="29" spans="2:45" hidden="1">
      <c r="B29" s="220" t="s">
        <v>957</v>
      </c>
      <c r="C29" s="255">
        <v>43496</v>
      </c>
      <c r="D29" s="256">
        <v>339.22</v>
      </c>
      <c r="E29" s="256">
        <v>0</v>
      </c>
      <c r="F29" s="257" t="s">
        <v>413</v>
      </c>
      <c r="G29" s="220" t="s">
        <v>982</v>
      </c>
      <c r="H29" s="258" t="s">
        <v>520</v>
      </c>
      <c r="I29" s="220" t="s">
        <v>983</v>
      </c>
      <c r="J29" s="220" t="s">
        <v>536</v>
      </c>
      <c r="K29" s="220" t="s">
        <v>522</v>
      </c>
      <c r="L29" s="226"/>
      <c r="M29" s="226"/>
      <c r="N29" s="226" t="s">
        <v>969</v>
      </c>
      <c r="O29" s="247"/>
      <c r="P29" s="226"/>
      <c r="Q29" s="226"/>
      <c r="U29" s="220" t="s">
        <v>984</v>
      </c>
      <c r="V29" s="220" t="s">
        <v>984</v>
      </c>
      <c r="X29" s="255">
        <v>43500</v>
      </c>
      <c r="Y29" s="255">
        <v>43500</v>
      </c>
      <c r="AA29" s="255"/>
      <c r="AB29" s="220" t="s">
        <v>523</v>
      </c>
      <c r="AC29" s="220">
        <v>0</v>
      </c>
      <c r="AD29" s="220">
        <v>0</v>
      </c>
      <c r="AE29" s="220">
        <v>0</v>
      </c>
      <c r="AF29" s="220">
        <v>0</v>
      </c>
      <c r="AG29" s="220">
        <v>0</v>
      </c>
      <c r="AH29" s="220">
        <v>1</v>
      </c>
      <c r="AI29" s="220">
        <v>57125</v>
      </c>
      <c r="AJ29" s="220">
        <v>2180</v>
      </c>
      <c r="AK29" s="220">
        <v>0</v>
      </c>
      <c r="AL29" s="220">
        <v>0</v>
      </c>
      <c r="AO29" s="258"/>
      <c r="AP29" s="258"/>
      <c r="AQ29" s="220" t="str">
        <f t="shared" si="0"/>
        <v/>
      </c>
      <c r="AS29" s="220" t="str">
        <f t="shared" si="1"/>
        <v>wci_corp</v>
      </c>
    </row>
    <row r="30" spans="2:45" hidden="1">
      <c r="B30" s="220" t="s">
        <v>957</v>
      </c>
      <c r="C30" s="255">
        <v>43496</v>
      </c>
      <c r="D30" s="256">
        <v>633.02</v>
      </c>
      <c r="E30" s="256">
        <v>0</v>
      </c>
      <c r="F30" s="257" t="s">
        <v>413</v>
      </c>
      <c r="G30" s="220" t="s">
        <v>982</v>
      </c>
      <c r="H30" s="258" t="s">
        <v>520</v>
      </c>
      <c r="I30" s="220" t="s">
        <v>983</v>
      </c>
      <c r="J30" s="220" t="s">
        <v>536</v>
      </c>
      <c r="K30" s="220" t="s">
        <v>522</v>
      </c>
      <c r="L30" s="226"/>
      <c r="M30" s="226"/>
      <c r="N30" s="226" t="s">
        <v>985</v>
      </c>
      <c r="O30" s="247"/>
      <c r="P30" s="226"/>
      <c r="Q30" s="226"/>
      <c r="U30" s="220" t="s">
        <v>984</v>
      </c>
      <c r="V30" s="220" t="s">
        <v>984</v>
      </c>
      <c r="X30" s="255">
        <v>43500</v>
      </c>
      <c r="Y30" s="255">
        <v>43500</v>
      </c>
      <c r="AA30" s="255"/>
      <c r="AB30" s="220" t="s">
        <v>523</v>
      </c>
      <c r="AC30" s="220">
        <v>0</v>
      </c>
      <c r="AD30" s="220">
        <v>0</v>
      </c>
      <c r="AE30" s="220">
        <v>0</v>
      </c>
      <c r="AF30" s="220">
        <v>0</v>
      </c>
      <c r="AG30" s="220">
        <v>0</v>
      </c>
      <c r="AH30" s="220">
        <v>1</v>
      </c>
      <c r="AI30" s="220">
        <v>57125</v>
      </c>
      <c r="AJ30" s="220">
        <v>2180</v>
      </c>
      <c r="AK30" s="220">
        <v>0</v>
      </c>
      <c r="AL30" s="220">
        <v>0</v>
      </c>
      <c r="AO30" s="258"/>
      <c r="AP30" s="258"/>
      <c r="AQ30" s="220" t="str">
        <f t="shared" si="0"/>
        <v/>
      </c>
      <c r="AS30" s="220" t="str">
        <f t="shared" si="1"/>
        <v>wci_corp</v>
      </c>
    </row>
    <row r="31" spans="2:45" hidden="1">
      <c r="B31" s="220" t="s">
        <v>957</v>
      </c>
      <c r="C31" s="255">
        <v>43496</v>
      </c>
      <c r="D31" s="256">
        <v>680.72</v>
      </c>
      <c r="E31" s="256">
        <v>0</v>
      </c>
      <c r="F31" s="257" t="s">
        <v>413</v>
      </c>
      <c r="G31" s="220" t="s">
        <v>982</v>
      </c>
      <c r="H31" s="258" t="s">
        <v>520</v>
      </c>
      <c r="I31" s="220" t="s">
        <v>983</v>
      </c>
      <c r="J31" s="220" t="s">
        <v>536</v>
      </c>
      <c r="K31" s="220" t="s">
        <v>522</v>
      </c>
      <c r="L31" s="226"/>
      <c r="M31" s="226"/>
      <c r="N31" s="226" t="s">
        <v>986</v>
      </c>
      <c r="O31" s="247"/>
      <c r="P31" s="226"/>
      <c r="Q31" s="226"/>
      <c r="U31" s="220" t="s">
        <v>984</v>
      </c>
      <c r="V31" s="220" t="s">
        <v>984</v>
      </c>
      <c r="X31" s="255">
        <v>43500</v>
      </c>
      <c r="Y31" s="255">
        <v>43500</v>
      </c>
      <c r="AA31" s="255"/>
      <c r="AB31" s="220" t="s">
        <v>523</v>
      </c>
      <c r="AC31" s="220">
        <v>0</v>
      </c>
      <c r="AD31" s="220">
        <v>0</v>
      </c>
      <c r="AE31" s="220">
        <v>0</v>
      </c>
      <c r="AF31" s="220">
        <v>0</v>
      </c>
      <c r="AG31" s="220">
        <v>0</v>
      </c>
      <c r="AH31" s="220">
        <v>1</v>
      </c>
      <c r="AI31" s="220">
        <v>57125</v>
      </c>
      <c r="AJ31" s="220">
        <v>2180</v>
      </c>
      <c r="AK31" s="220">
        <v>0</v>
      </c>
      <c r="AL31" s="220">
        <v>0</v>
      </c>
      <c r="AO31" s="258"/>
      <c r="AP31" s="258"/>
      <c r="AQ31" s="220" t="str">
        <f t="shared" si="0"/>
        <v/>
      </c>
      <c r="AS31" s="220" t="str">
        <f t="shared" si="1"/>
        <v>wci_corp</v>
      </c>
    </row>
    <row r="32" spans="2:45" hidden="1">
      <c r="B32" s="220" t="s">
        <v>957</v>
      </c>
      <c r="C32" s="255">
        <v>43496</v>
      </c>
      <c r="D32" s="256">
        <v>185.45</v>
      </c>
      <c r="E32" s="256">
        <v>0</v>
      </c>
      <c r="F32" s="257" t="s">
        <v>413</v>
      </c>
      <c r="G32" s="220" t="s">
        <v>982</v>
      </c>
      <c r="H32" s="258" t="s">
        <v>520</v>
      </c>
      <c r="I32" s="220" t="s">
        <v>983</v>
      </c>
      <c r="J32" s="220" t="s">
        <v>536</v>
      </c>
      <c r="K32" s="220" t="s">
        <v>522</v>
      </c>
      <c r="L32" s="226"/>
      <c r="M32" s="226"/>
      <c r="N32" s="226" t="s">
        <v>969</v>
      </c>
      <c r="O32" s="247"/>
      <c r="P32" s="226"/>
      <c r="Q32" s="226"/>
      <c r="U32" s="220" t="s">
        <v>984</v>
      </c>
      <c r="V32" s="220" t="s">
        <v>984</v>
      </c>
      <c r="X32" s="255">
        <v>43500</v>
      </c>
      <c r="Y32" s="255">
        <v>43500</v>
      </c>
      <c r="AA32" s="255"/>
      <c r="AB32" s="220" t="s">
        <v>523</v>
      </c>
      <c r="AC32" s="220">
        <v>0</v>
      </c>
      <c r="AD32" s="220">
        <v>0</v>
      </c>
      <c r="AE32" s="220">
        <v>0</v>
      </c>
      <c r="AF32" s="220">
        <v>0</v>
      </c>
      <c r="AG32" s="220">
        <v>0</v>
      </c>
      <c r="AH32" s="220">
        <v>1</v>
      </c>
      <c r="AI32" s="220">
        <v>57125</v>
      </c>
      <c r="AJ32" s="220">
        <v>2180</v>
      </c>
      <c r="AK32" s="220">
        <v>0</v>
      </c>
      <c r="AL32" s="220">
        <v>0</v>
      </c>
      <c r="AO32" s="258"/>
      <c r="AP32" s="258"/>
      <c r="AQ32" s="220" t="str">
        <f t="shared" si="0"/>
        <v/>
      </c>
      <c r="AS32" s="220" t="str">
        <f t="shared" si="1"/>
        <v>wci_corp</v>
      </c>
    </row>
    <row r="33" spans="2:45" hidden="1">
      <c r="B33" s="220" t="s">
        <v>957</v>
      </c>
      <c r="C33" s="255">
        <v>43496</v>
      </c>
      <c r="D33" s="256">
        <v>29.25</v>
      </c>
      <c r="E33" s="256">
        <v>0</v>
      </c>
      <c r="F33" s="257" t="s">
        <v>413</v>
      </c>
      <c r="G33" s="220" t="s">
        <v>982</v>
      </c>
      <c r="H33" s="258" t="s">
        <v>520</v>
      </c>
      <c r="I33" s="220" t="s">
        <v>983</v>
      </c>
      <c r="J33" s="220" t="s">
        <v>536</v>
      </c>
      <c r="K33" s="220" t="s">
        <v>522</v>
      </c>
      <c r="L33" s="226"/>
      <c r="M33" s="226"/>
      <c r="N33" s="226" t="s">
        <v>969</v>
      </c>
      <c r="O33" s="247"/>
      <c r="P33" s="226"/>
      <c r="Q33" s="226"/>
      <c r="U33" s="220" t="s">
        <v>984</v>
      </c>
      <c r="V33" s="220" t="s">
        <v>984</v>
      </c>
      <c r="X33" s="255">
        <v>43500</v>
      </c>
      <c r="Y33" s="255">
        <v>43500</v>
      </c>
      <c r="AA33" s="255"/>
      <c r="AB33" s="220" t="s">
        <v>523</v>
      </c>
      <c r="AC33" s="220">
        <v>0</v>
      </c>
      <c r="AD33" s="220">
        <v>0</v>
      </c>
      <c r="AE33" s="220">
        <v>0</v>
      </c>
      <c r="AF33" s="220">
        <v>0</v>
      </c>
      <c r="AG33" s="220">
        <v>0</v>
      </c>
      <c r="AH33" s="220">
        <v>1</v>
      </c>
      <c r="AI33" s="220">
        <v>57125</v>
      </c>
      <c r="AJ33" s="220">
        <v>2180</v>
      </c>
      <c r="AK33" s="220">
        <v>0</v>
      </c>
      <c r="AL33" s="220">
        <v>0</v>
      </c>
      <c r="AO33" s="258"/>
      <c r="AP33" s="258"/>
      <c r="AQ33" s="220" t="str">
        <f t="shared" si="0"/>
        <v/>
      </c>
      <c r="AS33" s="220" t="str">
        <f t="shared" si="1"/>
        <v>wci_corp</v>
      </c>
    </row>
    <row r="34" spans="2:45" hidden="1">
      <c r="B34" s="220" t="s">
        <v>957</v>
      </c>
      <c r="C34" s="255">
        <v>43496</v>
      </c>
      <c r="D34" s="256">
        <v>955.15</v>
      </c>
      <c r="E34" s="256">
        <v>0</v>
      </c>
      <c r="F34" s="257" t="s">
        <v>413</v>
      </c>
      <c r="G34" s="220" t="s">
        <v>982</v>
      </c>
      <c r="H34" s="258" t="s">
        <v>520</v>
      </c>
      <c r="I34" s="220" t="s">
        <v>983</v>
      </c>
      <c r="J34" s="220" t="s">
        <v>536</v>
      </c>
      <c r="K34" s="220" t="s">
        <v>522</v>
      </c>
      <c r="L34" s="226"/>
      <c r="M34" s="226"/>
      <c r="N34" s="226" t="s">
        <v>969</v>
      </c>
      <c r="O34" s="247"/>
      <c r="P34" s="226"/>
      <c r="Q34" s="226"/>
      <c r="U34" s="220" t="s">
        <v>984</v>
      </c>
      <c r="V34" s="220" t="s">
        <v>984</v>
      </c>
      <c r="X34" s="255">
        <v>43500</v>
      </c>
      <c r="Y34" s="255">
        <v>43500</v>
      </c>
      <c r="AA34" s="255"/>
      <c r="AB34" s="220" t="s">
        <v>523</v>
      </c>
      <c r="AC34" s="220">
        <v>0</v>
      </c>
      <c r="AD34" s="220">
        <v>0</v>
      </c>
      <c r="AE34" s="220">
        <v>0</v>
      </c>
      <c r="AF34" s="220">
        <v>0</v>
      </c>
      <c r="AG34" s="220">
        <v>0</v>
      </c>
      <c r="AH34" s="220">
        <v>1</v>
      </c>
      <c r="AI34" s="220">
        <v>57125</v>
      </c>
      <c r="AJ34" s="220">
        <v>2180</v>
      </c>
      <c r="AK34" s="220">
        <v>0</v>
      </c>
      <c r="AL34" s="220">
        <v>0</v>
      </c>
      <c r="AO34" s="258"/>
      <c r="AP34" s="258"/>
      <c r="AQ34" s="220" t="str">
        <f t="shared" si="0"/>
        <v/>
      </c>
      <c r="AS34" s="220" t="str">
        <f t="shared" si="1"/>
        <v>wci_corp</v>
      </c>
    </row>
    <row r="35" spans="2:45" hidden="1">
      <c r="B35" s="220" t="s">
        <v>957</v>
      </c>
      <c r="C35" s="255">
        <v>43524</v>
      </c>
      <c r="D35" s="256">
        <v>2020</v>
      </c>
      <c r="E35" s="256">
        <v>0</v>
      </c>
      <c r="F35" s="257" t="s">
        <v>413</v>
      </c>
      <c r="G35" s="220" t="s">
        <v>987</v>
      </c>
      <c r="H35" s="258" t="s">
        <v>520</v>
      </c>
      <c r="I35" s="220" t="s">
        <v>988</v>
      </c>
      <c r="J35" s="220" t="s">
        <v>536</v>
      </c>
      <c r="K35" s="220" t="s">
        <v>522</v>
      </c>
      <c r="L35" s="226"/>
      <c r="M35" s="226"/>
      <c r="N35" s="226" t="s">
        <v>967</v>
      </c>
      <c r="O35" s="247"/>
      <c r="P35" s="226"/>
      <c r="Q35" s="226"/>
      <c r="U35" s="220" t="s">
        <v>989</v>
      </c>
      <c r="V35" s="220" t="s">
        <v>989</v>
      </c>
      <c r="X35" s="255">
        <v>43528</v>
      </c>
      <c r="Y35" s="255">
        <v>43528</v>
      </c>
      <c r="AA35" s="255"/>
      <c r="AB35" s="220" t="s">
        <v>523</v>
      </c>
      <c r="AC35" s="220">
        <v>0</v>
      </c>
      <c r="AD35" s="220">
        <v>0</v>
      </c>
      <c r="AE35" s="220">
        <v>0</v>
      </c>
      <c r="AF35" s="220">
        <v>0</v>
      </c>
      <c r="AG35" s="220">
        <v>0</v>
      </c>
      <c r="AH35" s="220">
        <v>1</v>
      </c>
      <c r="AI35" s="220">
        <v>57125</v>
      </c>
      <c r="AJ35" s="220">
        <v>2180</v>
      </c>
      <c r="AK35" s="220">
        <v>0</v>
      </c>
      <c r="AL35" s="220">
        <v>0</v>
      </c>
      <c r="AO35" s="258"/>
      <c r="AP35" s="258"/>
      <c r="AQ35" s="220" t="str">
        <f t="shared" si="0"/>
        <v/>
      </c>
      <c r="AS35" s="220" t="str">
        <f t="shared" si="1"/>
        <v>wci_corp</v>
      </c>
    </row>
    <row r="36" spans="2:45" hidden="1">
      <c r="B36" s="220" t="s">
        <v>957</v>
      </c>
      <c r="C36" s="255">
        <v>43524</v>
      </c>
      <c r="D36" s="256">
        <v>1176.3399999999999</v>
      </c>
      <c r="E36" s="256">
        <v>0</v>
      </c>
      <c r="F36" s="257" t="s">
        <v>413</v>
      </c>
      <c r="G36" s="220" t="s">
        <v>987</v>
      </c>
      <c r="H36" s="258" t="s">
        <v>520</v>
      </c>
      <c r="I36" s="220" t="s">
        <v>988</v>
      </c>
      <c r="J36" s="220" t="s">
        <v>536</v>
      </c>
      <c r="K36" s="220" t="s">
        <v>522</v>
      </c>
      <c r="L36" s="226"/>
      <c r="M36" s="226"/>
      <c r="N36" s="226" t="s">
        <v>990</v>
      </c>
      <c r="O36" s="247"/>
      <c r="P36" s="226"/>
      <c r="Q36" s="226"/>
      <c r="U36" s="220" t="s">
        <v>989</v>
      </c>
      <c r="V36" s="220" t="s">
        <v>989</v>
      </c>
      <c r="X36" s="255">
        <v>43528</v>
      </c>
      <c r="Y36" s="255">
        <v>43528</v>
      </c>
      <c r="AA36" s="255"/>
      <c r="AB36" s="220" t="s">
        <v>523</v>
      </c>
      <c r="AC36" s="220">
        <v>0</v>
      </c>
      <c r="AD36" s="220">
        <v>0</v>
      </c>
      <c r="AE36" s="220">
        <v>0</v>
      </c>
      <c r="AF36" s="220">
        <v>0</v>
      </c>
      <c r="AG36" s="220">
        <v>0</v>
      </c>
      <c r="AH36" s="220">
        <v>1</v>
      </c>
      <c r="AI36" s="220">
        <v>57125</v>
      </c>
      <c r="AJ36" s="220">
        <v>2180</v>
      </c>
      <c r="AK36" s="220">
        <v>0</v>
      </c>
      <c r="AL36" s="220">
        <v>0</v>
      </c>
      <c r="AO36" s="258"/>
      <c r="AP36" s="258"/>
      <c r="AQ36" s="220" t="str">
        <f t="shared" si="0"/>
        <v/>
      </c>
      <c r="AS36" s="220" t="str">
        <f t="shared" si="1"/>
        <v>wci_corp</v>
      </c>
    </row>
    <row r="37" spans="2:45" hidden="1">
      <c r="B37" s="220" t="s">
        <v>957</v>
      </c>
      <c r="C37" s="255">
        <v>43524</v>
      </c>
      <c r="D37" s="256">
        <v>3017</v>
      </c>
      <c r="E37" s="256">
        <v>0</v>
      </c>
      <c r="F37" s="257" t="s">
        <v>413</v>
      </c>
      <c r="G37" s="220" t="s">
        <v>987</v>
      </c>
      <c r="H37" s="258" t="s">
        <v>520</v>
      </c>
      <c r="I37" s="220" t="s">
        <v>988</v>
      </c>
      <c r="J37" s="220" t="s">
        <v>536</v>
      </c>
      <c r="K37" s="220" t="s">
        <v>522</v>
      </c>
      <c r="L37" s="226"/>
      <c r="M37" s="226"/>
      <c r="N37" s="226" t="s">
        <v>967</v>
      </c>
      <c r="O37" s="247"/>
      <c r="P37" s="226"/>
      <c r="Q37" s="226"/>
      <c r="U37" s="220" t="s">
        <v>989</v>
      </c>
      <c r="V37" s="220" t="s">
        <v>989</v>
      </c>
      <c r="X37" s="255">
        <v>43528</v>
      </c>
      <c r="Y37" s="255">
        <v>43528</v>
      </c>
      <c r="AA37" s="255"/>
      <c r="AB37" s="220" t="s">
        <v>523</v>
      </c>
      <c r="AC37" s="220">
        <v>0</v>
      </c>
      <c r="AD37" s="220">
        <v>0</v>
      </c>
      <c r="AE37" s="220">
        <v>0</v>
      </c>
      <c r="AF37" s="220">
        <v>0</v>
      </c>
      <c r="AG37" s="220">
        <v>0</v>
      </c>
      <c r="AH37" s="220">
        <v>1</v>
      </c>
      <c r="AI37" s="220">
        <v>57125</v>
      </c>
      <c r="AJ37" s="220">
        <v>2180</v>
      </c>
      <c r="AK37" s="220">
        <v>0</v>
      </c>
      <c r="AL37" s="220">
        <v>0</v>
      </c>
      <c r="AO37" s="258"/>
      <c r="AP37" s="258"/>
      <c r="AQ37" s="220" t="str">
        <f t="shared" si="0"/>
        <v/>
      </c>
      <c r="AS37" s="220" t="str">
        <f t="shared" si="1"/>
        <v>wci_corp</v>
      </c>
    </row>
    <row r="38" spans="2:45">
      <c r="B38" s="220" t="s">
        <v>957</v>
      </c>
      <c r="C38" s="255">
        <v>43524</v>
      </c>
      <c r="D38" s="256">
        <v>3110.99</v>
      </c>
      <c r="E38" s="256">
        <v>0</v>
      </c>
      <c r="F38" s="257" t="s">
        <v>413</v>
      </c>
      <c r="G38" s="220" t="s">
        <v>987</v>
      </c>
      <c r="H38" s="258" t="s">
        <v>520</v>
      </c>
      <c r="I38" s="220" t="s">
        <v>988</v>
      </c>
      <c r="J38" s="220" t="s">
        <v>536</v>
      </c>
      <c r="K38" s="220" t="s">
        <v>522</v>
      </c>
      <c r="L38" s="226"/>
      <c r="M38" s="226"/>
      <c r="N38" s="226" t="s">
        <v>991</v>
      </c>
      <c r="O38" s="247"/>
      <c r="P38" s="226"/>
      <c r="Q38" s="226"/>
      <c r="U38" s="220" t="s">
        <v>989</v>
      </c>
      <c r="V38" s="220" t="s">
        <v>989</v>
      </c>
      <c r="X38" s="255">
        <v>43528</v>
      </c>
      <c r="Y38" s="255">
        <v>43528</v>
      </c>
      <c r="AA38" s="255"/>
      <c r="AB38" s="220" t="s">
        <v>523</v>
      </c>
      <c r="AC38" s="220">
        <v>0</v>
      </c>
      <c r="AD38" s="220">
        <v>0</v>
      </c>
      <c r="AE38" s="220">
        <v>0</v>
      </c>
      <c r="AF38" s="220">
        <v>0</v>
      </c>
      <c r="AG38" s="220">
        <v>0</v>
      </c>
      <c r="AH38" s="220">
        <v>1</v>
      </c>
      <c r="AI38" s="220">
        <v>57125</v>
      </c>
      <c r="AJ38" s="220">
        <v>2180</v>
      </c>
      <c r="AK38" s="220">
        <v>0</v>
      </c>
      <c r="AL38" s="220">
        <v>0</v>
      </c>
      <c r="AO38" s="258"/>
      <c r="AP38" s="258"/>
      <c r="AQ38" s="220" t="str">
        <f t="shared" si="0"/>
        <v/>
      </c>
      <c r="AS38" s="220" t="str">
        <f t="shared" si="1"/>
        <v>wci_corp</v>
      </c>
    </row>
    <row r="39" spans="2:45" hidden="1">
      <c r="B39" s="220" t="s">
        <v>957</v>
      </c>
      <c r="C39" s="255">
        <v>43524</v>
      </c>
      <c r="D39" s="256">
        <v>61.16</v>
      </c>
      <c r="E39" s="256">
        <v>0</v>
      </c>
      <c r="F39" s="257" t="s">
        <v>413</v>
      </c>
      <c r="G39" s="220" t="s">
        <v>987</v>
      </c>
      <c r="H39" s="258" t="s">
        <v>520</v>
      </c>
      <c r="I39" s="220" t="s">
        <v>988</v>
      </c>
      <c r="J39" s="220" t="s">
        <v>536</v>
      </c>
      <c r="K39" s="220" t="s">
        <v>522</v>
      </c>
      <c r="L39" s="226"/>
      <c r="M39" s="226"/>
      <c r="N39" s="226" t="s">
        <v>966</v>
      </c>
      <c r="O39" s="247"/>
      <c r="P39" s="226"/>
      <c r="Q39" s="226"/>
      <c r="U39" s="220" t="s">
        <v>989</v>
      </c>
      <c r="V39" s="220" t="s">
        <v>989</v>
      </c>
      <c r="X39" s="255">
        <v>43528</v>
      </c>
      <c r="Y39" s="255">
        <v>43528</v>
      </c>
      <c r="AA39" s="255"/>
      <c r="AB39" s="220" t="s">
        <v>523</v>
      </c>
      <c r="AC39" s="220">
        <v>0</v>
      </c>
      <c r="AD39" s="220">
        <v>0</v>
      </c>
      <c r="AE39" s="220">
        <v>0</v>
      </c>
      <c r="AF39" s="220">
        <v>0</v>
      </c>
      <c r="AG39" s="220">
        <v>0</v>
      </c>
      <c r="AH39" s="220">
        <v>1</v>
      </c>
      <c r="AI39" s="220">
        <v>57125</v>
      </c>
      <c r="AJ39" s="220">
        <v>2180</v>
      </c>
      <c r="AK39" s="220">
        <v>0</v>
      </c>
      <c r="AL39" s="220">
        <v>0</v>
      </c>
      <c r="AO39" s="258"/>
      <c r="AP39" s="258"/>
      <c r="AQ39" s="220" t="str">
        <f t="shared" si="0"/>
        <v/>
      </c>
      <c r="AS39" s="220" t="str">
        <f t="shared" si="1"/>
        <v>wci_corp</v>
      </c>
    </row>
    <row r="40" spans="2:45">
      <c r="B40" s="220" t="s">
        <v>957</v>
      </c>
      <c r="C40" s="255">
        <v>43524</v>
      </c>
      <c r="D40" s="256">
        <v>3110.19</v>
      </c>
      <c r="E40" s="256">
        <v>0</v>
      </c>
      <c r="F40" s="257" t="s">
        <v>413</v>
      </c>
      <c r="G40" s="220" t="s">
        <v>987</v>
      </c>
      <c r="H40" s="258" t="s">
        <v>520</v>
      </c>
      <c r="I40" s="220" t="s">
        <v>988</v>
      </c>
      <c r="J40" s="220" t="s">
        <v>536</v>
      </c>
      <c r="K40" s="220" t="s">
        <v>522</v>
      </c>
      <c r="L40" s="226"/>
      <c r="M40" s="226"/>
      <c r="N40" s="226" t="s">
        <v>991</v>
      </c>
      <c r="O40" s="247"/>
      <c r="P40" s="226"/>
      <c r="Q40" s="226"/>
      <c r="U40" s="220" t="s">
        <v>989</v>
      </c>
      <c r="V40" s="220" t="s">
        <v>989</v>
      </c>
      <c r="X40" s="255">
        <v>43528</v>
      </c>
      <c r="Y40" s="255">
        <v>43528</v>
      </c>
      <c r="AA40" s="255"/>
      <c r="AB40" s="220" t="s">
        <v>523</v>
      </c>
      <c r="AC40" s="220">
        <v>0</v>
      </c>
      <c r="AD40" s="220">
        <v>0</v>
      </c>
      <c r="AE40" s="220">
        <v>0</v>
      </c>
      <c r="AF40" s="220">
        <v>0</v>
      </c>
      <c r="AG40" s="220">
        <v>0</v>
      </c>
      <c r="AH40" s="220">
        <v>1</v>
      </c>
      <c r="AI40" s="220">
        <v>57125</v>
      </c>
      <c r="AJ40" s="220">
        <v>2180</v>
      </c>
      <c r="AK40" s="220">
        <v>0</v>
      </c>
      <c r="AL40" s="220">
        <v>0</v>
      </c>
      <c r="AO40" s="258"/>
      <c r="AP40" s="258"/>
      <c r="AQ40" s="220" t="str">
        <f t="shared" si="0"/>
        <v/>
      </c>
      <c r="AS40" s="220" t="str">
        <f t="shared" si="1"/>
        <v>wci_corp</v>
      </c>
    </row>
    <row r="41" spans="2:45" hidden="1">
      <c r="B41" s="220" t="s">
        <v>957</v>
      </c>
      <c r="C41" s="255">
        <v>43524</v>
      </c>
      <c r="D41" s="256">
        <v>-106.05</v>
      </c>
      <c r="E41" s="256">
        <v>0</v>
      </c>
      <c r="F41" s="257" t="s">
        <v>413</v>
      </c>
      <c r="G41" s="220" t="s">
        <v>992</v>
      </c>
      <c r="H41" s="258" t="s">
        <v>520</v>
      </c>
      <c r="I41" s="220" t="s">
        <v>993</v>
      </c>
      <c r="J41" s="220" t="s">
        <v>536</v>
      </c>
      <c r="K41" s="220" t="s">
        <v>522</v>
      </c>
      <c r="L41" s="226"/>
      <c r="M41" s="226"/>
      <c r="N41" s="226" t="s">
        <v>994</v>
      </c>
      <c r="O41" s="247"/>
      <c r="P41" s="226"/>
      <c r="Q41" s="226"/>
      <c r="U41" s="220" t="s">
        <v>995</v>
      </c>
      <c r="V41" s="220" t="s">
        <v>995</v>
      </c>
      <c r="X41" s="255">
        <v>43530</v>
      </c>
      <c r="Y41" s="255">
        <v>43531</v>
      </c>
      <c r="AA41" s="255"/>
      <c r="AB41" s="220" t="s">
        <v>523</v>
      </c>
      <c r="AC41" s="220">
        <v>0</v>
      </c>
      <c r="AD41" s="220">
        <v>0</v>
      </c>
      <c r="AE41" s="220">
        <v>0</v>
      </c>
      <c r="AF41" s="220">
        <v>0</v>
      </c>
      <c r="AG41" s="220">
        <v>0</v>
      </c>
      <c r="AH41" s="220">
        <v>1</v>
      </c>
      <c r="AI41" s="220">
        <v>57125</v>
      </c>
      <c r="AJ41" s="220">
        <v>2180</v>
      </c>
      <c r="AK41" s="220">
        <v>0</v>
      </c>
      <c r="AL41" s="220">
        <v>0</v>
      </c>
      <c r="AO41" s="258"/>
      <c r="AP41" s="258"/>
      <c r="AQ41" s="220" t="str">
        <f t="shared" si="0"/>
        <v/>
      </c>
      <c r="AS41" s="220" t="str">
        <f t="shared" si="1"/>
        <v>wci_corp</v>
      </c>
    </row>
    <row r="42" spans="2:45" hidden="1">
      <c r="B42" s="220" t="s">
        <v>957</v>
      </c>
      <c r="C42" s="255">
        <v>43555</v>
      </c>
      <c r="D42" s="256">
        <v>106.05</v>
      </c>
      <c r="E42" s="256">
        <v>0</v>
      </c>
      <c r="F42" s="257" t="s">
        <v>413</v>
      </c>
      <c r="G42" s="220" t="s">
        <v>996</v>
      </c>
      <c r="H42" s="258" t="s">
        <v>520</v>
      </c>
      <c r="I42" s="220" t="s">
        <v>993</v>
      </c>
      <c r="J42" s="220" t="s">
        <v>536</v>
      </c>
      <c r="K42" s="220" t="s">
        <v>522</v>
      </c>
      <c r="L42" s="226"/>
      <c r="M42" s="226"/>
      <c r="N42" s="226" t="s">
        <v>994</v>
      </c>
      <c r="O42" s="247"/>
      <c r="P42" s="226"/>
      <c r="Q42" s="226"/>
      <c r="U42" s="220" t="s">
        <v>995</v>
      </c>
      <c r="V42" s="220" t="s">
        <v>997</v>
      </c>
      <c r="X42" s="255">
        <v>43531</v>
      </c>
      <c r="Y42" s="255">
        <v>43531</v>
      </c>
      <c r="AA42" s="255"/>
      <c r="AB42" s="220" t="s">
        <v>523</v>
      </c>
      <c r="AC42" s="220">
        <v>0</v>
      </c>
      <c r="AD42" s="220">
        <v>0</v>
      </c>
      <c r="AE42" s="220">
        <v>0</v>
      </c>
      <c r="AF42" s="220">
        <v>0</v>
      </c>
      <c r="AG42" s="220">
        <v>5</v>
      </c>
      <c r="AH42" s="220">
        <v>1</v>
      </c>
      <c r="AI42" s="220">
        <v>57125</v>
      </c>
      <c r="AJ42" s="220">
        <v>2180</v>
      </c>
      <c r="AK42" s="220">
        <v>0</v>
      </c>
      <c r="AL42" s="220">
        <v>0</v>
      </c>
      <c r="AO42" s="258"/>
      <c r="AP42" s="258"/>
      <c r="AQ42" s="220" t="str">
        <f t="shared" si="0"/>
        <v/>
      </c>
      <c r="AS42" s="220" t="str">
        <f t="shared" si="1"/>
        <v>wci_corp</v>
      </c>
    </row>
    <row r="43" spans="2:45" hidden="1">
      <c r="B43" s="220" t="s">
        <v>957</v>
      </c>
      <c r="C43" s="255">
        <v>43555</v>
      </c>
      <c r="D43" s="256">
        <v>150.9</v>
      </c>
      <c r="E43" s="256">
        <v>0</v>
      </c>
      <c r="F43" s="257" t="s">
        <v>413</v>
      </c>
      <c r="G43" s="220" t="s">
        <v>998</v>
      </c>
      <c r="H43" s="258" t="s">
        <v>520</v>
      </c>
      <c r="I43" s="220" t="s">
        <v>999</v>
      </c>
      <c r="J43" s="220" t="s">
        <v>543</v>
      </c>
      <c r="K43" s="220" t="s">
        <v>522</v>
      </c>
      <c r="L43" s="226"/>
      <c r="M43" s="226"/>
      <c r="N43" s="226" t="s">
        <v>1000</v>
      </c>
      <c r="O43" s="247"/>
      <c r="P43" s="226"/>
      <c r="Q43" s="226"/>
      <c r="U43" s="220" t="s">
        <v>1001</v>
      </c>
      <c r="V43" s="220" t="s">
        <v>1001</v>
      </c>
      <c r="X43" s="255">
        <v>43557</v>
      </c>
      <c r="Y43" s="255">
        <v>43557</v>
      </c>
      <c r="AA43" s="255"/>
      <c r="AB43" s="220" t="s">
        <v>523</v>
      </c>
      <c r="AC43" s="220">
        <v>0</v>
      </c>
      <c r="AD43" s="220">
        <v>0</v>
      </c>
      <c r="AE43" s="220">
        <v>0</v>
      </c>
      <c r="AF43" s="220">
        <v>0</v>
      </c>
      <c r="AG43" s="220">
        <v>0</v>
      </c>
      <c r="AH43" s="220">
        <v>1</v>
      </c>
      <c r="AI43" s="220">
        <v>57125</v>
      </c>
      <c r="AJ43" s="220">
        <v>2180</v>
      </c>
      <c r="AK43" s="220">
        <v>0</v>
      </c>
      <c r="AL43" s="220">
        <v>0</v>
      </c>
      <c r="AO43" s="258"/>
      <c r="AP43" s="258"/>
      <c r="AQ43" s="220" t="str">
        <f t="shared" si="0"/>
        <v/>
      </c>
      <c r="AS43" s="220" t="str">
        <f t="shared" si="1"/>
        <v>wci_corp</v>
      </c>
    </row>
    <row r="44" spans="2:45" hidden="1">
      <c r="B44" s="220" t="s">
        <v>957</v>
      </c>
      <c r="C44" s="255">
        <v>43555</v>
      </c>
      <c r="D44" s="256">
        <v>280.32</v>
      </c>
      <c r="E44" s="256">
        <v>0</v>
      </c>
      <c r="F44" s="257" t="s">
        <v>413</v>
      </c>
      <c r="G44" s="220" t="s">
        <v>998</v>
      </c>
      <c r="H44" s="258" t="s">
        <v>520</v>
      </c>
      <c r="I44" s="220" t="s">
        <v>999</v>
      </c>
      <c r="J44" s="220" t="s">
        <v>543</v>
      </c>
      <c r="K44" s="220" t="s">
        <v>522</v>
      </c>
      <c r="L44" s="226"/>
      <c r="M44" s="226"/>
      <c r="N44" s="226" t="s">
        <v>969</v>
      </c>
      <c r="O44" s="247"/>
      <c r="P44" s="226"/>
      <c r="Q44" s="226"/>
      <c r="U44" s="220" t="s">
        <v>1001</v>
      </c>
      <c r="V44" s="220" t="s">
        <v>1001</v>
      </c>
      <c r="X44" s="255">
        <v>43557</v>
      </c>
      <c r="Y44" s="255">
        <v>43557</v>
      </c>
      <c r="AA44" s="255"/>
      <c r="AB44" s="220" t="s">
        <v>523</v>
      </c>
      <c r="AC44" s="220">
        <v>0</v>
      </c>
      <c r="AD44" s="220">
        <v>0</v>
      </c>
      <c r="AE44" s="220">
        <v>0</v>
      </c>
      <c r="AF44" s="220">
        <v>0</v>
      </c>
      <c r="AG44" s="220">
        <v>0</v>
      </c>
      <c r="AH44" s="220">
        <v>1</v>
      </c>
      <c r="AI44" s="220">
        <v>57125</v>
      </c>
      <c r="AJ44" s="220">
        <v>2180</v>
      </c>
      <c r="AK44" s="220">
        <v>0</v>
      </c>
      <c r="AL44" s="220">
        <v>0</v>
      </c>
      <c r="AO44" s="258"/>
      <c r="AP44" s="258"/>
      <c r="AQ44" s="220" t="str">
        <f t="shared" si="0"/>
        <v/>
      </c>
      <c r="AS44" s="220" t="str">
        <f t="shared" si="1"/>
        <v>wci_corp</v>
      </c>
    </row>
    <row r="45" spans="2:45" hidden="1">
      <c r="B45" s="220" t="s">
        <v>957</v>
      </c>
      <c r="C45" s="255">
        <v>43585</v>
      </c>
      <c r="D45" s="256">
        <v>2722.89</v>
      </c>
      <c r="E45" s="256">
        <v>0</v>
      </c>
      <c r="F45" s="257" t="s">
        <v>413</v>
      </c>
      <c r="G45" s="220" t="s">
        <v>1002</v>
      </c>
      <c r="H45" s="258" t="s">
        <v>520</v>
      </c>
      <c r="I45" s="220" t="s">
        <v>1003</v>
      </c>
      <c r="J45" s="220" t="s">
        <v>543</v>
      </c>
      <c r="K45" s="220" t="s">
        <v>522</v>
      </c>
      <c r="L45" s="226"/>
      <c r="M45" s="226"/>
      <c r="N45" s="226" t="s">
        <v>1004</v>
      </c>
      <c r="O45" s="247"/>
      <c r="P45" s="226"/>
      <c r="Q45" s="226"/>
      <c r="U45" s="220" t="s">
        <v>1005</v>
      </c>
      <c r="V45" s="220" t="s">
        <v>1005</v>
      </c>
      <c r="X45" s="255">
        <v>43586</v>
      </c>
      <c r="Y45" s="255">
        <v>43587</v>
      </c>
      <c r="AA45" s="255"/>
      <c r="AB45" s="220" t="s">
        <v>523</v>
      </c>
      <c r="AC45" s="220">
        <v>0</v>
      </c>
      <c r="AD45" s="220">
        <v>0</v>
      </c>
      <c r="AE45" s="220">
        <v>0</v>
      </c>
      <c r="AF45" s="220">
        <v>0</v>
      </c>
      <c r="AG45" s="220">
        <v>0</v>
      </c>
      <c r="AH45" s="220">
        <v>1</v>
      </c>
      <c r="AI45" s="220">
        <v>57125</v>
      </c>
      <c r="AJ45" s="220">
        <v>2180</v>
      </c>
      <c r="AK45" s="220">
        <v>0</v>
      </c>
      <c r="AL45" s="220">
        <v>0</v>
      </c>
      <c r="AO45" s="258"/>
      <c r="AP45" s="258"/>
      <c r="AQ45" s="220" t="str">
        <f t="shared" si="0"/>
        <v/>
      </c>
      <c r="AS45" s="220" t="str">
        <f t="shared" si="1"/>
        <v>wci_corp</v>
      </c>
    </row>
    <row r="46" spans="2:45">
      <c r="B46" s="220" t="s">
        <v>957</v>
      </c>
      <c r="C46" s="255">
        <v>43585</v>
      </c>
      <c r="D46" s="256">
        <v>2846.12</v>
      </c>
      <c r="E46" s="256">
        <v>0</v>
      </c>
      <c r="F46" s="257" t="s">
        <v>413</v>
      </c>
      <c r="G46" s="220" t="s">
        <v>1002</v>
      </c>
      <c r="H46" s="258" t="s">
        <v>520</v>
      </c>
      <c r="I46" s="220" t="s">
        <v>1003</v>
      </c>
      <c r="J46" s="220" t="s">
        <v>543</v>
      </c>
      <c r="K46" s="220" t="s">
        <v>522</v>
      </c>
      <c r="L46" s="226"/>
      <c r="M46" s="226"/>
      <c r="N46" s="226" t="s">
        <v>991</v>
      </c>
      <c r="O46" s="247"/>
      <c r="P46" s="226"/>
      <c r="Q46" s="226"/>
      <c r="U46" s="220" t="s">
        <v>1005</v>
      </c>
      <c r="V46" s="220" t="s">
        <v>1005</v>
      </c>
      <c r="X46" s="255">
        <v>43586</v>
      </c>
      <c r="Y46" s="255">
        <v>43587</v>
      </c>
      <c r="AA46" s="255"/>
      <c r="AB46" s="220" t="s">
        <v>523</v>
      </c>
      <c r="AC46" s="220">
        <v>0</v>
      </c>
      <c r="AD46" s="220">
        <v>0</v>
      </c>
      <c r="AE46" s="220">
        <v>0</v>
      </c>
      <c r="AF46" s="220">
        <v>0</v>
      </c>
      <c r="AG46" s="220">
        <v>0</v>
      </c>
      <c r="AH46" s="220">
        <v>1</v>
      </c>
      <c r="AI46" s="220">
        <v>57125</v>
      </c>
      <c r="AJ46" s="220">
        <v>2180</v>
      </c>
      <c r="AK46" s="220">
        <v>0</v>
      </c>
      <c r="AL46" s="220">
        <v>0</v>
      </c>
      <c r="AO46" s="258"/>
      <c r="AP46" s="258"/>
      <c r="AQ46" s="220" t="str">
        <f t="shared" si="0"/>
        <v/>
      </c>
      <c r="AS46" s="220" t="str">
        <f t="shared" si="1"/>
        <v>wci_corp</v>
      </c>
    </row>
    <row r="47" spans="2:45" hidden="1">
      <c r="B47" s="220" t="s">
        <v>957</v>
      </c>
      <c r="C47" s="255">
        <v>43585</v>
      </c>
      <c r="D47" s="256">
        <v>975.76</v>
      </c>
      <c r="E47" s="256">
        <v>0</v>
      </c>
      <c r="F47" s="257" t="s">
        <v>413</v>
      </c>
      <c r="G47" s="220" t="s">
        <v>1006</v>
      </c>
      <c r="H47" s="258" t="s">
        <v>520</v>
      </c>
      <c r="I47" s="220" t="s">
        <v>1007</v>
      </c>
      <c r="J47" s="220" t="s">
        <v>543</v>
      </c>
      <c r="K47" s="220" t="s">
        <v>522</v>
      </c>
      <c r="L47" s="226"/>
      <c r="M47" s="226"/>
      <c r="N47" s="226" t="s">
        <v>1008</v>
      </c>
      <c r="O47" s="247"/>
      <c r="P47" s="226"/>
      <c r="Q47" s="226"/>
      <c r="U47" s="220" t="s">
        <v>1009</v>
      </c>
      <c r="V47" s="220" t="s">
        <v>1009</v>
      </c>
      <c r="X47" s="255">
        <v>43591</v>
      </c>
      <c r="Y47" s="255">
        <v>43592</v>
      </c>
      <c r="AA47" s="255"/>
      <c r="AB47" s="220" t="s">
        <v>523</v>
      </c>
      <c r="AC47" s="220">
        <v>0</v>
      </c>
      <c r="AD47" s="220">
        <v>0</v>
      </c>
      <c r="AE47" s="220">
        <v>0</v>
      </c>
      <c r="AF47" s="220">
        <v>0</v>
      </c>
      <c r="AG47" s="220">
        <v>0</v>
      </c>
      <c r="AH47" s="220">
        <v>1</v>
      </c>
      <c r="AI47" s="220">
        <v>57125</v>
      </c>
      <c r="AJ47" s="220">
        <v>2180</v>
      </c>
      <c r="AK47" s="220">
        <v>0</v>
      </c>
      <c r="AL47" s="220">
        <v>0</v>
      </c>
      <c r="AO47" s="258"/>
      <c r="AP47" s="258"/>
      <c r="AQ47" s="220" t="str">
        <f t="shared" si="0"/>
        <v/>
      </c>
      <c r="AS47" s="220" t="str">
        <f t="shared" si="1"/>
        <v>wci_corp</v>
      </c>
    </row>
    <row r="48" spans="2:45" hidden="1">
      <c r="B48" s="220" t="s">
        <v>957</v>
      </c>
      <c r="C48" s="255">
        <v>43594</v>
      </c>
      <c r="D48" s="256">
        <v>975.76</v>
      </c>
      <c r="E48" s="256">
        <v>0</v>
      </c>
      <c r="F48" s="257" t="s">
        <v>413</v>
      </c>
      <c r="G48" s="220" t="s">
        <v>1010</v>
      </c>
      <c r="H48" s="258" t="s">
        <v>520</v>
      </c>
      <c r="I48" s="220" t="s">
        <v>680</v>
      </c>
      <c r="J48" s="220" t="s">
        <v>1011</v>
      </c>
      <c r="K48" s="220" t="s">
        <v>522</v>
      </c>
      <c r="L48" s="226" t="s">
        <v>971</v>
      </c>
      <c r="M48" s="226"/>
      <c r="N48" s="226" t="s">
        <v>972</v>
      </c>
      <c r="O48" s="247">
        <v>43585</v>
      </c>
      <c r="P48" s="226" t="s">
        <v>978</v>
      </c>
      <c r="Q48" s="226">
        <v>20827</v>
      </c>
      <c r="R48" s="220" t="s">
        <v>1012</v>
      </c>
      <c r="U48" s="220" t="s">
        <v>1013</v>
      </c>
      <c r="V48" s="220" t="s">
        <v>1014</v>
      </c>
      <c r="W48" s="220">
        <v>2180</v>
      </c>
      <c r="X48" s="255">
        <v>43594</v>
      </c>
      <c r="Y48" s="255">
        <v>43602</v>
      </c>
      <c r="Z48" s="220">
        <v>975.76</v>
      </c>
      <c r="AA48" s="255">
        <v>43595</v>
      </c>
      <c r="AB48" s="220" t="s">
        <v>523</v>
      </c>
      <c r="AC48" s="220">
        <v>0</v>
      </c>
      <c r="AD48" s="220">
        <v>0</v>
      </c>
      <c r="AE48" s="220">
        <v>0</v>
      </c>
      <c r="AF48" s="220">
        <v>0</v>
      </c>
      <c r="AG48" s="220">
        <v>0</v>
      </c>
      <c r="AH48" s="220">
        <v>1</v>
      </c>
      <c r="AI48" s="220">
        <v>57125</v>
      </c>
      <c r="AJ48" s="220">
        <v>2180</v>
      </c>
      <c r="AK48" s="220">
        <v>0</v>
      </c>
      <c r="AL48" s="220">
        <v>0</v>
      </c>
      <c r="AO48" s="258"/>
      <c r="AP48" s="258"/>
      <c r="AQ48" s="220" t="str">
        <f t="shared" si="0"/>
        <v>VO05009530</v>
      </c>
      <c r="AS48" s="220" t="str">
        <f t="shared" si="1"/>
        <v>wci_corp</v>
      </c>
    </row>
    <row r="49" spans="2:45" hidden="1">
      <c r="B49" s="220" t="s">
        <v>957</v>
      </c>
      <c r="C49" s="255">
        <v>43616</v>
      </c>
      <c r="D49" s="256">
        <v>-975.76</v>
      </c>
      <c r="E49" s="256">
        <v>0</v>
      </c>
      <c r="F49" s="257" t="s">
        <v>413</v>
      </c>
      <c r="G49" s="220" t="s">
        <v>1015</v>
      </c>
      <c r="H49" s="258" t="s">
        <v>520</v>
      </c>
      <c r="I49" s="220" t="s">
        <v>1007</v>
      </c>
      <c r="J49" s="220" t="s">
        <v>543</v>
      </c>
      <c r="K49" s="220" t="s">
        <v>522</v>
      </c>
      <c r="L49" s="226"/>
      <c r="M49" s="226"/>
      <c r="N49" s="226" t="s">
        <v>1008</v>
      </c>
      <c r="O49" s="247"/>
      <c r="P49" s="226"/>
      <c r="Q49" s="226"/>
      <c r="U49" s="220" t="s">
        <v>1009</v>
      </c>
      <c r="V49" s="220" t="s">
        <v>1016</v>
      </c>
      <c r="X49" s="255">
        <v>43592</v>
      </c>
      <c r="Y49" s="255">
        <v>43592</v>
      </c>
      <c r="AA49" s="255"/>
      <c r="AB49" s="220" t="s">
        <v>523</v>
      </c>
      <c r="AC49" s="220">
        <v>0</v>
      </c>
      <c r="AD49" s="220">
        <v>0</v>
      </c>
      <c r="AE49" s="220">
        <v>0</v>
      </c>
      <c r="AF49" s="220">
        <v>0</v>
      </c>
      <c r="AG49" s="220">
        <v>5</v>
      </c>
      <c r="AH49" s="220">
        <v>1</v>
      </c>
      <c r="AI49" s="220">
        <v>57125</v>
      </c>
      <c r="AJ49" s="220">
        <v>2180</v>
      </c>
      <c r="AK49" s="220">
        <v>0</v>
      </c>
      <c r="AL49" s="220">
        <v>0</v>
      </c>
      <c r="AO49" s="258"/>
      <c r="AP49" s="258"/>
      <c r="AQ49" s="220" t="str">
        <f t="shared" si="0"/>
        <v/>
      </c>
      <c r="AS49" s="220" t="str">
        <f t="shared" si="1"/>
        <v>wci_corp</v>
      </c>
    </row>
    <row r="50" spans="2:45" hidden="1">
      <c r="B50" s="220" t="s">
        <v>957</v>
      </c>
      <c r="C50" s="255">
        <v>43616</v>
      </c>
      <c r="D50" s="256">
        <v>96.48</v>
      </c>
      <c r="E50" s="256">
        <v>0</v>
      </c>
      <c r="F50" s="257" t="s">
        <v>413</v>
      </c>
      <c r="G50" s="220" t="s">
        <v>1017</v>
      </c>
      <c r="H50" s="258" t="s">
        <v>520</v>
      </c>
      <c r="I50" s="220" t="s">
        <v>1018</v>
      </c>
      <c r="J50" s="220" t="s">
        <v>670</v>
      </c>
      <c r="K50" s="220" t="s">
        <v>522</v>
      </c>
      <c r="L50" s="226"/>
      <c r="M50" s="226"/>
      <c r="N50" s="226" t="s">
        <v>1019</v>
      </c>
      <c r="O50" s="247"/>
      <c r="P50" s="226"/>
      <c r="Q50" s="226"/>
      <c r="U50" s="220" t="s">
        <v>1020</v>
      </c>
      <c r="V50" s="220" t="s">
        <v>1020</v>
      </c>
      <c r="X50" s="255">
        <v>43620</v>
      </c>
      <c r="Y50" s="255">
        <v>43620</v>
      </c>
      <c r="AA50" s="255"/>
      <c r="AB50" s="220" t="s">
        <v>523</v>
      </c>
      <c r="AC50" s="220">
        <v>0</v>
      </c>
      <c r="AD50" s="220">
        <v>0</v>
      </c>
      <c r="AE50" s="220">
        <v>0</v>
      </c>
      <c r="AF50" s="220">
        <v>0</v>
      </c>
      <c r="AG50" s="220">
        <v>0</v>
      </c>
      <c r="AH50" s="220">
        <v>1</v>
      </c>
      <c r="AI50" s="220">
        <v>57125</v>
      </c>
      <c r="AJ50" s="220">
        <v>2180</v>
      </c>
      <c r="AK50" s="220">
        <v>0</v>
      </c>
      <c r="AL50" s="220">
        <v>0</v>
      </c>
      <c r="AO50" s="258"/>
      <c r="AP50" s="258"/>
      <c r="AQ50" s="220" t="str">
        <f t="shared" si="0"/>
        <v/>
      </c>
      <c r="AS50" s="220" t="str">
        <f t="shared" si="1"/>
        <v>wci_corp</v>
      </c>
    </row>
    <row r="51" spans="2:45" hidden="1">
      <c r="B51" s="220" t="s">
        <v>957</v>
      </c>
      <c r="C51" s="255">
        <v>43616</v>
      </c>
      <c r="D51" s="256">
        <v>78.3</v>
      </c>
      <c r="E51" s="256">
        <v>0</v>
      </c>
      <c r="F51" s="257" t="s">
        <v>413</v>
      </c>
      <c r="G51" s="220" t="s">
        <v>1017</v>
      </c>
      <c r="H51" s="258" t="s">
        <v>520</v>
      </c>
      <c r="I51" s="220" t="s">
        <v>1018</v>
      </c>
      <c r="J51" s="220" t="s">
        <v>670</v>
      </c>
      <c r="K51" s="220" t="s">
        <v>522</v>
      </c>
      <c r="L51" s="226"/>
      <c r="M51" s="226"/>
      <c r="N51" s="226" t="s">
        <v>1021</v>
      </c>
      <c r="O51" s="247"/>
      <c r="P51" s="226"/>
      <c r="Q51" s="226"/>
      <c r="U51" s="220" t="s">
        <v>1020</v>
      </c>
      <c r="V51" s="220" t="s">
        <v>1020</v>
      </c>
      <c r="X51" s="255">
        <v>43620</v>
      </c>
      <c r="Y51" s="255">
        <v>43620</v>
      </c>
      <c r="AA51" s="255"/>
      <c r="AB51" s="220" t="s">
        <v>523</v>
      </c>
      <c r="AC51" s="220">
        <v>0</v>
      </c>
      <c r="AD51" s="220">
        <v>0</v>
      </c>
      <c r="AE51" s="220">
        <v>0</v>
      </c>
      <c r="AF51" s="220">
        <v>0</v>
      </c>
      <c r="AG51" s="220">
        <v>0</v>
      </c>
      <c r="AH51" s="220">
        <v>1</v>
      </c>
      <c r="AI51" s="220">
        <v>57125</v>
      </c>
      <c r="AJ51" s="220">
        <v>2180</v>
      </c>
      <c r="AK51" s="220">
        <v>0</v>
      </c>
      <c r="AL51" s="220">
        <v>0</v>
      </c>
      <c r="AO51" s="258"/>
      <c r="AP51" s="258"/>
      <c r="AQ51" s="220" t="str">
        <f t="shared" si="0"/>
        <v/>
      </c>
      <c r="AS51" s="220" t="str">
        <f t="shared" si="1"/>
        <v>wci_corp</v>
      </c>
    </row>
    <row r="52" spans="2:45" hidden="1">
      <c r="B52" s="220" t="s">
        <v>957</v>
      </c>
      <c r="C52" s="255">
        <v>43616</v>
      </c>
      <c r="D52" s="256">
        <v>8</v>
      </c>
      <c r="E52" s="256">
        <v>0</v>
      </c>
      <c r="F52" s="257" t="s">
        <v>413</v>
      </c>
      <c r="G52" s="220" t="s">
        <v>1022</v>
      </c>
      <c r="H52" s="258" t="s">
        <v>520</v>
      </c>
      <c r="I52" s="220" t="s">
        <v>1023</v>
      </c>
      <c r="J52" s="220" t="s">
        <v>543</v>
      </c>
      <c r="K52" s="220" t="s">
        <v>522</v>
      </c>
      <c r="L52" s="226"/>
      <c r="M52" s="226"/>
      <c r="N52" s="226" t="s">
        <v>1024</v>
      </c>
      <c r="O52" s="247"/>
      <c r="P52" s="226"/>
      <c r="Q52" s="226"/>
      <c r="U52" s="220" t="s">
        <v>1025</v>
      </c>
      <c r="V52" s="220" t="s">
        <v>1025</v>
      </c>
      <c r="X52" s="255">
        <v>43621</v>
      </c>
      <c r="Y52" s="255">
        <v>43621</v>
      </c>
      <c r="AA52" s="255"/>
      <c r="AB52" s="220" t="s">
        <v>523</v>
      </c>
      <c r="AC52" s="220">
        <v>0</v>
      </c>
      <c r="AD52" s="220">
        <v>0</v>
      </c>
      <c r="AE52" s="220">
        <v>0</v>
      </c>
      <c r="AF52" s="220">
        <v>0</v>
      </c>
      <c r="AG52" s="220">
        <v>0</v>
      </c>
      <c r="AH52" s="220">
        <v>1</v>
      </c>
      <c r="AI52" s="220">
        <v>57125</v>
      </c>
      <c r="AJ52" s="220">
        <v>2180</v>
      </c>
      <c r="AK52" s="220">
        <v>0</v>
      </c>
      <c r="AL52" s="220">
        <v>0</v>
      </c>
      <c r="AO52" s="258"/>
      <c r="AP52" s="258"/>
      <c r="AQ52" s="220" t="str">
        <f t="shared" si="0"/>
        <v/>
      </c>
      <c r="AS52" s="220" t="str">
        <f t="shared" si="1"/>
        <v>wci_corp</v>
      </c>
    </row>
    <row r="53" spans="2:45" hidden="1">
      <c r="B53" s="220" t="s">
        <v>957</v>
      </c>
      <c r="C53" s="255">
        <v>43616</v>
      </c>
      <c r="D53" s="256">
        <v>36.25</v>
      </c>
      <c r="E53" s="256">
        <v>0</v>
      </c>
      <c r="F53" s="257" t="s">
        <v>413</v>
      </c>
      <c r="G53" s="220" t="s">
        <v>1022</v>
      </c>
      <c r="H53" s="258" t="s">
        <v>520</v>
      </c>
      <c r="I53" s="220" t="s">
        <v>1023</v>
      </c>
      <c r="J53" s="220" t="s">
        <v>543</v>
      </c>
      <c r="K53" s="220" t="s">
        <v>522</v>
      </c>
      <c r="L53" s="226"/>
      <c r="M53" s="226"/>
      <c r="N53" s="226" t="s">
        <v>1024</v>
      </c>
      <c r="O53" s="247"/>
      <c r="P53" s="226"/>
      <c r="Q53" s="226"/>
      <c r="U53" s="220" t="s">
        <v>1025</v>
      </c>
      <c r="V53" s="220" t="s">
        <v>1025</v>
      </c>
      <c r="X53" s="255">
        <v>43621</v>
      </c>
      <c r="Y53" s="255">
        <v>43621</v>
      </c>
      <c r="AA53" s="255"/>
      <c r="AB53" s="220" t="s">
        <v>523</v>
      </c>
      <c r="AC53" s="220">
        <v>0</v>
      </c>
      <c r="AD53" s="220">
        <v>0</v>
      </c>
      <c r="AE53" s="220">
        <v>0</v>
      </c>
      <c r="AF53" s="220">
        <v>0</v>
      </c>
      <c r="AG53" s="220">
        <v>0</v>
      </c>
      <c r="AH53" s="220">
        <v>1</v>
      </c>
      <c r="AI53" s="220">
        <v>57125</v>
      </c>
      <c r="AJ53" s="220">
        <v>2180</v>
      </c>
      <c r="AK53" s="220">
        <v>0</v>
      </c>
      <c r="AL53" s="220">
        <v>0</v>
      </c>
      <c r="AO53" s="258"/>
      <c r="AP53" s="258"/>
      <c r="AQ53" s="220" t="str">
        <f t="shared" si="0"/>
        <v/>
      </c>
      <c r="AS53" s="220" t="str">
        <f t="shared" si="1"/>
        <v>wci_corp</v>
      </c>
    </row>
    <row r="54" spans="2:45" hidden="1">
      <c r="B54" s="220" t="s">
        <v>957</v>
      </c>
      <c r="C54" s="255">
        <v>43616</v>
      </c>
      <c r="D54" s="256">
        <v>21.87</v>
      </c>
      <c r="E54" s="256">
        <v>0</v>
      </c>
      <c r="F54" s="257" t="s">
        <v>413</v>
      </c>
      <c r="G54" s="220" t="s">
        <v>1026</v>
      </c>
      <c r="H54" s="258" t="s">
        <v>520</v>
      </c>
      <c r="I54" s="220" t="s">
        <v>1027</v>
      </c>
      <c r="J54" s="220" t="s">
        <v>521</v>
      </c>
      <c r="K54" s="220" t="s">
        <v>522</v>
      </c>
      <c r="L54" s="226"/>
      <c r="M54" s="226"/>
      <c r="N54" s="226" t="s">
        <v>1028</v>
      </c>
      <c r="O54" s="247"/>
      <c r="P54" s="226"/>
      <c r="Q54" s="226"/>
      <c r="U54" s="220" t="s">
        <v>1029</v>
      </c>
      <c r="V54" s="220" t="s">
        <v>1029</v>
      </c>
      <c r="X54" s="255">
        <v>43623</v>
      </c>
      <c r="Y54" s="255">
        <v>43623</v>
      </c>
      <c r="AA54" s="255"/>
      <c r="AB54" s="220" t="s">
        <v>523</v>
      </c>
      <c r="AC54" s="220">
        <v>0</v>
      </c>
      <c r="AD54" s="220">
        <v>0</v>
      </c>
      <c r="AE54" s="220">
        <v>0</v>
      </c>
      <c r="AF54" s="220">
        <v>0</v>
      </c>
      <c r="AG54" s="220">
        <v>0</v>
      </c>
      <c r="AH54" s="220">
        <v>1</v>
      </c>
      <c r="AI54" s="220">
        <v>57125</v>
      </c>
      <c r="AJ54" s="220">
        <v>2180</v>
      </c>
      <c r="AK54" s="220">
        <v>0</v>
      </c>
      <c r="AL54" s="220">
        <v>0</v>
      </c>
      <c r="AO54" s="258"/>
      <c r="AP54" s="258"/>
      <c r="AQ54" s="220" t="str">
        <f t="shared" si="0"/>
        <v/>
      </c>
      <c r="AS54" s="220" t="str">
        <f t="shared" si="1"/>
        <v>wci_corp</v>
      </c>
    </row>
    <row r="55" spans="2:45" hidden="1">
      <c r="B55" s="220" t="s">
        <v>957</v>
      </c>
      <c r="C55" s="255">
        <v>43646</v>
      </c>
      <c r="D55" s="256">
        <v>-21.87</v>
      </c>
      <c r="E55" s="256">
        <v>0</v>
      </c>
      <c r="F55" s="257" t="s">
        <v>413</v>
      </c>
      <c r="G55" s="220" t="s">
        <v>1030</v>
      </c>
      <c r="H55" s="258" t="s">
        <v>520</v>
      </c>
      <c r="I55" s="220" t="s">
        <v>1027</v>
      </c>
      <c r="J55" s="220" t="s">
        <v>543</v>
      </c>
      <c r="K55" s="220" t="s">
        <v>522</v>
      </c>
      <c r="L55" s="226"/>
      <c r="M55" s="226"/>
      <c r="N55" s="226" t="s">
        <v>1028</v>
      </c>
      <c r="O55" s="247"/>
      <c r="P55" s="226"/>
      <c r="Q55" s="226"/>
      <c r="U55" s="220" t="s">
        <v>1029</v>
      </c>
      <c r="V55" s="220" t="s">
        <v>1031</v>
      </c>
      <c r="X55" s="255">
        <v>43623</v>
      </c>
      <c r="Y55" s="255">
        <v>43623</v>
      </c>
      <c r="AA55" s="255"/>
      <c r="AB55" s="220" t="s">
        <v>523</v>
      </c>
      <c r="AC55" s="220">
        <v>0</v>
      </c>
      <c r="AD55" s="220">
        <v>0</v>
      </c>
      <c r="AE55" s="220">
        <v>0</v>
      </c>
      <c r="AF55" s="220">
        <v>0</v>
      </c>
      <c r="AG55" s="220">
        <v>5</v>
      </c>
      <c r="AH55" s="220">
        <v>1</v>
      </c>
      <c r="AI55" s="220">
        <v>57125</v>
      </c>
      <c r="AJ55" s="220">
        <v>2180</v>
      </c>
      <c r="AK55" s="220">
        <v>0</v>
      </c>
      <c r="AL55" s="220">
        <v>0</v>
      </c>
      <c r="AO55" s="258"/>
      <c r="AP55" s="258"/>
      <c r="AQ55" s="220" t="str">
        <f t="shared" si="0"/>
        <v/>
      </c>
      <c r="AS55" s="220" t="str">
        <f t="shared" si="1"/>
        <v>wci_corp</v>
      </c>
    </row>
    <row r="56" spans="2:45" hidden="1">
      <c r="B56" s="220" t="s">
        <v>957</v>
      </c>
      <c r="C56" s="255">
        <v>43646</v>
      </c>
      <c r="D56" s="256">
        <v>21.87</v>
      </c>
      <c r="E56" s="256">
        <v>0</v>
      </c>
      <c r="F56" s="257" t="s">
        <v>413</v>
      </c>
      <c r="G56" s="220" t="s">
        <v>1032</v>
      </c>
      <c r="H56" s="258" t="s">
        <v>520</v>
      </c>
      <c r="I56" s="220" t="s">
        <v>1033</v>
      </c>
      <c r="J56" s="220" t="s">
        <v>689</v>
      </c>
      <c r="K56" s="220" t="s">
        <v>522</v>
      </c>
      <c r="L56" s="226"/>
      <c r="M56" s="226"/>
      <c r="N56" s="226" t="s">
        <v>1034</v>
      </c>
      <c r="O56" s="247"/>
      <c r="P56" s="226"/>
      <c r="Q56" s="226"/>
      <c r="U56" s="220" t="s">
        <v>1035</v>
      </c>
      <c r="V56" s="220" t="s">
        <v>1035</v>
      </c>
      <c r="X56" s="255">
        <v>43649</v>
      </c>
      <c r="Y56" s="255">
        <v>43649</v>
      </c>
      <c r="AA56" s="255"/>
      <c r="AB56" s="220" t="s">
        <v>523</v>
      </c>
      <c r="AC56" s="220">
        <v>0</v>
      </c>
      <c r="AD56" s="220">
        <v>0</v>
      </c>
      <c r="AE56" s="220">
        <v>0</v>
      </c>
      <c r="AF56" s="220">
        <v>0</v>
      </c>
      <c r="AG56" s="220">
        <v>0</v>
      </c>
      <c r="AH56" s="220">
        <v>1</v>
      </c>
      <c r="AI56" s="220">
        <v>57125</v>
      </c>
      <c r="AJ56" s="220">
        <v>2180</v>
      </c>
      <c r="AK56" s="220">
        <v>0</v>
      </c>
      <c r="AL56" s="220">
        <v>0</v>
      </c>
      <c r="AO56" s="258"/>
      <c r="AP56" s="258"/>
      <c r="AQ56" s="220" t="str">
        <f t="shared" si="0"/>
        <v/>
      </c>
      <c r="AS56" s="220" t="str">
        <f t="shared" si="1"/>
        <v>wci_corp</v>
      </c>
    </row>
    <row r="57" spans="2:45" hidden="1">
      <c r="B57" s="220" t="s">
        <v>957</v>
      </c>
      <c r="C57" s="255">
        <v>43677</v>
      </c>
      <c r="D57" s="256">
        <v>1043.01</v>
      </c>
      <c r="E57" s="256">
        <v>0</v>
      </c>
      <c r="F57" s="257" t="s">
        <v>413</v>
      </c>
      <c r="G57" s="220" t="s">
        <v>1036</v>
      </c>
      <c r="H57" s="258" t="s">
        <v>520</v>
      </c>
      <c r="I57" s="220" t="s">
        <v>680</v>
      </c>
      <c r="J57" s="220" t="s">
        <v>1037</v>
      </c>
      <c r="K57" s="220" t="s">
        <v>522</v>
      </c>
      <c r="L57" s="226" t="s">
        <v>971</v>
      </c>
      <c r="M57" s="226"/>
      <c r="N57" s="226" t="s">
        <v>972</v>
      </c>
      <c r="O57" s="247">
        <v>43669</v>
      </c>
      <c r="P57" s="226" t="s">
        <v>1038</v>
      </c>
      <c r="Q57" s="226">
        <v>21028</v>
      </c>
      <c r="R57" s="220" t="s">
        <v>1039</v>
      </c>
      <c r="U57" s="220" t="s">
        <v>1040</v>
      </c>
      <c r="V57" s="220" t="s">
        <v>1041</v>
      </c>
      <c r="W57" s="220">
        <v>2180</v>
      </c>
      <c r="X57" s="255">
        <v>43677</v>
      </c>
      <c r="Y57" s="255">
        <v>43677</v>
      </c>
      <c r="Z57" s="220">
        <v>1043.01</v>
      </c>
      <c r="AA57" s="255">
        <v>43679</v>
      </c>
      <c r="AB57" s="220" t="s">
        <v>523</v>
      </c>
      <c r="AC57" s="220">
        <v>0</v>
      </c>
      <c r="AD57" s="220">
        <v>0</v>
      </c>
      <c r="AE57" s="220">
        <v>0</v>
      </c>
      <c r="AF57" s="220">
        <v>0</v>
      </c>
      <c r="AG57" s="220">
        <v>0</v>
      </c>
      <c r="AH57" s="220">
        <v>1</v>
      </c>
      <c r="AI57" s="220">
        <v>57125</v>
      </c>
      <c r="AJ57" s="220">
        <v>2180</v>
      </c>
      <c r="AK57" s="220">
        <v>0</v>
      </c>
      <c r="AL57" s="220">
        <v>0</v>
      </c>
      <c r="AO57" s="258"/>
      <c r="AP57" s="258"/>
      <c r="AQ57" s="220" t="str">
        <f t="shared" si="0"/>
        <v>VO05100204</v>
      </c>
      <c r="AS57" s="220" t="str">
        <f t="shared" si="1"/>
        <v>wci_corp</v>
      </c>
    </row>
    <row r="58" spans="2:45">
      <c r="B58" s="220" t="s">
        <v>957</v>
      </c>
      <c r="C58" s="255">
        <v>43677</v>
      </c>
      <c r="D58" s="256">
        <v>3117.6</v>
      </c>
      <c r="E58" s="256">
        <v>0</v>
      </c>
      <c r="F58" s="257" t="s">
        <v>413</v>
      </c>
      <c r="G58" s="220" t="s">
        <v>1042</v>
      </c>
      <c r="H58" s="258" t="s">
        <v>520</v>
      </c>
      <c r="I58" s="220" t="s">
        <v>1043</v>
      </c>
      <c r="J58" s="220" t="s">
        <v>543</v>
      </c>
      <c r="K58" s="220" t="s">
        <v>522</v>
      </c>
      <c r="L58" s="226"/>
      <c r="M58" s="226"/>
      <c r="N58" s="226" t="s">
        <v>991</v>
      </c>
      <c r="O58" s="247"/>
      <c r="P58" s="226"/>
      <c r="Q58" s="226"/>
      <c r="U58" s="220" t="s">
        <v>1044</v>
      </c>
      <c r="V58" s="220" t="s">
        <v>1044</v>
      </c>
      <c r="X58" s="255">
        <v>43679</v>
      </c>
      <c r="Y58" s="255">
        <v>43679</v>
      </c>
      <c r="AA58" s="255"/>
      <c r="AB58" s="220" t="s">
        <v>523</v>
      </c>
      <c r="AC58" s="220">
        <v>0</v>
      </c>
      <c r="AD58" s="220">
        <v>0</v>
      </c>
      <c r="AE58" s="220">
        <v>0</v>
      </c>
      <c r="AF58" s="220">
        <v>0</v>
      </c>
      <c r="AG58" s="220">
        <v>0</v>
      </c>
      <c r="AH58" s="220">
        <v>1</v>
      </c>
      <c r="AI58" s="220">
        <v>57125</v>
      </c>
      <c r="AJ58" s="220">
        <v>2180</v>
      </c>
      <c r="AK58" s="220">
        <v>0</v>
      </c>
      <c r="AL58" s="220">
        <v>0</v>
      </c>
      <c r="AO58" s="258"/>
      <c r="AP58" s="258"/>
      <c r="AQ58" s="220" t="str">
        <f t="shared" si="0"/>
        <v/>
      </c>
      <c r="AS58" s="220" t="str">
        <f t="shared" si="1"/>
        <v>wci_corp</v>
      </c>
    </row>
    <row r="59" spans="2:45" hidden="1">
      <c r="B59" s="220" t="s">
        <v>957</v>
      </c>
      <c r="C59" s="255">
        <v>43738</v>
      </c>
      <c r="D59" s="256">
        <v>158.04</v>
      </c>
      <c r="E59" s="256">
        <v>0</v>
      </c>
      <c r="F59" s="257" t="s">
        <v>413</v>
      </c>
      <c r="G59" s="220" t="s">
        <v>1045</v>
      </c>
      <c r="H59" s="258" t="s">
        <v>520</v>
      </c>
      <c r="I59" s="220" t="s">
        <v>1046</v>
      </c>
      <c r="J59" s="220" t="s">
        <v>543</v>
      </c>
      <c r="K59" s="220" t="s">
        <v>522</v>
      </c>
      <c r="L59" s="226"/>
      <c r="M59" s="226"/>
      <c r="N59" s="226" t="s">
        <v>969</v>
      </c>
      <c r="O59" s="247"/>
      <c r="P59" s="226"/>
      <c r="Q59" s="226"/>
      <c r="U59" s="220" t="s">
        <v>1047</v>
      </c>
      <c r="V59" s="220" t="s">
        <v>1047</v>
      </c>
      <c r="X59" s="255">
        <v>43740</v>
      </c>
      <c r="Y59" s="255">
        <v>43740</v>
      </c>
      <c r="AA59" s="255"/>
      <c r="AB59" s="220" t="s">
        <v>523</v>
      </c>
      <c r="AC59" s="220">
        <v>0</v>
      </c>
      <c r="AD59" s="220">
        <v>0</v>
      </c>
      <c r="AE59" s="220">
        <v>0</v>
      </c>
      <c r="AF59" s="220">
        <v>0</v>
      </c>
      <c r="AG59" s="220">
        <v>0</v>
      </c>
      <c r="AH59" s="220">
        <v>1</v>
      </c>
      <c r="AI59" s="220">
        <v>57125</v>
      </c>
      <c r="AJ59" s="220">
        <v>2180</v>
      </c>
      <c r="AK59" s="220">
        <v>0</v>
      </c>
      <c r="AL59" s="220">
        <v>0</v>
      </c>
      <c r="AO59" s="258"/>
      <c r="AP59" s="258"/>
      <c r="AQ59" s="220" t="str">
        <f t="shared" si="0"/>
        <v/>
      </c>
      <c r="AS59" s="220" t="str">
        <f t="shared" si="1"/>
        <v>wci_corp</v>
      </c>
    </row>
    <row r="60" spans="2:45" hidden="1">
      <c r="B60" s="220" t="s">
        <v>957</v>
      </c>
      <c r="C60" s="255">
        <v>43738</v>
      </c>
      <c r="D60" s="256">
        <v>215.25</v>
      </c>
      <c r="E60" s="256">
        <v>0</v>
      </c>
      <c r="F60" s="257" t="s">
        <v>413</v>
      </c>
      <c r="G60" s="220" t="s">
        <v>1045</v>
      </c>
      <c r="H60" s="258" t="s">
        <v>520</v>
      </c>
      <c r="I60" s="220" t="s">
        <v>1046</v>
      </c>
      <c r="J60" s="220" t="s">
        <v>543</v>
      </c>
      <c r="K60" s="220" t="s">
        <v>522</v>
      </c>
      <c r="L60" s="226"/>
      <c r="M60" s="226"/>
      <c r="N60" s="226" t="s">
        <v>969</v>
      </c>
      <c r="O60" s="247"/>
      <c r="P60" s="226"/>
      <c r="Q60" s="226"/>
      <c r="U60" s="220" t="s">
        <v>1047</v>
      </c>
      <c r="V60" s="220" t="s">
        <v>1047</v>
      </c>
      <c r="X60" s="255">
        <v>43740</v>
      </c>
      <c r="Y60" s="255">
        <v>43740</v>
      </c>
      <c r="AA60" s="255"/>
      <c r="AB60" s="220" t="s">
        <v>523</v>
      </c>
      <c r="AC60" s="220">
        <v>0</v>
      </c>
      <c r="AD60" s="220">
        <v>0</v>
      </c>
      <c r="AE60" s="220">
        <v>0</v>
      </c>
      <c r="AF60" s="220">
        <v>0</v>
      </c>
      <c r="AG60" s="220">
        <v>0</v>
      </c>
      <c r="AH60" s="220">
        <v>1</v>
      </c>
      <c r="AI60" s="220">
        <v>57125</v>
      </c>
      <c r="AJ60" s="220">
        <v>2180</v>
      </c>
      <c r="AK60" s="220">
        <v>0</v>
      </c>
      <c r="AL60" s="220">
        <v>0</v>
      </c>
      <c r="AO60" s="258"/>
      <c r="AP60" s="258"/>
      <c r="AQ60" s="220" t="str">
        <f t="shared" si="0"/>
        <v/>
      </c>
      <c r="AS60" s="220" t="str">
        <f t="shared" si="1"/>
        <v>wci_corp</v>
      </c>
    </row>
    <row r="61" spans="2:45" hidden="1">
      <c r="B61" s="220" t="s">
        <v>957</v>
      </c>
      <c r="C61" s="255">
        <v>43738</v>
      </c>
      <c r="D61" s="256">
        <v>740.2</v>
      </c>
      <c r="E61" s="256">
        <v>0</v>
      </c>
      <c r="F61" s="257" t="s">
        <v>413</v>
      </c>
      <c r="G61" s="220" t="s">
        <v>1045</v>
      </c>
      <c r="H61" s="258" t="s">
        <v>520</v>
      </c>
      <c r="I61" s="220" t="s">
        <v>1046</v>
      </c>
      <c r="J61" s="220" t="s">
        <v>543</v>
      </c>
      <c r="K61" s="220" t="s">
        <v>522</v>
      </c>
      <c r="L61" s="226"/>
      <c r="M61" s="226"/>
      <c r="N61" s="226" t="s">
        <v>969</v>
      </c>
      <c r="O61" s="247"/>
      <c r="P61" s="226"/>
      <c r="Q61" s="226"/>
      <c r="U61" s="220" t="s">
        <v>1047</v>
      </c>
      <c r="V61" s="220" t="s">
        <v>1047</v>
      </c>
      <c r="X61" s="255">
        <v>43740</v>
      </c>
      <c r="Y61" s="255">
        <v>43740</v>
      </c>
      <c r="AA61" s="255"/>
      <c r="AB61" s="220" t="s">
        <v>523</v>
      </c>
      <c r="AC61" s="220">
        <v>0</v>
      </c>
      <c r="AD61" s="220">
        <v>0</v>
      </c>
      <c r="AE61" s="220">
        <v>0</v>
      </c>
      <c r="AF61" s="220">
        <v>0</v>
      </c>
      <c r="AG61" s="220">
        <v>0</v>
      </c>
      <c r="AH61" s="220">
        <v>1</v>
      </c>
      <c r="AI61" s="220">
        <v>57125</v>
      </c>
      <c r="AJ61" s="220">
        <v>2180</v>
      </c>
      <c r="AK61" s="220">
        <v>0</v>
      </c>
      <c r="AL61" s="220">
        <v>0</v>
      </c>
      <c r="AO61" s="258"/>
      <c r="AP61" s="258"/>
      <c r="AQ61" s="220" t="str">
        <f t="shared" si="0"/>
        <v/>
      </c>
      <c r="AS61" s="220" t="str">
        <f t="shared" si="1"/>
        <v>wci_corp</v>
      </c>
    </row>
    <row r="62" spans="2:45" hidden="1">
      <c r="B62" s="220" t="s">
        <v>957</v>
      </c>
      <c r="C62" s="255">
        <v>43738</v>
      </c>
      <c r="D62" s="256">
        <v>116.21</v>
      </c>
      <c r="E62" s="256">
        <v>0</v>
      </c>
      <c r="F62" s="257" t="s">
        <v>413</v>
      </c>
      <c r="G62" s="220" t="s">
        <v>1045</v>
      </c>
      <c r="H62" s="258" t="s">
        <v>520</v>
      </c>
      <c r="I62" s="220" t="s">
        <v>1046</v>
      </c>
      <c r="J62" s="220" t="s">
        <v>543</v>
      </c>
      <c r="K62" s="220" t="s">
        <v>522</v>
      </c>
      <c r="L62" s="226"/>
      <c r="M62" s="226"/>
      <c r="N62" s="226" t="s">
        <v>969</v>
      </c>
      <c r="O62" s="247"/>
      <c r="P62" s="226"/>
      <c r="Q62" s="226"/>
      <c r="U62" s="220" t="s">
        <v>1047</v>
      </c>
      <c r="V62" s="220" t="s">
        <v>1047</v>
      </c>
      <c r="X62" s="255">
        <v>43740</v>
      </c>
      <c r="Y62" s="255">
        <v>43740</v>
      </c>
      <c r="AA62" s="255"/>
      <c r="AB62" s="220" t="s">
        <v>523</v>
      </c>
      <c r="AC62" s="220">
        <v>0</v>
      </c>
      <c r="AD62" s="220">
        <v>0</v>
      </c>
      <c r="AE62" s="220">
        <v>0</v>
      </c>
      <c r="AF62" s="220">
        <v>0</v>
      </c>
      <c r="AG62" s="220">
        <v>0</v>
      </c>
      <c r="AH62" s="220">
        <v>1</v>
      </c>
      <c r="AI62" s="220">
        <v>57125</v>
      </c>
      <c r="AJ62" s="220">
        <v>2180</v>
      </c>
      <c r="AK62" s="220">
        <v>0</v>
      </c>
      <c r="AL62" s="220">
        <v>0</v>
      </c>
      <c r="AO62" s="258"/>
      <c r="AP62" s="258"/>
      <c r="AQ62" s="220" t="str">
        <f t="shared" si="0"/>
        <v/>
      </c>
      <c r="AS62" s="220" t="str">
        <f t="shared" si="1"/>
        <v>wci_corp</v>
      </c>
    </row>
    <row r="63" spans="2:45" hidden="1">
      <c r="B63" s="220" t="s">
        <v>957</v>
      </c>
      <c r="C63" s="255">
        <v>43738</v>
      </c>
      <c r="D63" s="256">
        <v>96.48</v>
      </c>
      <c r="E63" s="256">
        <v>0</v>
      </c>
      <c r="F63" s="257" t="s">
        <v>413</v>
      </c>
      <c r="G63" s="220" t="s">
        <v>1048</v>
      </c>
      <c r="H63" s="258" t="s">
        <v>520</v>
      </c>
      <c r="I63" s="220" t="s">
        <v>1049</v>
      </c>
      <c r="J63" s="220" t="s">
        <v>689</v>
      </c>
      <c r="K63" s="220" t="s">
        <v>522</v>
      </c>
      <c r="L63" s="226"/>
      <c r="M63" s="226"/>
      <c r="N63" s="226" t="s">
        <v>1050</v>
      </c>
      <c r="O63" s="247"/>
      <c r="P63" s="226"/>
      <c r="Q63" s="226"/>
      <c r="U63" s="220" t="s">
        <v>1051</v>
      </c>
      <c r="V63" s="220" t="s">
        <v>1051</v>
      </c>
      <c r="X63" s="255">
        <v>43742</v>
      </c>
      <c r="Y63" s="255">
        <v>43745</v>
      </c>
      <c r="AA63" s="255"/>
      <c r="AB63" s="220" t="s">
        <v>523</v>
      </c>
      <c r="AC63" s="220">
        <v>0</v>
      </c>
      <c r="AD63" s="220">
        <v>0</v>
      </c>
      <c r="AE63" s="220">
        <v>0</v>
      </c>
      <c r="AF63" s="220">
        <v>0</v>
      </c>
      <c r="AG63" s="220">
        <v>0</v>
      </c>
      <c r="AH63" s="220">
        <v>1</v>
      </c>
      <c r="AI63" s="220">
        <v>57125</v>
      </c>
      <c r="AJ63" s="220">
        <v>2180</v>
      </c>
      <c r="AK63" s="220">
        <v>0</v>
      </c>
      <c r="AL63" s="220">
        <v>0</v>
      </c>
      <c r="AO63" s="258"/>
      <c r="AP63" s="258"/>
      <c r="AQ63" s="220" t="str">
        <f t="shared" si="0"/>
        <v/>
      </c>
      <c r="AS63" s="220" t="str">
        <f t="shared" si="1"/>
        <v>wci_corp</v>
      </c>
    </row>
    <row r="64" spans="2:45" hidden="1">
      <c r="B64" s="220" t="s">
        <v>957</v>
      </c>
      <c r="C64" s="255">
        <v>43754</v>
      </c>
      <c r="D64" s="256">
        <v>1281.9000000000001</v>
      </c>
      <c r="E64" s="256">
        <v>0</v>
      </c>
      <c r="F64" s="257" t="s">
        <v>413</v>
      </c>
      <c r="G64" s="220" t="s">
        <v>1052</v>
      </c>
      <c r="H64" s="258" t="s">
        <v>520</v>
      </c>
      <c r="I64" s="220" t="s">
        <v>680</v>
      </c>
      <c r="J64" s="220" t="s">
        <v>1011</v>
      </c>
      <c r="K64" s="220" t="s">
        <v>522</v>
      </c>
      <c r="L64" s="226" t="s">
        <v>971</v>
      </c>
      <c r="M64" s="226"/>
      <c r="N64" s="226" t="s">
        <v>972</v>
      </c>
      <c r="O64" s="247">
        <v>43745</v>
      </c>
      <c r="P64" s="226" t="s">
        <v>1038</v>
      </c>
      <c r="Q64" s="226">
        <v>21236</v>
      </c>
      <c r="R64" s="220" t="s">
        <v>1053</v>
      </c>
      <c r="U64" s="220" t="s">
        <v>1054</v>
      </c>
      <c r="V64" s="220" t="s">
        <v>1055</v>
      </c>
      <c r="W64" s="220">
        <v>2180</v>
      </c>
      <c r="X64" s="255">
        <v>43754</v>
      </c>
      <c r="Y64" s="255">
        <v>43756</v>
      </c>
      <c r="Z64" s="220">
        <v>1281.9000000000001</v>
      </c>
      <c r="AA64" s="255">
        <v>43775</v>
      </c>
      <c r="AB64" s="220" t="s">
        <v>523</v>
      </c>
      <c r="AC64" s="220">
        <v>0</v>
      </c>
      <c r="AD64" s="220">
        <v>0</v>
      </c>
      <c r="AE64" s="220">
        <v>0</v>
      </c>
      <c r="AF64" s="220">
        <v>0</v>
      </c>
      <c r="AG64" s="220">
        <v>0</v>
      </c>
      <c r="AH64" s="220">
        <v>1</v>
      </c>
      <c r="AI64" s="220">
        <v>57125</v>
      </c>
      <c r="AJ64" s="220">
        <v>2180</v>
      </c>
      <c r="AK64" s="220">
        <v>0</v>
      </c>
      <c r="AL64" s="220">
        <v>0</v>
      </c>
      <c r="AO64" s="258"/>
      <c r="AP64" s="258"/>
      <c r="AQ64" s="220" t="str">
        <f t="shared" si="0"/>
        <v>VO05183503</v>
      </c>
      <c r="AS64" s="220" t="str">
        <f t="shared" si="1"/>
        <v>wci_corp</v>
      </c>
    </row>
    <row r="65" spans="2:45" hidden="1">
      <c r="B65" s="220" t="s">
        <v>957</v>
      </c>
      <c r="C65" s="255">
        <v>43769</v>
      </c>
      <c r="D65" s="256">
        <v>-96.48</v>
      </c>
      <c r="E65" s="256">
        <v>0</v>
      </c>
      <c r="F65" s="257" t="s">
        <v>413</v>
      </c>
      <c r="G65" s="220" t="s">
        <v>1056</v>
      </c>
      <c r="H65" s="258" t="s">
        <v>520</v>
      </c>
      <c r="I65" s="220" t="s">
        <v>1049</v>
      </c>
      <c r="J65" s="220" t="s">
        <v>543</v>
      </c>
      <c r="K65" s="220" t="s">
        <v>522</v>
      </c>
      <c r="L65" s="226"/>
      <c r="M65" s="226"/>
      <c r="N65" s="226" t="s">
        <v>1050</v>
      </c>
      <c r="O65" s="247"/>
      <c r="P65" s="226"/>
      <c r="Q65" s="226"/>
      <c r="U65" s="220" t="s">
        <v>1051</v>
      </c>
      <c r="V65" s="220" t="s">
        <v>1057</v>
      </c>
      <c r="X65" s="255">
        <v>43744</v>
      </c>
      <c r="Y65" s="255">
        <v>43745</v>
      </c>
      <c r="AA65" s="255"/>
      <c r="AB65" s="220" t="s">
        <v>523</v>
      </c>
      <c r="AC65" s="220">
        <v>0</v>
      </c>
      <c r="AD65" s="220">
        <v>0</v>
      </c>
      <c r="AE65" s="220">
        <v>0</v>
      </c>
      <c r="AF65" s="220">
        <v>0</v>
      </c>
      <c r="AG65" s="220">
        <v>5</v>
      </c>
      <c r="AH65" s="220">
        <v>1</v>
      </c>
      <c r="AI65" s="220">
        <v>57125</v>
      </c>
      <c r="AJ65" s="220">
        <v>2180</v>
      </c>
      <c r="AK65" s="220">
        <v>0</v>
      </c>
      <c r="AL65" s="220">
        <v>0</v>
      </c>
      <c r="AO65" s="258"/>
      <c r="AP65" s="258"/>
      <c r="AQ65" s="220" t="str">
        <f t="shared" si="0"/>
        <v/>
      </c>
      <c r="AS65" s="220" t="str">
        <f t="shared" si="1"/>
        <v>wci_corp</v>
      </c>
    </row>
    <row r="66" spans="2:45" hidden="1">
      <c r="B66" s="220" t="s">
        <v>957</v>
      </c>
      <c r="C66" s="255">
        <v>43769</v>
      </c>
      <c r="D66" s="256">
        <v>96.48</v>
      </c>
      <c r="E66" s="256">
        <v>0</v>
      </c>
      <c r="F66" s="257" t="s">
        <v>413</v>
      </c>
      <c r="G66" s="220" t="s">
        <v>1058</v>
      </c>
      <c r="H66" s="258" t="s">
        <v>520</v>
      </c>
      <c r="I66" s="220" t="s">
        <v>1059</v>
      </c>
      <c r="J66" s="220" t="s">
        <v>543</v>
      </c>
      <c r="K66" s="220" t="s">
        <v>522</v>
      </c>
      <c r="L66" s="226"/>
      <c r="M66" s="226"/>
      <c r="N66" s="226" t="s">
        <v>1060</v>
      </c>
      <c r="O66" s="247"/>
      <c r="P66" s="226"/>
      <c r="Q66" s="226"/>
      <c r="U66" s="220" t="s">
        <v>1061</v>
      </c>
      <c r="V66" s="220" t="s">
        <v>1061</v>
      </c>
      <c r="X66" s="255">
        <v>43773</v>
      </c>
      <c r="Y66" s="255">
        <v>43774</v>
      </c>
      <c r="AA66" s="255"/>
      <c r="AB66" s="220" t="s">
        <v>523</v>
      </c>
      <c r="AC66" s="220">
        <v>0</v>
      </c>
      <c r="AD66" s="220">
        <v>0</v>
      </c>
      <c r="AE66" s="220">
        <v>0</v>
      </c>
      <c r="AF66" s="220">
        <v>0</v>
      </c>
      <c r="AG66" s="220">
        <v>0</v>
      </c>
      <c r="AH66" s="220">
        <v>1</v>
      </c>
      <c r="AI66" s="220">
        <v>57125</v>
      </c>
      <c r="AJ66" s="220">
        <v>2180</v>
      </c>
      <c r="AK66" s="220">
        <v>0</v>
      </c>
      <c r="AL66" s="220">
        <v>0</v>
      </c>
      <c r="AO66" s="258"/>
      <c r="AP66" s="258"/>
      <c r="AQ66" s="220" t="str">
        <f t="shared" si="0"/>
        <v/>
      </c>
      <c r="AS66" s="220" t="str">
        <f t="shared" si="1"/>
        <v>wci_corp</v>
      </c>
    </row>
    <row r="67" spans="2:45">
      <c r="B67" s="220" t="s">
        <v>957</v>
      </c>
      <c r="C67" s="255">
        <v>43769</v>
      </c>
      <c r="D67" s="256">
        <v>3117.88</v>
      </c>
      <c r="E67" s="256">
        <v>0</v>
      </c>
      <c r="F67" s="257" t="s">
        <v>413</v>
      </c>
      <c r="G67" s="220" t="s">
        <v>1058</v>
      </c>
      <c r="H67" s="258" t="s">
        <v>520</v>
      </c>
      <c r="I67" s="220" t="s">
        <v>1059</v>
      </c>
      <c r="J67" s="220" t="s">
        <v>543</v>
      </c>
      <c r="K67" s="220" t="s">
        <v>522</v>
      </c>
      <c r="L67" s="226"/>
      <c r="M67" s="226"/>
      <c r="N67" s="226" t="s">
        <v>991</v>
      </c>
      <c r="O67" s="247"/>
      <c r="P67" s="226"/>
      <c r="Q67" s="226"/>
      <c r="U67" s="220" t="s">
        <v>1061</v>
      </c>
      <c r="V67" s="220" t="s">
        <v>1061</v>
      </c>
      <c r="X67" s="255">
        <v>43773</v>
      </c>
      <c r="Y67" s="255">
        <v>43774</v>
      </c>
      <c r="AA67" s="255"/>
      <c r="AB67" s="220" t="s">
        <v>523</v>
      </c>
      <c r="AC67" s="220">
        <v>0</v>
      </c>
      <c r="AD67" s="220">
        <v>0</v>
      </c>
      <c r="AE67" s="220">
        <v>0</v>
      </c>
      <c r="AF67" s="220">
        <v>0</v>
      </c>
      <c r="AG67" s="220">
        <v>0</v>
      </c>
      <c r="AH67" s="220">
        <v>1</v>
      </c>
      <c r="AI67" s="220">
        <v>57125</v>
      </c>
      <c r="AJ67" s="220">
        <v>2180</v>
      </c>
      <c r="AK67" s="220">
        <v>0</v>
      </c>
      <c r="AL67" s="220">
        <v>0</v>
      </c>
      <c r="AO67" s="258"/>
      <c r="AP67" s="258"/>
      <c r="AQ67" s="220" t="str">
        <f t="shared" si="0"/>
        <v/>
      </c>
      <c r="AS67" s="220" t="str">
        <f t="shared" si="1"/>
        <v>wci_corp</v>
      </c>
    </row>
    <row r="68" spans="2:45">
      <c r="B68" s="220" t="s">
        <v>957</v>
      </c>
      <c r="C68" s="255">
        <v>43769</v>
      </c>
      <c r="D68" s="256">
        <v>-295.06</v>
      </c>
      <c r="E68" s="256">
        <v>0</v>
      </c>
      <c r="F68" s="257" t="s">
        <v>413</v>
      </c>
      <c r="G68" s="220" t="s">
        <v>1058</v>
      </c>
      <c r="H68" s="258" t="s">
        <v>520</v>
      </c>
      <c r="I68" s="220" t="s">
        <v>1059</v>
      </c>
      <c r="J68" s="220" t="s">
        <v>543</v>
      </c>
      <c r="K68" s="220" t="s">
        <v>522</v>
      </c>
      <c r="L68" s="226"/>
      <c r="M68" s="226"/>
      <c r="N68" s="226" t="s">
        <v>991</v>
      </c>
      <c r="O68" s="247"/>
      <c r="P68" s="226"/>
      <c r="Q68" s="226"/>
      <c r="U68" s="220" t="s">
        <v>1061</v>
      </c>
      <c r="V68" s="220" t="s">
        <v>1061</v>
      </c>
      <c r="X68" s="255">
        <v>43773</v>
      </c>
      <c r="Y68" s="255">
        <v>43774</v>
      </c>
      <c r="AA68" s="255"/>
      <c r="AB68" s="220" t="s">
        <v>523</v>
      </c>
      <c r="AC68" s="220">
        <v>0</v>
      </c>
      <c r="AD68" s="220">
        <v>0</v>
      </c>
      <c r="AE68" s="220">
        <v>0</v>
      </c>
      <c r="AF68" s="220">
        <v>0</v>
      </c>
      <c r="AG68" s="220">
        <v>0</v>
      </c>
      <c r="AH68" s="220">
        <v>1</v>
      </c>
      <c r="AI68" s="220">
        <v>57125</v>
      </c>
      <c r="AJ68" s="220">
        <v>2180</v>
      </c>
      <c r="AK68" s="220">
        <v>0</v>
      </c>
      <c r="AL68" s="220">
        <v>0</v>
      </c>
      <c r="AO68" s="258"/>
      <c r="AP68" s="258"/>
      <c r="AQ68" s="220" t="str">
        <f t="shared" si="0"/>
        <v/>
      </c>
      <c r="AS68" s="220" t="str">
        <f t="shared" si="1"/>
        <v>wci_corp</v>
      </c>
    </row>
    <row r="69" spans="2:45" hidden="1">
      <c r="B69" s="220" t="s">
        <v>957</v>
      </c>
      <c r="C69" s="255">
        <v>43769</v>
      </c>
      <c r="D69" s="256">
        <v>279.29000000000002</v>
      </c>
      <c r="E69" s="256">
        <v>0</v>
      </c>
      <c r="F69" s="257" t="s">
        <v>413</v>
      </c>
      <c r="G69" s="220" t="s">
        <v>1058</v>
      </c>
      <c r="H69" s="258" t="s">
        <v>520</v>
      </c>
      <c r="I69" s="220" t="s">
        <v>1059</v>
      </c>
      <c r="J69" s="220" t="s">
        <v>543</v>
      </c>
      <c r="K69" s="220" t="s">
        <v>522</v>
      </c>
      <c r="L69" s="226"/>
      <c r="M69" s="226"/>
      <c r="N69" s="226" t="s">
        <v>969</v>
      </c>
      <c r="O69" s="247"/>
      <c r="P69" s="226"/>
      <c r="Q69" s="226"/>
      <c r="U69" s="220" t="s">
        <v>1061</v>
      </c>
      <c r="V69" s="220" t="s">
        <v>1061</v>
      </c>
      <c r="X69" s="255">
        <v>43773</v>
      </c>
      <c r="Y69" s="255">
        <v>43774</v>
      </c>
      <c r="AA69" s="255"/>
      <c r="AB69" s="220" t="s">
        <v>523</v>
      </c>
      <c r="AC69" s="220">
        <v>0</v>
      </c>
      <c r="AD69" s="220">
        <v>0</v>
      </c>
      <c r="AE69" s="220">
        <v>0</v>
      </c>
      <c r="AF69" s="220">
        <v>0</v>
      </c>
      <c r="AG69" s="220">
        <v>0</v>
      </c>
      <c r="AH69" s="220">
        <v>1</v>
      </c>
      <c r="AI69" s="220">
        <v>57125</v>
      </c>
      <c r="AJ69" s="220">
        <v>2180</v>
      </c>
      <c r="AK69" s="220">
        <v>0</v>
      </c>
      <c r="AL69" s="220">
        <v>0</v>
      </c>
      <c r="AO69" s="258"/>
      <c r="AP69" s="258"/>
      <c r="AQ69" s="220" t="str">
        <f t="shared" si="0"/>
        <v/>
      </c>
      <c r="AS69" s="220" t="str">
        <f t="shared" si="1"/>
        <v>wci_corp</v>
      </c>
    </row>
    <row r="70" spans="2:45" hidden="1">
      <c r="B70" s="220" t="s">
        <v>957</v>
      </c>
      <c r="C70" s="255">
        <v>43769</v>
      </c>
      <c r="D70" s="256">
        <v>1663.5</v>
      </c>
      <c r="E70" s="256">
        <v>0</v>
      </c>
      <c r="F70" s="257" t="s">
        <v>413</v>
      </c>
      <c r="G70" s="220" t="s">
        <v>1058</v>
      </c>
      <c r="H70" s="258" t="s">
        <v>520</v>
      </c>
      <c r="I70" s="220" t="s">
        <v>1059</v>
      </c>
      <c r="J70" s="220" t="s">
        <v>543</v>
      </c>
      <c r="K70" s="220" t="s">
        <v>522</v>
      </c>
      <c r="L70" s="226"/>
      <c r="M70" s="226"/>
      <c r="N70" s="226" t="s">
        <v>1062</v>
      </c>
      <c r="O70" s="247"/>
      <c r="P70" s="226"/>
      <c r="Q70" s="226"/>
      <c r="U70" s="220" t="s">
        <v>1061</v>
      </c>
      <c r="V70" s="220" t="s">
        <v>1061</v>
      </c>
      <c r="X70" s="255">
        <v>43773</v>
      </c>
      <c r="Y70" s="255">
        <v>43774</v>
      </c>
      <c r="AA70" s="255"/>
      <c r="AB70" s="220" t="s">
        <v>523</v>
      </c>
      <c r="AC70" s="220">
        <v>0</v>
      </c>
      <c r="AD70" s="220">
        <v>0</v>
      </c>
      <c r="AE70" s="220">
        <v>0</v>
      </c>
      <c r="AF70" s="220">
        <v>0</v>
      </c>
      <c r="AG70" s="220">
        <v>0</v>
      </c>
      <c r="AH70" s="220">
        <v>1</v>
      </c>
      <c r="AI70" s="220">
        <v>57125</v>
      </c>
      <c r="AJ70" s="220">
        <v>2180</v>
      </c>
      <c r="AK70" s="220">
        <v>0</v>
      </c>
      <c r="AL70" s="220">
        <v>0</v>
      </c>
      <c r="AO70" s="258"/>
      <c r="AP70" s="258"/>
      <c r="AQ70" s="220" t="str">
        <f t="shared" si="0"/>
        <v/>
      </c>
      <c r="AS70" s="220" t="str">
        <f t="shared" si="1"/>
        <v>wci_corp</v>
      </c>
    </row>
    <row r="71" spans="2:45" hidden="1">
      <c r="B71" s="220" t="s">
        <v>957</v>
      </c>
      <c r="C71" s="255">
        <v>43769</v>
      </c>
      <c r="D71" s="256">
        <v>362.07</v>
      </c>
      <c r="E71" s="256">
        <v>0</v>
      </c>
      <c r="F71" s="257" t="s">
        <v>413</v>
      </c>
      <c r="G71" s="220" t="s">
        <v>1058</v>
      </c>
      <c r="H71" s="258" t="s">
        <v>520</v>
      </c>
      <c r="I71" s="220" t="s">
        <v>1059</v>
      </c>
      <c r="J71" s="220" t="s">
        <v>543</v>
      </c>
      <c r="K71" s="220" t="s">
        <v>522</v>
      </c>
      <c r="L71" s="226"/>
      <c r="M71" s="226"/>
      <c r="N71" s="226" t="s">
        <v>968</v>
      </c>
      <c r="O71" s="247"/>
      <c r="P71" s="226"/>
      <c r="Q71" s="226"/>
      <c r="U71" s="220" t="s">
        <v>1061</v>
      </c>
      <c r="V71" s="220" t="s">
        <v>1061</v>
      </c>
      <c r="X71" s="255">
        <v>43773</v>
      </c>
      <c r="Y71" s="255">
        <v>43774</v>
      </c>
      <c r="AA71" s="255"/>
      <c r="AB71" s="220" t="s">
        <v>523</v>
      </c>
      <c r="AC71" s="220">
        <v>0</v>
      </c>
      <c r="AD71" s="220">
        <v>0</v>
      </c>
      <c r="AE71" s="220">
        <v>0</v>
      </c>
      <c r="AF71" s="220">
        <v>0</v>
      </c>
      <c r="AG71" s="220">
        <v>0</v>
      </c>
      <c r="AH71" s="220">
        <v>1</v>
      </c>
      <c r="AI71" s="220">
        <v>57125</v>
      </c>
      <c r="AJ71" s="220">
        <v>2180</v>
      </c>
      <c r="AK71" s="220">
        <v>0</v>
      </c>
      <c r="AL71" s="220">
        <v>0</v>
      </c>
      <c r="AO71" s="258"/>
      <c r="AP71" s="258"/>
      <c r="AQ71" s="220" t="str">
        <f t="shared" si="0"/>
        <v/>
      </c>
      <c r="AS71" s="220" t="str">
        <f t="shared" si="1"/>
        <v>wci_corp</v>
      </c>
    </row>
    <row r="72" spans="2:45">
      <c r="B72" s="220" t="s">
        <v>957</v>
      </c>
      <c r="C72" s="255">
        <v>43769</v>
      </c>
      <c r="D72" s="256">
        <v>295.06</v>
      </c>
      <c r="E72" s="256">
        <v>0</v>
      </c>
      <c r="F72" s="257" t="s">
        <v>413</v>
      </c>
      <c r="G72" s="220" t="s">
        <v>1058</v>
      </c>
      <c r="H72" s="258" t="s">
        <v>520</v>
      </c>
      <c r="I72" s="220" t="s">
        <v>1059</v>
      </c>
      <c r="J72" s="220" t="s">
        <v>543</v>
      </c>
      <c r="K72" s="220" t="s">
        <v>522</v>
      </c>
      <c r="L72" s="226"/>
      <c r="M72" s="226"/>
      <c r="N72" s="226" t="s">
        <v>991</v>
      </c>
      <c r="O72" s="247"/>
      <c r="P72" s="226"/>
      <c r="Q72" s="226"/>
      <c r="U72" s="220" t="s">
        <v>1061</v>
      </c>
      <c r="V72" s="220" t="s">
        <v>1061</v>
      </c>
      <c r="X72" s="255">
        <v>43773</v>
      </c>
      <c r="Y72" s="255">
        <v>43774</v>
      </c>
      <c r="AA72" s="255"/>
      <c r="AB72" s="220" t="s">
        <v>523</v>
      </c>
      <c r="AC72" s="220">
        <v>0</v>
      </c>
      <c r="AD72" s="220">
        <v>0</v>
      </c>
      <c r="AE72" s="220">
        <v>0</v>
      </c>
      <c r="AF72" s="220">
        <v>0</v>
      </c>
      <c r="AG72" s="220">
        <v>0</v>
      </c>
      <c r="AH72" s="220">
        <v>1</v>
      </c>
      <c r="AI72" s="220">
        <v>57125</v>
      </c>
      <c r="AJ72" s="220">
        <v>2180</v>
      </c>
      <c r="AK72" s="220">
        <v>0</v>
      </c>
      <c r="AL72" s="220">
        <v>0</v>
      </c>
      <c r="AO72" s="258"/>
      <c r="AP72" s="258"/>
      <c r="AQ72" s="220" t="str">
        <f t="shared" si="0"/>
        <v/>
      </c>
      <c r="AS72" s="220" t="str">
        <f t="shared" si="1"/>
        <v>wci_corp</v>
      </c>
    </row>
    <row r="73" spans="2:45" hidden="1">
      <c r="B73" s="220" t="s">
        <v>957</v>
      </c>
      <c r="C73" s="255">
        <v>43769</v>
      </c>
      <c r="D73" s="256">
        <v>28.29</v>
      </c>
      <c r="E73" s="256">
        <v>0</v>
      </c>
      <c r="F73" s="257" t="s">
        <v>413</v>
      </c>
      <c r="G73" s="220" t="s">
        <v>1063</v>
      </c>
      <c r="H73" s="258" t="s">
        <v>520</v>
      </c>
      <c r="I73" s="220" t="s">
        <v>1064</v>
      </c>
      <c r="J73" s="220" t="s">
        <v>543</v>
      </c>
      <c r="K73" s="220" t="s">
        <v>522</v>
      </c>
      <c r="L73" s="226"/>
      <c r="M73" s="226"/>
      <c r="N73" s="226" t="s">
        <v>1065</v>
      </c>
      <c r="O73" s="247"/>
      <c r="P73" s="226"/>
      <c r="Q73" s="226"/>
      <c r="U73" s="220" t="s">
        <v>1066</v>
      </c>
      <c r="V73" s="220" t="s">
        <v>1066</v>
      </c>
      <c r="X73" s="255">
        <v>43775</v>
      </c>
      <c r="Y73" s="255">
        <v>43776</v>
      </c>
      <c r="AA73" s="255"/>
      <c r="AB73" s="220" t="s">
        <v>523</v>
      </c>
      <c r="AC73" s="220">
        <v>0</v>
      </c>
      <c r="AD73" s="220">
        <v>0</v>
      </c>
      <c r="AE73" s="220">
        <v>0</v>
      </c>
      <c r="AF73" s="220">
        <v>0</v>
      </c>
      <c r="AG73" s="220">
        <v>0</v>
      </c>
      <c r="AH73" s="220">
        <v>1</v>
      </c>
      <c r="AI73" s="220">
        <v>57125</v>
      </c>
      <c r="AJ73" s="220">
        <v>2180</v>
      </c>
      <c r="AK73" s="220">
        <v>0</v>
      </c>
      <c r="AL73" s="220">
        <v>0</v>
      </c>
      <c r="AO73" s="258"/>
      <c r="AP73" s="258"/>
      <c r="AQ73" s="220" t="str">
        <f t="shared" si="0"/>
        <v/>
      </c>
      <c r="AS73" s="220" t="str">
        <f t="shared" si="1"/>
        <v>wci_corp</v>
      </c>
    </row>
    <row r="74" spans="2:45" hidden="1">
      <c r="B74" s="220" t="s">
        <v>957</v>
      </c>
      <c r="C74" s="255">
        <v>43799</v>
      </c>
      <c r="D74" s="256">
        <v>-28.29</v>
      </c>
      <c r="E74" s="256">
        <v>0</v>
      </c>
      <c r="F74" s="257" t="s">
        <v>413</v>
      </c>
      <c r="G74" s="220" t="s">
        <v>1067</v>
      </c>
      <c r="H74" s="258" t="s">
        <v>520</v>
      </c>
      <c r="I74" s="220" t="s">
        <v>1064</v>
      </c>
      <c r="J74" s="220" t="s">
        <v>543</v>
      </c>
      <c r="K74" s="220" t="s">
        <v>522</v>
      </c>
      <c r="L74" s="226"/>
      <c r="M74" s="226"/>
      <c r="N74" s="226" t="s">
        <v>1065</v>
      </c>
      <c r="O74" s="247"/>
      <c r="P74" s="226"/>
      <c r="Q74" s="226"/>
      <c r="U74" s="220" t="s">
        <v>1066</v>
      </c>
      <c r="V74" s="220" t="s">
        <v>1068</v>
      </c>
      <c r="X74" s="255">
        <v>43776</v>
      </c>
      <c r="Y74" s="255">
        <v>43776</v>
      </c>
      <c r="AA74" s="255"/>
      <c r="AB74" s="220" t="s">
        <v>523</v>
      </c>
      <c r="AC74" s="220">
        <v>0</v>
      </c>
      <c r="AD74" s="220">
        <v>0</v>
      </c>
      <c r="AE74" s="220">
        <v>0</v>
      </c>
      <c r="AF74" s="220">
        <v>0</v>
      </c>
      <c r="AG74" s="220">
        <v>5</v>
      </c>
      <c r="AH74" s="220">
        <v>1</v>
      </c>
      <c r="AI74" s="220">
        <v>57125</v>
      </c>
      <c r="AJ74" s="220">
        <v>2180</v>
      </c>
      <c r="AK74" s="220">
        <v>0</v>
      </c>
      <c r="AL74" s="220">
        <v>0</v>
      </c>
      <c r="AO74" s="258"/>
      <c r="AP74" s="258"/>
      <c r="AQ74" s="220" t="str">
        <f t="shared" si="0"/>
        <v/>
      </c>
      <c r="AS74" s="220" t="str">
        <f t="shared" si="1"/>
        <v>wci_corp</v>
      </c>
    </row>
    <row r="75" spans="2:45" hidden="1">
      <c r="B75" s="220" t="s">
        <v>957</v>
      </c>
      <c r="C75" s="255">
        <v>43799</v>
      </c>
      <c r="D75" s="256">
        <v>323.47000000000003</v>
      </c>
      <c r="E75" s="256">
        <v>0</v>
      </c>
      <c r="F75" s="257" t="s">
        <v>413</v>
      </c>
      <c r="G75" s="220" t="s">
        <v>1069</v>
      </c>
      <c r="H75" s="258" t="s">
        <v>520</v>
      </c>
      <c r="I75" s="220" t="s">
        <v>1070</v>
      </c>
      <c r="J75" s="220" t="s">
        <v>521</v>
      </c>
      <c r="K75" s="220" t="s">
        <v>522</v>
      </c>
      <c r="L75" s="226"/>
      <c r="M75" s="226"/>
      <c r="N75" s="226" t="s">
        <v>1071</v>
      </c>
      <c r="O75" s="247"/>
      <c r="P75" s="226"/>
      <c r="Q75" s="226"/>
      <c r="U75" s="220" t="s">
        <v>1072</v>
      </c>
      <c r="V75" s="220" t="s">
        <v>1072</v>
      </c>
      <c r="X75" s="255">
        <v>43802</v>
      </c>
      <c r="Y75" s="255">
        <v>43802</v>
      </c>
      <c r="AA75" s="255"/>
      <c r="AB75" s="220" t="s">
        <v>523</v>
      </c>
      <c r="AC75" s="220">
        <v>0</v>
      </c>
      <c r="AD75" s="220">
        <v>0</v>
      </c>
      <c r="AE75" s="220">
        <v>0</v>
      </c>
      <c r="AF75" s="220">
        <v>0</v>
      </c>
      <c r="AG75" s="220">
        <v>0</v>
      </c>
      <c r="AH75" s="220">
        <v>1</v>
      </c>
      <c r="AI75" s="220">
        <v>57125</v>
      </c>
      <c r="AJ75" s="220">
        <v>2180</v>
      </c>
      <c r="AK75" s="220">
        <v>0</v>
      </c>
      <c r="AL75" s="220">
        <v>0</v>
      </c>
      <c r="AO75" s="258"/>
      <c r="AP75" s="258"/>
      <c r="AQ75" s="220" t="str">
        <f t="shared" si="0"/>
        <v/>
      </c>
      <c r="AS75" s="220" t="str">
        <f t="shared" si="1"/>
        <v>wci_corp</v>
      </c>
    </row>
    <row r="76" spans="2:45" hidden="1">
      <c r="B76" s="220" t="s">
        <v>957</v>
      </c>
      <c r="C76" s="255">
        <v>43799</v>
      </c>
      <c r="D76" s="256">
        <v>28.29</v>
      </c>
      <c r="E76" s="256">
        <v>0</v>
      </c>
      <c r="F76" s="257" t="s">
        <v>413</v>
      </c>
      <c r="G76" s="220" t="s">
        <v>1069</v>
      </c>
      <c r="H76" s="258" t="s">
        <v>520</v>
      </c>
      <c r="I76" s="220" t="s">
        <v>1070</v>
      </c>
      <c r="J76" s="220" t="s">
        <v>521</v>
      </c>
      <c r="K76" s="220" t="s">
        <v>522</v>
      </c>
      <c r="L76" s="226"/>
      <c r="M76" s="226"/>
      <c r="N76" s="226" t="s">
        <v>1065</v>
      </c>
      <c r="O76" s="247"/>
      <c r="P76" s="226"/>
      <c r="Q76" s="226"/>
      <c r="U76" s="220" t="s">
        <v>1072</v>
      </c>
      <c r="V76" s="220" t="s">
        <v>1072</v>
      </c>
      <c r="X76" s="255">
        <v>43802</v>
      </c>
      <c r="Y76" s="255">
        <v>43802</v>
      </c>
      <c r="AA76" s="255"/>
      <c r="AB76" s="220" t="s">
        <v>523</v>
      </c>
      <c r="AC76" s="220">
        <v>0</v>
      </c>
      <c r="AD76" s="220">
        <v>0</v>
      </c>
      <c r="AE76" s="220">
        <v>0</v>
      </c>
      <c r="AF76" s="220">
        <v>0</v>
      </c>
      <c r="AG76" s="220">
        <v>0</v>
      </c>
      <c r="AH76" s="220">
        <v>1</v>
      </c>
      <c r="AI76" s="220">
        <v>57125</v>
      </c>
      <c r="AJ76" s="220">
        <v>2180</v>
      </c>
      <c r="AK76" s="220">
        <v>0</v>
      </c>
      <c r="AL76" s="220">
        <v>0</v>
      </c>
      <c r="AO76" s="258"/>
      <c r="AP76" s="258"/>
      <c r="AQ76" s="220" t="str">
        <f t="shared" si="0"/>
        <v/>
      </c>
      <c r="AS76" s="220" t="str">
        <f t="shared" si="1"/>
        <v>wci_corp</v>
      </c>
    </row>
    <row r="77" spans="2:45" hidden="1">
      <c r="B77" s="220" t="s">
        <v>957</v>
      </c>
      <c r="C77" s="255">
        <v>43799</v>
      </c>
      <c r="D77" s="256">
        <v>1266.8900000000001</v>
      </c>
      <c r="E77" s="256">
        <v>0</v>
      </c>
      <c r="F77" s="257" t="s">
        <v>413</v>
      </c>
      <c r="G77" s="220" t="s">
        <v>1069</v>
      </c>
      <c r="H77" s="258" t="s">
        <v>520</v>
      </c>
      <c r="I77" s="220" t="s">
        <v>1070</v>
      </c>
      <c r="J77" s="220" t="s">
        <v>521</v>
      </c>
      <c r="K77" s="220" t="s">
        <v>522</v>
      </c>
      <c r="L77" s="226"/>
      <c r="M77" s="226"/>
      <c r="N77" s="226" t="s">
        <v>1004</v>
      </c>
      <c r="O77" s="247"/>
      <c r="P77" s="226"/>
      <c r="Q77" s="226"/>
      <c r="U77" s="220" t="s">
        <v>1072</v>
      </c>
      <c r="V77" s="220" t="s">
        <v>1072</v>
      </c>
      <c r="X77" s="255">
        <v>43802</v>
      </c>
      <c r="Y77" s="255">
        <v>43802</v>
      </c>
      <c r="AA77" s="255"/>
      <c r="AB77" s="220" t="s">
        <v>523</v>
      </c>
      <c r="AC77" s="220">
        <v>0</v>
      </c>
      <c r="AD77" s="220">
        <v>0</v>
      </c>
      <c r="AE77" s="220">
        <v>0</v>
      </c>
      <c r="AF77" s="220">
        <v>0</v>
      </c>
      <c r="AG77" s="220">
        <v>0</v>
      </c>
      <c r="AH77" s="220">
        <v>1</v>
      </c>
      <c r="AI77" s="220">
        <v>57125</v>
      </c>
      <c r="AJ77" s="220">
        <v>2180</v>
      </c>
      <c r="AK77" s="220">
        <v>0</v>
      </c>
      <c r="AL77" s="220">
        <v>0</v>
      </c>
      <c r="AO77" s="258"/>
      <c r="AP77" s="258"/>
      <c r="AQ77" s="220" t="str">
        <f t="shared" si="0"/>
        <v/>
      </c>
      <c r="AS77" s="220" t="str">
        <f t="shared" si="1"/>
        <v>wci_corp</v>
      </c>
    </row>
    <row r="78" spans="2:45" hidden="1">
      <c r="B78" s="220" t="s">
        <v>957</v>
      </c>
      <c r="C78" s="255">
        <v>43799</v>
      </c>
      <c r="D78" s="256">
        <v>235</v>
      </c>
      <c r="E78" s="256">
        <v>0</v>
      </c>
      <c r="F78" s="257" t="s">
        <v>413</v>
      </c>
      <c r="G78" s="220" t="s">
        <v>1069</v>
      </c>
      <c r="H78" s="258" t="s">
        <v>520</v>
      </c>
      <c r="I78" s="220" t="s">
        <v>1070</v>
      </c>
      <c r="J78" s="220" t="s">
        <v>521</v>
      </c>
      <c r="K78" s="220" t="s">
        <v>522</v>
      </c>
      <c r="L78" s="226"/>
      <c r="M78" s="226"/>
      <c r="N78" s="226" t="s">
        <v>966</v>
      </c>
      <c r="O78" s="247"/>
      <c r="P78" s="226"/>
      <c r="Q78" s="226"/>
      <c r="U78" s="220" t="s">
        <v>1072</v>
      </c>
      <c r="V78" s="220" t="s">
        <v>1072</v>
      </c>
      <c r="X78" s="255">
        <v>43802</v>
      </c>
      <c r="Y78" s="255">
        <v>43802</v>
      </c>
      <c r="AA78" s="255"/>
      <c r="AB78" s="220" t="s">
        <v>523</v>
      </c>
      <c r="AC78" s="220">
        <v>0</v>
      </c>
      <c r="AD78" s="220">
        <v>0</v>
      </c>
      <c r="AE78" s="220">
        <v>0</v>
      </c>
      <c r="AF78" s="220">
        <v>0</v>
      </c>
      <c r="AG78" s="220">
        <v>0</v>
      </c>
      <c r="AH78" s="220">
        <v>1</v>
      </c>
      <c r="AI78" s="220">
        <v>57125</v>
      </c>
      <c r="AJ78" s="220">
        <v>2180</v>
      </c>
      <c r="AK78" s="220">
        <v>0</v>
      </c>
      <c r="AL78" s="220">
        <v>0</v>
      </c>
      <c r="AO78" s="258"/>
      <c r="AP78" s="258"/>
      <c r="AQ78" s="220" t="str">
        <f t="shared" si="0"/>
        <v/>
      </c>
      <c r="AS78" s="220" t="str">
        <f t="shared" si="1"/>
        <v>wci_corp</v>
      </c>
    </row>
    <row r="79" spans="2:45" hidden="1">
      <c r="B79" s="220" t="s">
        <v>957</v>
      </c>
      <c r="C79" s="255">
        <v>43799</v>
      </c>
      <c r="D79" s="256">
        <v>688.33</v>
      </c>
      <c r="E79" s="256">
        <v>0</v>
      </c>
      <c r="F79" s="257" t="s">
        <v>413</v>
      </c>
      <c r="G79" s="220" t="s">
        <v>1069</v>
      </c>
      <c r="H79" s="258" t="s">
        <v>520</v>
      </c>
      <c r="I79" s="220" t="s">
        <v>1070</v>
      </c>
      <c r="J79" s="220" t="s">
        <v>521</v>
      </c>
      <c r="K79" s="220" t="s">
        <v>522</v>
      </c>
      <c r="L79" s="226"/>
      <c r="M79" s="226"/>
      <c r="N79" s="226" t="s">
        <v>969</v>
      </c>
      <c r="O79" s="247"/>
      <c r="P79" s="226"/>
      <c r="Q79" s="226"/>
      <c r="U79" s="220" t="s">
        <v>1072</v>
      </c>
      <c r="V79" s="220" t="s">
        <v>1072</v>
      </c>
      <c r="X79" s="255">
        <v>43802</v>
      </c>
      <c r="Y79" s="255">
        <v>43802</v>
      </c>
      <c r="AA79" s="255"/>
      <c r="AB79" s="220" t="s">
        <v>523</v>
      </c>
      <c r="AC79" s="220">
        <v>0</v>
      </c>
      <c r="AD79" s="220">
        <v>0</v>
      </c>
      <c r="AE79" s="220">
        <v>0</v>
      </c>
      <c r="AF79" s="220">
        <v>0</v>
      </c>
      <c r="AG79" s="220">
        <v>0</v>
      </c>
      <c r="AH79" s="220">
        <v>1</v>
      </c>
      <c r="AI79" s="220">
        <v>57125</v>
      </c>
      <c r="AJ79" s="220">
        <v>2180</v>
      </c>
      <c r="AK79" s="220">
        <v>0</v>
      </c>
      <c r="AL79" s="220">
        <v>0</v>
      </c>
      <c r="AO79" s="258"/>
      <c r="AP79" s="258"/>
      <c r="AQ79" s="220" t="str">
        <f t="shared" si="0"/>
        <v/>
      </c>
      <c r="AS79" s="220" t="str">
        <f t="shared" si="1"/>
        <v>wci_corp</v>
      </c>
    </row>
    <row r="80" spans="2:45" hidden="1">
      <c r="B80" s="220" t="s">
        <v>957</v>
      </c>
      <c r="C80" s="255">
        <v>43799</v>
      </c>
      <c r="D80" s="256">
        <v>316.10000000000002</v>
      </c>
      <c r="E80" s="256">
        <v>0</v>
      </c>
      <c r="F80" s="257" t="s">
        <v>413</v>
      </c>
      <c r="G80" s="220" t="s">
        <v>1069</v>
      </c>
      <c r="H80" s="258" t="s">
        <v>520</v>
      </c>
      <c r="I80" s="220" t="s">
        <v>1070</v>
      </c>
      <c r="J80" s="220" t="s">
        <v>521</v>
      </c>
      <c r="K80" s="220" t="s">
        <v>522</v>
      </c>
      <c r="L80" s="226"/>
      <c r="M80" s="226"/>
      <c r="N80" s="226" t="s">
        <v>969</v>
      </c>
      <c r="O80" s="247"/>
      <c r="P80" s="226"/>
      <c r="Q80" s="226"/>
      <c r="U80" s="220" t="s">
        <v>1072</v>
      </c>
      <c r="V80" s="220" t="s">
        <v>1072</v>
      </c>
      <c r="X80" s="255">
        <v>43802</v>
      </c>
      <c r="Y80" s="255">
        <v>43802</v>
      </c>
      <c r="AA80" s="255"/>
      <c r="AB80" s="220" t="s">
        <v>523</v>
      </c>
      <c r="AC80" s="220">
        <v>0</v>
      </c>
      <c r="AD80" s="220">
        <v>0</v>
      </c>
      <c r="AE80" s="220">
        <v>0</v>
      </c>
      <c r="AF80" s="220">
        <v>0</v>
      </c>
      <c r="AG80" s="220">
        <v>0</v>
      </c>
      <c r="AH80" s="220">
        <v>1</v>
      </c>
      <c r="AI80" s="220">
        <v>57125</v>
      </c>
      <c r="AJ80" s="220">
        <v>2180</v>
      </c>
      <c r="AK80" s="220">
        <v>0</v>
      </c>
      <c r="AL80" s="220">
        <v>0</v>
      </c>
      <c r="AO80" s="258"/>
      <c r="AP80" s="258"/>
      <c r="AQ80" s="220" t="str">
        <f t="shared" si="0"/>
        <v/>
      </c>
      <c r="AS80" s="220" t="str">
        <f t="shared" si="1"/>
        <v>wci_corp</v>
      </c>
    </row>
    <row r="81" spans="2:45" hidden="1">
      <c r="B81" s="220" t="s">
        <v>957</v>
      </c>
      <c r="C81" s="255">
        <v>43799</v>
      </c>
      <c r="D81" s="256">
        <v>208.55</v>
      </c>
      <c r="E81" s="256">
        <v>0</v>
      </c>
      <c r="F81" s="257" t="s">
        <v>413</v>
      </c>
      <c r="G81" s="220" t="s">
        <v>1073</v>
      </c>
      <c r="H81" s="258" t="s">
        <v>520</v>
      </c>
      <c r="I81" s="220" t="s">
        <v>1064</v>
      </c>
      <c r="J81" s="220" t="s">
        <v>689</v>
      </c>
      <c r="K81" s="220" t="s">
        <v>522</v>
      </c>
      <c r="L81" s="226"/>
      <c r="M81" s="226"/>
      <c r="N81" s="226" t="s">
        <v>1074</v>
      </c>
      <c r="O81" s="247"/>
      <c r="P81" s="226"/>
      <c r="Q81" s="226"/>
      <c r="U81" s="220" t="s">
        <v>1075</v>
      </c>
      <c r="V81" s="220" t="s">
        <v>1075</v>
      </c>
      <c r="X81" s="255">
        <v>43804</v>
      </c>
      <c r="Y81" s="255">
        <v>43805</v>
      </c>
      <c r="AA81" s="255"/>
      <c r="AB81" s="220" t="s">
        <v>523</v>
      </c>
      <c r="AC81" s="220">
        <v>0</v>
      </c>
      <c r="AD81" s="220">
        <v>0</v>
      </c>
      <c r="AE81" s="220">
        <v>0</v>
      </c>
      <c r="AF81" s="220">
        <v>0</v>
      </c>
      <c r="AG81" s="220">
        <v>0</v>
      </c>
      <c r="AH81" s="220">
        <v>1</v>
      </c>
      <c r="AI81" s="220">
        <v>57125</v>
      </c>
      <c r="AJ81" s="220">
        <v>2180</v>
      </c>
      <c r="AK81" s="220">
        <v>0</v>
      </c>
      <c r="AL81" s="220">
        <v>0</v>
      </c>
      <c r="AO81" s="258"/>
      <c r="AP81" s="258"/>
      <c r="AQ81" s="220" t="str">
        <f t="shared" si="0"/>
        <v/>
      </c>
      <c r="AS81" s="220" t="str">
        <f t="shared" si="1"/>
        <v>wci_corp</v>
      </c>
    </row>
    <row r="82" spans="2:45">
      <c r="C82" s="255"/>
      <c r="D82" s="259"/>
      <c r="E82" s="259"/>
      <c r="F82" s="259"/>
      <c r="H82" s="225"/>
    </row>
    <row r="83" spans="2:45">
      <c r="B83" s="572" t="s">
        <v>529</v>
      </c>
      <c r="C83" s="572"/>
      <c r="D83" s="573"/>
      <c r="E83" s="573"/>
      <c r="F83" s="573"/>
      <c r="G83" s="572"/>
      <c r="H83" s="574"/>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2"/>
      <c r="AF83" s="572"/>
      <c r="AG83" s="572"/>
      <c r="AH83" s="572"/>
      <c r="AI83" s="572"/>
      <c r="AJ83" s="572"/>
      <c r="AK83" s="572"/>
      <c r="AL83" s="572"/>
      <c r="AM83" s="572"/>
      <c r="AN83" s="572"/>
      <c r="AO83" s="572"/>
      <c r="AP83" s="221"/>
    </row>
    <row r="84" spans="2:45" ht="15">
      <c r="D84" s="575">
        <f>SUBTOTAL(9,D38:D72)</f>
        <v>15302.779999999999</v>
      </c>
      <c r="E84" s="224" t="s">
        <v>1076</v>
      </c>
      <c r="H84" s="225"/>
    </row>
    <row r="85" spans="2:45">
      <c r="H85" s="225"/>
    </row>
    <row r="86" spans="2:45">
      <c r="H86" s="225"/>
    </row>
    <row r="87" spans="2:45">
      <c r="H87" s="225"/>
    </row>
    <row r="88" spans="2:45">
      <c r="H88" s="225"/>
    </row>
    <row r="89" spans="2:45">
      <c r="H89" s="225"/>
    </row>
    <row r="90" spans="2:45">
      <c r="H90" s="225"/>
    </row>
    <row r="91" spans="2:45">
      <c r="H91" s="225"/>
    </row>
    <row r="92" spans="2:45">
      <c r="H92" s="225"/>
    </row>
    <row r="93" spans="2:45">
      <c r="H93" s="225"/>
    </row>
    <row r="94" spans="2:45">
      <c r="H94" s="225"/>
    </row>
    <row r="95" spans="2:45">
      <c r="H95" s="225"/>
    </row>
    <row r="96" spans="2:45">
      <c r="H96" s="225"/>
    </row>
    <row r="97" spans="2:8">
      <c r="H97" s="225"/>
    </row>
    <row r="98" spans="2:8">
      <c r="H98" s="225"/>
    </row>
    <row r="99" spans="2:8">
      <c r="H99" s="225"/>
    </row>
    <row r="100" spans="2:8">
      <c r="H100" s="225"/>
    </row>
    <row r="101" spans="2:8">
      <c r="B101" s="576"/>
      <c r="H101" s="225"/>
    </row>
  </sheetData>
  <autoFilter ref="B19:AQ81">
    <filterColumn colId="12">
      <filters>
        <filter val="IN  BIOBAG USA~RYAN GUILD"/>
      </filters>
    </filterColumn>
  </autoFilter>
  <customSheetViews>
    <customSheetView guid="{76FC386D-C488-46EF-BB9C-D1C49FEBAB90}" scale="80" showPageBreaks="1" showGridLines="0" fitToPage="1" printArea="1" filter="1" showAutoFilter="1" hiddenRows="1" hiddenColumns="1" topLeftCell="B9">
      <pane ySplit="28" topLeftCell="A38" activePane="bottomLeft" state="frozen"/>
      <selection pane="bottomLeft" activeCell="N113" sqref="N113"/>
      <pageMargins left="0.27" right="0.28999999999999998" top="0.37" bottom="0.43" header="0.25" footer="0.25"/>
      <pageSetup scale="40" fitToHeight="0" orientation="landscape" r:id="rId1"/>
      <headerFooter alignWithMargins="0">
        <oddHeader>&amp;L&amp;"Arial"&amp;L&amp;08 &amp;R&amp;"Arial"&amp;R&amp;08 &amp;D-&amp;T-Jeff Honsowetz</oddHeader>
        <oddFooter>&amp;L&amp;"Arial"&amp;L&amp;08 Path:D:\Data_WCNX\Financials\MidMonths\BrentProject\\&amp;F-&amp;A&amp;R&amp;"Arial"&amp;R&amp;08  Page &amp;P</oddFooter>
      </headerFooter>
      <autoFilter ref="B19:AQ81">
        <filterColumn colId="12">
          <filters>
            <filter val="IN  BIOBAG USA~RYAN GUILD"/>
          </filters>
        </filterColumn>
      </autoFilter>
    </customSheetView>
    <customSheetView guid="{16F8EA47-9864-4C0F-89A1-62B7CCC013F9}" scale="80" showGridLines="0" fitToPage="1" filter="1" showAutoFilter="1" hiddenRows="1" hiddenColumns="1" topLeftCell="B9">
      <pane ySplit="11" topLeftCell="A20" activePane="bottomLeft" state="frozen"/>
      <selection pane="bottomLeft" activeCell="N113" sqref="N113"/>
      <pageMargins left="0.27" right="0.28999999999999998" top="0.37" bottom="0.43" header="0.25" footer="0.25"/>
      <pageSetup scale="53" fitToHeight="0"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autoFilter ref="B19:AQ81">
        <filterColumn colId="12">
          <filters>
            <filter val="IN  BIOBAG USA~RYAN GUILD"/>
          </filters>
        </filterColumn>
      </autoFilter>
    </customSheetView>
  </customSheetViews>
  <dataValidations count="1">
    <dataValidation type="list" allowBlank="1" showInputMessage="1" showErrorMessage="1" sqref="P15">
      <formula1>"All,Posted/Unposted,Posted,Unposted,Staged"</formula1>
    </dataValidation>
  </dataValidations>
  <pageMargins left="0.27" right="0.28999999999999998" top="0.37" bottom="0.43" header="0.25" footer="0.25"/>
  <pageSetup scale="50" fitToHeight="0" orientation="landscape" r:id="rId3"/>
  <headerFooter alignWithMargins="0">
    <oddHeader>&amp;L&amp;"Arial"&amp;L&amp;08 &amp;R&amp;"Arial"&amp;R&amp;08 &amp;D-&amp;T-Jeff Honsowetz</oddHeader>
    <oddFooter>&amp;L&amp;"Arial"&amp;L&amp;08 Path:D:\Data_WCNX\Financials\MidMonths\BrentProject\\&amp;F-&amp;A&amp;R&amp;"Arial"&amp;R&amp;08  Page &amp;P</oddFooter>
  </headerFooter>
  <legacyDrawing r:id="rId4"/>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AS507"/>
  <sheetViews>
    <sheetView showGridLines="0" view="pageBreakPreview" topLeftCell="B444" zoomScale="60" zoomScaleNormal="70" zoomScalePageLayoutView="70" workbookViewId="0">
      <selection activeCell="AP280" sqref="AP280"/>
    </sheetView>
  </sheetViews>
  <sheetFormatPr defaultRowHeight="12.75" outlineLevelRow="1"/>
  <cols>
    <col min="1" max="1" width="2.7109375" style="220" customWidth="1"/>
    <col min="2" max="2" width="46.140625" style="1509" customWidth="1"/>
    <col min="3" max="3" width="15.140625" style="1509" customWidth="1"/>
    <col min="4" max="4" width="18.7109375" style="1536" customWidth="1"/>
    <col min="5" max="5" width="18.7109375" style="1509" customWidth="1"/>
    <col min="6" max="6" width="12.28515625" style="1509" customWidth="1"/>
    <col min="7" max="7" width="19" style="1509" customWidth="1"/>
    <col min="8" max="8" width="7.85546875" style="1509" customWidth="1"/>
    <col min="9" max="9" width="30.28515625" style="1509" customWidth="1"/>
    <col min="10" max="10" width="10.28515625" style="1509" customWidth="1"/>
    <col min="11" max="11" width="13.5703125" style="1509" customWidth="1"/>
    <col min="12" max="12" width="7" style="1509" customWidth="1"/>
    <col min="13" max="13" width="17.28515625" style="1509" customWidth="1"/>
    <col min="14" max="14" width="38.5703125" style="1509" customWidth="1"/>
    <col min="15" max="15" width="11.42578125" style="220" customWidth="1"/>
    <col min="16" max="16" width="35.140625" style="220" customWidth="1"/>
    <col min="17" max="17" width="18" style="220" customWidth="1"/>
    <col min="18" max="18" width="14.140625" style="220" customWidth="1"/>
    <col min="19" max="19" width="17.7109375" style="220" customWidth="1"/>
    <col min="20" max="20" width="12.7109375" style="220" customWidth="1"/>
    <col min="21" max="21" width="15.85546875" style="220" customWidth="1"/>
    <col min="22" max="22" width="13.7109375" style="220" bestFit="1" customWidth="1"/>
    <col min="23" max="23" width="13.28515625" style="220" customWidth="1"/>
    <col min="24" max="24" width="12.28515625" style="220" customWidth="1"/>
    <col min="25" max="25" width="11.5703125" style="220" customWidth="1"/>
    <col min="26" max="26" width="9.85546875" style="220" customWidth="1"/>
    <col min="27" max="27" width="11.42578125" style="220" customWidth="1"/>
    <col min="28" max="28" width="11" style="220" customWidth="1"/>
    <col min="29" max="29" width="11.5703125" style="220" customWidth="1"/>
    <col min="30" max="30" width="7" style="220" customWidth="1"/>
    <col min="31" max="31" width="11.140625" style="220" customWidth="1"/>
    <col min="32" max="32" width="11" style="220" customWidth="1"/>
    <col min="33" max="33" width="8.5703125" style="220" customWidth="1"/>
    <col min="34" max="34" width="8.42578125" style="220" customWidth="1"/>
    <col min="35" max="36" width="10.28515625" style="220" customWidth="1"/>
    <col min="37" max="37" width="10.140625" style="220" customWidth="1"/>
    <col min="38" max="38" width="10.42578125" style="220" customWidth="1"/>
    <col min="39" max="39" width="21.140625" style="220" customWidth="1"/>
    <col min="40" max="42" width="18.85546875" style="220" customWidth="1"/>
    <col min="43" max="43" width="20.42578125" style="220" customWidth="1"/>
    <col min="44" max="44" width="9.140625" style="220" customWidth="1"/>
    <col min="45" max="45" width="9.140625" style="220" hidden="1" customWidth="1"/>
    <col min="46" max="46" width="9.140625" style="220" customWidth="1"/>
    <col min="47" max="16384" width="9.140625" style="220"/>
  </cols>
  <sheetData>
    <row r="1" spans="1:43" hidden="1" outlineLevel="1">
      <c r="A1" s="223" t="b">
        <v>1</v>
      </c>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row>
    <row r="2" spans="1:43" hidden="1" outlineLevel="1">
      <c r="B2" s="1509" t="s">
        <v>414</v>
      </c>
      <c r="C2" s="1509" t="s">
        <v>415</v>
      </c>
      <c r="D2" s="1536" t="s">
        <v>416</v>
      </c>
      <c r="E2" s="1509" t="s">
        <v>417</v>
      </c>
      <c r="F2" s="1509" t="s">
        <v>418</v>
      </c>
      <c r="G2" s="1509" t="s">
        <v>419</v>
      </c>
      <c r="H2" s="1509" t="s">
        <v>420</v>
      </c>
      <c r="I2" s="1509" t="s">
        <v>421</v>
      </c>
      <c r="J2" s="1509" t="s">
        <v>422</v>
      </c>
      <c r="K2" s="1509" t="s">
        <v>423</v>
      </c>
      <c r="L2" s="1509" t="s">
        <v>424</v>
      </c>
      <c r="M2" s="1509" t="s">
        <v>425</v>
      </c>
      <c r="N2" s="1509" t="s">
        <v>426</v>
      </c>
      <c r="O2" s="220" t="s">
        <v>427</v>
      </c>
      <c r="P2" s="220" t="s">
        <v>428</v>
      </c>
      <c r="Q2" s="220" t="s">
        <v>429</v>
      </c>
      <c r="R2" s="220" t="s">
        <v>430</v>
      </c>
      <c r="S2" s="220" t="s">
        <v>431</v>
      </c>
      <c r="T2" s="220" t="s">
        <v>432</v>
      </c>
      <c r="U2" s="220" t="s">
        <v>433</v>
      </c>
      <c r="V2" s="220" t="s">
        <v>434</v>
      </c>
      <c r="W2" s="220" t="s">
        <v>435</v>
      </c>
      <c r="X2" s="220" t="s">
        <v>436</v>
      </c>
      <c r="Y2" s="220" t="s">
        <v>437</v>
      </c>
      <c r="Z2" s="220" t="s">
        <v>438</v>
      </c>
      <c r="AA2" s="220" t="s">
        <v>439</v>
      </c>
      <c r="AB2" s="220" t="s">
        <v>440</v>
      </c>
      <c r="AC2" s="220" t="s">
        <v>441</v>
      </c>
      <c r="AD2" s="220" t="s">
        <v>442</v>
      </c>
      <c r="AE2" s="220" t="s">
        <v>443</v>
      </c>
      <c r="AF2" s="220" t="s">
        <v>444</v>
      </c>
      <c r="AG2" s="220" t="s">
        <v>445</v>
      </c>
      <c r="AH2" s="220" t="s">
        <v>446</v>
      </c>
      <c r="AI2" s="220" t="s">
        <v>447</v>
      </c>
      <c r="AJ2" s="220" t="s">
        <v>448</v>
      </c>
      <c r="AK2" s="220" t="s">
        <v>449</v>
      </c>
      <c r="AL2" s="220" t="s">
        <v>450</v>
      </c>
      <c r="AM2" s="220" t="s">
        <v>451</v>
      </c>
      <c r="AN2" s="220" t="s">
        <v>452</v>
      </c>
      <c r="AO2" s="220" t="s">
        <v>453</v>
      </c>
      <c r="AP2" s="220" t="s">
        <v>454</v>
      </c>
      <c r="AQ2" s="224"/>
    </row>
    <row r="3" spans="1:43" hidden="1" outlineLevel="1">
      <c r="A3" s="223" t="s">
        <v>455</v>
      </c>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row>
    <row r="4" spans="1:43" hidden="1" outlineLevel="1">
      <c r="Q4" s="220" t="str">
        <f ca="1">_xll.ReportDrill('[57]JE Lookup'!B1,,_xll.PairGroup(_xll.Pair(G20:G341,'[57]JE Lookup'!N8),_xll.Pair(AB20:AB341,'[57]JE Lookup'!N7)),"JE Lookup")</f>
        <v>OK!: ReportDrill 'JE Lookup' Formula OK [jAction{}]</v>
      </c>
      <c r="U4" s="220" t="str">
        <f ca="1">_xll.ReportDrill(,"APDrill",_xll.PairGroup(_xll.PairExt(AQ20:AQ341,"H8")),"AP Detail")</f>
        <v>OK!: ReportDrill 'AP Detail' Formula OK [jAction{}]</v>
      </c>
      <c r="Y4" s="220" t="str">
        <f ca="1">_xll.ReportDrill(,"JEStaged_DrillToDetail",_xll.PairGroup(_xll.PairExt(Q19:Q341,"dControlNum",TRUE),_xll.PairExt(AP19:AP341,"dDistrict",TRUE),_xll.PairExt(AO19:AO341,"dApplyMonth",TRUE)),"JE Staged Details")</f>
        <v>OK!: ReportDrill 'JE Staged Details' Formula OK [jAction{}]</v>
      </c>
    </row>
    <row r="5" spans="1:43" hidden="1" outlineLevel="1">
      <c r="B5" s="1509" t="str">
        <f ca="1">_xll.ReportRange("JEQuery_WithStaged",B20:AS340,B2:AS2,,_xll.Param(I12,DateTo,IF(M12="","all",M12),M13,M14,M15,P12,P13,P14,P15,EntrieShownLimit,DateFrom,DateTo),TRUE)</f>
        <v>OK!: ReportRange Formula OK [jAction{}]</v>
      </c>
      <c r="Q5" s="220" t="str">
        <f ca="1">_xll.ReportDrill('[57]JE Lookup'!B1,,_xll.PairGroup(_xll.Pair(V20:V341,'[57]JE Lookup'!N8),_xll.Pair(AS20:AS341,'[57]JE Lookup'!N7)),"I/C Originating JE")</f>
        <v>OK!: ReportDrill 'I/C Originating JE' Formula OK [jAction{}]</v>
      </c>
    </row>
    <row r="6" spans="1:43" hidden="1" outlineLevel="1">
      <c r="B6" s="1510" t="s">
        <v>456</v>
      </c>
      <c r="D6" s="1536">
        <v>10000</v>
      </c>
    </row>
    <row r="7" spans="1:43" hidden="1" outlineLevel="1">
      <c r="A7" s="223" t="s">
        <v>457</v>
      </c>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row>
    <row r="8" spans="1:43" hidden="1" outlineLevel="1">
      <c r="B8" s="1514" t="s">
        <v>458</v>
      </c>
      <c r="C8" s="1509" t="str">
        <f>IF(DateFrom="",CurrentMonth,DateFrom)</f>
        <v>2018-12</v>
      </c>
      <c r="E8" s="1514" t="s">
        <v>459</v>
      </c>
      <c r="G8" s="1509" t="str">
        <f>IF(DateTo="",CurrentMonth,DateTo)</f>
        <v>2019-11</v>
      </c>
      <c r="I8" s="1514" t="s">
        <v>460</v>
      </c>
      <c r="J8" s="1520" t="str">
        <f ca="1">TEXT(NOW() - 15,"yyyy-mm")</f>
        <v>2020-01</v>
      </c>
    </row>
    <row r="9" spans="1:43" ht="18" collapsed="1">
      <c r="B9" s="1511" t="s">
        <v>461</v>
      </c>
      <c r="G9" s="1521" t="s">
        <v>462</v>
      </c>
      <c r="O9" s="1215"/>
      <c r="P9" s="1216"/>
      <c r="Q9" s="1215"/>
      <c r="U9" s="222"/>
    </row>
    <row r="10" spans="1:43" ht="14.25">
      <c r="B10" s="1509" t="s">
        <v>463</v>
      </c>
      <c r="G10" s="1522"/>
      <c r="O10" s="1215"/>
      <c r="P10" s="1216"/>
      <c r="Q10" s="1215"/>
      <c r="U10" s="222"/>
    </row>
    <row r="11" spans="1:43">
      <c r="G11" s="1512" t="s">
        <v>464</v>
      </c>
      <c r="H11" s="1512"/>
      <c r="I11" s="1523"/>
      <c r="L11" s="1512" t="s">
        <v>465</v>
      </c>
      <c r="M11" s="1512"/>
      <c r="N11" s="1512"/>
      <c r="O11" s="1217"/>
      <c r="P11" s="1217"/>
      <c r="Q11" s="1215"/>
      <c r="U11" s="224"/>
    </row>
    <row r="12" spans="1:43" s="222" customFormat="1">
      <c r="B12" s="1510"/>
      <c r="C12" s="1510"/>
      <c r="D12" s="1537"/>
      <c r="E12" s="1510"/>
      <c r="F12" s="1510"/>
      <c r="G12" s="1510"/>
      <c r="H12" s="1513" t="s">
        <v>466</v>
      </c>
      <c r="I12" s="1524" t="s">
        <v>944</v>
      </c>
      <c r="J12" s="1510"/>
      <c r="K12" s="1514"/>
      <c r="L12" s="1510" t="s">
        <v>467</v>
      </c>
      <c r="M12" s="1524" t="s">
        <v>167</v>
      </c>
      <c r="N12" s="1510"/>
      <c r="O12" s="1219" t="s">
        <v>468</v>
      </c>
      <c r="P12" s="1220"/>
      <c r="Q12" s="1218"/>
      <c r="Z12" s="220"/>
      <c r="AA12" s="220"/>
      <c r="AB12" s="220"/>
      <c r="AH12" s="220"/>
      <c r="AI12" s="220"/>
      <c r="AJ12" s="220"/>
      <c r="AK12" s="220"/>
      <c r="AL12" s="220"/>
    </row>
    <row r="13" spans="1:43" s="222" customFormat="1">
      <c r="B13" s="1510"/>
      <c r="C13" s="1510"/>
      <c r="D13" s="1537"/>
      <c r="E13" s="1510"/>
      <c r="F13" s="1510"/>
      <c r="G13" s="1510"/>
      <c r="H13" s="1513" t="s">
        <v>469</v>
      </c>
      <c r="I13" s="1524" t="s">
        <v>941</v>
      </c>
      <c r="J13" s="1510"/>
      <c r="K13" s="1514"/>
      <c r="L13" s="1510" t="s">
        <v>470</v>
      </c>
      <c r="M13" s="1524" t="s">
        <v>2446</v>
      </c>
      <c r="N13" s="1509"/>
      <c r="O13" s="1219" t="s">
        <v>471</v>
      </c>
      <c r="P13" s="1221"/>
      <c r="Q13" s="1222"/>
      <c r="Z13" s="220"/>
      <c r="AA13" s="220"/>
      <c r="AB13" s="220"/>
      <c r="AH13" s="220"/>
      <c r="AI13" s="220"/>
      <c r="AJ13" s="220"/>
      <c r="AK13" s="220"/>
      <c r="AL13" s="220"/>
    </row>
    <row r="14" spans="1:43">
      <c r="L14" s="1510" t="s">
        <v>188</v>
      </c>
      <c r="M14" s="1524" t="s">
        <v>187</v>
      </c>
      <c r="O14" s="1219" t="s">
        <v>472</v>
      </c>
      <c r="P14" s="1221"/>
      <c r="Q14" s="1222"/>
    </row>
    <row r="15" spans="1:43">
      <c r="L15" s="1510" t="s">
        <v>309</v>
      </c>
      <c r="M15" s="1524" t="s">
        <v>187</v>
      </c>
      <c r="O15" s="1219" t="s">
        <v>473</v>
      </c>
      <c r="P15" s="1223" t="s">
        <v>474</v>
      </c>
      <c r="Q15" s="1215"/>
    </row>
    <row r="16" spans="1:43">
      <c r="B16" s="1510" t="s">
        <v>475</v>
      </c>
      <c r="D16" s="1537">
        <f>SUM(D19:D341)</f>
        <v>110896.78000000003</v>
      </c>
      <c r="E16" s="1515">
        <f>SUM(E19:E341)</f>
        <v>0</v>
      </c>
      <c r="F16" s="1509" t="s">
        <v>476</v>
      </c>
      <c r="N16" s="1525"/>
      <c r="O16" s="1224"/>
      <c r="P16" s="1224"/>
      <c r="Q16" s="1224"/>
    </row>
    <row r="17" spans="2:45">
      <c r="B17" s="1510" t="s">
        <v>477</v>
      </c>
      <c r="D17" s="1537">
        <f>COUNT(D20:D342)</f>
        <v>320</v>
      </c>
      <c r="E17" s="1516">
        <f>COUNT(E20:E342)</f>
        <v>320</v>
      </c>
      <c r="F17" s="1509" t="s">
        <v>478</v>
      </c>
      <c r="G17" s="1526" t="str">
        <f>""&amp;EntrieShownLimit</f>
        <v>10000</v>
      </c>
      <c r="O17" s="1215"/>
      <c r="P17" s="1215"/>
      <c r="Q17" s="1215"/>
    </row>
    <row r="18" spans="2:45">
      <c r="O18" s="1225"/>
      <c r="P18" s="1215"/>
      <c r="Q18" s="1215"/>
      <c r="R18" s="1091" t="s">
        <v>479</v>
      </c>
      <c r="S18" s="570"/>
      <c r="T18" s="570"/>
      <c r="U18" s="570"/>
      <c r="V18" s="570"/>
      <c r="W18" s="570"/>
      <c r="X18" s="570"/>
      <c r="Y18" s="570"/>
      <c r="Z18" s="571"/>
      <c r="AA18" s="571"/>
      <c r="AB18" s="571"/>
      <c r="AC18" s="571"/>
      <c r="AD18" s="571"/>
      <c r="AE18" s="571"/>
      <c r="AF18" s="571"/>
      <c r="AG18" s="571"/>
      <c r="AH18" s="571"/>
      <c r="AI18" s="571"/>
      <c r="AJ18" s="571"/>
      <c r="AK18" s="571"/>
      <c r="AL18" s="571"/>
      <c r="AM18" s="571"/>
      <c r="AN18" s="571"/>
      <c r="AO18" s="571"/>
      <c r="AP18" s="571"/>
      <c r="AQ18" s="571"/>
    </row>
    <row r="19" spans="2:45" s="248" customFormat="1" ht="29.25" customHeight="1" thickBot="1">
      <c r="B19" s="1527" t="s">
        <v>480</v>
      </c>
      <c r="C19" s="1528" t="s">
        <v>481</v>
      </c>
      <c r="D19" s="1538" t="s">
        <v>482</v>
      </c>
      <c r="E19" s="1517" t="s">
        <v>483</v>
      </c>
      <c r="F19" s="1517" t="s">
        <v>484</v>
      </c>
      <c r="G19" s="1527" t="s">
        <v>485</v>
      </c>
      <c r="H19" s="1527" t="s">
        <v>486</v>
      </c>
      <c r="I19" s="1527" t="s">
        <v>487</v>
      </c>
      <c r="J19" s="1527" t="s">
        <v>422</v>
      </c>
      <c r="K19" s="1527" t="s">
        <v>488</v>
      </c>
      <c r="L19" s="1527" t="s">
        <v>489</v>
      </c>
      <c r="M19" s="1527" t="s">
        <v>490</v>
      </c>
      <c r="N19" s="1527" t="s">
        <v>491</v>
      </c>
      <c r="O19" s="1227" t="s">
        <v>492</v>
      </c>
      <c r="P19" s="1226" t="s">
        <v>493</v>
      </c>
      <c r="Q19" s="1226" t="s">
        <v>494</v>
      </c>
      <c r="R19" s="1092" t="s">
        <v>495</v>
      </c>
      <c r="S19" s="1092" t="s">
        <v>496</v>
      </c>
      <c r="T19" s="1092" t="s">
        <v>497</v>
      </c>
      <c r="U19" s="1092" t="s">
        <v>498</v>
      </c>
      <c r="V19" s="1092" t="s">
        <v>499</v>
      </c>
      <c r="W19" s="1092" t="s">
        <v>500</v>
      </c>
      <c r="X19" s="1092" t="s">
        <v>501</v>
      </c>
      <c r="Y19" s="1092" t="s">
        <v>502</v>
      </c>
      <c r="Z19" s="1092" t="s">
        <v>503</v>
      </c>
      <c r="AA19" s="1092" t="s">
        <v>504</v>
      </c>
      <c r="AB19" s="1092" t="s">
        <v>505</v>
      </c>
      <c r="AC19" s="1094" t="s">
        <v>506</v>
      </c>
      <c r="AD19" s="1094" t="s">
        <v>507</v>
      </c>
      <c r="AE19" s="1094" t="s">
        <v>508</v>
      </c>
      <c r="AF19" s="1094" t="s">
        <v>509</v>
      </c>
      <c r="AG19" s="1094" t="s">
        <v>510</v>
      </c>
      <c r="AH19" s="1094" t="s">
        <v>511</v>
      </c>
      <c r="AI19" s="1093" t="s">
        <v>512</v>
      </c>
      <c r="AJ19" s="1093" t="s">
        <v>513</v>
      </c>
      <c r="AK19" s="1093" t="s">
        <v>514</v>
      </c>
      <c r="AL19" s="1093" t="s">
        <v>515</v>
      </c>
      <c r="AM19" s="1093" t="s">
        <v>516</v>
      </c>
      <c r="AN19" s="1093" t="s">
        <v>452</v>
      </c>
      <c r="AO19" s="1095" t="s">
        <v>517</v>
      </c>
      <c r="AP19" s="1095" t="s">
        <v>518</v>
      </c>
      <c r="AQ19" s="1095" t="s">
        <v>519</v>
      </c>
    </row>
    <row r="20" spans="2:45">
      <c r="B20" s="1509" t="s">
        <v>2447</v>
      </c>
      <c r="C20" s="1529">
        <v>43465</v>
      </c>
      <c r="D20" s="1537">
        <v>-329.64</v>
      </c>
      <c r="E20" s="1518">
        <v>0</v>
      </c>
      <c r="F20" s="1519" t="s">
        <v>413</v>
      </c>
      <c r="G20" s="1509" t="s">
        <v>2448</v>
      </c>
      <c r="H20" s="1530" t="s">
        <v>520</v>
      </c>
      <c r="I20" s="1509" t="s">
        <v>2449</v>
      </c>
      <c r="J20" s="1509" t="s">
        <v>536</v>
      </c>
      <c r="K20" s="1509" t="s">
        <v>522</v>
      </c>
      <c r="L20" s="1520"/>
      <c r="M20" s="1520"/>
      <c r="N20" s="1520" t="s">
        <v>2450</v>
      </c>
      <c r="O20" s="1225"/>
      <c r="P20" s="1228"/>
      <c r="Q20" s="1228"/>
      <c r="U20" s="220" t="s">
        <v>2451</v>
      </c>
      <c r="V20" s="220" t="s">
        <v>2452</v>
      </c>
      <c r="X20" s="255">
        <v>43441</v>
      </c>
      <c r="Y20" s="255">
        <v>43441</v>
      </c>
      <c r="AA20" s="255"/>
      <c r="AB20" s="220" t="s">
        <v>523</v>
      </c>
      <c r="AC20" s="220">
        <v>0</v>
      </c>
      <c r="AD20" s="220">
        <v>0</v>
      </c>
      <c r="AE20" s="220">
        <v>0</v>
      </c>
      <c r="AF20" s="220">
        <v>0</v>
      </c>
      <c r="AG20" s="220">
        <v>5</v>
      </c>
      <c r="AH20" s="220">
        <v>1</v>
      </c>
      <c r="AI20" s="220">
        <v>70095</v>
      </c>
      <c r="AJ20" s="220">
        <v>2180</v>
      </c>
      <c r="AK20" s="220">
        <v>0</v>
      </c>
      <c r="AL20" s="220">
        <v>0</v>
      </c>
      <c r="AO20" s="258"/>
      <c r="AP20" s="258"/>
      <c r="AQ20" s="220" t="str">
        <f>IF(LEFT(U20,2)="VO",U20,"")</f>
        <v/>
      </c>
      <c r="AS20" s="220" t="str">
        <f>IF(RIGHT(K20,2)="IC",IF(OR(AB20="wci_canada",AB20="wci_can_corp"),"wci_can_Corp","wci_corp"),AB20)</f>
        <v>wci_corp</v>
      </c>
    </row>
    <row r="21" spans="2:45">
      <c r="B21" s="1509" t="s">
        <v>2447</v>
      </c>
      <c r="C21" s="1529">
        <v>43465</v>
      </c>
      <c r="D21" s="1537">
        <v>-39</v>
      </c>
      <c r="E21" s="1518">
        <v>0</v>
      </c>
      <c r="F21" s="1519" t="s">
        <v>413</v>
      </c>
      <c r="G21" s="1509" t="s">
        <v>2448</v>
      </c>
      <c r="H21" s="1530" t="s">
        <v>520</v>
      </c>
      <c r="I21" s="1509" t="s">
        <v>2449</v>
      </c>
      <c r="J21" s="1509" t="s">
        <v>536</v>
      </c>
      <c r="K21" s="1509" t="s">
        <v>522</v>
      </c>
      <c r="L21" s="1520"/>
      <c r="M21" s="1520"/>
      <c r="N21" s="1520" t="s">
        <v>2453</v>
      </c>
      <c r="O21" s="1225"/>
      <c r="P21" s="1228"/>
      <c r="Q21" s="1228"/>
      <c r="U21" s="220" t="s">
        <v>2451</v>
      </c>
      <c r="V21" s="220" t="s">
        <v>2452</v>
      </c>
      <c r="X21" s="255">
        <v>43441</v>
      </c>
      <c r="Y21" s="255">
        <v>43441</v>
      </c>
      <c r="AA21" s="255"/>
      <c r="AB21" s="220" t="s">
        <v>523</v>
      </c>
      <c r="AC21" s="220">
        <v>0</v>
      </c>
      <c r="AD21" s="220">
        <v>0</v>
      </c>
      <c r="AE21" s="220">
        <v>0</v>
      </c>
      <c r="AF21" s="220">
        <v>0</v>
      </c>
      <c r="AG21" s="220">
        <v>5</v>
      </c>
      <c r="AH21" s="220">
        <v>1</v>
      </c>
      <c r="AI21" s="220">
        <v>70095</v>
      </c>
      <c r="AJ21" s="220">
        <v>2180</v>
      </c>
      <c r="AK21" s="220">
        <v>0</v>
      </c>
      <c r="AL21" s="220">
        <v>0</v>
      </c>
      <c r="AO21" s="258"/>
      <c r="AP21" s="258"/>
      <c r="AQ21" s="220" t="str">
        <f t="shared" ref="AQ21:AQ84" si="0">IF(LEFT(U21,2)="VO",U21,"")</f>
        <v/>
      </c>
      <c r="AS21" s="220" t="str">
        <f t="shared" ref="AS21:AS84" si="1">IF(RIGHT(K21,2)="IC",IF(OR(AB21="wci_canada",AB21="wci_can_corp"),"wci_can_Corp","wci_corp"),AB21)</f>
        <v>wci_corp</v>
      </c>
    </row>
    <row r="22" spans="2:45">
      <c r="B22" s="1509" t="s">
        <v>2447</v>
      </c>
      <c r="C22" s="1529">
        <v>43465</v>
      </c>
      <c r="D22" s="1537">
        <v>-219.78</v>
      </c>
      <c r="E22" s="1518">
        <v>0</v>
      </c>
      <c r="F22" s="1519" t="s">
        <v>413</v>
      </c>
      <c r="G22" s="1509" t="s">
        <v>2448</v>
      </c>
      <c r="H22" s="1530" t="s">
        <v>520</v>
      </c>
      <c r="I22" s="1509" t="s">
        <v>2449</v>
      </c>
      <c r="J22" s="1509" t="s">
        <v>536</v>
      </c>
      <c r="K22" s="1509" t="s">
        <v>522</v>
      </c>
      <c r="L22" s="1520"/>
      <c r="M22" s="1520"/>
      <c r="N22" s="1520" t="s">
        <v>2454</v>
      </c>
      <c r="O22" s="1225"/>
      <c r="P22" s="1228"/>
      <c r="Q22" s="1228"/>
      <c r="U22" s="220" t="s">
        <v>2451</v>
      </c>
      <c r="V22" s="220" t="s">
        <v>2452</v>
      </c>
      <c r="X22" s="255">
        <v>43441</v>
      </c>
      <c r="Y22" s="255">
        <v>43441</v>
      </c>
      <c r="AA22" s="255"/>
      <c r="AB22" s="220" t="s">
        <v>523</v>
      </c>
      <c r="AC22" s="220">
        <v>0</v>
      </c>
      <c r="AD22" s="220">
        <v>0</v>
      </c>
      <c r="AE22" s="220">
        <v>0</v>
      </c>
      <c r="AF22" s="220">
        <v>0</v>
      </c>
      <c r="AG22" s="220">
        <v>5</v>
      </c>
      <c r="AH22" s="220">
        <v>1</v>
      </c>
      <c r="AI22" s="220">
        <v>70095</v>
      </c>
      <c r="AJ22" s="220">
        <v>2180</v>
      </c>
      <c r="AK22" s="220">
        <v>0</v>
      </c>
      <c r="AL22" s="220">
        <v>0</v>
      </c>
      <c r="AO22" s="258"/>
      <c r="AP22" s="258"/>
      <c r="AQ22" s="220" t="str">
        <f t="shared" si="0"/>
        <v/>
      </c>
      <c r="AS22" s="220" t="str">
        <f t="shared" si="1"/>
        <v>wci_corp</v>
      </c>
    </row>
    <row r="23" spans="2:45">
      <c r="B23" s="1509" t="s">
        <v>2447</v>
      </c>
      <c r="C23" s="1529">
        <v>43465</v>
      </c>
      <c r="D23" s="1537">
        <v>-219.78</v>
      </c>
      <c r="E23" s="1518">
        <v>0</v>
      </c>
      <c r="F23" s="1519" t="s">
        <v>413</v>
      </c>
      <c r="G23" s="1509" t="s">
        <v>2448</v>
      </c>
      <c r="H23" s="1530" t="s">
        <v>520</v>
      </c>
      <c r="I23" s="1509" t="s">
        <v>2449</v>
      </c>
      <c r="J23" s="1509" t="s">
        <v>536</v>
      </c>
      <c r="K23" s="1509" t="s">
        <v>522</v>
      </c>
      <c r="L23" s="1520"/>
      <c r="M23" s="1520"/>
      <c r="N23" s="1520" t="s">
        <v>2455</v>
      </c>
      <c r="O23" s="1225"/>
      <c r="P23" s="1228"/>
      <c r="Q23" s="1228"/>
      <c r="U23" s="220" t="s">
        <v>2451</v>
      </c>
      <c r="V23" s="220" t="s">
        <v>2452</v>
      </c>
      <c r="X23" s="255">
        <v>43441</v>
      </c>
      <c r="Y23" s="255">
        <v>43441</v>
      </c>
      <c r="AA23" s="255"/>
      <c r="AB23" s="220" t="s">
        <v>523</v>
      </c>
      <c r="AC23" s="220">
        <v>0</v>
      </c>
      <c r="AD23" s="220">
        <v>0</v>
      </c>
      <c r="AE23" s="220">
        <v>0</v>
      </c>
      <c r="AF23" s="220">
        <v>0</v>
      </c>
      <c r="AG23" s="220">
        <v>5</v>
      </c>
      <c r="AH23" s="220">
        <v>1</v>
      </c>
      <c r="AI23" s="220">
        <v>70095</v>
      </c>
      <c r="AJ23" s="220">
        <v>2180</v>
      </c>
      <c r="AK23" s="220">
        <v>0</v>
      </c>
      <c r="AL23" s="220">
        <v>0</v>
      </c>
      <c r="AO23" s="258"/>
      <c r="AP23" s="258"/>
      <c r="AQ23" s="220" t="str">
        <f t="shared" si="0"/>
        <v/>
      </c>
      <c r="AS23" s="220" t="str">
        <f t="shared" si="1"/>
        <v>wci_corp</v>
      </c>
    </row>
    <row r="24" spans="2:45">
      <c r="B24" s="1509" t="s">
        <v>2447</v>
      </c>
      <c r="C24" s="1529">
        <v>43465</v>
      </c>
      <c r="D24" s="1537">
        <v>-275.83999999999997</v>
      </c>
      <c r="E24" s="1518">
        <v>0</v>
      </c>
      <c r="F24" s="1519" t="s">
        <v>413</v>
      </c>
      <c r="G24" s="1509" t="s">
        <v>2456</v>
      </c>
      <c r="H24" s="1530" t="s">
        <v>520</v>
      </c>
      <c r="I24" s="1509" t="s">
        <v>2457</v>
      </c>
      <c r="J24" s="1509" t="s">
        <v>536</v>
      </c>
      <c r="K24" s="1509" t="s">
        <v>522</v>
      </c>
      <c r="L24" s="1520"/>
      <c r="M24" s="1520"/>
      <c r="N24" s="1520" t="s">
        <v>2458</v>
      </c>
      <c r="O24" s="1225"/>
      <c r="P24" s="1228"/>
      <c r="Q24" s="1228"/>
      <c r="U24" s="220" t="s">
        <v>2459</v>
      </c>
      <c r="V24" s="220" t="s">
        <v>2460</v>
      </c>
      <c r="X24" s="255">
        <v>43441</v>
      </c>
      <c r="Y24" s="255">
        <v>43441</v>
      </c>
      <c r="AA24" s="255"/>
      <c r="AB24" s="220" t="s">
        <v>523</v>
      </c>
      <c r="AC24" s="220">
        <v>0</v>
      </c>
      <c r="AD24" s="220">
        <v>0</v>
      </c>
      <c r="AE24" s="220">
        <v>0</v>
      </c>
      <c r="AF24" s="220">
        <v>0</v>
      </c>
      <c r="AG24" s="220">
        <v>5</v>
      </c>
      <c r="AH24" s="220">
        <v>1</v>
      </c>
      <c r="AI24" s="220">
        <v>70095</v>
      </c>
      <c r="AJ24" s="220">
        <v>2180</v>
      </c>
      <c r="AK24" s="220">
        <v>0</v>
      </c>
      <c r="AL24" s="220">
        <v>0</v>
      </c>
      <c r="AO24" s="258"/>
      <c r="AP24" s="258"/>
      <c r="AQ24" s="220" t="str">
        <f t="shared" si="0"/>
        <v/>
      </c>
      <c r="AS24" s="220" t="str">
        <f t="shared" si="1"/>
        <v>wci_corp</v>
      </c>
    </row>
    <row r="25" spans="2:45">
      <c r="B25" s="1509" t="s">
        <v>2447</v>
      </c>
      <c r="C25" s="1529">
        <v>43465</v>
      </c>
      <c r="D25" s="1537">
        <v>329.64</v>
      </c>
      <c r="E25" s="1518">
        <v>0</v>
      </c>
      <c r="F25" s="1519" t="s">
        <v>413</v>
      </c>
      <c r="G25" s="1509" t="s">
        <v>963</v>
      </c>
      <c r="H25" s="1530" t="s">
        <v>520</v>
      </c>
      <c r="I25" s="1509" t="s">
        <v>964</v>
      </c>
      <c r="J25" s="1509" t="s">
        <v>543</v>
      </c>
      <c r="K25" s="1509" t="s">
        <v>522</v>
      </c>
      <c r="L25" s="1520"/>
      <c r="M25" s="1520"/>
      <c r="N25" s="1520" t="s">
        <v>2450</v>
      </c>
      <c r="O25" s="1225"/>
      <c r="P25" s="1228"/>
      <c r="Q25" s="1228"/>
      <c r="U25" s="220" t="s">
        <v>965</v>
      </c>
      <c r="V25" s="220" t="s">
        <v>965</v>
      </c>
      <c r="X25" s="255">
        <v>43468</v>
      </c>
      <c r="Y25" s="255">
        <v>43468</v>
      </c>
      <c r="AA25" s="255"/>
      <c r="AB25" s="220" t="s">
        <v>523</v>
      </c>
      <c r="AC25" s="220">
        <v>0</v>
      </c>
      <c r="AD25" s="220">
        <v>0</v>
      </c>
      <c r="AE25" s="220">
        <v>0</v>
      </c>
      <c r="AF25" s="220">
        <v>0</v>
      </c>
      <c r="AG25" s="220">
        <v>0</v>
      </c>
      <c r="AH25" s="220">
        <v>1</v>
      </c>
      <c r="AI25" s="220">
        <v>70095</v>
      </c>
      <c r="AJ25" s="220">
        <v>2180</v>
      </c>
      <c r="AK25" s="220">
        <v>0</v>
      </c>
      <c r="AL25" s="220">
        <v>0</v>
      </c>
      <c r="AO25" s="258"/>
      <c r="AP25" s="258"/>
      <c r="AQ25" s="220" t="str">
        <f t="shared" si="0"/>
        <v/>
      </c>
      <c r="AS25" s="220" t="str">
        <f t="shared" si="1"/>
        <v>wci_corp</v>
      </c>
    </row>
    <row r="26" spans="2:45">
      <c r="B26" s="1509" t="s">
        <v>2447</v>
      </c>
      <c r="C26" s="1529">
        <v>43465</v>
      </c>
      <c r="D26" s="1537">
        <v>39</v>
      </c>
      <c r="E26" s="1518">
        <v>0</v>
      </c>
      <c r="F26" s="1519" t="s">
        <v>413</v>
      </c>
      <c r="G26" s="1509" t="s">
        <v>963</v>
      </c>
      <c r="H26" s="1530" t="s">
        <v>520</v>
      </c>
      <c r="I26" s="1509" t="s">
        <v>964</v>
      </c>
      <c r="J26" s="1509" t="s">
        <v>543</v>
      </c>
      <c r="K26" s="1509" t="s">
        <v>522</v>
      </c>
      <c r="L26" s="1520"/>
      <c r="M26" s="1520"/>
      <c r="N26" s="1520" t="s">
        <v>2453</v>
      </c>
      <c r="O26" s="1225"/>
      <c r="P26" s="1228"/>
      <c r="Q26" s="1228"/>
      <c r="U26" s="220" t="s">
        <v>965</v>
      </c>
      <c r="V26" s="220" t="s">
        <v>965</v>
      </c>
      <c r="X26" s="255">
        <v>43468</v>
      </c>
      <c r="Y26" s="255">
        <v>43468</v>
      </c>
      <c r="AA26" s="255"/>
      <c r="AB26" s="220" t="s">
        <v>523</v>
      </c>
      <c r="AC26" s="220">
        <v>0</v>
      </c>
      <c r="AD26" s="220">
        <v>0</v>
      </c>
      <c r="AE26" s="220">
        <v>0</v>
      </c>
      <c r="AF26" s="220">
        <v>0</v>
      </c>
      <c r="AG26" s="220">
        <v>0</v>
      </c>
      <c r="AH26" s="220">
        <v>1</v>
      </c>
      <c r="AI26" s="220">
        <v>70095</v>
      </c>
      <c r="AJ26" s="220">
        <v>2180</v>
      </c>
      <c r="AK26" s="220">
        <v>0</v>
      </c>
      <c r="AL26" s="220">
        <v>0</v>
      </c>
      <c r="AO26" s="258"/>
      <c r="AP26" s="258"/>
      <c r="AQ26" s="220" t="str">
        <f t="shared" si="0"/>
        <v/>
      </c>
      <c r="AS26" s="220" t="str">
        <f t="shared" si="1"/>
        <v>wci_corp</v>
      </c>
    </row>
    <row r="27" spans="2:45">
      <c r="B27" s="1509" t="s">
        <v>2447</v>
      </c>
      <c r="C27" s="1529">
        <v>43465</v>
      </c>
      <c r="D27" s="1537">
        <v>2575.7600000000002</v>
      </c>
      <c r="E27" s="1518">
        <v>0</v>
      </c>
      <c r="F27" s="1519" t="s">
        <v>413</v>
      </c>
      <c r="G27" s="1509" t="s">
        <v>963</v>
      </c>
      <c r="H27" s="1530" t="s">
        <v>520</v>
      </c>
      <c r="I27" s="1509" t="s">
        <v>964</v>
      </c>
      <c r="J27" s="1509" t="s">
        <v>543</v>
      </c>
      <c r="K27" s="1509" t="s">
        <v>522</v>
      </c>
      <c r="L27" s="1520"/>
      <c r="M27" s="1520"/>
      <c r="N27" s="1520" t="s">
        <v>2461</v>
      </c>
      <c r="O27" s="1225"/>
      <c r="P27" s="1228"/>
      <c r="Q27" s="1228"/>
      <c r="U27" s="220" t="s">
        <v>965</v>
      </c>
      <c r="V27" s="220" t="s">
        <v>965</v>
      </c>
      <c r="X27" s="255">
        <v>43468</v>
      </c>
      <c r="Y27" s="255">
        <v>43468</v>
      </c>
      <c r="AA27" s="255"/>
      <c r="AB27" s="220" t="s">
        <v>523</v>
      </c>
      <c r="AC27" s="220">
        <v>0</v>
      </c>
      <c r="AD27" s="220">
        <v>0</v>
      </c>
      <c r="AE27" s="220">
        <v>0</v>
      </c>
      <c r="AF27" s="220">
        <v>0</v>
      </c>
      <c r="AG27" s="220">
        <v>0</v>
      </c>
      <c r="AH27" s="220">
        <v>1</v>
      </c>
      <c r="AI27" s="220">
        <v>70095</v>
      </c>
      <c r="AJ27" s="220">
        <v>2180</v>
      </c>
      <c r="AK27" s="220">
        <v>0</v>
      </c>
      <c r="AL27" s="220">
        <v>0</v>
      </c>
      <c r="AO27" s="258"/>
      <c r="AP27" s="258"/>
      <c r="AQ27" s="220" t="str">
        <f t="shared" si="0"/>
        <v/>
      </c>
      <c r="AS27" s="220" t="str">
        <f t="shared" si="1"/>
        <v>wci_corp</v>
      </c>
    </row>
    <row r="28" spans="2:45">
      <c r="B28" s="1509" t="s">
        <v>2447</v>
      </c>
      <c r="C28" s="1529">
        <v>43465</v>
      </c>
      <c r="D28" s="1537">
        <v>219.78</v>
      </c>
      <c r="E28" s="1518">
        <v>0</v>
      </c>
      <c r="F28" s="1519" t="s">
        <v>413</v>
      </c>
      <c r="G28" s="1509" t="s">
        <v>963</v>
      </c>
      <c r="H28" s="1530" t="s">
        <v>520</v>
      </c>
      <c r="I28" s="1509" t="s">
        <v>964</v>
      </c>
      <c r="J28" s="1509" t="s">
        <v>543</v>
      </c>
      <c r="K28" s="1509" t="s">
        <v>522</v>
      </c>
      <c r="L28" s="1520"/>
      <c r="M28" s="1520"/>
      <c r="N28" s="1520" t="s">
        <v>2454</v>
      </c>
      <c r="O28" s="1225"/>
      <c r="P28" s="1228"/>
      <c r="Q28" s="1228"/>
      <c r="U28" s="220" t="s">
        <v>965</v>
      </c>
      <c r="V28" s="220" t="s">
        <v>965</v>
      </c>
      <c r="X28" s="255">
        <v>43468</v>
      </c>
      <c r="Y28" s="255">
        <v>43468</v>
      </c>
      <c r="AA28" s="255"/>
      <c r="AB28" s="220" t="s">
        <v>523</v>
      </c>
      <c r="AC28" s="220">
        <v>0</v>
      </c>
      <c r="AD28" s="220">
        <v>0</v>
      </c>
      <c r="AE28" s="220">
        <v>0</v>
      </c>
      <c r="AF28" s="220">
        <v>0</v>
      </c>
      <c r="AG28" s="220">
        <v>0</v>
      </c>
      <c r="AH28" s="220">
        <v>1</v>
      </c>
      <c r="AI28" s="220">
        <v>70095</v>
      </c>
      <c r="AJ28" s="220">
        <v>2180</v>
      </c>
      <c r="AK28" s="220">
        <v>0</v>
      </c>
      <c r="AL28" s="220">
        <v>0</v>
      </c>
      <c r="AO28" s="258"/>
      <c r="AP28" s="258"/>
      <c r="AQ28" s="220" t="str">
        <f t="shared" si="0"/>
        <v/>
      </c>
      <c r="AS28" s="220" t="str">
        <f t="shared" si="1"/>
        <v>wci_corp</v>
      </c>
    </row>
    <row r="29" spans="2:45">
      <c r="B29" s="1509" t="s">
        <v>2447</v>
      </c>
      <c r="C29" s="1529">
        <v>43465</v>
      </c>
      <c r="D29" s="1537">
        <v>219.78</v>
      </c>
      <c r="E29" s="1518">
        <v>0</v>
      </c>
      <c r="F29" s="1519" t="s">
        <v>413</v>
      </c>
      <c r="G29" s="1509" t="s">
        <v>963</v>
      </c>
      <c r="H29" s="1530" t="s">
        <v>520</v>
      </c>
      <c r="I29" s="1509" t="s">
        <v>964</v>
      </c>
      <c r="J29" s="1509" t="s">
        <v>543</v>
      </c>
      <c r="K29" s="1509" t="s">
        <v>522</v>
      </c>
      <c r="L29" s="1520"/>
      <c r="M29" s="1520"/>
      <c r="N29" s="1520" t="s">
        <v>2455</v>
      </c>
      <c r="O29" s="1225"/>
      <c r="P29" s="1228"/>
      <c r="Q29" s="1228"/>
      <c r="U29" s="220" t="s">
        <v>965</v>
      </c>
      <c r="V29" s="220" t="s">
        <v>965</v>
      </c>
      <c r="X29" s="255">
        <v>43468</v>
      </c>
      <c r="Y29" s="255">
        <v>43468</v>
      </c>
      <c r="AA29" s="255"/>
      <c r="AB29" s="220" t="s">
        <v>523</v>
      </c>
      <c r="AC29" s="220">
        <v>0</v>
      </c>
      <c r="AD29" s="220">
        <v>0</v>
      </c>
      <c r="AE29" s="220">
        <v>0</v>
      </c>
      <c r="AF29" s="220">
        <v>0</v>
      </c>
      <c r="AG29" s="220">
        <v>0</v>
      </c>
      <c r="AH29" s="220">
        <v>1</v>
      </c>
      <c r="AI29" s="220">
        <v>70095</v>
      </c>
      <c r="AJ29" s="220">
        <v>2180</v>
      </c>
      <c r="AK29" s="220">
        <v>0</v>
      </c>
      <c r="AL29" s="220">
        <v>0</v>
      </c>
      <c r="AO29" s="258"/>
      <c r="AP29" s="258"/>
      <c r="AQ29" s="220" t="str">
        <f t="shared" si="0"/>
        <v/>
      </c>
      <c r="AS29" s="220" t="str">
        <f t="shared" si="1"/>
        <v>wci_corp</v>
      </c>
    </row>
    <row r="30" spans="2:45">
      <c r="B30" s="1509" t="s">
        <v>2447</v>
      </c>
      <c r="C30" s="1529">
        <v>43465</v>
      </c>
      <c r="D30" s="1537">
        <v>107.5</v>
      </c>
      <c r="E30" s="1518">
        <v>0</v>
      </c>
      <c r="F30" s="1519" t="s">
        <v>413</v>
      </c>
      <c r="G30" s="1509" t="s">
        <v>963</v>
      </c>
      <c r="H30" s="1530" t="s">
        <v>520</v>
      </c>
      <c r="I30" s="1509" t="s">
        <v>964</v>
      </c>
      <c r="J30" s="1509" t="s">
        <v>543</v>
      </c>
      <c r="K30" s="1509" t="s">
        <v>522</v>
      </c>
      <c r="L30" s="1520"/>
      <c r="M30" s="1520"/>
      <c r="N30" s="1520" t="s">
        <v>2462</v>
      </c>
      <c r="O30" s="1225"/>
      <c r="P30" s="1228"/>
      <c r="Q30" s="1228"/>
      <c r="U30" s="220" t="s">
        <v>965</v>
      </c>
      <c r="V30" s="220" t="s">
        <v>965</v>
      </c>
      <c r="X30" s="255">
        <v>43468</v>
      </c>
      <c r="Y30" s="255">
        <v>43468</v>
      </c>
      <c r="AA30" s="255"/>
      <c r="AB30" s="220" t="s">
        <v>523</v>
      </c>
      <c r="AC30" s="220">
        <v>0</v>
      </c>
      <c r="AD30" s="220">
        <v>0</v>
      </c>
      <c r="AE30" s="220">
        <v>0</v>
      </c>
      <c r="AF30" s="220">
        <v>0</v>
      </c>
      <c r="AG30" s="220">
        <v>0</v>
      </c>
      <c r="AH30" s="220">
        <v>1</v>
      </c>
      <c r="AI30" s="220">
        <v>70095</v>
      </c>
      <c r="AJ30" s="220">
        <v>2180</v>
      </c>
      <c r="AK30" s="220">
        <v>0</v>
      </c>
      <c r="AL30" s="220">
        <v>0</v>
      </c>
      <c r="AO30" s="258"/>
      <c r="AP30" s="258"/>
      <c r="AQ30" s="220" t="str">
        <f t="shared" si="0"/>
        <v/>
      </c>
      <c r="AS30" s="220" t="str">
        <f t="shared" si="1"/>
        <v>wci_corp</v>
      </c>
    </row>
    <row r="31" spans="2:45">
      <c r="B31" s="1509" t="s">
        <v>2447</v>
      </c>
      <c r="C31" s="1529">
        <v>43465</v>
      </c>
      <c r="D31" s="1537">
        <v>81.98</v>
      </c>
      <c r="E31" s="1518">
        <v>0</v>
      </c>
      <c r="F31" s="1519" t="s">
        <v>413</v>
      </c>
      <c r="G31" s="1509" t="s">
        <v>963</v>
      </c>
      <c r="H31" s="1530" t="s">
        <v>520</v>
      </c>
      <c r="I31" s="1509" t="s">
        <v>964</v>
      </c>
      <c r="J31" s="1509" t="s">
        <v>543</v>
      </c>
      <c r="K31" s="1509" t="s">
        <v>522</v>
      </c>
      <c r="L31" s="1520"/>
      <c r="M31" s="1520"/>
      <c r="N31" s="1520" t="s">
        <v>2463</v>
      </c>
      <c r="O31" s="1225"/>
      <c r="P31" s="1228"/>
      <c r="Q31" s="1228"/>
      <c r="U31" s="220" t="s">
        <v>965</v>
      </c>
      <c r="V31" s="220" t="s">
        <v>965</v>
      </c>
      <c r="X31" s="255">
        <v>43468</v>
      </c>
      <c r="Y31" s="255">
        <v>43468</v>
      </c>
      <c r="AA31" s="255"/>
      <c r="AB31" s="220" t="s">
        <v>523</v>
      </c>
      <c r="AC31" s="220">
        <v>0</v>
      </c>
      <c r="AD31" s="220">
        <v>0</v>
      </c>
      <c r="AE31" s="220">
        <v>0</v>
      </c>
      <c r="AF31" s="220">
        <v>0</v>
      </c>
      <c r="AG31" s="220">
        <v>0</v>
      </c>
      <c r="AH31" s="220">
        <v>1</v>
      </c>
      <c r="AI31" s="220">
        <v>70095</v>
      </c>
      <c r="AJ31" s="220">
        <v>2180</v>
      </c>
      <c r="AK31" s="220">
        <v>0</v>
      </c>
      <c r="AL31" s="220">
        <v>0</v>
      </c>
      <c r="AO31" s="258"/>
      <c r="AP31" s="258"/>
      <c r="AQ31" s="220" t="str">
        <f t="shared" si="0"/>
        <v/>
      </c>
      <c r="AS31" s="220" t="str">
        <f t="shared" si="1"/>
        <v>wci_corp</v>
      </c>
    </row>
    <row r="32" spans="2:45">
      <c r="B32" s="1509" t="s">
        <v>2447</v>
      </c>
      <c r="C32" s="1529">
        <v>43465</v>
      </c>
      <c r="D32" s="1537">
        <v>98.89</v>
      </c>
      <c r="E32" s="1518">
        <v>0</v>
      </c>
      <c r="F32" s="1519" t="s">
        <v>413</v>
      </c>
      <c r="G32" s="1509" t="s">
        <v>963</v>
      </c>
      <c r="H32" s="1530" t="s">
        <v>520</v>
      </c>
      <c r="I32" s="1509" t="s">
        <v>964</v>
      </c>
      <c r="J32" s="1509" t="s">
        <v>543</v>
      </c>
      <c r="K32" s="1509" t="s">
        <v>522</v>
      </c>
      <c r="L32" s="1520"/>
      <c r="M32" s="1520"/>
      <c r="N32" s="1520" t="s">
        <v>2464</v>
      </c>
      <c r="O32" s="1225"/>
      <c r="P32" s="1228"/>
      <c r="Q32" s="1228"/>
      <c r="U32" s="220" t="s">
        <v>965</v>
      </c>
      <c r="V32" s="220" t="s">
        <v>965</v>
      </c>
      <c r="X32" s="255">
        <v>43468</v>
      </c>
      <c r="Y32" s="255">
        <v>43468</v>
      </c>
      <c r="AA32" s="255"/>
      <c r="AB32" s="220" t="s">
        <v>523</v>
      </c>
      <c r="AC32" s="220">
        <v>0</v>
      </c>
      <c r="AD32" s="220">
        <v>0</v>
      </c>
      <c r="AE32" s="220">
        <v>0</v>
      </c>
      <c r="AF32" s="220">
        <v>0</v>
      </c>
      <c r="AG32" s="220">
        <v>0</v>
      </c>
      <c r="AH32" s="220">
        <v>1</v>
      </c>
      <c r="AI32" s="220">
        <v>70095</v>
      </c>
      <c r="AJ32" s="220">
        <v>2180</v>
      </c>
      <c r="AK32" s="220">
        <v>0</v>
      </c>
      <c r="AL32" s="220">
        <v>0</v>
      </c>
      <c r="AO32" s="258"/>
      <c r="AP32" s="258"/>
      <c r="AQ32" s="220" t="str">
        <f t="shared" si="0"/>
        <v/>
      </c>
      <c r="AS32" s="220" t="str">
        <f t="shared" si="1"/>
        <v>wci_corp</v>
      </c>
    </row>
    <row r="33" spans="2:45">
      <c r="B33" s="1509" t="s">
        <v>2447</v>
      </c>
      <c r="C33" s="1529">
        <v>43465</v>
      </c>
      <c r="D33" s="1537">
        <v>648.55999999999995</v>
      </c>
      <c r="E33" s="1518">
        <v>0</v>
      </c>
      <c r="F33" s="1519" t="s">
        <v>413</v>
      </c>
      <c r="G33" s="1509" t="s">
        <v>963</v>
      </c>
      <c r="H33" s="1530" t="s">
        <v>520</v>
      </c>
      <c r="I33" s="1509" t="s">
        <v>964</v>
      </c>
      <c r="J33" s="1509" t="s">
        <v>543</v>
      </c>
      <c r="K33" s="1509" t="s">
        <v>522</v>
      </c>
      <c r="L33" s="1520"/>
      <c r="M33" s="1520"/>
      <c r="N33" s="1520" t="s">
        <v>2465</v>
      </c>
      <c r="O33" s="1225"/>
      <c r="P33" s="1228"/>
      <c r="Q33" s="1228"/>
      <c r="U33" s="220" t="s">
        <v>965</v>
      </c>
      <c r="V33" s="220" t="s">
        <v>965</v>
      </c>
      <c r="X33" s="255">
        <v>43468</v>
      </c>
      <c r="Y33" s="255">
        <v>43468</v>
      </c>
      <c r="AA33" s="255"/>
      <c r="AB33" s="220" t="s">
        <v>523</v>
      </c>
      <c r="AC33" s="220">
        <v>0</v>
      </c>
      <c r="AD33" s="220">
        <v>0</v>
      </c>
      <c r="AE33" s="220">
        <v>0</v>
      </c>
      <c r="AF33" s="220">
        <v>0</v>
      </c>
      <c r="AG33" s="220">
        <v>0</v>
      </c>
      <c r="AH33" s="220">
        <v>1</v>
      </c>
      <c r="AI33" s="220">
        <v>70095</v>
      </c>
      <c r="AJ33" s="220">
        <v>2180</v>
      </c>
      <c r="AK33" s="220">
        <v>0</v>
      </c>
      <c r="AL33" s="220">
        <v>0</v>
      </c>
      <c r="AO33" s="258"/>
      <c r="AP33" s="258"/>
      <c r="AQ33" s="220" t="str">
        <f t="shared" si="0"/>
        <v/>
      </c>
      <c r="AS33" s="220" t="str">
        <f t="shared" si="1"/>
        <v>wci_corp</v>
      </c>
    </row>
    <row r="34" spans="2:45">
      <c r="B34" s="1509" t="s">
        <v>2447</v>
      </c>
      <c r="C34" s="1529">
        <v>43465</v>
      </c>
      <c r="D34" s="1537">
        <v>879.89</v>
      </c>
      <c r="E34" s="1518">
        <v>0</v>
      </c>
      <c r="F34" s="1519" t="s">
        <v>413</v>
      </c>
      <c r="G34" s="1509" t="s">
        <v>963</v>
      </c>
      <c r="H34" s="1530" t="s">
        <v>520</v>
      </c>
      <c r="I34" s="1509" t="s">
        <v>964</v>
      </c>
      <c r="J34" s="1509" t="s">
        <v>543</v>
      </c>
      <c r="K34" s="1509" t="s">
        <v>522</v>
      </c>
      <c r="L34" s="1520"/>
      <c r="M34" s="1520"/>
      <c r="N34" s="1520" t="s">
        <v>2466</v>
      </c>
      <c r="O34" s="1225"/>
      <c r="P34" s="1228"/>
      <c r="Q34" s="1228"/>
      <c r="U34" s="220" t="s">
        <v>965</v>
      </c>
      <c r="V34" s="220" t="s">
        <v>965</v>
      </c>
      <c r="X34" s="255">
        <v>43468</v>
      </c>
      <c r="Y34" s="255">
        <v>43468</v>
      </c>
      <c r="AA34" s="255"/>
      <c r="AB34" s="220" t="s">
        <v>523</v>
      </c>
      <c r="AC34" s="220">
        <v>0</v>
      </c>
      <c r="AD34" s="220">
        <v>0</v>
      </c>
      <c r="AE34" s="220">
        <v>0</v>
      </c>
      <c r="AF34" s="220">
        <v>0</v>
      </c>
      <c r="AG34" s="220">
        <v>0</v>
      </c>
      <c r="AH34" s="220">
        <v>1</v>
      </c>
      <c r="AI34" s="220">
        <v>70095</v>
      </c>
      <c r="AJ34" s="220">
        <v>2180</v>
      </c>
      <c r="AK34" s="220">
        <v>0</v>
      </c>
      <c r="AL34" s="220">
        <v>0</v>
      </c>
      <c r="AO34" s="258"/>
      <c r="AP34" s="258"/>
      <c r="AQ34" s="220" t="str">
        <f t="shared" si="0"/>
        <v/>
      </c>
      <c r="AS34" s="220" t="str">
        <f t="shared" si="1"/>
        <v>wci_corp</v>
      </c>
    </row>
    <row r="35" spans="2:45">
      <c r="B35" s="1509" t="s">
        <v>2447</v>
      </c>
      <c r="C35" s="1529">
        <v>43465</v>
      </c>
      <c r="D35" s="1537">
        <v>-49.45</v>
      </c>
      <c r="E35" s="1518">
        <v>0</v>
      </c>
      <c r="F35" s="1519" t="s">
        <v>413</v>
      </c>
      <c r="G35" s="1509" t="s">
        <v>963</v>
      </c>
      <c r="H35" s="1530" t="s">
        <v>520</v>
      </c>
      <c r="I35" s="1509" t="s">
        <v>964</v>
      </c>
      <c r="J35" s="1509" t="s">
        <v>543</v>
      </c>
      <c r="K35" s="1509" t="s">
        <v>522</v>
      </c>
      <c r="L35" s="1520"/>
      <c r="M35" s="1520"/>
      <c r="N35" s="1520" t="s">
        <v>2464</v>
      </c>
      <c r="O35" s="1225"/>
      <c r="P35" s="1228"/>
      <c r="Q35" s="1228"/>
      <c r="U35" s="220" t="s">
        <v>965</v>
      </c>
      <c r="V35" s="220" t="s">
        <v>965</v>
      </c>
      <c r="X35" s="255">
        <v>43468</v>
      </c>
      <c r="Y35" s="255">
        <v>43468</v>
      </c>
      <c r="AA35" s="255"/>
      <c r="AB35" s="220" t="s">
        <v>523</v>
      </c>
      <c r="AC35" s="220">
        <v>0</v>
      </c>
      <c r="AD35" s="220">
        <v>0</v>
      </c>
      <c r="AE35" s="220">
        <v>0</v>
      </c>
      <c r="AF35" s="220">
        <v>0</v>
      </c>
      <c r="AG35" s="220">
        <v>0</v>
      </c>
      <c r="AH35" s="220">
        <v>1</v>
      </c>
      <c r="AI35" s="220">
        <v>70095</v>
      </c>
      <c r="AJ35" s="220">
        <v>2180</v>
      </c>
      <c r="AK35" s="220">
        <v>0</v>
      </c>
      <c r="AL35" s="220">
        <v>0</v>
      </c>
      <c r="AO35" s="258"/>
      <c r="AP35" s="258"/>
      <c r="AQ35" s="220" t="str">
        <f t="shared" si="0"/>
        <v/>
      </c>
      <c r="AS35" s="220" t="str">
        <f t="shared" si="1"/>
        <v>wci_corp</v>
      </c>
    </row>
    <row r="36" spans="2:45">
      <c r="B36" s="1509" t="s">
        <v>2447</v>
      </c>
      <c r="C36" s="1529">
        <v>43465</v>
      </c>
      <c r="D36" s="1537">
        <v>675</v>
      </c>
      <c r="E36" s="1518">
        <v>0</v>
      </c>
      <c r="F36" s="1519" t="s">
        <v>413</v>
      </c>
      <c r="G36" s="1509" t="s">
        <v>963</v>
      </c>
      <c r="H36" s="1530" t="s">
        <v>520</v>
      </c>
      <c r="I36" s="1509" t="s">
        <v>964</v>
      </c>
      <c r="J36" s="1509" t="s">
        <v>543</v>
      </c>
      <c r="K36" s="1509" t="s">
        <v>522</v>
      </c>
      <c r="L36" s="1520"/>
      <c r="M36" s="1520"/>
      <c r="N36" s="1520" t="s">
        <v>2467</v>
      </c>
      <c r="O36" s="1225"/>
      <c r="P36" s="1228"/>
      <c r="Q36" s="1228"/>
      <c r="U36" s="220" t="s">
        <v>965</v>
      </c>
      <c r="V36" s="220" t="s">
        <v>965</v>
      </c>
      <c r="X36" s="255">
        <v>43468</v>
      </c>
      <c r="Y36" s="255">
        <v>43468</v>
      </c>
      <c r="AA36" s="255"/>
      <c r="AB36" s="220" t="s">
        <v>523</v>
      </c>
      <c r="AC36" s="220">
        <v>0</v>
      </c>
      <c r="AD36" s="220">
        <v>0</v>
      </c>
      <c r="AE36" s="220">
        <v>0</v>
      </c>
      <c r="AF36" s="220">
        <v>0</v>
      </c>
      <c r="AG36" s="220">
        <v>0</v>
      </c>
      <c r="AH36" s="220">
        <v>1</v>
      </c>
      <c r="AI36" s="220">
        <v>70095</v>
      </c>
      <c r="AJ36" s="220">
        <v>2180</v>
      </c>
      <c r="AK36" s="220">
        <v>0</v>
      </c>
      <c r="AL36" s="220">
        <v>0</v>
      </c>
      <c r="AO36" s="258"/>
      <c r="AP36" s="258"/>
      <c r="AQ36" s="220" t="str">
        <f t="shared" si="0"/>
        <v/>
      </c>
      <c r="AS36" s="220" t="str">
        <f t="shared" si="1"/>
        <v>wci_corp</v>
      </c>
    </row>
    <row r="37" spans="2:45">
      <c r="B37" s="1509" t="s">
        <v>2447</v>
      </c>
      <c r="C37" s="1529">
        <v>43465</v>
      </c>
      <c r="D37" s="1537">
        <v>765.45</v>
      </c>
      <c r="E37" s="1518">
        <v>0</v>
      </c>
      <c r="F37" s="1519" t="s">
        <v>413</v>
      </c>
      <c r="G37" s="1509" t="s">
        <v>963</v>
      </c>
      <c r="H37" s="1530" t="s">
        <v>520</v>
      </c>
      <c r="I37" s="1509" t="s">
        <v>964</v>
      </c>
      <c r="J37" s="1509" t="s">
        <v>543</v>
      </c>
      <c r="K37" s="1509" t="s">
        <v>522</v>
      </c>
      <c r="L37" s="1520"/>
      <c r="M37" s="1520"/>
      <c r="N37" s="1520" t="s">
        <v>1097</v>
      </c>
      <c r="O37" s="1225"/>
      <c r="P37" s="1228"/>
      <c r="Q37" s="1228"/>
      <c r="U37" s="220" t="s">
        <v>965</v>
      </c>
      <c r="V37" s="220" t="s">
        <v>965</v>
      </c>
      <c r="X37" s="255">
        <v>43468</v>
      </c>
      <c r="Y37" s="255">
        <v>43468</v>
      </c>
      <c r="AA37" s="255"/>
      <c r="AB37" s="220" t="s">
        <v>523</v>
      </c>
      <c r="AC37" s="220">
        <v>0</v>
      </c>
      <c r="AD37" s="220">
        <v>0</v>
      </c>
      <c r="AE37" s="220">
        <v>0</v>
      </c>
      <c r="AF37" s="220">
        <v>0</v>
      </c>
      <c r="AG37" s="220">
        <v>0</v>
      </c>
      <c r="AH37" s="220">
        <v>1</v>
      </c>
      <c r="AI37" s="220">
        <v>70095</v>
      </c>
      <c r="AJ37" s="220">
        <v>2180</v>
      </c>
      <c r="AK37" s="220">
        <v>0</v>
      </c>
      <c r="AL37" s="220">
        <v>0</v>
      </c>
      <c r="AO37" s="258"/>
      <c r="AP37" s="258"/>
      <c r="AQ37" s="220" t="str">
        <f t="shared" si="0"/>
        <v/>
      </c>
      <c r="AS37" s="220" t="str">
        <f t="shared" si="1"/>
        <v>wci_corp</v>
      </c>
    </row>
    <row r="38" spans="2:45">
      <c r="B38" s="1509" t="s">
        <v>2447</v>
      </c>
      <c r="C38" s="1529">
        <v>43465</v>
      </c>
      <c r="D38" s="1537">
        <v>76.930000000000007</v>
      </c>
      <c r="E38" s="1518">
        <v>0</v>
      </c>
      <c r="F38" s="1519" t="s">
        <v>413</v>
      </c>
      <c r="G38" s="1509" t="s">
        <v>963</v>
      </c>
      <c r="H38" s="1530" t="s">
        <v>520</v>
      </c>
      <c r="I38" s="1509" t="s">
        <v>964</v>
      </c>
      <c r="J38" s="1509" t="s">
        <v>543</v>
      </c>
      <c r="K38" s="1509" t="s">
        <v>522</v>
      </c>
      <c r="L38" s="1520"/>
      <c r="M38" s="1520"/>
      <c r="N38" s="1520" t="s">
        <v>2468</v>
      </c>
      <c r="O38" s="1225"/>
      <c r="P38" s="1228"/>
      <c r="Q38" s="1228"/>
      <c r="U38" s="220" t="s">
        <v>965</v>
      </c>
      <c r="V38" s="220" t="s">
        <v>965</v>
      </c>
      <c r="X38" s="255">
        <v>43468</v>
      </c>
      <c r="Y38" s="255">
        <v>43468</v>
      </c>
      <c r="AA38" s="255"/>
      <c r="AB38" s="220" t="s">
        <v>523</v>
      </c>
      <c r="AC38" s="220">
        <v>0</v>
      </c>
      <c r="AD38" s="220">
        <v>0</v>
      </c>
      <c r="AE38" s="220">
        <v>0</v>
      </c>
      <c r="AF38" s="220">
        <v>0</v>
      </c>
      <c r="AG38" s="220">
        <v>0</v>
      </c>
      <c r="AH38" s="220">
        <v>1</v>
      </c>
      <c r="AI38" s="220">
        <v>70095</v>
      </c>
      <c r="AJ38" s="220">
        <v>2180</v>
      </c>
      <c r="AK38" s="220">
        <v>0</v>
      </c>
      <c r="AL38" s="220">
        <v>0</v>
      </c>
      <c r="AO38" s="258"/>
      <c r="AP38" s="258"/>
      <c r="AQ38" s="220" t="str">
        <f t="shared" si="0"/>
        <v/>
      </c>
      <c r="AS38" s="220" t="str">
        <f t="shared" si="1"/>
        <v>wci_corp</v>
      </c>
    </row>
    <row r="39" spans="2:45">
      <c r="B39" s="1509" t="s">
        <v>2447</v>
      </c>
      <c r="C39" s="1529">
        <v>43465</v>
      </c>
      <c r="D39" s="1537">
        <v>51.96</v>
      </c>
      <c r="E39" s="1518">
        <v>0</v>
      </c>
      <c r="F39" s="1519" t="s">
        <v>413</v>
      </c>
      <c r="G39" s="1509" t="s">
        <v>963</v>
      </c>
      <c r="H39" s="1530" t="s">
        <v>520</v>
      </c>
      <c r="I39" s="1509" t="s">
        <v>964</v>
      </c>
      <c r="J39" s="1509" t="s">
        <v>543</v>
      </c>
      <c r="K39" s="1509" t="s">
        <v>522</v>
      </c>
      <c r="L39" s="1520"/>
      <c r="M39" s="1520"/>
      <c r="N39" s="1520" t="s">
        <v>1097</v>
      </c>
      <c r="O39" s="1225"/>
      <c r="P39" s="1228"/>
      <c r="Q39" s="1228"/>
      <c r="U39" s="220" t="s">
        <v>965</v>
      </c>
      <c r="V39" s="220" t="s">
        <v>965</v>
      </c>
      <c r="X39" s="255">
        <v>43468</v>
      </c>
      <c r="Y39" s="255">
        <v>43468</v>
      </c>
      <c r="AA39" s="255"/>
      <c r="AB39" s="220" t="s">
        <v>523</v>
      </c>
      <c r="AC39" s="220">
        <v>0</v>
      </c>
      <c r="AD39" s="220">
        <v>0</v>
      </c>
      <c r="AE39" s="220">
        <v>0</v>
      </c>
      <c r="AF39" s="220">
        <v>0</v>
      </c>
      <c r="AG39" s="220">
        <v>0</v>
      </c>
      <c r="AH39" s="220">
        <v>1</v>
      </c>
      <c r="AI39" s="220">
        <v>70095</v>
      </c>
      <c r="AJ39" s="220">
        <v>2180</v>
      </c>
      <c r="AK39" s="220">
        <v>0</v>
      </c>
      <c r="AL39" s="220">
        <v>0</v>
      </c>
      <c r="AO39" s="258"/>
      <c r="AP39" s="258"/>
      <c r="AQ39" s="220" t="str">
        <f t="shared" si="0"/>
        <v/>
      </c>
      <c r="AS39" s="220" t="str">
        <f t="shared" si="1"/>
        <v>wci_corp</v>
      </c>
    </row>
    <row r="40" spans="2:45">
      <c r="B40" s="1509" t="s">
        <v>2447</v>
      </c>
      <c r="C40" s="1529">
        <v>43465</v>
      </c>
      <c r="D40" s="1537">
        <v>13.19</v>
      </c>
      <c r="E40" s="1518">
        <v>0</v>
      </c>
      <c r="F40" s="1519" t="s">
        <v>413</v>
      </c>
      <c r="G40" s="1509" t="s">
        <v>963</v>
      </c>
      <c r="H40" s="1530" t="s">
        <v>520</v>
      </c>
      <c r="I40" s="1509" t="s">
        <v>964</v>
      </c>
      <c r="J40" s="1509" t="s">
        <v>543</v>
      </c>
      <c r="K40" s="1509" t="s">
        <v>522</v>
      </c>
      <c r="L40" s="1520"/>
      <c r="M40" s="1520"/>
      <c r="N40" s="1520" t="s">
        <v>2469</v>
      </c>
      <c r="O40" s="1225"/>
      <c r="P40" s="1228"/>
      <c r="Q40" s="1228"/>
      <c r="U40" s="220" t="s">
        <v>965</v>
      </c>
      <c r="V40" s="220" t="s">
        <v>965</v>
      </c>
      <c r="X40" s="255">
        <v>43468</v>
      </c>
      <c r="Y40" s="255">
        <v>43468</v>
      </c>
      <c r="AA40" s="255"/>
      <c r="AB40" s="220" t="s">
        <v>523</v>
      </c>
      <c r="AC40" s="220">
        <v>0</v>
      </c>
      <c r="AD40" s="220">
        <v>0</v>
      </c>
      <c r="AE40" s="220">
        <v>0</v>
      </c>
      <c r="AF40" s="220">
        <v>0</v>
      </c>
      <c r="AG40" s="220">
        <v>0</v>
      </c>
      <c r="AH40" s="220">
        <v>1</v>
      </c>
      <c r="AI40" s="220">
        <v>70095</v>
      </c>
      <c r="AJ40" s="220">
        <v>2180</v>
      </c>
      <c r="AK40" s="220">
        <v>0</v>
      </c>
      <c r="AL40" s="220">
        <v>0</v>
      </c>
      <c r="AO40" s="258"/>
      <c r="AP40" s="258"/>
      <c r="AQ40" s="220" t="str">
        <f t="shared" si="0"/>
        <v/>
      </c>
      <c r="AS40" s="220" t="str">
        <f t="shared" si="1"/>
        <v>wci_corp</v>
      </c>
    </row>
    <row r="41" spans="2:45">
      <c r="B41" s="1509" t="s">
        <v>2447</v>
      </c>
      <c r="C41" s="1529">
        <v>43465</v>
      </c>
      <c r="D41" s="1537">
        <v>275.83999999999997</v>
      </c>
      <c r="E41" s="1518">
        <v>0</v>
      </c>
      <c r="F41" s="1519" t="s">
        <v>413</v>
      </c>
      <c r="G41" s="1509" t="s">
        <v>963</v>
      </c>
      <c r="H41" s="1530" t="s">
        <v>520</v>
      </c>
      <c r="I41" s="1509" t="s">
        <v>964</v>
      </c>
      <c r="J41" s="1509" t="s">
        <v>543</v>
      </c>
      <c r="K41" s="1509" t="s">
        <v>522</v>
      </c>
      <c r="L41" s="1520"/>
      <c r="M41" s="1520"/>
      <c r="N41" s="1520" t="s">
        <v>2458</v>
      </c>
      <c r="O41" s="1225"/>
      <c r="P41" s="1228"/>
      <c r="Q41" s="1228"/>
      <c r="U41" s="220" t="s">
        <v>965</v>
      </c>
      <c r="V41" s="220" t="s">
        <v>965</v>
      </c>
      <c r="X41" s="255">
        <v>43468</v>
      </c>
      <c r="Y41" s="255">
        <v>43468</v>
      </c>
      <c r="AA41" s="255"/>
      <c r="AB41" s="220" t="s">
        <v>523</v>
      </c>
      <c r="AC41" s="220">
        <v>0</v>
      </c>
      <c r="AD41" s="220">
        <v>0</v>
      </c>
      <c r="AE41" s="220">
        <v>0</v>
      </c>
      <c r="AF41" s="220">
        <v>0</v>
      </c>
      <c r="AG41" s="220">
        <v>0</v>
      </c>
      <c r="AH41" s="220">
        <v>1</v>
      </c>
      <c r="AI41" s="220">
        <v>70095</v>
      </c>
      <c r="AJ41" s="220">
        <v>2180</v>
      </c>
      <c r="AK41" s="220">
        <v>0</v>
      </c>
      <c r="AL41" s="220">
        <v>0</v>
      </c>
      <c r="AO41" s="258"/>
      <c r="AP41" s="258"/>
      <c r="AQ41" s="220" t="str">
        <f t="shared" si="0"/>
        <v/>
      </c>
      <c r="AS41" s="220" t="str">
        <f t="shared" si="1"/>
        <v>wci_corp</v>
      </c>
    </row>
    <row r="42" spans="2:45">
      <c r="B42" s="1509" t="s">
        <v>2447</v>
      </c>
      <c r="C42" s="1529">
        <v>43465</v>
      </c>
      <c r="D42" s="1537">
        <v>26.42</v>
      </c>
      <c r="E42" s="1518">
        <v>0</v>
      </c>
      <c r="F42" s="1519" t="s">
        <v>413</v>
      </c>
      <c r="G42" s="1509" t="s">
        <v>2470</v>
      </c>
      <c r="H42" s="1530" t="s">
        <v>520</v>
      </c>
      <c r="I42" s="1509" t="s">
        <v>2471</v>
      </c>
      <c r="J42" s="1509" t="s">
        <v>536</v>
      </c>
      <c r="K42" s="1509" t="s">
        <v>522</v>
      </c>
      <c r="L42" s="1520"/>
      <c r="M42" s="1520"/>
      <c r="N42" s="1520" t="s">
        <v>2472</v>
      </c>
      <c r="O42" s="1225"/>
      <c r="P42" s="1228"/>
      <c r="Q42" s="1228"/>
      <c r="U42" s="220" t="s">
        <v>2473</v>
      </c>
      <c r="V42" s="220" t="s">
        <v>2473</v>
      </c>
      <c r="X42" s="255">
        <v>43469</v>
      </c>
      <c r="Y42" s="255">
        <v>43469</v>
      </c>
      <c r="AA42" s="255"/>
      <c r="AB42" s="220" t="s">
        <v>523</v>
      </c>
      <c r="AC42" s="220">
        <v>0</v>
      </c>
      <c r="AD42" s="220">
        <v>0</v>
      </c>
      <c r="AE42" s="220">
        <v>0</v>
      </c>
      <c r="AF42" s="220">
        <v>0</v>
      </c>
      <c r="AG42" s="220">
        <v>0</v>
      </c>
      <c r="AH42" s="220">
        <v>1</v>
      </c>
      <c r="AI42" s="220">
        <v>70095</v>
      </c>
      <c r="AJ42" s="220">
        <v>2180</v>
      </c>
      <c r="AK42" s="220">
        <v>0</v>
      </c>
      <c r="AL42" s="220">
        <v>0</v>
      </c>
      <c r="AO42" s="258"/>
      <c r="AP42" s="258"/>
      <c r="AQ42" s="220" t="str">
        <f t="shared" si="0"/>
        <v/>
      </c>
      <c r="AS42" s="220" t="str">
        <f t="shared" si="1"/>
        <v>wci_corp</v>
      </c>
    </row>
    <row r="43" spans="2:45">
      <c r="B43" s="1509" t="s">
        <v>2447</v>
      </c>
      <c r="C43" s="1529">
        <v>43465</v>
      </c>
      <c r="D43" s="1537">
        <v>9.99</v>
      </c>
      <c r="E43" s="1518">
        <v>0</v>
      </c>
      <c r="F43" s="1519" t="s">
        <v>413</v>
      </c>
      <c r="G43" s="1509" t="s">
        <v>2470</v>
      </c>
      <c r="H43" s="1530" t="s">
        <v>520</v>
      </c>
      <c r="I43" s="1509" t="s">
        <v>2471</v>
      </c>
      <c r="J43" s="1509" t="s">
        <v>536</v>
      </c>
      <c r="K43" s="1509" t="s">
        <v>522</v>
      </c>
      <c r="L43" s="1520"/>
      <c r="M43" s="1520"/>
      <c r="N43" s="1520" t="s">
        <v>2472</v>
      </c>
      <c r="O43" s="1225"/>
      <c r="P43" s="1228"/>
      <c r="Q43" s="1228"/>
      <c r="U43" s="220" t="s">
        <v>2473</v>
      </c>
      <c r="V43" s="220" t="s">
        <v>2473</v>
      </c>
      <c r="X43" s="255">
        <v>43469</v>
      </c>
      <c r="Y43" s="255">
        <v>43469</v>
      </c>
      <c r="AA43" s="255"/>
      <c r="AB43" s="220" t="s">
        <v>523</v>
      </c>
      <c r="AC43" s="220">
        <v>0</v>
      </c>
      <c r="AD43" s="220">
        <v>0</v>
      </c>
      <c r="AE43" s="220">
        <v>0</v>
      </c>
      <c r="AF43" s="220">
        <v>0</v>
      </c>
      <c r="AG43" s="220">
        <v>0</v>
      </c>
      <c r="AH43" s="220">
        <v>1</v>
      </c>
      <c r="AI43" s="220">
        <v>70095</v>
      </c>
      <c r="AJ43" s="220">
        <v>2180</v>
      </c>
      <c r="AK43" s="220">
        <v>0</v>
      </c>
      <c r="AL43" s="220">
        <v>0</v>
      </c>
      <c r="AO43" s="258"/>
      <c r="AP43" s="258"/>
      <c r="AQ43" s="220" t="str">
        <f t="shared" si="0"/>
        <v/>
      </c>
      <c r="AS43" s="220" t="str">
        <f t="shared" si="1"/>
        <v>wci_corp</v>
      </c>
    </row>
    <row r="44" spans="2:45">
      <c r="B44" s="1509" t="s">
        <v>2447</v>
      </c>
      <c r="C44" s="1529">
        <v>43465</v>
      </c>
      <c r="D44" s="1537">
        <v>107.42</v>
      </c>
      <c r="E44" s="1518">
        <v>0</v>
      </c>
      <c r="F44" s="1519" t="s">
        <v>413</v>
      </c>
      <c r="G44" s="1509" t="s">
        <v>2470</v>
      </c>
      <c r="H44" s="1530" t="s">
        <v>520</v>
      </c>
      <c r="I44" s="1509" t="s">
        <v>2471</v>
      </c>
      <c r="J44" s="1509" t="s">
        <v>536</v>
      </c>
      <c r="K44" s="1509" t="s">
        <v>522</v>
      </c>
      <c r="L44" s="1520"/>
      <c r="M44" s="1520"/>
      <c r="N44" s="1520" t="s">
        <v>2474</v>
      </c>
      <c r="O44" s="1225"/>
      <c r="P44" s="1228"/>
      <c r="Q44" s="1228"/>
      <c r="U44" s="220" t="s">
        <v>2473</v>
      </c>
      <c r="V44" s="220" t="s">
        <v>2473</v>
      </c>
      <c r="X44" s="255">
        <v>43469</v>
      </c>
      <c r="Y44" s="255">
        <v>43469</v>
      </c>
      <c r="AA44" s="255"/>
      <c r="AB44" s="220" t="s">
        <v>523</v>
      </c>
      <c r="AC44" s="220">
        <v>0</v>
      </c>
      <c r="AD44" s="220">
        <v>0</v>
      </c>
      <c r="AE44" s="220">
        <v>0</v>
      </c>
      <c r="AF44" s="220">
        <v>0</v>
      </c>
      <c r="AG44" s="220">
        <v>0</v>
      </c>
      <c r="AH44" s="220">
        <v>1</v>
      </c>
      <c r="AI44" s="220">
        <v>70095</v>
      </c>
      <c r="AJ44" s="220">
        <v>2180</v>
      </c>
      <c r="AK44" s="220">
        <v>0</v>
      </c>
      <c r="AL44" s="220">
        <v>0</v>
      </c>
      <c r="AO44" s="258"/>
      <c r="AP44" s="258"/>
      <c r="AQ44" s="220" t="str">
        <f t="shared" si="0"/>
        <v/>
      </c>
      <c r="AS44" s="220" t="str">
        <f t="shared" si="1"/>
        <v>wci_corp</v>
      </c>
    </row>
    <row r="45" spans="2:45">
      <c r="B45" s="1509" t="s">
        <v>2447</v>
      </c>
      <c r="C45" s="1529">
        <v>43465</v>
      </c>
      <c r="D45" s="1537">
        <v>234.41</v>
      </c>
      <c r="E45" s="1518">
        <v>0</v>
      </c>
      <c r="F45" s="1519" t="s">
        <v>413</v>
      </c>
      <c r="G45" s="1509" t="s">
        <v>2475</v>
      </c>
      <c r="H45" s="1530" t="s">
        <v>520</v>
      </c>
      <c r="I45" s="1509" t="s">
        <v>2476</v>
      </c>
      <c r="J45" s="1509" t="s">
        <v>536</v>
      </c>
      <c r="K45" s="1509" t="s">
        <v>522</v>
      </c>
      <c r="L45" s="1520"/>
      <c r="M45" s="1520"/>
      <c r="N45" s="1520" t="s">
        <v>2477</v>
      </c>
      <c r="O45" s="1225"/>
      <c r="P45" s="1228"/>
      <c r="Q45" s="1228"/>
      <c r="U45" s="220" t="s">
        <v>2478</v>
      </c>
      <c r="V45" s="220" t="s">
        <v>2478</v>
      </c>
      <c r="X45" s="255">
        <v>43472</v>
      </c>
      <c r="Y45" s="255">
        <v>43473</v>
      </c>
      <c r="AA45" s="255"/>
      <c r="AB45" s="220" t="s">
        <v>523</v>
      </c>
      <c r="AC45" s="220">
        <v>0</v>
      </c>
      <c r="AD45" s="220">
        <v>0</v>
      </c>
      <c r="AE45" s="220">
        <v>0</v>
      </c>
      <c r="AF45" s="220">
        <v>0</v>
      </c>
      <c r="AG45" s="220">
        <v>0</v>
      </c>
      <c r="AH45" s="220">
        <v>1</v>
      </c>
      <c r="AI45" s="220">
        <v>70095</v>
      </c>
      <c r="AJ45" s="220">
        <v>2180</v>
      </c>
      <c r="AK45" s="220">
        <v>0</v>
      </c>
      <c r="AL45" s="220">
        <v>0</v>
      </c>
      <c r="AO45" s="258"/>
      <c r="AP45" s="258"/>
      <c r="AQ45" s="220" t="str">
        <f t="shared" si="0"/>
        <v/>
      </c>
      <c r="AS45" s="220" t="str">
        <f t="shared" si="1"/>
        <v>wci_corp</v>
      </c>
    </row>
    <row r="46" spans="2:45">
      <c r="B46" s="1509" t="s">
        <v>2447</v>
      </c>
      <c r="C46" s="1529">
        <v>43465</v>
      </c>
      <c r="D46" s="1537">
        <v>2081.94</v>
      </c>
      <c r="E46" s="1518">
        <v>0</v>
      </c>
      <c r="F46" s="1519" t="s">
        <v>413</v>
      </c>
      <c r="G46" s="1509" t="s">
        <v>2479</v>
      </c>
      <c r="H46" s="1530" t="s">
        <v>520</v>
      </c>
      <c r="I46" s="1509" t="s">
        <v>2480</v>
      </c>
      <c r="J46" s="1509" t="s">
        <v>536</v>
      </c>
      <c r="K46" s="1509" t="s">
        <v>522</v>
      </c>
      <c r="L46" s="1520"/>
      <c r="M46" s="1520"/>
      <c r="N46" s="1520" t="s">
        <v>2481</v>
      </c>
      <c r="O46" s="1225"/>
      <c r="P46" s="1228"/>
      <c r="Q46" s="1228"/>
      <c r="U46" s="220" t="s">
        <v>2482</v>
      </c>
      <c r="V46" s="220" t="s">
        <v>2482</v>
      </c>
      <c r="X46" s="255">
        <v>43473</v>
      </c>
      <c r="Y46" s="255">
        <v>43473</v>
      </c>
      <c r="AA46" s="255"/>
      <c r="AB46" s="220" t="s">
        <v>523</v>
      </c>
      <c r="AC46" s="220">
        <v>0</v>
      </c>
      <c r="AD46" s="220">
        <v>0</v>
      </c>
      <c r="AE46" s="220">
        <v>0</v>
      </c>
      <c r="AF46" s="220">
        <v>0</v>
      </c>
      <c r="AG46" s="220">
        <v>0</v>
      </c>
      <c r="AH46" s="220">
        <v>1</v>
      </c>
      <c r="AI46" s="220">
        <v>70095</v>
      </c>
      <c r="AJ46" s="220">
        <v>2180</v>
      </c>
      <c r="AK46" s="220">
        <v>0</v>
      </c>
      <c r="AL46" s="220">
        <v>0</v>
      </c>
      <c r="AO46" s="258"/>
      <c r="AP46" s="258"/>
      <c r="AQ46" s="220" t="str">
        <f t="shared" si="0"/>
        <v/>
      </c>
      <c r="AS46" s="220" t="str">
        <f t="shared" si="1"/>
        <v>wci_corp</v>
      </c>
    </row>
    <row r="47" spans="2:45">
      <c r="B47" s="1509" t="s">
        <v>2447</v>
      </c>
      <c r="C47" s="1529">
        <v>43465</v>
      </c>
      <c r="D47" s="1537">
        <v>648.55999999999995</v>
      </c>
      <c r="E47" s="1518">
        <v>0</v>
      </c>
      <c r="F47" s="1519" t="s">
        <v>413</v>
      </c>
      <c r="G47" s="1509" t="s">
        <v>2483</v>
      </c>
      <c r="H47" s="1530" t="s">
        <v>520</v>
      </c>
      <c r="I47" s="1509" t="s">
        <v>2484</v>
      </c>
      <c r="J47" s="1509" t="s">
        <v>521</v>
      </c>
      <c r="K47" s="1509" t="s">
        <v>522</v>
      </c>
      <c r="L47" s="1520"/>
      <c r="M47" s="1520"/>
      <c r="N47" s="1520" t="s">
        <v>2485</v>
      </c>
      <c r="O47" s="1225"/>
      <c r="P47" s="1228"/>
      <c r="Q47" s="1228"/>
      <c r="U47" s="220" t="s">
        <v>2486</v>
      </c>
      <c r="V47" s="220" t="s">
        <v>2486</v>
      </c>
      <c r="X47" s="255">
        <v>43473</v>
      </c>
      <c r="Y47" s="255">
        <v>43473</v>
      </c>
      <c r="AA47" s="255"/>
      <c r="AB47" s="220" t="s">
        <v>523</v>
      </c>
      <c r="AC47" s="220">
        <v>0</v>
      </c>
      <c r="AD47" s="220">
        <v>0</v>
      </c>
      <c r="AE47" s="220">
        <v>0</v>
      </c>
      <c r="AF47" s="220">
        <v>0</v>
      </c>
      <c r="AG47" s="220">
        <v>0</v>
      </c>
      <c r="AH47" s="220">
        <v>1</v>
      </c>
      <c r="AI47" s="220">
        <v>70095</v>
      </c>
      <c r="AJ47" s="220">
        <v>2180</v>
      </c>
      <c r="AK47" s="220">
        <v>0</v>
      </c>
      <c r="AL47" s="220">
        <v>0</v>
      </c>
      <c r="AO47" s="258"/>
      <c r="AP47" s="258"/>
      <c r="AQ47" s="220" t="str">
        <f t="shared" si="0"/>
        <v/>
      </c>
      <c r="AS47" s="220" t="str">
        <f t="shared" si="1"/>
        <v>wci_corp</v>
      </c>
    </row>
    <row r="48" spans="2:45">
      <c r="B48" s="1509" t="s">
        <v>2447</v>
      </c>
      <c r="C48" s="1529">
        <v>43496</v>
      </c>
      <c r="D48" s="1537">
        <v>-648.55999999999995</v>
      </c>
      <c r="E48" s="1518">
        <v>0</v>
      </c>
      <c r="F48" s="1519" t="s">
        <v>413</v>
      </c>
      <c r="G48" s="1509" t="s">
        <v>2487</v>
      </c>
      <c r="H48" s="1530" t="s">
        <v>520</v>
      </c>
      <c r="I48" s="1509" t="s">
        <v>2484</v>
      </c>
      <c r="J48" s="1509" t="s">
        <v>521</v>
      </c>
      <c r="K48" s="1509" t="s">
        <v>522</v>
      </c>
      <c r="L48" s="1520"/>
      <c r="M48" s="1520"/>
      <c r="N48" s="1520" t="s">
        <v>2485</v>
      </c>
      <c r="O48" s="1225"/>
      <c r="P48" s="1228"/>
      <c r="Q48" s="1228"/>
      <c r="U48" s="220" t="s">
        <v>2486</v>
      </c>
      <c r="V48" s="220" t="s">
        <v>2488</v>
      </c>
      <c r="X48" s="255">
        <v>43473</v>
      </c>
      <c r="Y48" s="255">
        <v>43473</v>
      </c>
      <c r="AA48" s="255"/>
      <c r="AB48" s="220" t="s">
        <v>523</v>
      </c>
      <c r="AC48" s="220">
        <v>0</v>
      </c>
      <c r="AD48" s="220">
        <v>0</v>
      </c>
      <c r="AE48" s="220">
        <v>0</v>
      </c>
      <c r="AF48" s="220">
        <v>0</v>
      </c>
      <c r="AG48" s="220">
        <v>5</v>
      </c>
      <c r="AH48" s="220">
        <v>1</v>
      </c>
      <c r="AI48" s="220">
        <v>70095</v>
      </c>
      <c r="AJ48" s="220">
        <v>2180</v>
      </c>
      <c r="AK48" s="220">
        <v>0</v>
      </c>
      <c r="AL48" s="220">
        <v>0</v>
      </c>
      <c r="AO48" s="258"/>
      <c r="AP48" s="258"/>
      <c r="AQ48" s="220" t="str">
        <f t="shared" si="0"/>
        <v/>
      </c>
      <c r="AS48" s="220" t="str">
        <f t="shared" si="1"/>
        <v>wci_corp</v>
      </c>
    </row>
    <row r="49" spans="2:45">
      <c r="B49" s="1509" t="s">
        <v>2447</v>
      </c>
      <c r="C49" s="1529">
        <v>43496</v>
      </c>
      <c r="D49" s="1537">
        <v>91.2</v>
      </c>
      <c r="E49" s="1518">
        <v>0</v>
      </c>
      <c r="F49" s="1519" t="s">
        <v>413</v>
      </c>
      <c r="G49" s="1509" t="s">
        <v>982</v>
      </c>
      <c r="H49" s="1530" t="s">
        <v>520</v>
      </c>
      <c r="I49" s="1509" t="s">
        <v>983</v>
      </c>
      <c r="J49" s="1509" t="s">
        <v>536</v>
      </c>
      <c r="K49" s="1509" t="s">
        <v>522</v>
      </c>
      <c r="L49" s="1520"/>
      <c r="M49" s="1520"/>
      <c r="N49" s="1520" t="s">
        <v>2462</v>
      </c>
      <c r="O49" s="1225"/>
      <c r="P49" s="1228"/>
      <c r="Q49" s="1228"/>
      <c r="U49" s="220" t="s">
        <v>984</v>
      </c>
      <c r="V49" s="220" t="s">
        <v>984</v>
      </c>
      <c r="X49" s="255">
        <v>43500</v>
      </c>
      <c r="Y49" s="255">
        <v>43500</v>
      </c>
      <c r="AA49" s="255"/>
      <c r="AB49" s="220" t="s">
        <v>523</v>
      </c>
      <c r="AC49" s="220">
        <v>0</v>
      </c>
      <c r="AD49" s="220">
        <v>0</v>
      </c>
      <c r="AE49" s="220">
        <v>0</v>
      </c>
      <c r="AF49" s="220">
        <v>0</v>
      </c>
      <c r="AG49" s="220">
        <v>0</v>
      </c>
      <c r="AH49" s="220">
        <v>1</v>
      </c>
      <c r="AI49" s="220">
        <v>70095</v>
      </c>
      <c r="AJ49" s="220">
        <v>2180</v>
      </c>
      <c r="AK49" s="220">
        <v>0</v>
      </c>
      <c r="AL49" s="220">
        <v>0</v>
      </c>
      <c r="AO49" s="258"/>
      <c r="AP49" s="258"/>
      <c r="AQ49" s="220" t="str">
        <f t="shared" si="0"/>
        <v/>
      </c>
      <c r="AS49" s="220" t="str">
        <f t="shared" si="1"/>
        <v>wci_corp</v>
      </c>
    </row>
    <row r="50" spans="2:45">
      <c r="B50" s="1509" t="s">
        <v>2447</v>
      </c>
      <c r="C50" s="1529">
        <v>43496</v>
      </c>
      <c r="D50" s="1537">
        <v>336.38</v>
      </c>
      <c r="E50" s="1518">
        <v>0</v>
      </c>
      <c r="F50" s="1519" t="s">
        <v>413</v>
      </c>
      <c r="G50" s="1509" t="s">
        <v>982</v>
      </c>
      <c r="H50" s="1530" t="s">
        <v>520</v>
      </c>
      <c r="I50" s="1509" t="s">
        <v>983</v>
      </c>
      <c r="J50" s="1509" t="s">
        <v>536</v>
      </c>
      <c r="K50" s="1509" t="s">
        <v>522</v>
      </c>
      <c r="L50" s="1520"/>
      <c r="M50" s="1520"/>
      <c r="N50" s="1520" t="s">
        <v>2489</v>
      </c>
      <c r="O50" s="1225"/>
      <c r="P50" s="1228"/>
      <c r="Q50" s="1228"/>
      <c r="U50" s="220" t="s">
        <v>984</v>
      </c>
      <c r="V50" s="220" t="s">
        <v>984</v>
      </c>
      <c r="X50" s="255">
        <v>43500</v>
      </c>
      <c r="Y50" s="255">
        <v>43500</v>
      </c>
      <c r="AA50" s="255"/>
      <c r="AB50" s="220" t="s">
        <v>523</v>
      </c>
      <c r="AC50" s="220">
        <v>0</v>
      </c>
      <c r="AD50" s="220">
        <v>0</v>
      </c>
      <c r="AE50" s="220">
        <v>0</v>
      </c>
      <c r="AF50" s="220">
        <v>0</v>
      </c>
      <c r="AG50" s="220">
        <v>0</v>
      </c>
      <c r="AH50" s="220">
        <v>1</v>
      </c>
      <c r="AI50" s="220">
        <v>70095</v>
      </c>
      <c r="AJ50" s="220">
        <v>2180</v>
      </c>
      <c r="AK50" s="220">
        <v>0</v>
      </c>
      <c r="AL50" s="220">
        <v>0</v>
      </c>
      <c r="AO50" s="258"/>
      <c r="AP50" s="258"/>
      <c r="AQ50" s="220" t="str">
        <f t="shared" si="0"/>
        <v/>
      </c>
      <c r="AS50" s="220" t="str">
        <f t="shared" si="1"/>
        <v>wci_corp</v>
      </c>
    </row>
    <row r="51" spans="2:45">
      <c r="B51" s="1509" t="s">
        <v>2447</v>
      </c>
      <c r="C51" s="1529">
        <v>43496</v>
      </c>
      <c r="D51" s="1537">
        <v>85.97</v>
      </c>
      <c r="E51" s="1518">
        <v>0</v>
      </c>
      <c r="F51" s="1519" t="s">
        <v>413</v>
      </c>
      <c r="G51" s="1509" t="s">
        <v>982</v>
      </c>
      <c r="H51" s="1530" t="s">
        <v>520</v>
      </c>
      <c r="I51" s="1509" t="s">
        <v>983</v>
      </c>
      <c r="J51" s="1509" t="s">
        <v>536</v>
      </c>
      <c r="K51" s="1509" t="s">
        <v>522</v>
      </c>
      <c r="L51" s="1520"/>
      <c r="M51" s="1520"/>
      <c r="N51" s="1520" t="s">
        <v>2490</v>
      </c>
      <c r="O51" s="1225"/>
      <c r="P51" s="1228"/>
      <c r="Q51" s="1228"/>
      <c r="U51" s="220" t="s">
        <v>984</v>
      </c>
      <c r="V51" s="220" t="s">
        <v>984</v>
      </c>
      <c r="X51" s="255">
        <v>43500</v>
      </c>
      <c r="Y51" s="255">
        <v>43500</v>
      </c>
      <c r="AA51" s="255"/>
      <c r="AB51" s="220" t="s">
        <v>523</v>
      </c>
      <c r="AC51" s="220">
        <v>0</v>
      </c>
      <c r="AD51" s="220">
        <v>0</v>
      </c>
      <c r="AE51" s="220">
        <v>0</v>
      </c>
      <c r="AF51" s="220">
        <v>0</v>
      </c>
      <c r="AG51" s="220">
        <v>0</v>
      </c>
      <c r="AH51" s="220">
        <v>1</v>
      </c>
      <c r="AI51" s="220">
        <v>70095</v>
      </c>
      <c r="AJ51" s="220">
        <v>2180</v>
      </c>
      <c r="AK51" s="220">
        <v>0</v>
      </c>
      <c r="AL51" s="220">
        <v>0</v>
      </c>
      <c r="AO51" s="258"/>
      <c r="AP51" s="258"/>
      <c r="AQ51" s="220" t="str">
        <f t="shared" si="0"/>
        <v/>
      </c>
      <c r="AS51" s="220" t="str">
        <f t="shared" si="1"/>
        <v>wci_corp</v>
      </c>
    </row>
    <row r="52" spans="2:45">
      <c r="B52" s="1509" t="s">
        <v>2447</v>
      </c>
      <c r="C52" s="1529">
        <v>43496</v>
      </c>
      <c r="D52" s="1537">
        <v>232.59</v>
      </c>
      <c r="E52" s="1518">
        <v>0</v>
      </c>
      <c r="F52" s="1519" t="s">
        <v>413</v>
      </c>
      <c r="G52" s="1509" t="s">
        <v>982</v>
      </c>
      <c r="H52" s="1530" t="s">
        <v>520</v>
      </c>
      <c r="I52" s="1509" t="s">
        <v>983</v>
      </c>
      <c r="J52" s="1509" t="s">
        <v>536</v>
      </c>
      <c r="K52" s="1509" t="s">
        <v>522</v>
      </c>
      <c r="L52" s="1520"/>
      <c r="M52" s="1520"/>
      <c r="N52" s="1520" t="s">
        <v>2491</v>
      </c>
      <c r="O52" s="1225"/>
      <c r="P52" s="1228"/>
      <c r="Q52" s="1228"/>
      <c r="U52" s="220" t="s">
        <v>984</v>
      </c>
      <c r="V52" s="220" t="s">
        <v>984</v>
      </c>
      <c r="X52" s="255">
        <v>43500</v>
      </c>
      <c r="Y52" s="255">
        <v>43500</v>
      </c>
      <c r="AA52" s="255"/>
      <c r="AB52" s="220" t="s">
        <v>523</v>
      </c>
      <c r="AC52" s="220">
        <v>0</v>
      </c>
      <c r="AD52" s="220">
        <v>0</v>
      </c>
      <c r="AE52" s="220">
        <v>0</v>
      </c>
      <c r="AF52" s="220">
        <v>0</v>
      </c>
      <c r="AG52" s="220">
        <v>0</v>
      </c>
      <c r="AH52" s="220">
        <v>1</v>
      </c>
      <c r="AI52" s="220">
        <v>70095</v>
      </c>
      <c r="AJ52" s="220">
        <v>2180</v>
      </c>
      <c r="AK52" s="220">
        <v>0</v>
      </c>
      <c r="AL52" s="220">
        <v>0</v>
      </c>
      <c r="AO52" s="258"/>
      <c r="AP52" s="258"/>
      <c r="AQ52" s="220" t="str">
        <f t="shared" si="0"/>
        <v/>
      </c>
      <c r="AS52" s="220" t="str">
        <f t="shared" si="1"/>
        <v>wci_corp</v>
      </c>
    </row>
    <row r="53" spans="2:45">
      <c r="B53" s="1509" t="s">
        <v>2447</v>
      </c>
      <c r="C53" s="1529">
        <v>43496</v>
      </c>
      <c r="D53" s="1537">
        <v>169.29</v>
      </c>
      <c r="E53" s="1518">
        <v>0</v>
      </c>
      <c r="F53" s="1519" t="s">
        <v>413</v>
      </c>
      <c r="G53" s="1509" t="s">
        <v>982</v>
      </c>
      <c r="H53" s="1530" t="s">
        <v>520</v>
      </c>
      <c r="I53" s="1509" t="s">
        <v>983</v>
      </c>
      <c r="J53" s="1509" t="s">
        <v>536</v>
      </c>
      <c r="K53" s="1509" t="s">
        <v>522</v>
      </c>
      <c r="L53" s="1520"/>
      <c r="M53" s="1520"/>
      <c r="N53" s="1520" t="s">
        <v>2492</v>
      </c>
      <c r="O53" s="1225"/>
      <c r="P53" s="1228"/>
      <c r="Q53" s="1228"/>
      <c r="U53" s="220" t="s">
        <v>984</v>
      </c>
      <c r="V53" s="220" t="s">
        <v>984</v>
      </c>
      <c r="X53" s="255">
        <v>43500</v>
      </c>
      <c r="Y53" s="255">
        <v>43500</v>
      </c>
      <c r="AA53" s="255"/>
      <c r="AB53" s="220" t="s">
        <v>523</v>
      </c>
      <c r="AC53" s="220">
        <v>0</v>
      </c>
      <c r="AD53" s="220">
        <v>0</v>
      </c>
      <c r="AE53" s="220">
        <v>0</v>
      </c>
      <c r="AF53" s="220">
        <v>0</v>
      </c>
      <c r="AG53" s="220">
        <v>0</v>
      </c>
      <c r="AH53" s="220">
        <v>1</v>
      </c>
      <c r="AI53" s="220">
        <v>70095</v>
      </c>
      <c r="AJ53" s="220">
        <v>2180</v>
      </c>
      <c r="AK53" s="220">
        <v>0</v>
      </c>
      <c r="AL53" s="220">
        <v>0</v>
      </c>
      <c r="AO53" s="258"/>
      <c r="AP53" s="258"/>
      <c r="AQ53" s="220" t="str">
        <f t="shared" si="0"/>
        <v/>
      </c>
      <c r="AS53" s="220" t="str">
        <f t="shared" si="1"/>
        <v>wci_corp</v>
      </c>
    </row>
    <row r="54" spans="2:45">
      <c r="B54" s="1509" t="s">
        <v>2447</v>
      </c>
      <c r="C54" s="1529">
        <v>43496</v>
      </c>
      <c r="D54" s="1537">
        <v>5.05</v>
      </c>
      <c r="E54" s="1518">
        <v>0</v>
      </c>
      <c r="F54" s="1519" t="s">
        <v>413</v>
      </c>
      <c r="G54" s="1509" t="s">
        <v>2493</v>
      </c>
      <c r="H54" s="1530" t="s">
        <v>520</v>
      </c>
      <c r="I54" s="1509" t="s">
        <v>2494</v>
      </c>
      <c r="J54" s="1509" t="s">
        <v>536</v>
      </c>
      <c r="K54" s="1509" t="s">
        <v>522</v>
      </c>
      <c r="L54" s="1520"/>
      <c r="M54" s="1520"/>
      <c r="N54" s="1520">
        <v>-2146826265</v>
      </c>
      <c r="O54" s="1225"/>
      <c r="P54" s="1228"/>
      <c r="Q54" s="1228"/>
      <c r="U54" s="220" t="s">
        <v>2495</v>
      </c>
      <c r="V54" s="220" t="s">
        <v>2495</v>
      </c>
      <c r="X54" s="255">
        <v>43502</v>
      </c>
      <c r="Y54" s="255">
        <v>43502</v>
      </c>
      <c r="AA54" s="255"/>
      <c r="AB54" s="220" t="s">
        <v>523</v>
      </c>
      <c r="AC54" s="220">
        <v>0</v>
      </c>
      <c r="AD54" s="220">
        <v>0</v>
      </c>
      <c r="AE54" s="220">
        <v>0</v>
      </c>
      <c r="AF54" s="220">
        <v>0</v>
      </c>
      <c r="AG54" s="220">
        <v>0</v>
      </c>
      <c r="AH54" s="220">
        <v>1</v>
      </c>
      <c r="AI54" s="220">
        <v>70095</v>
      </c>
      <c r="AJ54" s="220">
        <v>2180</v>
      </c>
      <c r="AK54" s="220">
        <v>0</v>
      </c>
      <c r="AL54" s="220">
        <v>0</v>
      </c>
      <c r="AO54" s="258"/>
      <c r="AP54" s="258"/>
      <c r="AQ54" s="220" t="str">
        <f t="shared" si="0"/>
        <v/>
      </c>
      <c r="AS54" s="220" t="str">
        <f t="shared" si="1"/>
        <v>wci_corp</v>
      </c>
    </row>
    <row r="55" spans="2:45">
      <c r="B55" s="1509" t="s">
        <v>2447</v>
      </c>
      <c r="C55" s="1529">
        <v>43496</v>
      </c>
      <c r="D55" s="1537">
        <v>21.37</v>
      </c>
      <c r="E55" s="1518">
        <v>0</v>
      </c>
      <c r="F55" s="1519" t="s">
        <v>413</v>
      </c>
      <c r="G55" s="1509" t="s">
        <v>2493</v>
      </c>
      <c r="H55" s="1530" t="s">
        <v>520</v>
      </c>
      <c r="I55" s="1509" t="s">
        <v>2494</v>
      </c>
      <c r="J55" s="1509" t="s">
        <v>536</v>
      </c>
      <c r="K55" s="1509" t="s">
        <v>522</v>
      </c>
      <c r="L55" s="1520"/>
      <c r="M55" s="1520"/>
      <c r="N55" s="1520">
        <v>-2146826265</v>
      </c>
      <c r="O55" s="1225"/>
      <c r="P55" s="1228"/>
      <c r="Q55" s="1228"/>
      <c r="U55" s="220" t="s">
        <v>2495</v>
      </c>
      <c r="V55" s="220" t="s">
        <v>2495</v>
      </c>
      <c r="X55" s="255">
        <v>43502</v>
      </c>
      <c r="Y55" s="255">
        <v>43502</v>
      </c>
      <c r="AA55" s="255"/>
      <c r="AB55" s="220" t="s">
        <v>523</v>
      </c>
      <c r="AC55" s="220">
        <v>0</v>
      </c>
      <c r="AD55" s="220">
        <v>0</v>
      </c>
      <c r="AE55" s="220">
        <v>0</v>
      </c>
      <c r="AF55" s="220">
        <v>0</v>
      </c>
      <c r="AG55" s="220">
        <v>0</v>
      </c>
      <c r="AH55" s="220">
        <v>1</v>
      </c>
      <c r="AI55" s="220">
        <v>70095</v>
      </c>
      <c r="AJ55" s="220">
        <v>2180</v>
      </c>
      <c r="AK55" s="220">
        <v>0</v>
      </c>
      <c r="AL55" s="220">
        <v>0</v>
      </c>
      <c r="AO55" s="258"/>
      <c r="AP55" s="258"/>
      <c r="AQ55" s="220" t="str">
        <f t="shared" si="0"/>
        <v/>
      </c>
      <c r="AS55" s="220" t="str">
        <f t="shared" si="1"/>
        <v>wci_corp</v>
      </c>
    </row>
    <row r="56" spans="2:45">
      <c r="B56" s="1509" t="s">
        <v>2447</v>
      </c>
      <c r="C56" s="1529">
        <v>43496</v>
      </c>
      <c r="D56" s="1537">
        <v>28.91</v>
      </c>
      <c r="E56" s="1518">
        <v>0</v>
      </c>
      <c r="F56" s="1519" t="s">
        <v>413</v>
      </c>
      <c r="G56" s="1509" t="s">
        <v>2496</v>
      </c>
      <c r="H56" s="1530" t="s">
        <v>520</v>
      </c>
      <c r="I56" s="1509" t="s">
        <v>2497</v>
      </c>
      <c r="J56" s="1509" t="s">
        <v>536</v>
      </c>
      <c r="K56" s="1509" t="s">
        <v>522</v>
      </c>
      <c r="L56" s="1520"/>
      <c r="M56" s="1520"/>
      <c r="N56" s="1520" t="s">
        <v>2498</v>
      </c>
      <c r="O56" s="1225"/>
      <c r="P56" s="1228"/>
      <c r="Q56" s="1228"/>
      <c r="U56" s="220" t="s">
        <v>2499</v>
      </c>
      <c r="V56" s="220" t="s">
        <v>2499</v>
      </c>
      <c r="X56" s="255">
        <v>43502</v>
      </c>
      <c r="Y56" s="255">
        <v>43503</v>
      </c>
      <c r="AA56" s="255"/>
      <c r="AB56" s="220" t="s">
        <v>523</v>
      </c>
      <c r="AC56" s="220">
        <v>0</v>
      </c>
      <c r="AD56" s="220">
        <v>0</v>
      </c>
      <c r="AE56" s="220">
        <v>0</v>
      </c>
      <c r="AF56" s="220">
        <v>0</v>
      </c>
      <c r="AG56" s="220">
        <v>0</v>
      </c>
      <c r="AH56" s="220">
        <v>1</v>
      </c>
      <c r="AI56" s="220">
        <v>70095</v>
      </c>
      <c r="AJ56" s="220">
        <v>2180</v>
      </c>
      <c r="AK56" s="220">
        <v>0</v>
      </c>
      <c r="AL56" s="220">
        <v>0</v>
      </c>
      <c r="AO56" s="258"/>
      <c r="AP56" s="258"/>
      <c r="AQ56" s="220" t="str">
        <f t="shared" si="0"/>
        <v/>
      </c>
      <c r="AS56" s="220" t="str">
        <f t="shared" si="1"/>
        <v>wci_corp</v>
      </c>
    </row>
    <row r="57" spans="2:45">
      <c r="B57" s="1509" t="s">
        <v>2447</v>
      </c>
      <c r="C57" s="1529">
        <v>43496</v>
      </c>
      <c r="D57" s="1537">
        <v>4.1100000000000003</v>
      </c>
      <c r="E57" s="1518">
        <v>0</v>
      </c>
      <c r="F57" s="1519" t="s">
        <v>413</v>
      </c>
      <c r="G57" s="1509" t="s">
        <v>2496</v>
      </c>
      <c r="H57" s="1530" t="s">
        <v>520</v>
      </c>
      <c r="I57" s="1509" t="s">
        <v>2497</v>
      </c>
      <c r="J57" s="1509" t="s">
        <v>536</v>
      </c>
      <c r="K57" s="1509" t="s">
        <v>522</v>
      </c>
      <c r="L57" s="1520"/>
      <c r="M57" s="1520"/>
      <c r="N57" s="1520" t="s">
        <v>2500</v>
      </c>
      <c r="O57" s="1225"/>
      <c r="P57" s="1228"/>
      <c r="Q57" s="1228"/>
      <c r="U57" s="220" t="s">
        <v>2499</v>
      </c>
      <c r="V57" s="220" t="s">
        <v>2499</v>
      </c>
      <c r="X57" s="255">
        <v>43502</v>
      </c>
      <c r="Y57" s="255">
        <v>43503</v>
      </c>
      <c r="AA57" s="255"/>
      <c r="AB57" s="220" t="s">
        <v>523</v>
      </c>
      <c r="AC57" s="220">
        <v>0</v>
      </c>
      <c r="AD57" s="220">
        <v>0</v>
      </c>
      <c r="AE57" s="220">
        <v>0</v>
      </c>
      <c r="AF57" s="220">
        <v>0</v>
      </c>
      <c r="AG57" s="220">
        <v>0</v>
      </c>
      <c r="AH57" s="220">
        <v>1</v>
      </c>
      <c r="AI57" s="220">
        <v>70095</v>
      </c>
      <c r="AJ57" s="220">
        <v>2180</v>
      </c>
      <c r="AK57" s="220">
        <v>0</v>
      </c>
      <c r="AL57" s="220">
        <v>0</v>
      </c>
      <c r="AO57" s="258"/>
      <c r="AP57" s="258"/>
      <c r="AQ57" s="220" t="str">
        <f t="shared" si="0"/>
        <v/>
      </c>
      <c r="AS57" s="220" t="str">
        <f t="shared" si="1"/>
        <v>wci_corp</v>
      </c>
    </row>
    <row r="58" spans="2:45">
      <c r="B58" s="1509" t="s">
        <v>2447</v>
      </c>
      <c r="C58" s="1529">
        <v>43524</v>
      </c>
      <c r="D58" s="1537">
        <v>190.05</v>
      </c>
      <c r="E58" s="1518">
        <v>0</v>
      </c>
      <c r="F58" s="1519" t="s">
        <v>413</v>
      </c>
      <c r="G58" s="1509" t="s">
        <v>987</v>
      </c>
      <c r="H58" s="1530" t="s">
        <v>520</v>
      </c>
      <c r="I58" s="1509" t="s">
        <v>988</v>
      </c>
      <c r="J58" s="1509" t="s">
        <v>536</v>
      </c>
      <c r="K58" s="1509" t="s">
        <v>522</v>
      </c>
      <c r="L58" s="1520"/>
      <c r="M58" s="1520"/>
      <c r="N58" s="1520" t="s">
        <v>2462</v>
      </c>
      <c r="O58" s="1225"/>
      <c r="P58" s="1228"/>
      <c r="Q58" s="1228"/>
      <c r="U58" s="220" t="s">
        <v>989</v>
      </c>
      <c r="V58" s="220" t="s">
        <v>989</v>
      </c>
      <c r="X58" s="255">
        <v>43528</v>
      </c>
      <c r="Y58" s="255">
        <v>43528</v>
      </c>
      <c r="AA58" s="255"/>
      <c r="AB58" s="220" t="s">
        <v>523</v>
      </c>
      <c r="AC58" s="220">
        <v>0</v>
      </c>
      <c r="AD58" s="220">
        <v>0</v>
      </c>
      <c r="AE58" s="220">
        <v>0</v>
      </c>
      <c r="AF58" s="220">
        <v>0</v>
      </c>
      <c r="AG58" s="220">
        <v>0</v>
      </c>
      <c r="AH58" s="220">
        <v>1</v>
      </c>
      <c r="AI58" s="220">
        <v>70095</v>
      </c>
      <c r="AJ58" s="220">
        <v>2180</v>
      </c>
      <c r="AK58" s="220">
        <v>0</v>
      </c>
      <c r="AL58" s="220">
        <v>0</v>
      </c>
      <c r="AO58" s="258"/>
      <c r="AP58" s="258"/>
      <c r="AQ58" s="220" t="str">
        <f t="shared" si="0"/>
        <v/>
      </c>
      <c r="AS58" s="220" t="str">
        <f t="shared" si="1"/>
        <v>wci_corp</v>
      </c>
    </row>
    <row r="59" spans="2:45">
      <c r="B59" s="1509" t="s">
        <v>2447</v>
      </c>
      <c r="C59" s="1529">
        <v>43524</v>
      </c>
      <c r="D59" s="1537">
        <v>85.41</v>
      </c>
      <c r="E59" s="1518">
        <v>0</v>
      </c>
      <c r="F59" s="1519" t="s">
        <v>413</v>
      </c>
      <c r="G59" s="1509" t="s">
        <v>987</v>
      </c>
      <c r="H59" s="1530" t="s">
        <v>520</v>
      </c>
      <c r="I59" s="1509" t="s">
        <v>988</v>
      </c>
      <c r="J59" s="1509" t="s">
        <v>536</v>
      </c>
      <c r="K59" s="1509" t="s">
        <v>522</v>
      </c>
      <c r="L59" s="1520"/>
      <c r="M59" s="1520"/>
      <c r="N59" s="1520" t="s">
        <v>2462</v>
      </c>
      <c r="O59" s="1225"/>
      <c r="P59" s="1228"/>
      <c r="Q59" s="1228"/>
      <c r="U59" s="220" t="s">
        <v>989</v>
      </c>
      <c r="V59" s="220" t="s">
        <v>989</v>
      </c>
      <c r="X59" s="255">
        <v>43528</v>
      </c>
      <c r="Y59" s="255">
        <v>43528</v>
      </c>
      <c r="AA59" s="255"/>
      <c r="AB59" s="220" t="s">
        <v>523</v>
      </c>
      <c r="AC59" s="220">
        <v>0</v>
      </c>
      <c r="AD59" s="220">
        <v>0</v>
      </c>
      <c r="AE59" s="220">
        <v>0</v>
      </c>
      <c r="AF59" s="220">
        <v>0</v>
      </c>
      <c r="AG59" s="220">
        <v>0</v>
      </c>
      <c r="AH59" s="220">
        <v>1</v>
      </c>
      <c r="AI59" s="220">
        <v>70095</v>
      </c>
      <c r="AJ59" s="220">
        <v>2180</v>
      </c>
      <c r="AK59" s="220">
        <v>0</v>
      </c>
      <c r="AL59" s="220">
        <v>0</v>
      </c>
      <c r="AO59" s="258"/>
      <c r="AP59" s="258"/>
      <c r="AQ59" s="220" t="str">
        <f t="shared" si="0"/>
        <v/>
      </c>
      <c r="AS59" s="220" t="str">
        <f t="shared" si="1"/>
        <v>wci_corp</v>
      </c>
    </row>
    <row r="60" spans="2:45">
      <c r="B60" s="1509" t="s">
        <v>2447</v>
      </c>
      <c r="C60" s="1529">
        <v>43524</v>
      </c>
      <c r="D60" s="1537">
        <v>1670.24</v>
      </c>
      <c r="E60" s="1518">
        <v>0</v>
      </c>
      <c r="F60" s="1519" t="s">
        <v>413</v>
      </c>
      <c r="G60" s="1509" t="s">
        <v>987</v>
      </c>
      <c r="H60" s="1530" t="s">
        <v>520</v>
      </c>
      <c r="I60" s="1509" t="s">
        <v>988</v>
      </c>
      <c r="J60" s="1509" t="s">
        <v>536</v>
      </c>
      <c r="K60" s="1509" t="s">
        <v>522</v>
      </c>
      <c r="L60" s="1520"/>
      <c r="M60" s="1520"/>
      <c r="N60" s="1520" t="s">
        <v>2501</v>
      </c>
      <c r="O60" s="1225"/>
      <c r="P60" s="1228"/>
      <c r="Q60" s="1228"/>
      <c r="U60" s="220" t="s">
        <v>989</v>
      </c>
      <c r="V60" s="220" t="s">
        <v>989</v>
      </c>
      <c r="X60" s="255">
        <v>43528</v>
      </c>
      <c r="Y60" s="255">
        <v>43528</v>
      </c>
      <c r="AA60" s="255"/>
      <c r="AB60" s="220" t="s">
        <v>523</v>
      </c>
      <c r="AC60" s="220">
        <v>0</v>
      </c>
      <c r="AD60" s="220">
        <v>0</v>
      </c>
      <c r="AE60" s="220">
        <v>0</v>
      </c>
      <c r="AF60" s="220">
        <v>0</v>
      </c>
      <c r="AG60" s="220">
        <v>0</v>
      </c>
      <c r="AH60" s="220">
        <v>1</v>
      </c>
      <c r="AI60" s="220">
        <v>70095</v>
      </c>
      <c r="AJ60" s="220">
        <v>2180</v>
      </c>
      <c r="AK60" s="220">
        <v>0</v>
      </c>
      <c r="AL60" s="220">
        <v>0</v>
      </c>
      <c r="AO60" s="258"/>
      <c r="AP60" s="258"/>
      <c r="AQ60" s="220" t="str">
        <f t="shared" si="0"/>
        <v/>
      </c>
      <c r="AS60" s="220" t="str">
        <f t="shared" si="1"/>
        <v>wci_corp</v>
      </c>
    </row>
    <row r="61" spans="2:45">
      <c r="B61" s="1509" t="s">
        <v>2447</v>
      </c>
      <c r="C61" s="1529">
        <v>43524</v>
      </c>
      <c r="D61" s="1537">
        <v>1485.17</v>
      </c>
      <c r="E61" s="1518">
        <v>0</v>
      </c>
      <c r="F61" s="1519" t="s">
        <v>413</v>
      </c>
      <c r="G61" s="1509" t="s">
        <v>987</v>
      </c>
      <c r="H61" s="1530" t="s">
        <v>520</v>
      </c>
      <c r="I61" s="1509" t="s">
        <v>988</v>
      </c>
      <c r="J61" s="1509" t="s">
        <v>536</v>
      </c>
      <c r="K61" s="1509" t="s">
        <v>522</v>
      </c>
      <c r="L61" s="1520"/>
      <c r="M61" s="1520"/>
      <c r="N61" s="1520" t="s">
        <v>2502</v>
      </c>
      <c r="O61" s="1225"/>
      <c r="P61" s="1228"/>
      <c r="Q61" s="1228"/>
      <c r="U61" s="220" t="s">
        <v>989</v>
      </c>
      <c r="V61" s="220" t="s">
        <v>989</v>
      </c>
      <c r="X61" s="255">
        <v>43528</v>
      </c>
      <c r="Y61" s="255">
        <v>43528</v>
      </c>
      <c r="AA61" s="255"/>
      <c r="AB61" s="220" t="s">
        <v>523</v>
      </c>
      <c r="AC61" s="220">
        <v>0</v>
      </c>
      <c r="AD61" s="220">
        <v>0</v>
      </c>
      <c r="AE61" s="220">
        <v>0</v>
      </c>
      <c r="AF61" s="220">
        <v>0</v>
      </c>
      <c r="AG61" s="220">
        <v>0</v>
      </c>
      <c r="AH61" s="220">
        <v>1</v>
      </c>
      <c r="AI61" s="220">
        <v>70095</v>
      </c>
      <c r="AJ61" s="220">
        <v>2180</v>
      </c>
      <c r="AK61" s="220">
        <v>0</v>
      </c>
      <c r="AL61" s="220">
        <v>0</v>
      </c>
      <c r="AO61" s="258"/>
      <c r="AP61" s="258"/>
      <c r="AQ61" s="220" t="str">
        <f t="shared" si="0"/>
        <v/>
      </c>
      <c r="AS61" s="220" t="str">
        <f t="shared" si="1"/>
        <v>wci_corp</v>
      </c>
    </row>
    <row r="62" spans="2:45">
      <c r="B62" s="1509" t="s">
        <v>2447</v>
      </c>
      <c r="C62" s="1529">
        <v>43524</v>
      </c>
      <c r="D62" s="1537">
        <v>13.59</v>
      </c>
      <c r="E62" s="1518">
        <v>0</v>
      </c>
      <c r="F62" s="1519" t="s">
        <v>413</v>
      </c>
      <c r="G62" s="1509" t="s">
        <v>987</v>
      </c>
      <c r="H62" s="1530" t="s">
        <v>520</v>
      </c>
      <c r="I62" s="1509" t="s">
        <v>988</v>
      </c>
      <c r="J62" s="1509" t="s">
        <v>536</v>
      </c>
      <c r="K62" s="1509" t="s">
        <v>522</v>
      </c>
      <c r="L62" s="1520"/>
      <c r="M62" s="1520"/>
      <c r="N62" s="1520" t="s">
        <v>2503</v>
      </c>
      <c r="O62" s="1225"/>
      <c r="P62" s="1228"/>
      <c r="Q62" s="1228"/>
      <c r="U62" s="220" t="s">
        <v>989</v>
      </c>
      <c r="V62" s="220" t="s">
        <v>989</v>
      </c>
      <c r="X62" s="255">
        <v>43528</v>
      </c>
      <c r="Y62" s="255">
        <v>43528</v>
      </c>
      <c r="AA62" s="255"/>
      <c r="AB62" s="220" t="s">
        <v>523</v>
      </c>
      <c r="AC62" s="220">
        <v>0</v>
      </c>
      <c r="AD62" s="220">
        <v>0</v>
      </c>
      <c r="AE62" s="220">
        <v>0</v>
      </c>
      <c r="AF62" s="220">
        <v>0</v>
      </c>
      <c r="AG62" s="220">
        <v>0</v>
      </c>
      <c r="AH62" s="220">
        <v>1</v>
      </c>
      <c r="AI62" s="220">
        <v>70095</v>
      </c>
      <c r="AJ62" s="220">
        <v>2180</v>
      </c>
      <c r="AK62" s="220">
        <v>0</v>
      </c>
      <c r="AL62" s="220">
        <v>0</v>
      </c>
      <c r="AO62" s="258"/>
      <c r="AP62" s="258"/>
      <c r="AQ62" s="220" t="str">
        <f t="shared" si="0"/>
        <v/>
      </c>
      <c r="AS62" s="220" t="str">
        <f t="shared" si="1"/>
        <v>wci_corp</v>
      </c>
    </row>
    <row r="63" spans="2:45">
      <c r="B63" s="1509" t="s">
        <v>2447</v>
      </c>
      <c r="C63" s="1529">
        <v>43524</v>
      </c>
      <c r="D63" s="1537">
        <v>192.34</v>
      </c>
      <c r="E63" s="1518">
        <v>0</v>
      </c>
      <c r="F63" s="1519" t="s">
        <v>413</v>
      </c>
      <c r="G63" s="1509" t="s">
        <v>987</v>
      </c>
      <c r="H63" s="1530" t="s">
        <v>520</v>
      </c>
      <c r="I63" s="1509" t="s">
        <v>988</v>
      </c>
      <c r="J63" s="1509" t="s">
        <v>536</v>
      </c>
      <c r="K63" s="1509" t="s">
        <v>522</v>
      </c>
      <c r="L63" s="1520"/>
      <c r="M63" s="1520"/>
      <c r="N63" s="1520" t="s">
        <v>2504</v>
      </c>
      <c r="O63" s="1225"/>
      <c r="P63" s="1228"/>
      <c r="Q63" s="1228"/>
      <c r="U63" s="220" t="s">
        <v>989</v>
      </c>
      <c r="V63" s="220" t="s">
        <v>989</v>
      </c>
      <c r="X63" s="255">
        <v>43528</v>
      </c>
      <c r="Y63" s="255">
        <v>43528</v>
      </c>
      <c r="AA63" s="255"/>
      <c r="AB63" s="220" t="s">
        <v>523</v>
      </c>
      <c r="AC63" s="220">
        <v>0</v>
      </c>
      <c r="AD63" s="220">
        <v>0</v>
      </c>
      <c r="AE63" s="220">
        <v>0</v>
      </c>
      <c r="AF63" s="220">
        <v>0</v>
      </c>
      <c r="AG63" s="220">
        <v>0</v>
      </c>
      <c r="AH63" s="220">
        <v>1</v>
      </c>
      <c r="AI63" s="220">
        <v>70095</v>
      </c>
      <c r="AJ63" s="220">
        <v>2180</v>
      </c>
      <c r="AK63" s="220">
        <v>0</v>
      </c>
      <c r="AL63" s="220">
        <v>0</v>
      </c>
      <c r="AO63" s="258"/>
      <c r="AP63" s="258"/>
      <c r="AQ63" s="220" t="str">
        <f t="shared" si="0"/>
        <v/>
      </c>
      <c r="AS63" s="220" t="str">
        <f t="shared" si="1"/>
        <v>wci_corp</v>
      </c>
    </row>
    <row r="64" spans="2:45">
      <c r="B64" s="1509" t="s">
        <v>2447</v>
      </c>
      <c r="C64" s="1529">
        <v>43524</v>
      </c>
      <c r="D64" s="1537">
        <v>398.11</v>
      </c>
      <c r="E64" s="1518">
        <v>0</v>
      </c>
      <c r="F64" s="1519" t="s">
        <v>413</v>
      </c>
      <c r="G64" s="1509" t="s">
        <v>987</v>
      </c>
      <c r="H64" s="1530" t="s">
        <v>520</v>
      </c>
      <c r="I64" s="1509" t="s">
        <v>988</v>
      </c>
      <c r="J64" s="1509" t="s">
        <v>536</v>
      </c>
      <c r="K64" s="1509" t="s">
        <v>522</v>
      </c>
      <c r="L64" s="1520"/>
      <c r="M64" s="1520"/>
      <c r="N64" s="1520" t="s">
        <v>2505</v>
      </c>
      <c r="O64" s="1225"/>
      <c r="P64" s="1228"/>
      <c r="Q64" s="1228"/>
      <c r="U64" s="220" t="s">
        <v>989</v>
      </c>
      <c r="V64" s="220" t="s">
        <v>989</v>
      </c>
      <c r="X64" s="255">
        <v>43528</v>
      </c>
      <c r="Y64" s="255">
        <v>43528</v>
      </c>
      <c r="AA64" s="255"/>
      <c r="AB64" s="220" t="s">
        <v>523</v>
      </c>
      <c r="AC64" s="220">
        <v>0</v>
      </c>
      <c r="AD64" s="220">
        <v>0</v>
      </c>
      <c r="AE64" s="220">
        <v>0</v>
      </c>
      <c r="AF64" s="220">
        <v>0</v>
      </c>
      <c r="AG64" s="220">
        <v>0</v>
      </c>
      <c r="AH64" s="220">
        <v>1</v>
      </c>
      <c r="AI64" s="220">
        <v>70095</v>
      </c>
      <c r="AJ64" s="220">
        <v>2180</v>
      </c>
      <c r="AK64" s="220">
        <v>0</v>
      </c>
      <c r="AL64" s="220">
        <v>0</v>
      </c>
      <c r="AO64" s="258"/>
      <c r="AP64" s="258"/>
      <c r="AQ64" s="220" t="str">
        <f t="shared" si="0"/>
        <v/>
      </c>
      <c r="AS64" s="220" t="str">
        <f t="shared" si="1"/>
        <v>wci_corp</v>
      </c>
    </row>
    <row r="65" spans="2:45">
      <c r="B65" s="1509" t="s">
        <v>2447</v>
      </c>
      <c r="C65" s="1529">
        <v>43524</v>
      </c>
      <c r="D65" s="1537">
        <v>17.62</v>
      </c>
      <c r="E65" s="1518">
        <v>0</v>
      </c>
      <c r="F65" s="1519" t="s">
        <v>413</v>
      </c>
      <c r="G65" s="1509" t="s">
        <v>987</v>
      </c>
      <c r="H65" s="1530" t="s">
        <v>520</v>
      </c>
      <c r="I65" s="1509" t="s">
        <v>988</v>
      </c>
      <c r="J65" s="1509" t="s">
        <v>536</v>
      </c>
      <c r="K65" s="1509" t="s">
        <v>522</v>
      </c>
      <c r="L65" s="1520"/>
      <c r="M65" s="1520"/>
      <c r="N65" s="1520" t="s">
        <v>2506</v>
      </c>
      <c r="O65" s="1225"/>
      <c r="P65" s="1228"/>
      <c r="Q65" s="1228"/>
      <c r="U65" s="220" t="s">
        <v>989</v>
      </c>
      <c r="V65" s="220" t="s">
        <v>989</v>
      </c>
      <c r="X65" s="255">
        <v>43528</v>
      </c>
      <c r="Y65" s="255">
        <v>43528</v>
      </c>
      <c r="AA65" s="255"/>
      <c r="AB65" s="220" t="s">
        <v>523</v>
      </c>
      <c r="AC65" s="220">
        <v>0</v>
      </c>
      <c r="AD65" s="220">
        <v>0</v>
      </c>
      <c r="AE65" s="220">
        <v>0</v>
      </c>
      <c r="AF65" s="220">
        <v>0</v>
      </c>
      <c r="AG65" s="220">
        <v>0</v>
      </c>
      <c r="AH65" s="220">
        <v>1</v>
      </c>
      <c r="AI65" s="220">
        <v>70095</v>
      </c>
      <c r="AJ65" s="220">
        <v>2180</v>
      </c>
      <c r="AK65" s="220">
        <v>0</v>
      </c>
      <c r="AL65" s="220">
        <v>0</v>
      </c>
      <c r="AO65" s="258"/>
      <c r="AP65" s="258"/>
      <c r="AQ65" s="220" t="str">
        <f t="shared" si="0"/>
        <v/>
      </c>
      <c r="AS65" s="220" t="str">
        <f t="shared" si="1"/>
        <v>wci_corp</v>
      </c>
    </row>
    <row r="66" spans="2:45">
      <c r="B66" s="1509" t="s">
        <v>2447</v>
      </c>
      <c r="C66" s="1529">
        <v>43524</v>
      </c>
      <c r="D66" s="1537">
        <v>76.400000000000006</v>
      </c>
      <c r="E66" s="1518">
        <v>0</v>
      </c>
      <c r="F66" s="1519" t="s">
        <v>413</v>
      </c>
      <c r="G66" s="1509" t="s">
        <v>1111</v>
      </c>
      <c r="H66" s="1530" t="s">
        <v>520</v>
      </c>
      <c r="I66" s="1509" t="s">
        <v>1112</v>
      </c>
      <c r="J66" s="1509" t="s">
        <v>536</v>
      </c>
      <c r="K66" s="1509" t="s">
        <v>522</v>
      </c>
      <c r="L66" s="1520"/>
      <c r="M66" s="1520"/>
      <c r="N66" s="1520" t="s">
        <v>2507</v>
      </c>
      <c r="O66" s="1225"/>
      <c r="P66" s="1228"/>
      <c r="Q66" s="1228"/>
      <c r="U66" s="220" t="s">
        <v>1114</v>
      </c>
      <c r="V66" s="220" t="s">
        <v>1114</v>
      </c>
      <c r="X66" s="255">
        <v>43529</v>
      </c>
      <c r="Y66" s="255">
        <v>43530</v>
      </c>
      <c r="AA66" s="255"/>
      <c r="AB66" s="220" t="s">
        <v>523</v>
      </c>
      <c r="AC66" s="220">
        <v>0</v>
      </c>
      <c r="AD66" s="220">
        <v>0</v>
      </c>
      <c r="AE66" s="220">
        <v>0</v>
      </c>
      <c r="AF66" s="220">
        <v>0</v>
      </c>
      <c r="AG66" s="220">
        <v>0</v>
      </c>
      <c r="AH66" s="220">
        <v>1</v>
      </c>
      <c r="AI66" s="220">
        <v>70095</v>
      </c>
      <c r="AJ66" s="220">
        <v>2180</v>
      </c>
      <c r="AK66" s="220">
        <v>0</v>
      </c>
      <c r="AL66" s="220">
        <v>0</v>
      </c>
      <c r="AO66" s="258"/>
      <c r="AP66" s="258"/>
      <c r="AQ66" s="220" t="str">
        <f t="shared" si="0"/>
        <v/>
      </c>
      <c r="AS66" s="220" t="str">
        <f t="shared" si="1"/>
        <v>wci_corp</v>
      </c>
    </row>
    <row r="67" spans="2:45">
      <c r="B67" s="1509" t="s">
        <v>2447</v>
      </c>
      <c r="C67" s="1529">
        <v>43524</v>
      </c>
      <c r="D67" s="1537">
        <v>85.97</v>
      </c>
      <c r="E67" s="1518">
        <v>0</v>
      </c>
      <c r="F67" s="1519" t="s">
        <v>413</v>
      </c>
      <c r="G67" s="1509" t="s">
        <v>1111</v>
      </c>
      <c r="H67" s="1530" t="s">
        <v>520</v>
      </c>
      <c r="I67" s="1509" t="s">
        <v>1112</v>
      </c>
      <c r="J67" s="1509" t="s">
        <v>536</v>
      </c>
      <c r="K67" s="1509" t="s">
        <v>522</v>
      </c>
      <c r="L67" s="1520"/>
      <c r="M67" s="1520"/>
      <c r="N67" s="1520" t="s">
        <v>2508</v>
      </c>
      <c r="O67" s="1225"/>
      <c r="P67" s="1228"/>
      <c r="Q67" s="1228"/>
      <c r="U67" s="220" t="s">
        <v>1114</v>
      </c>
      <c r="V67" s="220" t="s">
        <v>1114</v>
      </c>
      <c r="X67" s="255">
        <v>43529</v>
      </c>
      <c r="Y67" s="255">
        <v>43530</v>
      </c>
      <c r="AA67" s="255"/>
      <c r="AB67" s="220" t="s">
        <v>523</v>
      </c>
      <c r="AC67" s="220">
        <v>0</v>
      </c>
      <c r="AD67" s="220">
        <v>0</v>
      </c>
      <c r="AE67" s="220">
        <v>0</v>
      </c>
      <c r="AF67" s="220">
        <v>0</v>
      </c>
      <c r="AG67" s="220">
        <v>0</v>
      </c>
      <c r="AH67" s="220">
        <v>1</v>
      </c>
      <c r="AI67" s="220">
        <v>70095</v>
      </c>
      <c r="AJ67" s="220">
        <v>2180</v>
      </c>
      <c r="AK67" s="220">
        <v>0</v>
      </c>
      <c r="AL67" s="220">
        <v>0</v>
      </c>
      <c r="AO67" s="258"/>
      <c r="AP67" s="258"/>
      <c r="AQ67" s="220" t="str">
        <f t="shared" si="0"/>
        <v/>
      </c>
      <c r="AS67" s="220" t="str">
        <f t="shared" si="1"/>
        <v>wci_corp</v>
      </c>
    </row>
    <row r="68" spans="2:45">
      <c r="B68" s="1509" t="s">
        <v>2447</v>
      </c>
      <c r="C68" s="1529">
        <v>43524</v>
      </c>
      <c r="D68" s="1537">
        <v>17.98</v>
      </c>
      <c r="E68" s="1518">
        <v>0</v>
      </c>
      <c r="F68" s="1519" t="s">
        <v>413</v>
      </c>
      <c r="G68" s="1509" t="s">
        <v>2509</v>
      </c>
      <c r="H68" s="1530" t="s">
        <v>520</v>
      </c>
      <c r="I68" s="1509" t="s">
        <v>2510</v>
      </c>
      <c r="J68" s="1509" t="s">
        <v>543</v>
      </c>
      <c r="K68" s="1509" t="s">
        <v>522</v>
      </c>
      <c r="L68" s="1520"/>
      <c r="M68" s="1520"/>
      <c r="N68" s="1520" t="s">
        <v>2511</v>
      </c>
      <c r="O68" s="1225"/>
      <c r="P68" s="1228"/>
      <c r="Q68" s="1228"/>
      <c r="U68" s="220" t="s">
        <v>2512</v>
      </c>
      <c r="V68" s="220" t="s">
        <v>2512</v>
      </c>
      <c r="X68" s="255">
        <v>43530</v>
      </c>
      <c r="Y68" s="255">
        <v>43530</v>
      </c>
      <c r="AA68" s="255"/>
      <c r="AB68" s="220" t="s">
        <v>523</v>
      </c>
      <c r="AC68" s="220">
        <v>0</v>
      </c>
      <c r="AD68" s="220">
        <v>0</v>
      </c>
      <c r="AE68" s="220">
        <v>0</v>
      </c>
      <c r="AF68" s="220">
        <v>0</v>
      </c>
      <c r="AG68" s="220">
        <v>0</v>
      </c>
      <c r="AH68" s="220">
        <v>1</v>
      </c>
      <c r="AI68" s="220">
        <v>70095</v>
      </c>
      <c r="AJ68" s="220">
        <v>2180</v>
      </c>
      <c r="AK68" s="220">
        <v>0</v>
      </c>
      <c r="AL68" s="220">
        <v>0</v>
      </c>
      <c r="AO68" s="258"/>
      <c r="AP68" s="258"/>
      <c r="AQ68" s="220" t="str">
        <f t="shared" si="0"/>
        <v/>
      </c>
      <c r="AS68" s="220" t="str">
        <f t="shared" si="1"/>
        <v>wci_corp</v>
      </c>
    </row>
    <row r="69" spans="2:45">
      <c r="B69" s="1509" t="s">
        <v>2447</v>
      </c>
      <c r="C69" s="1529">
        <v>43524</v>
      </c>
      <c r="D69" s="1537">
        <v>200</v>
      </c>
      <c r="E69" s="1518">
        <v>0</v>
      </c>
      <c r="F69" s="1519" t="s">
        <v>413</v>
      </c>
      <c r="G69" s="1509" t="s">
        <v>2513</v>
      </c>
      <c r="H69" s="1530" t="s">
        <v>520</v>
      </c>
      <c r="I69" s="1509" t="s">
        <v>2514</v>
      </c>
      <c r="J69" s="1509" t="s">
        <v>536</v>
      </c>
      <c r="K69" s="1509" t="s">
        <v>522</v>
      </c>
      <c r="L69" s="1520"/>
      <c r="M69" s="1520"/>
      <c r="N69" s="1520" t="s">
        <v>2515</v>
      </c>
      <c r="O69" s="1225"/>
      <c r="P69" s="1228"/>
      <c r="Q69" s="1228"/>
      <c r="U69" s="220" t="s">
        <v>2516</v>
      </c>
      <c r="V69" s="220" t="s">
        <v>2516</v>
      </c>
      <c r="X69" s="255">
        <v>43530</v>
      </c>
      <c r="Y69" s="255">
        <v>43530</v>
      </c>
      <c r="AA69" s="255"/>
      <c r="AB69" s="220" t="s">
        <v>523</v>
      </c>
      <c r="AC69" s="220">
        <v>0</v>
      </c>
      <c r="AD69" s="220">
        <v>0</v>
      </c>
      <c r="AE69" s="220">
        <v>0</v>
      </c>
      <c r="AF69" s="220">
        <v>0</v>
      </c>
      <c r="AG69" s="220">
        <v>0</v>
      </c>
      <c r="AH69" s="220">
        <v>1</v>
      </c>
      <c r="AI69" s="220">
        <v>70095</v>
      </c>
      <c r="AJ69" s="220">
        <v>2180</v>
      </c>
      <c r="AK69" s="220">
        <v>0</v>
      </c>
      <c r="AL69" s="220">
        <v>0</v>
      </c>
      <c r="AO69" s="258"/>
      <c r="AP69" s="258"/>
      <c r="AQ69" s="220" t="str">
        <f t="shared" si="0"/>
        <v/>
      </c>
      <c r="AS69" s="220" t="str">
        <f t="shared" si="1"/>
        <v>wci_corp</v>
      </c>
    </row>
    <row r="70" spans="2:45">
      <c r="B70" s="1509" t="s">
        <v>2447</v>
      </c>
      <c r="C70" s="1529">
        <v>43524</v>
      </c>
      <c r="D70" s="1537">
        <v>43.71</v>
      </c>
      <c r="E70" s="1518">
        <v>0</v>
      </c>
      <c r="F70" s="1519" t="s">
        <v>413</v>
      </c>
      <c r="G70" s="1509" t="s">
        <v>2513</v>
      </c>
      <c r="H70" s="1530" t="s">
        <v>520</v>
      </c>
      <c r="I70" s="1509" t="s">
        <v>2514</v>
      </c>
      <c r="J70" s="1509" t="s">
        <v>536</v>
      </c>
      <c r="K70" s="1509" t="s">
        <v>522</v>
      </c>
      <c r="L70" s="1520"/>
      <c r="M70" s="1520"/>
      <c r="N70" s="1520" t="s">
        <v>2517</v>
      </c>
      <c r="O70" s="1225"/>
      <c r="P70" s="1228"/>
      <c r="Q70" s="1228"/>
      <c r="U70" s="220" t="s">
        <v>2516</v>
      </c>
      <c r="V70" s="220" t="s">
        <v>2516</v>
      </c>
      <c r="X70" s="255">
        <v>43530</v>
      </c>
      <c r="Y70" s="255">
        <v>43530</v>
      </c>
      <c r="AA70" s="255"/>
      <c r="AB70" s="220" t="s">
        <v>523</v>
      </c>
      <c r="AC70" s="220">
        <v>0</v>
      </c>
      <c r="AD70" s="220">
        <v>0</v>
      </c>
      <c r="AE70" s="220">
        <v>0</v>
      </c>
      <c r="AF70" s="220">
        <v>0</v>
      </c>
      <c r="AG70" s="220">
        <v>0</v>
      </c>
      <c r="AH70" s="220">
        <v>1</v>
      </c>
      <c r="AI70" s="220">
        <v>70095</v>
      </c>
      <c r="AJ70" s="220">
        <v>2180</v>
      </c>
      <c r="AK70" s="220">
        <v>0</v>
      </c>
      <c r="AL70" s="220">
        <v>0</v>
      </c>
      <c r="AO70" s="258"/>
      <c r="AP70" s="258"/>
      <c r="AQ70" s="220" t="str">
        <f t="shared" si="0"/>
        <v/>
      </c>
      <c r="AS70" s="220" t="str">
        <f t="shared" si="1"/>
        <v>wci_corp</v>
      </c>
    </row>
    <row r="71" spans="2:45">
      <c r="B71" s="1509" t="s">
        <v>2447</v>
      </c>
      <c r="C71" s="1529">
        <v>43524</v>
      </c>
      <c r="D71" s="1537">
        <v>15.99</v>
      </c>
      <c r="E71" s="1518">
        <v>0</v>
      </c>
      <c r="F71" s="1519" t="s">
        <v>413</v>
      </c>
      <c r="G71" s="1509" t="s">
        <v>2513</v>
      </c>
      <c r="H71" s="1530" t="s">
        <v>520</v>
      </c>
      <c r="I71" s="1509" t="s">
        <v>2514</v>
      </c>
      <c r="J71" s="1509" t="s">
        <v>536</v>
      </c>
      <c r="K71" s="1509" t="s">
        <v>522</v>
      </c>
      <c r="L71" s="1520"/>
      <c r="M71" s="1520"/>
      <c r="N71" s="1520" t="s">
        <v>2517</v>
      </c>
      <c r="O71" s="1225"/>
      <c r="P71" s="1228"/>
      <c r="Q71" s="1228"/>
      <c r="U71" s="220" t="s">
        <v>2516</v>
      </c>
      <c r="V71" s="220" t="s">
        <v>2516</v>
      </c>
      <c r="X71" s="255">
        <v>43530</v>
      </c>
      <c r="Y71" s="255">
        <v>43530</v>
      </c>
      <c r="AA71" s="255"/>
      <c r="AB71" s="220" t="s">
        <v>523</v>
      </c>
      <c r="AC71" s="220">
        <v>0</v>
      </c>
      <c r="AD71" s="220">
        <v>0</v>
      </c>
      <c r="AE71" s="220">
        <v>0</v>
      </c>
      <c r="AF71" s="220">
        <v>0</v>
      </c>
      <c r="AG71" s="220">
        <v>0</v>
      </c>
      <c r="AH71" s="220">
        <v>1</v>
      </c>
      <c r="AI71" s="220">
        <v>70095</v>
      </c>
      <c r="AJ71" s="220">
        <v>2180</v>
      </c>
      <c r="AK71" s="220">
        <v>0</v>
      </c>
      <c r="AL71" s="220">
        <v>0</v>
      </c>
      <c r="AO71" s="258"/>
      <c r="AP71" s="258"/>
      <c r="AQ71" s="220" t="str">
        <f t="shared" si="0"/>
        <v/>
      </c>
      <c r="AS71" s="220" t="str">
        <f t="shared" si="1"/>
        <v>wci_corp</v>
      </c>
    </row>
    <row r="72" spans="2:45">
      <c r="B72" s="1509" t="s">
        <v>2447</v>
      </c>
      <c r="C72" s="1529">
        <v>43524</v>
      </c>
      <c r="D72" s="1537">
        <v>22.11</v>
      </c>
      <c r="E72" s="1518">
        <v>0</v>
      </c>
      <c r="F72" s="1519" t="s">
        <v>413</v>
      </c>
      <c r="G72" s="1509" t="s">
        <v>2513</v>
      </c>
      <c r="H72" s="1530" t="s">
        <v>520</v>
      </c>
      <c r="I72" s="1509" t="s">
        <v>2514</v>
      </c>
      <c r="J72" s="1509" t="s">
        <v>536</v>
      </c>
      <c r="K72" s="1509" t="s">
        <v>522</v>
      </c>
      <c r="L72" s="1520"/>
      <c r="M72" s="1520"/>
      <c r="N72" s="1520" t="s">
        <v>2517</v>
      </c>
      <c r="O72" s="1225"/>
      <c r="P72" s="1228"/>
      <c r="Q72" s="1228"/>
      <c r="U72" s="220" t="s">
        <v>2516</v>
      </c>
      <c r="V72" s="220" t="s">
        <v>2516</v>
      </c>
      <c r="X72" s="255">
        <v>43530</v>
      </c>
      <c r="Y72" s="255">
        <v>43530</v>
      </c>
      <c r="AA72" s="255"/>
      <c r="AB72" s="220" t="s">
        <v>523</v>
      </c>
      <c r="AC72" s="220">
        <v>0</v>
      </c>
      <c r="AD72" s="220">
        <v>0</v>
      </c>
      <c r="AE72" s="220">
        <v>0</v>
      </c>
      <c r="AF72" s="220">
        <v>0</v>
      </c>
      <c r="AG72" s="220">
        <v>0</v>
      </c>
      <c r="AH72" s="220">
        <v>1</v>
      </c>
      <c r="AI72" s="220">
        <v>70095</v>
      </c>
      <c r="AJ72" s="220">
        <v>2180</v>
      </c>
      <c r="AK72" s="220">
        <v>0</v>
      </c>
      <c r="AL72" s="220">
        <v>0</v>
      </c>
      <c r="AO72" s="258"/>
      <c r="AP72" s="258"/>
      <c r="AQ72" s="220" t="str">
        <f t="shared" si="0"/>
        <v/>
      </c>
      <c r="AS72" s="220" t="str">
        <f t="shared" si="1"/>
        <v>wci_corp</v>
      </c>
    </row>
    <row r="73" spans="2:45">
      <c r="B73" s="1509" t="s">
        <v>2447</v>
      </c>
      <c r="C73" s="1529">
        <v>43524</v>
      </c>
      <c r="D73" s="1537">
        <v>-76.400000000000006</v>
      </c>
      <c r="E73" s="1518">
        <v>0</v>
      </c>
      <c r="F73" s="1519" t="s">
        <v>413</v>
      </c>
      <c r="G73" s="1509" t="s">
        <v>1115</v>
      </c>
      <c r="H73" s="1530" t="s">
        <v>520</v>
      </c>
      <c r="I73" s="1509" t="s">
        <v>1116</v>
      </c>
      <c r="J73" s="1509" t="s">
        <v>536</v>
      </c>
      <c r="K73" s="1509" t="s">
        <v>522</v>
      </c>
      <c r="L73" s="1520"/>
      <c r="M73" s="1520"/>
      <c r="N73" s="1520" t="s">
        <v>2507</v>
      </c>
      <c r="O73" s="1225"/>
      <c r="P73" s="1228"/>
      <c r="Q73" s="1228"/>
      <c r="U73" s="220" t="s">
        <v>1117</v>
      </c>
      <c r="V73" s="220" t="s">
        <v>1117</v>
      </c>
      <c r="X73" s="255">
        <v>43530</v>
      </c>
      <c r="Y73" s="255">
        <v>43531</v>
      </c>
      <c r="AA73" s="255"/>
      <c r="AB73" s="220" t="s">
        <v>523</v>
      </c>
      <c r="AC73" s="220">
        <v>0</v>
      </c>
      <c r="AD73" s="220">
        <v>0</v>
      </c>
      <c r="AE73" s="220">
        <v>0</v>
      </c>
      <c r="AF73" s="220">
        <v>0</v>
      </c>
      <c r="AG73" s="220">
        <v>0</v>
      </c>
      <c r="AH73" s="220">
        <v>1</v>
      </c>
      <c r="AI73" s="220">
        <v>70095</v>
      </c>
      <c r="AJ73" s="220">
        <v>2180</v>
      </c>
      <c r="AK73" s="220">
        <v>0</v>
      </c>
      <c r="AL73" s="220">
        <v>0</v>
      </c>
      <c r="AO73" s="258"/>
      <c r="AP73" s="258"/>
      <c r="AQ73" s="220" t="str">
        <f t="shared" si="0"/>
        <v/>
      </c>
      <c r="AS73" s="220" t="str">
        <f t="shared" si="1"/>
        <v>wci_corp</v>
      </c>
    </row>
    <row r="74" spans="2:45">
      <c r="B74" s="1509" t="s">
        <v>2447</v>
      </c>
      <c r="C74" s="1529">
        <v>43524</v>
      </c>
      <c r="D74" s="1537">
        <v>-85.97</v>
      </c>
      <c r="E74" s="1518">
        <v>0</v>
      </c>
      <c r="F74" s="1519" t="s">
        <v>413</v>
      </c>
      <c r="G74" s="1509" t="s">
        <v>1115</v>
      </c>
      <c r="H74" s="1530" t="s">
        <v>520</v>
      </c>
      <c r="I74" s="1509" t="s">
        <v>1116</v>
      </c>
      <c r="J74" s="1509" t="s">
        <v>536</v>
      </c>
      <c r="K74" s="1509" t="s">
        <v>522</v>
      </c>
      <c r="L74" s="1520"/>
      <c r="M74" s="1520"/>
      <c r="N74" s="1520" t="s">
        <v>2508</v>
      </c>
      <c r="O74" s="1225"/>
      <c r="P74" s="1228"/>
      <c r="Q74" s="1228"/>
      <c r="U74" s="220" t="s">
        <v>1117</v>
      </c>
      <c r="V74" s="220" t="s">
        <v>1117</v>
      </c>
      <c r="X74" s="255">
        <v>43530</v>
      </c>
      <c r="Y74" s="255">
        <v>43531</v>
      </c>
      <c r="AA74" s="255"/>
      <c r="AB74" s="220" t="s">
        <v>523</v>
      </c>
      <c r="AC74" s="220">
        <v>0</v>
      </c>
      <c r="AD74" s="220">
        <v>0</v>
      </c>
      <c r="AE74" s="220">
        <v>0</v>
      </c>
      <c r="AF74" s="220">
        <v>0</v>
      </c>
      <c r="AG74" s="220">
        <v>0</v>
      </c>
      <c r="AH74" s="220">
        <v>1</v>
      </c>
      <c r="AI74" s="220">
        <v>70095</v>
      </c>
      <c r="AJ74" s="220">
        <v>2180</v>
      </c>
      <c r="AK74" s="220">
        <v>0</v>
      </c>
      <c r="AL74" s="220">
        <v>0</v>
      </c>
      <c r="AO74" s="258"/>
      <c r="AP74" s="258"/>
      <c r="AQ74" s="220" t="str">
        <f t="shared" si="0"/>
        <v/>
      </c>
      <c r="AS74" s="220" t="str">
        <f t="shared" si="1"/>
        <v>wci_corp</v>
      </c>
    </row>
    <row r="75" spans="2:45">
      <c r="B75" s="1509" t="s">
        <v>2447</v>
      </c>
      <c r="C75" s="1529">
        <v>43524</v>
      </c>
      <c r="D75" s="1537">
        <v>76.400000000000006</v>
      </c>
      <c r="E75" s="1518">
        <v>0</v>
      </c>
      <c r="F75" s="1519" t="s">
        <v>413</v>
      </c>
      <c r="G75" s="1509" t="s">
        <v>1118</v>
      </c>
      <c r="H75" s="1530" t="s">
        <v>520</v>
      </c>
      <c r="I75" s="1509" t="s">
        <v>1119</v>
      </c>
      <c r="J75" s="1509" t="s">
        <v>536</v>
      </c>
      <c r="K75" s="1509" t="s">
        <v>522</v>
      </c>
      <c r="L75" s="1520"/>
      <c r="M75" s="1520"/>
      <c r="N75" s="1520" t="s">
        <v>2507</v>
      </c>
      <c r="O75" s="1225"/>
      <c r="P75" s="1228"/>
      <c r="Q75" s="1228"/>
      <c r="U75" s="220" t="s">
        <v>1120</v>
      </c>
      <c r="V75" s="220" t="s">
        <v>1120</v>
      </c>
      <c r="X75" s="255">
        <v>43530</v>
      </c>
      <c r="Y75" s="255">
        <v>43531</v>
      </c>
      <c r="AA75" s="255"/>
      <c r="AB75" s="220" t="s">
        <v>523</v>
      </c>
      <c r="AC75" s="220">
        <v>0</v>
      </c>
      <c r="AD75" s="220">
        <v>0</v>
      </c>
      <c r="AE75" s="220">
        <v>0</v>
      </c>
      <c r="AF75" s="220">
        <v>0</v>
      </c>
      <c r="AG75" s="220">
        <v>0</v>
      </c>
      <c r="AH75" s="220">
        <v>1</v>
      </c>
      <c r="AI75" s="220">
        <v>70095</v>
      </c>
      <c r="AJ75" s="220">
        <v>2180</v>
      </c>
      <c r="AK75" s="220">
        <v>0</v>
      </c>
      <c r="AL75" s="220">
        <v>0</v>
      </c>
      <c r="AO75" s="258"/>
      <c r="AP75" s="258"/>
      <c r="AQ75" s="220" t="str">
        <f t="shared" si="0"/>
        <v/>
      </c>
      <c r="AS75" s="220" t="str">
        <f t="shared" si="1"/>
        <v>wci_corp</v>
      </c>
    </row>
    <row r="76" spans="2:45">
      <c r="B76" s="1509" t="s">
        <v>2447</v>
      </c>
      <c r="C76" s="1529">
        <v>43524</v>
      </c>
      <c r="D76" s="1537">
        <v>85.97</v>
      </c>
      <c r="E76" s="1518">
        <v>0</v>
      </c>
      <c r="F76" s="1519" t="s">
        <v>413</v>
      </c>
      <c r="G76" s="1509" t="s">
        <v>1118</v>
      </c>
      <c r="H76" s="1530" t="s">
        <v>520</v>
      </c>
      <c r="I76" s="1509" t="s">
        <v>1119</v>
      </c>
      <c r="J76" s="1509" t="s">
        <v>536</v>
      </c>
      <c r="K76" s="1509" t="s">
        <v>522</v>
      </c>
      <c r="L76" s="1520"/>
      <c r="M76" s="1520"/>
      <c r="N76" s="1520" t="s">
        <v>2508</v>
      </c>
      <c r="O76" s="1225"/>
      <c r="P76" s="1228"/>
      <c r="Q76" s="1228"/>
      <c r="U76" s="220" t="s">
        <v>1120</v>
      </c>
      <c r="V76" s="220" t="s">
        <v>1120</v>
      </c>
      <c r="X76" s="255">
        <v>43530</v>
      </c>
      <c r="Y76" s="255">
        <v>43531</v>
      </c>
      <c r="AA76" s="255"/>
      <c r="AB76" s="220" t="s">
        <v>523</v>
      </c>
      <c r="AC76" s="220">
        <v>0</v>
      </c>
      <c r="AD76" s="220">
        <v>0</v>
      </c>
      <c r="AE76" s="220">
        <v>0</v>
      </c>
      <c r="AF76" s="220">
        <v>0</v>
      </c>
      <c r="AG76" s="220">
        <v>0</v>
      </c>
      <c r="AH76" s="220">
        <v>1</v>
      </c>
      <c r="AI76" s="220">
        <v>70095</v>
      </c>
      <c r="AJ76" s="220">
        <v>2180</v>
      </c>
      <c r="AK76" s="220">
        <v>0</v>
      </c>
      <c r="AL76" s="220">
        <v>0</v>
      </c>
      <c r="AO76" s="258"/>
      <c r="AP76" s="258"/>
      <c r="AQ76" s="220" t="str">
        <f t="shared" si="0"/>
        <v/>
      </c>
      <c r="AS76" s="220" t="str">
        <f t="shared" si="1"/>
        <v>wci_corp</v>
      </c>
    </row>
    <row r="77" spans="2:45">
      <c r="B77" s="1509" t="s">
        <v>2447</v>
      </c>
      <c r="C77" s="1529">
        <v>43524</v>
      </c>
      <c r="D77" s="1537">
        <v>156.52000000000001</v>
      </c>
      <c r="E77" s="1518">
        <v>0</v>
      </c>
      <c r="F77" s="1519" t="s">
        <v>413</v>
      </c>
      <c r="G77" s="1509" t="s">
        <v>2518</v>
      </c>
      <c r="H77" s="1530" t="s">
        <v>520</v>
      </c>
      <c r="I77" s="1509" t="s">
        <v>2519</v>
      </c>
      <c r="J77" s="1509" t="s">
        <v>536</v>
      </c>
      <c r="K77" s="1509" t="s">
        <v>522</v>
      </c>
      <c r="L77" s="1520"/>
      <c r="M77" s="1520"/>
      <c r="N77" s="1520" t="s">
        <v>2520</v>
      </c>
      <c r="O77" s="1225"/>
      <c r="P77" s="1228"/>
      <c r="Q77" s="1228"/>
      <c r="U77" s="220" t="s">
        <v>2521</v>
      </c>
      <c r="V77" s="220" t="s">
        <v>2521</v>
      </c>
      <c r="X77" s="255">
        <v>43530</v>
      </c>
      <c r="Y77" s="255">
        <v>43531</v>
      </c>
      <c r="AA77" s="255"/>
      <c r="AB77" s="220" t="s">
        <v>523</v>
      </c>
      <c r="AC77" s="220">
        <v>0</v>
      </c>
      <c r="AD77" s="220">
        <v>0</v>
      </c>
      <c r="AE77" s="220">
        <v>0</v>
      </c>
      <c r="AF77" s="220">
        <v>0</v>
      </c>
      <c r="AG77" s="220">
        <v>0</v>
      </c>
      <c r="AH77" s="220">
        <v>1</v>
      </c>
      <c r="AI77" s="220">
        <v>70095</v>
      </c>
      <c r="AJ77" s="220">
        <v>2180</v>
      </c>
      <c r="AK77" s="220">
        <v>0</v>
      </c>
      <c r="AL77" s="220">
        <v>0</v>
      </c>
      <c r="AO77" s="258"/>
      <c r="AP77" s="258"/>
      <c r="AQ77" s="220" t="str">
        <f t="shared" si="0"/>
        <v/>
      </c>
      <c r="AS77" s="220" t="str">
        <f t="shared" si="1"/>
        <v>wci_corp</v>
      </c>
    </row>
    <row r="78" spans="2:45">
      <c r="B78" s="1509" t="s">
        <v>2447</v>
      </c>
      <c r="C78" s="1529">
        <v>43524</v>
      </c>
      <c r="D78" s="1537">
        <v>21799.91</v>
      </c>
      <c r="E78" s="1518">
        <v>0</v>
      </c>
      <c r="F78" s="1519" t="s">
        <v>413</v>
      </c>
      <c r="G78" s="1509" t="s">
        <v>2522</v>
      </c>
      <c r="H78" s="1530" t="s">
        <v>520</v>
      </c>
      <c r="I78" s="1509" t="s">
        <v>2523</v>
      </c>
      <c r="J78" s="1509" t="s">
        <v>536</v>
      </c>
      <c r="K78" s="1509" t="s">
        <v>522</v>
      </c>
      <c r="L78" s="1520"/>
      <c r="M78" s="1520"/>
      <c r="N78" s="1520" t="s">
        <v>2524</v>
      </c>
      <c r="O78" s="1225"/>
      <c r="P78" s="1228"/>
      <c r="Q78" s="1228"/>
      <c r="U78" s="220" t="s">
        <v>2525</v>
      </c>
      <c r="V78" s="220" t="s">
        <v>2525</v>
      </c>
      <c r="X78" s="255">
        <v>43531</v>
      </c>
      <c r="Y78" s="255">
        <v>43531</v>
      </c>
      <c r="AA78" s="255"/>
      <c r="AB78" s="220" t="s">
        <v>523</v>
      </c>
      <c r="AC78" s="220">
        <v>0</v>
      </c>
      <c r="AD78" s="220">
        <v>0</v>
      </c>
      <c r="AE78" s="220">
        <v>0</v>
      </c>
      <c r="AF78" s="220">
        <v>0</v>
      </c>
      <c r="AG78" s="220">
        <v>0</v>
      </c>
      <c r="AH78" s="220">
        <v>1</v>
      </c>
      <c r="AI78" s="220">
        <v>70095</v>
      </c>
      <c r="AJ78" s="220">
        <v>2180</v>
      </c>
      <c r="AK78" s="220">
        <v>0</v>
      </c>
      <c r="AL78" s="220">
        <v>0</v>
      </c>
      <c r="AO78" s="258"/>
      <c r="AP78" s="258"/>
      <c r="AQ78" s="220" t="str">
        <f t="shared" si="0"/>
        <v/>
      </c>
      <c r="AS78" s="220" t="str">
        <f t="shared" si="1"/>
        <v>wci_corp</v>
      </c>
    </row>
    <row r="79" spans="2:45">
      <c r="B79" s="1509" t="s">
        <v>2447</v>
      </c>
      <c r="C79" s="1529">
        <v>43524</v>
      </c>
      <c r="D79" s="1537">
        <v>5499.01</v>
      </c>
      <c r="E79" s="1518">
        <v>0</v>
      </c>
      <c r="F79" s="1519" t="s">
        <v>413</v>
      </c>
      <c r="G79" s="1509" t="s">
        <v>2526</v>
      </c>
      <c r="H79" s="1530" t="s">
        <v>520</v>
      </c>
      <c r="I79" s="1509" t="s">
        <v>2523</v>
      </c>
      <c r="J79" s="1509" t="s">
        <v>536</v>
      </c>
      <c r="K79" s="1509" t="s">
        <v>522</v>
      </c>
      <c r="L79" s="1520"/>
      <c r="M79" s="1520"/>
      <c r="N79" s="1520" t="s">
        <v>2524</v>
      </c>
      <c r="O79" s="1225"/>
      <c r="P79" s="1228"/>
      <c r="Q79" s="1228"/>
      <c r="U79" s="220" t="s">
        <v>2527</v>
      </c>
      <c r="V79" s="220" t="s">
        <v>2527</v>
      </c>
      <c r="X79" s="255">
        <v>43531</v>
      </c>
      <c r="Y79" s="255">
        <v>43531</v>
      </c>
      <c r="AA79" s="255"/>
      <c r="AB79" s="220" t="s">
        <v>523</v>
      </c>
      <c r="AC79" s="220">
        <v>0</v>
      </c>
      <c r="AD79" s="220">
        <v>0</v>
      </c>
      <c r="AE79" s="220">
        <v>0</v>
      </c>
      <c r="AF79" s="220">
        <v>0</v>
      </c>
      <c r="AG79" s="220">
        <v>0</v>
      </c>
      <c r="AH79" s="220">
        <v>1</v>
      </c>
      <c r="AI79" s="220">
        <v>70095</v>
      </c>
      <c r="AJ79" s="220">
        <v>2180</v>
      </c>
      <c r="AK79" s="220">
        <v>0</v>
      </c>
      <c r="AL79" s="220">
        <v>0</v>
      </c>
      <c r="AO79" s="258"/>
      <c r="AP79" s="258"/>
      <c r="AQ79" s="220" t="str">
        <f t="shared" si="0"/>
        <v/>
      </c>
      <c r="AS79" s="220" t="str">
        <f t="shared" si="1"/>
        <v>wci_corp</v>
      </c>
    </row>
    <row r="80" spans="2:45">
      <c r="B80" s="1509" t="s">
        <v>2447</v>
      </c>
      <c r="C80" s="1529">
        <v>43555</v>
      </c>
      <c r="D80" s="1537">
        <v>-76.400000000000006</v>
      </c>
      <c r="E80" s="1518">
        <v>0</v>
      </c>
      <c r="F80" s="1519" t="s">
        <v>413</v>
      </c>
      <c r="G80" s="1509" t="s">
        <v>1121</v>
      </c>
      <c r="H80" s="1530" t="s">
        <v>520</v>
      </c>
      <c r="I80" s="1509" t="s">
        <v>1112</v>
      </c>
      <c r="J80" s="1509" t="s">
        <v>536</v>
      </c>
      <c r="K80" s="1509" t="s">
        <v>522</v>
      </c>
      <c r="L80" s="1520"/>
      <c r="M80" s="1520"/>
      <c r="N80" s="1520" t="s">
        <v>2507</v>
      </c>
      <c r="O80" s="1225"/>
      <c r="P80" s="1228"/>
      <c r="Q80" s="1228"/>
      <c r="U80" s="220" t="s">
        <v>1114</v>
      </c>
      <c r="V80" s="220" t="s">
        <v>1122</v>
      </c>
      <c r="X80" s="255">
        <v>43530</v>
      </c>
      <c r="Y80" s="255">
        <v>43530</v>
      </c>
      <c r="AA80" s="255"/>
      <c r="AB80" s="220" t="s">
        <v>523</v>
      </c>
      <c r="AC80" s="220">
        <v>0</v>
      </c>
      <c r="AD80" s="220">
        <v>0</v>
      </c>
      <c r="AE80" s="220">
        <v>0</v>
      </c>
      <c r="AF80" s="220">
        <v>0</v>
      </c>
      <c r="AG80" s="220">
        <v>5</v>
      </c>
      <c r="AH80" s="220">
        <v>1</v>
      </c>
      <c r="AI80" s="220">
        <v>70095</v>
      </c>
      <c r="AJ80" s="220">
        <v>2180</v>
      </c>
      <c r="AK80" s="220">
        <v>0</v>
      </c>
      <c r="AL80" s="220">
        <v>0</v>
      </c>
      <c r="AO80" s="258"/>
      <c r="AP80" s="258"/>
      <c r="AQ80" s="220" t="str">
        <f t="shared" si="0"/>
        <v/>
      </c>
      <c r="AS80" s="220" t="str">
        <f t="shared" si="1"/>
        <v>wci_corp</v>
      </c>
    </row>
    <row r="81" spans="2:45">
      <c r="B81" s="1509" t="s">
        <v>2447</v>
      </c>
      <c r="C81" s="1529">
        <v>43555</v>
      </c>
      <c r="D81" s="1537">
        <v>-85.97</v>
      </c>
      <c r="E81" s="1518">
        <v>0</v>
      </c>
      <c r="F81" s="1519" t="s">
        <v>413</v>
      </c>
      <c r="G81" s="1509" t="s">
        <v>1121</v>
      </c>
      <c r="H81" s="1530" t="s">
        <v>520</v>
      </c>
      <c r="I81" s="1509" t="s">
        <v>1112</v>
      </c>
      <c r="J81" s="1509" t="s">
        <v>536</v>
      </c>
      <c r="K81" s="1509" t="s">
        <v>522</v>
      </c>
      <c r="L81" s="1520"/>
      <c r="M81" s="1520"/>
      <c r="N81" s="1520" t="s">
        <v>2508</v>
      </c>
      <c r="O81" s="1225"/>
      <c r="P81" s="1228"/>
      <c r="Q81" s="1228"/>
      <c r="U81" s="220" t="s">
        <v>1114</v>
      </c>
      <c r="V81" s="220" t="s">
        <v>1122</v>
      </c>
      <c r="X81" s="255">
        <v>43530</v>
      </c>
      <c r="Y81" s="255">
        <v>43530</v>
      </c>
      <c r="AA81" s="255"/>
      <c r="AB81" s="220" t="s">
        <v>523</v>
      </c>
      <c r="AC81" s="220">
        <v>0</v>
      </c>
      <c r="AD81" s="220">
        <v>0</v>
      </c>
      <c r="AE81" s="220">
        <v>0</v>
      </c>
      <c r="AF81" s="220">
        <v>0</v>
      </c>
      <c r="AG81" s="220">
        <v>5</v>
      </c>
      <c r="AH81" s="220">
        <v>1</v>
      </c>
      <c r="AI81" s="220">
        <v>70095</v>
      </c>
      <c r="AJ81" s="220">
        <v>2180</v>
      </c>
      <c r="AK81" s="220">
        <v>0</v>
      </c>
      <c r="AL81" s="220">
        <v>0</v>
      </c>
      <c r="AO81" s="258"/>
      <c r="AP81" s="258"/>
      <c r="AQ81" s="220" t="str">
        <f t="shared" si="0"/>
        <v/>
      </c>
      <c r="AS81" s="220" t="str">
        <f t="shared" si="1"/>
        <v>wci_corp</v>
      </c>
    </row>
    <row r="82" spans="2:45">
      <c r="B82" s="1509" t="s">
        <v>2447</v>
      </c>
      <c r="C82" s="1529">
        <v>43555</v>
      </c>
      <c r="D82" s="1537">
        <v>76.400000000000006</v>
      </c>
      <c r="E82" s="1518">
        <v>0</v>
      </c>
      <c r="F82" s="1519" t="s">
        <v>413</v>
      </c>
      <c r="G82" s="1509" t="s">
        <v>1123</v>
      </c>
      <c r="H82" s="1530" t="s">
        <v>520</v>
      </c>
      <c r="I82" s="1509" t="s">
        <v>1116</v>
      </c>
      <c r="J82" s="1509" t="s">
        <v>536</v>
      </c>
      <c r="K82" s="1509" t="s">
        <v>522</v>
      </c>
      <c r="L82" s="1520"/>
      <c r="M82" s="1520"/>
      <c r="N82" s="1520" t="s">
        <v>2507</v>
      </c>
      <c r="O82" s="1225"/>
      <c r="P82" s="1228"/>
      <c r="Q82" s="1228"/>
      <c r="U82" s="220" t="s">
        <v>1117</v>
      </c>
      <c r="V82" s="220" t="s">
        <v>1124</v>
      </c>
      <c r="X82" s="255">
        <v>43531</v>
      </c>
      <c r="Y82" s="255">
        <v>43531</v>
      </c>
      <c r="AA82" s="255"/>
      <c r="AB82" s="220" t="s">
        <v>523</v>
      </c>
      <c r="AC82" s="220">
        <v>0</v>
      </c>
      <c r="AD82" s="220">
        <v>0</v>
      </c>
      <c r="AE82" s="220">
        <v>0</v>
      </c>
      <c r="AF82" s="220">
        <v>0</v>
      </c>
      <c r="AG82" s="220">
        <v>5</v>
      </c>
      <c r="AH82" s="220">
        <v>1</v>
      </c>
      <c r="AI82" s="220">
        <v>70095</v>
      </c>
      <c r="AJ82" s="220">
        <v>2180</v>
      </c>
      <c r="AK82" s="220">
        <v>0</v>
      </c>
      <c r="AL82" s="220">
        <v>0</v>
      </c>
      <c r="AO82" s="258"/>
      <c r="AP82" s="258"/>
      <c r="AQ82" s="220" t="str">
        <f t="shared" si="0"/>
        <v/>
      </c>
      <c r="AS82" s="220" t="str">
        <f t="shared" si="1"/>
        <v>wci_corp</v>
      </c>
    </row>
    <row r="83" spans="2:45">
      <c r="B83" s="1509" t="s">
        <v>2447</v>
      </c>
      <c r="C83" s="1529">
        <v>43555</v>
      </c>
      <c r="D83" s="1537">
        <v>85.97</v>
      </c>
      <c r="E83" s="1518">
        <v>0</v>
      </c>
      <c r="F83" s="1519" t="s">
        <v>413</v>
      </c>
      <c r="G83" s="1509" t="s">
        <v>1123</v>
      </c>
      <c r="H83" s="1530" t="s">
        <v>520</v>
      </c>
      <c r="I83" s="1509" t="s">
        <v>1116</v>
      </c>
      <c r="J83" s="1509" t="s">
        <v>536</v>
      </c>
      <c r="K83" s="1509" t="s">
        <v>522</v>
      </c>
      <c r="L83" s="1520"/>
      <c r="M83" s="1520"/>
      <c r="N83" s="1520" t="s">
        <v>2508</v>
      </c>
      <c r="O83" s="1225"/>
      <c r="P83" s="1228"/>
      <c r="Q83" s="1228"/>
      <c r="U83" s="220" t="s">
        <v>1117</v>
      </c>
      <c r="V83" s="220" t="s">
        <v>1124</v>
      </c>
      <c r="X83" s="255">
        <v>43531</v>
      </c>
      <c r="Y83" s="255">
        <v>43531</v>
      </c>
      <c r="AA83" s="255"/>
      <c r="AB83" s="220" t="s">
        <v>523</v>
      </c>
      <c r="AC83" s="220">
        <v>0</v>
      </c>
      <c r="AD83" s="220">
        <v>0</v>
      </c>
      <c r="AE83" s="220">
        <v>0</v>
      </c>
      <c r="AF83" s="220">
        <v>0</v>
      </c>
      <c r="AG83" s="220">
        <v>5</v>
      </c>
      <c r="AH83" s="220">
        <v>1</v>
      </c>
      <c r="AI83" s="220">
        <v>70095</v>
      </c>
      <c r="AJ83" s="220">
        <v>2180</v>
      </c>
      <c r="AK83" s="220">
        <v>0</v>
      </c>
      <c r="AL83" s="220">
        <v>0</v>
      </c>
      <c r="AO83" s="258"/>
      <c r="AP83" s="258"/>
      <c r="AQ83" s="220" t="str">
        <f t="shared" si="0"/>
        <v/>
      </c>
      <c r="AS83" s="220" t="str">
        <f t="shared" si="1"/>
        <v>wci_corp</v>
      </c>
    </row>
    <row r="84" spans="2:45">
      <c r="B84" s="1509" t="s">
        <v>2447</v>
      </c>
      <c r="C84" s="1529">
        <v>43555</v>
      </c>
      <c r="D84" s="1537">
        <v>-76.400000000000006</v>
      </c>
      <c r="E84" s="1518">
        <v>0</v>
      </c>
      <c r="F84" s="1519" t="s">
        <v>413</v>
      </c>
      <c r="G84" s="1509" t="s">
        <v>1125</v>
      </c>
      <c r="H84" s="1530" t="s">
        <v>520</v>
      </c>
      <c r="I84" s="1509" t="s">
        <v>1119</v>
      </c>
      <c r="J84" s="1509" t="s">
        <v>536</v>
      </c>
      <c r="K84" s="1509" t="s">
        <v>522</v>
      </c>
      <c r="L84" s="1520"/>
      <c r="M84" s="1520"/>
      <c r="N84" s="1520" t="s">
        <v>2507</v>
      </c>
      <c r="O84" s="1225"/>
      <c r="P84" s="1228"/>
      <c r="Q84" s="1228"/>
      <c r="U84" s="220" t="s">
        <v>1120</v>
      </c>
      <c r="V84" s="220" t="s">
        <v>1126</v>
      </c>
      <c r="X84" s="255">
        <v>43531</v>
      </c>
      <c r="Y84" s="255">
        <v>43531</v>
      </c>
      <c r="AA84" s="255"/>
      <c r="AB84" s="220" t="s">
        <v>523</v>
      </c>
      <c r="AC84" s="220">
        <v>0</v>
      </c>
      <c r="AD84" s="220">
        <v>0</v>
      </c>
      <c r="AE84" s="220">
        <v>0</v>
      </c>
      <c r="AF84" s="220">
        <v>0</v>
      </c>
      <c r="AG84" s="220">
        <v>5</v>
      </c>
      <c r="AH84" s="220">
        <v>1</v>
      </c>
      <c r="AI84" s="220">
        <v>70095</v>
      </c>
      <c r="AJ84" s="220">
        <v>2180</v>
      </c>
      <c r="AK84" s="220">
        <v>0</v>
      </c>
      <c r="AL84" s="220">
        <v>0</v>
      </c>
      <c r="AO84" s="258"/>
      <c r="AP84" s="258"/>
      <c r="AQ84" s="220" t="str">
        <f t="shared" si="0"/>
        <v/>
      </c>
      <c r="AS84" s="220" t="str">
        <f t="shared" si="1"/>
        <v>wci_corp</v>
      </c>
    </row>
    <row r="85" spans="2:45">
      <c r="B85" s="1509" t="s">
        <v>2447</v>
      </c>
      <c r="C85" s="1529">
        <v>43555</v>
      </c>
      <c r="D85" s="1537">
        <v>-85.97</v>
      </c>
      <c r="E85" s="1518">
        <v>0</v>
      </c>
      <c r="F85" s="1519" t="s">
        <v>413</v>
      </c>
      <c r="G85" s="1509" t="s">
        <v>1125</v>
      </c>
      <c r="H85" s="1530" t="s">
        <v>520</v>
      </c>
      <c r="I85" s="1509" t="s">
        <v>1119</v>
      </c>
      <c r="J85" s="1509" t="s">
        <v>536</v>
      </c>
      <c r="K85" s="1509" t="s">
        <v>522</v>
      </c>
      <c r="L85" s="1520"/>
      <c r="M85" s="1520"/>
      <c r="N85" s="1520" t="s">
        <v>2508</v>
      </c>
      <c r="O85" s="1225"/>
      <c r="P85" s="1228"/>
      <c r="Q85" s="1228"/>
      <c r="U85" s="220" t="s">
        <v>1120</v>
      </c>
      <c r="V85" s="220" t="s">
        <v>1126</v>
      </c>
      <c r="X85" s="255">
        <v>43531</v>
      </c>
      <c r="Y85" s="255">
        <v>43531</v>
      </c>
      <c r="AA85" s="255"/>
      <c r="AB85" s="220" t="s">
        <v>523</v>
      </c>
      <c r="AC85" s="220">
        <v>0</v>
      </c>
      <c r="AD85" s="220">
        <v>0</v>
      </c>
      <c r="AE85" s="220">
        <v>0</v>
      </c>
      <c r="AF85" s="220">
        <v>0</v>
      </c>
      <c r="AG85" s="220">
        <v>5</v>
      </c>
      <c r="AH85" s="220">
        <v>1</v>
      </c>
      <c r="AI85" s="220">
        <v>70095</v>
      </c>
      <c r="AJ85" s="220">
        <v>2180</v>
      </c>
      <c r="AK85" s="220">
        <v>0</v>
      </c>
      <c r="AL85" s="220">
        <v>0</v>
      </c>
      <c r="AO85" s="258"/>
      <c r="AP85" s="258"/>
      <c r="AQ85" s="220" t="str">
        <f t="shared" ref="AQ85:AQ148" si="2">IF(LEFT(U85,2)="VO",U85,"")</f>
        <v/>
      </c>
      <c r="AS85" s="220" t="str">
        <f t="shared" ref="AS85:AS148" si="3">IF(RIGHT(K85,2)="IC",IF(OR(AB85="wci_canada",AB85="wci_can_corp"),"wci_can_Corp","wci_corp"),AB85)</f>
        <v>wci_corp</v>
      </c>
    </row>
    <row r="86" spans="2:45">
      <c r="B86" s="1509" t="s">
        <v>2447</v>
      </c>
      <c r="C86" s="1529">
        <v>43555</v>
      </c>
      <c r="D86" s="1537">
        <v>-156.52000000000001</v>
      </c>
      <c r="E86" s="1518">
        <v>0</v>
      </c>
      <c r="F86" s="1519" t="s">
        <v>413</v>
      </c>
      <c r="G86" s="1509" t="s">
        <v>2528</v>
      </c>
      <c r="H86" s="1530" t="s">
        <v>520</v>
      </c>
      <c r="I86" s="1509" t="s">
        <v>2519</v>
      </c>
      <c r="J86" s="1509" t="s">
        <v>536</v>
      </c>
      <c r="K86" s="1509" t="s">
        <v>522</v>
      </c>
      <c r="L86" s="1520"/>
      <c r="M86" s="1520"/>
      <c r="N86" s="1520" t="s">
        <v>2520</v>
      </c>
      <c r="O86" s="1225"/>
      <c r="P86" s="1228"/>
      <c r="Q86" s="1228"/>
      <c r="U86" s="220" t="s">
        <v>2521</v>
      </c>
      <c r="V86" s="220" t="s">
        <v>2529</v>
      </c>
      <c r="X86" s="255">
        <v>43531</v>
      </c>
      <c r="Y86" s="255">
        <v>43531</v>
      </c>
      <c r="AA86" s="255"/>
      <c r="AB86" s="220" t="s">
        <v>523</v>
      </c>
      <c r="AC86" s="220">
        <v>0</v>
      </c>
      <c r="AD86" s="220">
        <v>0</v>
      </c>
      <c r="AE86" s="220">
        <v>0</v>
      </c>
      <c r="AF86" s="220">
        <v>0</v>
      </c>
      <c r="AG86" s="220">
        <v>5</v>
      </c>
      <c r="AH86" s="220">
        <v>1</v>
      </c>
      <c r="AI86" s="220">
        <v>70095</v>
      </c>
      <c r="AJ86" s="220">
        <v>2180</v>
      </c>
      <c r="AK86" s="220">
        <v>0</v>
      </c>
      <c r="AL86" s="220">
        <v>0</v>
      </c>
      <c r="AO86" s="258"/>
      <c r="AP86" s="258"/>
      <c r="AQ86" s="220" t="str">
        <f t="shared" si="2"/>
        <v/>
      </c>
      <c r="AS86" s="220" t="str">
        <f t="shared" si="3"/>
        <v>wci_corp</v>
      </c>
    </row>
    <row r="87" spans="2:45">
      <c r="B87" s="1509" t="s">
        <v>2447</v>
      </c>
      <c r="C87" s="1529">
        <v>43555</v>
      </c>
      <c r="D87" s="1537">
        <v>500</v>
      </c>
      <c r="E87" s="1518">
        <v>0</v>
      </c>
      <c r="F87" s="1519" t="s">
        <v>413</v>
      </c>
      <c r="G87" s="1509" t="s">
        <v>998</v>
      </c>
      <c r="H87" s="1530" t="s">
        <v>520</v>
      </c>
      <c r="I87" s="1509" t="s">
        <v>999</v>
      </c>
      <c r="J87" s="1509" t="s">
        <v>543</v>
      </c>
      <c r="K87" s="1509" t="s">
        <v>522</v>
      </c>
      <c r="L87" s="1520"/>
      <c r="M87" s="1520"/>
      <c r="N87" s="1520" t="s">
        <v>2530</v>
      </c>
      <c r="O87" s="1225"/>
      <c r="P87" s="1228"/>
      <c r="Q87" s="1228"/>
      <c r="U87" s="220" t="s">
        <v>1001</v>
      </c>
      <c r="V87" s="220" t="s">
        <v>1001</v>
      </c>
      <c r="X87" s="255">
        <v>43557</v>
      </c>
      <c r="Y87" s="255">
        <v>43557</v>
      </c>
      <c r="AA87" s="255"/>
      <c r="AB87" s="220" t="s">
        <v>523</v>
      </c>
      <c r="AC87" s="220">
        <v>0</v>
      </c>
      <c r="AD87" s="220">
        <v>0</v>
      </c>
      <c r="AE87" s="220">
        <v>0</v>
      </c>
      <c r="AF87" s="220">
        <v>0</v>
      </c>
      <c r="AG87" s="220">
        <v>0</v>
      </c>
      <c r="AH87" s="220">
        <v>1</v>
      </c>
      <c r="AI87" s="220">
        <v>70095</v>
      </c>
      <c r="AJ87" s="220">
        <v>2180</v>
      </c>
      <c r="AK87" s="220">
        <v>0</v>
      </c>
      <c r="AL87" s="220">
        <v>0</v>
      </c>
      <c r="AO87" s="258"/>
      <c r="AP87" s="258"/>
      <c r="AQ87" s="220" t="str">
        <f t="shared" si="2"/>
        <v/>
      </c>
      <c r="AS87" s="220" t="str">
        <f t="shared" si="3"/>
        <v>wci_corp</v>
      </c>
    </row>
    <row r="88" spans="2:45">
      <c r="B88" s="1509" t="s">
        <v>2447</v>
      </c>
      <c r="C88" s="1529">
        <v>43555</v>
      </c>
      <c r="D88" s="1537">
        <v>145.72</v>
      </c>
      <c r="E88" s="1518">
        <v>0</v>
      </c>
      <c r="F88" s="1519" t="s">
        <v>413</v>
      </c>
      <c r="G88" s="1509" t="s">
        <v>998</v>
      </c>
      <c r="H88" s="1530" t="s">
        <v>520</v>
      </c>
      <c r="I88" s="1509" t="s">
        <v>999</v>
      </c>
      <c r="J88" s="1509" t="s">
        <v>543</v>
      </c>
      <c r="K88" s="1509" t="s">
        <v>522</v>
      </c>
      <c r="L88" s="1520"/>
      <c r="M88" s="1520"/>
      <c r="N88" s="1520" t="s">
        <v>2531</v>
      </c>
      <c r="O88" s="1225"/>
      <c r="P88" s="1228"/>
      <c r="Q88" s="1228"/>
      <c r="U88" s="220" t="s">
        <v>1001</v>
      </c>
      <c r="V88" s="220" t="s">
        <v>1001</v>
      </c>
      <c r="X88" s="255">
        <v>43557</v>
      </c>
      <c r="Y88" s="255">
        <v>43557</v>
      </c>
      <c r="AA88" s="255"/>
      <c r="AB88" s="220" t="s">
        <v>523</v>
      </c>
      <c r="AC88" s="220">
        <v>0</v>
      </c>
      <c r="AD88" s="220">
        <v>0</v>
      </c>
      <c r="AE88" s="220">
        <v>0</v>
      </c>
      <c r="AF88" s="220">
        <v>0</v>
      </c>
      <c r="AG88" s="220">
        <v>0</v>
      </c>
      <c r="AH88" s="220">
        <v>1</v>
      </c>
      <c r="AI88" s="220">
        <v>70095</v>
      </c>
      <c r="AJ88" s="220">
        <v>2180</v>
      </c>
      <c r="AK88" s="220">
        <v>0</v>
      </c>
      <c r="AL88" s="220">
        <v>0</v>
      </c>
      <c r="AO88" s="258"/>
      <c r="AP88" s="258"/>
      <c r="AQ88" s="220" t="str">
        <f t="shared" si="2"/>
        <v/>
      </c>
      <c r="AS88" s="220" t="str">
        <f t="shared" si="3"/>
        <v>wci_corp</v>
      </c>
    </row>
    <row r="89" spans="2:45">
      <c r="B89" s="1509" t="s">
        <v>2447</v>
      </c>
      <c r="C89" s="1529">
        <v>43555</v>
      </c>
      <c r="D89" s="1537">
        <v>335</v>
      </c>
      <c r="E89" s="1518">
        <v>0</v>
      </c>
      <c r="F89" s="1519" t="s">
        <v>413</v>
      </c>
      <c r="G89" s="1509" t="s">
        <v>998</v>
      </c>
      <c r="H89" s="1530" t="s">
        <v>520</v>
      </c>
      <c r="I89" s="1509" t="s">
        <v>999</v>
      </c>
      <c r="J89" s="1509" t="s">
        <v>543</v>
      </c>
      <c r="K89" s="1509" t="s">
        <v>522</v>
      </c>
      <c r="L89" s="1520"/>
      <c r="M89" s="1520"/>
      <c r="N89" s="1520" t="s">
        <v>2531</v>
      </c>
      <c r="O89" s="1225"/>
      <c r="P89" s="1228"/>
      <c r="Q89" s="1228"/>
      <c r="U89" s="220" t="s">
        <v>1001</v>
      </c>
      <c r="V89" s="220" t="s">
        <v>1001</v>
      </c>
      <c r="X89" s="255">
        <v>43557</v>
      </c>
      <c r="Y89" s="255">
        <v>43557</v>
      </c>
      <c r="AA89" s="255"/>
      <c r="AB89" s="220" t="s">
        <v>523</v>
      </c>
      <c r="AC89" s="220">
        <v>0</v>
      </c>
      <c r="AD89" s="220">
        <v>0</v>
      </c>
      <c r="AE89" s="220">
        <v>0</v>
      </c>
      <c r="AF89" s="220">
        <v>0</v>
      </c>
      <c r="AG89" s="220">
        <v>0</v>
      </c>
      <c r="AH89" s="220">
        <v>1</v>
      </c>
      <c r="AI89" s="220">
        <v>70095</v>
      </c>
      <c r="AJ89" s="220">
        <v>2180</v>
      </c>
      <c r="AK89" s="220">
        <v>0</v>
      </c>
      <c r="AL89" s="220">
        <v>0</v>
      </c>
      <c r="AO89" s="258"/>
      <c r="AP89" s="258"/>
      <c r="AQ89" s="220" t="str">
        <f t="shared" si="2"/>
        <v/>
      </c>
      <c r="AS89" s="220" t="str">
        <f t="shared" si="3"/>
        <v>wci_corp</v>
      </c>
    </row>
    <row r="90" spans="2:45">
      <c r="B90" s="1509" t="s">
        <v>2447</v>
      </c>
      <c r="C90" s="1529">
        <v>43555</v>
      </c>
      <c r="D90" s="1537">
        <v>76.400000000000006</v>
      </c>
      <c r="E90" s="1518">
        <v>0</v>
      </c>
      <c r="F90" s="1519" t="s">
        <v>413</v>
      </c>
      <c r="G90" s="1509" t="s">
        <v>998</v>
      </c>
      <c r="H90" s="1530" t="s">
        <v>520</v>
      </c>
      <c r="I90" s="1509" t="s">
        <v>999</v>
      </c>
      <c r="J90" s="1509" t="s">
        <v>543</v>
      </c>
      <c r="K90" s="1509" t="s">
        <v>522</v>
      </c>
      <c r="L90" s="1520"/>
      <c r="M90" s="1520"/>
      <c r="N90" s="1520" t="s">
        <v>2507</v>
      </c>
      <c r="O90" s="1225"/>
      <c r="P90" s="1228"/>
      <c r="Q90" s="1228"/>
      <c r="U90" s="220" t="s">
        <v>1001</v>
      </c>
      <c r="V90" s="220" t="s">
        <v>1001</v>
      </c>
      <c r="X90" s="255">
        <v>43557</v>
      </c>
      <c r="Y90" s="255">
        <v>43557</v>
      </c>
      <c r="AA90" s="255"/>
      <c r="AB90" s="220" t="s">
        <v>523</v>
      </c>
      <c r="AC90" s="220">
        <v>0</v>
      </c>
      <c r="AD90" s="220">
        <v>0</v>
      </c>
      <c r="AE90" s="220">
        <v>0</v>
      </c>
      <c r="AF90" s="220">
        <v>0</v>
      </c>
      <c r="AG90" s="220">
        <v>0</v>
      </c>
      <c r="AH90" s="220">
        <v>1</v>
      </c>
      <c r="AI90" s="220">
        <v>70095</v>
      </c>
      <c r="AJ90" s="220">
        <v>2180</v>
      </c>
      <c r="AK90" s="220">
        <v>0</v>
      </c>
      <c r="AL90" s="220">
        <v>0</v>
      </c>
      <c r="AO90" s="258"/>
      <c r="AP90" s="258"/>
      <c r="AQ90" s="220" t="str">
        <f t="shared" si="2"/>
        <v/>
      </c>
      <c r="AS90" s="220" t="str">
        <f t="shared" si="3"/>
        <v>wci_corp</v>
      </c>
    </row>
    <row r="91" spans="2:45">
      <c r="B91" s="1509" t="s">
        <v>2447</v>
      </c>
      <c r="C91" s="1529">
        <v>43555</v>
      </c>
      <c r="D91" s="1537">
        <v>85.97</v>
      </c>
      <c r="E91" s="1518">
        <v>0</v>
      </c>
      <c r="F91" s="1519" t="s">
        <v>413</v>
      </c>
      <c r="G91" s="1509" t="s">
        <v>998</v>
      </c>
      <c r="H91" s="1530" t="s">
        <v>520</v>
      </c>
      <c r="I91" s="1509" t="s">
        <v>999</v>
      </c>
      <c r="J91" s="1509" t="s">
        <v>543</v>
      </c>
      <c r="K91" s="1509" t="s">
        <v>522</v>
      </c>
      <c r="L91" s="1520"/>
      <c r="M91" s="1520"/>
      <c r="N91" s="1520" t="s">
        <v>2508</v>
      </c>
      <c r="O91" s="1225"/>
      <c r="P91" s="1228"/>
      <c r="Q91" s="1228"/>
      <c r="U91" s="220" t="s">
        <v>1001</v>
      </c>
      <c r="V91" s="220" t="s">
        <v>1001</v>
      </c>
      <c r="X91" s="255">
        <v>43557</v>
      </c>
      <c r="Y91" s="255">
        <v>43557</v>
      </c>
      <c r="AA91" s="255"/>
      <c r="AB91" s="220" t="s">
        <v>523</v>
      </c>
      <c r="AC91" s="220">
        <v>0</v>
      </c>
      <c r="AD91" s="220">
        <v>0</v>
      </c>
      <c r="AE91" s="220">
        <v>0</v>
      </c>
      <c r="AF91" s="220">
        <v>0</v>
      </c>
      <c r="AG91" s="220">
        <v>0</v>
      </c>
      <c r="AH91" s="220">
        <v>1</v>
      </c>
      <c r="AI91" s="220">
        <v>70095</v>
      </c>
      <c r="AJ91" s="220">
        <v>2180</v>
      </c>
      <c r="AK91" s="220">
        <v>0</v>
      </c>
      <c r="AL91" s="220">
        <v>0</v>
      </c>
      <c r="AO91" s="258"/>
      <c r="AP91" s="258"/>
      <c r="AQ91" s="220" t="str">
        <f t="shared" si="2"/>
        <v/>
      </c>
      <c r="AS91" s="220" t="str">
        <f t="shared" si="3"/>
        <v>wci_corp</v>
      </c>
    </row>
    <row r="92" spans="2:45">
      <c r="B92" s="1509" t="s">
        <v>2447</v>
      </c>
      <c r="C92" s="1529">
        <v>43555</v>
      </c>
      <c r="D92" s="1537">
        <v>38.86</v>
      </c>
      <c r="E92" s="1518">
        <v>0</v>
      </c>
      <c r="F92" s="1519" t="s">
        <v>413</v>
      </c>
      <c r="G92" s="1509" t="s">
        <v>998</v>
      </c>
      <c r="H92" s="1530" t="s">
        <v>520</v>
      </c>
      <c r="I92" s="1509" t="s">
        <v>999</v>
      </c>
      <c r="J92" s="1509" t="s">
        <v>543</v>
      </c>
      <c r="K92" s="1509" t="s">
        <v>522</v>
      </c>
      <c r="L92" s="1520"/>
      <c r="M92" s="1520"/>
      <c r="N92" s="1520" t="s">
        <v>2532</v>
      </c>
      <c r="O92" s="1225"/>
      <c r="P92" s="1228"/>
      <c r="Q92" s="1228"/>
      <c r="U92" s="220" t="s">
        <v>1001</v>
      </c>
      <c r="V92" s="220" t="s">
        <v>1001</v>
      </c>
      <c r="X92" s="255">
        <v>43557</v>
      </c>
      <c r="Y92" s="255">
        <v>43557</v>
      </c>
      <c r="AA92" s="255"/>
      <c r="AB92" s="220" t="s">
        <v>523</v>
      </c>
      <c r="AC92" s="220">
        <v>0</v>
      </c>
      <c r="AD92" s="220">
        <v>0</v>
      </c>
      <c r="AE92" s="220">
        <v>0</v>
      </c>
      <c r="AF92" s="220">
        <v>0</v>
      </c>
      <c r="AG92" s="220">
        <v>0</v>
      </c>
      <c r="AH92" s="220">
        <v>1</v>
      </c>
      <c r="AI92" s="220">
        <v>70095</v>
      </c>
      <c r="AJ92" s="220">
        <v>2180</v>
      </c>
      <c r="AK92" s="220">
        <v>0</v>
      </c>
      <c r="AL92" s="220">
        <v>0</v>
      </c>
      <c r="AO92" s="258"/>
      <c r="AP92" s="258"/>
      <c r="AQ92" s="220" t="str">
        <f t="shared" si="2"/>
        <v/>
      </c>
      <c r="AS92" s="220" t="str">
        <f t="shared" si="3"/>
        <v>wci_corp</v>
      </c>
    </row>
    <row r="93" spans="2:45">
      <c r="B93" s="1509" t="s">
        <v>2447</v>
      </c>
      <c r="C93" s="1529">
        <v>43555</v>
      </c>
      <c r="D93" s="1537">
        <v>115.15</v>
      </c>
      <c r="E93" s="1518">
        <v>0</v>
      </c>
      <c r="F93" s="1519" t="s">
        <v>413</v>
      </c>
      <c r="G93" s="1509" t="s">
        <v>998</v>
      </c>
      <c r="H93" s="1530" t="s">
        <v>520</v>
      </c>
      <c r="I93" s="1509" t="s">
        <v>999</v>
      </c>
      <c r="J93" s="1509" t="s">
        <v>543</v>
      </c>
      <c r="K93" s="1509" t="s">
        <v>522</v>
      </c>
      <c r="L93" s="1520"/>
      <c r="M93" s="1520"/>
      <c r="N93" s="1520" t="s">
        <v>2462</v>
      </c>
      <c r="O93" s="1225"/>
      <c r="P93" s="1228"/>
      <c r="Q93" s="1228"/>
      <c r="U93" s="220" t="s">
        <v>1001</v>
      </c>
      <c r="V93" s="220" t="s">
        <v>1001</v>
      </c>
      <c r="X93" s="255">
        <v>43557</v>
      </c>
      <c r="Y93" s="255">
        <v>43557</v>
      </c>
      <c r="AA93" s="255"/>
      <c r="AB93" s="220" t="s">
        <v>523</v>
      </c>
      <c r="AC93" s="220">
        <v>0</v>
      </c>
      <c r="AD93" s="220">
        <v>0</v>
      </c>
      <c r="AE93" s="220">
        <v>0</v>
      </c>
      <c r="AF93" s="220">
        <v>0</v>
      </c>
      <c r="AG93" s="220">
        <v>0</v>
      </c>
      <c r="AH93" s="220">
        <v>1</v>
      </c>
      <c r="AI93" s="220">
        <v>70095</v>
      </c>
      <c r="AJ93" s="220">
        <v>2180</v>
      </c>
      <c r="AK93" s="220">
        <v>0</v>
      </c>
      <c r="AL93" s="220">
        <v>0</v>
      </c>
      <c r="AO93" s="258"/>
      <c r="AP93" s="258"/>
      <c r="AQ93" s="220" t="str">
        <f t="shared" si="2"/>
        <v/>
      </c>
      <c r="AS93" s="220" t="str">
        <f t="shared" si="3"/>
        <v>wci_corp</v>
      </c>
    </row>
    <row r="94" spans="2:45">
      <c r="B94" s="1509" t="s">
        <v>2447</v>
      </c>
      <c r="C94" s="1529">
        <v>43555</v>
      </c>
      <c r="D94" s="1537">
        <v>133.56</v>
      </c>
      <c r="E94" s="1518">
        <v>0</v>
      </c>
      <c r="F94" s="1519" t="s">
        <v>413</v>
      </c>
      <c r="G94" s="1509" t="s">
        <v>998</v>
      </c>
      <c r="H94" s="1530" t="s">
        <v>520</v>
      </c>
      <c r="I94" s="1509" t="s">
        <v>999</v>
      </c>
      <c r="J94" s="1509" t="s">
        <v>543</v>
      </c>
      <c r="K94" s="1509" t="s">
        <v>522</v>
      </c>
      <c r="L94" s="1520"/>
      <c r="M94" s="1520"/>
      <c r="N94" s="1520" t="s">
        <v>2533</v>
      </c>
      <c r="O94" s="1225"/>
      <c r="P94" s="1228"/>
      <c r="Q94" s="1228"/>
      <c r="U94" s="220" t="s">
        <v>1001</v>
      </c>
      <c r="V94" s="220" t="s">
        <v>1001</v>
      </c>
      <c r="X94" s="255">
        <v>43557</v>
      </c>
      <c r="Y94" s="255">
        <v>43557</v>
      </c>
      <c r="AA94" s="255"/>
      <c r="AB94" s="220" t="s">
        <v>523</v>
      </c>
      <c r="AC94" s="220">
        <v>0</v>
      </c>
      <c r="AD94" s="220">
        <v>0</v>
      </c>
      <c r="AE94" s="220">
        <v>0</v>
      </c>
      <c r="AF94" s="220">
        <v>0</v>
      </c>
      <c r="AG94" s="220">
        <v>0</v>
      </c>
      <c r="AH94" s="220">
        <v>1</v>
      </c>
      <c r="AI94" s="220">
        <v>70095</v>
      </c>
      <c r="AJ94" s="220">
        <v>2180</v>
      </c>
      <c r="AK94" s="220">
        <v>0</v>
      </c>
      <c r="AL94" s="220">
        <v>0</v>
      </c>
      <c r="AO94" s="258"/>
      <c r="AP94" s="258"/>
      <c r="AQ94" s="220" t="str">
        <f t="shared" si="2"/>
        <v/>
      </c>
      <c r="AS94" s="220" t="str">
        <f t="shared" si="3"/>
        <v>wci_corp</v>
      </c>
    </row>
    <row r="95" spans="2:45">
      <c r="B95" s="1509" t="s">
        <v>2447</v>
      </c>
      <c r="C95" s="1529">
        <v>43555</v>
      </c>
      <c r="D95" s="1537">
        <v>73.260000000000005</v>
      </c>
      <c r="E95" s="1518">
        <v>0</v>
      </c>
      <c r="F95" s="1519" t="s">
        <v>413</v>
      </c>
      <c r="G95" s="1509" t="s">
        <v>998</v>
      </c>
      <c r="H95" s="1530" t="s">
        <v>520</v>
      </c>
      <c r="I95" s="1509" t="s">
        <v>999</v>
      </c>
      <c r="J95" s="1509" t="s">
        <v>543</v>
      </c>
      <c r="K95" s="1509" t="s">
        <v>522</v>
      </c>
      <c r="L95" s="1520"/>
      <c r="M95" s="1520"/>
      <c r="N95" s="1520" t="s">
        <v>2505</v>
      </c>
      <c r="O95" s="1225"/>
      <c r="P95" s="1228"/>
      <c r="Q95" s="1228"/>
      <c r="U95" s="220" t="s">
        <v>1001</v>
      </c>
      <c r="V95" s="220" t="s">
        <v>1001</v>
      </c>
      <c r="X95" s="255">
        <v>43557</v>
      </c>
      <c r="Y95" s="255">
        <v>43557</v>
      </c>
      <c r="AA95" s="255"/>
      <c r="AB95" s="220" t="s">
        <v>523</v>
      </c>
      <c r="AC95" s="220">
        <v>0</v>
      </c>
      <c r="AD95" s="220">
        <v>0</v>
      </c>
      <c r="AE95" s="220">
        <v>0</v>
      </c>
      <c r="AF95" s="220">
        <v>0</v>
      </c>
      <c r="AG95" s="220">
        <v>0</v>
      </c>
      <c r="AH95" s="220">
        <v>1</v>
      </c>
      <c r="AI95" s="220">
        <v>70095</v>
      </c>
      <c r="AJ95" s="220">
        <v>2180</v>
      </c>
      <c r="AK95" s="220">
        <v>0</v>
      </c>
      <c r="AL95" s="220">
        <v>0</v>
      </c>
      <c r="AO95" s="258"/>
      <c r="AP95" s="258"/>
      <c r="AQ95" s="220" t="str">
        <f t="shared" si="2"/>
        <v/>
      </c>
      <c r="AS95" s="220" t="str">
        <f t="shared" si="3"/>
        <v>wci_corp</v>
      </c>
    </row>
    <row r="96" spans="2:45">
      <c r="B96" s="1509" t="s">
        <v>2447</v>
      </c>
      <c r="C96" s="1529">
        <v>43555</v>
      </c>
      <c r="D96" s="1537">
        <v>55</v>
      </c>
      <c r="E96" s="1518">
        <v>0</v>
      </c>
      <c r="F96" s="1519" t="s">
        <v>413</v>
      </c>
      <c r="G96" s="1509" t="s">
        <v>998</v>
      </c>
      <c r="H96" s="1530" t="s">
        <v>520</v>
      </c>
      <c r="I96" s="1509" t="s">
        <v>999</v>
      </c>
      <c r="J96" s="1509" t="s">
        <v>543</v>
      </c>
      <c r="K96" s="1509" t="s">
        <v>522</v>
      </c>
      <c r="L96" s="1520"/>
      <c r="M96" s="1520"/>
      <c r="N96" s="1520" t="s">
        <v>2534</v>
      </c>
      <c r="O96" s="1225"/>
      <c r="P96" s="1228"/>
      <c r="Q96" s="1228"/>
      <c r="U96" s="220" t="s">
        <v>1001</v>
      </c>
      <c r="V96" s="220" t="s">
        <v>1001</v>
      </c>
      <c r="X96" s="255">
        <v>43557</v>
      </c>
      <c r="Y96" s="255">
        <v>43557</v>
      </c>
      <c r="AA96" s="255"/>
      <c r="AB96" s="220" t="s">
        <v>523</v>
      </c>
      <c r="AC96" s="220">
        <v>0</v>
      </c>
      <c r="AD96" s="220">
        <v>0</v>
      </c>
      <c r="AE96" s="220">
        <v>0</v>
      </c>
      <c r="AF96" s="220">
        <v>0</v>
      </c>
      <c r="AG96" s="220">
        <v>0</v>
      </c>
      <c r="AH96" s="220">
        <v>1</v>
      </c>
      <c r="AI96" s="220">
        <v>70095</v>
      </c>
      <c r="AJ96" s="220">
        <v>2180</v>
      </c>
      <c r="AK96" s="220">
        <v>0</v>
      </c>
      <c r="AL96" s="220">
        <v>0</v>
      </c>
      <c r="AO96" s="258"/>
      <c r="AP96" s="258"/>
      <c r="AQ96" s="220" t="str">
        <f t="shared" si="2"/>
        <v/>
      </c>
      <c r="AS96" s="220" t="str">
        <f t="shared" si="3"/>
        <v>wci_corp</v>
      </c>
    </row>
    <row r="97" spans="2:45">
      <c r="B97" s="1509" t="s">
        <v>2447</v>
      </c>
      <c r="C97" s="1529">
        <v>43555</v>
      </c>
      <c r="D97" s="1537">
        <v>22.82</v>
      </c>
      <c r="E97" s="1518">
        <v>0</v>
      </c>
      <c r="F97" s="1519" t="s">
        <v>413</v>
      </c>
      <c r="G97" s="1509" t="s">
        <v>998</v>
      </c>
      <c r="H97" s="1530" t="s">
        <v>520</v>
      </c>
      <c r="I97" s="1509" t="s">
        <v>999</v>
      </c>
      <c r="J97" s="1509" t="s">
        <v>543</v>
      </c>
      <c r="K97" s="1509" t="s">
        <v>522</v>
      </c>
      <c r="L97" s="1520"/>
      <c r="M97" s="1520"/>
      <c r="N97" s="1520" t="s">
        <v>2535</v>
      </c>
      <c r="O97" s="1225"/>
      <c r="P97" s="1228"/>
      <c r="Q97" s="1228"/>
      <c r="U97" s="220" t="s">
        <v>1001</v>
      </c>
      <c r="V97" s="220" t="s">
        <v>1001</v>
      </c>
      <c r="X97" s="255">
        <v>43557</v>
      </c>
      <c r="Y97" s="255">
        <v>43557</v>
      </c>
      <c r="AA97" s="255"/>
      <c r="AB97" s="220" t="s">
        <v>523</v>
      </c>
      <c r="AC97" s="220">
        <v>0</v>
      </c>
      <c r="AD97" s="220">
        <v>0</v>
      </c>
      <c r="AE97" s="220">
        <v>0</v>
      </c>
      <c r="AF97" s="220">
        <v>0</v>
      </c>
      <c r="AG97" s="220">
        <v>0</v>
      </c>
      <c r="AH97" s="220">
        <v>1</v>
      </c>
      <c r="AI97" s="220">
        <v>70095</v>
      </c>
      <c r="AJ97" s="220">
        <v>2180</v>
      </c>
      <c r="AK97" s="220">
        <v>0</v>
      </c>
      <c r="AL97" s="220">
        <v>0</v>
      </c>
      <c r="AO97" s="258"/>
      <c r="AP97" s="258"/>
      <c r="AQ97" s="220" t="str">
        <f t="shared" si="2"/>
        <v/>
      </c>
      <c r="AS97" s="220" t="str">
        <f t="shared" si="3"/>
        <v>wci_corp</v>
      </c>
    </row>
    <row r="98" spans="2:45">
      <c r="B98" s="1509" t="s">
        <v>2447</v>
      </c>
      <c r="C98" s="1529">
        <v>43555</v>
      </c>
      <c r="D98" s="1537">
        <v>1331.28</v>
      </c>
      <c r="E98" s="1518">
        <v>0</v>
      </c>
      <c r="F98" s="1519" t="s">
        <v>413</v>
      </c>
      <c r="G98" s="1509" t="s">
        <v>998</v>
      </c>
      <c r="H98" s="1530" t="s">
        <v>520</v>
      </c>
      <c r="I98" s="1509" t="s">
        <v>999</v>
      </c>
      <c r="J98" s="1509" t="s">
        <v>543</v>
      </c>
      <c r="K98" s="1509" t="s">
        <v>522</v>
      </c>
      <c r="L98" s="1520"/>
      <c r="M98" s="1520"/>
      <c r="N98" s="1520" t="s">
        <v>2506</v>
      </c>
      <c r="O98" s="1225"/>
      <c r="P98" s="1228"/>
      <c r="Q98" s="1228"/>
      <c r="U98" s="220" t="s">
        <v>1001</v>
      </c>
      <c r="V98" s="220" t="s">
        <v>1001</v>
      </c>
      <c r="X98" s="255">
        <v>43557</v>
      </c>
      <c r="Y98" s="255">
        <v>43557</v>
      </c>
      <c r="AA98" s="255"/>
      <c r="AB98" s="220" t="s">
        <v>523</v>
      </c>
      <c r="AC98" s="220">
        <v>0</v>
      </c>
      <c r="AD98" s="220">
        <v>0</v>
      </c>
      <c r="AE98" s="220">
        <v>0</v>
      </c>
      <c r="AF98" s="220">
        <v>0</v>
      </c>
      <c r="AG98" s="220">
        <v>0</v>
      </c>
      <c r="AH98" s="220">
        <v>1</v>
      </c>
      <c r="AI98" s="220">
        <v>70095</v>
      </c>
      <c r="AJ98" s="220">
        <v>2180</v>
      </c>
      <c r="AK98" s="220">
        <v>0</v>
      </c>
      <c r="AL98" s="220">
        <v>0</v>
      </c>
      <c r="AO98" s="258"/>
      <c r="AP98" s="258"/>
      <c r="AQ98" s="220" t="str">
        <f t="shared" si="2"/>
        <v/>
      </c>
      <c r="AS98" s="220" t="str">
        <f t="shared" si="3"/>
        <v>wci_corp</v>
      </c>
    </row>
    <row r="99" spans="2:45">
      <c r="B99" s="1509" t="s">
        <v>2447</v>
      </c>
      <c r="C99" s="1529">
        <v>43555</v>
      </c>
      <c r="D99" s="1537">
        <v>85.97</v>
      </c>
      <c r="E99" s="1518">
        <v>0</v>
      </c>
      <c r="F99" s="1519" t="s">
        <v>413</v>
      </c>
      <c r="G99" s="1509" t="s">
        <v>998</v>
      </c>
      <c r="H99" s="1530" t="s">
        <v>520</v>
      </c>
      <c r="I99" s="1509" t="s">
        <v>999</v>
      </c>
      <c r="J99" s="1509" t="s">
        <v>543</v>
      </c>
      <c r="K99" s="1509" t="s">
        <v>522</v>
      </c>
      <c r="L99" s="1520"/>
      <c r="M99" s="1520"/>
      <c r="N99" s="1520" t="s">
        <v>2536</v>
      </c>
      <c r="O99" s="1225"/>
      <c r="P99" s="1228"/>
      <c r="Q99" s="1228"/>
      <c r="U99" s="220" t="s">
        <v>1001</v>
      </c>
      <c r="V99" s="220" t="s">
        <v>1001</v>
      </c>
      <c r="X99" s="255">
        <v>43557</v>
      </c>
      <c r="Y99" s="255">
        <v>43557</v>
      </c>
      <c r="AA99" s="255"/>
      <c r="AB99" s="220" t="s">
        <v>523</v>
      </c>
      <c r="AC99" s="220">
        <v>0</v>
      </c>
      <c r="AD99" s="220">
        <v>0</v>
      </c>
      <c r="AE99" s="220">
        <v>0</v>
      </c>
      <c r="AF99" s="220">
        <v>0</v>
      </c>
      <c r="AG99" s="220">
        <v>0</v>
      </c>
      <c r="AH99" s="220">
        <v>1</v>
      </c>
      <c r="AI99" s="220">
        <v>70095</v>
      </c>
      <c r="AJ99" s="220">
        <v>2180</v>
      </c>
      <c r="AK99" s="220">
        <v>0</v>
      </c>
      <c r="AL99" s="220">
        <v>0</v>
      </c>
      <c r="AO99" s="258"/>
      <c r="AP99" s="258"/>
      <c r="AQ99" s="220" t="str">
        <f t="shared" si="2"/>
        <v/>
      </c>
      <c r="AS99" s="220" t="str">
        <f t="shared" si="3"/>
        <v>wci_corp</v>
      </c>
    </row>
    <row r="100" spans="2:45">
      <c r="B100" s="1509" t="s">
        <v>2447</v>
      </c>
      <c r="C100" s="1529">
        <v>43555</v>
      </c>
      <c r="D100" s="1537">
        <v>827.95</v>
      </c>
      <c r="E100" s="1518">
        <v>0</v>
      </c>
      <c r="F100" s="1519" t="s">
        <v>413</v>
      </c>
      <c r="G100" s="1509" t="s">
        <v>998</v>
      </c>
      <c r="H100" s="1530" t="s">
        <v>520</v>
      </c>
      <c r="I100" s="1509" t="s">
        <v>999</v>
      </c>
      <c r="J100" s="1509" t="s">
        <v>543</v>
      </c>
      <c r="K100" s="1509" t="s">
        <v>522</v>
      </c>
      <c r="L100" s="1520"/>
      <c r="M100" s="1520"/>
      <c r="N100" s="1520" t="s">
        <v>2537</v>
      </c>
      <c r="O100" s="1225"/>
      <c r="P100" s="1228"/>
      <c r="Q100" s="1228"/>
      <c r="U100" s="220" t="s">
        <v>1001</v>
      </c>
      <c r="V100" s="220" t="s">
        <v>1001</v>
      </c>
      <c r="X100" s="255">
        <v>43557</v>
      </c>
      <c r="Y100" s="255">
        <v>43557</v>
      </c>
      <c r="AA100" s="255"/>
      <c r="AB100" s="220" t="s">
        <v>523</v>
      </c>
      <c r="AC100" s="220">
        <v>0</v>
      </c>
      <c r="AD100" s="220">
        <v>0</v>
      </c>
      <c r="AE100" s="220">
        <v>0</v>
      </c>
      <c r="AF100" s="220">
        <v>0</v>
      </c>
      <c r="AG100" s="220">
        <v>0</v>
      </c>
      <c r="AH100" s="220">
        <v>1</v>
      </c>
      <c r="AI100" s="220">
        <v>70095</v>
      </c>
      <c r="AJ100" s="220">
        <v>2180</v>
      </c>
      <c r="AK100" s="220">
        <v>0</v>
      </c>
      <c r="AL100" s="220">
        <v>0</v>
      </c>
      <c r="AO100" s="258"/>
      <c r="AP100" s="258"/>
      <c r="AQ100" s="220" t="str">
        <f t="shared" si="2"/>
        <v/>
      </c>
      <c r="AS100" s="220" t="str">
        <f t="shared" si="3"/>
        <v>wci_corp</v>
      </c>
    </row>
    <row r="101" spans="2:45">
      <c r="B101" s="1509" t="s">
        <v>2447</v>
      </c>
      <c r="C101" s="1529">
        <v>43555</v>
      </c>
      <c r="D101" s="1537">
        <v>156.52000000000001</v>
      </c>
      <c r="E101" s="1518">
        <v>0</v>
      </c>
      <c r="F101" s="1519" t="s">
        <v>413</v>
      </c>
      <c r="G101" s="1509" t="s">
        <v>1103</v>
      </c>
      <c r="H101" s="1530" t="s">
        <v>520</v>
      </c>
      <c r="I101" s="1509" t="s">
        <v>1104</v>
      </c>
      <c r="J101" s="1509" t="s">
        <v>536</v>
      </c>
      <c r="K101" s="1509" t="s">
        <v>522</v>
      </c>
      <c r="L101" s="1520"/>
      <c r="M101" s="1520"/>
      <c r="N101" s="1520" t="s">
        <v>2538</v>
      </c>
      <c r="O101" s="1225"/>
      <c r="P101" s="1228"/>
      <c r="Q101" s="1228"/>
      <c r="U101" s="220" t="s">
        <v>1106</v>
      </c>
      <c r="V101" s="220" t="s">
        <v>1106</v>
      </c>
      <c r="X101" s="255">
        <v>43559</v>
      </c>
      <c r="Y101" s="255">
        <v>43559</v>
      </c>
      <c r="AA101" s="255"/>
      <c r="AB101" s="220" t="s">
        <v>523</v>
      </c>
      <c r="AC101" s="220">
        <v>0</v>
      </c>
      <c r="AD101" s="220">
        <v>0</v>
      </c>
      <c r="AE101" s="220">
        <v>0</v>
      </c>
      <c r="AF101" s="220">
        <v>0</v>
      </c>
      <c r="AG101" s="220">
        <v>0</v>
      </c>
      <c r="AH101" s="220">
        <v>1</v>
      </c>
      <c r="AI101" s="220">
        <v>70095</v>
      </c>
      <c r="AJ101" s="220">
        <v>2180</v>
      </c>
      <c r="AK101" s="220">
        <v>0</v>
      </c>
      <c r="AL101" s="220">
        <v>0</v>
      </c>
      <c r="AO101" s="258"/>
      <c r="AP101" s="258"/>
      <c r="AQ101" s="220" t="str">
        <f t="shared" si="2"/>
        <v/>
      </c>
      <c r="AS101" s="220" t="str">
        <f t="shared" si="3"/>
        <v>wci_corp</v>
      </c>
    </row>
    <row r="102" spans="2:45">
      <c r="B102" s="1509" t="s">
        <v>2447</v>
      </c>
      <c r="C102" s="1529">
        <v>43555</v>
      </c>
      <c r="D102" s="1537">
        <v>36.92</v>
      </c>
      <c r="E102" s="1518">
        <v>0</v>
      </c>
      <c r="F102" s="1519" t="s">
        <v>413</v>
      </c>
      <c r="G102" s="1509" t="s">
        <v>2539</v>
      </c>
      <c r="H102" s="1530" t="s">
        <v>520</v>
      </c>
      <c r="I102" s="1509" t="s">
        <v>2540</v>
      </c>
      <c r="J102" s="1509" t="s">
        <v>543</v>
      </c>
      <c r="K102" s="1509" t="s">
        <v>522</v>
      </c>
      <c r="L102" s="1520"/>
      <c r="M102" s="1520"/>
      <c r="N102" s="1520" t="s">
        <v>2541</v>
      </c>
      <c r="O102" s="1225"/>
      <c r="P102" s="1228"/>
      <c r="Q102" s="1228"/>
      <c r="U102" s="220" t="s">
        <v>2542</v>
      </c>
      <c r="V102" s="220" t="s">
        <v>2542</v>
      </c>
      <c r="X102" s="255">
        <v>43559</v>
      </c>
      <c r="Y102" s="255">
        <v>43560</v>
      </c>
      <c r="AA102" s="255"/>
      <c r="AB102" s="220" t="s">
        <v>523</v>
      </c>
      <c r="AC102" s="220">
        <v>0</v>
      </c>
      <c r="AD102" s="220">
        <v>0</v>
      </c>
      <c r="AE102" s="220">
        <v>0</v>
      </c>
      <c r="AF102" s="220">
        <v>0</v>
      </c>
      <c r="AG102" s="220">
        <v>0</v>
      </c>
      <c r="AH102" s="220">
        <v>1</v>
      </c>
      <c r="AI102" s="220">
        <v>70095</v>
      </c>
      <c r="AJ102" s="220">
        <v>2180</v>
      </c>
      <c r="AK102" s="220">
        <v>0</v>
      </c>
      <c r="AL102" s="220">
        <v>0</v>
      </c>
      <c r="AO102" s="258"/>
      <c r="AP102" s="258"/>
      <c r="AQ102" s="220" t="str">
        <f t="shared" si="2"/>
        <v/>
      </c>
      <c r="AS102" s="220" t="str">
        <f t="shared" si="3"/>
        <v>wci_corp</v>
      </c>
    </row>
    <row r="103" spans="2:45">
      <c r="B103" s="1509" t="s">
        <v>2447</v>
      </c>
      <c r="C103" s="1529">
        <v>43555</v>
      </c>
      <c r="D103" s="1537">
        <v>51.88</v>
      </c>
      <c r="E103" s="1518">
        <v>0</v>
      </c>
      <c r="F103" s="1519" t="s">
        <v>413</v>
      </c>
      <c r="G103" s="1509" t="s">
        <v>2543</v>
      </c>
      <c r="H103" s="1530" t="s">
        <v>520</v>
      </c>
      <c r="I103" s="1509" t="s">
        <v>1064</v>
      </c>
      <c r="J103" s="1509" t="s">
        <v>543</v>
      </c>
      <c r="K103" s="1509" t="s">
        <v>522</v>
      </c>
      <c r="L103" s="1520"/>
      <c r="M103" s="1520"/>
      <c r="N103" s="1520" t="s">
        <v>2544</v>
      </c>
      <c r="O103" s="1225"/>
      <c r="P103" s="1228"/>
      <c r="Q103" s="1228"/>
      <c r="U103" s="220" t="s">
        <v>2545</v>
      </c>
      <c r="V103" s="220" t="s">
        <v>2545</v>
      </c>
      <c r="X103" s="255">
        <v>43559</v>
      </c>
      <c r="Y103" s="255">
        <v>43560</v>
      </c>
      <c r="AA103" s="255"/>
      <c r="AB103" s="220" t="s">
        <v>523</v>
      </c>
      <c r="AC103" s="220">
        <v>0</v>
      </c>
      <c r="AD103" s="220">
        <v>0</v>
      </c>
      <c r="AE103" s="220">
        <v>0</v>
      </c>
      <c r="AF103" s="220">
        <v>0</v>
      </c>
      <c r="AG103" s="220">
        <v>0</v>
      </c>
      <c r="AH103" s="220">
        <v>1</v>
      </c>
      <c r="AI103" s="220">
        <v>70095</v>
      </c>
      <c r="AJ103" s="220">
        <v>2180</v>
      </c>
      <c r="AK103" s="220">
        <v>0</v>
      </c>
      <c r="AL103" s="220">
        <v>0</v>
      </c>
      <c r="AO103" s="258"/>
      <c r="AP103" s="258"/>
      <c r="AQ103" s="220" t="str">
        <f t="shared" si="2"/>
        <v/>
      </c>
      <c r="AS103" s="220" t="str">
        <f t="shared" si="3"/>
        <v>wci_corp</v>
      </c>
    </row>
    <row r="104" spans="2:45">
      <c r="B104" s="1509" t="s">
        <v>2447</v>
      </c>
      <c r="C104" s="1529">
        <v>43555</v>
      </c>
      <c r="D104" s="1537">
        <v>-51.88</v>
      </c>
      <c r="E104" s="1518">
        <v>0</v>
      </c>
      <c r="F104" s="1519" t="s">
        <v>413</v>
      </c>
      <c r="G104" s="1509" t="s">
        <v>2546</v>
      </c>
      <c r="H104" s="1530" t="s">
        <v>520</v>
      </c>
      <c r="I104" s="1509" t="s">
        <v>2547</v>
      </c>
      <c r="J104" s="1509" t="s">
        <v>543</v>
      </c>
      <c r="K104" s="1509" t="s">
        <v>522</v>
      </c>
      <c r="L104" s="1520"/>
      <c r="M104" s="1520"/>
      <c r="N104" s="1520" t="s">
        <v>2548</v>
      </c>
      <c r="O104" s="1225"/>
      <c r="P104" s="1228"/>
      <c r="Q104" s="1228"/>
      <c r="U104" s="220" t="s">
        <v>2549</v>
      </c>
      <c r="V104" s="220" t="s">
        <v>2549</v>
      </c>
      <c r="X104" s="255">
        <v>43559</v>
      </c>
      <c r="Y104" s="255">
        <v>43560</v>
      </c>
      <c r="AA104" s="255"/>
      <c r="AB104" s="220" t="s">
        <v>523</v>
      </c>
      <c r="AC104" s="220">
        <v>0</v>
      </c>
      <c r="AD104" s="220">
        <v>0</v>
      </c>
      <c r="AE104" s="220">
        <v>0</v>
      </c>
      <c r="AF104" s="220">
        <v>0</v>
      </c>
      <c r="AG104" s="220">
        <v>0</v>
      </c>
      <c r="AH104" s="220">
        <v>1</v>
      </c>
      <c r="AI104" s="220">
        <v>70095</v>
      </c>
      <c r="AJ104" s="220">
        <v>2180</v>
      </c>
      <c r="AK104" s="220">
        <v>0</v>
      </c>
      <c r="AL104" s="220">
        <v>0</v>
      </c>
      <c r="AO104" s="258"/>
      <c r="AP104" s="258"/>
      <c r="AQ104" s="220" t="str">
        <f t="shared" si="2"/>
        <v/>
      </c>
      <c r="AS104" s="220" t="str">
        <f t="shared" si="3"/>
        <v>wci_corp</v>
      </c>
    </row>
    <row r="105" spans="2:45">
      <c r="B105" s="1509" t="s">
        <v>2447</v>
      </c>
      <c r="C105" s="1529">
        <v>43555</v>
      </c>
      <c r="D105" s="1537">
        <v>-1498.02</v>
      </c>
      <c r="E105" s="1518">
        <v>0</v>
      </c>
      <c r="F105" s="1519" t="s">
        <v>413</v>
      </c>
      <c r="G105" s="1509" t="s">
        <v>2550</v>
      </c>
      <c r="H105" s="1530" t="s">
        <v>520</v>
      </c>
      <c r="I105" s="1509" t="s">
        <v>2551</v>
      </c>
      <c r="J105" s="1509" t="s">
        <v>689</v>
      </c>
      <c r="K105" s="1509" t="s">
        <v>522</v>
      </c>
      <c r="L105" s="1520"/>
      <c r="M105" s="1520"/>
      <c r="N105" s="1520" t="s">
        <v>2524</v>
      </c>
      <c r="O105" s="1225"/>
      <c r="P105" s="1228"/>
      <c r="Q105" s="1228"/>
      <c r="U105" s="220" t="s">
        <v>2552</v>
      </c>
      <c r="V105" s="220" t="s">
        <v>2552</v>
      </c>
      <c r="X105" s="255">
        <v>43560</v>
      </c>
      <c r="Y105" s="255">
        <v>43560</v>
      </c>
      <c r="AA105" s="255"/>
      <c r="AB105" s="220" t="s">
        <v>523</v>
      </c>
      <c r="AC105" s="220">
        <v>0</v>
      </c>
      <c r="AD105" s="220">
        <v>0</v>
      </c>
      <c r="AE105" s="220">
        <v>0</v>
      </c>
      <c r="AF105" s="220">
        <v>0</v>
      </c>
      <c r="AG105" s="220">
        <v>0</v>
      </c>
      <c r="AH105" s="220">
        <v>1</v>
      </c>
      <c r="AI105" s="220">
        <v>70095</v>
      </c>
      <c r="AJ105" s="220">
        <v>2180</v>
      </c>
      <c r="AK105" s="220">
        <v>0</v>
      </c>
      <c r="AL105" s="220">
        <v>0</v>
      </c>
      <c r="AO105" s="258"/>
      <c r="AP105" s="258"/>
      <c r="AQ105" s="220" t="str">
        <f t="shared" si="2"/>
        <v/>
      </c>
      <c r="AS105" s="220" t="str">
        <f t="shared" si="3"/>
        <v>wci_corp</v>
      </c>
    </row>
    <row r="106" spans="2:45">
      <c r="B106" s="1509" t="s">
        <v>2447</v>
      </c>
      <c r="C106" s="1529">
        <v>43573</v>
      </c>
      <c r="D106" s="1537">
        <v>5000</v>
      </c>
      <c r="E106" s="1518">
        <v>0</v>
      </c>
      <c r="F106" s="1519" t="s">
        <v>413</v>
      </c>
      <c r="G106" s="1509" t="s">
        <v>2553</v>
      </c>
      <c r="H106" s="1530" t="s">
        <v>520</v>
      </c>
      <c r="I106" s="1509" t="s">
        <v>680</v>
      </c>
      <c r="J106" s="1509" t="s">
        <v>681</v>
      </c>
      <c r="K106" s="1509" t="s">
        <v>522</v>
      </c>
      <c r="L106" s="1520" t="s">
        <v>2554</v>
      </c>
      <c r="M106" s="1520"/>
      <c r="N106" s="1520" t="s">
        <v>2555</v>
      </c>
      <c r="O106" s="1225">
        <v>43556</v>
      </c>
      <c r="P106" s="1228" t="s">
        <v>2556</v>
      </c>
      <c r="Q106" s="1228">
        <v>14035</v>
      </c>
      <c r="R106" s="220" t="s">
        <v>2557</v>
      </c>
      <c r="U106" s="220" t="s">
        <v>2558</v>
      </c>
      <c r="V106" s="220" t="s">
        <v>2559</v>
      </c>
      <c r="W106" s="220">
        <v>2140</v>
      </c>
      <c r="X106" s="255">
        <v>43573</v>
      </c>
      <c r="Y106" s="255">
        <v>43574</v>
      </c>
      <c r="Z106" s="220">
        <v>15000</v>
      </c>
      <c r="AA106" s="255">
        <v>43557</v>
      </c>
      <c r="AB106" s="220" t="s">
        <v>523</v>
      </c>
      <c r="AC106" s="220">
        <v>0</v>
      </c>
      <c r="AD106" s="220">
        <v>0</v>
      </c>
      <c r="AE106" s="220">
        <v>0</v>
      </c>
      <c r="AF106" s="220">
        <v>0</v>
      </c>
      <c r="AG106" s="220">
        <v>0</v>
      </c>
      <c r="AH106" s="220">
        <v>1</v>
      </c>
      <c r="AI106" s="220">
        <v>70095</v>
      </c>
      <c r="AJ106" s="220">
        <v>2180</v>
      </c>
      <c r="AK106" s="220">
        <v>0</v>
      </c>
      <c r="AL106" s="220">
        <v>0</v>
      </c>
      <c r="AO106" s="258"/>
      <c r="AP106" s="258"/>
      <c r="AQ106" s="220" t="str">
        <f t="shared" si="2"/>
        <v>VO04988563</v>
      </c>
      <c r="AS106" s="220" t="str">
        <f t="shared" si="3"/>
        <v>wci_corp</v>
      </c>
    </row>
    <row r="107" spans="2:45">
      <c r="B107" s="1509" t="s">
        <v>2447</v>
      </c>
      <c r="C107" s="1529">
        <v>43585</v>
      </c>
      <c r="D107" s="1537">
        <v>-36.92</v>
      </c>
      <c r="E107" s="1518">
        <v>0</v>
      </c>
      <c r="F107" s="1519" t="s">
        <v>413</v>
      </c>
      <c r="G107" s="1509" t="s">
        <v>2560</v>
      </c>
      <c r="H107" s="1530" t="s">
        <v>520</v>
      </c>
      <c r="I107" s="1509" t="s">
        <v>2540</v>
      </c>
      <c r="J107" s="1509" t="s">
        <v>536</v>
      </c>
      <c r="K107" s="1509" t="s">
        <v>522</v>
      </c>
      <c r="L107" s="1520"/>
      <c r="M107" s="1520"/>
      <c r="N107" s="1520" t="s">
        <v>2541</v>
      </c>
      <c r="O107" s="1225"/>
      <c r="P107" s="1228"/>
      <c r="Q107" s="1228"/>
      <c r="U107" s="220" t="s">
        <v>2542</v>
      </c>
      <c r="V107" s="220" t="s">
        <v>2561</v>
      </c>
      <c r="X107" s="255">
        <v>43560</v>
      </c>
      <c r="Y107" s="255">
        <v>43560</v>
      </c>
      <c r="AA107" s="255"/>
      <c r="AB107" s="220" t="s">
        <v>523</v>
      </c>
      <c r="AC107" s="220">
        <v>0</v>
      </c>
      <c r="AD107" s="220">
        <v>0</v>
      </c>
      <c r="AE107" s="220">
        <v>0</v>
      </c>
      <c r="AF107" s="220">
        <v>0</v>
      </c>
      <c r="AG107" s="220">
        <v>5</v>
      </c>
      <c r="AH107" s="220">
        <v>1</v>
      </c>
      <c r="AI107" s="220">
        <v>70095</v>
      </c>
      <c r="AJ107" s="220">
        <v>2180</v>
      </c>
      <c r="AK107" s="220">
        <v>0</v>
      </c>
      <c r="AL107" s="220">
        <v>0</v>
      </c>
      <c r="AO107" s="258"/>
      <c r="AP107" s="258"/>
      <c r="AQ107" s="220" t="str">
        <f t="shared" si="2"/>
        <v/>
      </c>
      <c r="AS107" s="220" t="str">
        <f t="shared" si="3"/>
        <v>wci_corp</v>
      </c>
    </row>
    <row r="108" spans="2:45">
      <c r="B108" s="1509" t="s">
        <v>2447</v>
      </c>
      <c r="C108" s="1529">
        <v>43585</v>
      </c>
      <c r="D108" s="1537">
        <v>-51.88</v>
      </c>
      <c r="E108" s="1518">
        <v>0</v>
      </c>
      <c r="F108" s="1519" t="s">
        <v>413</v>
      </c>
      <c r="G108" s="1509" t="s">
        <v>2562</v>
      </c>
      <c r="H108" s="1530" t="s">
        <v>520</v>
      </c>
      <c r="I108" s="1509" t="s">
        <v>1064</v>
      </c>
      <c r="J108" s="1509" t="s">
        <v>536</v>
      </c>
      <c r="K108" s="1509" t="s">
        <v>522</v>
      </c>
      <c r="L108" s="1520"/>
      <c r="M108" s="1520"/>
      <c r="N108" s="1520" t="s">
        <v>2544</v>
      </c>
      <c r="O108" s="1225"/>
      <c r="P108" s="1228"/>
      <c r="Q108" s="1228"/>
      <c r="U108" s="220" t="s">
        <v>2545</v>
      </c>
      <c r="V108" s="220" t="s">
        <v>2563</v>
      </c>
      <c r="X108" s="255">
        <v>43560</v>
      </c>
      <c r="Y108" s="255">
        <v>43560</v>
      </c>
      <c r="AA108" s="255"/>
      <c r="AB108" s="220" t="s">
        <v>523</v>
      </c>
      <c r="AC108" s="220">
        <v>0</v>
      </c>
      <c r="AD108" s="220">
        <v>0</v>
      </c>
      <c r="AE108" s="220">
        <v>0</v>
      </c>
      <c r="AF108" s="220">
        <v>0</v>
      </c>
      <c r="AG108" s="220">
        <v>5</v>
      </c>
      <c r="AH108" s="220">
        <v>1</v>
      </c>
      <c r="AI108" s="220">
        <v>70095</v>
      </c>
      <c r="AJ108" s="220">
        <v>2180</v>
      </c>
      <c r="AK108" s="220">
        <v>0</v>
      </c>
      <c r="AL108" s="220">
        <v>0</v>
      </c>
      <c r="AO108" s="258"/>
      <c r="AP108" s="258"/>
      <c r="AQ108" s="220" t="str">
        <f t="shared" si="2"/>
        <v/>
      </c>
      <c r="AS108" s="220" t="str">
        <f t="shared" si="3"/>
        <v>wci_corp</v>
      </c>
    </row>
    <row r="109" spans="2:45">
      <c r="B109" s="1509" t="s">
        <v>2447</v>
      </c>
      <c r="C109" s="1529">
        <v>43585</v>
      </c>
      <c r="D109" s="1537">
        <v>51.88</v>
      </c>
      <c r="E109" s="1518">
        <v>0</v>
      </c>
      <c r="F109" s="1519" t="s">
        <v>413</v>
      </c>
      <c r="G109" s="1509" t="s">
        <v>2564</v>
      </c>
      <c r="H109" s="1530" t="s">
        <v>520</v>
      </c>
      <c r="I109" s="1509" t="s">
        <v>2547</v>
      </c>
      <c r="J109" s="1509" t="s">
        <v>536</v>
      </c>
      <c r="K109" s="1509" t="s">
        <v>522</v>
      </c>
      <c r="L109" s="1520"/>
      <c r="M109" s="1520"/>
      <c r="N109" s="1520" t="s">
        <v>2548</v>
      </c>
      <c r="O109" s="1225"/>
      <c r="P109" s="1228"/>
      <c r="Q109" s="1228"/>
      <c r="U109" s="220" t="s">
        <v>2549</v>
      </c>
      <c r="V109" s="220" t="s">
        <v>2565</v>
      </c>
      <c r="X109" s="255">
        <v>43560</v>
      </c>
      <c r="Y109" s="255">
        <v>43560</v>
      </c>
      <c r="AA109" s="255"/>
      <c r="AB109" s="220" t="s">
        <v>523</v>
      </c>
      <c r="AC109" s="220">
        <v>0</v>
      </c>
      <c r="AD109" s="220">
        <v>0</v>
      </c>
      <c r="AE109" s="220">
        <v>0</v>
      </c>
      <c r="AF109" s="220">
        <v>0</v>
      </c>
      <c r="AG109" s="220">
        <v>5</v>
      </c>
      <c r="AH109" s="220">
        <v>1</v>
      </c>
      <c r="AI109" s="220">
        <v>70095</v>
      </c>
      <c r="AJ109" s="220">
        <v>2180</v>
      </c>
      <c r="AK109" s="220">
        <v>0</v>
      </c>
      <c r="AL109" s="220">
        <v>0</v>
      </c>
      <c r="AO109" s="258"/>
      <c r="AP109" s="258"/>
      <c r="AQ109" s="220" t="str">
        <f t="shared" si="2"/>
        <v/>
      </c>
      <c r="AS109" s="220" t="str">
        <f t="shared" si="3"/>
        <v>wci_corp</v>
      </c>
    </row>
    <row r="110" spans="2:45">
      <c r="B110" s="1509" t="s">
        <v>2447</v>
      </c>
      <c r="C110" s="1529">
        <v>43585</v>
      </c>
      <c r="D110" s="1537">
        <v>51.88</v>
      </c>
      <c r="E110" s="1518">
        <v>0</v>
      </c>
      <c r="F110" s="1519" t="s">
        <v>413</v>
      </c>
      <c r="G110" s="1509" t="s">
        <v>1002</v>
      </c>
      <c r="H110" s="1530" t="s">
        <v>520</v>
      </c>
      <c r="I110" s="1509" t="s">
        <v>1003</v>
      </c>
      <c r="J110" s="1509" t="s">
        <v>543</v>
      </c>
      <c r="K110" s="1509" t="s">
        <v>522</v>
      </c>
      <c r="L110" s="1520"/>
      <c r="M110" s="1520"/>
      <c r="N110" s="1520" t="s">
        <v>2544</v>
      </c>
      <c r="O110" s="1225"/>
      <c r="P110" s="1228"/>
      <c r="Q110" s="1228"/>
      <c r="U110" s="220" t="s">
        <v>1005</v>
      </c>
      <c r="V110" s="220" t="s">
        <v>1005</v>
      </c>
      <c r="X110" s="255">
        <v>43586</v>
      </c>
      <c r="Y110" s="255">
        <v>43587</v>
      </c>
      <c r="AA110" s="255"/>
      <c r="AB110" s="220" t="s">
        <v>523</v>
      </c>
      <c r="AC110" s="220">
        <v>0</v>
      </c>
      <c r="AD110" s="220">
        <v>0</v>
      </c>
      <c r="AE110" s="220">
        <v>0</v>
      </c>
      <c r="AF110" s="220">
        <v>0</v>
      </c>
      <c r="AG110" s="220">
        <v>0</v>
      </c>
      <c r="AH110" s="220">
        <v>1</v>
      </c>
      <c r="AI110" s="220">
        <v>70095</v>
      </c>
      <c r="AJ110" s="220">
        <v>2180</v>
      </c>
      <c r="AK110" s="220">
        <v>0</v>
      </c>
      <c r="AL110" s="220">
        <v>0</v>
      </c>
      <c r="AO110" s="258"/>
      <c r="AP110" s="258"/>
      <c r="AQ110" s="220" t="str">
        <f t="shared" si="2"/>
        <v/>
      </c>
      <c r="AS110" s="220" t="str">
        <f t="shared" si="3"/>
        <v>wci_corp</v>
      </c>
    </row>
    <row r="111" spans="2:45">
      <c r="B111" s="1509" t="s">
        <v>2447</v>
      </c>
      <c r="C111" s="1529">
        <v>43585</v>
      </c>
      <c r="D111" s="1537">
        <v>106.69</v>
      </c>
      <c r="E111" s="1518">
        <v>0</v>
      </c>
      <c r="F111" s="1519" t="s">
        <v>413</v>
      </c>
      <c r="G111" s="1509" t="s">
        <v>1002</v>
      </c>
      <c r="H111" s="1530" t="s">
        <v>520</v>
      </c>
      <c r="I111" s="1509" t="s">
        <v>1003</v>
      </c>
      <c r="J111" s="1509" t="s">
        <v>543</v>
      </c>
      <c r="K111" s="1509" t="s">
        <v>522</v>
      </c>
      <c r="L111" s="1520"/>
      <c r="M111" s="1520"/>
      <c r="N111" s="1520" t="s">
        <v>2462</v>
      </c>
      <c r="O111" s="1225"/>
      <c r="P111" s="1228"/>
      <c r="Q111" s="1228"/>
      <c r="U111" s="220" t="s">
        <v>1005</v>
      </c>
      <c r="V111" s="220" t="s">
        <v>1005</v>
      </c>
      <c r="X111" s="255">
        <v>43586</v>
      </c>
      <c r="Y111" s="255">
        <v>43587</v>
      </c>
      <c r="AA111" s="255"/>
      <c r="AB111" s="220" t="s">
        <v>523</v>
      </c>
      <c r="AC111" s="220">
        <v>0</v>
      </c>
      <c r="AD111" s="220">
        <v>0</v>
      </c>
      <c r="AE111" s="220">
        <v>0</v>
      </c>
      <c r="AF111" s="220">
        <v>0</v>
      </c>
      <c r="AG111" s="220">
        <v>0</v>
      </c>
      <c r="AH111" s="220">
        <v>1</v>
      </c>
      <c r="AI111" s="220">
        <v>70095</v>
      </c>
      <c r="AJ111" s="220">
        <v>2180</v>
      </c>
      <c r="AK111" s="220">
        <v>0</v>
      </c>
      <c r="AL111" s="220">
        <v>0</v>
      </c>
      <c r="AO111" s="258"/>
      <c r="AP111" s="258"/>
      <c r="AQ111" s="220" t="str">
        <f t="shared" si="2"/>
        <v/>
      </c>
      <c r="AS111" s="220" t="str">
        <f t="shared" si="3"/>
        <v>wci_corp</v>
      </c>
    </row>
    <row r="112" spans="2:45">
      <c r="B112" s="1509" t="s">
        <v>2447</v>
      </c>
      <c r="C112" s="1529">
        <v>43585</v>
      </c>
      <c r="D112" s="1537">
        <v>272.76</v>
      </c>
      <c r="E112" s="1518">
        <v>0</v>
      </c>
      <c r="F112" s="1519" t="s">
        <v>413</v>
      </c>
      <c r="G112" s="1509" t="s">
        <v>1002</v>
      </c>
      <c r="H112" s="1530" t="s">
        <v>520</v>
      </c>
      <c r="I112" s="1509" t="s">
        <v>1003</v>
      </c>
      <c r="J112" s="1509" t="s">
        <v>543</v>
      </c>
      <c r="K112" s="1509" t="s">
        <v>522</v>
      </c>
      <c r="L112" s="1520"/>
      <c r="M112" s="1520"/>
      <c r="N112" s="1520" t="s">
        <v>2566</v>
      </c>
      <c r="O112" s="1225"/>
      <c r="P112" s="1228"/>
      <c r="Q112" s="1228"/>
      <c r="U112" s="220" t="s">
        <v>1005</v>
      </c>
      <c r="V112" s="220" t="s">
        <v>1005</v>
      </c>
      <c r="X112" s="255">
        <v>43586</v>
      </c>
      <c r="Y112" s="255">
        <v>43587</v>
      </c>
      <c r="AA112" s="255"/>
      <c r="AB112" s="220" t="s">
        <v>523</v>
      </c>
      <c r="AC112" s="220">
        <v>0</v>
      </c>
      <c r="AD112" s="220">
        <v>0</v>
      </c>
      <c r="AE112" s="220">
        <v>0</v>
      </c>
      <c r="AF112" s="220">
        <v>0</v>
      </c>
      <c r="AG112" s="220">
        <v>0</v>
      </c>
      <c r="AH112" s="220">
        <v>1</v>
      </c>
      <c r="AI112" s="220">
        <v>70095</v>
      </c>
      <c r="AJ112" s="220">
        <v>2180</v>
      </c>
      <c r="AK112" s="220">
        <v>0</v>
      </c>
      <c r="AL112" s="220">
        <v>0</v>
      </c>
      <c r="AO112" s="258"/>
      <c r="AP112" s="258"/>
      <c r="AQ112" s="220" t="str">
        <f t="shared" si="2"/>
        <v/>
      </c>
      <c r="AS112" s="220" t="str">
        <f t="shared" si="3"/>
        <v>wci_corp</v>
      </c>
    </row>
    <row r="113" spans="2:45">
      <c r="B113" s="1509" t="s">
        <v>2447</v>
      </c>
      <c r="C113" s="1529">
        <v>43585</v>
      </c>
      <c r="D113" s="1537">
        <v>85.97</v>
      </c>
      <c r="E113" s="1518">
        <v>0</v>
      </c>
      <c r="F113" s="1519" t="s">
        <v>413</v>
      </c>
      <c r="G113" s="1509" t="s">
        <v>1002</v>
      </c>
      <c r="H113" s="1530" t="s">
        <v>520</v>
      </c>
      <c r="I113" s="1509" t="s">
        <v>1003</v>
      </c>
      <c r="J113" s="1509" t="s">
        <v>543</v>
      </c>
      <c r="K113" s="1509" t="s">
        <v>522</v>
      </c>
      <c r="L113" s="1520"/>
      <c r="M113" s="1520"/>
      <c r="N113" s="1520" t="s">
        <v>2490</v>
      </c>
      <c r="O113" s="1225"/>
      <c r="P113" s="1228"/>
      <c r="Q113" s="1228"/>
      <c r="U113" s="220" t="s">
        <v>1005</v>
      </c>
      <c r="V113" s="220" t="s">
        <v>1005</v>
      </c>
      <c r="X113" s="255">
        <v>43586</v>
      </c>
      <c r="Y113" s="255">
        <v>43587</v>
      </c>
      <c r="AA113" s="255"/>
      <c r="AB113" s="220" t="s">
        <v>523</v>
      </c>
      <c r="AC113" s="220">
        <v>0</v>
      </c>
      <c r="AD113" s="220">
        <v>0</v>
      </c>
      <c r="AE113" s="220">
        <v>0</v>
      </c>
      <c r="AF113" s="220">
        <v>0</v>
      </c>
      <c r="AG113" s="220">
        <v>0</v>
      </c>
      <c r="AH113" s="220">
        <v>1</v>
      </c>
      <c r="AI113" s="220">
        <v>70095</v>
      </c>
      <c r="AJ113" s="220">
        <v>2180</v>
      </c>
      <c r="AK113" s="220">
        <v>0</v>
      </c>
      <c r="AL113" s="220">
        <v>0</v>
      </c>
      <c r="AO113" s="258"/>
      <c r="AP113" s="258"/>
      <c r="AQ113" s="220" t="str">
        <f t="shared" si="2"/>
        <v/>
      </c>
      <c r="AS113" s="220" t="str">
        <f t="shared" si="3"/>
        <v>wci_corp</v>
      </c>
    </row>
    <row r="114" spans="2:45">
      <c r="B114" s="1509" t="s">
        <v>2447</v>
      </c>
      <c r="C114" s="1529">
        <v>43585</v>
      </c>
      <c r="D114" s="1537">
        <v>109.3</v>
      </c>
      <c r="E114" s="1518">
        <v>0</v>
      </c>
      <c r="F114" s="1519" t="s">
        <v>413</v>
      </c>
      <c r="G114" s="1509" t="s">
        <v>1002</v>
      </c>
      <c r="H114" s="1530" t="s">
        <v>520</v>
      </c>
      <c r="I114" s="1509" t="s">
        <v>1003</v>
      </c>
      <c r="J114" s="1509" t="s">
        <v>543</v>
      </c>
      <c r="K114" s="1509" t="s">
        <v>522</v>
      </c>
      <c r="L114" s="1520"/>
      <c r="M114" s="1520"/>
      <c r="N114" s="1520" t="s">
        <v>2567</v>
      </c>
      <c r="O114" s="1225"/>
      <c r="P114" s="1228"/>
      <c r="Q114" s="1228"/>
      <c r="U114" s="220" t="s">
        <v>1005</v>
      </c>
      <c r="V114" s="220" t="s">
        <v>1005</v>
      </c>
      <c r="X114" s="255">
        <v>43586</v>
      </c>
      <c r="Y114" s="255">
        <v>43587</v>
      </c>
      <c r="AA114" s="255"/>
      <c r="AB114" s="220" t="s">
        <v>523</v>
      </c>
      <c r="AC114" s="220">
        <v>0</v>
      </c>
      <c r="AD114" s="220">
        <v>0</v>
      </c>
      <c r="AE114" s="220">
        <v>0</v>
      </c>
      <c r="AF114" s="220">
        <v>0</v>
      </c>
      <c r="AG114" s="220">
        <v>0</v>
      </c>
      <c r="AH114" s="220">
        <v>1</v>
      </c>
      <c r="AI114" s="220">
        <v>70095</v>
      </c>
      <c r="AJ114" s="220">
        <v>2180</v>
      </c>
      <c r="AK114" s="220">
        <v>0</v>
      </c>
      <c r="AL114" s="220">
        <v>0</v>
      </c>
      <c r="AO114" s="258"/>
      <c r="AP114" s="258"/>
      <c r="AQ114" s="220" t="str">
        <f t="shared" si="2"/>
        <v/>
      </c>
      <c r="AS114" s="220" t="str">
        <f t="shared" si="3"/>
        <v>wci_corp</v>
      </c>
    </row>
    <row r="115" spans="2:45">
      <c r="B115" s="1509" t="s">
        <v>2447</v>
      </c>
      <c r="C115" s="1529">
        <v>43585</v>
      </c>
      <c r="D115" s="1537">
        <v>36.92</v>
      </c>
      <c r="E115" s="1518">
        <v>0</v>
      </c>
      <c r="F115" s="1519" t="s">
        <v>413</v>
      </c>
      <c r="G115" s="1509" t="s">
        <v>2568</v>
      </c>
      <c r="H115" s="1530" t="s">
        <v>520</v>
      </c>
      <c r="I115" s="1509" t="s">
        <v>2569</v>
      </c>
      <c r="J115" s="1509" t="s">
        <v>543</v>
      </c>
      <c r="K115" s="1509" t="s">
        <v>522</v>
      </c>
      <c r="L115" s="1520"/>
      <c r="M115" s="1520"/>
      <c r="N115" s="1520" t="s">
        <v>2570</v>
      </c>
      <c r="O115" s="1225"/>
      <c r="P115" s="1228"/>
      <c r="Q115" s="1228"/>
      <c r="U115" s="220" t="s">
        <v>2571</v>
      </c>
      <c r="V115" s="220" t="s">
        <v>2571</v>
      </c>
      <c r="X115" s="255">
        <v>43588</v>
      </c>
      <c r="Y115" s="255">
        <v>43588</v>
      </c>
      <c r="AA115" s="255"/>
      <c r="AB115" s="220" t="s">
        <v>523</v>
      </c>
      <c r="AC115" s="220">
        <v>0</v>
      </c>
      <c r="AD115" s="220">
        <v>0</v>
      </c>
      <c r="AE115" s="220">
        <v>0</v>
      </c>
      <c r="AF115" s="220">
        <v>0</v>
      </c>
      <c r="AG115" s="220">
        <v>0</v>
      </c>
      <c r="AH115" s="220">
        <v>1</v>
      </c>
      <c r="AI115" s="220">
        <v>70095</v>
      </c>
      <c r="AJ115" s="220">
        <v>2180</v>
      </c>
      <c r="AK115" s="220">
        <v>0</v>
      </c>
      <c r="AL115" s="220">
        <v>0</v>
      </c>
      <c r="AO115" s="258"/>
      <c r="AP115" s="258"/>
      <c r="AQ115" s="220" t="str">
        <f t="shared" si="2"/>
        <v/>
      </c>
      <c r="AS115" s="220" t="str">
        <f t="shared" si="3"/>
        <v>wci_corp</v>
      </c>
    </row>
    <row r="116" spans="2:45">
      <c r="B116" s="1509" t="s">
        <v>2447</v>
      </c>
      <c r="C116" s="1529">
        <v>43585</v>
      </c>
      <c r="D116" s="1537">
        <v>41.93</v>
      </c>
      <c r="E116" s="1518">
        <v>0</v>
      </c>
      <c r="F116" s="1519" t="s">
        <v>413</v>
      </c>
      <c r="G116" s="1509" t="s">
        <v>2572</v>
      </c>
      <c r="H116" s="1530" t="s">
        <v>520</v>
      </c>
      <c r="I116" s="1509" t="s">
        <v>1064</v>
      </c>
      <c r="J116" s="1509" t="s">
        <v>543</v>
      </c>
      <c r="K116" s="1509" t="s">
        <v>522</v>
      </c>
      <c r="L116" s="1520"/>
      <c r="M116" s="1520"/>
      <c r="N116" s="1520" t="s">
        <v>2573</v>
      </c>
      <c r="O116" s="1225"/>
      <c r="P116" s="1228"/>
      <c r="Q116" s="1228"/>
      <c r="U116" s="220" t="s">
        <v>2574</v>
      </c>
      <c r="V116" s="220" t="s">
        <v>2574</v>
      </c>
      <c r="X116" s="255">
        <v>43591</v>
      </c>
      <c r="Y116" s="255">
        <v>43592</v>
      </c>
      <c r="AA116" s="255"/>
      <c r="AB116" s="220" t="s">
        <v>523</v>
      </c>
      <c r="AC116" s="220">
        <v>0</v>
      </c>
      <c r="AD116" s="220">
        <v>0</v>
      </c>
      <c r="AE116" s="220">
        <v>0</v>
      </c>
      <c r="AF116" s="220">
        <v>0</v>
      </c>
      <c r="AG116" s="220">
        <v>0</v>
      </c>
      <c r="AH116" s="220">
        <v>1</v>
      </c>
      <c r="AI116" s="220">
        <v>70095</v>
      </c>
      <c r="AJ116" s="220">
        <v>2180</v>
      </c>
      <c r="AK116" s="220">
        <v>0</v>
      </c>
      <c r="AL116" s="220">
        <v>0</v>
      </c>
      <c r="AO116" s="258"/>
      <c r="AP116" s="258"/>
      <c r="AQ116" s="220" t="str">
        <f t="shared" si="2"/>
        <v/>
      </c>
      <c r="AS116" s="220" t="str">
        <f t="shared" si="3"/>
        <v>wci_corp</v>
      </c>
    </row>
    <row r="117" spans="2:45">
      <c r="B117" s="1509" t="s">
        <v>2447</v>
      </c>
      <c r="C117" s="1529">
        <v>43585</v>
      </c>
      <c r="D117" s="1537">
        <v>30</v>
      </c>
      <c r="E117" s="1518">
        <v>0</v>
      </c>
      <c r="F117" s="1519" t="s">
        <v>413</v>
      </c>
      <c r="G117" s="1509" t="s">
        <v>2572</v>
      </c>
      <c r="H117" s="1530" t="s">
        <v>520</v>
      </c>
      <c r="I117" s="1509" t="s">
        <v>1064</v>
      </c>
      <c r="J117" s="1509" t="s">
        <v>543</v>
      </c>
      <c r="K117" s="1509" t="s">
        <v>522</v>
      </c>
      <c r="L117" s="1520"/>
      <c r="M117" s="1520"/>
      <c r="N117" s="1520" t="s">
        <v>2575</v>
      </c>
      <c r="O117" s="1225"/>
      <c r="P117" s="1228"/>
      <c r="Q117" s="1228"/>
      <c r="U117" s="220" t="s">
        <v>2574</v>
      </c>
      <c r="V117" s="220" t="s">
        <v>2574</v>
      </c>
      <c r="X117" s="255">
        <v>43591</v>
      </c>
      <c r="Y117" s="255">
        <v>43592</v>
      </c>
      <c r="AA117" s="255"/>
      <c r="AB117" s="220" t="s">
        <v>523</v>
      </c>
      <c r="AC117" s="220">
        <v>0</v>
      </c>
      <c r="AD117" s="220">
        <v>0</v>
      </c>
      <c r="AE117" s="220">
        <v>0</v>
      </c>
      <c r="AF117" s="220">
        <v>0</v>
      </c>
      <c r="AG117" s="220">
        <v>0</v>
      </c>
      <c r="AH117" s="220">
        <v>1</v>
      </c>
      <c r="AI117" s="220">
        <v>70095</v>
      </c>
      <c r="AJ117" s="220">
        <v>2180</v>
      </c>
      <c r="AK117" s="220">
        <v>0</v>
      </c>
      <c r="AL117" s="220">
        <v>0</v>
      </c>
      <c r="AO117" s="258"/>
      <c r="AP117" s="258"/>
      <c r="AQ117" s="220" t="str">
        <f t="shared" si="2"/>
        <v/>
      </c>
      <c r="AS117" s="220" t="str">
        <f t="shared" si="3"/>
        <v>wci_corp</v>
      </c>
    </row>
    <row r="118" spans="2:45">
      <c r="B118" s="1509" t="s">
        <v>2447</v>
      </c>
      <c r="C118" s="1529">
        <v>43585</v>
      </c>
      <c r="D118" s="1537">
        <v>20</v>
      </c>
      <c r="E118" s="1518">
        <v>0</v>
      </c>
      <c r="F118" s="1519" t="s">
        <v>413</v>
      </c>
      <c r="G118" s="1509" t="s">
        <v>2572</v>
      </c>
      <c r="H118" s="1530" t="s">
        <v>520</v>
      </c>
      <c r="I118" s="1509" t="s">
        <v>1064</v>
      </c>
      <c r="J118" s="1509" t="s">
        <v>543</v>
      </c>
      <c r="K118" s="1509" t="s">
        <v>522</v>
      </c>
      <c r="L118" s="1520"/>
      <c r="M118" s="1520"/>
      <c r="N118" s="1520" t="s">
        <v>2575</v>
      </c>
      <c r="O118" s="1225"/>
      <c r="P118" s="1228"/>
      <c r="Q118" s="1228"/>
      <c r="U118" s="220" t="s">
        <v>2574</v>
      </c>
      <c r="V118" s="220" t="s">
        <v>2574</v>
      </c>
      <c r="X118" s="255">
        <v>43591</v>
      </c>
      <c r="Y118" s="255">
        <v>43592</v>
      </c>
      <c r="AA118" s="255"/>
      <c r="AB118" s="220" t="s">
        <v>523</v>
      </c>
      <c r="AC118" s="220">
        <v>0</v>
      </c>
      <c r="AD118" s="220">
        <v>0</v>
      </c>
      <c r="AE118" s="220">
        <v>0</v>
      </c>
      <c r="AF118" s="220">
        <v>0</v>
      </c>
      <c r="AG118" s="220">
        <v>0</v>
      </c>
      <c r="AH118" s="220">
        <v>1</v>
      </c>
      <c r="AI118" s="220">
        <v>70095</v>
      </c>
      <c r="AJ118" s="220">
        <v>2180</v>
      </c>
      <c r="AK118" s="220">
        <v>0</v>
      </c>
      <c r="AL118" s="220">
        <v>0</v>
      </c>
      <c r="AO118" s="258"/>
      <c r="AP118" s="258"/>
      <c r="AQ118" s="220" t="str">
        <f t="shared" si="2"/>
        <v/>
      </c>
      <c r="AS118" s="220" t="str">
        <f t="shared" si="3"/>
        <v>wci_corp</v>
      </c>
    </row>
    <row r="119" spans="2:45">
      <c r="B119" s="1509" t="s">
        <v>2447</v>
      </c>
      <c r="C119" s="1529">
        <v>43585</v>
      </c>
      <c r="D119" s="1537">
        <v>1761.33</v>
      </c>
      <c r="E119" s="1518">
        <v>0</v>
      </c>
      <c r="F119" s="1519" t="s">
        <v>413</v>
      </c>
      <c r="G119" s="1509" t="s">
        <v>2576</v>
      </c>
      <c r="H119" s="1530" t="s">
        <v>520</v>
      </c>
      <c r="I119" s="1509" t="s">
        <v>1150</v>
      </c>
      <c r="J119" s="1509" t="s">
        <v>543</v>
      </c>
      <c r="K119" s="1509" t="s">
        <v>522</v>
      </c>
      <c r="L119" s="1520"/>
      <c r="M119" s="1520"/>
      <c r="N119" s="1520" t="s">
        <v>2577</v>
      </c>
      <c r="O119" s="1225"/>
      <c r="P119" s="1228"/>
      <c r="Q119" s="1228"/>
      <c r="U119" s="220" t="s">
        <v>2578</v>
      </c>
      <c r="V119" s="220" t="s">
        <v>2578</v>
      </c>
      <c r="X119" s="255">
        <v>43591</v>
      </c>
      <c r="Y119" s="255">
        <v>43592</v>
      </c>
      <c r="AA119" s="255"/>
      <c r="AB119" s="220" t="s">
        <v>523</v>
      </c>
      <c r="AC119" s="220">
        <v>0</v>
      </c>
      <c r="AD119" s="220">
        <v>0</v>
      </c>
      <c r="AE119" s="220">
        <v>0</v>
      </c>
      <c r="AF119" s="220">
        <v>0</v>
      </c>
      <c r="AG119" s="220">
        <v>0</v>
      </c>
      <c r="AH119" s="220">
        <v>1</v>
      </c>
      <c r="AI119" s="220">
        <v>70095</v>
      </c>
      <c r="AJ119" s="220">
        <v>2180</v>
      </c>
      <c r="AK119" s="220">
        <v>0</v>
      </c>
      <c r="AL119" s="220">
        <v>0</v>
      </c>
      <c r="AO119" s="258"/>
      <c r="AP119" s="258"/>
      <c r="AQ119" s="220" t="str">
        <f t="shared" si="2"/>
        <v/>
      </c>
      <c r="AS119" s="220" t="str">
        <f t="shared" si="3"/>
        <v>wci_corp</v>
      </c>
    </row>
    <row r="120" spans="2:45">
      <c r="B120" s="1509" t="s">
        <v>2447</v>
      </c>
      <c r="C120" s="1529">
        <v>43585</v>
      </c>
      <c r="D120" s="1537">
        <v>109.3</v>
      </c>
      <c r="E120" s="1518">
        <v>0</v>
      </c>
      <c r="F120" s="1519" t="s">
        <v>413</v>
      </c>
      <c r="G120" s="1509" t="s">
        <v>1006</v>
      </c>
      <c r="H120" s="1530" t="s">
        <v>520</v>
      </c>
      <c r="I120" s="1509" t="s">
        <v>1007</v>
      </c>
      <c r="J120" s="1509" t="s">
        <v>543</v>
      </c>
      <c r="K120" s="1509" t="s">
        <v>522</v>
      </c>
      <c r="L120" s="1520"/>
      <c r="M120" s="1520"/>
      <c r="N120" s="1520" t="s">
        <v>2579</v>
      </c>
      <c r="O120" s="1225"/>
      <c r="P120" s="1228"/>
      <c r="Q120" s="1228"/>
      <c r="U120" s="220" t="s">
        <v>1009</v>
      </c>
      <c r="V120" s="220" t="s">
        <v>1009</v>
      </c>
      <c r="X120" s="255">
        <v>43591</v>
      </c>
      <c r="Y120" s="255">
        <v>43592</v>
      </c>
      <c r="AA120" s="255"/>
      <c r="AB120" s="220" t="s">
        <v>523</v>
      </c>
      <c r="AC120" s="220">
        <v>0</v>
      </c>
      <c r="AD120" s="220">
        <v>0</v>
      </c>
      <c r="AE120" s="220">
        <v>0</v>
      </c>
      <c r="AF120" s="220">
        <v>0</v>
      </c>
      <c r="AG120" s="220">
        <v>0</v>
      </c>
      <c r="AH120" s="220">
        <v>1</v>
      </c>
      <c r="AI120" s="220">
        <v>70095</v>
      </c>
      <c r="AJ120" s="220">
        <v>2180</v>
      </c>
      <c r="AK120" s="220">
        <v>0</v>
      </c>
      <c r="AL120" s="220">
        <v>0</v>
      </c>
      <c r="AO120" s="258"/>
      <c r="AP120" s="258"/>
      <c r="AQ120" s="220" t="str">
        <f t="shared" si="2"/>
        <v/>
      </c>
      <c r="AS120" s="220" t="str">
        <f t="shared" si="3"/>
        <v>wci_corp</v>
      </c>
    </row>
    <row r="121" spans="2:45">
      <c r="B121" s="1509" t="s">
        <v>2447</v>
      </c>
      <c r="C121" s="1529">
        <v>43585</v>
      </c>
      <c r="D121" s="1537">
        <v>-30</v>
      </c>
      <c r="E121" s="1518">
        <v>0</v>
      </c>
      <c r="F121" s="1519" t="s">
        <v>413</v>
      </c>
      <c r="G121" s="1509" t="s">
        <v>1006</v>
      </c>
      <c r="H121" s="1530" t="s">
        <v>520</v>
      </c>
      <c r="I121" s="1509" t="s">
        <v>1007</v>
      </c>
      <c r="J121" s="1509" t="s">
        <v>543</v>
      </c>
      <c r="K121" s="1509" t="s">
        <v>522</v>
      </c>
      <c r="L121" s="1520"/>
      <c r="M121" s="1520"/>
      <c r="N121" s="1520" t="s">
        <v>2580</v>
      </c>
      <c r="O121" s="1225"/>
      <c r="P121" s="1228"/>
      <c r="Q121" s="1228"/>
      <c r="U121" s="220" t="s">
        <v>1009</v>
      </c>
      <c r="V121" s="220" t="s">
        <v>1009</v>
      </c>
      <c r="X121" s="255">
        <v>43591</v>
      </c>
      <c r="Y121" s="255">
        <v>43592</v>
      </c>
      <c r="AA121" s="255"/>
      <c r="AB121" s="220" t="s">
        <v>523</v>
      </c>
      <c r="AC121" s="220">
        <v>0</v>
      </c>
      <c r="AD121" s="220">
        <v>0</v>
      </c>
      <c r="AE121" s="220">
        <v>0</v>
      </c>
      <c r="AF121" s="220">
        <v>0</v>
      </c>
      <c r="AG121" s="220">
        <v>0</v>
      </c>
      <c r="AH121" s="220">
        <v>1</v>
      </c>
      <c r="AI121" s="220">
        <v>70095</v>
      </c>
      <c r="AJ121" s="220">
        <v>2180</v>
      </c>
      <c r="AK121" s="220">
        <v>0</v>
      </c>
      <c r="AL121" s="220">
        <v>0</v>
      </c>
      <c r="AO121" s="258"/>
      <c r="AP121" s="258"/>
      <c r="AQ121" s="220" t="str">
        <f t="shared" si="2"/>
        <v/>
      </c>
      <c r="AS121" s="220" t="str">
        <f t="shared" si="3"/>
        <v>wci_corp</v>
      </c>
    </row>
    <row r="122" spans="2:45">
      <c r="B122" s="1509" t="s">
        <v>2447</v>
      </c>
      <c r="C122" s="1529">
        <v>43585</v>
      </c>
      <c r="D122" s="1537">
        <v>-20</v>
      </c>
      <c r="E122" s="1518">
        <v>0</v>
      </c>
      <c r="F122" s="1519" t="s">
        <v>413</v>
      </c>
      <c r="G122" s="1509" t="s">
        <v>1006</v>
      </c>
      <c r="H122" s="1530" t="s">
        <v>520</v>
      </c>
      <c r="I122" s="1509" t="s">
        <v>1007</v>
      </c>
      <c r="J122" s="1509" t="s">
        <v>543</v>
      </c>
      <c r="K122" s="1509" t="s">
        <v>522</v>
      </c>
      <c r="L122" s="1520"/>
      <c r="M122" s="1520"/>
      <c r="N122" s="1520" t="s">
        <v>2581</v>
      </c>
      <c r="O122" s="1225"/>
      <c r="P122" s="1228"/>
      <c r="Q122" s="1228"/>
      <c r="U122" s="220" t="s">
        <v>1009</v>
      </c>
      <c r="V122" s="220" t="s">
        <v>1009</v>
      </c>
      <c r="X122" s="255">
        <v>43591</v>
      </c>
      <c r="Y122" s="255">
        <v>43592</v>
      </c>
      <c r="AA122" s="255"/>
      <c r="AB122" s="220" t="s">
        <v>523</v>
      </c>
      <c r="AC122" s="220">
        <v>0</v>
      </c>
      <c r="AD122" s="220">
        <v>0</v>
      </c>
      <c r="AE122" s="220">
        <v>0</v>
      </c>
      <c r="AF122" s="220">
        <v>0</v>
      </c>
      <c r="AG122" s="220">
        <v>0</v>
      </c>
      <c r="AH122" s="220">
        <v>1</v>
      </c>
      <c r="AI122" s="220">
        <v>70095</v>
      </c>
      <c r="AJ122" s="220">
        <v>2180</v>
      </c>
      <c r="AK122" s="220">
        <v>0</v>
      </c>
      <c r="AL122" s="220">
        <v>0</v>
      </c>
      <c r="AO122" s="258"/>
      <c r="AP122" s="258"/>
      <c r="AQ122" s="220" t="str">
        <f t="shared" si="2"/>
        <v/>
      </c>
      <c r="AS122" s="220" t="str">
        <f t="shared" si="3"/>
        <v>wci_corp</v>
      </c>
    </row>
    <row r="123" spans="2:45">
      <c r="B123" s="1509" t="s">
        <v>2447</v>
      </c>
      <c r="C123" s="1529">
        <v>43585</v>
      </c>
      <c r="D123" s="1537">
        <v>324.44</v>
      </c>
      <c r="E123" s="1518">
        <v>0</v>
      </c>
      <c r="F123" s="1519" t="s">
        <v>413</v>
      </c>
      <c r="G123" s="1509" t="s">
        <v>2582</v>
      </c>
      <c r="H123" s="1530" t="s">
        <v>520</v>
      </c>
      <c r="I123" s="1509" t="s">
        <v>2583</v>
      </c>
      <c r="J123" s="1509" t="s">
        <v>536</v>
      </c>
      <c r="K123" s="1509" t="s">
        <v>522</v>
      </c>
      <c r="L123" s="1520"/>
      <c r="M123" s="1520"/>
      <c r="N123" s="1520" t="s">
        <v>2584</v>
      </c>
      <c r="O123" s="1225"/>
      <c r="P123" s="1228"/>
      <c r="Q123" s="1228"/>
      <c r="U123" s="220" t="s">
        <v>2585</v>
      </c>
      <c r="V123" s="220" t="s">
        <v>2585</v>
      </c>
      <c r="X123" s="255">
        <v>43592</v>
      </c>
      <c r="Y123" s="255">
        <v>43592</v>
      </c>
      <c r="AA123" s="255"/>
      <c r="AB123" s="220" t="s">
        <v>523</v>
      </c>
      <c r="AC123" s="220">
        <v>0</v>
      </c>
      <c r="AD123" s="220">
        <v>0</v>
      </c>
      <c r="AE123" s="220">
        <v>0</v>
      </c>
      <c r="AF123" s="220">
        <v>0</v>
      </c>
      <c r="AG123" s="220">
        <v>0</v>
      </c>
      <c r="AH123" s="220">
        <v>1</v>
      </c>
      <c r="AI123" s="220">
        <v>70095</v>
      </c>
      <c r="AJ123" s="220">
        <v>2180</v>
      </c>
      <c r="AK123" s="220">
        <v>0</v>
      </c>
      <c r="AL123" s="220">
        <v>0</v>
      </c>
      <c r="AO123" s="258"/>
      <c r="AP123" s="258"/>
      <c r="AQ123" s="220" t="str">
        <f t="shared" si="2"/>
        <v/>
      </c>
      <c r="AS123" s="220" t="str">
        <f t="shared" si="3"/>
        <v>wci_corp</v>
      </c>
    </row>
    <row r="124" spans="2:45">
      <c r="B124" s="1509" t="s">
        <v>2447</v>
      </c>
      <c r="C124" s="1529">
        <v>43585</v>
      </c>
      <c r="D124" s="1537">
        <v>-5000</v>
      </c>
      <c r="E124" s="1518">
        <v>0</v>
      </c>
      <c r="F124" s="1519" t="s">
        <v>413</v>
      </c>
      <c r="G124" s="1509" t="s">
        <v>2586</v>
      </c>
      <c r="H124" s="1530" t="s">
        <v>520</v>
      </c>
      <c r="I124" s="1509" t="s">
        <v>2587</v>
      </c>
      <c r="J124" s="1509" t="s">
        <v>2588</v>
      </c>
      <c r="K124" s="1509" t="s">
        <v>2589</v>
      </c>
      <c r="L124" s="1520"/>
      <c r="M124" s="1520"/>
      <c r="N124" s="1520" t="s">
        <v>2590</v>
      </c>
      <c r="O124" s="1225"/>
      <c r="P124" s="1228"/>
      <c r="Q124" s="1228"/>
      <c r="U124" s="220" t="s">
        <v>2586</v>
      </c>
      <c r="X124" s="255">
        <v>43592</v>
      </c>
      <c r="Y124" s="255">
        <v>43592</v>
      </c>
      <c r="AA124" s="255"/>
      <c r="AB124" s="220" t="s">
        <v>523</v>
      </c>
      <c r="AC124" s="220">
        <v>0</v>
      </c>
      <c r="AD124" s="220">
        <v>0</v>
      </c>
      <c r="AE124" s="220">
        <v>0</v>
      </c>
      <c r="AF124" s="220">
        <v>0</v>
      </c>
      <c r="AG124" s="220">
        <v>0</v>
      </c>
      <c r="AH124" s="220">
        <v>1</v>
      </c>
      <c r="AI124" s="220">
        <v>70095</v>
      </c>
      <c r="AJ124" s="220">
        <v>2180</v>
      </c>
      <c r="AK124" s="220">
        <v>0</v>
      </c>
      <c r="AL124" s="220">
        <v>0</v>
      </c>
      <c r="AO124" s="258"/>
      <c r="AP124" s="258"/>
      <c r="AQ124" s="220" t="str">
        <f t="shared" si="2"/>
        <v/>
      </c>
      <c r="AS124" s="220" t="str">
        <f t="shared" si="3"/>
        <v>wci_wa</v>
      </c>
    </row>
    <row r="125" spans="2:45">
      <c r="B125" s="1509" t="s">
        <v>2447</v>
      </c>
      <c r="C125" s="1529">
        <v>43616</v>
      </c>
      <c r="D125" s="1537">
        <v>-41.93</v>
      </c>
      <c r="E125" s="1518">
        <v>0</v>
      </c>
      <c r="F125" s="1519" t="s">
        <v>413</v>
      </c>
      <c r="G125" s="1509" t="s">
        <v>2591</v>
      </c>
      <c r="H125" s="1530" t="s">
        <v>520</v>
      </c>
      <c r="I125" s="1509" t="s">
        <v>1064</v>
      </c>
      <c r="J125" s="1509" t="s">
        <v>543</v>
      </c>
      <c r="K125" s="1509" t="s">
        <v>522</v>
      </c>
      <c r="L125" s="1520"/>
      <c r="M125" s="1520"/>
      <c r="N125" s="1520" t="s">
        <v>2573</v>
      </c>
      <c r="O125" s="1225"/>
      <c r="P125" s="1228"/>
      <c r="Q125" s="1228"/>
      <c r="U125" s="220" t="s">
        <v>2574</v>
      </c>
      <c r="V125" s="220" t="s">
        <v>2592</v>
      </c>
      <c r="X125" s="255">
        <v>43592</v>
      </c>
      <c r="Y125" s="255">
        <v>43592</v>
      </c>
      <c r="AA125" s="255"/>
      <c r="AB125" s="220" t="s">
        <v>523</v>
      </c>
      <c r="AC125" s="220">
        <v>0</v>
      </c>
      <c r="AD125" s="220">
        <v>0</v>
      </c>
      <c r="AE125" s="220">
        <v>0</v>
      </c>
      <c r="AF125" s="220">
        <v>0</v>
      </c>
      <c r="AG125" s="220">
        <v>5</v>
      </c>
      <c r="AH125" s="220">
        <v>1</v>
      </c>
      <c r="AI125" s="220">
        <v>70095</v>
      </c>
      <c r="AJ125" s="220">
        <v>2180</v>
      </c>
      <c r="AK125" s="220">
        <v>0</v>
      </c>
      <c r="AL125" s="220">
        <v>0</v>
      </c>
      <c r="AO125" s="258"/>
      <c r="AP125" s="258"/>
      <c r="AQ125" s="220" t="str">
        <f t="shared" si="2"/>
        <v/>
      </c>
      <c r="AS125" s="220" t="str">
        <f t="shared" si="3"/>
        <v>wci_corp</v>
      </c>
    </row>
    <row r="126" spans="2:45">
      <c r="B126" s="1509" t="s">
        <v>2447</v>
      </c>
      <c r="C126" s="1529">
        <v>43616</v>
      </c>
      <c r="D126" s="1537">
        <v>-30</v>
      </c>
      <c r="E126" s="1518">
        <v>0</v>
      </c>
      <c r="F126" s="1519" t="s">
        <v>413</v>
      </c>
      <c r="G126" s="1509" t="s">
        <v>2591</v>
      </c>
      <c r="H126" s="1530" t="s">
        <v>520</v>
      </c>
      <c r="I126" s="1509" t="s">
        <v>1064</v>
      </c>
      <c r="J126" s="1509" t="s">
        <v>543</v>
      </c>
      <c r="K126" s="1509" t="s">
        <v>522</v>
      </c>
      <c r="L126" s="1520"/>
      <c r="M126" s="1520"/>
      <c r="N126" s="1520" t="s">
        <v>2575</v>
      </c>
      <c r="O126" s="1225"/>
      <c r="P126" s="1228"/>
      <c r="Q126" s="1228"/>
      <c r="U126" s="220" t="s">
        <v>2574</v>
      </c>
      <c r="V126" s="220" t="s">
        <v>2592</v>
      </c>
      <c r="X126" s="255">
        <v>43592</v>
      </c>
      <c r="Y126" s="255">
        <v>43592</v>
      </c>
      <c r="AA126" s="255"/>
      <c r="AB126" s="220" t="s">
        <v>523</v>
      </c>
      <c r="AC126" s="220">
        <v>0</v>
      </c>
      <c r="AD126" s="220">
        <v>0</v>
      </c>
      <c r="AE126" s="220">
        <v>0</v>
      </c>
      <c r="AF126" s="220">
        <v>0</v>
      </c>
      <c r="AG126" s="220">
        <v>5</v>
      </c>
      <c r="AH126" s="220">
        <v>1</v>
      </c>
      <c r="AI126" s="220">
        <v>70095</v>
      </c>
      <c r="AJ126" s="220">
        <v>2180</v>
      </c>
      <c r="AK126" s="220">
        <v>0</v>
      </c>
      <c r="AL126" s="220">
        <v>0</v>
      </c>
      <c r="AO126" s="258"/>
      <c r="AP126" s="258"/>
      <c r="AQ126" s="220" t="str">
        <f t="shared" si="2"/>
        <v/>
      </c>
      <c r="AS126" s="220" t="str">
        <f t="shared" si="3"/>
        <v>wci_corp</v>
      </c>
    </row>
    <row r="127" spans="2:45">
      <c r="B127" s="1509" t="s">
        <v>2447</v>
      </c>
      <c r="C127" s="1529">
        <v>43616</v>
      </c>
      <c r="D127" s="1537">
        <v>-20</v>
      </c>
      <c r="E127" s="1518">
        <v>0</v>
      </c>
      <c r="F127" s="1519" t="s">
        <v>413</v>
      </c>
      <c r="G127" s="1509" t="s">
        <v>2591</v>
      </c>
      <c r="H127" s="1530" t="s">
        <v>520</v>
      </c>
      <c r="I127" s="1509" t="s">
        <v>1064</v>
      </c>
      <c r="J127" s="1509" t="s">
        <v>543</v>
      </c>
      <c r="K127" s="1509" t="s">
        <v>522</v>
      </c>
      <c r="L127" s="1520"/>
      <c r="M127" s="1520"/>
      <c r="N127" s="1520" t="s">
        <v>2575</v>
      </c>
      <c r="O127" s="1225"/>
      <c r="P127" s="1228"/>
      <c r="Q127" s="1228"/>
      <c r="U127" s="220" t="s">
        <v>2574</v>
      </c>
      <c r="V127" s="220" t="s">
        <v>2592</v>
      </c>
      <c r="X127" s="255">
        <v>43592</v>
      </c>
      <c r="Y127" s="255">
        <v>43592</v>
      </c>
      <c r="AA127" s="255"/>
      <c r="AB127" s="220" t="s">
        <v>523</v>
      </c>
      <c r="AC127" s="220">
        <v>0</v>
      </c>
      <c r="AD127" s="220">
        <v>0</v>
      </c>
      <c r="AE127" s="220">
        <v>0</v>
      </c>
      <c r="AF127" s="220">
        <v>0</v>
      </c>
      <c r="AG127" s="220">
        <v>5</v>
      </c>
      <c r="AH127" s="220">
        <v>1</v>
      </c>
      <c r="AI127" s="220">
        <v>70095</v>
      </c>
      <c r="AJ127" s="220">
        <v>2180</v>
      </c>
      <c r="AK127" s="220">
        <v>0</v>
      </c>
      <c r="AL127" s="220">
        <v>0</v>
      </c>
      <c r="AO127" s="258"/>
      <c r="AP127" s="258"/>
      <c r="AQ127" s="220" t="str">
        <f t="shared" si="2"/>
        <v/>
      </c>
      <c r="AS127" s="220" t="str">
        <f t="shared" si="3"/>
        <v>wci_corp</v>
      </c>
    </row>
    <row r="128" spans="2:45">
      <c r="B128" s="1509" t="s">
        <v>2447</v>
      </c>
      <c r="C128" s="1529">
        <v>43616</v>
      </c>
      <c r="D128" s="1537">
        <v>-109.3</v>
      </c>
      <c r="E128" s="1518">
        <v>0</v>
      </c>
      <c r="F128" s="1519" t="s">
        <v>413</v>
      </c>
      <c r="G128" s="1509" t="s">
        <v>1015</v>
      </c>
      <c r="H128" s="1530" t="s">
        <v>520</v>
      </c>
      <c r="I128" s="1509" t="s">
        <v>1007</v>
      </c>
      <c r="J128" s="1509" t="s">
        <v>543</v>
      </c>
      <c r="K128" s="1509" t="s">
        <v>522</v>
      </c>
      <c r="L128" s="1520"/>
      <c r="M128" s="1520"/>
      <c r="N128" s="1520" t="s">
        <v>2579</v>
      </c>
      <c r="O128" s="1225"/>
      <c r="P128" s="1228"/>
      <c r="Q128" s="1228"/>
      <c r="U128" s="220" t="s">
        <v>1009</v>
      </c>
      <c r="V128" s="220" t="s">
        <v>1016</v>
      </c>
      <c r="X128" s="255">
        <v>43592</v>
      </c>
      <c r="Y128" s="255">
        <v>43592</v>
      </c>
      <c r="AA128" s="255"/>
      <c r="AB128" s="220" t="s">
        <v>523</v>
      </c>
      <c r="AC128" s="220">
        <v>0</v>
      </c>
      <c r="AD128" s="220">
        <v>0</v>
      </c>
      <c r="AE128" s="220">
        <v>0</v>
      </c>
      <c r="AF128" s="220">
        <v>0</v>
      </c>
      <c r="AG128" s="220">
        <v>5</v>
      </c>
      <c r="AH128" s="220">
        <v>1</v>
      </c>
      <c r="AI128" s="220">
        <v>70095</v>
      </c>
      <c r="AJ128" s="220">
        <v>2180</v>
      </c>
      <c r="AK128" s="220">
        <v>0</v>
      </c>
      <c r="AL128" s="220">
        <v>0</v>
      </c>
      <c r="AO128" s="258"/>
      <c r="AP128" s="258"/>
      <c r="AQ128" s="220" t="str">
        <f t="shared" si="2"/>
        <v/>
      </c>
      <c r="AS128" s="220" t="str">
        <f t="shared" si="3"/>
        <v>wci_corp</v>
      </c>
    </row>
    <row r="129" spans="2:45">
      <c r="B129" s="1509" t="s">
        <v>2447</v>
      </c>
      <c r="C129" s="1529">
        <v>43616</v>
      </c>
      <c r="D129" s="1537">
        <v>30</v>
      </c>
      <c r="E129" s="1518">
        <v>0</v>
      </c>
      <c r="F129" s="1519" t="s">
        <v>413</v>
      </c>
      <c r="G129" s="1509" t="s">
        <v>1015</v>
      </c>
      <c r="H129" s="1530" t="s">
        <v>520</v>
      </c>
      <c r="I129" s="1509" t="s">
        <v>1007</v>
      </c>
      <c r="J129" s="1509" t="s">
        <v>543</v>
      </c>
      <c r="K129" s="1509" t="s">
        <v>522</v>
      </c>
      <c r="L129" s="1520"/>
      <c r="M129" s="1520"/>
      <c r="N129" s="1520" t="s">
        <v>2580</v>
      </c>
      <c r="O129" s="1225"/>
      <c r="P129" s="1228"/>
      <c r="Q129" s="1228"/>
      <c r="U129" s="220" t="s">
        <v>1009</v>
      </c>
      <c r="V129" s="220" t="s">
        <v>1016</v>
      </c>
      <c r="X129" s="255">
        <v>43592</v>
      </c>
      <c r="Y129" s="255">
        <v>43592</v>
      </c>
      <c r="AA129" s="255"/>
      <c r="AB129" s="220" t="s">
        <v>523</v>
      </c>
      <c r="AC129" s="220">
        <v>0</v>
      </c>
      <c r="AD129" s="220">
        <v>0</v>
      </c>
      <c r="AE129" s="220">
        <v>0</v>
      </c>
      <c r="AF129" s="220">
        <v>0</v>
      </c>
      <c r="AG129" s="220">
        <v>5</v>
      </c>
      <c r="AH129" s="220">
        <v>1</v>
      </c>
      <c r="AI129" s="220">
        <v>70095</v>
      </c>
      <c r="AJ129" s="220">
        <v>2180</v>
      </c>
      <c r="AK129" s="220">
        <v>0</v>
      </c>
      <c r="AL129" s="220">
        <v>0</v>
      </c>
      <c r="AO129" s="258"/>
      <c r="AP129" s="258"/>
      <c r="AQ129" s="220" t="str">
        <f t="shared" si="2"/>
        <v/>
      </c>
      <c r="AS129" s="220" t="str">
        <f t="shared" si="3"/>
        <v>wci_corp</v>
      </c>
    </row>
    <row r="130" spans="2:45">
      <c r="B130" s="1509" t="s">
        <v>2447</v>
      </c>
      <c r="C130" s="1529">
        <v>43616</v>
      </c>
      <c r="D130" s="1537">
        <v>20</v>
      </c>
      <c r="E130" s="1518">
        <v>0</v>
      </c>
      <c r="F130" s="1519" t="s">
        <v>413</v>
      </c>
      <c r="G130" s="1509" t="s">
        <v>1015</v>
      </c>
      <c r="H130" s="1530" t="s">
        <v>520</v>
      </c>
      <c r="I130" s="1509" t="s">
        <v>1007</v>
      </c>
      <c r="J130" s="1509" t="s">
        <v>543</v>
      </c>
      <c r="K130" s="1509" t="s">
        <v>522</v>
      </c>
      <c r="L130" s="1520"/>
      <c r="M130" s="1520"/>
      <c r="N130" s="1520" t="s">
        <v>2581</v>
      </c>
      <c r="O130" s="1225"/>
      <c r="P130" s="1228"/>
      <c r="Q130" s="1228"/>
      <c r="U130" s="220" t="s">
        <v>1009</v>
      </c>
      <c r="V130" s="220" t="s">
        <v>1016</v>
      </c>
      <c r="X130" s="255">
        <v>43592</v>
      </c>
      <c r="Y130" s="255">
        <v>43592</v>
      </c>
      <c r="AA130" s="255"/>
      <c r="AB130" s="220" t="s">
        <v>523</v>
      </c>
      <c r="AC130" s="220">
        <v>0</v>
      </c>
      <c r="AD130" s="220">
        <v>0</v>
      </c>
      <c r="AE130" s="220">
        <v>0</v>
      </c>
      <c r="AF130" s="220">
        <v>0</v>
      </c>
      <c r="AG130" s="220">
        <v>5</v>
      </c>
      <c r="AH130" s="220">
        <v>1</v>
      </c>
      <c r="AI130" s="220">
        <v>70095</v>
      </c>
      <c r="AJ130" s="220">
        <v>2180</v>
      </c>
      <c r="AK130" s="220">
        <v>0</v>
      </c>
      <c r="AL130" s="220">
        <v>0</v>
      </c>
      <c r="AO130" s="258"/>
      <c r="AP130" s="258"/>
      <c r="AQ130" s="220" t="str">
        <f t="shared" si="2"/>
        <v/>
      </c>
      <c r="AS130" s="220" t="str">
        <f t="shared" si="3"/>
        <v>wci_corp</v>
      </c>
    </row>
    <row r="131" spans="2:45">
      <c r="B131" s="1509" t="s">
        <v>2447</v>
      </c>
      <c r="C131" s="1529">
        <v>43616</v>
      </c>
      <c r="D131" s="1537">
        <v>41.93</v>
      </c>
      <c r="E131" s="1518">
        <v>0</v>
      </c>
      <c r="F131" s="1519" t="s">
        <v>413</v>
      </c>
      <c r="G131" s="1509" t="s">
        <v>1017</v>
      </c>
      <c r="H131" s="1530" t="s">
        <v>520</v>
      </c>
      <c r="I131" s="1509" t="s">
        <v>1018</v>
      </c>
      <c r="J131" s="1509" t="s">
        <v>670</v>
      </c>
      <c r="K131" s="1509" t="s">
        <v>522</v>
      </c>
      <c r="L131" s="1520"/>
      <c r="M131" s="1520"/>
      <c r="N131" s="1520" t="s">
        <v>2573</v>
      </c>
      <c r="O131" s="1225"/>
      <c r="P131" s="1228"/>
      <c r="Q131" s="1228"/>
      <c r="U131" s="220" t="s">
        <v>1020</v>
      </c>
      <c r="V131" s="220" t="s">
        <v>1020</v>
      </c>
      <c r="X131" s="255">
        <v>43620</v>
      </c>
      <c r="Y131" s="255">
        <v>43620</v>
      </c>
      <c r="AA131" s="255"/>
      <c r="AB131" s="220" t="s">
        <v>523</v>
      </c>
      <c r="AC131" s="220">
        <v>0</v>
      </c>
      <c r="AD131" s="220">
        <v>0</v>
      </c>
      <c r="AE131" s="220">
        <v>0</v>
      </c>
      <c r="AF131" s="220">
        <v>0</v>
      </c>
      <c r="AG131" s="220">
        <v>0</v>
      </c>
      <c r="AH131" s="220">
        <v>1</v>
      </c>
      <c r="AI131" s="220">
        <v>70095</v>
      </c>
      <c r="AJ131" s="220">
        <v>2180</v>
      </c>
      <c r="AK131" s="220">
        <v>0</v>
      </c>
      <c r="AL131" s="220">
        <v>0</v>
      </c>
      <c r="AO131" s="258"/>
      <c r="AP131" s="258"/>
      <c r="AQ131" s="220" t="str">
        <f t="shared" si="2"/>
        <v/>
      </c>
      <c r="AS131" s="220" t="str">
        <f t="shared" si="3"/>
        <v>wci_corp</v>
      </c>
    </row>
    <row r="132" spans="2:45">
      <c r="B132" s="1509" t="s">
        <v>2447</v>
      </c>
      <c r="C132" s="1529">
        <v>43616</v>
      </c>
      <c r="D132" s="1537">
        <v>30</v>
      </c>
      <c r="E132" s="1518">
        <v>0</v>
      </c>
      <c r="F132" s="1519" t="s">
        <v>413</v>
      </c>
      <c r="G132" s="1509" t="s">
        <v>1017</v>
      </c>
      <c r="H132" s="1530" t="s">
        <v>520</v>
      </c>
      <c r="I132" s="1509" t="s">
        <v>1018</v>
      </c>
      <c r="J132" s="1509" t="s">
        <v>670</v>
      </c>
      <c r="K132" s="1509" t="s">
        <v>522</v>
      </c>
      <c r="L132" s="1520"/>
      <c r="M132" s="1520"/>
      <c r="N132" s="1520" t="s">
        <v>2575</v>
      </c>
      <c r="O132" s="1225"/>
      <c r="P132" s="1228"/>
      <c r="Q132" s="1228"/>
      <c r="U132" s="220" t="s">
        <v>1020</v>
      </c>
      <c r="V132" s="220" t="s">
        <v>1020</v>
      </c>
      <c r="X132" s="255">
        <v>43620</v>
      </c>
      <c r="Y132" s="255">
        <v>43620</v>
      </c>
      <c r="AA132" s="255"/>
      <c r="AB132" s="220" t="s">
        <v>523</v>
      </c>
      <c r="AC132" s="220">
        <v>0</v>
      </c>
      <c r="AD132" s="220">
        <v>0</v>
      </c>
      <c r="AE132" s="220">
        <v>0</v>
      </c>
      <c r="AF132" s="220">
        <v>0</v>
      </c>
      <c r="AG132" s="220">
        <v>0</v>
      </c>
      <c r="AH132" s="220">
        <v>1</v>
      </c>
      <c r="AI132" s="220">
        <v>70095</v>
      </c>
      <c r="AJ132" s="220">
        <v>2180</v>
      </c>
      <c r="AK132" s="220">
        <v>0</v>
      </c>
      <c r="AL132" s="220">
        <v>0</v>
      </c>
      <c r="AO132" s="258"/>
      <c r="AP132" s="258"/>
      <c r="AQ132" s="220" t="str">
        <f t="shared" si="2"/>
        <v/>
      </c>
      <c r="AS132" s="220" t="str">
        <f t="shared" si="3"/>
        <v>wci_corp</v>
      </c>
    </row>
    <row r="133" spans="2:45">
      <c r="B133" s="1509" t="s">
        <v>2447</v>
      </c>
      <c r="C133" s="1529">
        <v>43616</v>
      </c>
      <c r="D133" s="1537">
        <v>106.69</v>
      </c>
      <c r="E133" s="1518">
        <v>0</v>
      </c>
      <c r="F133" s="1519" t="s">
        <v>413</v>
      </c>
      <c r="G133" s="1509" t="s">
        <v>1017</v>
      </c>
      <c r="H133" s="1530" t="s">
        <v>520</v>
      </c>
      <c r="I133" s="1509" t="s">
        <v>1018</v>
      </c>
      <c r="J133" s="1509" t="s">
        <v>670</v>
      </c>
      <c r="K133" s="1509" t="s">
        <v>522</v>
      </c>
      <c r="L133" s="1520"/>
      <c r="M133" s="1520"/>
      <c r="N133" s="1520" t="s">
        <v>2462</v>
      </c>
      <c r="O133" s="1225"/>
      <c r="P133" s="1228"/>
      <c r="Q133" s="1228"/>
      <c r="U133" s="220" t="s">
        <v>1020</v>
      </c>
      <c r="V133" s="220" t="s">
        <v>1020</v>
      </c>
      <c r="X133" s="255">
        <v>43620</v>
      </c>
      <c r="Y133" s="255">
        <v>43620</v>
      </c>
      <c r="AA133" s="255"/>
      <c r="AB133" s="220" t="s">
        <v>523</v>
      </c>
      <c r="AC133" s="220">
        <v>0</v>
      </c>
      <c r="AD133" s="220">
        <v>0</v>
      </c>
      <c r="AE133" s="220">
        <v>0</v>
      </c>
      <c r="AF133" s="220">
        <v>0</v>
      </c>
      <c r="AG133" s="220">
        <v>0</v>
      </c>
      <c r="AH133" s="220">
        <v>1</v>
      </c>
      <c r="AI133" s="220">
        <v>70095</v>
      </c>
      <c r="AJ133" s="220">
        <v>2180</v>
      </c>
      <c r="AK133" s="220">
        <v>0</v>
      </c>
      <c r="AL133" s="220">
        <v>0</v>
      </c>
      <c r="AO133" s="258"/>
      <c r="AP133" s="258"/>
      <c r="AQ133" s="220" t="str">
        <f t="shared" si="2"/>
        <v/>
      </c>
      <c r="AS133" s="220" t="str">
        <f t="shared" si="3"/>
        <v>wci_corp</v>
      </c>
    </row>
    <row r="134" spans="2:45">
      <c r="B134" s="1509" t="s">
        <v>2447</v>
      </c>
      <c r="C134" s="1529">
        <v>43616</v>
      </c>
      <c r="D134" s="1537">
        <v>20</v>
      </c>
      <c r="E134" s="1518">
        <v>0</v>
      </c>
      <c r="F134" s="1519" t="s">
        <v>413</v>
      </c>
      <c r="G134" s="1509" t="s">
        <v>1017</v>
      </c>
      <c r="H134" s="1530" t="s">
        <v>520</v>
      </c>
      <c r="I134" s="1509" t="s">
        <v>1018</v>
      </c>
      <c r="J134" s="1509" t="s">
        <v>670</v>
      </c>
      <c r="K134" s="1509" t="s">
        <v>522</v>
      </c>
      <c r="L134" s="1520"/>
      <c r="M134" s="1520"/>
      <c r="N134" s="1520" t="s">
        <v>2575</v>
      </c>
      <c r="O134" s="1225"/>
      <c r="P134" s="1228"/>
      <c r="Q134" s="1228"/>
      <c r="U134" s="220" t="s">
        <v>1020</v>
      </c>
      <c r="V134" s="220" t="s">
        <v>1020</v>
      </c>
      <c r="X134" s="255">
        <v>43620</v>
      </c>
      <c r="Y134" s="255">
        <v>43620</v>
      </c>
      <c r="AA134" s="255"/>
      <c r="AB134" s="220" t="s">
        <v>523</v>
      </c>
      <c r="AC134" s="220">
        <v>0</v>
      </c>
      <c r="AD134" s="220">
        <v>0</v>
      </c>
      <c r="AE134" s="220">
        <v>0</v>
      </c>
      <c r="AF134" s="220">
        <v>0</v>
      </c>
      <c r="AG134" s="220">
        <v>0</v>
      </c>
      <c r="AH134" s="220">
        <v>1</v>
      </c>
      <c r="AI134" s="220">
        <v>70095</v>
      </c>
      <c r="AJ134" s="220">
        <v>2180</v>
      </c>
      <c r="AK134" s="220">
        <v>0</v>
      </c>
      <c r="AL134" s="220">
        <v>0</v>
      </c>
      <c r="AO134" s="258"/>
      <c r="AP134" s="258"/>
      <c r="AQ134" s="220" t="str">
        <f t="shared" si="2"/>
        <v/>
      </c>
      <c r="AS134" s="220" t="str">
        <f t="shared" si="3"/>
        <v>wci_corp</v>
      </c>
    </row>
    <row r="135" spans="2:45">
      <c r="B135" s="1509" t="s">
        <v>2447</v>
      </c>
      <c r="C135" s="1529">
        <v>43616</v>
      </c>
      <c r="D135" s="1537">
        <v>79.13</v>
      </c>
      <c r="E135" s="1518">
        <v>0</v>
      </c>
      <c r="F135" s="1519" t="s">
        <v>413</v>
      </c>
      <c r="G135" s="1509" t="s">
        <v>1017</v>
      </c>
      <c r="H135" s="1530" t="s">
        <v>520</v>
      </c>
      <c r="I135" s="1509" t="s">
        <v>1018</v>
      </c>
      <c r="J135" s="1509" t="s">
        <v>670</v>
      </c>
      <c r="K135" s="1509" t="s">
        <v>522</v>
      </c>
      <c r="L135" s="1520"/>
      <c r="M135" s="1520"/>
      <c r="N135" s="1520" t="s">
        <v>2468</v>
      </c>
      <c r="O135" s="1225"/>
      <c r="P135" s="1228"/>
      <c r="Q135" s="1228"/>
      <c r="U135" s="220" t="s">
        <v>1020</v>
      </c>
      <c r="V135" s="220" t="s">
        <v>1020</v>
      </c>
      <c r="X135" s="255">
        <v>43620</v>
      </c>
      <c r="Y135" s="255">
        <v>43620</v>
      </c>
      <c r="AA135" s="255"/>
      <c r="AB135" s="220" t="s">
        <v>523</v>
      </c>
      <c r="AC135" s="220">
        <v>0</v>
      </c>
      <c r="AD135" s="220">
        <v>0</v>
      </c>
      <c r="AE135" s="220">
        <v>0</v>
      </c>
      <c r="AF135" s="220">
        <v>0</v>
      </c>
      <c r="AG135" s="220">
        <v>0</v>
      </c>
      <c r="AH135" s="220">
        <v>1</v>
      </c>
      <c r="AI135" s="220">
        <v>70095</v>
      </c>
      <c r="AJ135" s="220">
        <v>2180</v>
      </c>
      <c r="AK135" s="220">
        <v>0</v>
      </c>
      <c r="AL135" s="220">
        <v>0</v>
      </c>
      <c r="AO135" s="258"/>
      <c r="AP135" s="258"/>
      <c r="AQ135" s="220" t="str">
        <f t="shared" si="2"/>
        <v/>
      </c>
      <c r="AS135" s="220" t="str">
        <f t="shared" si="3"/>
        <v>wci_corp</v>
      </c>
    </row>
    <row r="136" spans="2:45">
      <c r="B136" s="1509" t="s">
        <v>2447</v>
      </c>
      <c r="C136" s="1529">
        <v>43616</v>
      </c>
      <c r="D136" s="1537">
        <v>756.74</v>
      </c>
      <c r="E136" s="1518">
        <v>0</v>
      </c>
      <c r="F136" s="1519" t="s">
        <v>413</v>
      </c>
      <c r="G136" s="1509" t="s">
        <v>1017</v>
      </c>
      <c r="H136" s="1530" t="s">
        <v>520</v>
      </c>
      <c r="I136" s="1509" t="s">
        <v>1018</v>
      </c>
      <c r="J136" s="1509" t="s">
        <v>670</v>
      </c>
      <c r="K136" s="1509" t="s">
        <v>522</v>
      </c>
      <c r="L136" s="1520"/>
      <c r="M136" s="1520"/>
      <c r="N136" s="1520" t="s">
        <v>2593</v>
      </c>
      <c r="O136" s="1225"/>
      <c r="P136" s="1228"/>
      <c r="Q136" s="1228"/>
      <c r="U136" s="220" t="s">
        <v>1020</v>
      </c>
      <c r="V136" s="220" t="s">
        <v>1020</v>
      </c>
      <c r="X136" s="255">
        <v>43620</v>
      </c>
      <c r="Y136" s="255">
        <v>43620</v>
      </c>
      <c r="AA136" s="255"/>
      <c r="AB136" s="220" t="s">
        <v>523</v>
      </c>
      <c r="AC136" s="220">
        <v>0</v>
      </c>
      <c r="AD136" s="220">
        <v>0</v>
      </c>
      <c r="AE136" s="220">
        <v>0</v>
      </c>
      <c r="AF136" s="220">
        <v>0</v>
      </c>
      <c r="AG136" s="220">
        <v>0</v>
      </c>
      <c r="AH136" s="220">
        <v>1</v>
      </c>
      <c r="AI136" s="220">
        <v>70095</v>
      </c>
      <c r="AJ136" s="220">
        <v>2180</v>
      </c>
      <c r="AK136" s="220">
        <v>0</v>
      </c>
      <c r="AL136" s="220">
        <v>0</v>
      </c>
      <c r="AO136" s="258"/>
      <c r="AP136" s="258"/>
      <c r="AQ136" s="220" t="str">
        <f t="shared" si="2"/>
        <v/>
      </c>
      <c r="AS136" s="220" t="str">
        <f t="shared" si="3"/>
        <v>wci_corp</v>
      </c>
    </row>
    <row r="137" spans="2:45">
      <c r="B137" s="1509" t="s">
        <v>2447</v>
      </c>
      <c r="C137" s="1529">
        <v>43616</v>
      </c>
      <c r="D137" s="1537">
        <v>78</v>
      </c>
      <c r="E137" s="1518">
        <v>0</v>
      </c>
      <c r="F137" s="1519" t="s">
        <v>413</v>
      </c>
      <c r="G137" s="1509" t="s">
        <v>1017</v>
      </c>
      <c r="H137" s="1530" t="s">
        <v>520</v>
      </c>
      <c r="I137" s="1509" t="s">
        <v>1018</v>
      </c>
      <c r="J137" s="1509" t="s">
        <v>670</v>
      </c>
      <c r="K137" s="1509" t="s">
        <v>522</v>
      </c>
      <c r="L137" s="1520"/>
      <c r="M137" s="1520"/>
      <c r="N137" s="1520" t="s">
        <v>2594</v>
      </c>
      <c r="O137" s="1225"/>
      <c r="P137" s="1228"/>
      <c r="Q137" s="1228"/>
      <c r="U137" s="220" t="s">
        <v>1020</v>
      </c>
      <c r="V137" s="220" t="s">
        <v>1020</v>
      </c>
      <c r="X137" s="255">
        <v>43620</v>
      </c>
      <c r="Y137" s="255">
        <v>43620</v>
      </c>
      <c r="AA137" s="255"/>
      <c r="AB137" s="220" t="s">
        <v>523</v>
      </c>
      <c r="AC137" s="220">
        <v>0</v>
      </c>
      <c r="AD137" s="220">
        <v>0</v>
      </c>
      <c r="AE137" s="220">
        <v>0</v>
      </c>
      <c r="AF137" s="220">
        <v>0</v>
      </c>
      <c r="AG137" s="220">
        <v>0</v>
      </c>
      <c r="AH137" s="220">
        <v>1</v>
      </c>
      <c r="AI137" s="220">
        <v>70095</v>
      </c>
      <c r="AJ137" s="220">
        <v>2180</v>
      </c>
      <c r="AK137" s="220">
        <v>0</v>
      </c>
      <c r="AL137" s="220">
        <v>0</v>
      </c>
      <c r="AO137" s="258"/>
      <c r="AP137" s="258"/>
      <c r="AQ137" s="220" t="str">
        <f t="shared" si="2"/>
        <v/>
      </c>
      <c r="AS137" s="220" t="str">
        <f t="shared" si="3"/>
        <v>wci_corp</v>
      </c>
    </row>
    <row r="138" spans="2:45">
      <c r="B138" s="1509" t="s">
        <v>2447</v>
      </c>
      <c r="C138" s="1529">
        <v>43616</v>
      </c>
      <c r="D138" s="1537">
        <v>78.03</v>
      </c>
      <c r="E138" s="1518">
        <v>0</v>
      </c>
      <c r="F138" s="1519" t="s">
        <v>413</v>
      </c>
      <c r="G138" s="1509" t="s">
        <v>1017</v>
      </c>
      <c r="H138" s="1530" t="s">
        <v>520</v>
      </c>
      <c r="I138" s="1509" t="s">
        <v>1018</v>
      </c>
      <c r="J138" s="1509" t="s">
        <v>670</v>
      </c>
      <c r="K138" s="1509" t="s">
        <v>522</v>
      </c>
      <c r="L138" s="1520"/>
      <c r="M138" s="1520"/>
      <c r="N138" s="1520" t="s">
        <v>2468</v>
      </c>
      <c r="O138" s="1225"/>
      <c r="P138" s="1228"/>
      <c r="Q138" s="1228"/>
      <c r="U138" s="220" t="s">
        <v>1020</v>
      </c>
      <c r="V138" s="220" t="s">
        <v>1020</v>
      </c>
      <c r="X138" s="255">
        <v>43620</v>
      </c>
      <c r="Y138" s="255">
        <v>43620</v>
      </c>
      <c r="AA138" s="255"/>
      <c r="AB138" s="220" t="s">
        <v>523</v>
      </c>
      <c r="AC138" s="220">
        <v>0</v>
      </c>
      <c r="AD138" s="220">
        <v>0</v>
      </c>
      <c r="AE138" s="220">
        <v>0</v>
      </c>
      <c r="AF138" s="220">
        <v>0</v>
      </c>
      <c r="AG138" s="220">
        <v>0</v>
      </c>
      <c r="AH138" s="220">
        <v>1</v>
      </c>
      <c r="AI138" s="220">
        <v>70095</v>
      </c>
      <c r="AJ138" s="220">
        <v>2180</v>
      </c>
      <c r="AK138" s="220">
        <v>0</v>
      </c>
      <c r="AL138" s="220">
        <v>0</v>
      </c>
      <c r="AO138" s="258"/>
      <c r="AP138" s="258"/>
      <c r="AQ138" s="220" t="str">
        <f t="shared" si="2"/>
        <v/>
      </c>
      <c r="AS138" s="220" t="str">
        <f t="shared" si="3"/>
        <v>wci_corp</v>
      </c>
    </row>
    <row r="139" spans="2:45">
      <c r="B139" s="1509" t="s">
        <v>2447</v>
      </c>
      <c r="C139" s="1529">
        <v>43616</v>
      </c>
      <c r="D139" s="1537">
        <v>91.97</v>
      </c>
      <c r="E139" s="1518">
        <v>0</v>
      </c>
      <c r="F139" s="1519" t="s">
        <v>413</v>
      </c>
      <c r="G139" s="1509" t="s">
        <v>1017</v>
      </c>
      <c r="H139" s="1530" t="s">
        <v>520</v>
      </c>
      <c r="I139" s="1509" t="s">
        <v>1018</v>
      </c>
      <c r="J139" s="1509" t="s">
        <v>670</v>
      </c>
      <c r="K139" s="1509" t="s">
        <v>522</v>
      </c>
      <c r="L139" s="1520"/>
      <c r="M139" s="1520"/>
      <c r="N139" s="1520" t="s">
        <v>2490</v>
      </c>
      <c r="O139" s="1225"/>
      <c r="P139" s="1228"/>
      <c r="Q139" s="1228"/>
      <c r="U139" s="220" t="s">
        <v>1020</v>
      </c>
      <c r="V139" s="220" t="s">
        <v>1020</v>
      </c>
      <c r="X139" s="255">
        <v>43620</v>
      </c>
      <c r="Y139" s="255">
        <v>43620</v>
      </c>
      <c r="AA139" s="255"/>
      <c r="AB139" s="220" t="s">
        <v>523</v>
      </c>
      <c r="AC139" s="220">
        <v>0</v>
      </c>
      <c r="AD139" s="220">
        <v>0</v>
      </c>
      <c r="AE139" s="220">
        <v>0</v>
      </c>
      <c r="AF139" s="220">
        <v>0</v>
      </c>
      <c r="AG139" s="220">
        <v>0</v>
      </c>
      <c r="AH139" s="220">
        <v>1</v>
      </c>
      <c r="AI139" s="220">
        <v>70095</v>
      </c>
      <c r="AJ139" s="220">
        <v>2180</v>
      </c>
      <c r="AK139" s="220">
        <v>0</v>
      </c>
      <c r="AL139" s="220">
        <v>0</v>
      </c>
      <c r="AO139" s="258"/>
      <c r="AP139" s="258"/>
      <c r="AQ139" s="220" t="str">
        <f t="shared" si="2"/>
        <v/>
      </c>
      <c r="AS139" s="220" t="str">
        <f t="shared" si="3"/>
        <v>wci_corp</v>
      </c>
    </row>
    <row r="140" spans="2:45">
      <c r="B140" s="1509" t="s">
        <v>2447</v>
      </c>
      <c r="C140" s="1529">
        <v>43616</v>
      </c>
      <c r="D140" s="1537">
        <v>252.68</v>
      </c>
      <c r="E140" s="1518">
        <v>0</v>
      </c>
      <c r="F140" s="1519" t="s">
        <v>413</v>
      </c>
      <c r="G140" s="1509" t="s">
        <v>1017</v>
      </c>
      <c r="H140" s="1530" t="s">
        <v>520</v>
      </c>
      <c r="I140" s="1509" t="s">
        <v>1018</v>
      </c>
      <c r="J140" s="1509" t="s">
        <v>670</v>
      </c>
      <c r="K140" s="1509" t="s">
        <v>522</v>
      </c>
      <c r="L140" s="1520"/>
      <c r="M140" s="1520"/>
      <c r="N140" s="1520" t="s">
        <v>2462</v>
      </c>
      <c r="O140" s="1225"/>
      <c r="P140" s="1228"/>
      <c r="Q140" s="1228"/>
      <c r="U140" s="220" t="s">
        <v>1020</v>
      </c>
      <c r="V140" s="220" t="s">
        <v>1020</v>
      </c>
      <c r="X140" s="255">
        <v>43620</v>
      </c>
      <c r="Y140" s="255">
        <v>43620</v>
      </c>
      <c r="AA140" s="255"/>
      <c r="AB140" s="220" t="s">
        <v>523</v>
      </c>
      <c r="AC140" s="220">
        <v>0</v>
      </c>
      <c r="AD140" s="220">
        <v>0</v>
      </c>
      <c r="AE140" s="220">
        <v>0</v>
      </c>
      <c r="AF140" s="220">
        <v>0</v>
      </c>
      <c r="AG140" s="220">
        <v>0</v>
      </c>
      <c r="AH140" s="220">
        <v>1</v>
      </c>
      <c r="AI140" s="220">
        <v>70095</v>
      </c>
      <c r="AJ140" s="220">
        <v>2180</v>
      </c>
      <c r="AK140" s="220">
        <v>0</v>
      </c>
      <c r="AL140" s="220">
        <v>0</v>
      </c>
      <c r="AO140" s="258"/>
      <c r="AP140" s="258"/>
      <c r="AQ140" s="220" t="str">
        <f t="shared" si="2"/>
        <v/>
      </c>
      <c r="AS140" s="220" t="str">
        <f t="shared" si="3"/>
        <v>wci_corp</v>
      </c>
    </row>
    <row r="141" spans="2:45">
      <c r="B141" s="1509" t="s">
        <v>2447</v>
      </c>
      <c r="C141" s="1529">
        <v>43616</v>
      </c>
      <c r="D141" s="1537">
        <v>262.33</v>
      </c>
      <c r="E141" s="1518">
        <v>0</v>
      </c>
      <c r="F141" s="1519" t="s">
        <v>413</v>
      </c>
      <c r="G141" s="1509" t="s">
        <v>1017</v>
      </c>
      <c r="H141" s="1530" t="s">
        <v>520</v>
      </c>
      <c r="I141" s="1509" t="s">
        <v>1018</v>
      </c>
      <c r="J141" s="1509" t="s">
        <v>670</v>
      </c>
      <c r="K141" s="1509" t="s">
        <v>522</v>
      </c>
      <c r="L141" s="1520"/>
      <c r="M141" s="1520"/>
      <c r="N141" s="1520" t="s">
        <v>2567</v>
      </c>
      <c r="O141" s="1225"/>
      <c r="P141" s="1228"/>
      <c r="Q141" s="1228"/>
      <c r="U141" s="220" t="s">
        <v>1020</v>
      </c>
      <c r="V141" s="220" t="s">
        <v>1020</v>
      </c>
      <c r="X141" s="255">
        <v>43620</v>
      </c>
      <c r="Y141" s="255">
        <v>43620</v>
      </c>
      <c r="AA141" s="255"/>
      <c r="AB141" s="220" t="s">
        <v>523</v>
      </c>
      <c r="AC141" s="220">
        <v>0</v>
      </c>
      <c r="AD141" s="220">
        <v>0</v>
      </c>
      <c r="AE141" s="220">
        <v>0</v>
      </c>
      <c r="AF141" s="220">
        <v>0</v>
      </c>
      <c r="AG141" s="220">
        <v>0</v>
      </c>
      <c r="AH141" s="220">
        <v>1</v>
      </c>
      <c r="AI141" s="220">
        <v>70095</v>
      </c>
      <c r="AJ141" s="220">
        <v>2180</v>
      </c>
      <c r="AK141" s="220">
        <v>0</v>
      </c>
      <c r="AL141" s="220">
        <v>0</v>
      </c>
      <c r="AO141" s="258"/>
      <c r="AP141" s="258"/>
      <c r="AQ141" s="220" t="str">
        <f t="shared" si="2"/>
        <v/>
      </c>
      <c r="AS141" s="220" t="str">
        <f t="shared" si="3"/>
        <v>wci_corp</v>
      </c>
    </row>
    <row r="142" spans="2:45">
      <c r="B142" s="1509" t="s">
        <v>2447</v>
      </c>
      <c r="C142" s="1529">
        <v>43616</v>
      </c>
      <c r="D142" s="1537">
        <v>581.09</v>
      </c>
      <c r="E142" s="1518">
        <v>0</v>
      </c>
      <c r="F142" s="1519" t="s">
        <v>413</v>
      </c>
      <c r="G142" s="1509" t="s">
        <v>1017</v>
      </c>
      <c r="H142" s="1530" t="s">
        <v>520</v>
      </c>
      <c r="I142" s="1509" t="s">
        <v>1018</v>
      </c>
      <c r="J142" s="1509" t="s">
        <v>670</v>
      </c>
      <c r="K142" s="1509" t="s">
        <v>522</v>
      </c>
      <c r="L142" s="1520"/>
      <c r="M142" s="1520"/>
      <c r="N142" s="1520" t="s">
        <v>2595</v>
      </c>
      <c r="O142" s="1225"/>
      <c r="P142" s="1228"/>
      <c r="Q142" s="1228"/>
      <c r="U142" s="220" t="s">
        <v>1020</v>
      </c>
      <c r="V142" s="220" t="s">
        <v>1020</v>
      </c>
      <c r="X142" s="255">
        <v>43620</v>
      </c>
      <c r="Y142" s="255">
        <v>43620</v>
      </c>
      <c r="AA142" s="255"/>
      <c r="AB142" s="220" t="s">
        <v>523</v>
      </c>
      <c r="AC142" s="220">
        <v>0</v>
      </c>
      <c r="AD142" s="220">
        <v>0</v>
      </c>
      <c r="AE142" s="220">
        <v>0</v>
      </c>
      <c r="AF142" s="220">
        <v>0</v>
      </c>
      <c r="AG142" s="220">
        <v>0</v>
      </c>
      <c r="AH142" s="220">
        <v>1</v>
      </c>
      <c r="AI142" s="220">
        <v>70095</v>
      </c>
      <c r="AJ142" s="220">
        <v>2180</v>
      </c>
      <c r="AK142" s="220">
        <v>0</v>
      </c>
      <c r="AL142" s="220">
        <v>0</v>
      </c>
      <c r="AO142" s="258"/>
      <c r="AP142" s="258"/>
      <c r="AQ142" s="220" t="str">
        <f t="shared" si="2"/>
        <v/>
      </c>
      <c r="AS142" s="220" t="str">
        <f t="shared" si="3"/>
        <v>wci_corp</v>
      </c>
    </row>
    <row r="143" spans="2:45">
      <c r="B143" s="1509" t="s">
        <v>2447</v>
      </c>
      <c r="C143" s="1529">
        <v>43616</v>
      </c>
      <c r="D143" s="1537">
        <v>51.53</v>
      </c>
      <c r="E143" s="1518">
        <v>0</v>
      </c>
      <c r="F143" s="1519" t="s">
        <v>413</v>
      </c>
      <c r="G143" s="1509" t="s">
        <v>1022</v>
      </c>
      <c r="H143" s="1530" t="s">
        <v>520</v>
      </c>
      <c r="I143" s="1509" t="s">
        <v>1023</v>
      </c>
      <c r="J143" s="1509" t="s">
        <v>543</v>
      </c>
      <c r="K143" s="1509" t="s">
        <v>522</v>
      </c>
      <c r="L143" s="1520"/>
      <c r="M143" s="1520"/>
      <c r="N143" s="1520" t="s">
        <v>2596</v>
      </c>
      <c r="O143" s="1225"/>
      <c r="P143" s="1228"/>
      <c r="Q143" s="1228"/>
      <c r="U143" s="220" t="s">
        <v>1025</v>
      </c>
      <c r="V143" s="220" t="s">
        <v>1025</v>
      </c>
      <c r="X143" s="255">
        <v>43621</v>
      </c>
      <c r="Y143" s="255">
        <v>43621</v>
      </c>
      <c r="AA143" s="255"/>
      <c r="AB143" s="220" t="s">
        <v>523</v>
      </c>
      <c r="AC143" s="220">
        <v>0</v>
      </c>
      <c r="AD143" s="220">
        <v>0</v>
      </c>
      <c r="AE143" s="220">
        <v>0</v>
      </c>
      <c r="AF143" s="220">
        <v>0</v>
      </c>
      <c r="AG143" s="220">
        <v>0</v>
      </c>
      <c r="AH143" s="220">
        <v>1</v>
      </c>
      <c r="AI143" s="220">
        <v>70095</v>
      </c>
      <c r="AJ143" s="220">
        <v>2180</v>
      </c>
      <c r="AK143" s="220">
        <v>0</v>
      </c>
      <c r="AL143" s="220">
        <v>0</v>
      </c>
      <c r="AO143" s="258"/>
      <c r="AP143" s="258"/>
      <c r="AQ143" s="220" t="str">
        <f t="shared" si="2"/>
        <v/>
      </c>
      <c r="AS143" s="220" t="str">
        <f t="shared" si="3"/>
        <v>wci_corp</v>
      </c>
    </row>
    <row r="144" spans="2:45">
      <c r="B144" s="1509" t="s">
        <v>2447</v>
      </c>
      <c r="C144" s="1529">
        <v>43616</v>
      </c>
      <c r="D144" s="1537">
        <v>183.62</v>
      </c>
      <c r="E144" s="1518">
        <v>0</v>
      </c>
      <c r="F144" s="1519" t="s">
        <v>413</v>
      </c>
      <c r="G144" s="1509" t="s">
        <v>2597</v>
      </c>
      <c r="H144" s="1530" t="s">
        <v>520</v>
      </c>
      <c r="I144" s="1509" t="s">
        <v>1064</v>
      </c>
      <c r="J144" s="1509" t="s">
        <v>670</v>
      </c>
      <c r="K144" s="1509" t="s">
        <v>522</v>
      </c>
      <c r="L144" s="1520"/>
      <c r="M144" s="1520"/>
      <c r="N144" s="1520" t="s">
        <v>2567</v>
      </c>
      <c r="O144" s="1225"/>
      <c r="P144" s="1228"/>
      <c r="Q144" s="1228"/>
      <c r="U144" s="220" t="s">
        <v>2598</v>
      </c>
      <c r="V144" s="220" t="s">
        <v>2598</v>
      </c>
      <c r="X144" s="255">
        <v>43622</v>
      </c>
      <c r="Y144" s="255">
        <v>43623</v>
      </c>
      <c r="AA144" s="255"/>
      <c r="AB144" s="220" t="s">
        <v>523</v>
      </c>
      <c r="AC144" s="220">
        <v>0</v>
      </c>
      <c r="AD144" s="220">
        <v>0</v>
      </c>
      <c r="AE144" s="220">
        <v>0</v>
      </c>
      <c r="AF144" s="220">
        <v>0</v>
      </c>
      <c r="AG144" s="220">
        <v>0</v>
      </c>
      <c r="AH144" s="220">
        <v>1</v>
      </c>
      <c r="AI144" s="220">
        <v>70095</v>
      </c>
      <c r="AJ144" s="220">
        <v>2180</v>
      </c>
      <c r="AK144" s="220">
        <v>0</v>
      </c>
      <c r="AL144" s="220">
        <v>0</v>
      </c>
      <c r="AO144" s="258"/>
      <c r="AP144" s="258"/>
      <c r="AQ144" s="220" t="str">
        <f t="shared" si="2"/>
        <v/>
      </c>
      <c r="AS144" s="220" t="str">
        <f t="shared" si="3"/>
        <v>wci_corp</v>
      </c>
    </row>
    <row r="145" spans="2:45">
      <c r="B145" s="1509" t="s">
        <v>2447</v>
      </c>
      <c r="C145" s="1529">
        <v>43616</v>
      </c>
      <c r="D145" s="1537">
        <v>1761.34</v>
      </c>
      <c r="E145" s="1518">
        <v>0</v>
      </c>
      <c r="F145" s="1519" t="s">
        <v>413</v>
      </c>
      <c r="G145" s="1509" t="s">
        <v>2599</v>
      </c>
      <c r="H145" s="1530" t="s">
        <v>520</v>
      </c>
      <c r="I145" s="1509" t="s">
        <v>1150</v>
      </c>
      <c r="J145" s="1509" t="s">
        <v>670</v>
      </c>
      <c r="K145" s="1509" t="s">
        <v>522</v>
      </c>
      <c r="L145" s="1520"/>
      <c r="M145" s="1520"/>
      <c r="N145" s="1520" t="s">
        <v>2577</v>
      </c>
      <c r="O145" s="1225"/>
      <c r="P145" s="1228"/>
      <c r="Q145" s="1228"/>
      <c r="U145" s="220" t="s">
        <v>2600</v>
      </c>
      <c r="V145" s="220" t="s">
        <v>2600</v>
      </c>
      <c r="X145" s="255">
        <v>43622</v>
      </c>
      <c r="Y145" s="255">
        <v>43623</v>
      </c>
      <c r="AA145" s="255"/>
      <c r="AB145" s="220" t="s">
        <v>523</v>
      </c>
      <c r="AC145" s="220">
        <v>0</v>
      </c>
      <c r="AD145" s="220">
        <v>0</v>
      </c>
      <c r="AE145" s="220">
        <v>0</v>
      </c>
      <c r="AF145" s="220">
        <v>0</v>
      </c>
      <c r="AG145" s="220">
        <v>0</v>
      </c>
      <c r="AH145" s="220">
        <v>1</v>
      </c>
      <c r="AI145" s="220">
        <v>70095</v>
      </c>
      <c r="AJ145" s="220">
        <v>2180</v>
      </c>
      <c r="AK145" s="220">
        <v>0</v>
      </c>
      <c r="AL145" s="220">
        <v>0</v>
      </c>
      <c r="AO145" s="258"/>
      <c r="AP145" s="258"/>
      <c r="AQ145" s="220" t="str">
        <f t="shared" si="2"/>
        <v/>
      </c>
      <c r="AS145" s="220" t="str">
        <f t="shared" si="3"/>
        <v>wci_corp</v>
      </c>
    </row>
    <row r="146" spans="2:45">
      <c r="B146" s="1509" t="s">
        <v>2447</v>
      </c>
      <c r="C146" s="1529">
        <v>43616</v>
      </c>
      <c r="D146" s="1537">
        <v>54.95</v>
      </c>
      <c r="E146" s="1518">
        <v>0</v>
      </c>
      <c r="F146" s="1519" t="s">
        <v>413</v>
      </c>
      <c r="G146" s="1509" t="s">
        <v>2601</v>
      </c>
      <c r="H146" s="1530" t="s">
        <v>520</v>
      </c>
      <c r="I146" s="1509" t="s">
        <v>2602</v>
      </c>
      <c r="J146" s="1509" t="s">
        <v>670</v>
      </c>
      <c r="K146" s="1509" t="s">
        <v>522</v>
      </c>
      <c r="L146" s="1520"/>
      <c r="M146" s="1520"/>
      <c r="N146" s="1520" t="s">
        <v>2603</v>
      </c>
      <c r="O146" s="1225"/>
      <c r="P146" s="1228"/>
      <c r="Q146" s="1228"/>
      <c r="U146" s="220" t="s">
        <v>2604</v>
      </c>
      <c r="V146" s="220" t="s">
        <v>2604</v>
      </c>
      <c r="X146" s="255">
        <v>43623</v>
      </c>
      <c r="Y146" s="255">
        <v>43623</v>
      </c>
      <c r="AA146" s="255"/>
      <c r="AB146" s="220" t="s">
        <v>523</v>
      </c>
      <c r="AC146" s="220">
        <v>0</v>
      </c>
      <c r="AD146" s="220">
        <v>0</v>
      </c>
      <c r="AE146" s="220">
        <v>0</v>
      </c>
      <c r="AF146" s="220">
        <v>0</v>
      </c>
      <c r="AG146" s="220">
        <v>0</v>
      </c>
      <c r="AH146" s="220">
        <v>1</v>
      </c>
      <c r="AI146" s="220">
        <v>70095</v>
      </c>
      <c r="AJ146" s="220">
        <v>2180</v>
      </c>
      <c r="AK146" s="220">
        <v>0</v>
      </c>
      <c r="AL146" s="220">
        <v>0</v>
      </c>
      <c r="AO146" s="258"/>
      <c r="AP146" s="258"/>
      <c r="AQ146" s="220" t="str">
        <f t="shared" si="2"/>
        <v/>
      </c>
      <c r="AS146" s="220" t="str">
        <f t="shared" si="3"/>
        <v>wci_corp</v>
      </c>
    </row>
    <row r="147" spans="2:45">
      <c r="B147" s="1509" t="s">
        <v>2447</v>
      </c>
      <c r="C147" s="1529">
        <v>43616</v>
      </c>
      <c r="D147" s="1537">
        <v>67.94</v>
      </c>
      <c r="E147" s="1518">
        <v>0</v>
      </c>
      <c r="F147" s="1519" t="s">
        <v>413</v>
      </c>
      <c r="G147" s="1509" t="s">
        <v>2601</v>
      </c>
      <c r="H147" s="1530" t="s">
        <v>520</v>
      </c>
      <c r="I147" s="1509" t="s">
        <v>2602</v>
      </c>
      <c r="J147" s="1509" t="s">
        <v>670</v>
      </c>
      <c r="K147" s="1509" t="s">
        <v>522</v>
      </c>
      <c r="L147" s="1520"/>
      <c r="M147" s="1520"/>
      <c r="N147" s="1520" t="s">
        <v>2605</v>
      </c>
      <c r="O147" s="1225"/>
      <c r="P147" s="1228"/>
      <c r="Q147" s="1228"/>
      <c r="U147" s="220" t="s">
        <v>2604</v>
      </c>
      <c r="V147" s="220" t="s">
        <v>2604</v>
      </c>
      <c r="X147" s="255">
        <v>43623</v>
      </c>
      <c r="Y147" s="255">
        <v>43623</v>
      </c>
      <c r="AA147" s="255"/>
      <c r="AB147" s="220" t="s">
        <v>523</v>
      </c>
      <c r="AC147" s="220">
        <v>0</v>
      </c>
      <c r="AD147" s="220">
        <v>0</v>
      </c>
      <c r="AE147" s="220">
        <v>0</v>
      </c>
      <c r="AF147" s="220">
        <v>0</v>
      </c>
      <c r="AG147" s="220">
        <v>0</v>
      </c>
      <c r="AH147" s="220">
        <v>1</v>
      </c>
      <c r="AI147" s="220">
        <v>70095</v>
      </c>
      <c r="AJ147" s="220">
        <v>2180</v>
      </c>
      <c r="AK147" s="220">
        <v>0</v>
      </c>
      <c r="AL147" s="220">
        <v>0</v>
      </c>
      <c r="AO147" s="258"/>
      <c r="AP147" s="258"/>
      <c r="AQ147" s="220" t="str">
        <f t="shared" si="2"/>
        <v/>
      </c>
      <c r="AS147" s="220" t="str">
        <f t="shared" si="3"/>
        <v>wci_corp</v>
      </c>
    </row>
    <row r="148" spans="2:45">
      <c r="B148" s="1509" t="s">
        <v>2447</v>
      </c>
      <c r="C148" s="1529">
        <v>43616</v>
      </c>
      <c r="D148" s="1537">
        <v>324.44</v>
      </c>
      <c r="E148" s="1518">
        <v>0</v>
      </c>
      <c r="F148" s="1519" t="s">
        <v>413</v>
      </c>
      <c r="G148" s="1509" t="s">
        <v>2606</v>
      </c>
      <c r="H148" s="1530" t="s">
        <v>520</v>
      </c>
      <c r="I148" s="1509" t="s">
        <v>2583</v>
      </c>
      <c r="J148" s="1509" t="s">
        <v>521</v>
      </c>
      <c r="K148" s="1509" t="s">
        <v>522</v>
      </c>
      <c r="L148" s="1520"/>
      <c r="M148" s="1520"/>
      <c r="N148" s="1520" t="s">
        <v>2584</v>
      </c>
      <c r="O148" s="1225"/>
      <c r="P148" s="1228"/>
      <c r="Q148" s="1228"/>
      <c r="U148" s="220" t="s">
        <v>2607</v>
      </c>
      <c r="V148" s="220" t="s">
        <v>2607</v>
      </c>
      <c r="X148" s="255">
        <v>43623</v>
      </c>
      <c r="Y148" s="255">
        <v>43623</v>
      </c>
      <c r="AA148" s="255"/>
      <c r="AB148" s="220" t="s">
        <v>523</v>
      </c>
      <c r="AC148" s="220">
        <v>0</v>
      </c>
      <c r="AD148" s="220">
        <v>0</v>
      </c>
      <c r="AE148" s="220">
        <v>0</v>
      </c>
      <c r="AF148" s="220">
        <v>0</v>
      </c>
      <c r="AG148" s="220">
        <v>0</v>
      </c>
      <c r="AH148" s="220">
        <v>1</v>
      </c>
      <c r="AI148" s="220">
        <v>70095</v>
      </c>
      <c r="AJ148" s="220">
        <v>2180</v>
      </c>
      <c r="AK148" s="220">
        <v>0</v>
      </c>
      <c r="AL148" s="220">
        <v>0</v>
      </c>
      <c r="AO148" s="258"/>
      <c r="AP148" s="258"/>
      <c r="AQ148" s="220" t="str">
        <f t="shared" si="2"/>
        <v/>
      </c>
      <c r="AS148" s="220" t="str">
        <f t="shared" si="3"/>
        <v>wci_corp</v>
      </c>
    </row>
    <row r="149" spans="2:45">
      <c r="B149" s="1509" t="s">
        <v>2447</v>
      </c>
      <c r="C149" s="1529">
        <v>43646</v>
      </c>
      <c r="D149" s="1537">
        <v>-183.62</v>
      </c>
      <c r="E149" s="1518">
        <v>0</v>
      </c>
      <c r="F149" s="1519" t="s">
        <v>413</v>
      </c>
      <c r="G149" s="1509" t="s">
        <v>2608</v>
      </c>
      <c r="H149" s="1530" t="s">
        <v>520</v>
      </c>
      <c r="I149" s="1509" t="s">
        <v>1064</v>
      </c>
      <c r="J149" s="1509" t="s">
        <v>543</v>
      </c>
      <c r="K149" s="1509" t="s">
        <v>522</v>
      </c>
      <c r="L149" s="1520"/>
      <c r="M149" s="1520"/>
      <c r="N149" s="1520" t="s">
        <v>2567</v>
      </c>
      <c r="O149" s="1225"/>
      <c r="P149" s="1228"/>
      <c r="Q149" s="1228"/>
      <c r="U149" s="220" t="s">
        <v>2598</v>
      </c>
      <c r="V149" s="220" t="s">
        <v>2609</v>
      </c>
      <c r="X149" s="255">
        <v>43623</v>
      </c>
      <c r="Y149" s="255">
        <v>43623</v>
      </c>
      <c r="AA149" s="255"/>
      <c r="AB149" s="220" t="s">
        <v>523</v>
      </c>
      <c r="AC149" s="220">
        <v>0</v>
      </c>
      <c r="AD149" s="220">
        <v>0</v>
      </c>
      <c r="AE149" s="220">
        <v>0</v>
      </c>
      <c r="AF149" s="220">
        <v>0</v>
      </c>
      <c r="AG149" s="220">
        <v>5</v>
      </c>
      <c r="AH149" s="220">
        <v>1</v>
      </c>
      <c r="AI149" s="220">
        <v>70095</v>
      </c>
      <c r="AJ149" s="220">
        <v>2180</v>
      </c>
      <c r="AK149" s="220">
        <v>0</v>
      </c>
      <c r="AL149" s="220">
        <v>0</v>
      </c>
      <c r="AO149" s="258"/>
      <c r="AP149" s="258"/>
      <c r="AQ149" s="220" t="str">
        <f t="shared" ref="AQ149:AQ212" si="4">IF(LEFT(U149,2)="VO",U149,"")</f>
        <v/>
      </c>
      <c r="AS149" s="220" t="str">
        <f t="shared" ref="AS149:AS212" si="5">IF(RIGHT(K149,2)="IC",IF(OR(AB149="wci_canada",AB149="wci_can_corp"),"wci_can_Corp","wci_corp"),AB149)</f>
        <v>wci_corp</v>
      </c>
    </row>
    <row r="150" spans="2:45">
      <c r="B150" s="1509" t="s">
        <v>2447</v>
      </c>
      <c r="C150" s="1529">
        <v>43646</v>
      </c>
      <c r="D150" s="1537">
        <v>-54.95</v>
      </c>
      <c r="E150" s="1518">
        <v>0</v>
      </c>
      <c r="F150" s="1519" t="s">
        <v>413</v>
      </c>
      <c r="G150" s="1509" t="s">
        <v>2610</v>
      </c>
      <c r="H150" s="1530" t="s">
        <v>520</v>
      </c>
      <c r="I150" s="1509" t="s">
        <v>2602</v>
      </c>
      <c r="J150" s="1509" t="s">
        <v>521</v>
      </c>
      <c r="K150" s="1509" t="s">
        <v>522</v>
      </c>
      <c r="L150" s="1520"/>
      <c r="M150" s="1520"/>
      <c r="N150" s="1520" t="s">
        <v>2603</v>
      </c>
      <c r="O150" s="1225"/>
      <c r="P150" s="1228"/>
      <c r="Q150" s="1228"/>
      <c r="U150" s="220" t="s">
        <v>2604</v>
      </c>
      <c r="V150" s="220" t="s">
        <v>2611</v>
      </c>
      <c r="X150" s="255">
        <v>43623</v>
      </c>
      <c r="Y150" s="255">
        <v>43623</v>
      </c>
      <c r="AA150" s="255"/>
      <c r="AB150" s="220" t="s">
        <v>523</v>
      </c>
      <c r="AC150" s="220">
        <v>0</v>
      </c>
      <c r="AD150" s="220">
        <v>0</v>
      </c>
      <c r="AE150" s="220">
        <v>0</v>
      </c>
      <c r="AF150" s="220">
        <v>0</v>
      </c>
      <c r="AG150" s="220">
        <v>5</v>
      </c>
      <c r="AH150" s="220">
        <v>1</v>
      </c>
      <c r="AI150" s="220">
        <v>70095</v>
      </c>
      <c r="AJ150" s="220">
        <v>2180</v>
      </c>
      <c r="AK150" s="220">
        <v>0</v>
      </c>
      <c r="AL150" s="220">
        <v>0</v>
      </c>
      <c r="AO150" s="258"/>
      <c r="AP150" s="258"/>
      <c r="AQ150" s="220" t="str">
        <f t="shared" si="4"/>
        <v/>
      </c>
      <c r="AS150" s="220" t="str">
        <f t="shared" si="5"/>
        <v>wci_corp</v>
      </c>
    </row>
    <row r="151" spans="2:45">
      <c r="B151" s="1509" t="s">
        <v>2447</v>
      </c>
      <c r="C151" s="1529">
        <v>43646</v>
      </c>
      <c r="D151" s="1537">
        <v>-67.94</v>
      </c>
      <c r="E151" s="1518">
        <v>0</v>
      </c>
      <c r="F151" s="1519" t="s">
        <v>413</v>
      </c>
      <c r="G151" s="1509" t="s">
        <v>2610</v>
      </c>
      <c r="H151" s="1530" t="s">
        <v>520</v>
      </c>
      <c r="I151" s="1509" t="s">
        <v>2602</v>
      </c>
      <c r="J151" s="1509" t="s">
        <v>521</v>
      </c>
      <c r="K151" s="1509" t="s">
        <v>522</v>
      </c>
      <c r="L151" s="1520"/>
      <c r="M151" s="1520"/>
      <c r="N151" s="1520" t="s">
        <v>2605</v>
      </c>
      <c r="O151" s="1225"/>
      <c r="P151" s="1228"/>
      <c r="Q151" s="1228"/>
      <c r="U151" s="220" t="s">
        <v>2604</v>
      </c>
      <c r="V151" s="220" t="s">
        <v>2611</v>
      </c>
      <c r="X151" s="255">
        <v>43623</v>
      </c>
      <c r="Y151" s="255">
        <v>43623</v>
      </c>
      <c r="AA151" s="255"/>
      <c r="AB151" s="220" t="s">
        <v>523</v>
      </c>
      <c r="AC151" s="220">
        <v>0</v>
      </c>
      <c r="AD151" s="220">
        <v>0</v>
      </c>
      <c r="AE151" s="220">
        <v>0</v>
      </c>
      <c r="AF151" s="220">
        <v>0</v>
      </c>
      <c r="AG151" s="220">
        <v>5</v>
      </c>
      <c r="AH151" s="220">
        <v>1</v>
      </c>
      <c r="AI151" s="220">
        <v>70095</v>
      </c>
      <c r="AJ151" s="220">
        <v>2180</v>
      </c>
      <c r="AK151" s="220">
        <v>0</v>
      </c>
      <c r="AL151" s="220">
        <v>0</v>
      </c>
      <c r="AO151" s="258"/>
      <c r="AP151" s="258"/>
      <c r="AQ151" s="220" t="str">
        <f t="shared" si="4"/>
        <v/>
      </c>
      <c r="AS151" s="220" t="str">
        <f t="shared" si="5"/>
        <v>wci_corp</v>
      </c>
    </row>
    <row r="152" spans="2:45">
      <c r="B152" s="1509" t="s">
        <v>2447</v>
      </c>
      <c r="C152" s="1529">
        <v>43646</v>
      </c>
      <c r="D152" s="1537">
        <v>54.95</v>
      </c>
      <c r="E152" s="1518">
        <v>0</v>
      </c>
      <c r="F152" s="1519" t="s">
        <v>413</v>
      </c>
      <c r="G152" s="1509" t="s">
        <v>1179</v>
      </c>
      <c r="H152" s="1530" t="s">
        <v>520</v>
      </c>
      <c r="I152" s="1509" t="s">
        <v>1180</v>
      </c>
      <c r="J152" s="1509" t="s">
        <v>521</v>
      </c>
      <c r="K152" s="1509" t="s">
        <v>522</v>
      </c>
      <c r="L152" s="1520"/>
      <c r="M152" s="1520"/>
      <c r="N152" s="1520" t="s">
        <v>2603</v>
      </c>
      <c r="O152" s="1225"/>
      <c r="P152" s="1228"/>
      <c r="Q152" s="1228"/>
      <c r="U152" s="220" t="s">
        <v>1181</v>
      </c>
      <c r="V152" s="220" t="s">
        <v>1181</v>
      </c>
      <c r="X152" s="255">
        <v>43648</v>
      </c>
      <c r="Y152" s="255">
        <v>43648</v>
      </c>
      <c r="AA152" s="255"/>
      <c r="AB152" s="220" t="s">
        <v>523</v>
      </c>
      <c r="AC152" s="220">
        <v>0</v>
      </c>
      <c r="AD152" s="220">
        <v>0</v>
      </c>
      <c r="AE152" s="220">
        <v>0</v>
      </c>
      <c r="AF152" s="220">
        <v>0</v>
      </c>
      <c r="AG152" s="220">
        <v>0</v>
      </c>
      <c r="AH152" s="220">
        <v>1</v>
      </c>
      <c r="AI152" s="220">
        <v>70095</v>
      </c>
      <c r="AJ152" s="220">
        <v>2180</v>
      </c>
      <c r="AK152" s="220">
        <v>0</v>
      </c>
      <c r="AL152" s="220">
        <v>0</v>
      </c>
      <c r="AO152" s="258"/>
      <c r="AP152" s="258"/>
      <c r="AQ152" s="220" t="str">
        <f t="shared" si="4"/>
        <v/>
      </c>
      <c r="AS152" s="220" t="str">
        <f t="shared" si="5"/>
        <v>wci_corp</v>
      </c>
    </row>
    <row r="153" spans="2:45">
      <c r="B153" s="1509" t="s">
        <v>2447</v>
      </c>
      <c r="C153" s="1529">
        <v>43646</v>
      </c>
      <c r="D153" s="1537">
        <v>67.94</v>
      </c>
      <c r="E153" s="1518">
        <v>0</v>
      </c>
      <c r="F153" s="1519" t="s">
        <v>413</v>
      </c>
      <c r="G153" s="1509" t="s">
        <v>1179</v>
      </c>
      <c r="H153" s="1530" t="s">
        <v>520</v>
      </c>
      <c r="I153" s="1509" t="s">
        <v>1180</v>
      </c>
      <c r="J153" s="1509" t="s">
        <v>521</v>
      </c>
      <c r="K153" s="1509" t="s">
        <v>522</v>
      </c>
      <c r="L153" s="1520"/>
      <c r="M153" s="1520"/>
      <c r="N153" s="1520" t="s">
        <v>2605</v>
      </c>
      <c r="O153" s="1225"/>
      <c r="P153" s="1228"/>
      <c r="Q153" s="1228"/>
      <c r="U153" s="220" t="s">
        <v>1181</v>
      </c>
      <c r="V153" s="220" t="s">
        <v>1181</v>
      </c>
      <c r="X153" s="255">
        <v>43648</v>
      </c>
      <c r="Y153" s="255">
        <v>43648</v>
      </c>
      <c r="AA153" s="255"/>
      <c r="AB153" s="220" t="s">
        <v>523</v>
      </c>
      <c r="AC153" s="220">
        <v>0</v>
      </c>
      <c r="AD153" s="220">
        <v>0</v>
      </c>
      <c r="AE153" s="220">
        <v>0</v>
      </c>
      <c r="AF153" s="220">
        <v>0</v>
      </c>
      <c r="AG153" s="220">
        <v>0</v>
      </c>
      <c r="AH153" s="220">
        <v>1</v>
      </c>
      <c r="AI153" s="220">
        <v>70095</v>
      </c>
      <c r="AJ153" s="220">
        <v>2180</v>
      </c>
      <c r="AK153" s="220">
        <v>0</v>
      </c>
      <c r="AL153" s="220">
        <v>0</v>
      </c>
      <c r="AO153" s="258"/>
      <c r="AP153" s="258"/>
      <c r="AQ153" s="220" t="str">
        <f t="shared" si="4"/>
        <v/>
      </c>
      <c r="AS153" s="220" t="str">
        <f t="shared" si="5"/>
        <v>wci_corp</v>
      </c>
    </row>
    <row r="154" spans="2:45">
      <c r="B154" s="1509" t="s">
        <v>2447</v>
      </c>
      <c r="C154" s="1529">
        <v>43646</v>
      </c>
      <c r="D154" s="1537">
        <v>183.62</v>
      </c>
      <c r="E154" s="1518">
        <v>0</v>
      </c>
      <c r="F154" s="1519" t="s">
        <v>413</v>
      </c>
      <c r="G154" s="1509" t="s">
        <v>1179</v>
      </c>
      <c r="H154" s="1530" t="s">
        <v>520</v>
      </c>
      <c r="I154" s="1509" t="s">
        <v>1180</v>
      </c>
      <c r="J154" s="1509" t="s">
        <v>521</v>
      </c>
      <c r="K154" s="1509" t="s">
        <v>522</v>
      </c>
      <c r="L154" s="1520"/>
      <c r="M154" s="1520"/>
      <c r="N154" s="1520" t="s">
        <v>2567</v>
      </c>
      <c r="O154" s="1225"/>
      <c r="P154" s="1228"/>
      <c r="Q154" s="1228"/>
      <c r="U154" s="220" t="s">
        <v>1181</v>
      </c>
      <c r="V154" s="220" t="s">
        <v>1181</v>
      </c>
      <c r="X154" s="255">
        <v>43648</v>
      </c>
      <c r="Y154" s="255">
        <v>43648</v>
      </c>
      <c r="AA154" s="255"/>
      <c r="AB154" s="220" t="s">
        <v>523</v>
      </c>
      <c r="AC154" s="220">
        <v>0</v>
      </c>
      <c r="AD154" s="220">
        <v>0</v>
      </c>
      <c r="AE154" s="220">
        <v>0</v>
      </c>
      <c r="AF154" s="220">
        <v>0</v>
      </c>
      <c r="AG154" s="220">
        <v>0</v>
      </c>
      <c r="AH154" s="220">
        <v>1</v>
      </c>
      <c r="AI154" s="220">
        <v>70095</v>
      </c>
      <c r="AJ154" s="220">
        <v>2180</v>
      </c>
      <c r="AK154" s="220">
        <v>0</v>
      </c>
      <c r="AL154" s="220">
        <v>0</v>
      </c>
      <c r="AO154" s="258"/>
      <c r="AP154" s="258"/>
      <c r="AQ154" s="220" t="str">
        <f t="shared" si="4"/>
        <v/>
      </c>
      <c r="AS154" s="220" t="str">
        <f t="shared" si="5"/>
        <v>wci_corp</v>
      </c>
    </row>
    <row r="155" spans="2:45">
      <c r="B155" s="1509" t="s">
        <v>2447</v>
      </c>
      <c r="C155" s="1529">
        <v>43646</v>
      </c>
      <c r="D155" s="1537">
        <v>130.6</v>
      </c>
      <c r="E155" s="1518">
        <v>0</v>
      </c>
      <c r="F155" s="1519" t="s">
        <v>413</v>
      </c>
      <c r="G155" s="1509" t="s">
        <v>1179</v>
      </c>
      <c r="H155" s="1530" t="s">
        <v>520</v>
      </c>
      <c r="I155" s="1509" t="s">
        <v>1180</v>
      </c>
      <c r="J155" s="1509" t="s">
        <v>521</v>
      </c>
      <c r="K155" s="1509" t="s">
        <v>522</v>
      </c>
      <c r="L155" s="1520"/>
      <c r="M155" s="1520"/>
      <c r="N155" s="1520" t="s">
        <v>2612</v>
      </c>
      <c r="O155" s="1225"/>
      <c r="P155" s="1228"/>
      <c r="Q155" s="1228"/>
      <c r="U155" s="220" t="s">
        <v>1181</v>
      </c>
      <c r="V155" s="220" t="s">
        <v>1181</v>
      </c>
      <c r="X155" s="255">
        <v>43648</v>
      </c>
      <c r="Y155" s="255">
        <v>43648</v>
      </c>
      <c r="AA155" s="255"/>
      <c r="AB155" s="220" t="s">
        <v>523</v>
      </c>
      <c r="AC155" s="220">
        <v>0</v>
      </c>
      <c r="AD155" s="220">
        <v>0</v>
      </c>
      <c r="AE155" s="220">
        <v>0</v>
      </c>
      <c r="AF155" s="220">
        <v>0</v>
      </c>
      <c r="AG155" s="220">
        <v>0</v>
      </c>
      <c r="AH155" s="220">
        <v>1</v>
      </c>
      <c r="AI155" s="220">
        <v>70095</v>
      </c>
      <c r="AJ155" s="220">
        <v>2180</v>
      </c>
      <c r="AK155" s="220">
        <v>0</v>
      </c>
      <c r="AL155" s="220">
        <v>0</v>
      </c>
      <c r="AO155" s="258"/>
      <c r="AP155" s="258"/>
      <c r="AQ155" s="220" t="str">
        <f t="shared" si="4"/>
        <v/>
      </c>
      <c r="AS155" s="220" t="str">
        <f t="shared" si="5"/>
        <v>wci_corp</v>
      </c>
    </row>
    <row r="156" spans="2:45">
      <c r="B156" s="1509" t="s">
        <v>2447</v>
      </c>
      <c r="C156" s="1529">
        <v>43646</v>
      </c>
      <c r="D156" s="1537">
        <v>86.97</v>
      </c>
      <c r="E156" s="1518">
        <v>0</v>
      </c>
      <c r="F156" s="1519" t="s">
        <v>413</v>
      </c>
      <c r="G156" s="1509" t="s">
        <v>1179</v>
      </c>
      <c r="H156" s="1530" t="s">
        <v>520</v>
      </c>
      <c r="I156" s="1509" t="s">
        <v>1180</v>
      </c>
      <c r="J156" s="1509" t="s">
        <v>521</v>
      </c>
      <c r="K156" s="1509" t="s">
        <v>522</v>
      </c>
      <c r="L156" s="1520"/>
      <c r="M156" s="1520"/>
      <c r="N156" s="1520" t="s">
        <v>2508</v>
      </c>
      <c r="O156" s="1225"/>
      <c r="P156" s="1228"/>
      <c r="Q156" s="1228"/>
      <c r="U156" s="220" t="s">
        <v>1181</v>
      </c>
      <c r="V156" s="220" t="s">
        <v>1181</v>
      </c>
      <c r="X156" s="255">
        <v>43648</v>
      </c>
      <c r="Y156" s="255">
        <v>43648</v>
      </c>
      <c r="AA156" s="255"/>
      <c r="AB156" s="220" t="s">
        <v>523</v>
      </c>
      <c r="AC156" s="220">
        <v>0</v>
      </c>
      <c r="AD156" s="220">
        <v>0</v>
      </c>
      <c r="AE156" s="220">
        <v>0</v>
      </c>
      <c r="AF156" s="220">
        <v>0</v>
      </c>
      <c r="AG156" s="220">
        <v>0</v>
      </c>
      <c r="AH156" s="220">
        <v>1</v>
      </c>
      <c r="AI156" s="220">
        <v>70095</v>
      </c>
      <c r="AJ156" s="220">
        <v>2180</v>
      </c>
      <c r="AK156" s="220">
        <v>0</v>
      </c>
      <c r="AL156" s="220">
        <v>0</v>
      </c>
      <c r="AO156" s="258"/>
      <c r="AP156" s="258"/>
      <c r="AQ156" s="220" t="str">
        <f t="shared" si="4"/>
        <v/>
      </c>
      <c r="AS156" s="220" t="str">
        <f t="shared" si="5"/>
        <v>wci_corp</v>
      </c>
    </row>
    <row r="157" spans="2:45">
      <c r="B157" s="1509" t="s">
        <v>2447</v>
      </c>
      <c r="C157" s="1529">
        <v>43646</v>
      </c>
      <c r="D157" s="1537">
        <v>51.54</v>
      </c>
      <c r="E157" s="1518">
        <v>0</v>
      </c>
      <c r="F157" s="1519" t="s">
        <v>413</v>
      </c>
      <c r="G157" s="1509" t="s">
        <v>1179</v>
      </c>
      <c r="H157" s="1530" t="s">
        <v>520</v>
      </c>
      <c r="I157" s="1509" t="s">
        <v>1180</v>
      </c>
      <c r="J157" s="1509" t="s">
        <v>521</v>
      </c>
      <c r="K157" s="1509" t="s">
        <v>522</v>
      </c>
      <c r="L157" s="1520"/>
      <c r="M157" s="1520"/>
      <c r="N157" s="1520" t="s">
        <v>2613</v>
      </c>
      <c r="O157" s="1225"/>
      <c r="P157" s="1228"/>
      <c r="Q157" s="1228"/>
      <c r="U157" s="220" t="s">
        <v>1181</v>
      </c>
      <c r="V157" s="220" t="s">
        <v>1181</v>
      </c>
      <c r="X157" s="255">
        <v>43648</v>
      </c>
      <c r="Y157" s="255">
        <v>43648</v>
      </c>
      <c r="AA157" s="255"/>
      <c r="AB157" s="220" t="s">
        <v>523</v>
      </c>
      <c r="AC157" s="220">
        <v>0</v>
      </c>
      <c r="AD157" s="220">
        <v>0</v>
      </c>
      <c r="AE157" s="220">
        <v>0</v>
      </c>
      <c r="AF157" s="220">
        <v>0</v>
      </c>
      <c r="AG157" s="220">
        <v>0</v>
      </c>
      <c r="AH157" s="220">
        <v>1</v>
      </c>
      <c r="AI157" s="220">
        <v>70095</v>
      </c>
      <c r="AJ157" s="220">
        <v>2180</v>
      </c>
      <c r="AK157" s="220">
        <v>0</v>
      </c>
      <c r="AL157" s="220">
        <v>0</v>
      </c>
      <c r="AO157" s="258"/>
      <c r="AP157" s="258"/>
      <c r="AQ157" s="220" t="str">
        <f t="shared" si="4"/>
        <v/>
      </c>
      <c r="AS157" s="220" t="str">
        <f t="shared" si="5"/>
        <v>wci_corp</v>
      </c>
    </row>
    <row r="158" spans="2:45">
      <c r="B158" s="1509" t="s">
        <v>2447</v>
      </c>
      <c r="C158" s="1529">
        <v>43646</v>
      </c>
      <c r="D158" s="1537">
        <v>7.4</v>
      </c>
      <c r="E158" s="1518">
        <v>0</v>
      </c>
      <c r="F158" s="1519" t="s">
        <v>413</v>
      </c>
      <c r="G158" s="1509" t="s">
        <v>1032</v>
      </c>
      <c r="H158" s="1530" t="s">
        <v>520</v>
      </c>
      <c r="I158" s="1509" t="s">
        <v>1033</v>
      </c>
      <c r="J158" s="1509" t="s">
        <v>689</v>
      </c>
      <c r="K158" s="1509" t="s">
        <v>522</v>
      </c>
      <c r="L158" s="1520"/>
      <c r="M158" s="1520"/>
      <c r="N158" s="1520" t="s">
        <v>2614</v>
      </c>
      <c r="O158" s="1225"/>
      <c r="P158" s="1228"/>
      <c r="Q158" s="1228"/>
      <c r="U158" s="220" t="s">
        <v>1035</v>
      </c>
      <c r="V158" s="220" t="s">
        <v>1035</v>
      </c>
      <c r="X158" s="255">
        <v>43649</v>
      </c>
      <c r="Y158" s="255">
        <v>43649</v>
      </c>
      <c r="AA158" s="255"/>
      <c r="AB158" s="220" t="s">
        <v>523</v>
      </c>
      <c r="AC158" s="220">
        <v>0</v>
      </c>
      <c r="AD158" s="220">
        <v>0</v>
      </c>
      <c r="AE158" s="220">
        <v>0</v>
      </c>
      <c r="AF158" s="220">
        <v>0</v>
      </c>
      <c r="AG158" s="220">
        <v>0</v>
      </c>
      <c r="AH158" s="220">
        <v>1</v>
      </c>
      <c r="AI158" s="220">
        <v>70095</v>
      </c>
      <c r="AJ158" s="220">
        <v>2180</v>
      </c>
      <c r="AK158" s="220">
        <v>0</v>
      </c>
      <c r="AL158" s="220">
        <v>0</v>
      </c>
      <c r="AO158" s="258"/>
      <c r="AP158" s="258"/>
      <c r="AQ158" s="220" t="str">
        <f t="shared" si="4"/>
        <v/>
      </c>
      <c r="AS158" s="220" t="str">
        <f t="shared" si="5"/>
        <v>wci_corp</v>
      </c>
    </row>
    <row r="159" spans="2:45">
      <c r="B159" s="1509" t="s">
        <v>2447</v>
      </c>
      <c r="C159" s="1529">
        <v>43646</v>
      </c>
      <c r="D159" s="1537">
        <v>26.31</v>
      </c>
      <c r="E159" s="1518">
        <v>0</v>
      </c>
      <c r="F159" s="1519" t="s">
        <v>413</v>
      </c>
      <c r="G159" s="1509" t="s">
        <v>1032</v>
      </c>
      <c r="H159" s="1530" t="s">
        <v>520</v>
      </c>
      <c r="I159" s="1509" t="s">
        <v>1033</v>
      </c>
      <c r="J159" s="1509" t="s">
        <v>689</v>
      </c>
      <c r="K159" s="1509" t="s">
        <v>522</v>
      </c>
      <c r="L159" s="1520"/>
      <c r="M159" s="1520"/>
      <c r="N159" s="1520" t="s">
        <v>2614</v>
      </c>
      <c r="O159" s="1225"/>
      <c r="P159" s="1228"/>
      <c r="Q159" s="1228"/>
      <c r="U159" s="220" t="s">
        <v>1035</v>
      </c>
      <c r="V159" s="220" t="s">
        <v>1035</v>
      </c>
      <c r="X159" s="255">
        <v>43649</v>
      </c>
      <c r="Y159" s="255">
        <v>43649</v>
      </c>
      <c r="AA159" s="255"/>
      <c r="AB159" s="220" t="s">
        <v>523</v>
      </c>
      <c r="AC159" s="220">
        <v>0</v>
      </c>
      <c r="AD159" s="220">
        <v>0</v>
      </c>
      <c r="AE159" s="220">
        <v>0</v>
      </c>
      <c r="AF159" s="220">
        <v>0</v>
      </c>
      <c r="AG159" s="220">
        <v>0</v>
      </c>
      <c r="AH159" s="220">
        <v>1</v>
      </c>
      <c r="AI159" s="220">
        <v>70095</v>
      </c>
      <c r="AJ159" s="220">
        <v>2180</v>
      </c>
      <c r="AK159" s="220">
        <v>0</v>
      </c>
      <c r="AL159" s="220">
        <v>0</v>
      </c>
      <c r="AO159" s="258"/>
      <c r="AP159" s="258"/>
      <c r="AQ159" s="220" t="str">
        <f t="shared" si="4"/>
        <v/>
      </c>
      <c r="AS159" s="220" t="str">
        <f t="shared" si="5"/>
        <v>wci_corp</v>
      </c>
    </row>
    <row r="160" spans="2:45">
      <c r="B160" s="1509" t="s">
        <v>2447</v>
      </c>
      <c r="C160" s="1529">
        <v>43646</v>
      </c>
      <c r="D160" s="1537">
        <v>30.11</v>
      </c>
      <c r="E160" s="1518">
        <v>0</v>
      </c>
      <c r="F160" s="1519" t="s">
        <v>413</v>
      </c>
      <c r="G160" s="1509" t="s">
        <v>1032</v>
      </c>
      <c r="H160" s="1530" t="s">
        <v>520</v>
      </c>
      <c r="I160" s="1509" t="s">
        <v>1033</v>
      </c>
      <c r="J160" s="1509" t="s">
        <v>689</v>
      </c>
      <c r="K160" s="1509" t="s">
        <v>522</v>
      </c>
      <c r="L160" s="1520"/>
      <c r="M160" s="1520"/>
      <c r="N160" s="1520" t="s">
        <v>2614</v>
      </c>
      <c r="O160" s="1225"/>
      <c r="P160" s="1228"/>
      <c r="Q160" s="1228"/>
      <c r="U160" s="220" t="s">
        <v>1035</v>
      </c>
      <c r="V160" s="220" t="s">
        <v>1035</v>
      </c>
      <c r="X160" s="255">
        <v>43649</v>
      </c>
      <c r="Y160" s="255">
        <v>43649</v>
      </c>
      <c r="AA160" s="255"/>
      <c r="AB160" s="220" t="s">
        <v>523</v>
      </c>
      <c r="AC160" s="220">
        <v>0</v>
      </c>
      <c r="AD160" s="220">
        <v>0</v>
      </c>
      <c r="AE160" s="220">
        <v>0</v>
      </c>
      <c r="AF160" s="220">
        <v>0</v>
      </c>
      <c r="AG160" s="220">
        <v>0</v>
      </c>
      <c r="AH160" s="220">
        <v>1</v>
      </c>
      <c r="AI160" s="220">
        <v>70095</v>
      </c>
      <c r="AJ160" s="220">
        <v>2180</v>
      </c>
      <c r="AK160" s="220">
        <v>0</v>
      </c>
      <c r="AL160" s="220">
        <v>0</v>
      </c>
      <c r="AO160" s="258"/>
      <c r="AP160" s="258"/>
      <c r="AQ160" s="220" t="str">
        <f t="shared" si="4"/>
        <v/>
      </c>
      <c r="AS160" s="220" t="str">
        <f t="shared" si="5"/>
        <v>wci_corp</v>
      </c>
    </row>
    <row r="161" spans="2:45">
      <c r="B161" s="1509" t="s">
        <v>2447</v>
      </c>
      <c r="C161" s="1529">
        <v>43646</v>
      </c>
      <c r="D161" s="1537">
        <v>53.98</v>
      </c>
      <c r="E161" s="1518">
        <v>0</v>
      </c>
      <c r="F161" s="1519" t="s">
        <v>413</v>
      </c>
      <c r="G161" s="1509" t="s">
        <v>1096</v>
      </c>
      <c r="H161" s="1530" t="s">
        <v>520</v>
      </c>
      <c r="I161" s="1509" t="s">
        <v>1064</v>
      </c>
      <c r="J161" s="1509" t="s">
        <v>543</v>
      </c>
      <c r="K161" s="1509" t="s">
        <v>522</v>
      </c>
      <c r="L161" s="1520"/>
      <c r="M161" s="1520"/>
      <c r="N161" s="1520" t="s">
        <v>2615</v>
      </c>
      <c r="O161" s="1225"/>
      <c r="P161" s="1228"/>
      <c r="Q161" s="1228"/>
      <c r="U161" s="220" t="s">
        <v>1098</v>
      </c>
      <c r="V161" s="220" t="s">
        <v>1098</v>
      </c>
      <c r="X161" s="255">
        <v>43651</v>
      </c>
      <c r="Y161" s="255">
        <v>43651</v>
      </c>
      <c r="AA161" s="255"/>
      <c r="AB161" s="220" t="s">
        <v>523</v>
      </c>
      <c r="AC161" s="220">
        <v>0</v>
      </c>
      <c r="AD161" s="220">
        <v>0</v>
      </c>
      <c r="AE161" s="220">
        <v>0</v>
      </c>
      <c r="AF161" s="220">
        <v>0</v>
      </c>
      <c r="AG161" s="220">
        <v>0</v>
      </c>
      <c r="AH161" s="220">
        <v>1</v>
      </c>
      <c r="AI161" s="220">
        <v>70095</v>
      </c>
      <c r="AJ161" s="220">
        <v>2180</v>
      </c>
      <c r="AK161" s="220">
        <v>0</v>
      </c>
      <c r="AL161" s="220">
        <v>0</v>
      </c>
      <c r="AO161" s="258"/>
      <c r="AP161" s="258"/>
      <c r="AQ161" s="220" t="str">
        <f t="shared" si="4"/>
        <v/>
      </c>
      <c r="AS161" s="220" t="str">
        <f t="shared" si="5"/>
        <v>wci_corp</v>
      </c>
    </row>
    <row r="162" spans="2:45">
      <c r="B162" s="1509" t="s">
        <v>2447</v>
      </c>
      <c r="C162" s="1529">
        <v>43646</v>
      </c>
      <c r="D162" s="1537">
        <v>10.31</v>
      </c>
      <c r="E162" s="1518">
        <v>0</v>
      </c>
      <c r="F162" s="1519" t="s">
        <v>413</v>
      </c>
      <c r="G162" s="1509" t="s">
        <v>1096</v>
      </c>
      <c r="H162" s="1530" t="s">
        <v>520</v>
      </c>
      <c r="I162" s="1509" t="s">
        <v>1064</v>
      </c>
      <c r="J162" s="1509" t="s">
        <v>543</v>
      </c>
      <c r="K162" s="1509" t="s">
        <v>522</v>
      </c>
      <c r="L162" s="1520"/>
      <c r="M162" s="1520"/>
      <c r="N162" s="1520" t="s">
        <v>2616</v>
      </c>
      <c r="O162" s="1225"/>
      <c r="P162" s="1228"/>
      <c r="Q162" s="1228"/>
      <c r="U162" s="220" t="s">
        <v>1098</v>
      </c>
      <c r="V162" s="220" t="s">
        <v>1098</v>
      </c>
      <c r="X162" s="255">
        <v>43651</v>
      </c>
      <c r="Y162" s="255">
        <v>43651</v>
      </c>
      <c r="AA162" s="255"/>
      <c r="AB162" s="220" t="s">
        <v>523</v>
      </c>
      <c r="AC162" s="220">
        <v>0</v>
      </c>
      <c r="AD162" s="220">
        <v>0</v>
      </c>
      <c r="AE162" s="220">
        <v>0</v>
      </c>
      <c r="AF162" s="220">
        <v>0</v>
      </c>
      <c r="AG162" s="220">
        <v>0</v>
      </c>
      <c r="AH162" s="220">
        <v>1</v>
      </c>
      <c r="AI162" s="220">
        <v>70095</v>
      </c>
      <c r="AJ162" s="220">
        <v>2180</v>
      </c>
      <c r="AK162" s="220">
        <v>0</v>
      </c>
      <c r="AL162" s="220">
        <v>0</v>
      </c>
      <c r="AO162" s="258"/>
      <c r="AP162" s="258"/>
      <c r="AQ162" s="220" t="str">
        <f t="shared" si="4"/>
        <v/>
      </c>
      <c r="AS162" s="220" t="str">
        <f t="shared" si="5"/>
        <v>wci_corp</v>
      </c>
    </row>
    <row r="163" spans="2:45">
      <c r="B163" s="1509" t="s">
        <v>2447</v>
      </c>
      <c r="C163" s="1529">
        <v>43646</v>
      </c>
      <c r="D163" s="1537">
        <v>2106.2199999999998</v>
      </c>
      <c r="E163" s="1518">
        <v>0</v>
      </c>
      <c r="F163" s="1519" t="s">
        <v>413</v>
      </c>
      <c r="G163" s="1509" t="s">
        <v>1096</v>
      </c>
      <c r="H163" s="1530" t="s">
        <v>520</v>
      </c>
      <c r="I163" s="1509" t="s">
        <v>1064</v>
      </c>
      <c r="J163" s="1509" t="s">
        <v>543</v>
      </c>
      <c r="K163" s="1509" t="s">
        <v>522</v>
      </c>
      <c r="L163" s="1520"/>
      <c r="M163" s="1520"/>
      <c r="N163" s="1520" t="s">
        <v>2617</v>
      </c>
      <c r="O163" s="1225"/>
      <c r="P163" s="1228"/>
      <c r="Q163" s="1228"/>
      <c r="U163" s="220" t="s">
        <v>1098</v>
      </c>
      <c r="V163" s="220" t="s">
        <v>1098</v>
      </c>
      <c r="X163" s="255">
        <v>43651</v>
      </c>
      <c r="Y163" s="255">
        <v>43651</v>
      </c>
      <c r="AA163" s="255"/>
      <c r="AB163" s="220" t="s">
        <v>523</v>
      </c>
      <c r="AC163" s="220">
        <v>0</v>
      </c>
      <c r="AD163" s="220">
        <v>0</v>
      </c>
      <c r="AE163" s="220">
        <v>0</v>
      </c>
      <c r="AF163" s="220">
        <v>0</v>
      </c>
      <c r="AG163" s="220">
        <v>0</v>
      </c>
      <c r="AH163" s="220">
        <v>1</v>
      </c>
      <c r="AI163" s="220">
        <v>70095</v>
      </c>
      <c r="AJ163" s="220">
        <v>2180</v>
      </c>
      <c r="AK163" s="220">
        <v>0</v>
      </c>
      <c r="AL163" s="220">
        <v>0</v>
      </c>
      <c r="AO163" s="258"/>
      <c r="AP163" s="258"/>
      <c r="AQ163" s="220" t="str">
        <f t="shared" si="4"/>
        <v/>
      </c>
      <c r="AS163" s="220" t="str">
        <f t="shared" si="5"/>
        <v>wci_corp</v>
      </c>
    </row>
    <row r="164" spans="2:45">
      <c r="B164" s="1509" t="s">
        <v>2447</v>
      </c>
      <c r="C164" s="1529">
        <v>43646</v>
      </c>
      <c r="D164" s="1537">
        <v>261.33</v>
      </c>
      <c r="E164" s="1518">
        <v>0</v>
      </c>
      <c r="F164" s="1519" t="s">
        <v>413</v>
      </c>
      <c r="G164" s="1509" t="s">
        <v>1096</v>
      </c>
      <c r="H164" s="1530" t="s">
        <v>520</v>
      </c>
      <c r="I164" s="1509" t="s">
        <v>1064</v>
      </c>
      <c r="J164" s="1509" t="s">
        <v>543</v>
      </c>
      <c r="K164" s="1509" t="s">
        <v>522</v>
      </c>
      <c r="L164" s="1520"/>
      <c r="M164" s="1520"/>
      <c r="N164" s="1520" t="s">
        <v>2492</v>
      </c>
      <c r="O164" s="1225"/>
      <c r="P164" s="1228"/>
      <c r="Q164" s="1228"/>
      <c r="U164" s="220" t="s">
        <v>1098</v>
      </c>
      <c r="V164" s="220" t="s">
        <v>1098</v>
      </c>
      <c r="X164" s="255">
        <v>43651</v>
      </c>
      <c r="Y164" s="255">
        <v>43651</v>
      </c>
      <c r="AA164" s="255"/>
      <c r="AB164" s="220" t="s">
        <v>523</v>
      </c>
      <c r="AC164" s="220">
        <v>0</v>
      </c>
      <c r="AD164" s="220">
        <v>0</v>
      </c>
      <c r="AE164" s="220">
        <v>0</v>
      </c>
      <c r="AF164" s="220">
        <v>0</v>
      </c>
      <c r="AG164" s="220">
        <v>0</v>
      </c>
      <c r="AH164" s="220">
        <v>1</v>
      </c>
      <c r="AI164" s="220">
        <v>70095</v>
      </c>
      <c r="AJ164" s="220">
        <v>2180</v>
      </c>
      <c r="AK164" s="220">
        <v>0</v>
      </c>
      <c r="AL164" s="220">
        <v>0</v>
      </c>
      <c r="AO164" s="258"/>
      <c r="AP164" s="258"/>
      <c r="AQ164" s="220" t="str">
        <f t="shared" si="4"/>
        <v/>
      </c>
      <c r="AS164" s="220" t="str">
        <f t="shared" si="5"/>
        <v>wci_corp</v>
      </c>
    </row>
    <row r="165" spans="2:45">
      <c r="B165" s="1509" t="s">
        <v>2447</v>
      </c>
      <c r="C165" s="1529">
        <v>43646</v>
      </c>
      <c r="D165" s="1537">
        <v>28.98</v>
      </c>
      <c r="E165" s="1518">
        <v>0</v>
      </c>
      <c r="F165" s="1519" t="s">
        <v>413</v>
      </c>
      <c r="G165" s="1509" t="s">
        <v>1096</v>
      </c>
      <c r="H165" s="1530" t="s">
        <v>520</v>
      </c>
      <c r="I165" s="1509" t="s">
        <v>1064</v>
      </c>
      <c r="J165" s="1509" t="s">
        <v>543</v>
      </c>
      <c r="K165" s="1509" t="s">
        <v>522</v>
      </c>
      <c r="L165" s="1520"/>
      <c r="M165" s="1520"/>
      <c r="N165" s="1520" t="s">
        <v>2618</v>
      </c>
      <c r="O165" s="1225"/>
      <c r="P165" s="1228"/>
      <c r="Q165" s="1228"/>
      <c r="U165" s="220" t="s">
        <v>1098</v>
      </c>
      <c r="V165" s="220" t="s">
        <v>1098</v>
      </c>
      <c r="X165" s="255">
        <v>43651</v>
      </c>
      <c r="Y165" s="255">
        <v>43651</v>
      </c>
      <c r="AA165" s="255"/>
      <c r="AB165" s="220" t="s">
        <v>523</v>
      </c>
      <c r="AC165" s="220">
        <v>0</v>
      </c>
      <c r="AD165" s="220">
        <v>0</v>
      </c>
      <c r="AE165" s="220">
        <v>0</v>
      </c>
      <c r="AF165" s="220">
        <v>0</v>
      </c>
      <c r="AG165" s="220">
        <v>0</v>
      </c>
      <c r="AH165" s="220">
        <v>1</v>
      </c>
      <c r="AI165" s="220">
        <v>70095</v>
      </c>
      <c r="AJ165" s="220">
        <v>2180</v>
      </c>
      <c r="AK165" s="220">
        <v>0</v>
      </c>
      <c r="AL165" s="220">
        <v>0</v>
      </c>
      <c r="AO165" s="258"/>
      <c r="AP165" s="258"/>
      <c r="AQ165" s="220" t="str">
        <f t="shared" si="4"/>
        <v/>
      </c>
      <c r="AS165" s="220" t="str">
        <f t="shared" si="5"/>
        <v>wci_corp</v>
      </c>
    </row>
    <row r="166" spans="2:45">
      <c r="B166" s="1509" t="s">
        <v>2447</v>
      </c>
      <c r="C166" s="1529">
        <v>43646</v>
      </c>
      <c r="D166" s="1537">
        <v>87.42</v>
      </c>
      <c r="E166" s="1518">
        <v>0</v>
      </c>
      <c r="F166" s="1519" t="s">
        <v>413</v>
      </c>
      <c r="G166" s="1509" t="s">
        <v>1096</v>
      </c>
      <c r="H166" s="1530" t="s">
        <v>520</v>
      </c>
      <c r="I166" s="1509" t="s">
        <v>1064</v>
      </c>
      <c r="J166" s="1509" t="s">
        <v>543</v>
      </c>
      <c r="K166" s="1509" t="s">
        <v>522</v>
      </c>
      <c r="L166" s="1520"/>
      <c r="M166" s="1520"/>
      <c r="N166" s="1520" t="s">
        <v>2619</v>
      </c>
      <c r="O166" s="1225"/>
      <c r="P166" s="1228"/>
      <c r="Q166" s="1228"/>
      <c r="U166" s="220" t="s">
        <v>1098</v>
      </c>
      <c r="V166" s="220" t="s">
        <v>1098</v>
      </c>
      <c r="X166" s="255">
        <v>43651</v>
      </c>
      <c r="Y166" s="255">
        <v>43651</v>
      </c>
      <c r="AA166" s="255"/>
      <c r="AB166" s="220" t="s">
        <v>523</v>
      </c>
      <c r="AC166" s="220">
        <v>0</v>
      </c>
      <c r="AD166" s="220">
        <v>0</v>
      </c>
      <c r="AE166" s="220">
        <v>0</v>
      </c>
      <c r="AF166" s="220">
        <v>0</v>
      </c>
      <c r="AG166" s="220">
        <v>0</v>
      </c>
      <c r="AH166" s="220">
        <v>1</v>
      </c>
      <c r="AI166" s="220">
        <v>70095</v>
      </c>
      <c r="AJ166" s="220">
        <v>2180</v>
      </c>
      <c r="AK166" s="220">
        <v>0</v>
      </c>
      <c r="AL166" s="220">
        <v>0</v>
      </c>
      <c r="AO166" s="258"/>
      <c r="AP166" s="258"/>
      <c r="AQ166" s="220" t="str">
        <f t="shared" si="4"/>
        <v/>
      </c>
      <c r="AS166" s="220" t="str">
        <f t="shared" si="5"/>
        <v>wci_corp</v>
      </c>
    </row>
    <row r="167" spans="2:45">
      <c r="B167" s="1509" t="s">
        <v>2447</v>
      </c>
      <c r="C167" s="1529">
        <v>43646</v>
      </c>
      <c r="D167" s="1537">
        <v>4131.54</v>
      </c>
      <c r="E167" s="1518">
        <v>0</v>
      </c>
      <c r="F167" s="1519" t="s">
        <v>413</v>
      </c>
      <c r="G167" s="1509" t="s">
        <v>2620</v>
      </c>
      <c r="H167" s="1530" t="s">
        <v>520</v>
      </c>
      <c r="I167" s="1509" t="s">
        <v>2621</v>
      </c>
      <c r="J167" s="1509" t="s">
        <v>670</v>
      </c>
      <c r="K167" s="1509" t="s">
        <v>522</v>
      </c>
      <c r="L167" s="1520"/>
      <c r="M167" s="1520"/>
      <c r="N167" s="1520" t="s">
        <v>2622</v>
      </c>
      <c r="O167" s="1225"/>
      <c r="P167" s="1228"/>
      <c r="Q167" s="1228"/>
      <c r="U167" s="220" t="s">
        <v>2623</v>
      </c>
      <c r="V167" s="220" t="s">
        <v>2623</v>
      </c>
      <c r="X167" s="255">
        <v>43651</v>
      </c>
      <c r="Y167" s="255">
        <v>43651</v>
      </c>
      <c r="AA167" s="255"/>
      <c r="AB167" s="220" t="s">
        <v>523</v>
      </c>
      <c r="AC167" s="220">
        <v>0</v>
      </c>
      <c r="AD167" s="220">
        <v>0</v>
      </c>
      <c r="AE167" s="220">
        <v>0</v>
      </c>
      <c r="AF167" s="220">
        <v>0</v>
      </c>
      <c r="AG167" s="220">
        <v>0</v>
      </c>
      <c r="AH167" s="220">
        <v>1</v>
      </c>
      <c r="AI167" s="220">
        <v>70095</v>
      </c>
      <c r="AJ167" s="220">
        <v>2180</v>
      </c>
      <c r="AK167" s="220">
        <v>0</v>
      </c>
      <c r="AL167" s="220">
        <v>0</v>
      </c>
      <c r="AO167" s="258"/>
      <c r="AP167" s="258"/>
      <c r="AQ167" s="220" t="str">
        <f t="shared" si="4"/>
        <v/>
      </c>
      <c r="AS167" s="220" t="str">
        <f t="shared" si="5"/>
        <v>wci_corp</v>
      </c>
    </row>
    <row r="168" spans="2:45">
      <c r="B168" s="1509" t="s">
        <v>2447</v>
      </c>
      <c r="C168" s="1529">
        <v>43646</v>
      </c>
      <c r="D168" s="1537">
        <v>1761.33</v>
      </c>
      <c r="E168" s="1518">
        <v>0</v>
      </c>
      <c r="F168" s="1519" t="s">
        <v>413</v>
      </c>
      <c r="G168" s="1509" t="s">
        <v>2624</v>
      </c>
      <c r="H168" s="1530" t="s">
        <v>520</v>
      </c>
      <c r="I168" s="1509" t="s">
        <v>1150</v>
      </c>
      <c r="J168" s="1509" t="s">
        <v>670</v>
      </c>
      <c r="K168" s="1509" t="s">
        <v>522</v>
      </c>
      <c r="L168" s="1520"/>
      <c r="M168" s="1520"/>
      <c r="N168" s="1520" t="s">
        <v>2577</v>
      </c>
      <c r="O168" s="1225"/>
      <c r="P168" s="1228"/>
      <c r="Q168" s="1228"/>
      <c r="U168" s="220" t="s">
        <v>2625</v>
      </c>
      <c r="V168" s="220" t="s">
        <v>2625</v>
      </c>
      <c r="X168" s="255">
        <v>43651</v>
      </c>
      <c r="Y168" s="255">
        <v>43651</v>
      </c>
      <c r="AA168" s="255"/>
      <c r="AB168" s="220" t="s">
        <v>523</v>
      </c>
      <c r="AC168" s="220">
        <v>0</v>
      </c>
      <c r="AD168" s="220">
        <v>0</v>
      </c>
      <c r="AE168" s="220">
        <v>0</v>
      </c>
      <c r="AF168" s="220">
        <v>0</v>
      </c>
      <c r="AG168" s="220">
        <v>0</v>
      </c>
      <c r="AH168" s="220">
        <v>1</v>
      </c>
      <c r="AI168" s="220">
        <v>70095</v>
      </c>
      <c r="AJ168" s="220">
        <v>2180</v>
      </c>
      <c r="AK168" s="220">
        <v>0</v>
      </c>
      <c r="AL168" s="220">
        <v>0</v>
      </c>
      <c r="AO168" s="258"/>
      <c r="AP168" s="258"/>
      <c r="AQ168" s="220" t="str">
        <f t="shared" si="4"/>
        <v/>
      </c>
      <c r="AS168" s="220" t="str">
        <f t="shared" si="5"/>
        <v>wci_corp</v>
      </c>
    </row>
    <row r="169" spans="2:45">
      <c r="B169" s="1509" t="s">
        <v>2447</v>
      </c>
      <c r="C169" s="1529">
        <v>43646</v>
      </c>
      <c r="D169" s="1537">
        <v>324.44</v>
      </c>
      <c r="E169" s="1518">
        <v>0</v>
      </c>
      <c r="F169" s="1519" t="s">
        <v>413</v>
      </c>
      <c r="G169" s="1509" t="s">
        <v>2626</v>
      </c>
      <c r="H169" s="1530" t="s">
        <v>520</v>
      </c>
      <c r="I169" s="1509" t="s">
        <v>2583</v>
      </c>
      <c r="J169" s="1509" t="s">
        <v>543</v>
      </c>
      <c r="K169" s="1509" t="s">
        <v>522</v>
      </c>
      <c r="L169" s="1520"/>
      <c r="M169" s="1520"/>
      <c r="N169" s="1520" t="s">
        <v>2584</v>
      </c>
      <c r="O169" s="1225"/>
      <c r="P169" s="1228"/>
      <c r="Q169" s="1228"/>
      <c r="U169" s="220" t="s">
        <v>2627</v>
      </c>
      <c r="V169" s="220" t="s">
        <v>2627</v>
      </c>
      <c r="X169" s="255">
        <v>43654</v>
      </c>
      <c r="Y169" s="255">
        <v>43654</v>
      </c>
      <c r="AA169" s="255"/>
      <c r="AB169" s="220" t="s">
        <v>523</v>
      </c>
      <c r="AC169" s="220">
        <v>0</v>
      </c>
      <c r="AD169" s="220">
        <v>0</v>
      </c>
      <c r="AE169" s="220">
        <v>0</v>
      </c>
      <c r="AF169" s="220">
        <v>0</v>
      </c>
      <c r="AG169" s="220">
        <v>0</v>
      </c>
      <c r="AH169" s="220">
        <v>1</v>
      </c>
      <c r="AI169" s="220">
        <v>70095</v>
      </c>
      <c r="AJ169" s="220">
        <v>2180</v>
      </c>
      <c r="AK169" s="220">
        <v>0</v>
      </c>
      <c r="AL169" s="220">
        <v>0</v>
      </c>
      <c r="AO169" s="258"/>
      <c r="AP169" s="258"/>
      <c r="AQ169" s="220" t="str">
        <f t="shared" si="4"/>
        <v/>
      </c>
      <c r="AS169" s="220" t="str">
        <f t="shared" si="5"/>
        <v>wci_corp</v>
      </c>
    </row>
    <row r="170" spans="2:45">
      <c r="B170" s="1509" t="s">
        <v>2447</v>
      </c>
      <c r="C170" s="1529">
        <v>43677</v>
      </c>
      <c r="D170" s="1537">
        <v>-53.98</v>
      </c>
      <c r="E170" s="1518">
        <v>0</v>
      </c>
      <c r="F170" s="1519" t="s">
        <v>413</v>
      </c>
      <c r="G170" s="1509" t="s">
        <v>1099</v>
      </c>
      <c r="H170" s="1530" t="s">
        <v>520</v>
      </c>
      <c r="I170" s="1509" t="s">
        <v>1064</v>
      </c>
      <c r="J170" s="1509" t="s">
        <v>689</v>
      </c>
      <c r="K170" s="1509" t="s">
        <v>522</v>
      </c>
      <c r="L170" s="1520"/>
      <c r="M170" s="1520"/>
      <c r="N170" s="1520" t="s">
        <v>2615</v>
      </c>
      <c r="O170" s="1225"/>
      <c r="P170" s="1228"/>
      <c r="Q170" s="1228"/>
      <c r="U170" s="220" t="s">
        <v>1098</v>
      </c>
      <c r="V170" s="220" t="s">
        <v>1100</v>
      </c>
      <c r="X170" s="255">
        <v>43651</v>
      </c>
      <c r="Y170" s="255">
        <v>43651</v>
      </c>
      <c r="AA170" s="255"/>
      <c r="AB170" s="220" t="s">
        <v>523</v>
      </c>
      <c r="AC170" s="220">
        <v>0</v>
      </c>
      <c r="AD170" s="220">
        <v>0</v>
      </c>
      <c r="AE170" s="220">
        <v>0</v>
      </c>
      <c r="AF170" s="220">
        <v>0</v>
      </c>
      <c r="AG170" s="220">
        <v>5</v>
      </c>
      <c r="AH170" s="220">
        <v>1</v>
      </c>
      <c r="AI170" s="220">
        <v>70095</v>
      </c>
      <c r="AJ170" s="220">
        <v>2180</v>
      </c>
      <c r="AK170" s="220">
        <v>0</v>
      </c>
      <c r="AL170" s="220">
        <v>0</v>
      </c>
      <c r="AO170" s="258"/>
      <c r="AP170" s="258"/>
      <c r="AQ170" s="220" t="str">
        <f t="shared" si="4"/>
        <v/>
      </c>
      <c r="AS170" s="220" t="str">
        <f t="shared" si="5"/>
        <v>wci_corp</v>
      </c>
    </row>
    <row r="171" spans="2:45">
      <c r="B171" s="1509" t="s">
        <v>2447</v>
      </c>
      <c r="C171" s="1529">
        <v>43677</v>
      </c>
      <c r="D171" s="1537">
        <v>-10.31</v>
      </c>
      <c r="E171" s="1518">
        <v>0</v>
      </c>
      <c r="F171" s="1519" t="s">
        <v>413</v>
      </c>
      <c r="G171" s="1509" t="s">
        <v>1099</v>
      </c>
      <c r="H171" s="1530" t="s">
        <v>520</v>
      </c>
      <c r="I171" s="1509" t="s">
        <v>1064</v>
      </c>
      <c r="J171" s="1509" t="s">
        <v>689</v>
      </c>
      <c r="K171" s="1509" t="s">
        <v>522</v>
      </c>
      <c r="L171" s="1520"/>
      <c r="M171" s="1520"/>
      <c r="N171" s="1520" t="s">
        <v>2616</v>
      </c>
      <c r="O171" s="1225"/>
      <c r="P171" s="1228"/>
      <c r="Q171" s="1228"/>
      <c r="U171" s="220" t="s">
        <v>1098</v>
      </c>
      <c r="V171" s="220" t="s">
        <v>1100</v>
      </c>
      <c r="X171" s="255">
        <v>43651</v>
      </c>
      <c r="Y171" s="255">
        <v>43651</v>
      </c>
      <c r="AA171" s="255"/>
      <c r="AB171" s="220" t="s">
        <v>523</v>
      </c>
      <c r="AC171" s="220">
        <v>0</v>
      </c>
      <c r="AD171" s="220">
        <v>0</v>
      </c>
      <c r="AE171" s="220">
        <v>0</v>
      </c>
      <c r="AF171" s="220">
        <v>0</v>
      </c>
      <c r="AG171" s="220">
        <v>5</v>
      </c>
      <c r="AH171" s="220">
        <v>1</v>
      </c>
      <c r="AI171" s="220">
        <v>70095</v>
      </c>
      <c r="AJ171" s="220">
        <v>2180</v>
      </c>
      <c r="AK171" s="220">
        <v>0</v>
      </c>
      <c r="AL171" s="220">
        <v>0</v>
      </c>
      <c r="AO171" s="258"/>
      <c r="AP171" s="258"/>
      <c r="AQ171" s="220" t="str">
        <f t="shared" si="4"/>
        <v/>
      </c>
      <c r="AS171" s="220" t="str">
        <f t="shared" si="5"/>
        <v>wci_corp</v>
      </c>
    </row>
    <row r="172" spans="2:45">
      <c r="B172" s="1509" t="s">
        <v>2447</v>
      </c>
      <c r="C172" s="1529">
        <v>43677</v>
      </c>
      <c r="D172" s="1537">
        <v>-2106.2199999999998</v>
      </c>
      <c r="E172" s="1518">
        <v>0</v>
      </c>
      <c r="F172" s="1519" t="s">
        <v>413</v>
      </c>
      <c r="G172" s="1509" t="s">
        <v>1099</v>
      </c>
      <c r="H172" s="1530" t="s">
        <v>520</v>
      </c>
      <c r="I172" s="1509" t="s">
        <v>1064</v>
      </c>
      <c r="J172" s="1509" t="s">
        <v>689</v>
      </c>
      <c r="K172" s="1509" t="s">
        <v>522</v>
      </c>
      <c r="L172" s="1520"/>
      <c r="M172" s="1520"/>
      <c r="N172" s="1520" t="s">
        <v>2617</v>
      </c>
      <c r="O172" s="1225"/>
      <c r="P172" s="1228"/>
      <c r="Q172" s="1228"/>
      <c r="U172" s="220" t="s">
        <v>1098</v>
      </c>
      <c r="V172" s="220" t="s">
        <v>1100</v>
      </c>
      <c r="X172" s="255">
        <v>43651</v>
      </c>
      <c r="Y172" s="255">
        <v>43651</v>
      </c>
      <c r="AA172" s="255"/>
      <c r="AB172" s="220" t="s">
        <v>523</v>
      </c>
      <c r="AC172" s="220">
        <v>0</v>
      </c>
      <c r="AD172" s="220">
        <v>0</v>
      </c>
      <c r="AE172" s="220">
        <v>0</v>
      </c>
      <c r="AF172" s="220">
        <v>0</v>
      </c>
      <c r="AG172" s="220">
        <v>5</v>
      </c>
      <c r="AH172" s="220">
        <v>1</v>
      </c>
      <c r="AI172" s="220">
        <v>70095</v>
      </c>
      <c r="AJ172" s="220">
        <v>2180</v>
      </c>
      <c r="AK172" s="220">
        <v>0</v>
      </c>
      <c r="AL172" s="220">
        <v>0</v>
      </c>
      <c r="AO172" s="258"/>
      <c r="AP172" s="258"/>
      <c r="AQ172" s="220" t="str">
        <f t="shared" si="4"/>
        <v/>
      </c>
      <c r="AS172" s="220" t="str">
        <f t="shared" si="5"/>
        <v>wci_corp</v>
      </c>
    </row>
    <row r="173" spans="2:45">
      <c r="B173" s="1509" t="s">
        <v>2447</v>
      </c>
      <c r="C173" s="1529">
        <v>43677</v>
      </c>
      <c r="D173" s="1537">
        <v>-261.33</v>
      </c>
      <c r="E173" s="1518">
        <v>0</v>
      </c>
      <c r="F173" s="1519" t="s">
        <v>413</v>
      </c>
      <c r="G173" s="1509" t="s">
        <v>1099</v>
      </c>
      <c r="H173" s="1530" t="s">
        <v>520</v>
      </c>
      <c r="I173" s="1509" t="s">
        <v>1064</v>
      </c>
      <c r="J173" s="1509" t="s">
        <v>689</v>
      </c>
      <c r="K173" s="1509" t="s">
        <v>522</v>
      </c>
      <c r="L173" s="1520"/>
      <c r="M173" s="1520"/>
      <c r="N173" s="1520" t="s">
        <v>2492</v>
      </c>
      <c r="O173" s="1225"/>
      <c r="P173" s="1228"/>
      <c r="Q173" s="1228"/>
      <c r="U173" s="220" t="s">
        <v>1098</v>
      </c>
      <c r="V173" s="220" t="s">
        <v>1100</v>
      </c>
      <c r="X173" s="255">
        <v>43651</v>
      </c>
      <c r="Y173" s="255">
        <v>43651</v>
      </c>
      <c r="AA173" s="255"/>
      <c r="AB173" s="220" t="s">
        <v>523</v>
      </c>
      <c r="AC173" s="220">
        <v>0</v>
      </c>
      <c r="AD173" s="220">
        <v>0</v>
      </c>
      <c r="AE173" s="220">
        <v>0</v>
      </c>
      <c r="AF173" s="220">
        <v>0</v>
      </c>
      <c r="AG173" s="220">
        <v>5</v>
      </c>
      <c r="AH173" s="220">
        <v>1</v>
      </c>
      <c r="AI173" s="220">
        <v>70095</v>
      </c>
      <c r="AJ173" s="220">
        <v>2180</v>
      </c>
      <c r="AK173" s="220">
        <v>0</v>
      </c>
      <c r="AL173" s="220">
        <v>0</v>
      </c>
      <c r="AO173" s="258"/>
      <c r="AP173" s="258"/>
      <c r="AQ173" s="220" t="str">
        <f t="shared" si="4"/>
        <v/>
      </c>
      <c r="AS173" s="220" t="str">
        <f t="shared" si="5"/>
        <v>wci_corp</v>
      </c>
    </row>
    <row r="174" spans="2:45">
      <c r="B174" s="1509" t="s">
        <v>2447</v>
      </c>
      <c r="C174" s="1529">
        <v>43677</v>
      </c>
      <c r="D174" s="1537">
        <v>-28.98</v>
      </c>
      <c r="E174" s="1518">
        <v>0</v>
      </c>
      <c r="F174" s="1519" t="s">
        <v>413</v>
      </c>
      <c r="G174" s="1509" t="s">
        <v>1099</v>
      </c>
      <c r="H174" s="1530" t="s">
        <v>520</v>
      </c>
      <c r="I174" s="1509" t="s">
        <v>1064</v>
      </c>
      <c r="J174" s="1509" t="s">
        <v>689</v>
      </c>
      <c r="K174" s="1509" t="s">
        <v>522</v>
      </c>
      <c r="L174" s="1520"/>
      <c r="M174" s="1520"/>
      <c r="N174" s="1520" t="s">
        <v>2618</v>
      </c>
      <c r="O174" s="1225"/>
      <c r="P174" s="1228"/>
      <c r="Q174" s="1228"/>
      <c r="U174" s="220" t="s">
        <v>1098</v>
      </c>
      <c r="V174" s="220" t="s">
        <v>1100</v>
      </c>
      <c r="X174" s="255">
        <v>43651</v>
      </c>
      <c r="Y174" s="255">
        <v>43651</v>
      </c>
      <c r="AA174" s="255"/>
      <c r="AB174" s="220" t="s">
        <v>523</v>
      </c>
      <c r="AC174" s="220">
        <v>0</v>
      </c>
      <c r="AD174" s="220">
        <v>0</v>
      </c>
      <c r="AE174" s="220">
        <v>0</v>
      </c>
      <c r="AF174" s="220">
        <v>0</v>
      </c>
      <c r="AG174" s="220">
        <v>5</v>
      </c>
      <c r="AH174" s="220">
        <v>1</v>
      </c>
      <c r="AI174" s="220">
        <v>70095</v>
      </c>
      <c r="AJ174" s="220">
        <v>2180</v>
      </c>
      <c r="AK174" s="220">
        <v>0</v>
      </c>
      <c r="AL174" s="220">
        <v>0</v>
      </c>
      <c r="AO174" s="258"/>
      <c r="AP174" s="258"/>
      <c r="AQ174" s="220" t="str">
        <f t="shared" si="4"/>
        <v/>
      </c>
      <c r="AS174" s="220" t="str">
        <f t="shared" si="5"/>
        <v>wci_corp</v>
      </c>
    </row>
    <row r="175" spans="2:45">
      <c r="B175" s="1509" t="s">
        <v>2447</v>
      </c>
      <c r="C175" s="1529">
        <v>43677</v>
      </c>
      <c r="D175" s="1537">
        <v>-87.42</v>
      </c>
      <c r="E175" s="1518">
        <v>0</v>
      </c>
      <c r="F175" s="1519" t="s">
        <v>413</v>
      </c>
      <c r="G175" s="1509" t="s">
        <v>1099</v>
      </c>
      <c r="H175" s="1530" t="s">
        <v>520</v>
      </c>
      <c r="I175" s="1509" t="s">
        <v>1064</v>
      </c>
      <c r="J175" s="1509" t="s">
        <v>689</v>
      </c>
      <c r="K175" s="1509" t="s">
        <v>522</v>
      </c>
      <c r="L175" s="1520"/>
      <c r="M175" s="1520"/>
      <c r="N175" s="1520" t="s">
        <v>2619</v>
      </c>
      <c r="O175" s="1225"/>
      <c r="P175" s="1228"/>
      <c r="Q175" s="1228"/>
      <c r="U175" s="220" t="s">
        <v>1098</v>
      </c>
      <c r="V175" s="220" t="s">
        <v>1100</v>
      </c>
      <c r="X175" s="255">
        <v>43651</v>
      </c>
      <c r="Y175" s="255">
        <v>43651</v>
      </c>
      <c r="AA175" s="255"/>
      <c r="AB175" s="220" t="s">
        <v>523</v>
      </c>
      <c r="AC175" s="220">
        <v>0</v>
      </c>
      <c r="AD175" s="220">
        <v>0</v>
      </c>
      <c r="AE175" s="220">
        <v>0</v>
      </c>
      <c r="AF175" s="220">
        <v>0</v>
      </c>
      <c r="AG175" s="220">
        <v>5</v>
      </c>
      <c r="AH175" s="220">
        <v>1</v>
      </c>
      <c r="AI175" s="220">
        <v>70095</v>
      </c>
      <c r="AJ175" s="220">
        <v>2180</v>
      </c>
      <c r="AK175" s="220">
        <v>0</v>
      </c>
      <c r="AL175" s="220">
        <v>0</v>
      </c>
      <c r="AO175" s="258"/>
      <c r="AP175" s="258"/>
      <c r="AQ175" s="220" t="str">
        <f t="shared" si="4"/>
        <v/>
      </c>
      <c r="AS175" s="220" t="str">
        <f t="shared" si="5"/>
        <v>wci_corp</v>
      </c>
    </row>
    <row r="176" spans="2:45">
      <c r="B176" s="1509" t="s">
        <v>2447</v>
      </c>
      <c r="C176" s="1529">
        <v>43677</v>
      </c>
      <c r="D176" s="1537">
        <v>-4131.54</v>
      </c>
      <c r="E176" s="1518">
        <v>0</v>
      </c>
      <c r="F176" s="1519" t="s">
        <v>413</v>
      </c>
      <c r="G176" s="1509" t="s">
        <v>2628</v>
      </c>
      <c r="H176" s="1530" t="s">
        <v>520</v>
      </c>
      <c r="I176" s="1509" t="s">
        <v>2621</v>
      </c>
      <c r="J176" s="1509" t="s">
        <v>689</v>
      </c>
      <c r="K176" s="1509" t="s">
        <v>522</v>
      </c>
      <c r="L176" s="1520"/>
      <c r="M176" s="1520"/>
      <c r="N176" s="1520" t="s">
        <v>2622</v>
      </c>
      <c r="O176" s="1225"/>
      <c r="P176" s="1228"/>
      <c r="Q176" s="1228"/>
      <c r="U176" s="220" t="s">
        <v>2623</v>
      </c>
      <c r="V176" s="220" t="s">
        <v>2629</v>
      </c>
      <c r="X176" s="255">
        <v>43651</v>
      </c>
      <c r="Y176" s="255">
        <v>43654</v>
      </c>
      <c r="AA176" s="255"/>
      <c r="AB176" s="220" t="s">
        <v>523</v>
      </c>
      <c r="AC176" s="220">
        <v>0</v>
      </c>
      <c r="AD176" s="220">
        <v>0</v>
      </c>
      <c r="AE176" s="220">
        <v>0</v>
      </c>
      <c r="AF176" s="220">
        <v>0</v>
      </c>
      <c r="AG176" s="220">
        <v>5</v>
      </c>
      <c r="AH176" s="220">
        <v>1</v>
      </c>
      <c r="AI176" s="220">
        <v>70095</v>
      </c>
      <c r="AJ176" s="220">
        <v>2180</v>
      </c>
      <c r="AK176" s="220">
        <v>0</v>
      </c>
      <c r="AL176" s="220">
        <v>0</v>
      </c>
      <c r="AO176" s="258"/>
      <c r="AP176" s="258"/>
      <c r="AQ176" s="220" t="str">
        <f t="shared" si="4"/>
        <v/>
      </c>
      <c r="AS176" s="220" t="str">
        <f t="shared" si="5"/>
        <v>wci_corp</v>
      </c>
    </row>
    <row r="177" spans="2:45">
      <c r="B177" s="1509" t="s">
        <v>2447</v>
      </c>
      <c r="C177" s="1529">
        <v>43677</v>
      </c>
      <c r="D177" s="1537">
        <v>4131.54</v>
      </c>
      <c r="E177" s="1518">
        <v>0</v>
      </c>
      <c r="F177" s="1519" t="s">
        <v>413</v>
      </c>
      <c r="G177" s="1509" t="s">
        <v>1042</v>
      </c>
      <c r="H177" s="1530" t="s">
        <v>520</v>
      </c>
      <c r="I177" s="1509" t="s">
        <v>1043</v>
      </c>
      <c r="J177" s="1509" t="s">
        <v>543</v>
      </c>
      <c r="K177" s="1509" t="s">
        <v>522</v>
      </c>
      <c r="L177" s="1520"/>
      <c r="M177" s="1520"/>
      <c r="N177" s="1520" t="s">
        <v>2630</v>
      </c>
      <c r="O177" s="1225"/>
      <c r="P177" s="1228"/>
      <c r="Q177" s="1228"/>
      <c r="U177" s="220" t="s">
        <v>1044</v>
      </c>
      <c r="V177" s="220" t="s">
        <v>1044</v>
      </c>
      <c r="X177" s="255">
        <v>43679</v>
      </c>
      <c r="Y177" s="255">
        <v>43679</v>
      </c>
      <c r="AA177" s="255"/>
      <c r="AB177" s="220" t="s">
        <v>523</v>
      </c>
      <c r="AC177" s="220">
        <v>0</v>
      </c>
      <c r="AD177" s="220">
        <v>0</v>
      </c>
      <c r="AE177" s="220">
        <v>0</v>
      </c>
      <c r="AF177" s="220">
        <v>0</v>
      </c>
      <c r="AG177" s="220">
        <v>0</v>
      </c>
      <c r="AH177" s="220">
        <v>1</v>
      </c>
      <c r="AI177" s="220">
        <v>70095</v>
      </c>
      <c r="AJ177" s="220">
        <v>2180</v>
      </c>
      <c r="AK177" s="220">
        <v>0</v>
      </c>
      <c r="AL177" s="220">
        <v>0</v>
      </c>
      <c r="AO177" s="258"/>
      <c r="AP177" s="258"/>
      <c r="AQ177" s="220" t="str">
        <f t="shared" si="4"/>
        <v/>
      </c>
      <c r="AS177" s="220" t="str">
        <f t="shared" si="5"/>
        <v>wci_corp</v>
      </c>
    </row>
    <row r="178" spans="2:45">
      <c r="B178" s="1509" t="s">
        <v>2447</v>
      </c>
      <c r="C178" s="1529">
        <v>43677</v>
      </c>
      <c r="D178" s="1537">
        <v>53.98</v>
      </c>
      <c r="E178" s="1518">
        <v>0</v>
      </c>
      <c r="F178" s="1519" t="s">
        <v>413</v>
      </c>
      <c r="G178" s="1509" t="s">
        <v>1042</v>
      </c>
      <c r="H178" s="1530" t="s">
        <v>520</v>
      </c>
      <c r="I178" s="1509" t="s">
        <v>1043</v>
      </c>
      <c r="J178" s="1509" t="s">
        <v>543</v>
      </c>
      <c r="K178" s="1509" t="s">
        <v>522</v>
      </c>
      <c r="L178" s="1520"/>
      <c r="M178" s="1520"/>
      <c r="N178" s="1520" t="s">
        <v>2615</v>
      </c>
      <c r="O178" s="1225"/>
      <c r="P178" s="1228"/>
      <c r="Q178" s="1228"/>
      <c r="U178" s="220" t="s">
        <v>1044</v>
      </c>
      <c r="V178" s="220" t="s">
        <v>1044</v>
      </c>
      <c r="X178" s="255">
        <v>43679</v>
      </c>
      <c r="Y178" s="255">
        <v>43679</v>
      </c>
      <c r="AA178" s="255"/>
      <c r="AB178" s="220" t="s">
        <v>523</v>
      </c>
      <c r="AC178" s="220">
        <v>0</v>
      </c>
      <c r="AD178" s="220">
        <v>0</v>
      </c>
      <c r="AE178" s="220">
        <v>0</v>
      </c>
      <c r="AF178" s="220">
        <v>0</v>
      </c>
      <c r="AG178" s="220">
        <v>0</v>
      </c>
      <c r="AH178" s="220">
        <v>1</v>
      </c>
      <c r="AI178" s="220">
        <v>70095</v>
      </c>
      <c r="AJ178" s="220">
        <v>2180</v>
      </c>
      <c r="AK178" s="220">
        <v>0</v>
      </c>
      <c r="AL178" s="220">
        <v>0</v>
      </c>
      <c r="AO178" s="258"/>
      <c r="AP178" s="258"/>
      <c r="AQ178" s="220" t="str">
        <f t="shared" si="4"/>
        <v/>
      </c>
      <c r="AS178" s="220" t="str">
        <f t="shared" si="5"/>
        <v>wci_corp</v>
      </c>
    </row>
    <row r="179" spans="2:45">
      <c r="B179" s="1509" t="s">
        <v>2447</v>
      </c>
      <c r="C179" s="1529">
        <v>43677</v>
      </c>
      <c r="D179" s="1537">
        <v>10.31</v>
      </c>
      <c r="E179" s="1518">
        <v>0</v>
      </c>
      <c r="F179" s="1519" t="s">
        <v>413</v>
      </c>
      <c r="G179" s="1509" t="s">
        <v>1042</v>
      </c>
      <c r="H179" s="1530" t="s">
        <v>520</v>
      </c>
      <c r="I179" s="1509" t="s">
        <v>1043</v>
      </c>
      <c r="J179" s="1509" t="s">
        <v>543</v>
      </c>
      <c r="K179" s="1509" t="s">
        <v>522</v>
      </c>
      <c r="L179" s="1520"/>
      <c r="M179" s="1520"/>
      <c r="N179" s="1520" t="s">
        <v>2616</v>
      </c>
      <c r="O179" s="1225"/>
      <c r="P179" s="1228"/>
      <c r="Q179" s="1228"/>
      <c r="U179" s="220" t="s">
        <v>1044</v>
      </c>
      <c r="V179" s="220" t="s">
        <v>1044</v>
      </c>
      <c r="X179" s="255">
        <v>43679</v>
      </c>
      <c r="Y179" s="255">
        <v>43679</v>
      </c>
      <c r="AA179" s="255"/>
      <c r="AB179" s="220" t="s">
        <v>523</v>
      </c>
      <c r="AC179" s="220">
        <v>0</v>
      </c>
      <c r="AD179" s="220">
        <v>0</v>
      </c>
      <c r="AE179" s="220">
        <v>0</v>
      </c>
      <c r="AF179" s="220">
        <v>0</v>
      </c>
      <c r="AG179" s="220">
        <v>0</v>
      </c>
      <c r="AH179" s="220">
        <v>1</v>
      </c>
      <c r="AI179" s="220">
        <v>70095</v>
      </c>
      <c r="AJ179" s="220">
        <v>2180</v>
      </c>
      <c r="AK179" s="220">
        <v>0</v>
      </c>
      <c r="AL179" s="220">
        <v>0</v>
      </c>
      <c r="AO179" s="258"/>
      <c r="AP179" s="258"/>
      <c r="AQ179" s="220" t="str">
        <f t="shared" si="4"/>
        <v/>
      </c>
      <c r="AS179" s="220" t="str">
        <f t="shared" si="5"/>
        <v>wci_corp</v>
      </c>
    </row>
    <row r="180" spans="2:45">
      <c r="B180" s="1509" t="s">
        <v>2447</v>
      </c>
      <c r="C180" s="1529">
        <v>43677</v>
      </c>
      <c r="D180" s="1537">
        <v>2106.2199999999998</v>
      </c>
      <c r="E180" s="1518">
        <v>0</v>
      </c>
      <c r="F180" s="1519" t="s">
        <v>413</v>
      </c>
      <c r="G180" s="1509" t="s">
        <v>1042</v>
      </c>
      <c r="H180" s="1530" t="s">
        <v>520</v>
      </c>
      <c r="I180" s="1509" t="s">
        <v>1043</v>
      </c>
      <c r="J180" s="1509" t="s">
        <v>543</v>
      </c>
      <c r="K180" s="1509" t="s">
        <v>522</v>
      </c>
      <c r="L180" s="1520"/>
      <c r="M180" s="1520"/>
      <c r="N180" s="1520" t="s">
        <v>2617</v>
      </c>
      <c r="O180" s="1225"/>
      <c r="P180" s="1228"/>
      <c r="Q180" s="1228"/>
      <c r="U180" s="220" t="s">
        <v>1044</v>
      </c>
      <c r="V180" s="220" t="s">
        <v>1044</v>
      </c>
      <c r="X180" s="255">
        <v>43679</v>
      </c>
      <c r="Y180" s="255">
        <v>43679</v>
      </c>
      <c r="AA180" s="255"/>
      <c r="AB180" s="220" t="s">
        <v>523</v>
      </c>
      <c r="AC180" s="220">
        <v>0</v>
      </c>
      <c r="AD180" s="220">
        <v>0</v>
      </c>
      <c r="AE180" s="220">
        <v>0</v>
      </c>
      <c r="AF180" s="220">
        <v>0</v>
      </c>
      <c r="AG180" s="220">
        <v>0</v>
      </c>
      <c r="AH180" s="220">
        <v>1</v>
      </c>
      <c r="AI180" s="220">
        <v>70095</v>
      </c>
      <c r="AJ180" s="220">
        <v>2180</v>
      </c>
      <c r="AK180" s="220">
        <v>0</v>
      </c>
      <c r="AL180" s="220">
        <v>0</v>
      </c>
      <c r="AO180" s="258"/>
      <c r="AP180" s="258"/>
      <c r="AQ180" s="220" t="str">
        <f t="shared" si="4"/>
        <v/>
      </c>
      <c r="AS180" s="220" t="str">
        <f t="shared" si="5"/>
        <v>wci_corp</v>
      </c>
    </row>
    <row r="181" spans="2:45">
      <c r="B181" s="1509" t="s">
        <v>2447</v>
      </c>
      <c r="C181" s="1529">
        <v>43677</v>
      </c>
      <c r="D181" s="1537">
        <v>261.33</v>
      </c>
      <c r="E181" s="1518">
        <v>0</v>
      </c>
      <c r="F181" s="1519" t="s">
        <v>413</v>
      </c>
      <c r="G181" s="1509" t="s">
        <v>1042</v>
      </c>
      <c r="H181" s="1530" t="s">
        <v>520</v>
      </c>
      <c r="I181" s="1509" t="s">
        <v>1043</v>
      </c>
      <c r="J181" s="1509" t="s">
        <v>543</v>
      </c>
      <c r="K181" s="1509" t="s">
        <v>522</v>
      </c>
      <c r="L181" s="1520"/>
      <c r="M181" s="1520"/>
      <c r="N181" s="1520" t="s">
        <v>2492</v>
      </c>
      <c r="O181" s="1225"/>
      <c r="P181" s="1228"/>
      <c r="Q181" s="1228"/>
      <c r="U181" s="220" t="s">
        <v>1044</v>
      </c>
      <c r="V181" s="220" t="s">
        <v>1044</v>
      </c>
      <c r="X181" s="255">
        <v>43679</v>
      </c>
      <c r="Y181" s="255">
        <v>43679</v>
      </c>
      <c r="AA181" s="255"/>
      <c r="AB181" s="220" t="s">
        <v>523</v>
      </c>
      <c r="AC181" s="220">
        <v>0</v>
      </c>
      <c r="AD181" s="220">
        <v>0</v>
      </c>
      <c r="AE181" s="220">
        <v>0</v>
      </c>
      <c r="AF181" s="220">
        <v>0</v>
      </c>
      <c r="AG181" s="220">
        <v>0</v>
      </c>
      <c r="AH181" s="220">
        <v>1</v>
      </c>
      <c r="AI181" s="220">
        <v>70095</v>
      </c>
      <c r="AJ181" s="220">
        <v>2180</v>
      </c>
      <c r="AK181" s="220">
        <v>0</v>
      </c>
      <c r="AL181" s="220">
        <v>0</v>
      </c>
      <c r="AO181" s="258"/>
      <c r="AP181" s="258"/>
      <c r="AQ181" s="220" t="str">
        <f t="shared" si="4"/>
        <v/>
      </c>
      <c r="AS181" s="220" t="str">
        <f t="shared" si="5"/>
        <v>wci_corp</v>
      </c>
    </row>
    <row r="182" spans="2:45">
      <c r="B182" s="1509" t="s">
        <v>2447</v>
      </c>
      <c r="C182" s="1529">
        <v>43677</v>
      </c>
      <c r="D182" s="1537">
        <v>28.98</v>
      </c>
      <c r="E182" s="1518">
        <v>0</v>
      </c>
      <c r="F182" s="1519" t="s">
        <v>413</v>
      </c>
      <c r="G182" s="1509" t="s">
        <v>1042</v>
      </c>
      <c r="H182" s="1530" t="s">
        <v>520</v>
      </c>
      <c r="I182" s="1509" t="s">
        <v>1043</v>
      </c>
      <c r="J182" s="1509" t="s">
        <v>543</v>
      </c>
      <c r="K182" s="1509" t="s">
        <v>522</v>
      </c>
      <c r="L182" s="1520"/>
      <c r="M182" s="1520"/>
      <c r="N182" s="1520" t="s">
        <v>2618</v>
      </c>
      <c r="O182" s="1225"/>
      <c r="P182" s="1228"/>
      <c r="Q182" s="1228"/>
      <c r="U182" s="220" t="s">
        <v>1044</v>
      </c>
      <c r="V182" s="220" t="s">
        <v>1044</v>
      </c>
      <c r="X182" s="255">
        <v>43679</v>
      </c>
      <c r="Y182" s="255">
        <v>43679</v>
      </c>
      <c r="AA182" s="255"/>
      <c r="AB182" s="220" t="s">
        <v>523</v>
      </c>
      <c r="AC182" s="220">
        <v>0</v>
      </c>
      <c r="AD182" s="220">
        <v>0</v>
      </c>
      <c r="AE182" s="220">
        <v>0</v>
      </c>
      <c r="AF182" s="220">
        <v>0</v>
      </c>
      <c r="AG182" s="220">
        <v>0</v>
      </c>
      <c r="AH182" s="220">
        <v>1</v>
      </c>
      <c r="AI182" s="220">
        <v>70095</v>
      </c>
      <c r="AJ182" s="220">
        <v>2180</v>
      </c>
      <c r="AK182" s="220">
        <v>0</v>
      </c>
      <c r="AL182" s="220">
        <v>0</v>
      </c>
      <c r="AO182" s="258"/>
      <c r="AP182" s="258"/>
      <c r="AQ182" s="220" t="str">
        <f t="shared" si="4"/>
        <v/>
      </c>
      <c r="AS182" s="220" t="str">
        <f t="shared" si="5"/>
        <v>wci_corp</v>
      </c>
    </row>
    <row r="183" spans="2:45">
      <c r="B183" s="1509" t="s">
        <v>2447</v>
      </c>
      <c r="C183" s="1529">
        <v>43677</v>
      </c>
      <c r="D183" s="1537">
        <v>87.42</v>
      </c>
      <c r="E183" s="1518">
        <v>0</v>
      </c>
      <c r="F183" s="1519" t="s">
        <v>413</v>
      </c>
      <c r="G183" s="1509" t="s">
        <v>1042</v>
      </c>
      <c r="H183" s="1530" t="s">
        <v>520</v>
      </c>
      <c r="I183" s="1509" t="s">
        <v>1043</v>
      </c>
      <c r="J183" s="1509" t="s">
        <v>543</v>
      </c>
      <c r="K183" s="1509" t="s">
        <v>522</v>
      </c>
      <c r="L183" s="1520"/>
      <c r="M183" s="1520"/>
      <c r="N183" s="1520" t="s">
        <v>2619</v>
      </c>
      <c r="O183" s="1225"/>
      <c r="P183" s="1228"/>
      <c r="Q183" s="1228"/>
      <c r="U183" s="220" t="s">
        <v>1044</v>
      </c>
      <c r="V183" s="220" t="s">
        <v>1044</v>
      </c>
      <c r="X183" s="255">
        <v>43679</v>
      </c>
      <c r="Y183" s="255">
        <v>43679</v>
      </c>
      <c r="AA183" s="255"/>
      <c r="AB183" s="220" t="s">
        <v>523</v>
      </c>
      <c r="AC183" s="220">
        <v>0</v>
      </c>
      <c r="AD183" s="220">
        <v>0</v>
      </c>
      <c r="AE183" s="220">
        <v>0</v>
      </c>
      <c r="AF183" s="220">
        <v>0</v>
      </c>
      <c r="AG183" s="220">
        <v>0</v>
      </c>
      <c r="AH183" s="220">
        <v>1</v>
      </c>
      <c r="AI183" s="220">
        <v>70095</v>
      </c>
      <c r="AJ183" s="220">
        <v>2180</v>
      </c>
      <c r="AK183" s="220">
        <v>0</v>
      </c>
      <c r="AL183" s="220">
        <v>0</v>
      </c>
      <c r="AO183" s="258"/>
      <c r="AP183" s="258"/>
      <c r="AQ183" s="220" t="str">
        <f t="shared" si="4"/>
        <v/>
      </c>
      <c r="AS183" s="220" t="str">
        <f t="shared" si="5"/>
        <v>wci_corp</v>
      </c>
    </row>
    <row r="184" spans="2:45">
      <c r="B184" s="1509" t="s">
        <v>2447</v>
      </c>
      <c r="C184" s="1529">
        <v>43677</v>
      </c>
      <c r="D184" s="1537">
        <v>607.67999999999995</v>
      </c>
      <c r="E184" s="1518">
        <v>0</v>
      </c>
      <c r="F184" s="1519" t="s">
        <v>413</v>
      </c>
      <c r="G184" s="1509" t="s">
        <v>1042</v>
      </c>
      <c r="H184" s="1530" t="s">
        <v>520</v>
      </c>
      <c r="I184" s="1509" t="s">
        <v>1043</v>
      </c>
      <c r="J184" s="1509" t="s">
        <v>543</v>
      </c>
      <c r="K184" s="1509" t="s">
        <v>522</v>
      </c>
      <c r="L184" s="1520"/>
      <c r="M184" s="1520"/>
      <c r="N184" s="1520" t="s">
        <v>2612</v>
      </c>
      <c r="O184" s="1225"/>
      <c r="P184" s="1228"/>
      <c r="Q184" s="1228"/>
      <c r="U184" s="220" t="s">
        <v>1044</v>
      </c>
      <c r="V184" s="220" t="s">
        <v>1044</v>
      </c>
      <c r="X184" s="255">
        <v>43679</v>
      </c>
      <c r="Y184" s="255">
        <v>43679</v>
      </c>
      <c r="AA184" s="255"/>
      <c r="AB184" s="220" t="s">
        <v>523</v>
      </c>
      <c r="AC184" s="220">
        <v>0</v>
      </c>
      <c r="AD184" s="220">
        <v>0</v>
      </c>
      <c r="AE184" s="220">
        <v>0</v>
      </c>
      <c r="AF184" s="220">
        <v>0</v>
      </c>
      <c r="AG184" s="220">
        <v>0</v>
      </c>
      <c r="AH184" s="220">
        <v>1</v>
      </c>
      <c r="AI184" s="220">
        <v>70095</v>
      </c>
      <c r="AJ184" s="220">
        <v>2180</v>
      </c>
      <c r="AK184" s="220">
        <v>0</v>
      </c>
      <c r="AL184" s="220">
        <v>0</v>
      </c>
      <c r="AO184" s="258"/>
      <c r="AP184" s="258"/>
      <c r="AQ184" s="220" t="str">
        <f t="shared" si="4"/>
        <v/>
      </c>
      <c r="AS184" s="220" t="str">
        <f t="shared" si="5"/>
        <v>wci_corp</v>
      </c>
    </row>
    <row r="185" spans="2:45">
      <c r="B185" s="1509" t="s">
        <v>2447</v>
      </c>
      <c r="C185" s="1529">
        <v>43677</v>
      </c>
      <c r="D185" s="1537">
        <v>38.51</v>
      </c>
      <c r="E185" s="1518">
        <v>0</v>
      </c>
      <c r="F185" s="1519" t="s">
        <v>413</v>
      </c>
      <c r="G185" s="1509" t="s">
        <v>1042</v>
      </c>
      <c r="H185" s="1530" t="s">
        <v>520</v>
      </c>
      <c r="I185" s="1509" t="s">
        <v>1043</v>
      </c>
      <c r="J185" s="1509" t="s">
        <v>543</v>
      </c>
      <c r="K185" s="1509" t="s">
        <v>522</v>
      </c>
      <c r="L185" s="1520"/>
      <c r="M185" s="1520"/>
      <c r="N185" s="1520" t="s">
        <v>2544</v>
      </c>
      <c r="O185" s="1225"/>
      <c r="P185" s="1228"/>
      <c r="Q185" s="1228"/>
      <c r="U185" s="220" t="s">
        <v>1044</v>
      </c>
      <c r="V185" s="220" t="s">
        <v>1044</v>
      </c>
      <c r="X185" s="255">
        <v>43679</v>
      </c>
      <c r="Y185" s="255">
        <v>43679</v>
      </c>
      <c r="AA185" s="255"/>
      <c r="AB185" s="220" t="s">
        <v>523</v>
      </c>
      <c r="AC185" s="220">
        <v>0</v>
      </c>
      <c r="AD185" s="220">
        <v>0</v>
      </c>
      <c r="AE185" s="220">
        <v>0</v>
      </c>
      <c r="AF185" s="220">
        <v>0</v>
      </c>
      <c r="AG185" s="220">
        <v>0</v>
      </c>
      <c r="AH185" s="220">
        <v>1</v>
      </c>
      <c r="AI185" s="220">
        <v>70095</v>
      </c>
      <c r="AJ185" s="220">
        <v>2180</v>
      </c>
      <c r="AK185" s="220">
        <v>0</v>
      </c>
      <c r="AL185" s="220">
        <v>0</v>
      </c>
      <c r="AO185" s="258"/>
      <c r="AP185" s="258"/>
      <c r="AQ185" s="220" t="str">
        <f t="shared" si="4"/>
        <v/>
      </c>
      <c r="AS185" s="220" t="str">
        <f t="shared" si="5"/>
        <v>wci_corp</v>
      </c>
    </row>
    <row r="186" spans="2:45">
      <c r="B186" s="1509" t="s">
        <v>2447</v>
      </c>
      <c r="C186" s="1529">
        <v>43677</v>
      </c>
      <c r="D186" s="1537">
        <v>122.19</v>
      </c>
      <c r="E186" s="1518">
        <v>0</v>
      </c>
      <c r="F186" s="1519" t="s">
        <v>413</v>
      </c>
      <c r="G186" s="1509" t="s">
        <v>1042</v>
      </c>
      <c r="H186" s="1530" t="s">
        <v>520</v>
      </c>
      <c r="I186" s="1509" t="s">
        <v>1043</v>
      </c>
      <c r="J186" s="1509" t="s">
        <v>543</v>
      </c>
      <c r="K186" s="1509" t="s">
        <v>522</v>
      </c>
      <c r="L186" s="1520"/>
      <c r="M186" s="1520"/>
      <c r="N186" s="1520" t="s">
        <v>1097</v>
      </c>
      <c r="O186" s="1225"/>
      <c r="P186" s="1228"/>
      <c r="Q186" s="1228"/>
      <c r="U186" s="220" t="s">
        <v>1044</v>
      </c>
      <c r="V186" s="220" t="s">
        <v>1044</v>
      </c>
      <c r="X186" s="255">
        <v>43679</v>
      </c>
      <c r="Y186" s="255">
        <v>43679</v>
      </c>
      <c r="AA186" s="255"/>
      <c r="AB186" s="220" t="s">
        <v>523</v>
      </c>
      <c r="AC186" s="220">
        <v>0</v>
      </c>
      <c r="AD186" s="220">
        <v>0</v>
      </c>
      <c r="AE186" s="220">
        <v>0</v>
      </c>
      <c r="AF186" s="220">
        <v>0</v>
      </c>
      <c r="AG186" s="220">
        <v>0</v>
      </c>
      <c r="AH186" s="220">
        <v>1</v>
      </c>
      <c r="AI186" s="220">
        <v>70095</v>
      </c>
      <c r="AJ186" s="220">
        <v>2180</v>
      </c>
      <c r="AK186" s="220">
        <v>0</v>
      </c>
      <c r="AL186" s="220">
        <v>0</v>
      </c>
      <c r="AO186" s="258"/>
      <c r="AP186" s="258"/>
      <c r="AQ186" s="220" t="str">
        <f t="shared" si="4"/>
        <v/>
      </c>
      <c r="AS186" s="220" t="str">
        <f t="shared" si="5"/>
        <v>wci_corp</v>
      </c>
    </row>
    <row r="187" spans="2:45">
      <c r="B187" s="1509" t="s">
        <v>2447</v>
      </c>
      <c r="C187" s="1529">
        <v>43677</v>
      </c>
      <c r="D187" s="1537">
        <v>85.97</v>
      </c>
      <c r="E187" s="1518">
        <v>0</v>
      </c>
      <c r="F187" s="1519" t="s">
        <v>413</v>
      </c>
      <c r="G187" s="1509" t="s">
        <v>1042</v>
      </c>
      <c r="H187" s="1530" t="s">
        <v>520</v>
      </c>
      <c r="I187" s="1509" t="s">
        <v>1043</v>
      </c>
      <c r="J187" s="1509" t="s">
        <v>543</v>
      </c>
      <c r="K187" s="1509" t="s">
        <v>522</v>
      </c>
      <c r="L187" s="1520"/>
      <c r="M187" s="1520"/>
      <c r="N187" s="1520" t="s">
        <v>2490</v>
      </c>
      <c r="O187" s="1225"/>
      <c r="P187" s="1228"/>
      <c r="Q187" s="1228"/>
      <c r="U187" s="220" t="s">
        <v>1044</v>
      </c>
      <c r="V187" s="220" t="s">
        <v>1044</v>
      </c>
      <c r="X187" s="255">
        <v>43679</v>
      </c>
      <c r="Y187" s="255">
        <v>43679</v>
      </c>
      <c r="AA187" s="255"/>
      <c r="AB187" s="220" t="s">
        <v>523</v>
      </c>
      <c r="AC187" s="220">
        <v>0</v>
      </c>
      <c r="AD187" s="220">
        <v>0</v>
      </c>
      <c r="AE187" s="220">
        <v>0</v>
      </c>
      <c r="AF187" s="220">
        <v>0</v>
      </c>
      <c r="AG187" s="220">
        <v>0</v>
      </c>
      <c r="AH187" s="220">
        <v>1</v>
      </c>
      <c r="AI187" s="220">
        <v>70095</v>
      </c>
      <c r="AJ187" s="220">
        <v>2180</v>
      </c>
      <c r="AK187" s="220">
        <v>0</v>
      </c>
      <c r="AL187" s="220">
        <v>0</v>
      </c>
      <c r="AO187" s="258"/>
      <c r="AP187" s="258"/>
      <c r="AQ187" s="220" t="str">
        <f t="shared" si="4"/>
        <v/>
      </c>
      <c r="AS187" s="220" t="str">
        <f t="shared" si="5"/>
        <v>wci_corp</v>
      </c>
    </row>
    <row r="188" spans="2:45">
      <c r="B188" s="1509" t="s">
        <v>2447</v>
      </c>
      <c r="C188" s="1529">
        <v>43677</v>
      </c>
      <c r="D188" s="1537">
        <v>36.049999999999997</v>
      </c>
      <c r="E188" s="1518">
        <v>0</v>
      </c>
      <c r="F188" s="1519" t="s">
        <v>413</v>
      </c>
      <c r="G188" s="1509" t="s">
        <v>1042</v>
      </c>
      <c r="H188" s="1530" t="s">
        <v>520</v>
      </c>
      <c r="I188" s="1509" t="s">
        <v>1043</v>
      </c>
      <c r="J188" s="1509" t="s">
        <v>543</v>
      </c>
      <c r="K188" s="1509" t="s">
        <v>522</v>
      </c>
      <c r="L188" s="1520"/>
      <c r="M188" s="1520"/>
      <c r="N188" s="1520" t="s">
        <v>2631</v>
      </c>
      <c r="O188" s="1225"/>
      <c r="P188" s="1228"/>
      <c r="Q188" s="1228"/>
      <c r="U188" s="220" t="s">
        <v>1044</v>
      </c>
      <c r="V188" s="220" t="s">
        <v>1044</v>
      </c>
      <c r="X188" s="255">
        <v>43679</v>
      </c>
      <c r="Y188" s="255">
        <v>43679</v>
      </c>
      <c r="AA188" s="255"/>
      <c r="AB188" s="220" t="s">
        <v>523</v>
      </c>
      <c r="AC188" s="220">
        <v>0</v>
      </c>
      <c r="AD188" s="220">
        <v>0</v>
      </c>
      <c r="AE188" s="220">
        <v>0</v>
      </c>
      <c r="AF188" s="220">
        <v>0</v>
      </c>
      <c r="AG188" s="220">
        <v>0</v>
      </c>
      <c r="AH188" s="220">
        <v>1</v>
      </c>
      <c r="AI188" s="220">
        <v>70095</v>
      </c>
      <c r="AJ188" s="220">
        <v>2180</v>
      </c>
      <c r="AK188" s="220">
        <v>0</v>
      </c>
      <c r="AL188" s="220">
        <v>0</v>
      </c>
      <c r="AO188" s="258"/>
      <c r="AP188" s="258"/>
      <c r="AQ188" s="220" t="str">
        <f t="shared" si="4"/>
        <v/>
      </c>
      <c r="AS188" s="220" t="str">
        <f t="shared" si="5"/>
        <v>wci_corp</v>
      </c>
    </row>
    <row r="189" spans="2:45">
      <c r="B189" s="1509" t="s">
        <v>2447</v>
      </c>
      <c r="C189" s="1529">
        <v>43677</v>
      </c>
      <c r="D189" s="1537">
        <v>60.34</v>
      </c>
      <c r="E189" s="1518">
        <v>0</v>
      </c>
      <c r="F189" s="1519" t="s">
        <v>413</v>
      </c>
      <c r="G189" s="1509" t="s">
        <v>1042</v>
      </c>
      <c r="H189" s="1530" t="s">
        <v>520</v>
      </c>
      <c r="I189" s="1509" t="s">
        <v>1043</v>
      </c>
      <c r="J189" s="1509" t="s">
        <v>543</v>
      </c>
      <c r="K189" s="1509" t="s">
        <v>522</v>
      </c>
      <c r="L189" s="1520"/>
      <c r="M189" s="1520"/>
      <c r="N189" s="1520" t="s">
        <v>2632</v>
      </c>
      <c r="O189" s="1225"/>
      <c r="P189" s="1228"/>
      <c r="Q189" s="1228"/>
      <c r="U189" s="220" t="s">
        <v>1044</v>
      </c>
      <c r="V189" s="220" t="s">
        <v>1044</v>
      </c>
      <c r="X189" s="255">
        <v>43679</v>
      </c>
      <c r="Y189" s="255">
        <v>43679</v>
      </c>
      <c r="AA189" s="255"/>
      <c r="AB189" s="220" t="s">
        <v>523</v>
      </c>
      <c r="AC189" s="220">
        <v>0</v>
      </c>
      <c r="AD189" s="220">
        <v>0</v>
      </c>
      <c r="AE189" s="220">
        <v>0</v>
      </c>
      <c r="AF189" s="220">
        <v>0</v>
      </c>
      <c r="AG189" s="220">
        <v>0</v>
      </c>
      <c r="AH189" s="220">
        <v>1</v>
      </c>
      <c r="AI189" s="220">
        <v>70095</v>
      </c>
      <c r="AJ189" s="220">
        <v>2180</v>
      </c>
      <c r="AK189" s="220">
        <v>0</v>
      </c>
      <c r="AL189" s="220">
        <v>0</v>
      </c>
      <c r="AO189" s="258"/>
      <c r="AP189" s="258"/>
      <c r="AQ189" s="220" t="str">
        <f t="shared" si="4"/>
        <v/>
      </c>
      <c r="AS189" s="220" t="str">
        <f t="shared" si="5"/>
        <v>wci_corp</v>
      </c>
    </row>
    <row r="190" spans="2:45">
      <c r="B190" s="1509" t="s">
        <v>2447</v>
      </c>
      <c r="C190" s="1529">
        <v>43677</v>
      </c>
      <c r="D190" s="1537">
        <v>34.119999999999997</v>
      </c>
      <c r="E190" s="1518">
        <v>0</v>
      </c>
      <c r="F190" s="1519" t="s">
        <v>413</v>
      </c>
      <c r="G190" s="1509" t="s">
        <v>1042</v>
      </c>
      <c r="H190" s="1530" t="s">
        <v>520</v>
      </c>
      <c r="I190" s="1509" t="s">
        <v>1043</v>
      </c>
      <c r="J190" s="1509" t="s">
        <v>543</v>
      </c>
      <c r="K190" s="1509" t="s">
        <v>522</v>
      </c>
      <c r="L190" s="1520"/>
      <c r="M190" s="1520"/>
      <c r="N190" s="1520" t="s">
        <v>2633</v>
      </c>
      <c r="O190" s="1225"/>
      <c r="P190" s="1228"/>
      <c r="Q190" s="1228"/>
      <c r="U190" s="220" t="s">
        <v>1044</v>
      </c>
      <c r="V190" s="220" t="s">
        <v>1044</v>
      </c>
      <c r="X190" s="255">
        <v>43679</v>
      </c>
      <c r="Y190" s="255">
        <v>43679</v>
      </c>
      <c r="AA190" s="255"/>
      <c r="AB190" s="220" t="s">
        <v>523</v>
      </c>
      <c r="AC190" s="220">
        <v>0</v>
      </c>
      <c r="AD190" s="220">
        <v>0</v>
      </c>
      <c r="AE190" s="220">
        <v>0</v>
      </c>
      <c r="AF190" s="220">
        <v>0</v>
      </c>
      <c r="AG190" s="220">
        <v>0</v>
      </c>
      <c r="AH190" s="220">
        <v>1</v>
      </c>
      <c r="AI190" s="220">
        <v>70095</v>
      </c>
      <c r="AJ190" s="220">
        <v>2180</v>
      </c>
      <c r="AK190" s="220">
        <v>0</v>
      </c>
      <c r="AL190" s="220">
        <v>0</v>
      </c>
      <c r="AO190" s="258"/>
      <c r="AP190" s="258"/>
      <c r="AQ190" s="220" t="str">
        <f t="shared" si="4"/>
        <v/>
      </c>
      <c r="AS190" s="220" t="str">
        <f t="shared" si="5"/>
        <v>wci_corp</v>
      </c>
    </row>
    <row r="191" spans="2:45">
      <c r="B191" s="1509" t="s">
        <v>2447</v>
      </c>
      <c r="C191" s="1529">
        <v>43677</v>
      </c>
      <c r="D191" s="1537">
        <v>77.56</v>
      </c>
      <c r="E191" s="1518">
        <v>0</v>
      </c>
      <c r="F191" s="1519" t="s">
        <v>413</v>
      </c>
      <c r="G191" s="1509" t="s">
        <v>1042</v>
      </c>
      <c r="H191" s="1530" t="s">
        <v>520</v>
      </c>
      <c r="I191" s="1509" t="s">
        <v>1043</v>
      </c>
      <c r="J191" s="1509" t="s">
        <v>543</v>
      </c>
      <c r="K191" s="1509" t="s">
        <v>522</v>
      </c>
      <c r="L191" s="1520"/>
      <c r="M191" s="1520"/>
      <c r="N191" s="1520" t="s">
        <v>2634</v>
      </c>
      <c r="O191" s="1225"/>
      <c r="P191" s="1228"/>
      <c r="Q191" s="1228"/>
      <c r="U191" s="220" t="s">
        <v>1044</v>
      </c>
      <c r="V191" s="220" t="s">
        <v>1044</v>
      </c>
      <c r="X191" s="255">
        <v>43679</v>
      </c>
      <c r="Y191" s="255">
        <v>43679</v>
      </c>
      <c r="AA191" s="255"/>
      <c r="AB191" s="220" t="s">
        <v>523</v>
      </c>
      <c r="AC191" s="220">
        <v>0</v>
      </c>
      <c r="AD191" s="220">
        <v>0</v>
      </c>
      <c r="AE191" s="220">
        <v>0</v>
      </c>
      <c r="AF191" s="220">
        <v>0</v>
      </c>
      <c r="AG191" s="220">
        <v>0</v>
      </c>
      <c r="AH191" s="220">
        <v>1</v>
      </c>
      <c r="AI191" s="220">
        <v>70095</v>
      </c>
      <c r="AJ191" s="220">
        <v>2180</v>
      </c>
      <c r="AK191" s="220">
        <v>0</v>
      </c>
      <c r="AL191" s="220">
        <v>0</v>
      </c>
      <c r="AO191" s="258"/>
      <c r="AP191" s="258"/>
      <c r="AQ191" s="220" t="str">
        <f t="shared" si="4"/>
        <v/>
      </c>
      <c r="AS191" s="220" t="str">
        <f t="shared" si="5"/>
        <v>wci_corp</v>
      </c>
    </row>
    <row r="192" spans="2:45">
      <c r="B192" s="1509" t="s">
        <v>2447</v>
      </c>
      <c r="C192" s="1529">
        <v>43677</v>
      </c>
      <c r="D192" s="1537">
        <v>55.16</v>
      </c>
      <c r="E192" s="1518">
        <v>0</v>
      </c>
      <c r="F192" s="1519" t="s">
        <v>413</v>
      </c>
      <c r="G192" s="1509" t="s">
        <v>1042</v>
      </c>
      <c r="H192" s="1530" t="s">
        <v>520</v>
      </c>
      <c r="I192" s="1509" t="s">
        <v>1043</v>
      </c>
      <c r="J192" s="1509" t="s">
        <v>543</v>
      </c>
      <c r="K192" s="1509" t="s">
        <v>522</v>
      </c>
      <c r="L192" s="1520"/>
      <c r="M192" s="1520"/>
      <c r="N192" s="1520" t="s">
        <v>2635</v>
      </c>
      <c r="O192" s="1225"/>
      <c r="P192" s="1228"/>
      <c r="Q192" s="1228"/>
      <c r="U192" s="220" t="s">
        <v>1044</v>
      </c>
      <c r="V192" s="220" t="s">
        <v>1044</v>
      </c>
      <c r="X192" s="255">
        <v>43679</v>
      </c>
      <c r="Y192" s="255">
        <v>43679</v>
      </c>
      <c r="AA192" s="255"/>
      <c r="AB192" s="220" t="s">
        <v>523</v>
      </c>
      <c r="AC192" s="220">
        <v>0</v>
      </c>
      <c r="AD192" s="220">
        <v>0</v>
      </c>
      <c r="AE192" s="220">
        <v>0</v>
      </c>
      <c r="AF192" s="220">
        <v>0</v>
      </c>
      <c r="AG192" s="220">
        <v>0</v>
      </c>
      <c r="AH192" s="220">
        <v>1</v>
      </c>
      <c r="AI192" s="220">
        <v>70095</v>
      </c>
      <c r="AJ192" s="220">
        <v>2180</v>
      </c>
      <c r="AK192" s="220">
        <v>0</v>
      </c>
      <c r="AL192" s="220">
        <v>0</v>
      </c>
      <c r="AO192" s="258"/>
      <c r="AP192" s="258"/>
      <c r="AQ192" s="220" t="str">
        <f t="shared" si="4"/>
        <v/>
      </c>
      <c r="AS192" s="220" t="str">
        <f t="shared" si="5"/>
        <v>wci_corp</v>
      </c>
    </row>
    <row r="193" spans="2:45">
      <c r="B193" s="1509" t="s">
        <v>2447</v>
      </c>
      <c r="C193" s="1529">
        <v>43677</v>
      </c>
      <c r="D193" s="1537">
        <v>38.89</v>
      </c>
      <c r="E193" s="1518">
        <v>0</v>
      </c>
      <c r="F193" s="1519" t="s">
        <v>413</v>
      </c>
      <c r="G193" s="1509" t="s">
        <v>1042</v>
      </c>
      <c r="H193" s="1530" t="s">
        <v>520</v>
      </c>
      <c r="I193" s="1509" t="s">
        <v>1043</v>
      </c>
      <c r="J193" s="1509" t="s">
        <v>543</v>
      </c>
      <c r="K193" s="1509" t="s">
        <v>522</v>
      </c>
      <c r="L193" s="1520"/>
      <c r="M193" s="1520"/>
      <c r="N193" s="1520" t="s">
        <v>2633</v>
      </c>
      <c r="O193" s="1225"/>
      <c r="P193" s="1228"/>
      <c r="Q193" s="1228"/>
      <c r="U193" s="220" t="s">
        <v>1044</v>
      </c>
      <c r="V193" s="220" t="s">
        <v>1044</v>
      </c>
      <c r="X193" s="255">
        <v>43679</v>
      </c>
      <c r="Y193" s="255">
        <v>43679</v>
      </c>
      <c r="AA193" s="255"/>
      <c r="AB193" s="220" t="s">
        <v>523</v>
      </c>
      <c r="AC193" s="220">
        <v>0</v>
      </c>
      <c r="AD193" s="220">
        <v>0</v>
      </c>
      <c r="AE193" s="220">
        <v>0</v>
      </c>
      <c r="AF193" s="220">
        <v>0</v>
      </c>
      <c r="AG193" s="220">
        <v>0</v>
      </c>
      <c r="AH193" s="220">
        <v>1</v>
      </c>
      <c r="AI193" s="220">
        <v>70095</v>
      </c>
      <c r="AJ193" s="220">
        <v>2180</v>
      </c>
      <c r="AK193" s="220">
        <v>0</v>
      </c>
      <c r="AL193" s="220">
        <v>0</v>
      </c>
      <c r="AO193" s="258"/>
      <c r="AP193" s="258"/>
      <c r="AQ193" s="220" t="str">
        <f t="shared" si="4"/>
        <v/>
      </c>
      <c r="AS193" s="220" t="str">
        <f t="shared" si="5"/>
        <v>wci_corp</v>
      </c>
    </row>
    <row r="194" spans="2:45">
      <c r="B194" s="1509" t="s">
        <v>2447</v>
      </c>
      <c r="C194" s="1529">
        <v>43677</v>
      </c>
      <c r="D194" s="1537">
        <v>126.43</v>
      </c>
      <c r="E194" s="1518">
        <v>0</v>
      </c>
      <c r="F194" s="1519" t="s">
        <v>413</v>
      </c>
      <c r="G194" s="1509" t="s">
        <v>1042</v>
      </c>
      <c r="H194" s="1530" t="s">
        <v>520</v>
      </c>
      <c r="I194" s="1509" t="s">
        <v>1043</v>
      </c>
      <c r="J194" s="1509" t="s">
        <v>543</v>
      </c>
      <c r="K194" s="1509" t="s">
        <v>522</v>
      </c>
      <c r="L194" s="1520"/>
      <c r="M194" s="1520"/>
      <c r="N194" s="1520" t="s">
        <v>2636</v>
      </c>
      <c r="O194" s="1225"/>
      <c r="P194" s="1228"/>
      <c r="Q194" s="1228"/>
      <c r="U194" s="220" t="s">
        <v>1044</v>
      </c>
      <c r="V194" s="220" t="s">
        <v>1044</v>
      </c>
      <c r="X194" s="255">
        <v>43679</v>
      </c>
      <c r="Y194" s="255">
        <v>43679</v>
      </c>
      <c r="AA194" s="255"/>
      <c r="AB194" s="220" t="s">
        <v>523</v>
      </c>
      <c r="AC194" s="220">
        <v>0</v>
      </c>
      <c r="AD194" s="220">
        <v>0</v>
      </c>
      <c r="AE194" s="220">
        <v>0</v>
      </c>
      <c r="AF194" s="220">
        <v>0</v>
      </c>
      <c r="AG194" s="220">
        <v>0</v>
      </c>
      <c r="AH194" s="220">
        <v>1</v>
      </c>
      <c r="AI194" s="220">
        <v>70095</v>
      </c>
      <c r="AJ194" s="220">
        <v>2180</v>
      </c>
      <c r="AK194" s="220">
        <v>0</v>
      </c>
      <c r="AL194" s="220">
        <v>0</v>
      </c>
      <c r="AO194" s="258"/>
      <c r="AP194" s="258"/>
      <c r="AQ194" s="220" t="str">
        <f t="shared" si="4"/>
        <v/>
      </c>
      <c r="AS194" s="220" t="str">
        <f t="shared" si="5"/>
        <v>wci_corp</v>
      </c>
    </row>
    <row r="195" spans="2:45">
      <c r="B195" s="1509" t="s">
        <v>2447</v>
      </c>
      <c r="C195" s="1529">
        <v>43677</v>
      </c>
      <c r="D195" s="1537">
        <v>35.18</v>
      </c>
      <c r="E195" s="1518">
        <v>0</v>
      </c>
      <c r="F195" s="1519" t="s">
        <v>413</v>
      </c>
      <c r="G195" s="1509" t="s">
        <v>2637</v>
      </c>
      <c r="H195" s="1530" t="s">
        <v>520</v>
      </c>
      <c r="I195" s="1509" t="s">
        <v>2638</v>
      </c>
      <c r="J195" s="1509" t="s">
        <v>521</v>
      </c>
      <c r="K195" s="1509" t="s">
        <v>522</v>
      </c>
      <c r="L195" s="1520"/>
      <c r="M195" s="1520"/>
      <c r="N195" s="1520" t="s">
        <v>2639</v>
      </c>
      <c r="O195" s="1225"/>
      <c r="P195" s="1228"/>
      <c r="Q195" s="1228"/>
      <c r="U195" s="220" t="s">
        <v>2640</v>
      </c>
      <c r="V195" s="220" t="s">
        <v>2640</v>
      </c>
      <c r="X195" s="255">
        <v>43682</v>
      </c>
      <c r="Y195" s="255">
        <v>43682</v>
      </c>
      <c r="AA195" s="255"/>
      <c r="AB195" s="220" t="s">
        <v>523</v>
      </c>
      <c r="AC195" s="220">
        <v>0</v>
      </c>
      <c r="AD195" s="220">
        <v>0</v>
      </c>
      <c r="AE195" s="220">
        <v>0</v>
      </c>
      <c r="AF195" s="220">
        <v>0</v>
      </c>
      <c r="AG195" s="220">
        <v>0</v>
      </c>
      <c r="AH195" s="220">
        <v>1</v>
      </c>
      <c r="AI195" s="220">
        <v>70095</v>
      </c>
      <c r="AJ195" s="220">
        <v>2180</v>
      </c>
      <c r="AK195" s="220">
        <v>0</v>
      </c>
      <c r="AL195" s="220">
        <v>0</v>
      </c>
      <c r="AO195" s="258"/>
      <c r="AP195" s="258"/>
      <c r="AQ195" s="220" t="str">
        <f t="shared" si="4"/>
        <v/>
      </c>
      <c r="AS195" s="220" t="str">
        <f t="shared" si="5"/>
        <v>wci_corp</v>
      </c>
    </row>
    <row r="196" spans="2:45">
      <c r="B196" s="1509" t="s">
        <v>2447</v>
      </c>
      <c r="C196" s="1529">
        <v>43677</v>
      </c>
      <c r="D196" s="1537">
        <v>67.87</v>
      </c>
      <c r="E196" s="1518">
        <v>0</v>
      </c>
      <c r="F196" s="1519" t="s">
        <v>413</v>
      </c>
      <c r="G196" s="1509" t="s">
        <v>2637</v>
      </c>
      <c r="H196" s="1530" t="s">
        <v>520</v>
      </c>
      <c r="I196" s="1509" t="s">
        <v>2638</v>
      </c>
      <c r="J196" s="1509" t="s">
        <v>521</v>
      </c>
      <c r="K196" s="1509" t="s">
        <v>522</v>
      </c>
      <c r="L196" s="1520"/>
      <c r="M196" s="1520"/>
      <c r="N196" s="1520" t="s">
        <v>2639</v>
      </c>
      <c r="O196" s="1225"/>
      <c r="P196" s="1228"/>
      <c r="Q196" s="1228"/>
      <c r="U196" s="220" t="s">
        <v>2640</v>
      </c>
      <c r="V196" s="220" t="s">
        <v>2640</v>
      </c>
      <c r="X196" s="255">
        <v>43682</v>
      </c>
      <c r="Y196" s="255">
        <v>43682</v>
      </c>
      <c r="AA196" s="255"/>
      <c r="AB196" s="220" t="s">
        <v>523</v>
      </c>
      <c r="AC196" s="220">
        <v>0</v>
      </c>
      <c r="AD196" s="220">
        <v>0</v>
      </c>
      <c r="AE196" s="220">
        <v>0</v>
      </c>
      <c r="AF196" s="220">
        <v>0</v>
      </c>
      <c r="AG196" s="220">
        <v>0</v>
      </c>
      <c r="AH196" s="220">
        <v>1</v>
      </c>
      <c r="AI196" s="220">
        <v>70095</v>
      </c>
      <c r="AJ196" s="220">
        <v>2180</v>
      </c>
      <c r="AK196" s="220">
        <v>0</v>
      </c>
      <c r="AL196" s="220">
        <v>0</v>
      </c>
      <c r="AO196" s="258"/>
      <c r="AP196" s="258"/>
      <c r="AQ196" s="220" t="str">
        <f t="shared" si="4"/>
        <v/>
      </c>
      <c r="AS196" s="220" t="str">
        <f t="shared" si="5"/>
        <v>wci_corp</v>
      </c>
    </row>
    <row r="197" spans="2:45">
      <c r="B197" s="1509" t="s">
        <v>2447</v>
      </c>
      <c r="C197" s="1529">
        <v>43677</v>
      </c>
      <c r="D197" s="1537">
        <v>54.75</v>
      </c>
      <c r="E197" s="1518">
        <v>0</v>
      </c>
      <c r="F197" s="1519" t="s">
        <v>413</v>
      </c>
      <c r="G197" s="1509" t="s">
        <v>2637</v>
      </c>
      <c r="H197" s="1530" t="s">
        <v>520</v>
      </c>
      <c r="I197" s="1509" t="s">
        <v>2638</v>
      </c>
      <c r="J197" s="1509" t="s">
        <v>521</v>
      </c>
      <c r="K197" s="1509" t="s">
        <v>522</v>
      </c>
      <c r="L197" s="1520"/>
      <c r="M197" s="1520"/>
      <c r="N197" s="1520" t="s">
        <v>2641</v>
      </c>
      <c r="O197" s="1225"/>
      <c r="P197" s="1228"/>
      <c r="Q197" s="1228"/>
      <c r="U197" s="220" t="s">
        <v>2640</v>
      </c>
      <c r="V197" s="220" t="s">
        <v>2640</v>
      </c>
      <c r="X197" s="255">
        <v>43682</v>
      </c>
      <c r="Y197" s="255">
        <v>43682</v>
      </c>
      <c r="AA197" s="255"/>
      <c r="AB197" s="220" t="s">
        <v>523</v>
      </c>
      <c r="AC197" s="220">
        <v>0</v>
      </c>
      <c r="AD197" s="220">
        <v>0</v>
      </c>
      <c r="AE197" s="220">
        <v>0</v>
      </c>
      <c r="AF197" s="220">
        <v>0</v>
      </c>
      <c r="AG197" s="220">
        <v>0</v>
      </c>
      <c r="AH197" s="220">
        <v>1</v>
      </c>
      <c r="AI197" s="220">
        <v>70095</v>
      </c>
      <c r="AJ197" s="220">
        <v>2180</v>
      </c>
      <c r="AK197" s="220">
        <v>0</v>
      </c>
      <c r="AL197" s="220">
        <v>0</v>
      </c>
      <c r="AO197" s="258"/>
      <c r="AP197" s="258"/>
      <c r="AQ197" s="220" t="str">
        <f t="shared" si="4"/>
        <v/>
      </c>
      <c r="AS197" s="220" t="str">
        <f t="shared" si="5"/>
        <v>wci_corp</v>
      </c>
    </row>
    <row r="198" spans="2:45">
      <c r="B198" s="1509" t="s">
        <v>2447</v>
      </c>
      <c r="C198" s="1529">
        <v>43677</v>
      </c>
      <c r="D198" s="1537">
        <v>17.98</v>
      </c>
      <c r="E198" s="1518">
        <v>0</v>
      </c>
      <c r="F198" s="1519" t="s">
        <v>413</v>
      </c>
      <c r="G198" s="1509" t="s">
        <v>2637</v>
      </c>
      <c r="H198" s="1530" t="s">
        <v>520</v>
      </c>
      <c r="I198" s="1509" t="s">
        <v>2638</v>
      </c>
      <c r="J198" s="1509" t="s">
        <v>521</v>
      </c>
      <c r="K198" s="1509" t="s">
        <v>522</v>
      </c>
      <c r="L198" s="1520"/>
      <c r="M198" s="1520"/>
      <c r="N198" s="1520" t="s">
        <v>2642</v>
      </c>
      <c r="O198" s="1225"/>
      <c r="P198" s="1228"/>
      <c r="Q198" s="1228"/>
      <c r="U198" s="220" t="s">
        <v>2640</v>
      </c>
      <c r="V198" s="220" t="s">
        <v>2640</v>
      </c>
      <c r="X198" s="255">
        <v>43682</v>
      </c>
      <c r="Y198" s="255">
        <v>43682</v>
      </c>
      <c r="AA198" s="255"/>
      <c r="AB198" s="220" t="s">
        <v>523</v>
      </c>
      <c r="AC198" s="220">
        <v>0</v>
      </c>
      <c r="AD198" s="220">
        <v>0</v>
      </c>
      <c r="AE198" s="220">
        <v>0</v>
      </c>
      <c r="AF198" s="220">
        <v>0</v>
      </c>
      <c r="AG198" s="220">
        <v>0</v>
      </c>
      <c r="AH198" s="220">
        <v>1</v>
      </c>
      <c r="AI198" s="220">
        <v>70095</v>
      </c>
      <c r="AJ198" s="220">
        <v>2180</v>
      </c>
      <c r="AK198" s="220">
        <v>0</v>
      </c>
      <c r="AL198" s="220">
        <v>0</v>
      </c>
      <c r="AO198" s="258"/>
      <c r="AP198" s="258"/>
      <c r="AQ198" s="220" t="str">
        <f t="shared" si="4"/>
        <v/>
      </c>
      <c r="AS198" s="220" t="str">
        <f t="shared" si="5"/>
        <v>wci_corp</v>
      </c>
    </row>
    <row r="199" spans="2:45">
      <c r="B199" s="1509" t="s">
        <v>2447</v>
      </c>
      <c r="C199" s="1529">
        <v>43677</v>
      </c>
      <c r="D199" s="1537">
        <v>31.99</v>
      </c>
      <c r="E199" s="1518">
        <v>0</v>
      </c>
      <c r="F199" s="1519" t="s">
        <v>413</v>
      </c>
      <c r="G199" s="1509" t="s">
        <v>2637</v>
      </c>
      <c r="H199" s="1530" t="s">
        <v>520</v>
      </c>
      <c r="I199" s="1509" t="s">
        <v>2638</v>
      </c>
      <c r="J199" s="1509" t="s">
        <v>521</v>
      </c>
      <c r="K199" s="1509" t="s">
        <v>522</v>
      </c>
      <c r="L199" s="1520"/>
      <c r="M199" s="1520"/>
      <c r="N199" s="1520" t="s">
        <v>2642</v>
      </c>
      <c r="O199" s="1225"/>
      <c r="P199" s="1228"/>
      <c r="Q199" s="1228"/>
      <c r="U199" s="220" t="s">
        <v>2640</v>
      </c>
      <c r="V199" s="220" t="s">
        <v>2640</v>
      </c>
      <c r="X199" s="255">
        <v>43682</v>
      </c>
      <c r="Y199" s="255">
        <v>43682</v>
      </c>
      <c r="AA199" s="255"/>
      <c r="AB199" s="220" t="s">
        <v>523</v>
      </c>
      <c r="AC199" s="220">
        <v>0</v>
      </c>
      <c r="AD199" s="220">
        <v>0</v>
      </c>
      <c r="AE199" s="220">
        <v>0</v>
      </c>
      <c r="AF199" s="220">
        <v>0</v>
      </c>
      <c r="AG199" s="220">
        <v>0</v>
      </c>
      <c r="AH199" s="220">
        <v>1</v>
      </c>
      <c r="AI199" s="220">
        <v>70095</v>
      </c>
      <c r="AJ199" s="220">
        <v>2180</v>
      </c>
      <c r="AK199" s="220">
        <v>0</v>
      </c>
      <c r="AL199" s="220">
        <v>0</v>
      </c>
      <c r="AO199" s="258"/>
      <c r="AP199" s="258"/>
      <c r="AQ199" s="220" t="str">
        <f t="shared" si="4"/>
        <v/>
      </c>
      <c r="AS199" s="220" t="str">
        <f t="shared" si="5"/>
        <v>wci_corp</v>
      </c>
    </row>
    <row r="200" spans="2:45">
      <c r="B200" s="1509" t="s">
        <v>2447</v>
      </c>
      <c r="C200" s="1529">
        <v>43677</v>
      </c>
      <c r="D200" s="1537">
        <v>28.42</v>
      </c>
      <c r="E200" s="1518">
        <v>0</v>
      </c>
      <c r="F200" s="1519" t="s">
        <v>413</v>
      </c>
      <c r="G200" s="1509" t="s">
        <v>2637</v>
      </c>
      <c r="H200" s="1530" t="s">
        <v>520</v>
      </c>
      <c r="I200" s="1509" t="s">
        <v>2638</v>
      </c>
      <c r="J200" s="1509" t="s">
        <v>521</v>
      </c>
      <c r="K200" s="1509" t="s">
        <v>522</v>
      </c>
      <c r="L200" s="1520"/>
      <c r="M200" s="1520"/>
      <c r="N200" s="1520" t="s">
        <v>2642</v>
      </c>
      <c r="O200" s="1225"/>
      <c r="P200" s="1228"/>
      <c r="Q200" s="1228"/>
      <c r="U200" s="220" t="s">
        <v>2640</v>
      </c>
      <c r="V200" s="220" t="s">
        <v>2640</v>
      </c>
      <c r="X200" s="255">
        <v>43682</v>
      </c>
      <c r="Y200" s="255">
        <v>43682</v>
      </c>
      <c r="AA200" s="255"/>
      <c r="AB200" s="220" t="s">
        <v>523</v>
      </c>
      <c r="AC200" s="220">
        <v>0</v>
      </c>
      <c r="AD200" s="220">
        <v>0</v>
      </c>
      <c r="AE200" s="220">
        <v>0</v>
      </c>
      <c r="AF200" s="220">
        <v>0</v>
      </c>
      <c r="AG200" s="220">
        <v>0</v>
      </c>
      <c r="AH200" s="220">
        <v>1</v>
      </c>
      <c r="AI200" s="220">
        <v>70095</v>
      </c>
      <c r="AJ200" s="220">
        <v>2180</v>
      </c>
      <c r="AK200" s="220">
        <v>0</v>
      </c>
      <c r="AL200" s="220">
        <v>0</v>
      </c>
      <c r="AO200" s="258"/>
      <c r="AP200" s="258"/>
      <c r="AQ200" s="220" t="str">
        <f t="shared" si="4"/>
        <v/>
      </c>
      <c r="AS200" s="220" t="str">
        <f t="shared" si="5"/>
        <v>wci_corp</v>
      </c>
    </row>
    <row r="201" spans="2:45">
      <c r="B201" s="1509" t="s">
        <v>2447</v>
      </c>
      <c r="C201" s="1529">
        <v>43677</v>
      </c>
      <c r="D201" s="1537">
        <v>12.98</v>
      </c>
      <c r="E201" s="1518">
        <v>0</v>
      </c>
      <c r="F201" s="1519" t="s">
        <v>413</v>
      </c>
      <c r="G201" s="1509" t="s">
        <v>2637</v>
      </c>
      <c r="H201" s="1530" t="s">
        <v>520</v>
      </c>
      <c r="I201" s="1509" t="s">
        <v>2638</v>
      </c>
      <c r="J201" s="1509" t="s">
        <v>521</v>
      </c>
      <c r="K201" s="1509" t="s">
        <v>522</v>
      </c>
      <c r="L201" s="1520"/>
      <c r="M201" s="1520"/>
      <c r="N201" s="1520" t="s">
        <v>2642</v>
      </c>
      <c r="O201" s="1225"/>
      <c r="P201" s="1228"/>
      <c r="Q201" s="1228"/>
      <c r="U201" s="220" t="s">
        <v>2640</v>
      </c>
      <c r="V201" s="220" t="s">
        <v>2640</v>
      </c>
      <c r="X201" s="255">
        <v>43682</v>
      </c>
      <c r="Y201" s="255">
        <v>43682</v>
      </c>
      <c r="AA201" s="255"/>
      <c r="AB201" s="220" t="s">
        <v>523</v>
      </c>
      <c r="AC201" s="220">
        <v>0</v>
      </c>
      <c r="AD201" s="220">
        <v>0</v>
      </c>
      <c r="AE201" s="220">
        <v>0</v>
      </c>
      <c r="AF201" s="220">
        <v>0</v>
      </c>
      <c r="AG201" s="220">
        <v>0</v>
      </c>
      <c r="AH201" s="220">
        <v>1</v>
      </c>
      <c r="AI201" s="220">
        <v>70095</v>
      </c>
      <c r="AJ201" s="220">
        <v>2180</v>
      </c>
      <c r="AK201" s="220">
        <v>0</v>
      </c>
      <c r="AL201" s="220">
        <v>0</v>
      </c>
      <c r="AO201" s="258"/>
      <c r="AP201" s="258"/>
      <c r="AQ201" s="220" t="str">
        <f t="shared" si="4"/>
        <v/>
      </c>
      <c r="AS201" s="220" t="str">
        <f t="shared" si="5"/>
        <v>wci_corp</v>
      </c>
    </row>
    <row r="202" spans="2:45">
      <c r="B202" s="1509" t="s">
        <v>2447</v>
      </c>
      <c r="C202" s="1529">
        <v>43677</v>
      </c>
      <c r="D202" s="1537">
        <v>37.25</v>
      </c>
      <c r="E202" s="1518">
        <v>0</v>
      </c>
      <c r="F202" s="1519" t="s">
        <v>413</v>
      </c>
      <c r="G202" s="1509" t="s">
        <v>2637</v>
      </c>
      <c r="H202" s="1530" t="s">
        <v>520</v>
      </c>
      <c r="I202" s="1509" t="s">
        <v>2638</v>
      </c>
      <c r="J202" s="1509" t="s">
        <v>521</v>
      </c>
      <c r="K202" s="1509" t="s">
        <v>522</v>
      </c>
      <c r="L202" s="1520"/>
      <c r="M202" s="1520"/>
      <c r="N202" s="1520" t="s">
        <v>2643</v>
      </c>
      <c r="O202" s="1225"/>
      <c r="P202" s="1228"/>
      <c r="Q202" s="1228"/>
      <c r="U202" s="220" t="s">
        <v>2640</v>
      </c>
      <c r="V202" s="220" t="s">
        <v>2640</v>
      </c>
      <c r="X202" s="255">
        <v>43682</v>
      </c>
      <c r="Y202" s="255">
        <v>43682</v>
      </c>
      <c r="AA202" s="255"/>
      <c r="AB202" s="220" t="s">
        <v>523</v>
      </c>
      <c r="AC202" s="220">
        <v>0</v>
      </c>
      <c r="AD202" s="220">
        <v>0</v>
      </c>
      <c r="AE202" s="220">
        <v>0</v>
      </c>
      <c r="AF202" s="220">
        <v>0</v>
      </c>
      <c r="AG202" s="220">
        <v>0</v>
      </c>
      <c r="AH202" s="220">
        <v>1</v>
      </c>
      <c r="AI202" s="220">
        <v>70095</v>
      </c>
      <c r="AJ202" s="220">
        <v>2180</v>
      </c>
      <c r="AK202" s="220">
        <v>0</v>
      </c>
      <c r="AL202" s="220">
        <v>0</v>
      </c>
      <c r="AO202" s="258"/>
      <c r="AP202" s="258"/>
      <c r="AQ202" s="220" t="str">
        <f t="shared" si="4"/>
        <v/>
      </c>
      <c r="AS202" s="220" t="str">
        <f t="shared" si="5"/>
        <v>wci_corp</v>
      </c>
    </row>
    <row r="203" spans="2:45">
      <c r="B203" s="1509" t="s">
        <v>2644</v>
      </c>
      <c r="C203" s="1529">
        <v>43677</v>
      </c>
      <c r="D203" s="1537">
        <v>153.03</v>
      </c>
      <c r="E203" s="1518">
        <v>0</v>
      </c>
      <c r="F203" s="1519" t="s">
        <v>413</v>
      </c>
      <c r="G203" s="1509" t="s">
        <v>2637</v>
      </c>
      <c r="H203" s="1530" t="s">
        <v>520</v>
      </c>
      <c r="I203" s="1509" t="s">
        <v>2638</v>
      </c>
      <c r="J203" s="1509" t="s">
        <v>521</v>
      </c>
      <c r="K203" s="1509" t="s">
        <v>522</v>
      </c>
      <c r="L203" s="1520"/>
      <c r="M203" s="1520"/>
      <c r="N203" s="1520" t="s">
        <v>2645</v>
      </c>
      <c r="O203" s="1225"/>
      <c r="P203" s="1228"/>
      <c r="Q203" s="1228"/>
      <c r="U203" s="220" t="s">
        <v>2640</v>
      </c>
      <c r="V203" s="220" t="s">
        <v>2640</v>
      </c>
      <c r="X203" s="255">
        <v>43682</v>
      </c>
      <c r="Y203" s="255">
        <v>43682</v>
      </c>
      <c r="AA203" s="255"/>
      <c r="AB203" s="220" t="s">
        <v>523</v>
      </c>
      <c r="AC203" s="220">
        <v>0</v>
      </c>
      <c r="AD203" s="220">
        <v>0</v>
      </c>
      <c r="AE203" s="220">
        <v>0</v>
      </c>
      <c r="AF203" s="220">
        <v>0</v>
      </c>
      <c r="AG203" s="220">
        <v>0</v>
      </c>
      <c r="AH203" s="220">
        <v>1</v>
      </c>
      <c r="AI203" s="220">
        <v>70095</v>
      </c>
      <c r="AJ203" s="220">
        <v>2180</v>
      </c>
      <c r="AK203" s="220">
        <v>700</v>
      </c>
      <c r="AL203" s="220">
        <v>0</v>
      </c>
      <c r="AO203" s="258"/>
      <c r="AP203" s="258"/>
      <c r="AQ203" s="220" t="str">
        <f t="shared" si="4"/>
        <v/>
      </c>
      <c r="AS203" s="220" t="str">
        <f t="shared" si="5"/>
        <v>wci_corp</v>
      </c>
    </row>
    <row r="204" spans="2:45">
      <c r="B204" s="1509" t="s">
        <v>2447</v>
      </c>
      <c r="C204" s="1529">
        <v>43677</v>
      </c>
      <c r="D204" s="1537">
        <v>109.46</v>
      </c>
      <c r="E204" s="1518">
        <v>0</v>
      </c>
      <c r="F204" s="1519" t="s">
        <v>413</v>
      </c>
      <c r="G204" s="1509" t="s">
        <v>2646</v>
      </c>
      <c r="H204" s="1530" t="s">
        <v>520</v>
      </c>
      <c r="I204" s="1509" t="s">
        <v>1064</v>
      </c>
      <c r="J204" s="1509" t="s">
        <v>521</v>
      </c>
      <c r="K204" s="1509" t="s">
        <v>522</v>
      </c>
      <c r="L204" s="1520"/>
      <c r="M204" s="1520"/>
      <c r="N204" s="1520" t="s">
        <v>2647</v>
      </c>
      <c r="O204" s="1225"/>
      <c r="P204" s="1228"/>
      <c r="Q204" s="1228"/>
      <c r="U204" s="220" t="s">
        <v>2648</v>
      </c>
      <c r="V204" s="220" t="s">
        <v>2648</v>
      </c>
      <c r="X204" s="255">
        <v>43683</v>
      </c>
      <c r="Y204" s="255">
        <v>43683</v>
      </c>
      <c r="AA204" s="255"/>
      <c r="AB204" s="220" t="s">
        <v>523</v>
      </c>
      <c r="AC204" s="220">
        <v>0</v>
      </c>
      <c r="AD204" s="220">
        <v>0</v>
      </c>
      <c r="AE204" s="220">
        <v>0</v>
      </c>
      <c r="AF204" s="220">
        <v>0</v>
      </c>
      <c r="AG204" s="220">
        <v>0</v>
      </c>
      <c r="AH204" s="220">
        <v>1</v>
      </c>
      <c r="AI204" s="220">
        <v>70095</v>
      </c>
      <c r="AJ204" s="220">
        <v>2180</v>
      </c>
      <c r="AK204" s="220">
        <v>0</v>
      </c>
      <c r="AL204" s="220">
        <v>0</v>
      </c>
      <c r="AO204" s="258"/>
      <c r="AP204" s="258"/>
      <c r="AQ204" s="220" t="str">
        <f t="shared" si="4"/>
        <v/>
      </c>
      <c r="AS204" s="220" t="str">
        <f t="shared" si="5"/>
        <v>wci_corp</v>
      </c>
    </row>
    <row r="205" spans="2:45">
      <c r="B205" s="1509" t="s">
        <v>2447</v>
      </c>
      <c r="C205" s="1529">
        <v>43677</v>
      </c>
      <c r="D205" s="1537">
        <v>162.86000000000001</v>
      </c>
      <c r="E205" s="1518">
        <v>0</v>
      </c>
      <c r="F205" s="1519" t="s">
        <v>413</v>
      </c>
      <c r="G205" s="1509" t="s">
        <v>2646</v>
      </c>
      <c r="H205" s="1530" t="s">
        <v>520</v>
      </c>
      <c r="I205" s="1509" t="s">
        <v>1064</v>
      </c>
      <c r="J205" s="1509" t="s">
        <v>521</v>
      </c>
      <c r="K205" s="1509" t="s">
        <v>522</v>
      </c>
      <c r="L205" s="1520"/>
      <c r="M205" s="1520"/>
      <c r="N205" s="1520" t="s">
        <v>2567</v>
      </c>
      <c r="O205" s="1225"/>
      <c r="P205" s="1228"/>
      <c r="Q205" s="1228"/>
      <c r="U205" s="220" t="s">
        <v>2648</v>
      </c>
      <c r="V205" s="220" t="s">
        <v>2648</v>
      </c>
      <c r="X205" s="255">
        <v>43683</v>
      </c>
      <c r="Y205" s="255">
        <v>43683</v>
      </c>
      <c r="AA205" s="255"/>
      <c r="AB205" s="220" t="s">
        <v>523</v>
      </c>
      <c r="AC205" s="220">
        <v>0</v>
      </c>
      <c r="AD205" s="220">
        <v>0</v>
      </c>
      <c r="AE205" s="220">
        <v>0</v>
      </c>
      <c r="AF205" s="220">
        <v>0</v>
      </c>
      <c r="AG205" s="220">
        <v>0</v>
      </c>
      <c r="AH205" s="220">
        <v>1</v>
      </c>
      <c r="AI205" s="220">
        <v>70095</v>
      </c>
      <c r="AJ205" s="220">
        <v>2180</v>
      </c>
      <c r="AK205" s="220">
        <v>0</v>
      </c>
      <c r="AL205" s="220">
        <v>0</v>
      </c>
      <c r="AO205" s="258"/>
      <c r="AP205" s="258"/>
      <c r="AQ205" s="220" t="str">
        <f t="shared" si="4"/>
        <v/>
      </c>
      <c r="AS205" s="220" t="str">
        <f t="shared" si="5"/>
        <v>wci_corp</v>
      </c>
    </row>
    <row r="206" spans="2:45">
      <c r="B206" s="1509" t="s">
        <v>2447</v>
      </c>
      <c r="C206" s="1529">
        <v>43677</v>
      </c>
      <c r="D206" s="1537">
        <v>1761.33</v>
      </c>
      <c r="E206" s="1518">
        <v>0</v>
      </c>
      <c r="F206" s="1519" t="s">
        <v>413</v>
      </c>
      <c r="G206" s="1509" t="s">
        <v>2649</v>
      </c>
      <c r="H206" s="1530" t="s">
        <v>520</v>
      </c>
      <c r="I206" s="1509" t="s">
        <v>1150</v>
      </c>
      <c r="J206" s="1509" t="s">
        <v>521</v>
      </c>
      <c r="K206" s="1509" t="s">
        <v>522</v>
      </c>
      <c r="L206" s="1520"/>
      <c r="M206" s="1520"/>
      <c r="N206" s="1520" t="s">
        <v>2577</v>
      </c>
      <c r="O206" s="1225"/>
      <c r="P206" s="1228"/>
      <c r="Q206" s="1228"/>
      <c r="U206" s="220" t="s">
        <v>2650</v>
      </c>
      <c r="V206" s="220" t="s">
        <v>2650</v>
      </c>
      <c r="X206" s="255">
        <v>43683</v>
      </c>
      <c r="Y206" s="255">
        <v>43683</v>
      </c>
      <c r="AA206" s="255"/>
      <c r="AB206" s="220" t="s">
        <v>523</v>
      </c>
      <c r="AC206" s="220">
        <v>0</v>
      </c>
      <c r="AD206" s="220">
        <v>0</v>
      </c>
      <c r="AE206" s="220">
        <v>0</v>
      </c>
      <c r="AF206" s="220">
        <v>0</v>
      </c>
      <c r="AG206" s="220">
        <v>0</v>
      </c>
      <c r="AH206" s="220">
        <v>1</v>
      </c>
      <c r="AI206" s="220">
        <v>70095</v>
      </c>
      <c r="AJ206" s="220">
        <v>2180</v>
      </c>
      <c r="AK206" s="220">
        <v>0</v>
      </c>
      <c r="AL206" s="220">
        <v>0</v>
      </c>
      <c r="AO206" s="258"/>
      <c r="AP206" s="258"/>
      <c r="AQ206" s="220" t="str">
        <f t="shared" si="4"/>
        <v/>
      </c>
      <c r="AS206" s="220" t="str">
        <f t="shared" si="5"/>
        <v>wci_corp</v>
      </c>
    </row>
    <row r="207" spans="2:45">
      <c r="B207" s="1509" t="s">
        <v>2447</v>
      </c>
      <c r="C207" s="1529">
        <v>43677</v>
      </c>
      <c r="D207" s="1537">
        <v>138.22999999999999</v>
      </c>
      <c r="E207" s="1518">
        <v>0</v>
      </c>
      <c r="F207" s="1519" t="s">
        <v>413</v>
      </c>
      <c r="G207" s="1509" t="s">
        <v>2649</v>
      </c>
      <c r="H207" s="1530" t="s">
        <v>520</v>
      </c>
      <c r="I207" s="1509" t="s">
        <v>1150</v>
      </c>
      <c r="J207" s="1509" t="s">
        <v>521</v>
      </c>
      <c r="K207" s="1509" t="s">
        <v>522</v>
      </c>
      <c r="L207" s="1520"/>
      <c r="M207" s="1520"/>
      <c r="N207" s="1520" t="s">
        <v>2651</v>
      </c>
      <c r="O207" s="1225"/>
      <c r="P207" s="1228"/>
      <c r="Q207" s="1228"/>
      <c r="U207" s="220" t="s">
        <v>2650</v>
      </c>
      <c r="V207" s="220" t="s">
        <v>2650</v>
      </c>
      <c r="X207" s="255">
        <v>43683</v>
      </c>
      <c r="Y207" s="255">
        <v>43683</v>
      </c>
      <c r="AA207" s="255"/>
      <c r="AB207" s="220" t="s">
        <v>523</v>
      </c>
      <c r="AC207" s="220">
        <v>0</v>
      </c>
      <c r="AD207" s="220">
        <v>0</v>
      </c>
      <c r="AE207" s="220">
        <v>0</v>
      </c>
      <c r="AF207" s="220">
        <v>0</v>
      </c>
      <c r="AG207" s="220">
        <v>0</v>
      </c>
      <c r="AH207" s="220">
        <v>1</v>
      </c>
      <c r="AI207" s="220">
        <v>70095</v>
      </c>
      <c r="AJ207" s="220">
        <v>2180</v>
      </c>
      <c r="AK207" s="220">
        <v>0</v>
      </c>
      <c r="AL207" s="220">
        <v>0</v>
      </c>
      <c r="AO207" s="258"/>
      <c r="AP207" s="258"/>
      <c r="AQ207" s="220" t="str">
        <f t="shared" si="4"/>
        <v/>
      </c>
      <c r="AS207" s="220" t="str">
        <f t="shared" si="5"/>
        <v>wci_corp</v>
      </c>
    </row>
    <row r="208" spans="2:45">
      <c r="B208" s="1509" t="s">
        <v>2447</v>
      </c>
      <c r="C208" s="1529">
        <v>43677</v>
      </c>
      <c r="D208" s="1537">
        <v>324.44</v>
      </c>
      <c r="E208" s="1518">
        <v>0</v>
      </c>
      <c r="F208" s="1519" t="s">
        <v>413</v>
      </c>
      <c r="G208" s="1509" t="s">
        <v>2652</v>
      </c>
      <c r="H208" s="1530" t="s">
        <v>520</v>
      </c>
      <c r="I208" s="1509" t="s">
        <v>2583</v>
      </c>
      <c r="J208" s="1509" t="s">
        <v>543</v>
      </c>
      <c r="K208" s="1509" t="s">
        <v>522</v>
      </c>
      <c r="L208" s="1520"/>
      <c r="M208" s="1520"/>
      <c r="N208" s="1520" t="s">
        <v>2584</v>
      </c>
      <c r="O208" s="1225"/>
      <c r="P208" s="1228"/>
      <c r="Q208" s="1228"/>
      <c r="U208" s="220" t="s">
        <v>2653</v>
      </c>
      <c r="V208" s="220" t="s">
        <v>2653</v>
      </c>
      <c r="X208" s="255">
        <v>43683</v>
      </c>
      <c r="Y208" s="255">
        <v>43684</v>
      </c>
      <c r="AA208" s="255"/>
      <c r="AB208" s="220" t="s">
        <v>523</v>
      </c>
      <c r="AC208" s="220">
        <v>0</v>
      </c>
      <c r="AD208" s="220">
        <v>0</v>
      </c>
      <c r="AE208" s="220">
        <v>0</v>
      </c>
      <c r="AF208" s="220">
        <v>0</v>
      </c>
      <c r="AG208" s="220">
        <v>0</v>
      </c>
      <c r="AH208" s="220">
        <v>1</v>
      </c>
      <c r="AI208" s="220">
        <v>70095</v>
      </c>
      <c r="AJ208" s="220">
        <v>2180</v>
      </c>
      <c r="AK208" s="220">
        <v>0</v>
      </c>
      <c r="AL208" s="220">
        <v>0</v>
      </c>
      <c r="AO208" s="258"/>
      <c r="AP208" s="258"/>
      <c r="AQ208" s="220" t="str">
        <f t="shared" si="4"/>
        <v/>
      </c>
      <c r="AS208" s="220" t="str">
        <f t="shared" si="5"/>
        <v>wci_corp</v>
      </c>
    </row>
    <row r="209" spans="2:45">
      <c r="B209" s="1509" t="s">
        <v>2447</v>
      </c>
      <c r="C209" s="1529">
        <v>43708</v>
      </c>
      <c r="D209" s="1537">
        <v>-109.46</v>
      </c>
      <c r="E209" s="1518">
        <v>0</v>
      </c>
      <c r="F209" s="1519" t="s">
        <v>413</v>
      </c>
      <c r="G209" s="1509" t="s">
        <v>2654</v>
      </c>
      <c r="H209" s="1530" t="s">
        <v>520</v>
      </c>
      <c r="I209" s="1509" t="s">
        <v>1064</v>
      </c>
      <c r="J209" s="1509" t="s">
        <v>543</v>
      </c>
      <c r="K209" s="1509" t="s">
        <v>522</v>
      </c>
      <c r="L209" s="1520"/>
      <c r="M209" s="1520"/>
      <c r="N209" s="1520" t="s">
        <v>2647</v>
      </c>
      <c r="O209" s="1225"/>
      <c r="P209" s="1228"/>
      <c r="Q209" s="1228"/>
      <c r="U209" s="220" t="s">
        <v>2648</v>
      </c>
      <c r="V209" s="220" t="s">
        <v>2655</v>
      </c>
      <c r="X209" s="255">
        <v>43683</v>
      </c>
      <c r="Y209" s="255">
        <v>43683</v>
      </c>
      <c r="AA209" s="255"/>
      <c r="AB209" s="220" t="s">
        <v>523</v>
      </c>
      <c r="AC209" s="220">
        <v>0</v>
      </c>
      <c r="AD209" s="220">
        <v>0</v>
      </c>
      <c r="AE209" s="220">
        <v>0</v>
      </c>
      <c r="AF209" s="220">
        <v>0</v>
      </c>
      <c r="AG209" s="220">
        <v>5</v>
      </c>
      <c r="AH209" s="220">
        <v>1</v>
      </c>
      <c r="AI209" s="220">
        <v>70095</v>
      </c>
      <c r="AJ209" s="220">
        <v>2180</v>
      </c>
      <c r="AK209" s="220">
        <v>0</v>
      </c>
      <c r="AL209" s="220">
        <v>0</v>
      </c>
      <c r="AO209" s="258"/>
      <c r="AP209" s="258"/>
      <c r="AQ209" s="220" t="str">
        <f t="shared" si="4"/>
        <v/>
      </c>
      <c r="AS209" s="220" t="str">
        <f t="shared" si="5"/>
        <v>wci_corp</v>
      </c>
    </row>
    <row r="210" spans="2:45">
      <c r="B210" s="1509" t="s">
        <v>2447</v>
      </c>
      <c r="C210" s="1529">
        <v>43708</v>
      </c>
      <c r="D210" s="1537">
        <v>-162.86000000000001</v>
      </c>
      <c r="E210" s="1518">
        <v>0</v>
      </c>
      <c r="F210" s="1519" t="s">
        <v>413</v>
      </c>
      <c r="G210" s="1509" t="s">
        <v>2654</v>
      </c>
      <c r="H210" s="1530" t="s">
        <v>520</v>
      </c>
      <c r="I210" s="1509" t="s">
        <v>1064</v>
      </c>
      <c r="J210" s="1509" t="s">
        <v>543</v>
      </c>
      <c r="K210" s="1509" t="s">
        <v>522</v>
      </c>
      <c r="L210" s="1520"/>
      <c r="M210" s="1520"/>
      <c r="N210" s="1520" t="s">
        <v>2567</v>
      </c>
      <c r="O210" s="1225"/>
      <c r="P210" s="1228"/>
      <c r="Q210" s="1228"/>
      <c r="U210" s="220" t="s">
        <v>2648</v>
      </c>
      <c r="V210" s="220" t="s">
        <v>2655</v>
      </c>
      <c r="X210" s="255">
        <v>43683</v>
      </c>
      <c r="Y210" s="255">
        <v>43683</v>
      </c>
      <c r="AA210" s="255"/>
      <c r="AB210" s="220" t="s">
        <v>523</v>
      </c>
      <c r="AC210" s="220">
        <v>0</v>
      </c>
      <c r="AD210" s="220">
        <v>0</v>
      </c>
      <c r="AE210" s="220">
        <v>0</v>
      </c>
      <c r="AF210" s="220">
        <v>0</v>
      </c>
      <c r="AG210" s="220">
        <v>5</v>
      </c>
      <c r="AH210" s="220">
        <v>1</v>
      </c>
      <c r="AI210" s="220">
        <v>70095</v>
      </c>
      <c r="AJ210" s="220">
        <v>2180</v>
      </c>
      <c r="AK210" s="220">
        <v>0</v>
      </c>
      <c r="AL210" s="220">
        <v>0</v>
      </c>
      <c r="AO210" s="258"/>
      <c r="AP210" s="258"/>
      <c r="AQ210" s="220" t="str">
        <f t="shared" si="4"/>
        <v/>
      </c>
      <c r="AS210" s="220" t="str">
        <f t="shared" si="5"/>
        <v>wci_corp</v>
      </c>
    </row>
    <row r="211" spans="2:45">
      <c r="B211" s="1509" t="s">
        <v>2447</v>
      </c>
      <c r="C211" s="1529">
        <v>43708</v>
      </c>
      <c r="D211" s="1537">
        <v>128.21</v>
      </c>
      <c r="E211" s="1518">
        <v>0</v>
      </c>
      <c r="F211" s="1519" t="s">
        <v>413</v>
      </c>
      <c r="G211" s="1509" t="s">
        <v>1107</v>
      </c>
      <c r="H211" s="1530" t="s">
        <v>520</v>
      </c>
      <c r="I211" s="1509" t="s">
        <v>1108</v>
      </c>
      <c r="J211" s="1509" t="s">
        <v>689</v>
      </c>
      <c r="K211" s="1509" t="s">
        <v>522</v>
      </c>
      <c r="L211" s="1520"/>
      <c r="M211" s="1520"/>
      <c r="N211" s="1520" t="s">
        <v>2656</v>
      </c>
      <c r="O211" s="1225"/>
      <c r="P211" s="1228"/>
      <c r="Q211" s="1228"/>
      <c r="U211" s="220" t="s">
        <v>1110</v>
      </c>
      <c r="V211" s="220" t="s">
        <v>1110</v>
      </c>
      <c r="X211" s="255">
        <v>43712</v>
      </c>
      <c r="Y211" s="255">
        <v>43712</v>
      </c>
      <c r="AA211" s="255"/>
      <c r="AB211" s="220" t="s">
        <v>523</v>
      </c>
      <c r="AC211" s="220">
        <v>0</v>
      </c>
      <c r="AD211" s="220">
        <v>0</v>
      </c>
      <c r="AE211" s="220">
        <v>0</v>
      </c>
      <c r="AF211" s="220">
        <v>0</v>
      </c>
      <c r="AG211" s="220">
        <v>0</v>
      </c>
      <c r="AH211" s="220">
        <v>1</v>
      </c>
      <c r="AI211" s="220">
        <v>70095</v>
      </c>
      <c r="AJ211" s="220">
        <v>2180</v>
      </c>
      <c r="AK211" s="220">
        <v>0</v>
      </c>
      <c r="AL211" s="220">
        <v>0</v>
      </c>
      <c r="AO211" s="258"/>
      <c r="AP211" s="258"/>
      <c r="AQ211" s="220" t="str">
        <f t="shared" si="4"/>
        <v/>
      </c>
      <c r="AS211" s="220" t="str">
        <f t="shared" si="5"/>
        <v>wci_corp</v>
      </c>
    </row>
    <row r="212" spans="2:45">
      <c r="B212" s="1509" t="s">
        <v>2447</v>
      </c>
      <c r="C212" s="1529">
        <v>43708</v>
      </c>
      <c r="D212" s="1537">
        <v>64.5</v>
      </c>
      <c r="E212" s="1518">
        <v>0</v>
      </c>
      <c r="F212" s="1519" t="s">
        <v>413</v>
      </c>
      <c r="G212" s="1509" t="s">
        <v>1107</v>
      </c>
      <c r="H212" s="1530" t="s">
        <v>520</v>
      </c>
      <c r="I212" s="1509" t="s">
        <v>1108</v>
      </c>
      <c r="J212" s="1509" t="s">
        <v>689</v>
      </c>
      <c r="K212" s="1509" t="s">
        <v>522</v>
      </c>
      <c r="L212" s="1520"/>
      <c r="M212" s="1520"/>
      <c r="N212" s="1520" t="s">
        <v>2657</v>
      </c>
      <c r="O212" s="1225"/>
      <c r="P212" s="1228"/>
      <c r="Q212" s="1228"/>
      <c r="U212" s="220" t="s">
        <v>1110</v>
      </c>
      <c r="V212" s="220" t="s">
        <v>1110</v>
      </c>
      <c r="X212" s="255">
        <v>43712</v>
      </c>
      <c r="Y212" s="255">
        <v>43712</v>
      </c>
      <c r="AA212" s="255"/>
      <c r="AB212" s="220" t="s">
        <v>523</v>
      </c>
      <c r="AC212" s="220">
        <v>0</v>
      </c>
      <c r="AD212" s="220">
        <v>0</v>
      </c>
      <c r="AE212" s="220">
        <v>0</v>
      </c>
      <c r="AF212" s="220">
        <v>0</v>
      </c>
      <c r="AG212" s="220">
        <v>0</v>
      </c>
      <c r="AH212" s="220">
        <v>1</v>
      </c>
      <c r="AI212" s="220">
        <v>70095</v>
      </c>
      <c r="AJ212" s="220">
        <v>2180</v>
      </c>
      <c r="AK212" s="220">
        <v>0</v>
      </c>
      <c r="AL212" s="220">
        <v>0</v>
      </c>
      <c r="AO212" s="258"/>
      <c r="AP212" s="258"/>
      <c r="AQ212" s="220" t="str">
        <f t="shared" si="4"/>
        <v/>
      </c>
      <c r="AS212" s="220" t="str">
        <f t="shared" si="5"/>
        <v>wci_corp</v>
      </c>
    </row>
    <row r="213" spans="2:45">
      <c r="B213" s="1509" t="s">
        <v>2447</v>
      </c>
      <c r="C213" s="1529">
        <v>43708</v>
      </c>
      <c r="D213" s="1537">
        <v>33.67</v>
      </c>
      <c r="E213" s="1518">
        <v>0</v>
      </c>
      <c r="F213" s="1519" t="s">
        <v>413</v>
      </c>
      <c r="G213" s="1509" t="s">
        <v>1107</v>
      </c>
      <c r="H213" s="1530" t="s">
        <v>520</v>
      </c>
      <c r="I213" s="1509" t="s">
        <v>1108</v>
      </c>
      <c r="J213" s="1509" t="s">
        <v>689</v>
      </c>
      <c r="K213" s="1509" t="s">
        <v>522</v>
      </c>
      <c r="L213" s="1520"/>
      <c r="M213" s="1520"/>
      <c r="N213" s="1520" t="s">
        <v>2658</v>
      </c>
      <c r="O213" s="1225"/>
      <c r="P213" s="1228"/>
      <c r="Q213" s="1228"/>
      <c r="U213" s="220" t="s">
        <v>1110</v>
      </c>
      <c r="V213" s="220" t="s">
        <v>1110</v>
      </c>
      <c r="X213" s="255">
        <v>43712</v>
      </c>
      <c r="Y213" s="255">
        <v>43712</v>
      </c>
      <c r="AA213" s="255"/>
      <c r="AB213" s="220" t="s">
        <v>523</v>
      </c>
      <c r="AC213" s="220">
        <v>0</v>
      </c>
      <c r="AD213" s="220">
        <v>0</v>
      </c>
      <c r="AE213" s="220">
        <v>0</v>
      </c>
      <c r="AF213" s="220">
        <v>0</v>
      </c>
      <c r="AG213" s="220">
        <v>0</v>
      </c>
      <c r="AH213" s="220">
        <v>1</v>
      </c>
      <c r="AI213" s="220">
        <v>70095</v>
      </c>
      <c r="AJ213" s="220">
        <v>2180</v>
      </c>
      <c r="AK213" s="220">
        <v>0</v>
      </c>
      <c r="AL213" s="220">
        <v>0</v>
      </c>
      <c r="AO213" s="258"/>
      <c r="AP213" s="258"/>
      <c r="AQ213" s="220" t="str">
        <f t="shared" ref="AQ213:AQ276" si="6">IF(LEFT(U213,2)="VO",U213,"")</f>
        <v/>
      </c>
      <c r="AS213" s="220" t="str">
        <f t="shared" ref="AS213:AS276" si="7">IF(RIGHT(K213,2)="IC",IF(OR(AB213="wci_canada",AB213="wci_can_corp"),"wci_can_Corp","wci_corp"),AB213)</f>
        <v>wci_corp</v>
      </c>
    </row>
    <row r="214" spans="2:45">
      <c r="B214" s="1509" t="s">
        <v>2447</v>
      </c>
      <c r="C214" s="1529">
        <v>43708</v>
      </c>
      <c r="D214" s="1537">
        <v>67.12</v>
      </c>
      <c r="E214" s="1518">
        <v>0</v>
      </c>
      <c r="F214" s="1519" t="s">
        <v>413</v>
      </c>
      <c r="G214" s="1509" t="s">
        <v>1107</v>
      </c>
      <c r="H214" s="1530" t="s">
        <v>520</v>
      </c>
      <c r="I214" s="1509" t="s">
        <v>1108</v>
      </c>
      <c r="J214" s="1509" t="s">
        <v>689</v>
      </c>
      <c r="K214" s="1509" t="s">
        <v>522</v>
      </c>
      <c r="L214" s="1520"/>
      <c r="M214" s="1520"/>
      <c r="N214" s="1520" t="s">
        <v>2659</v>
      </c>
      <c r="O214" s="1225"/>
      <c r="P214" s="1228"/>
      <c r="Q214" s="1228"/>
      <c r="U214" s="220" t="s">
        <v>1110</v>
      </c>
      <c r="V214" s="220" t="s">
        <v>1110</v>
      </c>
      <c r="X214" s="255">
        <v>43712</v>
      </c>
      <c r="Y214" s="255">
        <v>43712</v>
      </c>
      <c r="AA214" s="255"/>
      <c r="AB214" s="220" t="s">
        <v>523</v>
      </c>
      <c r="AC214" s="220">
        <v>0</v>
      </c>
      <c r="AD214" s="220">
        <v>0</v>
      </c>
      <c r="AE214" s="220">
        <v>0</v>
      </c>
      <c r="AF214" s="220">
        <v>0</v>
      </c>
      <c r="AG214" s="220">
        <v>0</v>
      </c>
      <c r="AH214" s="220">
        <v>1</v>
      </c>
      <c r="AI214" s="220">
        <v>70095</v>
      </c>
      <c r="AJ214" s="220">
        <v>2180</v>
      </c>
      <c r="AK214" s="220">
        <v>0</v>
      </c>
      <c r="AL214" s="220">
        <v>0</v>
      </c>
      <c r="AO214" s="258"/>
      <c r="AP214" s="258"/>
      <c r="AQ214" s="220" t="str">
        <f t="shared" si="6"/>
        <v/>
      </c>
      <c r="AS214" s="220" t="str">
        <f t="shared" si="7"/>
        <v>wci_corp</v>
      </c>
    </row>
    <row r="215" spans="2:45">
      <c r="B215" s="1509" t="s">
        <v>2447</v>
      </c>
      <c r="C215" s="1529">
        <v>43708</v>
      </c>
      <c r="D215" s="1537">
        <v>101.98</v>
      </c>
      <c r="E215" s="1518">
        <v>0</v>
      </c>
      <c r="F215" s="1519" t="s">
        <v>413</v>
      </c>
      <c r="G215" s="1509" t="s">
        <v>1107</v>
      </c>
      <c r="H215" s="1530" t="s">
        <v>520</v>
      </c>
      <c r="I215" s="1509" t="s">
        <v>1108</v>
      </c>
      <c r="J215" s="1509" t="s">
        <v>689</v>
      </c>
      <c r="K215" s="1509" t="s">
        <v>522</v>
      </c>
      <c r="L215" s="1520"/>
      <c r="M215" s="1520"/>
      <c r="N215" s="1520" t="s">
        <v>2500</v>
      </c>
      <c r="O215" s="1225"/>
      <c r="P215" s="1228"/>
      <c r="Q215" s="1228"/>
      <c r="U215" s="220" t="s">
        <v>1110</v>
      </c>
      <c r="V215" s="220" t="s">
        <v>1110</v>
      </c>
      <c r="X215" s="255">
        <v>43712</v>
      </c>
      <c r="Y215" s="255">
        <v>43712</v>
      </c>
      <c r="AA215" s="255"/>
      <c r="AB215" s="220" t="s">
        <v>523</v>
      </c>
      <c r="AC215" s="220">
        <v>0</v>
      </c>
      <c r="AD215" s="220">
        <v>0</v>
      </c>
      <c r="AE215" s="220">
        <v>0</v>
      </c>
      <c r="AF215" s="220">
        <v>0</v>
      </c>
      <c r="AG215" s="220">
        <v>0</v>
      </c>
      <c r="AH215" s="220">
        <v>1</v>
      </c>
      <c r="AI215" s="220">
        <v>70095</v>
      </c>
      <c r="AJ215" s="220">
        <v>2180</v>
      </c>
      <c r="AK215" s="220">
        <v>0</v>
      </c>
      <c r="AL215" s="220">
        <v>0</v>
      </c>
      <c r="AO215" s="258"/>
      <c r="AP215" s="258"/>
      <c r="AQ215" s="220" t="str">
        <f t="shared" si="6"/>
        <v/>
      </c>
      <c r="AS215" s="220" t="str">
        <f t="shared" si="7"/>
        <v>wci_corp</v>
      </c>
    </row>
    <row r="216" spans="2:45">
      <c r="B216" s="1509" t="s">
        <v>2447</v>
      </c>
      <c r="C216" s="1529">
        <v>43708</v>
      </c>
      <c r="D216" s="1537">
        <v>25.56</v>
      </c>
      <c r="E216" s="1518">
        <v>0</v>
      </c>
      <c r="F216" s="1519" t="s">
        <v>413</v>
      </c>
      <c r="G216" s="1509" t="s">
        <v>1107</v>
      </c>
      <c r="H216" s="1530" t="s">
        <v>520</v>
      </c>
      <c r="I216" s="1509" t="s">
        <v>1108</v>
      </c>
      <c r="J216" s="1509" t="s">
        <v>689</v>
      </c>
      <c r="K216" s="1509" t="s">
        <v>522</v>
      </c>
      <c r="L216" s="1520"/>
      <c r="M216" s="1520"/>
      <c r="N216" s="1520" t="s">
        <v>2660</v>
      </c>
      <c r="O216" s="1225"/>
      <c r="P216" s="1228"/>
      <c r="Q216" s="1228"/>
      <c r="U216" s="220" t="s">
        <v>1110</v>
      </c>
      <c r="V216" s="220" t="s">
        <v>1110</v>
      </c>
      <c r="X216" s="255">
        <v>43712</v>
      </c>
      <c r="Y216" s="255">
        <v>43712</v>
      </c>
      <c r="AA216" s="255"/>
      <c r="AB216" s="220" t="s">
        <v>523</v>
      </c>
      <c r="AC216" s="220">
        <v>0</v>
      </c>
      <c r="AD216" s="220">
        <v>0</v>
      </c>
      <c r="AE216" s="220">
        <v>0</v>
      </c>
      <c r="AF216" s="220">
        <v>0</v>
      </c>
      <c r="AG216" s="220">
        <v>0</v>
      </c>
      <c r="AH216" s="220">
        <v>1</v>
      </c>
      <c r="AI216" s="220">
        <v>70095</v>
      </c>
      <c r="AJ216" s="220">
        <v>2180</v>
      </c>
      <c r="AK216" s="220">
        <v>0</v>
      </c>
      <c r="AL216" s="220">
        <v>0</v>
      </c>
      <c r="AO216" s="258"/>
      <c r="AP216" s="258"/>
      <c r="AQ216" s="220" t="str">
        <f t="shared" si="6"/>
        <v/>
      </c>
      <c r="AS216" s="220" t="str">
        <f t="shared" si="7"/>
        <v>wci_corp</v>
      </c>
    </row>
    <row r="217" spans="2:45">
      <c r="B217" s="1509" t="s">
        <v>2447</v>
      </c>
      <c r="C217" s="1529">
        <v>43708</v>
      </c>
      <c r="D217" s="1537">
        <v>115.31</v>
      </c>
      <c r="E217" s="1518">
        <v>0</v>
      </c>
      <c r="F217" s="1519" t="s">
        <v>413</v>
      </c>
      <c r="G217" s="1509" t="s">
        <v>1107</v>
      </c>
      <c r="H217" s="1530" t="s">
        <v>520</v>
      </c>
      <c r="I217" s="1509" t="s">
        <v>1108</v>
      </c>
      <c r="J217" s="1509" t="s">
        <v>689</v>
      </c>
      <c r="K217" s="1509" t="s">
        <v>522</v>
      </c>
      <c r="L217" s="1520"/>
      <c r="M217" s="1520"/>
      <c r="N217" s="1520" t="s">
        <v>2661</v>
      </c>
      <c r="O217" s="1225"/>
      <c r="P217" s="1228"/>
      <c r="Q217" s="1228"/>
      <c r="U217" s="220" t="s">
        <v>1110</v>
      </c>
      <c r="V217" s="220" t="s">
        <v>1110</v>
      </c>
      <c r="X217" s="255">
        <v>43712</v>
      </c>
      <c r="Y217" s="255">
        <v>43712</v>
      </c>
      <c r="AA217" s="255"/>
      <c r="AB217" s="220" t="s">
        <v>523</v>
      </c>
      <c r="AC217" s="220">
        <v>0</v>
      </c>
      <c r="AD217" s="220">
        <v>0</v>
      </c>
      <c r="AE217" s="220">
        <v>0</v>
      </c>
      <c r="AF217" s="220">
        <v>0</v>
      </c>
      <c r="AG217" s="220">
        <v>0</v>
      </c>
      <c r="AH217" s="220">
        <v>1</v>
      </c>
      <c r="AI217" s="220">
        <v>70095</v>
      </c>
      <c r="AJ217" s="220">
        <v>2180</v>
      </c>
      <c r="AK217" s="220">
        <v>0</v>
      </c>
      <c r="AL217" s="220">
        <v>0</v>
      </c>
      <c r="AO217" s="258"/>
      <c r="AP217" s="258"/>
      <c r="AQ217" s="220" t="str">
        <f t="shared" si="6"/>
        <v/>
      </c>
      <c r="AS217" s="220" t="str">
        <f t="shared" si="7"/>
        <v>wci_corp</v>
      </c>
    </row>
    <row r="218" spans="2:45">
      <c r="B218" s="1509" t="s">
        <v>2447</v>
      </c>
      <c r="C218" s="1529">
        <v>43708</v>
      </c>
      <c r="D218" s="1537">
        <v>34.020000000000003</v>
      </c>
      <c r="E218" s="1518">
        <v>0</v>
      </c>
      <c r="F218" s="1519" t="s">
        <v>413</v>
      </c>
      <c r="G218" s="1509" t="s">
        <v>1107</v>
      </c>
      <c r="H218" s="1530" t="s">
        <v>520</v>
      </c>
      <c r="I218" s="1509" t="s">
        <v>1108</v>
      </c>
      <c r="J218" s="1509" t="s">
        <v>689</v>
      </c>
      <c r="K218" s="1509" t="s">
        <v>522</v>
      </c>
      <c r="L218" s="1520"/>
      <c r="M218" s="1520"/>
      <c r="N218" s="1520" t="s">
        <v>2662</v>
      </c>
      <c r="O218" s="1225"/>
      <c r="P218" s="1228"/>
      <c r="Q218" s="1228"/>
      <c r="U218" s="220" t="s">
        <v>1110</v>
      </c>
      <c r="V218" s="220" t="s">
        <v>1110</v>
      </c>
      <c r="X218" s="255">
        <v>43712</v>
      </c>
      <c r="Y218" s="255">
        <v>43712</v>
      </c>
      <c r="AA218" s="255"/>
      <c r="AB218" s="220" t="s">
        <v>523</v>
      </c>
      <c r="AC218" s="220">
        <v>0</v>
      </c>
      <c r="AD218" s="220">
        <v>0</v>
      </c>
      <c r="AE218" s="220">
        <v>0</v>
      </c>
      <c r="AF218" s="220">
        <v>0</v>
      </c>
      <c r="AG218" s="220">
        <v>0</v>
      </c>
      <c r="AH218" s="220">
        <v>1</v>
      </c>
      <c r="AI218" s="220">
        <v>70095</v>
      </c>
      <c r="AJ218" s="220">
        <v>2180</v>
      </c>
      <c r="AK218" s="220">
        <v>0</v>
      </c>
      <c r="AL218" s="220">
        <v>0</v>
      </c>
      <c r="AO218" s="258"/>
      <c r="AP218" s="258"/>
      <c r="AQ218" s="220" t="str">
        <f t="shared" si="6"/>
        <v/>
      </c>
      <c r="AS218" s="220" t="str">
        <f t="shared" si="7"/>
        <v>wci_corp</v>
      </c>
    </row>
    <row r="219" spans="2:45">
      <c r="B219" s="1509" t="s">
        <v>2447</v>
      </c>
      <c r="C219" s="1529">
        <v>43708</v>
      </c>
      <c r="D219" s="1537">
        <v>45.78</v>
      </c>
      <c r="E219" s="1518">
        <v>0</v>
      </c>
      <c r="F219" s="1519" t="s">
        <v>413</v>
      </c>
      <c r="G219" s="1509" t="s">
        <v>1107</v>
      </c>
      <c r="H219" s="1530" t="s">
        <v>520</v>
      </c>
      <c r="I219" s="1509" t="s">
        <v>1108</v>
      </c>
      <c r="J219" s="1509" t="s">
        <v>689</v>
      </c>
      <c r="K219" s="1509" t="s">
        <v>522</v>
      </c>
      <c r="L219" s="1520"/>
      <c r="M219" s="1520"/>
      <c r="N219" s="1520" t="s">
        <v>2663</v>
      </c>
      <c r="O219" s="1225"/>
      <c r="P219" s="1228"/>
      <c r="Q219" s="1228"/>
      <c r="U219" s="220" t="s">
        <v>1110</v>
      </c>
      <c r="V219" s="220" t="s">
        <v>1110</v>
      </c>
      <c r="X219" s="255">
        <v>43712</v>
      </c>
      <c r="Y219" s="255">
        <v>43712</v>
      </c>
      <c r="AA219" s="255"/>
      <c r="AB219" s="220" t="s">
        <v>523</v>
      </c>
      <c r="AC219" s="220">
        <v>0</v>
      </c>
      <c r="AD219" s="220">
        <v>0</v>
      </c>
      <c r="AE219" s="220">
        <v>0</v>
      </c>
      <c r="AF219" s="220">
        <v>0</v>
      </c>
      <c r="AG219" s="220">
        <v>0</v>
      </c>
      <c r="AH219" s="220">
        <v>1</v>
      </c>
      <c r="AI219" s="220">
        <v>70095</v>
      </c>
      <c r="AJ219" s="220">
        <v>2180</v>
      </c>
      <c r="AK219" s="220">
        <v>0</v>
      </c>
      <c r="AL219" s="220">
        <v>0</v>
      </c>
      <c r="AO219" s="258"/>
      <c r="AP219" s="258"/>
      <c r="AQ219" s="220" t="str">
        <f t="shared" si="6"/>
        <v/>
      </c>
      <c r="AS219" s="220" t="str">
        <f t="shared" si="7"/>
        <v>wci_corp</v>
      </c>
    </row>
    <row r="220" spans="2:45">
      <c r="B220" s="1509" t="s">
        <v>2447</v>
      </c>
      <c r="C220" s="1529">
        <v>43708</v>
      </c>
      <c r="D220" s="1537">
        <v>61.97</v>
      </c>
      <c r="E220" s="1518">
        <v>0</v>
      </c>
      <c r="F220" s="1519" t="s">
        <v>413</v>
      </c>
      <c r="G220" s="1509" t="s">
        <v>1107</v>
      </c>
      <c r="H220" s="1530" t="s">
        <v>520</v>
      </c>
      <c r="I220" s="1509" t="s">
        <v>1108</v>
      </c>
      <c r="J220" s="1509" t="s">
        <v>689</v>
      </c>
      <c r="K220" s="1509" t="s">
        <v>522</v>
      </c>
      <c r="L220" s="1520"/>
      <c r="M220" s="1520"/>
      <c r="N220" s="1520" t="s">
        <v>2664</v>
      </c>
      <c r="O220" s="1225"/>
      <c r="P220" s="1228"/>
      <c r="Q220" s="1228"/>
      <c r="U220" s="220" t="s">
        <v>1110</v>
      </c>
      <c r="V220" s="220" t="s">
        <v>1110</v>
      </c>
      <c r="X220" s="255">
        <v>43712</v>
      </c>
      <c r="Y220" s="255">
        <v>43712</v>
      </c>
      <c r="AA220" s="255"/>
      <c r="AB220" s="220" t="s">
        <v>523</v>
      </c>
      <c r="AC220" s="220">
        <v>0</v>
      </c>
      <c r="AD220" s="220">
        <v>0</v>
      </c>
      <c r="AE220" s="220">
        <v>0</v>
      </c>
      <c r="AF220" s="220">
        <v>0</v>
      </c>
      <c r="AG220" s="220">
        <v>0</v>
      </c>
      <c r="AH220" s="220">
        <v>1</v>
      </c>
      <c r="AI220" s="220">
        <v>70095</v>
      </c>
      <c r="AJ220" s="220">
        <v>2180</v>
      </c>
      <c r="AK220" s="220">
        <v>0</v>
      </c>
      <c r="AL220" s="220">
        <v>0</v>
      </c>
      <c r="AO220" s="258"/>
      <c r="AP220" s="258"/>
      <c r="AQ220" s="220" t="str">
        <f t="shared" si="6"/>
        <v/>
      </c>
      <c r="AS220" s="220" t="str">
        <f t="shared" si="7"/>
        <v>wci_corp</v>
      </c>
    </row>
    <row r="221" spans="2:45">
      <c r="B221" s="1509" t="s">
        <v>2447</v>
      </c>
      <c r="C221" s="1529">
        <v>43708</v>
      </c>
      <c r="D221" s="1537">
        <v>27</v>
      </c>
      <c r="E221" s="1518">
        <v>0</v>
      </c>
      <c r="F221" s="1519" t="s">
        <v>413</v>
      </c>
      <c r="G221" s="1509" t="s">
        <v>1107</v>
      </c>
      <c r="H221" s="1530" t="s">
        <v>520</v>
      </c>
      <c r="I221" s="1509" t="s">
        <v>1108</v>
      </c>
      <c r="J221" s="1509" t="s">
        <v>689</v>
      </c>
      <c r="K221" s="1509" t="s">
        <v>522</v>
      </c>
      <c r="L221" s="1520"/>
      <c r="M221" s="1520"/>
      <c r="N221" s="1520" t="s">
        <v>2665</v>
      </c>
      <c r="O221" s="1225"/>
      <c r="P221" s="1228"/>
      <c r="Q221" s="1228"/>
      <c r="U221" s="220" t="s">
        <v>1110</v>
      </c>
      <c r="V221" s="220" t="s">
        <v>1110</v>
      </c>
      <c r="X221" s="255">
        <v>43712</v>
      </c>
      <c r="Y221" s="255">
        <v>43712</v>
      </c>
      <c r="AA221" s="255"/>
      <c r="AB221" s="220" t="s">
        <v>523</v>
      </c>
      <c r="AC221" s="220">
        <v>0</v>
      </c>
      <c r="AD221" s="220">
        <v>0</v>
      </c>
      <c r="AE221" s="220">
        <v>0</v>
      </c>
      <c r="AF221" s="220">
        <v>0</v>
      </c>
      <c r="AG221" s="220">
        <v>0</v>
      </c>
      <c r="AH221" s="220">
        <v>1</v>
      </c>
      <c r="AI221" s="220">
        <v>70095</v>
      </c>
      <c r="AJ221" s="220">
        <v>2180</v>
      </c>
      <c r="AK221" s="220">
        <v>0</v>
      </c>
      <c r="AL221" s="220">
        <v>0</v>
      </c>
      <c r="AO221" s="258"/>
      <c r="AP221" s="258"/>
      <c r="AQ221" s="220" t="str">
        <f t="shared" si="6"/>
        <v/>
      </c>
      <c r="AS221" s="220" t="str">
        <f t="shared" si="7"/>
        <v>wci_corp</v>
      </c>
    </row>
    <row r="222" spans="2:45">
      <c r="B222" s="1509" t="s">
        <v>2447</v>
      </c>
      <c r="C222" s="1529">
        <v>43708</v>
      </c>
      <c r="D222" s="1537">
        <v>54.21</v>
      </c>
      <c r="E222" s="1518">
        <v>0</v>
      </c>
      <c r="F222" s="1519" t="s">
        <v>413</v>
      </c>
      <c r="G222" s="1509" t="s">
        <v>1107</v>
      </c>
      <c r="H222" s="1530" t="s">
        <v>520</v>
      </c>
      <c r="I222" s="1509" t="s">
        <v>1108</v>
      </c>
      <c r="J222" s="1509" t="s">
        <v>689</v>
      </c>
      <c r="K222" s="1509" t="s">
        <v>522</v>
      </c>
      <c r="L222" s="1520"/>
      <c r="M222" s="1520"/>
      <c r="N222" s="1520" t="s">
        <v>2666</v>
      </c>
      <c r="O222" s="1225"/>
      <c r="P222" s="1228"/>
      <c r="Q222" s="1228"/>
      <c r="U222" s="220" t="s">
        <v>1110</v>
      </c>
      <c r="V222" s="220" t="s">
        <v>1110</v>
      </c>
      <c r="X222" s="255">
        <v>43712</v>
      </c>
      <c r="Y222" s="255">
        <v>43712</v>
      </c>
      <c r="AA222" s="255"/>
      <c r="AB222" s="220" t="s">
        <v>523</v>
      </c>
      <c r="AC222" s="220">
        <v>0</v>
      </c>
      <c r="AD222" s="220">
        <v>0</v>
      </c>
      <c r="AE222" s="220">
        <v>0</v>
      </c>
      <c r="AF222" s="220">
        <v>0</v>
      </c>
      <c r="AG222" s="220">
        <v>0</v>
      </c>
      <c r="AH222" s="220">
        <v>1</v>
      </c>
      <c r="AI222" s="220">
        <v>70095</v>
      </c>
      <c r="AJ222" s="220">
        <v>2180</v>
      </c>
      <c r="AK222" s="220">
        <v>0</v>
      </c>
      <c r="AL222" s="220">
        <v>0</v>
      </c>
      <c r="AO222" s="258"/>
      <c r="AP222" s="258"/>
      <c r="AQ222" s="220" t="str">
        <f t="shared" si="6"/>
        <v/>
      </c>
      <c r="AS222" s="220" t="str">
        <f t="shared" si="7"/>
        <v>wci_corp</v>
      </c>
    </row>
    <row r="223" spans="2:45">
      <c r="B223" s="1509" t="s">
        <v>2447</v>
      </c>
      <c r="C223" s="1529">
        <v>43708</v>
      </c>
      <c r="D223" s="1537">
        <v>320.77</v>
      </c>
      <c r="E223" s="1518">
        <v>0</v>
      </c>
      <c r="F223" s="1519" t="s">
        <v>413</v>
      </c>
      <c r="G223" s="1509" t="s">
        <v>1107</v>
      </c>
      <c r="H223" s="1530" t="s">
        <v>520</v>
      </c>
      <c r="I223" s="1509" t="s">
        <v>1108</v>
      </c>
      <c r="J223" s="1509" t="s">
        <v>689</v>
      </c>
      <c r="K223" s="1509" t="s">
        <v>522</v>
      </c>
      <c r="L223" s="1520"/>
      <c r="M223" s="1520"/>
      <c r="N223" s="1520" t="s">
        <v>2667</v>
      </c>
      <c r="O223" s="1225"/>
      <c r="P223" s="1228"/>
      <c r="Q223" s="1228"/>
      <c r="U223" s="220" t="s">
        <v>1110</v>
      </c>
      <c r="V223" s="220" t="s">
        <v>1110</v>
      </c>
      <c r="X223" s="255">
        <v>43712</v>
      </c>
      <c r="Y223" s="255">
        <v>43712</v>
      </c>
      <c r="AA223" s="255"/>
      <c r="AB223" s="220" t="s">
        <v>523</v>
      </c>
      <c r="AC223" s="220">
        <v>0</v>
      </c>
      <c r="AD223" s="220">
        <v>0</v>
      </c>
      <c r="AE223" s="220">
        <v>0</v>
      </c>
      <c r="AF223" s="220">
        <v>0</v>
      </c>
      <c r="AG223" s="220">
        <v>0</v>
      </c>
      <c r="AH223" s="220">
        <v>1</v>
      </c>
      <c r="AI223" s="220">
        <v>70095</v>
      </c>
      <c r="AJ223" s="220">
        <v>2180</v>
      </c>
      <c r="AK223" s="220">
        <v>0</v>
      </c>
      <c r="AL223" s="220">
        <v>0</v>
      </c>
      <c r="AO223" s="258"/>
      <c r="AP223" s="258"/>
      <c r="AQ223" s="220" t="str">
        <f t="shared" si="6"/>
        <v/>
      </c>
      <c r="AS223" s="220" t="str">
        <f t="shared" si="7"/>
        <v>wci_corp</v>
      </c>
    </row>
    <row r="224" spans="2:45">
      <c r="B224" s="1509" t="s">
        <v>2447</v>
      </c>
      <c r="C224" s="1529">
        <v>43708</v>
      </c>
      <c r="D224" s="1537">
        <v>38.51</v>
      </c>
      <c r="E224" s="1518">
        <v>0</v>
      </c>
      <c r="F224" s="1519" t="s">
        <v>413</v>
      </c>
      <c r="G224" s="1509" t="s">
        <v>1107</v>
      </c>
      <c r="H224" s="1530" t="s">
        <v>520</v>
      </c>
      <c r="I224" s="1509" t="s">
        <v>1108</v>
      </c>
      <c r="J224" s="1509" t="s">
        <v>689</v>
      </c>
      <c r="K224" s="1509" t="s">
        <v>522</v>
      </c>
      <c r="L224" s="1520"/>
      <c r="M224" s="1520"/>
      <c r="N224" s="1520" t="s">
        <v>2668</v>
      </c>
      <c r="O224" s="1225"/>
      <c r="P224" s="1228"/>
      <c r="Q224" s="1228"/>
      <c r="U224" s="220" t="s">
        <v>1110</v>
      </c>
      <c r="V224" s="220" t="s">
        <v>1110</v>
      </c>
      <c r="X224" s="255">
        <v>43712</v>
      </c>
      <c r="Y224" s="255">
        <v>43712</v>
      </c>
      <c r="AA224" s="255"/>
      <c r="AB224" s="220" t="s">
        <v>523</v>
      </c>
      <c r="AC224" s="220">
        <v>0</v>
      </c>
      <c r="AD224" s="220">
        <v>0</v>
      </c>
      <c r="AE224" s="220">
        <v>0</v>
      </c>
      <c r="AF224" s="220">
        <v>0</v>
      </c>
      <c r="AG224" s="220">
        <v>0</v>
      </c>
      <c r="AH224" s="220">
        <v>1</v>
      </c>
      <c r="AI224" s="220">
        <v>70095</v>
      </c>
      <c r="AJ224" s="220">
        <v>2180</v>
      </c>
      <c r="AK224" s="220">
        <v>0</v>
      </c>
      <c r="AL224" s="220">
        <v>0</v>
      </c>
      <c r="AO224" s="258"/>
      <c r="AP224" s="258"/>
      <c r="AQ224" s="220" t="str">
        <f t="shared" si="6"/>
        <v/>
      </c>
      <c r="AS224" s="220" t="str">
        <f t="shared" si="7"/>
        <v>wci_corp</v>
      </c>
    </row>
    <row r="225" spans="2:45">
      <c r="B225" s="1509" t="s">
        <v>2447</v>
      </c>
      <c r="C225" s="1529">
        <v>43708</v>
      </c>
      <c r="D225" s="1537">
        <v>51.33</v>
      </c>
      <c r="E225" s="1518">
        <v>0</v>
      </c>
      <c r="F225" s="1519" t="s">
        <v>413</v>
      </c>
      <c r="G225" s="1509" t="s">
        <v>1107</v>
      </c>
      <c r="H225" s="1530" t="s">
        <v>520</v>
      </c>
      <c r="I225" s="1509" t="s">
        <v>1108</v>
      </c>
      <c r="J225" s="1509" t="s">
        <v>689</v>
      </c>
      <c r="K225" s="1509" t="s">
        <v>522</v>
      </c>
      <c r="L225" s="1520"/>
      <c r="M225" s="1520"/>
      <c r="N225" s="1520" t="s">
        <v>2668</v>
      </c>
      <c r="O225" s="1225"/>
      <c r="P225" s="1228"/>
      <c r="Q225" s="1228"/>
      <c r="U225" s="220" t="s">
        <v>1110</v>
      </c>
      <c r="V225" s="220" t="s">
        <v>1110</v>
      </c>
      <c r="X225" s="255">
        <v>43712</v>
      </c>
      <c r="Y225" s="255">
        <v>43712</v>
      </c>
      <c r="AA225" s="255"/>
      <c r="AB225" s="220" t="s">
        <v>523</v>
      </c>
      <c r="AC225" s="220">
        <v>0</v>
      </c>
      <c r="AD225" s="220">
        <v>0</v>
      </c>
      <c r="AE225" s="220">
        <v>0</v>
      </c>
      <c r="AF225" s="220">
        <v>0</v>
      </c>
      <c r="AG225" s="220">
        <v>0</v>
      </c>
      <c r="AH225" s="220">
        <v>1</v>
      </c>
      <c r="AI225" s="220">
        <v>70095</v>
      </c>
      <c r="AJ225" s="220">
        <v>2180</v>
      </c>
      <c r="AK225" s="220">
        <v>0</v>
      </c>
      <c r="AL225" s="220">
        <v>0</v>
      </c>
      <c r="AO225" s="258"/>
      <c r="AP225" s="258"/>
      <c r="AQ225" s="220" t="str">
        <f t="shared" si="6"/>
        <v/>
      </c>
      <c r="AS225" s="220" t="str">
        <f t="shared" si="7"/>
        <v>wci_corp</v>
      </c>
    </row>
    <row r="226" spans="2:45">
      <c r="B226" s="1509" t="s">
        <v>2447</v>
      </c>
      <c r="C226" s="1529">
        <v>43708</v>
      </c>
      <c r="D226" s="1537">
        <v>540.75</v>
      </c>
      <c r="E226" s="1518">
        <v>0</v>
      </c>
      <c r="F226" s="1519" t="s">
        <v>413</v>
      </c>
      <c r="G226" s="1509" t="s">
        <v>1107</v>
      </c>
      <c r="H226" s="1530" t="s">
        <v>520</v>
      </c>
      <c r="I226" s="1509" t="s">
        <v>1108</v>
      </c>
      <c r="J226" s="1509" t="s">
        <v>689</v>
      </c>
      <c r="K226" s="1509" t="s">
        <v>522</v>
      </c>
      <c r="L226" s="1520"/>
      <c r="M226" s="1520"/>
      <c r="N226" s="1520" t="s">
        <v>2669</v>
      </c>
      <c r="O226" s="1225"/>
      <c r="P226" s="1228"/>
      <c r="Q226" s="1228"/>
      <c r="U226" s="220" t="s">
        <v>1110</v>
      </c>
      <c r="V226" s="220" t="s">
        <v>1110</v>
      </c>
      <c r="X226" s="255">
        <v>43712</v>
      </c>
      <c r="Y226" s="255">
        <v>43712</v>
      </c>
      <c r="AA226" s="255"/>
      <c r="AB226" s="220" t="s">
        <v>523</v>
      </c>
      <c r="AC226" s="220">
        <v>0</v>
      </c>
      <c r="AD226" s="220">
        <v>0</v>
      </c>
      <c r="AE226" s="220">
        <v>0</v>
      </c>
      <c r="AF226" s="220">
        <v>0</v>
      </c>
      <c r="AG226" s="220">
        <v>0</v>
      </c>
      <c r="AH226" s="220">
        <v>1</v>
      </c>
      <c r="AI226" s="220">
        <v>70095</v>
      </c>
      <c r="AJ226" s="220">
        <v>2180</v>
      </c>
      <c r="AK226" s="220">
        <v>0</v>
      </c>
      <c r="AL226" s="220">
        <v>0</v>
      </c>
      <c r="AO226" s="258"/>
      <c r="AP226" s="258"/>
      <c r="AQ226" s="220" t="str">
        <f t="shared" si="6"/>
        <v/>
      </c>
      <c r="AS226" s="220" t="str">
        <f t="shared" si="7"/>
        <v>wci_corp</v>
      </c>
    </row>
    <row r="227" spans="2:45">
      <c r="B227" s="1509" t="s">
        <v>2447</v>
      </c>
      <c r="C227" s="1529">
        <v>43708</v>
      </c>
      <c r="D227" s="1537">
        <v>1033.3</v>
      </c>
      <c r="E227" s="1518">
        <v>0</v>
      </c>
      <c r="F227" s="1519" t="s">
        <v>413</v>
      </c>
      <c r="G227" s="1509" t="s">
        <v>1107</v>
      </c>
      <c r="H227" s="1530" t="s">
        <v>520</v>
      </c>
      <c r="I227" s="1509" t="s">
        <v>1108</v>
      </c>
      <c r="J227" s="1509" t="s">
        <v>689</v>
      </c>
      <c r="K227" s="1509" t="s">
        <v>522</v>
      </c>
      <c r="L227" s="1520"/>
      <c r="M227" s="1520"/>
      <c r="N227" s="1520" t="s">
        <v>2670</v>
      </c>
      <c r="O227" s="1225"/>
      <c r="P227" s="1228"/>
      <c r="Q227" s="1228"/>
      <c r="U227" s="220" t="s">
        <v>1110</v>
      </c>
      <c r="V227" s="220" t="s">
        <v>1110</v>
      </c>
      <c r="X227" s="255">
        <v>43712</v>
      </c>
      <c r="Y227" s="255">
        <v>43712</v>
      </c>
      <c r="AA227" s="255"/>
      <c r="AB227" s="220" t="s">
        <v>523</v>
      </c>
      <c r="AC227" s="220">
        <v>0</v>
      </c>
      <c r="AD227" s="220">
        <v>0</v>
      </c>
      <c r="AE227" s="220">
        <v>0</v>
      </c>
      <c r="AF227" s="220">
        <v>0</v>
      </c>
      <c r="AG227" s="220">
        <v>0</v>
      </c>
      <c r="AH227" s="220">
        <v>1</v>
      </c>
      <c r="AI227" s="220">
        <v>70095</v>
      </c>
      <c r="AJ227" s="220">
        <v>2180</v>
      </c>
      <c r="AK227" s="220">
        <v>0</v>
      </c>
      <c r="AL227" s="220">
        <v>0</v>
      </c>
      <c r="AO227" s="258"/>
      <c r="AP227" s="258"/>
      <c r="AQ227" s="220" t="str">
        <f t="shared" si="6"/>
        <v/>
      </c>
      <c r="AS227" s="220" t="str">
        <f t="shared" si="7"/>
        <v>wci_corp</v>
      </c>
    </row>
    <row r="228" spans="2:45">
      <c r="B228" s="1509" t="s">
        <v>2447</v>
      </c>
      <c r="C228" s="1529">
        <v>43708</v>
      </c>
      <c r="D228" s="1537">
        <v>109.46</v>
      </c>
      <c r="E228" s="1518">
        <v>0</v>
      </c>
      <c r="F228" s="1519" t="s">
        <v>413</v>
      </c>
      <c r="G228" s="1509" t="s">
        <v>1107</v>
      </c>
      <c r="H228" s="1530" t="s">
        <v>520</v>
      </c>
      <c r="I228" s="1509" t="s">
        <v>1108</v>
      </c>
      <c r="J228" s="1509" t="s">
        <v>689</v>
      </c>
      <c r="K228" s="1509" t="s">
        <v>522</v>
      </c>
      <c r="L228" s="1520"/>
      <c r="M228" s="1520"/>
      <c r="N228" s="1520" t="s">
        <v>2647</v>
      </c>
      <c r="O228" s="1225"/>
      <c r="P228" s="1228"/>
      <c r="Q228" s="1228"/>
      <c r="U228" s="220" t="s">
        <v>1110</v>
      </c>
      <c r="V228" s="220" t="s">
        <v>1110</v>
      </c>
      <c r="X228" s="255">
        <v>43712</v>
      </c>
      <c r="Y228" s="255">
        <v>43712</v>
      </c>
      <c r="AA228" s="255"/>
      <c r="AB228" s="220" t="s">
        <v>523</v>
      </c>
      <c r="AC228" s="220">
        <v>0</v>
      </c>
      <c r="AD228" s="220">
        <v>0</v>
      </c>
      <c r="AE228" s="220">
        <v>0</v>
      </c>
      <c r="AF228" s="220">
        <v>0</v>
      </c>
      <c r="AG228" s="220">
        <v>0</v>
      </c>
      <c r="AH228" s="220">
        <v>1</v>
      </c>
      <c r="AI228" s="220">
        <v>70095</v>
      </c>
      <c r="AJ228" s="220">
        <v>2180</v>
      </c>
      <c r="AK228" s="220">
        <v>0</v>
      </c>
      <c r="AL228" s="220">
        <v>0</v>
      </c>
      <c r="AO228" s="258"/>
      <c r="AP228" s="258"/>
      <c r="AQ228" s="220" t="str">
        <f t="shared" si="6"/>
        <v/>
      </c>
      <c r="AS228" s="220" t="str">
        <f t="shared" si="7"/>
        <v>wci_corp</v>
      </c>
    </row>
    <row r="229" spans="2:45">
      <c r="B229" s="1509" t="s">
        <v>2447</v>
      </c>
      <c r="C229" s="1529">
        <v>43708</v>
      </c>
      <c r="D229" s="1537">
        <v>162.86000000000001</v>
      </c>
      <c r="E229" s="1518">
        <v>0</v>
      </c>
      <c r="F229" s="1519" t="s">
        <v>413</v>
      </c>
      <c r="G229" s="1509" t="s">
        <v>1107</v>
      </c>
      <c r="H229" s="1530" t="s">
        <v>520</v>
      </c>
      <c r="I229" s="1509" t="s">
        <v>1108</v>
      </c>
      <c r="J229" s="1509" t="s">
        <v>689</v>
      </c>
      <c r="K229" s="1509" t="s">
        <v>522</v>
      </c>
      <c r="L229" s="1520"/>
      <c r="M229" s="1520"/>
      <c r="N229" s="1520" t="s">
        <v>2567</v>
      </c>
      <c r="O229" s="1225"/>
      <c r="P229" s="1228"/>
      <c r="Q229" s="1228"/>
      <c r="U229" s="220" t="s">
        <v>1110</v>
      </c>
      <c r="V229" s="220" t="s">
        <v>1110</v>
      </c>
      <c r="X229" s="255">
        <v>43712</v>
      </c>
      <c r="Y229" s="255">
        <v>43712</v>
      </c>
      <c r="AA229" s="255"/>
      <c r="AB229" s="220" t="s">
        <v>523</v>
      </c>
      <c r="AC229" s="220">
        <v>0</v>
      </c>
      <c r="AD229" s="220">
        <v>0</v>
      </c>
      <c r="AE229" s="220">
        <v>0</v>
      </c>
      <c r="AF229" s="220">
        <v>0</v>
      </c>
      <c r="AG229" s="220">
        <v>0</v>
      </c>
      <c r="AH229" s="220">
        <v>1</v>
      </c>
      <c r="AI229" s="220">
        <v>70095</v>
      </c>
      <c r="AJ229" s="220">
        <v>2180</v>
      </c>
      <c r="AK229" s="220">
        <v>0</v>
      </c>
      <c r="AL229" s="220">
        <v>0</v>
      </c>
      <c r="AO229" s="258"/>
      <c r="AP229" s="258"/>
      <c r="AQ229" s="220" t="str">
        <f t="shared" si="6"/>
        <v/>
      </c>
      <c r="AS229" s="220" t="str">
        <f t="shared" si="7"/>
        <v>wci_corp</v>
      </c>
    </row>
    <row r="230" spans="2:45">
      <c r="B230" s="1509" t="s">
        <v>2447</v>
      </c>
      <c r="C230" s="1529">
        <v>43708</v>
      </c>
      <c r="D230" s="1537">
        <v>90.81</v>
      </c>
      <c r="E230" s="1518">
        <v>0</v>
      </c>
      <c r="F230" s="1519" t="s">
        <v>413</v>
      </c>
      <c r="G230" s="1509" t="s">
        <v>1107</v>
      </c>
      <c r="H230" s="1530" t="s">
        <v>520</v>
      </c>
      <c r="I230" s="1509" t="s">
        <v>1108</v>
      </c>
      <c r="J230" s="1509" t="s">
        <v>689</v>
      </c>
      <c r="K230" s="1509" t="s">
        <v>522</v>
      </c>
      <c r="L230" s="1520"/>
      <c r="M230" s="1520"/>
      <c r="N230" s="1520" t="s">
        <v>2612</v>
      </c>
      <c r="O230" s="1225"/>
      <c r="P230" s="1228"/>
      <c r="Q230" s="1228"/>
      <c r="U230" s="220" t="s">
        <v>1110</v>
      </c>
      <c r="V230" s="220" t="s">
        <v>1110</v>
      </c>
      <c r="X230" s="255">
        <v>43712</v>
      </c>
      <c r="Y230" s="255">
        <v>43712</v>
      </c>
      <c r="AA230" s="255"/>
      <c r="AB230" s="220" t="s">
        <v>523</v>
      </c>
      <c r="AC230" s="220">
        <v>0</v>
      </c>
      <c r="AD230" s="220">
        <v>0</v>
      </c>
      <c r="AE230" s="220">
        <v>0</v>
      </c>
      <c r="AF230" s="220">
        <v>0</v>
      </c>
      <c r="AG230" s="220">
        <v>0</v>
      </c>
      <c r="AH230" s="220">
        <v>1</v>
      </c>
      <c r="AI230" s="220">
        <v>70095</v>
      </c>
      <c r="AJ230" s="220">
        <v>2180</v>
      </c>
      <c r="AK230" s="220">
        <v>0</v>
      </c>
      <c r="AL230" s="220">
        <v>0</v>
      </c>
      <c r="AO230" s="258"/>
      <c r="AP230" s="258"/>
      <c r="AQ230" s="220" t="str">
        <f t="shared" si="6"/>
        <v/>
      </c>
      <c r="AS230" s="220" t="str">
        <f t="shared" si="7"/>
        <v>wci_corp</v>
      </c>
    </row>
    <row r="231" spans="2:45">
      <c r="B231" s="1509" t="s">
        <v>2447</v>
      </c>
      <c r="C231" s="1529">
        <v>43708</v>
      </c>
      <c r="D231" s="1537">
        <v>74.73</v>
      </c>
      <c r="E231" s="1518">
        <v>0</v>
      </c>
      <c r="F231" s="1519" t="s">
        <v>413</v>
      </c>
      <c r="G231" s="1509" t="s">
        <v>1107</v>
      </c>
      <c r="H231" s="1530" t="s">
        <v>520</v>
      </c>
      <c r="I231" s="1509" t="s">
        <v>1108</v>
      </c>
      <c r="J231" s="1509" t="s">
        <v>689</v>
      </c>
      <c r="K231" s="1509" t="s">
        <v>522</v>
      </c>
      <c r="L231" s="1520"/>
      <c r="M231" s="1520"/>
      <c r="N231" s="1520" t="s">
        <v>2468</v>
      </c>
      <c r="O231" s="1225"/>
      <c r="P231" s="1228"/>
      <c r="Q231" s="1228"/>
      <c r="U231" s="220" t="s">
        <v>1110</v>
      </c>
      <c r="V231" s="220" t="s">
        <v>1110</v>
      </c>
      <c r="X231" s="255">
        <v>43712</v>
      </c>
      <c r="Y231" s="255">
        <v>43712</v>
      </c>
      <c r="AA231" s="255"/>
      <c r="AB231" s="220" t="s">
        <v>523</v>
      </c>
      <c r="AC231" s="220">
        <v>0</v>
      </c>
      <c r="AD231" s="220">
        <v>0</v>
      </c>
      <c r="AE231" s="220">
        <v>0</v>
      </c>
      <c r="AF231" s="220">
        <v>0</v>
      </c>
      <c r="AG231" s="220">
        <v>0</v>
      </c>
      <c r="AH231" s="220">
        <v>1</v>
      </c>
      <c r="AI231" s="220">
        <v>70095</v>
      </c>
      <c r="AJ231" s="220">
        <v>2180</v>
      </c>
      <c r="AK231" s="220">
        <v>0</v>
      </c>
      <c r="AL231" s="220">
        <v>0</v>
      </c>
      <c r="AO231" s="258"/>
      <c r="AP231" s="258"/>
      <c r="AQ231" s="220" t="str">
        <f t="shared" si="6"/>
        <v/>
      </c>
      <c r="AS231" s="220" t="str">
        <f t="shared" si="7"/>
        <v>wci_corp</v>
      </c>
    </row>
    <row r="232" spans="2:45">
      <c r="B232" s="1509" t="s">
        <v>2447</v>
      </c>
      <c r="C232" s="1529">
        <v>43708</v>
      </c>
      <c r="D232" s="1537">
        <v>114.12</v>
      </c>
      <c r="E232" s="1518">
        <v>0</v>
      </c>
      <c r="F232" s="1519" t="s">
        <v>413</v>
      </c>
      <c r="G232" s="1509" t="s">
        <v>1107</v>
      </c>
      <c r="H232" s="1530" t="s">
        <v>520</v>
      </c>
      <c r="I232" s="1509" t="s">
        <v>1108</v>
      </c>
      <c r="J232" s="1509" t="s">
        <v>689</v>
      </c>
      <c r="K232" s="1509" t="s">
        <v>522</v>
      </c>
      <c r="L232" s="1520"/>
      <c r="M232" s="1520"/>
      <c r="N232" s="1520" t="s">
        <v>2490</v>
      </c>
      <c r="O232" s="1225"/>
      <c r="P232" s="1228"/>
      <c r="Q232" s="1228"/>
      <c r="U232" s="220" t="s">
        <v>1110</v>
      </c>
      <c r="V232" s="220" t="s">
        <v>1110</v>
      </c>
      <c r="X232" s="255">
        <v>43712</v>
      </c>
      <c r="Y232" s="255">
        <v>43712</v>
      </c>
      <c r="AA232" s="255"/>
      <c r="AB232" s="220" t="s">
        <v>523</v>
      </c>
      <c r="AC232" s="220">
        <v>0</v>
      </c>
      <c r="AD232" s="220">
        <v>0</v>
      </c>
      <c r="AE232" s="220">
        <v>0</v>
      </c>
      <c r="AF232" s="220">
        <v>0</v>
      </c>
      <c r="AG232" s="220">
        <v>0</v>
      </c>
      <c r="AH232" s="220">
        <v>1</v>
      </c>
      <c r="AI232" s="220">
        <v>70095</v>
      </c>
      <c r="AJ232" s="220">
        <v>2180</v>
      </c>
      <c r="AK232" s="220">
        <v>0</v>
      </c>
      <c r="AL232" s="220">
        <v>0</v>
      </c>
      <c r="AO232" s="258"/>
      <c r="AP232" s="258"/>
      <c r="AQ232" s="220" t="str">
        <f t="shared" si="6"/>
        <v/>
      </c>
      <c r="AS232" s="220" t="str">
        <f t="shared" si="7"/>
        <v>wci_corp</v>
      </c>
    </row>
    <row r="233" spans="2:45">
      <c r="B233" s="1509" t="s">
        <v>2447</v>
      </c>
      <c r="C233" s="1529">
        <v>43708</v>
      </c>
      <c r="D233" s="1537">
        <v>78.75</v>
      </c>
      <c r="E233" s="1518">
        <v>0</v>
      </c>
      <c r="F233" s="1519" t="s">
        <v>413</v>
      </c>
      <c r="G233" s="1509" t="s">
        <v>1107</v>
      </c>
      <c r="H233" s="1530" t="s">
        <v>520</v>
      </c>
      <c r="I233" s="1509" t="s">
        <v>1108</v>
      </c>
      <c r="J233" s="1509" t="s">
        <v>689</v>
      </c>
      <c r="K233" s="1509" t="s">
        <v>522</v>
      </c>
      <c r="L233" s="1520"/>
      <c r="M233" s="1520"/>
      <c r="N233" s="1520" t="s">
        <v>2671</v>
      </c>
      <c r="O233" s="1225"/>
      <c r="P233" s="1228"/>
      <c r="Q233" s="1228"/>
      <c r="U233" s="220" t="s">
        <v>1110</v>
      </c>
      <c r="V233" s="220" t="s">
        <v>1110</v>
      </c>
      <c r="X233" s="255">
        <v>43712</v>
      </c>
      <c r="Y233" s="255">
        <v>43712</v>
      </c>
      <c r="AA233" s="255"/>
      <c r="AB233" s="220" t="s">
        <v>523</v>
      </c>
      <c r="AC233" s="220">
        <v>0</v>
      </c>
      <c r="AD233" s="220">
        <v>0</v>
      </c>
      <c r="AE233" s="220">
        <v>0</v>
      </c>
      <c r="AF233" s="220">
        <v>0</v>
      </c>
      <c r="AG233" s="220">
        <v>0</v>
      </c>
      <c r="AH233" s="220">
        <v>1</v>
      </c>
      <c r="AI233" s="220">
        <v>70095</v>
      </c>
      <c r="AJ233" s="220">
        <v>2180</v>
      </c>
      <c r="AK233" s="220">
        <v>0</v>
      </c>
      <c r="AL233" s="220">
        <v>0</v>
      </c>
      <c r="AO233" s="258"/>
      <c r="AP233" s="258"/>
      <c r="AQ233" s="220" t="str">
        <f t="shared" si="6"/>
        <v/>
      </c>
      <c r="AS233" s="220" t="str">
        <f t="shared" si="7"/>
        <v>wci_corp</v>
      </c>
    </row>
    <row r="234" spans="2:45">
      <c r="B234" s="1509" t="s">
        <v>2447</v>
      </c>
      <c r="C234" s="1529">
        <v>43708</v>
      </c>
      <c r="D234" s="1537">
        <v>51</v>
      </c>
      <c r="E234" s="1518">
        <v>0</v>
      </c>
      <c r="F234" s="1519" t="s">
        <v>413</v>
      </c>
      <c r="G234" s="1509" t="s">
        <v>1107</v>
      </c>
      <c r="H234" s="1530" t="s">
        <v>520</v>
      </c>
      <c r="I234" s="1509" t="s">
        <v>1108</v>
      </c>
      <c r="J234" s="1509" t="s">
        <v>689</v>
      </c>
      <c r="K234" s="1509" t="s">
        <v>522</v>
      </c>
      <c r="L234" s="1520"/>
      <c r="M234" s="1520"/>
      <c r="N234" s="1520" t="s">
        <v>2672</v>
      </c>
      <c r="O234" s="1225"/>
      <c r="P234" s="1228"/>
      <c r="Q234" s="1228"/>
      <c r="U234" s="220" t="s">
        <v>1110</v>
      </c>
      <c r="V234" s="220" t="s">
        <v>1110</v>
      </c>
      <c r="X234" s="255">
        <v>43712</v>
      </c>
      <c r="Y234" s="255">
        <v>43712</v>
      </c>
      <c r="AA234" s="255"/>
      <c r="AB234" s="220" t="s">
        <v>523</v>
      </c>
      <c r="AC234" s="220">
        <v>0</v>
      </c>
      <c r="AD234" s="220">
        <v>0</v>
      </c>
      <c r="AE234" s="220">
        <v>0</v>
      </c>
      <c r="AF234" s="220">
        <v>0</v>
      </c>
      <c r="AG234" s="220">
        <v>0</v>
      </c>
      <c r="AH234" s="220">
        <v>1</v>
      </c>
      <c r="AI234" s="220">
        <v>70095</v>
      </c>
      <c r="AJ234" s="220">
        <v>2180</v>
      </c>
      <c r="AK234" s="220">
        <v>0</v>
      </c>
      <c r="AL234" s="220">
        <v>0</v>
      </c>
      <c r="AO234" s="258"/>
      <c r="AP234" s="258"/>
      <c r="AQ234" s="220" t="str">
        <f t="shared" si="6"/>
        <v/>
      </c>
      <c r="AS234" s="220" t="str">
        <f t="shared" si="7"/>
        <v>wci_corp</v>
      </c>
    </row>
    <row r="235" spans="2:45">
      <c r="B235" s="1509" t="s">
        <v>2447</v>
      </c>
      <c r="C235" s="1529">
        <v>43708</v>
      </c>
      <c r="D235" s="1537">
        <v>120.89</v>
      </c>
      <c r="E235" s="1518">
        <v>0</v>
      </c>
      <c r="F235" s="1519" t="s">
        <v>413</v>
      </c>
      <c r="G235" s="1509" t="s">
        <v>1107</v>
      </c>
      <c r="H235" s="1530" t="s">
        <v>520</v>
      </c>
      <c r="I235" s="1509" t="s">
        <v>1108</v>
      </c>
      <c r="J235" s="1509" t="s">
        <v>689</v>
      </c>
      <c r="K235" s="1509" t="s">
        <v>522</v>
      </c>
      <c r="L235" s="1520"/>
      <c r="M235" s="1520"/>
      <c r="N235" s="1520" t="s">
        <v>2468</v>
      </c>
      <c r="O235" s="1225"/>
      <c r="P235" s="1228"/>
      <c r="Q235" s="1228"/>
      <c r="U235" s="220" t="s">
        <v>1110</v>
      </c>
      <c r="V235" s="220" t="s">
        <v>1110</v>
      </c>
      <c r="X235" s="255">
        <v>43712</v>
      </c>
      <c r="Y235" s="255">
        <v>43712</v>
      </c>
      <c r="AA235" s="255"/>
      <c r="AB235" s="220" t="s">
        <v>523</v>
      </c>
      <c r="AC235" s="220">
        <v>0</v>
      </c>
      <c r="AD235" s="220">
        <v>0</v>
      </c>
      <c r="AE235" s="220">
        <v>0</v>
      </c>
      <c r="AF235" s="220">
        <v>0</v>
      </c>
      <c r="AG235" s="220">
        <v>0</v>
      </c>
      <c r="AH235" s="220">
        <v>1</v>
      </c>
      <c r="AI235" s="220">
        <v>70095</v>
      </c>
      <c r="AJ235" s="220">
        <v>2180</v>
      </c>
      <c r="AK235" s="220">
        <v>0</v>
      </c>
      <c r="AL235" s="220">
        <v>0</v>
      </c>
      <c r="AO235" s="258"/>
      <c r="AP235" s="258"/>
      <c r="AQ235" s="220" t="str">
        <f t="shared" si="6"/>
        <v/>
      </c>
      <c r="AS235" s="220" t="str">
        <f t="shared" si="7"/>
        <v>wci_corp</v>
      </c>
    </row>
    <row r="236" spans="2:45">
      <c r="B236" s="1509" t="s">
        <v>2447</v>
      </c>
      <c r="C236" s="1529">
        <v>43708</v>
      </c>
      <c r="D236" s="1537">
        <v>175</v>
      </c>
      <c r="E236" s="1518">
        <v>0</v>
      </c>
      <c r="F236" s="1519" t="s">
        <v>413</v>
      </c>
      <c r="G236" s="1509" t="s">
        <v>1107</v>
      </c>
      <c r="H236" s="1530" t="s">
        <v>520</v>
      </c>
      <c r="I236" s="1509" t="s">
        <v>1108</v>
      </c>
      <c r="J236" s="1509" t="s">
        <v>689</v>
      </c>
      <c r="K236" s="1509" t="s">
        <v>522</v>
      </c>
      <c r="L236" s="1520"/>
      <c r="M236" s="1520"/>
      <c r="N236" s="1520" t="s">
        <v>2673</v>
      </c>
      <c r="O236" s="1225"/>
      <c r="P236" s="1228"/>
      <c r="Q236" s="1228"/>
      <c r="U236" s="220" t="s">
        <v>1110</v>
      </c>
      <c r="V236" s="220" t="s">
        <v>1110</v>
      </c>
      <c r="X236" s="255">
        <v>43712</v>
      </c>
      <c r="Y236" s="255">
        <v>43712</v>
      </c>
      <c r="AA236" s="255"/>
      <c r="AB236" s="220" t="s">
        <v>523</v>
      </c>
      <c r="AC236" s="220">
        <v>0</v>
      </c>
      <c r="AD236" s="220">
        <v>0</v>
      </c>
      <c r="AE236" s="220">
        <v>0</v>
      </c>
      <c r="AF236" s="220">
        <v>0</v>
      </c>
      <c r="AG236" s="220">
        <v>0</v>
      </c>
      <c r="AH236" s="220">
        <v>1</v>
      </c>
      <c r="AI236" s="220">
        <v>70095</v>
      </c>
      <c r="AJ236" s="220">
        <v>2180</v>
      </c>
      <c r="AK236" s="220">
        <v>0</v>
      </c>
      <c r="AL236" s="220">
        <v>0</v>
      </c>
      <c r="AO236" s="258"/>
      <c r="AP236" s="258"/>
      <c r="AQ236" s="220" t="str">
        <f t="shared" si="6"/>
        <v/>
      </c>
      <c r="AS236" s="220" t="str">
        <f t="shared" si="7"/>
        <v>wci_corp</v>
      </c>
    </row>
    <row r="237" spans="2:45">
      <c r="B237" s="1509" t="s">
        <v>2447</v>
      </c>
      <c r="C237" s="1529">
        <v>43708</v>
      </c>
      <c r="D237" s="1537">
        <v>51.74</v>
      </c>
      <c r="E237" s="1518">
        <v>0</v>
      </c>
      <c r="F237" s="1519" t="s">
        <v>413</v>
      </c>
      <c r="G237" s="1509" t="s">
        <v>1107</v>
      </c>
      <c r="H237" s="1530" t="s">
        <v>520</v>
      </c>
      <c r="I237" s="1509" t="s">
        <v>1108</v>
      </c>
      <c r="J237" s="1509" t="s">
        <v>689</v>
      </c>
      <c r="K237" s="1509" t="s">
        <v>522</v>
      </c>
      <c r="L237" s="1520"/>
      <c r="M237" s="1520"/>
      <c r="N237" s="1520" t="s">
        <v>2647</v>
      </c>
      <c r="O237" s="1225"/>
      <c r="P237" s="1228"/>
      <c r="Q237" s="1228"/>
      <c r="U237" s="220" t="s">
        <v>1110</v>
      </c>
      <c r="V237" s="220" t="s">
        <v>1110</v>
      </c>
      <c r="X237" s="255">
        <v>43712</v>
      </c>
      <c r="Y237" s="255">
        <v>43712</v>
      </c>
      <c r="AA237" s="255"/>
      <c r="AB237" s="220" t="s">
        <v>523</v>
      </c>
      <c r="AC237" s="220">
        <v>0</v>
      </c>
      <c r="AD237" s="220">
        <v>0</v>
      </c>
      <c r="AE237" s="220">
        <v>0</v>
      </c>
      <c r="AF237" s="220">
        <v>0</v>
      </c>
      <c r="AG237" s="220">
        <v>0</v>
      </c>
      <c r="AH237" s="220">
        <v>1</v>
      </c>
      <c r="AI237" s="220">
        <v>70095</v>
      </c>
      <c r="AJ237" s="220">
        <v>2180</v>
      </c>
      <c r="AK237" s="220">
        <v>0</v>
      </c>
      <c r="AL237" s="220">
        <v>0</v>
      </c>
      <c r="AO237" s="258"/>
      <c r="AP237" s="258"/>
      <c r="AQ237" s="220" t="str">
        <f t="shared" si="6"/>
        <v/>
      </c>
      <c r="AS237" s="220" t="str">
        <f t="shared" si="7"/>
        <v>wci_corp</v>
      </c>
    </row>
    <row r="238" spans="2:45">
      <c r="B238" s="1509" t="s">
        <v>2447</v>
      </c>
      <c r="C238" s="1529">
        <v>43708</v>
      </c>
      <c r="D238" s="1537">
        <v>36.520000000000003</v>
      </c>
      <c r="E238" s="1518">
        <v>0</v>
      </c>
      <c r="F238" s="1519" t="s">
        <v>413</v>
      </c>
      <c r="G238" s="1509" t="s">
        <v>1107</v>
      </c>
      <c r="H238" s="1530" t="s">
        <v>520</v>
      </c>
      <c r="I238" s="1509" t="s">
        <v>1108</v>
      </c>
      <c r="J238" s="1509" t="s">
        <v>689</v>
      </c>
      <c r="K238" s="1509" t="s">
        <v>522</v>
      </c>
      <c r="L238" s="1520"/>
      <c r="M238" s="1520"/>
      <c r="N238" s="1520" t="s">
        <v>2544</v>
      </c>
      <c r="O238" s="1225"/>
      <c r="P238" s="1228"/>
      <c r="Q238" s="1228"/>
      <c r="U238" s="220" t="s">
        <v>1110</v>
      </c>
      <c r="V238" s="220" t="s">
        <v>1110</v>
      </c>
      <c r="X238" s="255">
        <v>43712</v>
      </c>
      <c r="Y238" s="255">
        <v>43712</v>
      </c>
      <c r="AA238" s="255"/>
      <c r="AB238" s="220" t="s">
        <v>523</v>
      </c>
      <c r="AC238" s="220">
        <v>0</v>
      </c>
      <c r="AD238" s="220">
        <v>0</v>
      </c>
      <c r="AE238" s="220">
        <v>0</v>
      </c>
      <c r="AF238" s="220">
        <v>0</v>
      </c>
      <c r="AG238" s="220">
        <v>0</v>
      </c>
      <c r="AH238" s="220">
        <v>1</v>
      </c>
      <c r="AI238" s="220">
        <v>70095</v>
      </c>
      <c r="AJ238" s="220">
        <v>2180</v>
      </c>
      <c r="AK238" s="220">
        <v>0</v>
      </c>
      <c r="AL238" s="220">
        <v>0</v>
      </c>
      <c r="AO238" s="258"/>
      <c r="AP238" s="258"/>
      <c r="AQ238" s="220" t="str">
        <f t="shared" si="6"/>
        <v/>
      </c>
      <c r="AS238" s="220" t="str">
        <f t="shared" si="7"/>
        <v>wci_corp</v>
      </c>
    </row>
    <row r="239" spans="2:45">
      <c r="B239" s="1509" t="s">
        <v>2447</v>
      </c>
      <c r="C239" s="1529">
        <v>43708</v>
      </c>
      <c r="D239" s="1537">
        <v>200</v>
      </c>
      <c r="E239" s="1518">
        <v>0</v>
      </c>
      <c r="F239" s="1519" t="s">
        <v>413</v>
      </c>
      <c r="G239" s="1509" t="s">
        <v>1107</v>
      </c>
      <c r="H239" s="1530" t="s">
        <v>520</v>
      </c>
      <c r="I239" s="1509" t="s">
        <v>1108</v>
      </c>
      <c r="J239" s="1509" t="s">
        <v>689</v>
      </c>
      <c r="K239" s="1509" t="s">
        <v>522</v>
      </c>
      <c r="L239" s="1520"/>
      <c r="M239" s="1520"/>
      <c r="N239" s="1520" t="s">
        <v>2674</v>
      </c>
      <c r="O239" s="1225"/>
      <c r="P239" s="1228"/>
      <c r="Q239" s="1228"/>
      <c r="U239" s="220" t="s">
        <v>1110</v>
      </c>
      <c r="V239" s="220" t="s">
        <v>1110</v>
      </c>
      <c r="X239" s="255">
        <v>43712</v>
      </c>
      <c r="Y239" s="255">
        <v>43712</v>
      </c>
      <c r="AA239" s="255"/>
      <c r="AB239" s="220" t="s">
        <v>523</v>
      </c>
      <c r="AC239" s="220">
        <v>0</v>
      </c>
      <c r="AD239" s="220">
        <v>0</v>
      </c>
      <c r="AE239" s="220">
        <v>0</v>
      </c>
      <c r="AF239" s="220">
        <v>0</v>
      </c>
      <c r="AG239" s="220">
        <v>0</v>
      </c>
      <c r="AH239" s="220">
        <v>1</v>
      </c>
      <c r="AI239" s="220">
        <v>70095</v>
      </c>
      <c r="AJ239" s="220">
        <v>2180</v>
      </c>
      <c r="AK239" s="220">
        <v>0</v>
      </c>
      <c r="AL239" s="220">
        <v>0</v>
      </c>
      <c r="AO239" s="258"/>
      <c r="AP239" s="258"/>
      <c r="AQ239" s="220" t="str">
        <f t="shared" si="6"/>
        <v/>
      </c>
      <c r="AS239" s="220" t="str">
        <f t="shared" si="7"/>
        <v>wci_corp</v>
      </c>
    </row>
    <row r="240" spans="2:45">
      <c r="B240" s="1509" t="s">
        <v>2447</v>
      </c>
      <c r="C240" s="1529">
        <v>43708</v>
      </c>
      <c r="D240" s="1537">
        <v>109.98</v>
      </c>
      <c r="E240" s="1518">
        <v>0</v>
      </c>
      <c r="F240" s="1519" t="s">
        <v>413</v>
      </c>
      <c r="G240" s="1509" t="s">
        <v>1107</v>
      </c>
      <c r="H240" s="1530" t="s">
        <v>520</v>
      </c>
      <c r="I240" s="1509" t="s">
        <v>1108</v>
      </c>
      <c r="J240" s="1509" t="s">
        <v>689</v>
      </c>
      <c r="K240" s="1509" t="s">
        <v>522</v>
      </c>
      <c r="L240" s="1520"/>
      <c r="M240" s="1520"/>
      <c r="N240" s="1520" t="s">
        <v>2675</v>
      </c>
      <c r="O240" s="1225"/>
      <c r="P240" s="1228"/>
      <c r="Q240" s="1228"/>
      <c r="U240" s="220" t="s">
        <v>1110</v>
      </c>
      <c r="V240" s="220" t="s">
        <v>1110</v>
      </c>
      <c r="X240" s="255">
        <v>43712</v>
      </c>
      <c r="Y240" s="255">
        <v>43712</v>
      </c>
      <c r="AA240" s="255"/>
      <c r="AB240" s="220" t="s">
        <v>523</v>
      </c>
      <c r="AC240" s="220">
        <v>0</v>
      </c>
      <c r="AD240" s="220">
        <v>0</v>
      </c>
      <c r="AE240" s="220">
        <v>0</v>
      </c>
      <c r="AF240" s="220">
        <v>0</v>
      </c>
      <c r="AG240" s="220">
        <v>0</v>
      </c>
      <c r="AH240" s="220">
        <v>1</v>
      </c>
      <c r="AI240" s="220">
        <v>70095</v>
      </c>
      <c r="AJ240" s="220">
        <v>2180</v>
      </c>
      <c r="AK240" s="220">
        <v>0</v>
      </c>
      <c r="AL240" s="220">
        <v>0</v>
      </c>
      <c r="AO240" s="258"/>
      <c r="AP240" s="258"/>
      <c r="AQ240" s="220" t="str">
        <f t="shared" si="6"/>
        <v/>
      </c>
      <c r="AS240" s="220" t="str">
        <f t="shared" si="7"/>
        <v>wci_corp</v>
      </c>
    </row>
    <row r="241" spans="2:45">
      <c r="B241" s="1509" t="s">
        <v>2447</v>
      </c>
      <c r="C241" s="1529">
        <v>43708</v>
      </c>
      <c r="D241" s="1537">
        <v>21.01</v>
      </c>
      <c r="E241" s="1518">
        <v>0</v>
      </c>
      <c r="F241" s="1519" t="s">
        <v>413</v>
      </c>
      <c r="G241" s="1509" t="s">
        <v>1107</v>
      </c>
      <c r="H241" s="1530" t="s">
        <v>520</v>
      </c>
      <c r="I241" s="1509" t="s">
        <v>1108</v>
      </c>
      <c r="J241" s="1509" t="s">
        <v>689</v>
      </c>
      <c r="K241" s="1509" t="s">
        <v>522</v>
      </c>
      <c r="L241" s="1520"/>
      <c r="M241" s="1520"/>
      <c r="N241" s="1520" t="s">
        <v>2676</v>
      </c>
      <c r="O241" s="1225"/>
      <c r="P241" s="1228"/>
      <c r="Q241" s="1228"/>
      <c r="U241" s="220" t="s">
        <v>1110</v>
      </c>
      <c r="V241" s="220" t="s">
        <v>1110</v>
      </c>
      <c r="X241" s="255">
        <v>43712</v>
      </c>
      <c r="Y241" s="255">
        <v>43712</v>
      </c>
      <c r="AA241" s="255"/>
      <c r="AB241" s="220" t="s">
        <v>523</v>
      </c>
      <c r="AC241" s="220">
        <v>0</v>
      </c>
      <c r="AD241" s="220">
        <v>0</v>
      </c>
      <c r="AE241" s="220">
        <v>0</v>
      </c>
      <c r="AF241" s="220">
        <v>0</v>
      </c>
      <c r="AG241" s="220">
        <v>0</v>
      </c>
      <c r="AH241" s="220">
        <v>1</v>
      </c>
      <c r="AI241" s="220">
        <v>70095</v>
      </c>
      <c r="AJ241" s="220">
        <v>2180</v>
      </c>
      <c r="AK241" s="220">
        <v>0</v>
      </c>
      <c r="AL241" s="220">
        <v>0</v>
      </c>
      <c r="AO241" s="258"/>
      <c r="AP241" s="258"/>
      <c r="AQ241" s="220" t="str">
        <f t="shared" si="6"/>
        <v/>
      </c>
      <c r="AS241" s="220" t="str">
        <f t="shared" si="7"/>
        <v>wci_corp</v>
      </c>
    </row>
    <row r="242" spans="2:45">
      <c r="B242" s="1509" t="s">
        <v>2447</v>
      </c>
      <c r="C242" s="1529">
        <v>43708</v>
      </c>
      <c r="D242" s="1537">
        <v>42.28</v>
      </c>
      <c r="E242" s="1518">
        <v>0</v>
      </c>
      <c r="F242" s="1519" t="s">
        <v>413</v>
      </c>
      <c r="G242" s="1509" t="s">
        <v>1107</v>
      </c>
      <c r="H242" s="1530" t="s">
        <v>520</v>
      </c>
      <c r="I242" s="1509" t="s">
        <v>1108</v>
      </c>
      <c r="J242" s="1509" t="s">
        <v>689</v>
      </c>
      <c r="K242" s="1509" t="s">
        <v>522</v>
      </c>
      <c r="L242" s="1520"/>
      <c r="M242" s="1520"/>
      <c r="N242" s="1520" t="s">
        <v>2676</v>
      </c>
      <c r="O242" s="1225"/>
      <c r="P242" s="1228"/>
      <c r="Q242" s="1228"/>
      <c r="U242" s="220" t="s">
        <v>1110</v>
      </c>
      <c r="V242" s="220" t="s">
        <v>1110</v>
      </c>
      <c r="X242" s="255">
        <v>43712</v>
      </c>
      <c r="Y242" s="255">
        <v>43712</v>
      </c>
      <c r="AA242" s="255"/>
      <c r="AB242" s="220" t="s">
        <v>523</v>
      </c>
      <c r="AC242" s="220">
        <v>0</v>
      </c>
      <c r="AD242" s="220">
        <v>0</v>
      </c>
      <c r="AE242" s="220">
        <v>0</v>
      </c>
      <c r="AF242" s="220">
        <v>0</v>
      </c>
      <c r="AG242" s="220">
        <v>0</v>
      </c>
      <c r="AH242" s="220">
        <v>1</v>
      </c>
      <c r="AI242" s="220">
        <v>70095</v>
      </c>
      <c r="AJ242" s="220">
        <v>2180</v>
      </c>
      <c r="AK242" s="220">
        <v>0</v>
      </c>
      <c r="AL242" s="220">
        <v>0</v>
      </c>
      <c r="AO242" s="258"/>
      <c r="AP242" s="258"/>
      <c r="AQ242" s="220" t="str">
        <f t="shared" si="6"/>
        <v/>
      </c>
      <c r="AS242" s="220" t="str">
        <f t="shared" si="7"/>
        <v>wci_corp</v>
      </c>
    </row>
    <row r="243" spans="2:45">
      <c r="B243" s="1509" t="s">
        <v>2447</v>
      </c>
      <c r="C243" s="1529">
        <v>43708</v>
      </c>
      <c r="D243" s="1537">
        <v>72.91</v>
      </c>
      <c r="E243" s="1518">
        <v>0</v>
      </c>
      <c r="F243" s="1519" t="s">
        <v>413</v>
      </c>
      <c r="G243" s="1509" t="s">
        <v>1107</v>
      </c>
      <c r="H243" s="1530" t="s">
        <v>520</v>
      </c>
      <c r="I243" s="1509" t="s">
        <v>1108</v>
      </c>
      <c r="J243" s="1509" t="s">
        <v>689</v>
      </c>
      <c r="K243" s="1509" t="s">
        <v>522</v>
      </c>
      <c r="L243" s="1520"/>
      <c r="M243" s="1520"/>
      <c r="N243" s="1520" t="s">
        <v>2676</v>
      </c>
      <c r="O243" s="1225"/>
      <c r="P243" s="1228"/>
      <c r="Q243" s="1228"/>
      <c r="U243" s="220" t="s">
        <v>1110</v>
      </c>
      <c r="V243" s="220" t="s">
        <v>1110</v>
      </c>
      <c r="X243" s="255">
        <v>43712</v>
      </c>
      <c r="Y243" s="255">
        <v>43712</v>
      </c>
      <c r="AA243" s="255"/>
      <c r="AB243" s="220" t="s">
        <v>523</v>
      </c>
      <c r="AC243" s="220">
        <v>0</v>
      </c>
      <c r="AD243" s="220">
        <v>0</v>
      </c>
      <c r="AE243" s="220">
        <v>0</v>
      </c>
      <c r="AF243" s="220">
        <v>0</v>
      </c>
      <c r="AG243" s="220">
        <v>0</v>
      </c>
      <c r="AH243" s="220">
        <v>1</v>
      </c>
      <c r="AI243" s="220">
        <v>70095</v>
      </c>
      <c r="AJ243" s="220">
        <v>2180</v>
      </c>
      <c r="AK243" s="220">
        <v>0</v>
      </c>
      <c r="AL243" s="220">
        <v>0</v>
      </c>
      <c r="AO243" s="258"/>
      <c r="AP243" s="258"/>
      <c r="AQ243" s="220" t="str">
        <f t="shared" si="6"/>
        <v/>
      </c>
      <c r="AS243" s="220" t="str">
        <f t="shared" si="7"/>
        <v>wci_corp</v>
      </c>
    </row>
    <row r="244" spans="2:45">
      <c r="B244" s="1509" t="s">
        <v>2447</v>
      </c>
      <c r="C244" s="1529">
        <v>43708</v>
      </c>
      <c r="D244" s="1537">
        <v>88.48</v>
      </c>
      <c r="E244" s="1518">
        <v>0</v>
      </c>
      <c r="F244" s="1519" t="s">
        <v>413</v>
      </c>
      <c r="G244" s="1509" t="s">
        <v>1107</v>
      </c>
      <c r="H244" s="1530" t="s">
        <v>520</v>
      </c>
      <c r="I244" s="1509" t="s">
        <v>1108</v>
      </c>
      <c r="J244" s="1509" t="s">
        <v>689</v>
      </c>
      <c r="K244" s="1509" t="s">
        <v>522</v>
      </c>
      <c r="L244" s="1520"/>
      <c r="M244" s="1520"/>
      <c r="N244" s="1520" t="s">
        <v>2676</v>
      </c>
      <c r="O244" s="1225"/>
      <c r="P244" s="1228"/>
      <c r="Q244" s="1228"/>
      <c r="U244" s="220" t="s">
        <v>1110</v>
      </c>
      <c r="V244" s="220" t="s">
        <v>1110</v>
      </c>
      <c r="X244" s="255">
        <v>43712</v>
      </c>
      <c r="Y244" s="255">
        <v>43712</v>
      </c>
      <c r="AA244" s="255"/>
      <c r="AB244" s="220" t="s">
        <v>523</v>
      </c>
      <c r="AC244" s="220">
        <v>0</v>
      </c>
      <c r="AD244" s="220">
        <v>0</v>
      </c>
      <c r="AE244" s="220">
        <v>0</v>
      </c>
      <c r="AF244" s="220">
        <v>0</v>
      </c>
      <c r="AG244" s="220">
        <v>0</v>
      </c>
      <c r="AH244" s="220">
        <v>1</v>
      </c>
      <c r="AI244" s="220">
        <v>70095</v>
      </c>
      <c r="AJ244" s="220">
        <v>2180</v>
      </c>
      <c r="AK244" s="220">
        <v>0</v>
      </c>
      <c r="AL244" s="220">
        <v>0</v>
      </c>
      <c r="AO244" s="258"/>
      <c r="AP244" s="258"/>
      <c r="AQ244" s="220" t="str">
        <f t="shared" si="6"/>
        <v/>
      </c>
      <c r="AS244" s="220" t="str">
        <f t="shared" si="7"/>
        <v>wci_corp</v>
      </c>
    </row>
    <row r="245" spans="2:45">
      <c r="B245" s="1509" t="s">
        <v>2447</v>
      </c>
      <c r="C245" s="1529">
        <v>43708</v>
      </c>
      <c r="D245" s="1537">
        <v>268.18</v>
      </c>
      <c r="E245" s="1518">
        <v>0</v>
      </c>
      <c r="F245" s="1519" t="s">
        <v>413</v>
      </c>
      <c r="G245" s="1509" t="s">
        <v>1107</v>
      </c>
      <c r="H245" s="1530" t="s">
        <v>520</v>
      </c>
      <c r="I245" s="1509" t="s">
        <v>1108</v>
      </c>
      <c r="J245" s="1509" t="s">
        <v>689</v>
      </c>
      <c r="K245" s="1509" t="s">
        <v>522</v>
      </c>
      <c r="L245" s="1520"/>
      <c r="M245" s="1520"/>
      <c r="N245" s="1520" t="s">
        <v>2677</v>
      </c>
      <c r="O245" s="1225"/>
      <c r="P245" s="1228"/>
      <c r="Q245" s="1228"/>
      <c r="U245" s="220" t="s">
        <v>1110</v>
      </c>
      <c r="V245" s="220" t="s">
        <v>1110</v>
      </c>
      <c r="X245" s="255">
        <v>43712</v>
      </c>
      <c r="Y245" s="255">
        <v>43712</v>
      </c>
      <c r="AA245" s="255"/>
      <c r="AB245" s="220" t="s">
        <v>523</v>
      </c>
      <c r="AC245" s="220">
        <v>0</v>
      </c>
      <c r="AD245" s="220">
        <v>0</v>
      </c>
      <c r="AE245" s="220">
        <v>0</v>
      </c>
      <c r="AF245" s="220">
        <v>0</v>
      </c>
      <c r="AG245" s="220">
        <v>0</v>
      </c>
      <c r="AH245" s="220">
        <v>1</v>
      </c>
      <c r="AI245" s="220">
        <v>70095</v>
      </c>
      <c r="AJ245" s="220">
        <v>2180</v>
      </c>
      <c r="AK245" s="220">
        <v>0</v>
      </c>
      <c r="AL245" s="220">
        <v>0</v>
      </c>
      <c r="AO245" s="258"/>
      <c r="AP245" s="258"/>
      <c r="AQ245" s="220" t="str">
        <f t="shared" si="6"/>
        <v/>
      </c>
      <c r="AS245" s="220" t="str">
        <f t="shared" si="7"/>
        <v>wci_corp</v>
      </c>
    </row>
    <row r="246" spans="2:45">
      <c r="B246" s="1509" t="s">
        <v>2447</v>
      </c>
      <c r="C246" s="1529">
        <v>43708</v>
      </c>
      <c r="D246" s="1537">
        <v>13.68</v>
      </c>
      <c r="E246" s="1518">
        <v>0</v>
      </c>
      <c r="F246" s="1519" t="s">
        <v>413</v>
      </c>
      <c r="G246" s="1509" t="s">
        <v>2678</v>
      </c>
      <c r="H246" s="1530" t="s">
        <v>520</v>
      </c>
      <c r="I246" s="1509" t="s">
        <v>2679</v>
      </c>
      <c r="J246" s="1509" t="s">
        <v>543</v>
      </c>
      <c r="K246" s="1509" t="s">
        <v>522</v>
      </c>
      <c r="L246" s="1520"/>
      <c r="M246" s="1520"/>
      <c r="N246" s="1520" t="s">
        <v>2680</v>
      </c>
      <c r="O246" s="1225"/>
      <c r="P246" s="1228"/>
      <c r="Q246" s="1228"/>
      <c r="U246" s="220" t="s">
        <v>2681</v>
      </c>
      <c r="V246" s="220" t="s">
        <v>2681</v>
      </c>
      <c r="X246" s="255">
        <v>43713</v>
      </c>
      <c r="Y246" s="255">
        <v>43713</v>
      </c>
      <c r="AA246" s="255"/>
      <c r="AB246" s="220" t="s">
        <v>523</v>
      </c>
      <c r="AC246" s="220">
        <v>0</v>
      </c>
      <c r="AD246" s="220">
        <v>0</v>
      </c>
      <c r="AE246" s="220">
        <v>0</v>
      </c>
      <c r="AF246" s="220">
        <v>0</v>
      </c>
      <c r="AG246" s="220">
        <v>0</v>
      </c>
      <c r="AH246" s="220">
        <v>1</v>
      </c>
      <c r="AI246" s="220">
        <v>70095</v>
      </c>
      <c r="AJ246" s="220">
        <v>2180</v>
      </c>
      <c r="AK246" s="220">
        <v>0</v>
      </c>
      <c r="AL246" s="220">
        <v>0</v>
      </c>
      <c r="AO246" s="258"/>
      <c r="AP246" s="258"/>
      <c r="AQ246" s="220" t="str">
        <f t="shared" si="6"/>
        <v/>
      </c>
      <c r="AS246" s="220" t="str">
        <f t="shared" si="7"/>
        <v>wci_corp</v>
      </c>
    </row>
    <row r="247" spans="2:45">
      <c r="B247" s="1509" t="s">
        <v>2447</v>
      </c>
      <c r="C247" s="1529">
        <v>43708</v>
      </c>
      <c r="D247" s="1537">
        <v>386.93</v>
      </c>
      <c r="E247" s="1518">
        <v>0</v>
      </c>
      <c r="F247" s="1519" t="s">
        <v>413</v>
      </c>
      <c r="G247" s="1509" t="s">
        <v>2682</v>
      </c>
      <c r="H247" s="1530" t="s">
        <v>520</v>
      </c>
      <c r="I247" s="1509" t="s">
        <v>1064</v>
      </c>
      <c r="J247" s="1509" t="s">
        <v>543</v>
      </c>
      <c r="K247" s="1509" t="s">
        <v>522</v>
      </c>
      <c r="L247" s="1520"/>
      <c r="M247" s="1520"/>
      <c r="N247" s="1520" t="s">
        <v>2567</v>
      </c>
      <c r="O247" s="1225"/>
      <c r="P247" s="1228"/>
      <c r="Q247" s="1228"/>
      <c r="U247" s="220" t="s">
        <v>2683</v>
      </c>
      <c r="V247" s="220" t="s">
        <v>2683</v>
      </c>
      <c r="X247" s="255">
        <v>43714</v>
      </c>
      <c r="Y247" s="255">
        <v>43714</v>
      </c>
      <c r="AA247" s="255"/>
      <c r="AB247" s="220" t="s">
        <v>523</v>
      </c>
      <c r="AC247" s="220">
        <v>0</v>
      </c>
      <c r="AD247" s="220">
        <v>0</v>
      </c>
      <c r="AE247" s="220">
        <v>0</v>
      </c>
      <c r="AF247" s="220">
        <v>0</v>
      </c>
      <c r="AG247" s="220">
        <v>0</v>
      </c>
      <c r="AH247" s="220">
        <v>1</v>
      </c>
      <c r="AI247" s="220">
        <v>70095</v>
      </c>
      <c r="AJ247" s="220">
        <v>2180</v>
      </c>
      <c r="AK247" s="220">
        <v>0</v>
      </c>
      <c r="AL247" s="220">
        <v>0</v>
      </c>
      <c r="AO247" s="258"/>
      <c r="AP247" s="258"/>
      <c r="AQ247" s="220" t="str">
        <f t="shared" si="6"/>
        <v/>
      </c>
      <c r="AS247" s="220" t="str">
        <f t="shared" si="7"/>
        <v>wci_corp</v>
      </c>
    </row>
    <row r="248" spans="2:45">
      <c r="B248" s="1509" t="s">
        <v>2447</v>
      </c>
      <c r="C248" s="1529">
        <v>43708</v>
      </c>
      <c r="D248" s="1537">
        <v>78.03</v>
      </c>
      <c r="E248" s="1518">
        <v>0</v>
      </c>
      <c r="F248" s="1519" t="s">
        <v>413</v>
      </c>
      <c r="G248" s="1509" t="s">
        <v>2682</v>
      </c>
      <c r="H248" s="1530" t="s">
        <v>520</v>
      </c>
      <c r="I248" s="1509" t="s">
        <v>1064</v>
      </c>
      <c r="J248" s="1509" t="s">
        <v>543</v>
      </c>
      <c r="K248" s="1509" t="s">
        <v>522</v>
      </c>
      <c r="L248" s="1520"/>
      <c r="M248" s="1520"/>
      <c r="N248" s="1520" t="s">
        <v>2468</v>
      </c>
      <c r="O248" s="1225"/>
      <c r="P248" s="1228"/>
      <c r="Q248" s="1228"/>
      <c r="U248" s="220" t="s">
        <v>2683</v>
      </c>
      <c r="V248" s="220" t="s">
        <v>2683</v>
      </c>
      <c r="X248" s="255">
        <v>43714</v>
      </c>
      <c r="Y248" s="255">
        <v>43714</v>
      </c>
      <c r="AA248" s="255"/>
      <c r="AB248" s="220" t="s">
        <v>523</v>
      </c>
      <c r="AC248" s="220">
        <v>0</v>
      </c>
      <c r="AD248" s="220">
        <v>0</v>
      </c>
      <c r="AE248" s="220">
        <v>0</v>
      </c>
      <c r="AF248" s="220">
        <v>0</v>
      </c>
      <c r="AG248" s="220">
        <v>0</v>
      </c>
      <c r="AH248" s="220">
        <v>1</v>
      </c>
      <c r="AI248" s="220">
        <v>70095</v>
      </c>
      <c r="AJ248" s="220">
        <v>2180</v>
      </c>
      <c r="AK248" s="220">
        <v>0</v>
      </c>
      <c r="AL248" s="220">
        <v>0</v>
      </c>
      <c r="AO248" s="258"/>
      <c r="AP248" s="258"/>
      <c r="AQ248" s="220" t="str">
        <f t="shared" si="6"/>
        <v/>
      </c>
      <c r="AS248" s="220" t="str">
        <f t="shared" si="7"/>
        <v>wci_corp</v>
      </c>
    </row>
    <row r="249" spans="2:45">
      <c r="B249" s="1509" t="s">
        <v>2447</v>
      </c>
      <c r="C249" s="1529">
        <v>43708</v>
      </c>
      <c r="D249" s="1537">
        <v>2119.65</v>
      </c>
      <c r="E249" s="1518">
        <v>0</v>
      </c>
      <c r="F249" s="1519" t="s">
        <v>413</v>
      </c>
      <c r="G249" s="1509" t="s">
        <v>2682</v>
      </c>
      <c r="H249" s="1530" t="s">
        <v>520</v>
      </c>
      <c r="I249" s="1509" t="s">
        <v>1064</v>
      </c>
      <c r="J249" s="1509" t="s">
        <v>543</v>
      </c>
      <c r="K249" s="1509" t="s">
        <v>522</v>
      </c>
      <c r="L249" s="1520"/>
      <c r="M249" s="1520"/>
      <c r="N249" s="1520" t="s">
        <v>2674</v>
      </c>
      <c r="O249" s="1225"/>
      <c r="P249" s="1228"/>
      <c r="Q249" s="1228"/>
      <c r="U249" s="220" t="s">
        <v>2683</v>
      </c>
      <c r="V249" s="220" t="s">
        <v>2683</v>
      </c>
      <c r="X249" s="255">
        <v>43714</v>
      </c>
      <c r="Y249" s="255">
        <v>43714</v>
      </c>
      <c r="AA249" s="255"/>
      <c r="AB249" s="220" t="s">
        <v>523</v>
      </c>
      <c r="AC249" s="220">
        <v>0</v>
      </c>
      <c r="AD249" s="220">
        <v>0</v>
      </c>
      <c r="AE249" s="220">
        <v>0</v>
      </c>
      <c r="AF249" s="220">
        <v>0</v>
      </c>
      <c r="AG249" s="220">
        <v>0</v>
      </c>
      <c r="AH249" s="220">
        <v>1</v>
      </c>
      <c r="AI249" s="220">
        <v>70095</v>
      </c>
      <c r="AJ249" s="220">
        <v>2180</v>
      </c>
      <c r="AK249" s="220">
        <v>0</v>
      </c>
      <c r="AL249" s="220">
        <v>0</v>
      </c>
      <c r="AO249" s="258"/>
      <c r="AP249" s="258"/>
      <c r="AQ249" s="220" t="str">
        <f t="shared" si="6"/>
        <v/>
      </c>
      <c r="AS249" s="220" t="str">
        <f t="shared" si="7"/>
        <v>wci_corp</v>
      </c>
    </row>
    <row r="250" spans="2:45">
      <c r="B250" s="1509" t="s">
        <v>2447</v>
      </c>
      <c r="C250" s="1529">
        <v>43708</v>
      </c>
      <c r="D250" s="1537">
        <v>1761.34</v>
      </c>
      <c r="E250" s="1518">
        <v>0</v>
      </c>
      <c r="F250" s="1519" t="s">
        <v>413</v>
      </c>
      <c r="G250" s="1509" t="s">
        <v>2684</v>
      </c>
      <c r="H250" s="1530" t="s">
        <v>520</v>
      </c>
      <c r="I250" s="1509" t="s">
        <v>1150</v>
      </c>
      <c r="J250" s="1509" t="s">
        <v>543</v>
      </c>
      <c r="K250" s="1509" t="s">
        <v>522</v>
      </c>
      <c r="L250" s="1520"/>
      <c r="M250" s="1520"/>
      <c r="N250" s="1520" t="s">
        <v>2577</v>
      </c>
      <c r="O250" s="1225"/>
      <c r="P250" s="1228"/>
      <c r="Q250" s="1228"/>
      <c r="U250" s="220" t="s">
        <v>2685</v>
      </c>
      <c r="V250" s="220" t="s">
        <v>2685</v>
      </c>
      <c r="X250" s="255">
        <v>43714</v>
      </c>
      <c r="Y250" s="255">
        <v>43714</v>
      </c>
      <c r="AA250" s="255"/>
      <c r="AB250" s="220" t="s">
        <v>523</v>
      </c>
      <c r="AC250" s="220">
        <v>0</v>
      </c>
      <c r="AD250" s="220">
        <v>0</v>
      </c>
      <c r="AE250" s="220">
        <v>0</v>
      </c>
      <c r="AF250" s="220">
        <v>0</v>
      </c>
      <c r="AG250" s="220">
        <v>0</v>
      </c>
      <c r="AH250" s="220">
        <v>1</v>
      </c>
      <c r="AI250" s="220">
        <v>70095</v>
      </c>
      <c r="AJ250" s="220">
        <v>2180</v>
      </c>
      <c r="AK250" s="220">
        <v>0</v>
      </c>
      <c r="AL250" s="220">
        <v>0</v>
      </c>
      <c r="AO250" s="258"/>
      <c r="AP250" s="258"/>
      <c r="AQ250" s="220" t="str">
        <f t="shared" si="6"/>
        <v/>
      </c>
      <c r="AS250" s="220" t="str">
        <f t="shared" si="7"/>
        <v>wci_corp</v>
      </c>
    </row>
    <row r="251" spans="2:45">
      <c r="B251" s="1509" t="s">
        <v>2447</v>
      </c>
      <c r="C251" s="1529">
        <v>43708</v>
      </c>
      <c r="D251" s="1537">
        <v>81.650000000000006</v>
      </c>
      <c r="E251" s="1518">
        <v>0</v>
      </c>
      <c r="F251" s="1519" t="s">
        <v>413</v>
      </c>
      <c r="G251" s="1509" t="s">
        <v>2684</v>
      </c>
      <c r="H251" s="1530" t="s">
        <v>520</v>
      </c>
      <c r="I251" s="1509" t="s">
        <v>1150</v>
      </c>
      <c r="J251" s="1509" t="s">
        <v>543</v>
      </c>
      <c r="K251" s="1509" t="s">
        <v>522</v>
      </c>
      <c r="L251" s="1520"/>
      <c r="M251" s="1520"/>
      <c r="N251" s="1520" t="s">
        <v>2686</v>
      </c>
      <c r="O251" s="1225"/>
      <c r="P251" s="1228"/>
      <c r="Q251" s="1228"/>
      <c r="U251" s="220" t="s">
        <v>2685</v>
      </c>
      <c r="V251" s="220" t="s">
        <v>2685</v>
      </c>
      <c r="X251" s="255">
        <v>43714</v>
      </c>
      <c r="Y251" s="255">
        <v>43714</v>
      </c>
      <c r="AA251" s="255"/>
      <c r="AB251" s="220" t="s">
        <v>523</v>
      </c>
      <c r="AC251" s="220">
        <v>0</v>
      </c>
      <c r="AD251" s="220">
        <v>0</v>
      </c>
      <c r="AE251" s="220">
        <v>0</v>
      </c>
      <c r="AF251" s="220">
        <v>0</v>
      </c>
      <c r="AG251" s="220">
        <v>0</v>
      </c>
      <c r="AH251" s="220">
        <v>1</v>
      </c>
      <c r="AI251" s="220">
        <v>70095</v>
      </c>
      <c r="AJ251" s="220">
        <v>2180</v>
      </c>
      <c r="AK251" s="220">
        <v>0</v>
      </c>
      <c r="AL251" s="220">
        <v>0</v>
      </c>
      <c r="AO251" s="258"/>
      <c r="AP251" s="258"/>
      <c r="AQ251" s="220" t="str">
        <f t="shared" si="6"/>
        <v/>
      </c>
      <c r="AS251" s="220" t="str">
        <f t="shared" si="7"/>
        <v>wci_corp</v>
      </c>
    </row>
    <row r="252" spans="2:45">
      <c r="B252" s="1509" t="s">
        <v>2447</v>
      </c>
      <c r="C252" s="1529">
        <v>43708</v>
      </c>
      <c r="D252" s="1537">
        <v>638.98</v>
      </c>
      <c r="E252" s="1518">
        <v>0</v>
      </c>
      <c r="F252" s="1519" t="s">
        <v>413</v>
      </c>
      <c r="G252" s="1509" t="s">
        <v>2687</v>
      </c>
      <c r="H252" s="1530" t="s">
        <v>520</v>
      </c>
      <c r="I252" s="1509" t="s">
        <v>2688</v>
      </c>
      <c r="J252" s="1509" t="s">
        <v>543</v>
      </c>
      <c r="K252" s="1509" t="s">
        <v>522</v>
      </c>
      <c r="L252" s="1520"/>
      <c r="M252" s="1520"/>
      <c r="N252" s="1520" t="s">
        <v>2689</v>
      </c>
      <c r="O252" s="1225"/>
      <c r="P252" s="1228"/>
      <c r="Q252" s="1228"/>
      <c r="U252" s="220" t="s">
        <v>2690</v>
      </c>
      <c r="V252" s="220" t="s">
        <v>2690</v>
      </c>
      <c r="X252" s="255">
        <v>43717</v>
      </c>
      <c r="Y252" s="255">
        <v>43717</v>
      </c>
      <c r="AA252" s="255"/>
      <c r="AB252" s="220" t="s">
        <v>523</v>
      </c>
      <c r="AC252" s="220">
        <v>0</v>
      </c>
      <c r="AD252" s="220">
        <v>0</v>
      </c>
      <c r="AE252" s="220">
        <v>0</v>
      </c>
      <c r="AF252" s="220">
        <v>0</v>
      </c>
      <c r="AG252" s="220">
        <v>0</v>
      </c>
      <c r="AH252" s="220">
        <v>1</v>
      </c>
      <c r="AI252" s="220">
        <v>70095</v>
      </c>
      <c r="AJ252" s="220">
        <v>2180</v>
      </c>
      <c r="AK252" s="220">
        <v>0</v>
      </c>
      <c r="AL252" s="220">
        <v>0</v>
      </c>
      <c r="AO252" s="258"/>
      <c r="AP252" s="258"/>
      <c r="AQ252" s="220" t="str">
        <f t="shared" si="6"/>
        <v/>
      </c>
      <c r="AS252" s="220" t="str">
        <f t="shared" si="7"/>
        <v>wci_corp</v>
      </c>
    </row>
    <row r="253" spans="2:45">
      <c r="B253" s="1509" t="s">
        <v>2447</v>
      </c>
      <c r="C253" s="1529">
        <v>43708</v>
      </c>
      <c r="D253" s="1537">
        <v>324.44</v>
      </c>
      <c r="E253" s="1518">
        <v>0</v>
      </c>
      <c r="F253" s="1519" t="s">
        <v>413</v>
      </c>
      <c r="G253" s="1509" t="s">
        <v>2691</v>
      </c>
      <c r="H253" s="1530" t="s">
        <v>520</v>
      </c>
      <c r="I253" s="1509" t="s">
        <v>2583</v>
      </c>
      <c r="J253" s="1509" t="s">
        <v>543</v>
      </c>
      <c r="K253" s="1509" t="s">
        <v>522</v>
      </c>
      <c r="L253" s="1520"/>
      <c r="M253" s="1520"/>
      <c r="N253" s="1520" t="s">
        <v>2584</v>
      </c>
      <c r="O253" s="1225"/>
      <c r="P253" s="1228"/>
      <c r="Q253" s="1228"/>
      <c r="U253" s="220" t="s">
        <v>2692</v>
      </c>
      <c r="V253" s="220" t="s">
        <v>2692</v>
      </c>
      <c r="X253" s="255">
        <v>43717</v>
      </c>
      <c r="Y253" s="255">
        <v>43717</v>
      </c>
      <c r="AA253" s="255"/>
      <c r="AB253" s="220" t="s">
        <v>523</v>
      </c>
      <c r="AC253" s="220">
        <v>0</v>
      </c>
      <c r="AD253" s="220">
        <v>0</v>
      </c>
      <c r="AE253" s="220">
        <v>0</v>
      </c>
      <c r="AF253" s="220">
        <v>0</v>
      </c>
      <c r="AG253" s="220">
        <v>0</v>
      </c>
      <c r="AH253" s="220">
        <v>1</v>
      </c>
      <c r="AI253" s="220">
        <v>70095</v>
      </c>
      <c r="AJ253" s="220">
        <v>2180</v>
      </c>
      <c r="AK253" s="220">
        <v>0</v>
      </c>
      <c r="AL253" s="220">
        <v>0</v>
      </c>
      <c r="AO253" s="258"/>
      <c r="AP253" s="258"/>
      <c r="AQ253" s="220" t="str">
        <f t="shared" si="6"/>
        <v/>
      </c>
      <c r="AS253" s="220" t="str">
        <f t="shared" si="7"/>
        <v>wci_corp</v>
      </c>
    </row>
    <row r="254" spans="2:45">
      <c r="B254" s="1509" t="s">
        <v>2447</v>
      </c>
      <c r="C254" s="1529">
        <v>43738</v>
      </c>
      <c r="D254" s="1537">
        <v>-386.93</v>
      </c>
      <c r="E254" s="1518">
        <v>0</v>
      </c>
      <c r="F254" s="1519" t="s">
        <v>413</v>
      </c>
      <c r="G254" s="1509" t="s">
        <v>2693</v>
      </c>
      <c r="H254" s="1530" t="s">
        <v>520</v>
      </c>
      <c r="I254" s="1509" t="s">
        <v>1064</v>
      </c>
      <c r="J254" s="1509" t="s">
        <v>521</v>
      </c>
      <c r="K254" s="1509" t="s">
        <v>522</v>
      </c>
      <c r="L254" s="1520"/>
      <c r="M254" s="1520"/>
      <c r="N254" s="1520" t="s">
        <v>2567</v>
      </c>
      <c r="O254" s="1225"/>
      <c r="P254" s="1228"/>
      <c r="Q254" s="1228"/>
      <c r="U254" s="220" t="s">
        <v>2683</v>
      </c>
      <c r="V254" s="220" t="s">
        <v>2694</v>
      </c>
      <c r="X254" s="255">
        <v>43714</v>
      </c>
      <c r="Y254" s="255">
        <v>43714</v>
      </c>
      <c r="AA254" s="255"/>
      <c r="AB254" s="220" t="s">
        <v>523</v>
      </c>
      <c r="AC254" s="220">
        <v>0</v>
      </c>
      <c r="AD254" s="220">
        <v>0</v>
      </c>
      <c r="AE254" s="220">
        <v>0</v>
      </c>
      <c r="AF254" s="220">
        <v>0</v>
      </c>
      <c r="AG254" s="220">
        <v>5</v>
      </c>
      <c r="AH254" s="220">
        <v>1</v>
      </c>
      <c r="AI254" s="220">
        <v>70095</v>
      </c>
      <c r="AJ254" s="220">
        <v>2180</v>
      </c>
      <c r="AK254" s="220">
        <v>0</v>
      </c>
      <c r="AL254" s="220">
        <v>0</v>
      </c>
      <c r="AO254" s="258"/>
      <c r="AP254" s="258"/>
      <c r="AQ254" s="220" t="str">
        <f t="shared" si="6"/>
        <v/>
      </c>
      <c r="AS254" s="220" t="str">
        <f t="shared" si="7"/>
        <v>wci_corp</v>
      </c>
    </row>
    <row r="255" spans="2:45">
      <c r="B255" s="1509" t="s">
        <v>2447</v>
      </c>
      <c r="C255" s="1529">
        <v>43738</v>
      </c>
      <c r="D255" s="1537">
        <v>-78.03</v>
      </c>
      <c r="E255" s="1518">
        <v>0</v>
      </c>
      <c r="F255" s="1519" t="s">
        <v>413</v>
      </c>
      <c r="G255" s="1509" t="s">
        <v>2693</v>
      </c>
      <c r="H255" s="1530" t="s">
        <v>520</v>
      </c>
      <c r="I255" s="1509" t="s">
        <v>1064</v>
      </c>
      <c r="J255" s="1509" t="s">
        <v>521</v>
      </c>
      <c r="K255" s="1509" t="s">
        <v>522</v>
      </c>
      <c r="L255" s="1520"/>
      <c r="M255" s="1520"/>
      <c r="N255" s="1520" t="s">
        <v>2468</v>
      </c>
      <c r="O255" s="1225"/>
      <c r="P255" s="1228"/>
      <c r="Q255" s="1228"/>
      <c r="U255" s="220" t="s">
        <v>2683</v>
      </c>
      <c r="V255" s="220" t="s">
        <v>2694</v>
      </c>
      <c r="X255" s="255">
        <v>43714</v>
      </c>
      <c r="Y255" s="255">
        <v>43714</v>
      </c>
      <c r="AA255" s="255"/>
      <c r="AB255" s="220" t="s">
        <v>523</v>
      </c>
      <c r="AC255" s="220">
        <v>0</v>
      </c>
      <c r="AD255" s="220">
        <v>0</v>
      </c>
      <c r="AE255" s="220">
        <v>0</v>
      </c>
      <c r="AF255" s="220">
        <v>0</v>
      </c>
      <c r="AG255" s="220">
        <v>5</v>
      </c>
      <c r="AH255" s="220">
        <v>1</v>
      </c>
      <c r="AI255" s="220">
        <v>70095</v>
      </c>
      <c r="AJ255" s="220">
        <v>2180</v>
      </c>
      <c r="AK255" s="220">
        <v>0</v>
      </c>
      <c r="AL255" s="220">
        <v>0</v>
      </c>
      <c r="AO255" s="258"/>
      <c r="AP255" s="258"/>
      <c r="AQ255" s="220" t="str">
        <f t="shared" si="6"/>
        <v/>
      </c>
      <c r="AS255" s="220" t="str">
        <f t="shared" si="7"/>
        <v>wci_corp</v>
      </c>
    </row>
    <row r="256" spans="2:45">
      <c r="B256" s="1509" t="s">
        <v>2447</v>
      </c>
      <c r="C256" s="1529">
        <v>43738</v>
      </c>
      <c r="D256" s="1537">
        <v>-2119.65</v>
      </c>
      <c r="E256" s="1518">
        <v>0</v>
      </c>
      <c r="F256" s="1519" t="s">
        <v>413</v>
      </c>
      <c r="G256" s="1509" t="s">
        <v>2693</v>
      </c>
      <c r="H256" s="1530" t="s">
        <v>520</v>
      </c>
      <c r="I256" s="1509" t="s">
        <v>1064</v>
      </c>
      <c r="J256" s="1509" t="s">
        <v>521</v>
      </c>
      <c r="K256" s="1509" t="s">
        <v>522</v>
      </c>
      <c r="L256" s="1520"/>
      <c r="M256" s="1520"/>
      <c r="N256" s="1520" t="s">
        <v>2674</v>
      </c>
      <c r="O256" s="1225"/>
      <c r="P256" s="1228"/>
      <c r="Q256" s="1228"/>
      <c r="U256" s="220" t="s">
        <v>2683</v>
      </c>
      <c r="V256" s="220" t="s">
        <v>2694</v>
      </c>
      <c r="X256" s="255">
        <v>43714</v>
      </c>
      <c r="Y256" s="255">
        <v>43714</v>
      </c>
      <c r="AA256" s="255"/>
      <c r="AB256" s="220" t="s">
        <v>523</v>
      </c>
      <c r="AC256" s="220">
        <v>0</v>
      </c>
      <c r="AD256" s="220">
        <v>0</v>
      </c>
      <c r="AE256" s="220">
        <v>0</v>
      </c>
      <c r="AF256" s="220">
        <v>0</v>
      </c>
      <c r="AG256" s="220">
        <v>5</v>
      </c>
      <c r="AH256" s="220">
        <v>1</v>
      </c>
      <c r="AI256" s="220">
        <v>70095</v>
      </c>
      <c r="AJ256" s="220">
        <v>2180</v>
      </c>
      <c r="AK256" s="220">
        <v>0</v>
      </c>
      <c r="AL256" s="220">
        <v>0</v>
      </c>
      <c r="AO256" s="258"/>
      <c r="AP256" s="258"/>
      <c r="AQ256" s="220" t="str">
        <f t="shared" si="6"/>
        <v/>
      </c>
      <c r="AS256" s="220" t="str">
        <f t="shared" si="7"/>
        <v>wci_corp</v>
      </c>
    </row>
    <row r="257" spans="2:45">
      <c r="B257" s="1509" t="s">
        <v>2447</v>
      </c>
      <c r="C257" s="1529">
        <v>43738</v>
      </c>
      <c r="D257" s="1537">
        <v>-638.98</v>
      </c>
      <c r="E257" s="1518">
        <v>0</v>
      </c>
      <c r="F257" s="1519" t="s">
        <v>413</v>
      </c>
      <c r="G257" s="1509" t="s">
        <v>2695</v>
      </c>
      <c r="H257" s="1530" t="s">
        <v>520</v>
      </c>
      <c r="I257" s="1509" t="s">
        <v>2688</v>
      </c>
      <c r="J257" s="1509" t="s">
        <v>543</v>
      </c>
      <c r="K257" s="1509" t="s">
        <v>522</v>
      </c>
      <c r="L257" s="1520"/>
      <c r="M257" s="1520"/>
      <c r="N257" s="1520" t="s">
        <v>2689</v>
      </c>
      <c r="O257" s="1225"/>
      <c r="P257" s="1228"/>
      <c r="Q257" s="1228"/>
      <c r="U257" s="220" t="s">
        <v>2690</v>
      </c>
      <c r="V257" s="220" t="s">
        <v>2696</v>
      </c>
      <c r="X257" s="255">
        <v>43717</v>
      </c>
      <c r="Y257" s="255">
        <v>43717</v>
      </c>
      <c r="AA257" s="255"/>
      <c r="AB257" s="220" t="s">
        <v>523</v>
      </c>
      <c r="AC257" s="220">
        <v>0</v>
      </c>
      <c r="AD257" s="220">
        <v>0</v>
      </c>
      <c r="AE257" s="220">
        <v>0</v>
      </c>
      <c r="AF257" s="220">
        <v>0</v>
      </c>
      <c r="AG257" s="220">
        <v>5</v>
      </c>
      <c r="AH257" s="220">
        <v>1</v>
      </c>
      <c r="AI257" s="220">
        <v>70095</v>
      </c>
      <c r="AJ257" s="220">
        <v>2180</v>
      </c>
      <c r="AK257" s="220">
        <v>0</v>
      </c>
      <c r="AL257" s="220">
        <v>0</v>
      </c>
      <c r="AO257" s="258"/>
      <c r="AP257" s="258"/>
      <c r="AQ257" s="220" t="str">
        <f t="shared" si="6"/>
        <v/>
      </c>
      <c r="AS257" s="220" t="str">
        <f t="shared" si="7"/>
        <v>wci_corp</v>
      </c>
    </row>
    <row r="258" spans="2:45">
      <c r="B258" s="1509" t="s">
        <v>2447</v>
      </c>
      <c r="C258" s="1529">
        <v>43738</v>
      </c>
      <c r="D258" s="1537">
        <v>638.98</v>
      </c>
      <c r="E258" s="1518">
        <v>0</v>
      </c>
      <c r="F258" s="1519" t="s">
        <v>413</v>
      </c>
      <c r="G258" s="1509" t="s">
        <v>1045</v>
      </c>
      <c r="H258" s="1530" t="s">
        <v>520</v>
      </c>
      <c r="I258" s="1509" t="s">
        <v>1046</v>
      </c>
      <c r="J258" s="1509" t="s">
        <v>543</v>
      </c>
      <c r="K258" s="1509" t="s">
        <v>522</v>
      </c>
      <c r="L258" s="1520"/>
      <c r="M258" s="1520"/>
      <c r="N258" s="1520" t="s">
        <v>2689</v>
      </c>
      <c r="O258" s="1225"/>
      <c r="P258" s="1228"/>
      <c r="Q258" s="1228"/>
      <c r="U258" s="220" t="s">
        <v>1047</v>
      </c>
      <c r="V258" s="220" t="s">
        <v>1047</v>
      </c>
      <c r="X258" s="255">
        <v>43740</v>
      </c>
      <c r="Y258" s="255">
        <v>43740</v>
      </c>
      <c r="AA258" s="255"/>
      <c r="AB258" s="220" t="s">
        <v>523</v>
      </c>
      <c r="AC258" s="220">
        <v>0</v>
      </c>
      <c r="AD258" s="220">
        <v>0</v>
      </c>
      <c r="AE258" s="220">
        <v>0</v>
      </c>
      <c r="AF258" s="220">
        <v>0</v>
      </c>
      <c r="AG258" s="220">
        <v>0</v>
      </c>
      <c r="AH258" s="220">
        <v>1</v>
      </c>
      <c r="AI258" s="220">
        <v>70095</v>
      </c>
      <c r="AJ258" s="220">
        <v>2180</v>
      </c>
      <c r="AK258" s="220">
        <v>0</v>
      </c>
      <c r="AL258" s="220">
        <v>0</v>
      </c>
      <c r="AO258" s="258"/>
      <c r="AP258" s="258"/>
      <c r="AQ258" s="220" t="str">
        <f t="shared" si="6"/>
        <v/>
      </c>
      <c r="AS258" s="220" t="str">
        <f t="shared" si="7"/>
        <v>wci_corp</v>
      </c>
    </row>
    <row r="259" spans="2:45">
      <c r="B259" s="1509" t="s">
        <v>2447</v>
      </c>
      <c r="C259" s="1529">
        <v>43738</v>
      </c>
      <c r="D259" s="1537">
        <v>750</v>
      </c>
      <c r="E259" s="1518">
        <v>0</v>
      </c>
      <c r="F259" s="1519" t="s">
        <v>413</v>
      </c>
      <c r="G259" s="1509" t="s">
        <v>1045</v>
      </c>
      <c r="H259" s="1530" t="s">
        <v>520</v>
      </c>
      <c r="I259" s="1509" t="s">
        <v>1046</v>
      </c>
      <c r="J259" s="1509" t="s">
        <v>543</v>
      </c>
      <c r="K259" s="1509" t="s">
        <v>522</v>
      </c>
      <c r="L259" s="1520"/>
      <c r="M259" s="1520"/>
      <c r="N259" s="1520" t="s">
        <v>2697</v>
      </c>
      <c r="O259" s="1225"/>
      <c r="P259" s="1228"/>
      <c r="Q259" s="1228"/>
      <c r="U259" s="220" t="s">
        <v>1047</v>
      </c>
      <c r="V259" s="220" t="s">
        <v>1047</v>
      </c>
      <c r="X259" s="255">
        <v>43740</v>
      </c>
      <c r="Y259" s="255">
        <v>43740</v>
      </c>
      <c r="AA259" s="255"/>
      <c r="AB259" s="220" t="s">
        <v>523</v>
      </c>
      <c r="AC259" s="220">
        <v>0</v>
      </c>
      <c r="AD259" s="220">
        <v>0</v>
      </c>
      <c r="AE259" s="220">
        <v>0</v>
      </c>
      <c r="AF259" s="220">
        <v>0</v>
      </c>
      <c r="AG259" s="220">
        <v>0</v>
      </c>
      <c r="AH259" s="220">
        <v>1</v>
      </c>
      <c r="AI259" s="220">
        <v>70095</v>
      </c>
      <c r="AJ259" s="220">
        <v>2180</v>
      </c>
      <c r="AK259" s="220">
        <v>0</v>
      </c>
      <c r="AL259" s="220">
        <v>0</v>
      </c>
      <c r="AO259" s="258"/>
      <c r="AP259" s="258"/>
      <c r="AQ259" s="220" t="str">
        <f t="shared" si="6"/>
        <v/>
      </c>
      <c r="AS259" s="220" t="str">
        <f t="shared" si="7"/>
        <v>wci_corp</v>
      </c>
    </row>
    <row r="260" spans="2:45">
      <c r="B260" s="1509" t="s">
        <v>2447</v>
      </c>
      <c r="C260" s="1529">
        <v>43738</v>
      </c>
      <c r="D260" s="1537">
        <v>585.21</v>
      </c>
      <c r="E260" s="1518">
        <v>0</v>
      </c>
      <c r="F260" s="1519" t="s">
        <v>413</v>
      </c>
      <c r="G260" s="1509" t="s">
        <v>1045</v>
      </c>
      <c r="H260" s="1530" t="s">
        <v>520</v>
      </c>
      <c r="I260" s="1509" t="s">
        <v>1046</v>
      </c>
      <c r="J260" s="1509" t="s">
        <v>543</v>
      </c>
      <c r="K260" s="1509" t="s">
        <v>522</v>
      </c>
      <c r="L260" s="1520"/>
      <c r="M260" s="1520"/>
      <c r="N260" s="1520" t="s">
        <v>2698</v>
      </c>
      <c r="O260" s="1225"/>
      <c r="P260" s="1228"/>
      <c r="Q260" s="1228"/>
      <c r="U260" s="220" t="s">
        <v>1047</v>
      </c>
      <c r="V260" s="220" t="s">
        <v>1047</v>
      </c>
      <c r="X260" s="255">
        <v>43740</v>
      </c>
      <c r="Y260" s="255">
        <v>43740</v>
      </c>
      <c r="AA260" s="255"/>
      <c r="AB260" s="220" t="s">
        <v>523</v>
      </c>
      <c r="AC260" s="220">
        <v>0</v>
      </c>
      <c r="AD260" s="220">
        <v>0</v>
      </c>
      <c r="AE260" s="220">
        <v>0</v>
      </c>
      <c r="AF260" s="220">
        <v>0</v>
      </c>
      <c r="AG260" s="220">
        <v>0</v>
      </c>
      <c r="AH260" s="220">
        <v>1</v>
      </c>
      <c r="AI260" s="220">
        <v>70095</v>
      </c>
      <c r="AJ260" s="220">
        <v>2180</v>
      </c>
      <c r="AK260" s="220">
        <v>0</v>
      </c>
      <c r="AL260" s="220">
        <v>0</v>
      </c>
      <c r="AO260" s="258"/>
      <c r="AP260" s="258"/>
      <c r="AQ260" s="220" t="str">
        <f t="shared" si="6"/>
        <v/>
      </c>
      <c r="AS260" s="220" t="str">
        <f t="shared" si="7"/>
        <v>wci_corp</v>
      </c>
    </row>
    <row r="261" spans="2:45">
      <c r="B261" s="1509" t="s">
        <v>2447</v>
      </c>
      <c r="C261" s="1529">
        <v>43738</v>
      </c>
      <c r="D261" s="1537">
        <v>101.89</v>
      </c>
      <c r="E261" s="1518">
        <v>0</v>
      </c>
      <c r="F261" s="1519" t="s">
        <v>413</v>
      </c>
      <c r="G261" s="1509" t="s">
        <v>1045</v>
      </c>
      <c r="H261" s="1530" t="s">
        <v>520</v>
      </c>
      <c r="I261" s="1509" t="s">
        <v>1046</v>
      </c>
      <c r="J261" s="1509" t="s">
        <v>543</v>
      </c>
      <c r="K261" s="1509" t="s">
        <v>522</v>
      </c>
      <c r="L261" s="1520"/>
      <c r="M261" s="1520"/>
      <c r="N261" s="1520" t="s">
        <v>2699</v>
      </c>
      <c r="O261" s="1225"/>
      <c r="P261" s="1228"/>
      <c r="Q261" s="1228"/>
      <c r="U261" s="220" t="s">
        <v>1047</v>
      </c>
      <c r="V261" s="220" t="s">
        <v>1047</v>
      </c>
      <c r="X261" s="255">
        <v>43740</v>
      </c>
      <c r="Y261" s="255">
        <v>43740</v>
      </c>
      <c r="AA261" s="255"/>
      <c r="AB261" s="220" t="s">
        <v>523</v>
      </c>
      <c r="AC261" s="220">
        <v>0</v>
      </c>
      <c r="AD261" s="220">
        <v>0</v>
      </c>
      <c r="AE261" s="220">
        <v>0</v>
      </c>
      <c r="AF261" s="220">
        <v>0</v>
      </c>
      <c r="AG261" s="220">
        <v>0</v>
      </c>
      <c r="AH261" s="220">
        <v>1</v>
      </c>
      <c r="AI261" s="220">
        <v>70095</v>
      </c>
      <c r="AJ261" s="220">
        <v>2180</v>
      </c>
      <c r="AK261" s="220">
        <v>0</v>
      </c>
      <c r="AL261" s="220">
        <v>0</v>
      </c>
      <c r="AO261" s="258"/>
      <c r="AP261" s="258"/>
      <c r="AQ261" s="220" t="str">
        <f t="shared" si="6"/>
        <v/>
      </c>
      <c r="AS261" s="220" t="str">
        <f t="shared" si="7"/>
        <v>wci_corp</v>
      </c>
    </row>
    <row r="262" spans="2:45">
      <c r="B262" s="1509" t="s">
        <v>2447</v>
      </c>
      <c r="C262" s="1529">
        <v>43738</v>
      </c>
      <c r="D262" s="1537">
        <v>386.93</v>
      </c>
      <c r="E262" s="1518">
        <v>0</v>
      </c>
      <c r="F262" s="1519" t="s">
        <v>413</v>
      </c>
      <c r="G262" s="1509" t="s">
        <v>1045</v>
      </c>
      <c r="H262" s="1530" t="s">
        <v>520</v>
      </c>
      <c r="I262" s="1509" t="s">
        <v>1046</v>
      </c>
      <c r="J262" s="1509" t="s">
        <v>543</v>
      </c>
      <c r="K262" s="1509" t="s">
        <v>522</v>
      </c>
      <c r="L262" s="1520"/>
      <c r="M262" s="1520"/>
      <c r="N262" s="1520" t="s">
        <v>2567</v>
      </c>
      <c r="O262" s="1225"/>
      <c r="P262" s="1228"/>
      <c r="Q262" s="1228"/>
      <c r="U262" s="220" t="s">
        <v>1047</v>
      </c>
      <c r="V262" s="220" t="s">
        <v>1047</v>
      </c>
      <c r="X262" s="255">
        <v>43740</v>
      </c>
      <c r="Y262" s="255">
        <v>43740</v>
      </c>
      <c r="AA262" s="255"/>
      <c r="AB262" s="220" t="s">
        <v>523</v>
      </c>
      <c r="AC262" s="220">
        <v>0</v>
      </c>
      <c r="AD262" s="220">
        <v>0</v>
      </c>
      <c r="AE262" s="220">
        <v>0</v>
      </c>
      <c r="AF262" s="220">
        <v>0</v>
      </c>
      <c r="AG262" s="220">
        <v>0</v>
      </c>
      <c r="AH262" s="220">
        <v>1</v>
      </c>
      <c r="AI262" s="220">
        <v>70095</v>
      </c>
      <c r="AJ262" s="220">
        <v>2180</v>
      </c>
      <c r="AK262" s="220">
        <v>0</v>
      </c>
      <c r="AL262" s="220">
        <v>0</v>
      </c>
      <c r="AO262" s="258"/>
      <c r="AP262" s="258"/>
      <c r="AQ262" s="220" t="str">
        <f t="shared" si="6"/>
        <v/>
      </c>
      <c r="AS262" s="220" t="str">
        <f t="shared" si="7"/>
        <v>wci_corp</v>
      </c>
    </row>
    <row r="263" spans="2:45">
      <c r="B263" s="1509" t="s">
        <v>2447</v>
      </c>
      <c r="C263" s="1529">
        <v>43738</v>
      </c>
      <c r="D263" s="1537">
        <v>78.03</v>
      </c>
      <c r="E263" s="1518">
        <v>0</v>
      </c>
      <c r="F263" s="1519" t="s">
        <v>413</v>
      </c>
      <c r="G263" s="1509" t="s">
        <v>1045</v>
      </c>
      <c r="H263" s="1530" t="s">
        <v>520</v>
      </c>
      <c r="I263" s="1509" t="s">
        <v>1046</v>
      </c>
      <c r="J263" s="1509" t="s">
        <v>543</v>
      </c>
      <c r="K263" s="1509" t="s">
        <v>522</v>
      </c>
      <c r="L263" s="1520"/>
      <c r="M263" s="1520"/>
      <c r="N263" s="1520" t="s">
        <v>2468</v>
      </c>
      <c r="O263" s="1225"/>
      <c r="P263" s="1228"/>
      <c r="Q263" s="1228"/>
      <c r="U263" s="220" t="s">
        <v>1047</v>
      </c>
      <c r="V263" s="220" t="s">
        <v>1047</v>
      </c>
      <c r="X263" s="255">
        <v>43740</v>
      </c>
      <c r="Y263" s="255">
        <v>43740</v>
      </c>
      <c r="AA263" s="255"/>
      <c r="AB263" s="220" t="s">
        <v>523</v>
      </c>
      <c r="AC263" s="220">
        <v>0</v>
      </c>
      <c r="AD263" s="220">
        <v>0</v>
      </c>
      <c r="AE263" s="220">
        <v>0</v>
      </c>
      <c r="AF263" s="220">
        <v>0</v>
      </c>
      <c r="AG263" s="220">
        <v>0</v>
      </c>
      <c r="AH263" s="220">
        <v>1</v>
      </c>
      <c r="AI263" s="220">
        <v>70095</v>
      </c>
      <c r="AJ263" s="220">
        <v>2180</v>
      </c>
      <c r="AK263" s="220">
        <v>0</v>
      </c>
      <c r="AL263" s="220">
        <v>0</v>
      </c>
      <c r="AO263" s="258"/>
      <c r="AP263" s="258"/>
      <c r="AQ263" s="220" t="str">
        <f t="shared" si="6"/>
        <v/>
      </c>
      <c r="AS263" s="220" t="str">
        <f t="shared" si="7"/>
        <v>wci_corp</v>
      </c>
    </row>
    <row r="264" spans="2:45">
      <c r="B264" s="1509" t="s">
        <v>2447</v>
      </c>
      <c r="C264" s="1529">
        <v>43738</v>
      </c>
      <c r="D264" s="1537">
        <v>2119.65</v>
      </c>
      <c r="E264" s="1518">
        <v>0</v>
      </c>
      <c r="F264" s="1519" t="s">
        <v>413</v>
      </c>
      <c r="G264" s="1509" t="s">
        <v>1045</v>
      </c>
      <c r="H264" s="1530" t="s">
        <v>520</v>
      </c>
      <c r="I264" s="1509" t="s">
        <v>1046</v>
      </c>
      <c r="J264" s="1509" t="s">
        <v>543</v>
      </c>
      <c r="K264" s="1509" t="s">
        <v>522</v>
      </c>
      <c r="L264" s="1520"/>
      <c r="M264" s="1520"/>
      <c r="N264" s="1520" t="s">
        <v>2674</v>
      </c>
      <c r="O264" s="1225"/>
      <c r="P264" s="1228"/>
      <c r="Q264" s="1228"/>
      <c r="U264" s="220" t="s">
        <v>1047</v>
      </c>
      <c r="V264" s="220" t="s">
        <v>1047</v>
      </c>
      <c r="X264" s="255">
        <v>43740</v>
      </c>
      <c r="Y264" s="255">
        <v>43740</v>
      </c>
      <c r="AA264" s="255"/>
      <c r="AB264" s="220" t="s">
        <v>523</v>
      </c>
      <c r="AC264" s="220">
        <v>0</v>
      </c>
      <c r="AD264" s="220">
        <v>0</v>
      </c>
      <c r="AE264" s="220">
        <v>0</v>
      </c>
      <c r="AF264" s="220">
        <v>0</v>
      </c>
      <c r="AG264" s="220">
        <v>0</v>
      </c>
      <c r="AH264" s="220">
        <v>1</v>
      </c>
      <c r="AI264" s="220">
        <v>70095</v>
      </c>
      <c r="AJ264" s="220">
        <v>2180</v>
      </c>
      <c r="AK264" s="220">
        <v>0</v>
      </c>
      <c r="AL264" s="220">
        <v>0</v>
      </c>
      <c r="AO264" s="258"/>
      <c r="AP264" s="258"/>
      <c r="AQ264" s="220" t="str">
        <f t="shared" si="6"/>
        <v/>
      </c>
      <c r="AS264" s="220" t="str">
        <f t="shared" si="7"/>
        <v>wci_corp</v>
      </c>
    </row>
    <row r="265" spans="2:45">
      <c r="B265" s="1509" t="s">
        <v>2447</v>
      </c>
      <c r="C265" s="1529">
        <v>43738</v>
      </c>
      <c r="D265" s="1537">
        <v>171.96</v>
      </c>
      <c r="E265" s="1518">
        <v>0</v>
      </c>
      <c r="F265" s="1519" t="s">
        <v>413</v>
      </c>
      <c r="G265" s="1509" t="s">
        <v>1045</v>
      </c>
      <c r="H265" s="1530" t="s">
        <v>520</v>
      </c>
      <c r="I265" s="1509" t="s">
        <v>1046</v>
      </c>
      <c r="J265" s="1509" t="s">
        <v>543</v>
      </c>
      <c r="K265" s="1509" t="s">
        <v>522</v>
      </c>
      <c r="L265" s="1520"/>
      <c r="M265" s="1520"/>
      <c r="N265" s="1520" t="s">
        <v>2612</v>
      </c>
      <c r="O265" s="1225"/>
      <c r="P265" s="1228"/>
      <c r="Q265" s="1228"/>
      <c r="U265" s="220" t="s">
        <v>1047</v>
      </c>
      <c r="V265" s="220" t="s">
        <v>1047</v>
      </c>
      <c r="X265" s="255">
        <v>43740</v>
      </c>
      <c r="Y265" s="255">
        <v>43740</v>
      </c>
      <c r="AA265" s="255"/>
      <c r="AB265" s="220" t="s">
        <v>523</v>
      </c>
      <c r="AC265" s="220">
        <v>0</v>
      </c>
      <c r="AD265" s="220">
        <v>0</v>
      </c>
      <c r="AE265" s="220">
        <v>0</v>
      </c>
      <c r="AF265" s="220">
        <v>0</v>
      </c>
      <c r="AG265" s="220">
        <v>0</v>
      </c>
      <c r="AH265" s="220">
        <v>1</v>
      </c>
      <c r="AI265" s="220">
        <v>70095</v>
      </c>
      <c r="AJ265" s="220">
        <v>2180</v>
      </c>
      <c r="AK265" s="220">
        <v>0</v>
      </c>
      <c r="AL265" s="220">
        <v>0</v>
      </c>
      <c r="AO265" s="258"/>
      <c r="AP265" s="258"/>
      <c r="AQ265" s="220" t="str">
        <f t="shared" si="6"/>
        <v/>
      </c>
      <c r="AS265" s="220" t="str">
        <f t="shared" si="7"/>
        <v>wci_corp</v>
      </c>
    </row>
    <row r="266" spans="2:45">
      <c r="B266" s="1509" t="s">
        <v>2447</v>
      </c>
      <c r="C266" s="1529">
        <v>43738</v>
      </c>
      <c r="D266" s="1537">
        <v>76.989999999999995</v>
      </c>
      <c r="E266" s="1518">
        <v>0</v>
      </c>
      <c r="F266" s="1519" t="s">
        <v>413</v>
      </c>
      <c r="G266" s="1509" t="s">
        <v>1045</v>
      </c>
      <c r="H266" s="1530" t="s">
        <v>520</v>
      </c>
      <c r="I266" s="1509" t="s">
        <v>1046</v>
      </c>
      <c r="J266" s="1509" t="s">
        <v>543</v>
      </c>
      <c r="K266" s="1509" t="s">
        <v>522</v>
      </c>
      <c r="L266" s="1520"/>
      <c r="M266" s="1520"/>
      <c r="N266" s="1520" t="s">
        <v>2700</v>
      </c>
      <c r="O266" s="1225"/>
      <c r="P266" s="1228"/>
      <c r="Q266" s="1228"/>
      <c r="U266" s="220" t="s">
        <v>1047</v>
      </c>
      <c r="V266" s="220" t="s">
        <v>1047</v>
      </c>
      <c r="X266" s="255">
        <v>43740</v>
      </c>
      <c r="Y266" s="255">
        <v>43740</v>
      </c>
      <c r="AA266" s="255"/>
      <c r="AB266" s="220" t="s">
        <v>523</v>
      </c>
      <c r="AC266" s="220">
        <v>0</v>
      </c>
      <c r="AD266" s="220">
        <v>0</v>
      </c>
      <c r="AE266" s="220">
        <v>0</v>
      </c>
      <c r="AF266" s="220">
        <v>0</v>
      </c>
      <c r="AG266" s="220">
        <v>0</v>
      </c>
      <c r="AH266" s="220">
        <v>1</v>
      </c>
      <c r="AI266" s="220">
        <v>70095</v>
      </c>
      <c r="AJ266" s="220">
        <v>2180</v>
      </c>
      <c r="AK266" s="220">
        <v>0</v>
      </c>
      <c r="AL266" s="220">
        <v>0</v>
      </c>
      <c r="AO266" s="258"/>
      <c r="AP266" s="258"/>
      <c r="AQ266" s="220" t="str">
        <f t="shared" si="6"/>
        <v/>
      </c>
      <c r="AS266" s="220" t="str">
        <f t="shared" si="7"/>
        <v>wci_corp</v>
      </c>
    </row>
    <row r="267" spans="2:45">
      <c r="B267" s="1509" t="s">
        <v>2447</v>
      </c>
      <c r="C267" s="1529">
        <v>43738</v>
      </c>
      <c r="D267" s="1537">
        <v>75.22</v>
      </c>
      <c r="E267" s="1518">
        <v>0</v>
      </c>
      <c r="F267" s="1519" t="s">
        <v>413</v>
      </c>
      <c r="G267" s="1509" t="s">
        <v>1045</v>
      </c>
      <c r="H267" s="1530" t="s">
        <v>520</v>
      </c>
      <c r="I267" s="1509" t="s">
        <v>1046</v>
      </c>
      <c r="J267" s="1509" t="s">
        <v>543</v>
      </c>
      <c r="K267" s="1509" t="s">
        <v>522</v>
      </c>
      <c r="L267" s="1520"/>
      <c r="M267" s="1520"/>
      <c r="N267" s="1520" t="s">
        <v>2701</v>
      </c>
      <c r="O267" s="1225"/>
      <c r="P267" s="1228"/>
      <c r="Q267" s="1228"/>
      <c r="U267" s="220" t="s">
        <v>1047</v>
      </c>
      <c r="V267" s="220" t="s">
        <v>1047</v>
      </c>
      <c r="X267" s="255">
        <v>43740</v>
      </c>
      <c r="Y267" s="255">
        <v>43740</v>
      </c>
      <c r="AA267" s="255"/>
      <c r="AB267" s="220" t="s">
        <v>523</v>
      </c>
      <c r="AC267" s="220">
        <v>0</v>
      </c>
      <c r="AD267" s="220">
        <v>0</v>
      </c>
      <c r="AE267" s="220">
        <v>0</v>
      </c>
      <c r="AF267" s="220">
        <v>0</v>
      </c>
      <c r="AG267" s="220">
        <v>0</v>
      </c>
      <c r="AH267" s="220">
        <v>1</v>
      </c>
      <c r="AI267" s="220">
        <v>70095</v>
      </c>
      <c r="AJ267" s="220">
        <v>2180</v>
      </c>
      <c r="AK267" s="220">
        <v>0</v>
      </c>
      <c r="AL267" s="220">
        <v>0</v>
      </c>
      <c r="AO267" s="258"/>
      <c r="AP267" s="258"/>
      <c r="AQ267" s="220" t="str">
        <f t="shared" si="6"/>
        <v/>
      </c>
      <c r="AS267" s="220" t="str">
        <f t="shared" si="7"/>
        <v>wci_corp</v>
      </c>
    </row>
    <row r="268" spans="2:45">
      <c r="B268" s="1509" t="s">
        <v>2447</v>
      </c>
      <c r="C268" s="1529">
        <v>43738</v>
      </c>
      <c r="D268" s="1537">
        <v>610.58000000000004</v>
      </c>
      <c r="E268" s="1518">
        <v>0</v>
      </c>
      <c r="F268" s="1519" t="s">
        <v>413</v>
      </c>
      <c r="G268" s="1509" t="s">
        <v>1045</v>
      </c>
      <c r="H268" s="1530" t="s">
        <v>520</v>
      </c>
      <c r="I268" s="1509" t="s">
        <v>1046</v>
      </c>
      <c r="J268" s="1509" t="s">
        <v>543</v>
      </c>
      <c r="K268" s="1509" t="s">
        <v>522</v>
      </c>
      <c r="L268" s="1520"/>
      <c r="M268" s="1520"/>
      <c r="N268" s="1520" t="s">
        <v>2702</v>
      </c>
      <c r="O268" s="1225"/>
      <c r="P268" s="1228"/>
      <c r="Q268" s="1228"/>
      <c r="U268" s="220" t="s">
        <v>1047</v>
      </c>
      <c r="V268" s="220" t="s">
        <v>1047</v>
      </c>
      <c r="X268" s="255">
        <v>43740</v>
      </c>
      <c r="Y268" s="255">
        <v>43740</v>
      </c>
      <c r="AA268" s="255"/>
      <c r="AB268" s="220" t="s">
        <v>523</v>
      </c>
      <c r="AC268" s="220">
        <v>0</v>
      </c>
      <c r="AD268" s="220">
        <v>0</v>
      </c>
      <c r="AE268" s="220">
        <v>0</v>
      </c>
      <c r="AF268" s="220">
        <v>0</v>
      </c>
      <c r="AG268" s="220">
        <v>0</v>
      </c>
      <c r="AH268" s="220">
        <v>1</v>
      </c>
      <c r="AI268" s="220">
        <v>70095</v>
      </c>
      <c r="AJ268" s="220">
        <v>2180</v>
      </c>
      <c r="AK268" s="220">
        <v>0</v>
      </c>
      <c r="AL268" s="220">
        <v>0</v>
      </c>
      <c r="AO268" s="258"/>
      <c r="AP268" s="258"/>
      <c r="AQ268" s="220" t="str">
        <f t="shared" si="6"/>
        <v/>
      </c>
      <c r="AS268" s="220" t="str">
        <f t="shared" si="7"/>
        <v>wci_corp</v>
      </c>
    </row>
    <row r="269" spans="2:45">
      <c r="B269" s="1509" t="s">
        <v>2447</v>
      </c>
      <c r="C269" s="1529">
        <v>43738</v>
      </c>
      <c r="D269" s="1537">
        <v>185.55</v>
      </c>
      <c r="E269" s="1518">
        <v>0</v>
      </c>
      <c r="F269" s="1519" t="s">
        <v>413</v>
      </c>
      <c r="G269" s="1509" t="s">
        <v>1045</v>
      </c>
      <c r="H269" s="1530" t="s">
        <v>520</v>
      </c>
      <c r="I269" s="1509" t="s">
        <v>1046</v>
      </c>
      <c r="J269" s="1509" t="s">
        <v>543</v>
      </c>
      <c r="K269" s="1509" t="s">
        <v>522</v>
      </c>
      <c r="L269" s="1520"/>
      <c r="M269" s="1520"/>
      <c r="N269" s="1520" t="s">
        <v>2703</v>
      </c>
      <c r="O269" s="1225"/>
      <c r="P269" s="1228"/>
      <c r="Q269" s="1228"/>
      <c r="U269" s="220" t="s">
        <v>1047</v>
      </c>
      <c r="V269" s="220" t="s">
        <v>1047</v>
      </c>
      <c r="X269" s="255">
        <v>43740</v>
      </c>
      <c r="Y269" s="255">
        <v>43740</v>
      </c>
      <c r="AA269" s="255"/>
      <c r="AB269" s="220" t="s">
        <v>523</v>
      </c>
      <c r="AC269" s="220">
        <v>0</v>
      </c>
      <c r="AD269" s="220">
        <v>0</v>
      </c>
      <c r="AE269" s="220">
        <v>0</v>
      </c>
      <c r="AF269" s="220">
        <v>0</v>
      </c>
      <c r="AG269" s="220">
        <v>0</v>
      </c>
      <c r="AH269" s="220">
        <v>1</v>
      </c>
      <c r="AI269" s="220">
        <v>70095</v>
      </c>
      <c r="AJ269" s="220">
        <v>2180</v>
      </c>
      <c r="AK269" s="220">
        <v>0</v>
      </c>
      <c r="AL269" s="220">
        <v>0</v>
      </c>
      <c r="AO269" s="258"/>
      <c r="AP269" s="258"/>
      <c r="AQ269" s="220" t="str">
        <f t="shared" si="6"/>
        <v/>
      </c>
      <c r="AS269" s="220" t="str">
        <f t="shared" si="7"/>
        <v>wci_corp</v>
      </c>
    </row>
    <row r="270" spans="2:45">
      <c r="B270" s="1509" t="s">
        <v>2447</v>
      </c>
      <c r="C270" s="1529">
        <v>43738</v>
      </c>
      <c r="D270" s="1537">
        <v>109</v>
      </c>
      <c r="E270" s="1518">
        <v>0</v>
      </c>
      <c r="F270" s="1519" t="s">
        <v>413</v>
      </c>
      <c r="G270" s="1509" t="s">
        <v>1045</v>
      </c>
      <c r="H270" s="1530" t="s">
        <v>520</v>
      </c>
      <c r="I270" s="1509" t="s">
        <v>1046</v>
      </c>
      <c r="J270" s="1509" t="s">
        <v>543</v>
      </c>
      <c r="K270" s="1509" t="s">
        <v>522</v>
      </c>
      <c r="L270" s="1520"/>
      <c r="M270" s="1520"/>
      <c r="N270" s="1520" t="s">
        <v>2647</v>
      </c>
      <c r="O270" s="1225"/>
      <c r="P270" s="1228"/>
      <c r="Q270" s="1228"/>
      <c r="U270" s="220" t="s">
        <v>1047</v>
      </c>
      <c r="V270" s="220" t="s">
        <v>1047</v>
      </c>
      <c r="X270" s="255">
        <v>43740</v>
      </c>
      <c r="Y270" s="255">
        <v>43740</v>
      </c>
      <c r="AA270" s="255"/>
      <c r="AB270" s="220" t="s">
        <v>523</v>
      </c>
      <c r="AC270" s="220">
        <v>0</v>
      </c>
      <c r="AD270" s="220">
        <v>0</v>
      </c>
      <c r="AE270" s="220">
        <v>0</v>
      </c>
      <c r="AF270" s="220">
        <v>0</v>
      </c>
      <c r="AG270" s="220">
        <v>0</v>
      </c>
      <c r="AH270" s="220">
        <v>1</v>
      </c>
      <c r="AI270" s="220">
        <v>70095</v>
      </c>
      <c r="AJ270" s="220">
        <v>2180</v>
      </c>
      <c r="AK270" s="220">
        <v>0</v>
      </c>
      <c r="AL270" s="220">
        <v>0</v>
      </c>
      <c r="AO270" s="258"/>
      <c r="AP270" s="258"/>
      <c r="AQ270" s="220" t="str">
        <f t="shared" si="6"/>
        <v/>
      </c>
      <c r="AS270" s="220" t="str">
        <f t="shared" si="7"/>
        <v>wci_corp</v>
      </c>
    </row>
    <row r="271" spans="2:45">
      <c r="B271" s="1509" t="s">
        <v>2447</v>
      </c>
      <c r="C271" s="1529">
        <v>43738</v>
      </c>
      <c r="D271" s="1537">
        <v>43.7</v>
      </c>
      <c r="E271" s="1518">
        <v>0</v>
      </c>
      <c r="F271" s="1519" t="s">
        <v>413</v>
      </c>
      <c r="G271" s="1509" t="s">
        <v>2704</v>
      </c>
      <c r="H271" s="1530" t="s">
        <v>520</v>
      </c>
      <c r="I271" s="1509" t="s">
        <v>2705</v>
      </c>
      <c r="J271" s="1509" t="s">
        <v>543</v>
      </c>
      <c r="K271" s="1509" t="s">
        <v>522</v>
      </c>
      <c r="L271" s="1520"/>
      <c r="M271" s="1520"/>
      <c r="N271" s="1520" t="s">
        <v>2706</v>
      </c>
      <c r="O271" s="1225"/>
      <c r="P271" s="1228"/>
      <c r="Q271" s="1228"/>
      <c r="U271" s="220" t="s">
        <v>2707</v>
      </c>
      <c r="V271" s="220" t="s">
        <v>2707</v>
      </c>
      <c r="X271" s="255">
        <v>43741</v>
      </c>
      <c r="Y271" s="255">
        <v>43741</v>
      </c>
      <c r="AA271" s="255"/>
      <c r="AB271" s="220" t="s">
        <v>523</v>
      </c>
      <c r="AC271" s="220">
        <v>0</v>
      </c>
      <c r="AD271" s="220">
        <v>0</v>
      </c>
      <c r="AE271" s="220">
        <v>0</v>
      </c>
      <c r="AF271" s="220">
        <v>0</v>
      </c>
      <c r="AG271" s="220">
        <v>0</v>
      </c>
      <c r="AH271" s="220">
        <v>1</v>
      </c>
      <c r="AI271" s="220">
        <v>70095</v>
      </c>
      <c r="AJ271" s="220">
        <v>2180</v>
      </c>
      <c r="AK271" s="220">
        <v>0</v>
      </c>
      <c r="AL271" s="220">
        <v>0</v>
      </c>
      <c r="AO271" s="258"/>
      <c r="AP271" s="258"/>
      <c r="AQ271" s="220" t="str">
        <f t="shared" si="6"/>
        <v/>
      </c>
      <c r="AS271" s="220" t="str">
        <f t="shared" si="7"/>
        <v>wci_corp</v>
      </c>
    </row>
    <row r="272" spans="2:45">
      <c r="B272" s="1509" t="s">
        <v>2447</v>
      </c>
      <c r="C272" s="1529">
        <v>43738</v>
      </c>
      <c r="D272" s="1537">
        <v>72.05</v>
      </c>
      <c r="E272" s="1518">
        <v>0</v>
      </c>
      <c r="F272" s="1519" t="s">
        <v>413</v>
      </c>
      <c r="G272" s="1509" t="s">
        <v>2704</v>
      </c>
      <c r="H272" s="1530" t="s">
        <v>520</v>
      </c>
      <c r="I272" s="1509" t="s">
        <v>2705</v>
      </c>
      <c r="J272" s="1509" t="s">
        <v>543</v>
      </c>
      <c r="K272" s="1509" t="s">
        <v>522</v>
      </c>
      <c r="L272" s="1520"/>
      <c r="M272" s="1520"/>
      <c r="N272" s="1520" t="s">
        <v>2706</v>
      </c>
      <c r="O272" s="1225"/>
      <c r="P272" s="1228"/>
      <c r="Q272" s="1228"/>
      <c r="U272" s="220" t="s">
        <v>2707</v>
      </c>
      <c r="V272" s="220" t="s">
        <v>2707</v>
      </c>
      <c r="X272" s="255">
        <v>43741</v>
      </c>
      <c r="Y272" s="255">
        <v>43741</v>
      </c>
      <c r="AA272" s="255"/>
      <c r="AB272" s="220" t="s">
        <v>523</v>
      </c>
      <c r="AC272" s="220">
        <v>0</v>
      </c>
      <c r="AD272" s="220">
        <v>0</v>
      </c>
      <c r="AE272" s="220">
        <v>0</v>
      </c>
      <c r="AF272" s="220">
        <v>0</v>
      </c>
      <c r="AG272" s="220">
        <v>0</v>
      </c>
      <c r="AH272" s="220">
        <v>1</v>
      </c>
      <c r="AI272" s="220">
        <v>70095</v>
      </c>
      <c r="AJ272" s="220">
        <v>2180</v>
      </c>
      <c r="AK272" s="220">
        <v>0</v>
      </c>
      <c r="AL272" s="220">
        <v>0</v>
      </c>
      <c r="AO272" s="258"/>
      <c r="AP272" s="258"/>
      <c r="AQ272" s="220" t="str">
        <f t="shared" si="6"/>
        <v/>
      </c>
      <c r="AS272" s="220" t="str">
        <f t="shared" si="7"/>
        <v>wci_corp</v>
      </c>
    </row>
    <row r="273" spans="2:45">
      <c r="B273" s="1509" t="s">
        <v>2447</v>
      </c>
      <c r="C273" s="1529">
        <v>43738</v>
      </c>
      <c r="D273" s="1537">
        <v>41.93</v>
      </c>
      <c r="E273" s="1518">
        <v>0</v>
      </c>
      <c r="F273" s="1519" t="s">
        <v>413</v>
      </c>
      <c r="G273" s="1509" t="s">
        <v>2704</v>
      </c>
      <c r="H273" s="1530" t="s">
        <v>520</v>
      </c>
      <c r="I273" s="1509" t="s">
        <v>2705</v>
      </c>
      <c r="J273" s="1509" t="s">
        <v>543</v>
      </c>
      <c r="K273" s="1509" t="s">
        <v>522</v>
      </c>
      <c r="L273" s="1520"/>
      <c r="M273" s="1520"/>
      <c r="N273" s="1520" t="s">
        <v>2706</v>
      </c>
      <c r="O273" s="1225"/>
      <c r="P273" s="1228"/>
      <c r="Q273" s="1228"/>
      <c r="U273" s="220" t="s">
        <v>2707</v>
      </c>
      <c r="V273" s="220" t="s">
        <v>2707</v>
      </c>
      <c r="X273" s="255">
        <v>43741</v>
      </c>
      <c r="Y273" s="255">
        <v>43741</v>
      </c>
      <c r="AA273" s="255"/>
      <c r="AB273" s="220" t="s">
        <v>523</v>
      </c>
      <c r="AC273" s="220">
        <v>0</v>
      </c>
      <c r="AD273" s="220">
        <v>0</v>
      </c>
      <c r="AE273" s="220">
        <v>0</v>
      </c>
      <c r="AF273" s="220">
        <v>0</v>
      </c>
      <c r="AG273" s="220">
        <v>0</v>
      </c>
      <c r="AH273" s="220">
        <v>1</v>
      </c>
      <c r="AI273" s="220">
        <v>70095</v>
      </c>
      <c r="AJ273" s="220">
        <v>2180</v>
      </c>
      <c r="AK273" s="220">
        <v>0</v>
      </c>
      <c r="AL273" s="220">
        <v>0</v>
      </c>
      <c r="AO273" s="258"/>
      <c r="AP273" s="258"/>
      <c r="AQ273" s="220" t="str">
        <f t="shared" si="6"/>
        <v/>
      </c>
      <c r="AS273" s="220" t="str">
        <f t="shared" si="7"/>
        <v>wci_corp</v>
      </c>
    </row>
    <row r="274" spans="2:45">
      <c r="B274" s="1509" t="s">
        <v>2447</v>
      </c>
      <c r="C274" s="1529">
        <v>43738</v>
      </c>
      <c r="D274" s="1537">
        <v>45.1</v>
      </c>
      <c r="E274" s="1518">
        <v>0</v>
      </c>
      <c r="F274" s="1519" t="s">
        <v>413</v>
      </c>
      <c r="G274" s="1509" t="s">
        <v>2704</v>
      </c>
      <c r="H274" s="1530" t="s">
        <v>520</v>
      </c>
      <c r="I274" s="1509" t="s">
        <v>2705</v>
      </c>
      <c r="J274" s="1509" t="s">
        <v>543</v>
      </c>
      <c r="K274" s="1509" t="s">
        <v>522</v>
      </c>
      <c r="L274" s="1520"/>
      <c r="M274" s="1520"/>
      <c r="N274" s="1520" t="s">
        <v>2706</v>
      </c>
      <c r="O274" s="1225"/>
      <c r="P274" s="1228"/>
      <c r="Q274" s="1228"/>
      <c r="U274" s="220" t="s">
        <v>2707</v>
      </c>
      <c r="V274" s="220" t="s">
        <v>2707</v>
      </c>
      <c r="X274" s="255">
        <v>43741</v>
      </c>
      <c r="Y274" s="255">
        <v>43741</v>
      </c>
      <c r="AA274" s="255"/>
      <c r="AB274" s="220" t="s">
        <v>523</v>
      </c>
      <c r="AC274" s="220">
        <v>0</v>
      </c>
      <c r="AD274" s="220">
        <v>0</v>
      </c>
      <c r="AE274" s="220">
        <v>0</v>
      </c>
      <c r="AF274" s="220">
        <v>0</v>
      </c>
      <c r="AG274" s="220">
        <v>0</v>
      </c>
      <c r="AH274" s="220">
        <v>1</v>
      </c>
      <c r="AI274" s="220">
        <v>70095</v>
      </c>
      <c r="AJ274" s="220">
        <v>2180</v>
      </c>
      <c r="AK274" s="220">
        <v>0</v>
      </c>
      <c r="AL274" s="220">
        <v>0</v>
      </c>
      <c r="AO274" s="258"/>
      <c r="AP274" s="258"/>
      <c r="AQ274" s="220" t="str">
        <f t="shared" si="6"/>
        <v/>
      </c>
      <c r="AS274" s="220" t="str">
        <f t="shared" si="7"/>
        <v>wci_corp</v>
      </c>
    </row>
    <row r="275" spans="2:45">
      <c r="B275" s="1509" t="s">
        <v>2447</v>
      </c>
      <c r="C275" s="1529">
        <v>43738</v>
      </c>
      <c r="D275" s="1537">
        <v>15.98</v>
      </c>
      <c r="E275" s="1518">
        <v>0</v>
      </c>
      <c r="F275" s="1519" t="s">
        <v>413</v>
      </c>
      <c r="G275" s="1509" t="s">
        <v>2704</v>
      </c>
      <c r="H275" s="1530" t="s">
        <v>520</v>
      </c>
      <c r="I275" s="1509" t="s">
        <v>2705</v>
      </c>
      <c r="J275" s="1509" t="s">
        <v>543</v>
      </c>
      <c r="K275" s="1509" t="s">
        <v>522</v>
      </c>
      <c r="L275" s="1520"/>
      <c r="M275" s="1520"/>
      <c r="N275" s="1520" t="s">
        <v>2706</v>
      </c>
      <c r="O275" s="1225"/>
      <c r="P275" s="1228"/>
      <c r="Q275" s="1228"/>
      <c r="U275" s="220" t="s">
        <v>2707</v>
      </c>
      <c r="V275" s="220" t="s">
        <v>2707</v>
      </c>
      <c r="X275" s="255">
        <v>43741</v>
      </c>
      <c r="Y275" s="255">
        <v>43741</v>
      </c>
      <c r="AA275" s="255"/>
      <c r="AB275" s="220" t="s">
        <v>523</v>
      </c>
      <c r="AC275" s="220">
        <v>0</v>
      </c>
      <c r="AD275" s="220">
        <v>0</v>
      </c>
      <c r="AE275" s="220">
        <v>0</v>
      </c>
      <c r="AF275" s="220">
        <v>0</v>
      </c>
      <c r="AG275" s="220">
        <v>0</v>
      </c>
      <c r="AH275" s="220">
        <v>1</v>
      </c>
      <c r="AI275" s="220">
        <v>70095</v>
      </c>
      <c r="AJ275" s="220">
        <v>2180</v>
      </c>
      <c r="AK275" s="220">
        <v>0</v>
      </c>
      <c r="AL275" s="220">
        <v>0</v>
      </c>
      <c r="AO275" s="258"/>
      <c r="AP275" s="258"/>
      <c r="AQ275" s="220" t="str">
        <f t="shared" si="6"/>
        <v/>
      </c>
      <c r="AS275" s="220" t="str">
        <f t="shared" si="7"/>
        <v>wci_corp</v>
      </c>
    </row>
    <row r="276" spans="2:45">
      <c r="B276" s="1509" t="s">
        <v>2447</v>
      </c>
      <c r="C276" s="1529">
        <v>43738</v>
      </c>
      <c r="D276" s="1537">
        <v>18.399999999999999</v>
      </c>
      <c r="E276" s="1518">
        <v>0</v>
      </c>
      <c r="F276" s="1519" t="s">
        <v>413</v>
      </c>
      <c r="G276" s="1509" t="s">
        <v>2704</v>
      </c>
      <c r="H276" s="1530" t="s">
        <v>520</v>
      </c>
      <c r="I276" s="1509" t="s">
        <v>2705</v>
      </c>
      <c r="J276" s="1509" t="s">
        <v>543</v>
      </c>
      <c r="K276" s="1509" t="s">
        <v>522</v>
      </c>
      <c r="L276" s="1520"/>
      <c r="M276" s="1520"/>
      <c r="N276" s="1520" t="s">
        <v>2708</v>
      </c>
      <c r="O276" s="1225"/>
      <c r="P276" s="1228"/>
      <c r="Q276" s="1228"/>
      <c r="U276" s="220" t="s">
        <v>2707</v>
      </c>
      <c r="V276" s="220" t="s">
        <v>2707</v>
      </c>
      <c r="X276" s="255">
        <v>43741</v>
      </c>
      <c r="Y276" s="255">
        <v>43741</v>
      </c>
      <c r="AA276" s="255"/>
      <c r="AB276" s="220" t="s">
        <v>523</v>
      </c>
      <c r="AC276" s="220">
        <v>0</v>
      </c>
      <c r="AD276" s="220">
        <v>0</v>
      </c>
      <c r="AE276" s="220">
        <v>0</v>
      </c>
      <c r="AF276" s="220">
        <v>0</v>
      </c>
      <c r="AG276" s="220">
        <v>0</v>
      </c>
      <c r="AH276" s="220">
        <v>1</v>
      </c>
      <c r="AI276" s="220">
        <v>70095</v>
      </c>
      <c r="AJ276" s="220">
        <v>2180</v>
      </c>
      <c r="AK276" s="220">
        <v>0</v>
      </c>
      <c r="AL276" s="220">
        <v>0</v>
      </c>
      <c r="AO276" s="258"/>
      <c r="AP276" s="258"/>
      <c r="AQ276" s="220" t="str">
        <f t="shared" si="6"/>
        <v/>
      </c>
      <c r="AS276" s="220" t="str">
        <f t="shared" si="7"/>
        <v>wci_corp</v>
      </c>
    </row>
    <row r="277" spans="2:45">
      <c r="B277" s="1509" t="s">
        <v>2447</v>
      </c>
      <c r="C277" s="1529">
        <v>43738</v>
      </c>
      <c r="D277" s="1537">
        <v>31.05</v>
      </c>
      <c r="E277" s="1518">
        <v>0</v>
      </c>
      <c r="F277" s="1519" t="s">
        <v>413</v>
      </c>
      <c r="G277" s="1509" t="s">
        <v>2704</v>
      </c>
      <c r="H277" s="1530" t="s">
        <v>520</v>
      </c>
      <c r="I277" s="1509" t="s">
        <v>2705</v>
      </c>
      <c r="J277" s="1509" t="s">
        <v>543</v>
      </c>
      <c r="K277" s="1509" t="s">
        <v>522</v>
      </c>
      <c r="L277" s="1520"/>
      <c r="M277" s="1520"/>
      <c r="N277" s="1520" t="s">
        <v>2708</v>
      </c>
      <c r="O277" s="1225"/>
      <c r="P277" s="1228"/>
      <c r="Q277" s="1228"/>
      <c r="U277" s="220" t="s">
        <v>2707</v>
      </c>
      <c r="V277" s="220" t="s">
        <v>2707</v>
      </c>
      <c r="X277" s="255">
        <v>43741</v>
      </c>
      <c r="Y277" s="255">
        <v>43741</v>
      </c>
      <c r="AA277" s="255"/>
      <c r="AB277" s="220" t="s">
        <v>523</v>
      </c>
      <c r="AC277" s="220">
        <v>0</v>
      </c>
      <c r="AD277" s="220">
        <v>0</v>
      </c>
      <c r="AE277" s="220">
        <v>0</v>
      </c>
      <c r="AF277" s="220">
        <v>0</v>
      </c>
      <c r="AG277" s="220">
        <v>0</v>
      </c>
      <c r="AH277" s="220">
        <v>1</v>
      </c>
      <c r="AI277" s="220">
        <v>70095</v>
      </c>
      <c r="AJ277" s="220">
        <v>2180</v>
      </c>
      <c r="AK277" s="220">
        <v>0</v>
      </c>
      <c r="AL277" s="220">
        <v>0</v>
      </c>
      <c r="AO277" s="258"/>
      <c r="AP277" s="258"/>
      <c r="AQ277" s="220" t="str">
        <f t="shared" ref="AQ277:AQ339" si="8">IF(LEFT(U277,2)="VO",U277,"")</f>
        <v/>
      </c>
      <c r="AS277" s="220" t="str">
        <f t="shared" ref="AS277:AS339" si="9">IF(RIGHT(K277,2)="IC",IF(OR(AB277="wci_canada",AB277="wci_can_corp"),"wci_can_Corp","wci_corp"),AB277)</f>
        <v>wci_corp</v>
      </c>
    </row>
    <row r="278" spans="2:45">
      <c r="B278" s="1509" t="s">
        <v>2447</v>
      </c>
      <c r="C278" s="1529">
        <v>43738</v>
      </c>
      <c r="D278" s="1537">
        <v>26.45</v>
      </c>
      <c r="E278" s="1518">
        <v>0</v>
      </c>
      <c r="F278" s="1519" t="s">
        <v>413</v>
      </c>
      <c r="G278" s="1509" t="s">
        <v>2704</v>
      </c>
      <c r="H278" s="1530" t="s">
        <v>520</v>
      </c>
      <c r="I278" s="1509" t="s">
        <v>2705</v>
      </c>
      <c r="J278" s="1509" t="s">
        <v>543</v>
      </c>
      <c r="K278" s="1509" t="s">
        <v>522</v>
      </c>
      <c r="L278" s="1520"/>
      <c r="M278" s="1520"/>
      <c r="N278" s="1520" t="s">
        <v>2708</v>
      </c>
      <c r="O278" s="1225"/>
      <c r="P278" s="1228"/>
      <c r="Q278" s="1228"/>
      <c r="U278" s="220" t="s">
        <v>2707</v>
      </c>
      <c r="V278" s="220" t="s">
        <v>2707</v>
      </c>
      <c r="X278" s="255">
        <v>43741</v>
      </c>
      <c r="Y278" s="255">
        <v>43741</v>
      </c>
      <c r="AA278" s="255"/>
      <c r="AB278" s="220" t="s">
        <v>523</v>
      </c>
      <c r="AC278" s="220">
        <v>0</v>
      </c>
      <c r="AD278" s="220">
        <v>0</v>
      </c>
      <c r="AE278" s="220">
        <v>0</v>
      </c>
      <c r="AF278" s="220">
        <v>0</v>
      </c>
      <c r="AG278" s="220">
        <v>0</v>
      </c>
      <c r="AH278" s="220">
        <v>1</v>
      </c>
      <c r="AI278" s="220">
        <v>70095</v>
      </c>
      <c r="AJ278" s="220">
        <v>2180</v>
      </c>
      <c r="AK278" s="220">
        <v>0</v>
      </c>
      <c r="AL278" s="220">
        <v>0</v>
      </c>
      <c r="AO278" s="258"/>
      <c r="AP278" s="258"/>
      <c r="AQ278" s="220" t="str">
        <f t="shared" si="8"/>
        <v/>
      </c>
      <c r="AS278" s="220" t="str">
        <f t="shared" si="9"/>
        <v>wci_corp</v>
      </c>
    </row>
    <row r="279" spans="2:45">
      <c r="B279" s="1509" t="s">
        <v>2447</v>
      </c>
      <c r="C279" s="1529">
        <v>43738</v>
      </c>
      <c r="D279" s="1537">
        <v>105.8</v>
      </c>
      <c r="E279" s="1518">
        <v>0</v>
      </c>
      <c r="F279" s="1519" t="s">
        <v>413</v>
      </c>
      <c r="G279" s="1509" t="s">
        <v>2704</v>
      </c>
      <c r="H279" s="1530" t="s">
        <v>520</v>
      </c>
      <c r="I279" s="1509" t="s">
        <v>2705</v>
      </c>
      <c r="J279" s="1509" t="s">
        <v>543</v>
      </c>
      <c r="K279" s="1509" t="s">
        <v>522</v>
      </c>
      <c r="L279" s="1520"/>
      <c r="M279" s="1520"/>
      <c r="N279" s="1520" t="s">
        <v>2708</v>
      </c>
      <c r="O279" s="1225"/>
      <c r="P279" s="1228"/>
      <c r="Q279" s="1228"/>
      <c r="U279" s="220" t="s">
        <v>2707</v>
      </c>
      <c r="V279" s="220" t="s">
        <v>2707</v>
      </c>
      <c r="X279" s="255">
        <v>43741</v>
      </c>
      <c r="Y279" s="255">
        <v>43741</v>
      </c>
      <c r="AA279" s="255"/>
      <c r="AB279" s="220" t="s">
        <v>523</v>
      </c>
      <c r="AC279" s="220">
        <v>0</v>
      </c>
      <c r="AD279" s="220">
        <v>0</v>
      </c>
      <c r="AE279" s="220">
        <v>0</v>
      </c>
      <c r="AF279" s="220">
        <v>0</v>
      </c>
      <c r="AG279" s="220">
        <v>0</v>
      </c>
      <c r="AH279" s="220">
        <v>1</v>
      </c>
      <c r="AI279" s="220">
        <v>70095</v>
      </c>
      <c r="AJ279" s="220">
        <v>2180</v>
      </c>
      <c r="AK279" s="220">
        <v>0</v>
      </c>
      <c r="AL279" s="220">
        <v>0</v>
      </c>
      <c r="AO279" s="258"/>
      <c r="AP279" s="258"/>
      <c r="AQ279" s="220" t="str">
        <f t="shared" si="8"/>
        <v/>
      </c>
      <c r="AS279" s="220" t="str">
        <f t="shared" si="9"/>
        <v>wci_corp</v>
      </c>
    </row>
    <row r="280" spans="2:45">
      <c r="B280" s="1509" t="s">
        <v>2447</v>
      </c>
      <c r="C280" s="1529">
        <v>43738</v>
      </c>
      <c r="D280" s="1537">
        <v>42.55</v>
      </c>
      <c r="E280" s="1518">
        <v>0</v>
      </c>
      <c r="F280" s="1519" t="s">
        <v>413</v>
      </c>
      <c r="G280" s="1509" t="s">
        <v>2704</v>
      </c>
      <c r="H280" s="1530" t="s">
        <v>520</v>
      </c>
      <c r="I280" s="1509" t="s">
        <v>2705</v>
      </c>
      <c r="J280" s="1509" t="s">
        <v>543</v>
      </c>
      <c r="K280" s="1509" t="s">
        <v>522</v>
      </c>
      <c r="L280" s="1520"/>
      <c r="M280" s="1520"/>
      <c r="N280" s="1520" t="s">
        <v>2708</v>
      </c>
      <c r="O280" s="1225"/>
      <c r="P280" s="1228"/>
      <c r="Q280" s="1228"/>
      <c r="U280" s="220" t="s">
        <v>2707</v>
      </c>
      <c r="V280" s="220" t="s">
        <v>2707</v>
      </c>
      <c r="X280" s="255">
        <v>43741</v>
      </c>
      <c r="Y280" s="255">
        <v>43741</v>
      </c>
      <c r="AA280" s="255"/>
      <c r="AB280" s="220" t="s">
        <v>523</v>
      </c>
      <c r="AC280" s="220">
        <v>0</v>
      </c>
      <c r="AD280" s="220">
        <v>0</v>
      </c>
      <c r="AE280" s="220">
        <v>0</v>
      </c>
      <c r="AF280" s="220">
        <v>0</v>
      </c>
      <c r="AG280" s="220">
        <v>0</v>
      </c>
      <c r="AH280" s="220">
        <v>1</v>
      </c>
      <c r="AI280" s="220">
        <v>70095</v>
      </c>
      <c r="AJ280" s="220">
        <v>2180</v>
      </c>
      <c r="AK280" s="220">
        <v>0</v>
      </c>
      <c r="AL280" s="220">
        <v>0</v>
      </c>
      <c r="AO280" s="258"/>
      <c r="AP280" s="258"/>
      <c r="AQ280" s="220" t="str">
        <f t="shared" si="8"/>
        <v/>
      </c>
      <c r="AS280" s="220" t="str">
        <f t="shared" si="9"/>
        <v>wci_corp</v>
      </c>
    </row>
    <row r="281" spans="2:45">
      <c r="B281" s="1509" t="s">
        <v>2447</v>
      </c>
      <c r="C281" s="1529">
        <v>43738</v>
      </c>
      <c r="D281" s="1537">
        <v>36.799999999999997</v>
      </c>
      <c r="E281" s="1518">
        <v>0</v>
      </c>
      <c r="F281" s="1519" t="s">
        <v>413</v>
      </c>
      <c r="G281" s="1509" t="s">
        <v>2704</v>
      </c>
      <c r="H281" s="1530" t="s">
        <v>520</v>
      </c>
      <c r="I281" s="1509" t="s">
        <v>2705</v>
      </c>
      <c r="J281" s="1509" t="s">
        <v>543</v>
      </c>
      <c r="K281" s="1509" t="s">
        <v>522</v>
      </c>
      <c r="L281" s="1520"/>
      <c r="M281" s="1520"/>
      <c r="N281" s="1520" t="s">
        <v>2708</v>
      </c>
      <c r="O281" s="1225"/>
      <c r="P281" s="1228"/>
      <c r="Q281" s="1228"/>
      <c r="U281" s="220" t="s">
        <v>2707</v>
      </c>
      <c r="V281" s="220" t="s">
        <v>2707</v>
      </c>
      <c r="X281" s="255">
        <v>43741</v>
      </c>
      <c r="Y281" s="255">
        <v>43741</v>
      </c>
      <c r="AA281" s="255"/>
      <c r="AB281" s="220" t="s">
        <v>523</v>
      </c>
      <c r="AC281" s="220">
        <v>0</v>
      </c>
      <c r="AD281" s="220">
        <v>0</v>
      </c>
      <c r="AE281" s="220">
        <v>0</v>
      </c>
      <c r="AF281" s="220">
        <v>0</v>
      </c>
      <c r="AG281" s="220">
        <v>0</v>
      </c>
      <c r="AH281" s="220">
        <v>1</v>
      </c>
      <c r="AI281" s="220">
        <v>70095</v>
      </c>
      <c r="AJ281" s="220">
        <v>2180</v>
      </c>
      <c r="AK281" s="220">
        <v>0</v>
      </c>
      <c r="AL281" s="220">
        <v>0</v>
      </c>
      <c r="AO281" s="258"/>
      <c r="AP281" s="258"/>
      <c r="AQ281" s="220" t="str">
        <f t="shared" si="8"/>
        <v/>
      </c>
      <c r="AS281" s="220" t="str">
        <f t="shared" si="9"/>
        <v>wci_corp</v>
      </c>
    </row>
    <row r="282" spans="2:45">
      <c r="B282" s="1509" t="s">
        <v>2447</v>
      </c>
      <c r="C282" s="1529">
        <v>43738</v>
      </c>
      <c r="D282" s="1537">
        <v>1761.33</v>
      </c>
      <c r="E282" s="1518">
        <v>0</v>
      </c>
      <c r="F282" s="1519" t="s">
        <v>413</v>
      </c>
      <c r="G282" s="1509" t="s">
        <v>1149</v>
      </c>
      <c r="H282" s="1530" t="s">
        <v>520</v>
      </c>
      <c r="I282" s="1509" t="s">
        <v>1150</v>
      </c>
      <c r="J282" s="1509" t="s">
        <v>543</v>
      </c>
      <c r="K282" s="1509" t="s">
        <v>522</v>
      </c>
      <c r="L282" s="1520"/>
      <c r="M282" s="1520"/>
      <c r="N282" s="1520" t="s">
        <v>2577</v>
      </c>
      <c r="O282" s="1225"/>
      <c r="P282" s="1228"/>
      <c r="Q282" s="1228"/>
      <c r="U282" s="220" t="s">
        <v>1152</v>
      </c>
      <c r="V282" s="220" t="s">
        <v>1152</v>
      </c>
      <c r="X282" s="255">
        <v>43742</v>
      </c>
      <c r="Y282" s="255">
        <v>43742</v>
      </c>
      <c r="AA282" s="255"/>
      <c r="AB282" s="220" t="s">
        <v>523</v>
      </c>
      <c r="AC282" s="220">
        <v>0</v>
      </c>
      <c r="AD282" s="220">
        <v>0</v>
      </c>
      <c r="AE282" s="220">
        <v>0</v>
      </c>
      <c r="AF282" s="220">
        <v>0</v>
      </c>
      <c r="AG282" s="220">
        <v>0</v>
      </c>
      <c r="AH282" s="220">
        <v>1</v>
      </c>
      <c r="AI282" s="220">
        <v>70095</v>
      </c>
      <c r="AJ282" s="220">
        <v>2180</v>
      </c>
      <c r="AK282" s="220">
        <v>0</v>
      </c>
      <c r="AL282" s="220">
        <v>0</v>
      </c>
      <c r="AO282" s="258"/>
      <c r="AP282" s="258"/>
      <c r="AQ282" s="220" t="str">
        <f t="shared" si="8"/>
        <v/>
      </c>
      <c r="AS282" s="220" t="str">
        <f t="shared" si="9"/>
        <v>wci_corp</v>
      </c>
    </row>
    <row r="283" spans="2:45">
      <c r="B283" s="1509" t="s">
        <v>2447</v>
      </c>
      <c r="C283" s="1529">
        <v>43738</v>
      </c>
      <c r="D283" s="1537">
        <v>11197.39</v>
      </c>
      <c r="E283" s="1518">
        <v>0</v>
      </c>
      <c r="F283" s="1519" t="s">
        <v>413</v>
      </c>
      <c r="G283" s="1509" t="s">
        <v>1149</v>
      </c>
      <c r="H283" s="1530" t="s">
        <v>520</v>
      </c>
      <c r="I283" s="1509" t="s">
        <v>1150</v>
      </c>
      <c r="J283" s="1509" t="s">
        <v>543</v>
      </c>
      <c r="K283" s="1509" t="s">
        <v>522</v>
      </c>
      <c r="L283" s="1520"/>
      <c r="M283" s="1520"/>
      <c r="N283" s="1520" t="s">
        <v>2709</v>
      </c>
      <c r="O283" s="1225"/>
      <c r="P283" s="1228"/>
      <c r="Q283" s="1228"/>
      <c r="U283" s="220" t="s">
        <v>1152</v>
      </c>
      <c r="V283" s="220" t="s">
        <v>1152</v>
      </c>
      <c r="X283" s="255">
        <v>43742</v>
      </c>
      <c r="Y283" s="255">
        <v>43742</v>
      </c>
      <c r="AA283" s="255"/>
      <c r="AB283" s="220" t="s">
        <v>523</v>
      </c>
      <c r="AC283" s="220">
        <v>0</v>
      </c>
      <c r="AD283" s="220">
        <v>0</v>
      </c>
      <c r="AE283" s="220">
        <v>0</v>
      </c>
      <c r="AF283" s="220">
        <v>0</v>
      </c>
      <c r="AG283" s="220">
        <v>0</v>
      </c>
      <c r="AH283" s="220">
        <v>1</v>
      </c>
      <c r="AI283" s="220">
        <v>70095</v>
      </c>
      <c r="AJ283" s="220">
        <v>2180</v>
      </c>
      <c r="AK283" s="220">
        <v>0</v>
      </c>
      <c r="AL283" s="220">
        <v>0</v>
      </c>
      <c r="AO283" s="258"/>
      <c r="AP283" s="258"/>
      <c r="AQ283" s="220" t="str">
        <f t="shared" si="8"/>
        <v/>
      </c>
      <c r="AS283" s="220" t="str">
        <f t="shared" si="9"/>
        <v>wci_corp</v>
      </c>
    </row>
    <row r="284" spans="2:45">
      <c r="B284" s="1509" t="s">
        <v>2447</v>
      </c>
      <c r="C284" s="1529">
        <v>43738</v>
      </c>
      <c r="D284" s="1537">
        <v>10706.97</v>
      </c>
      <c r="E284" s="1518">
        <v>0</v>
      </c>
      <c r="F284" s="1519" t="s">
        <v>413</v>
      </c>
      <c r="G284" s="1509" t="s">
        <v>1149</v>
      </c>
      <c r="H284" s="1530" t="s">
        <v>520</v>
      </c>
      <c r="I284" s="1509" t="s">
        <v>1150</v>
      </c>
      <c r="J284" s="1509" t="s">
        <v>543</v>
      </c>
      <c r="K284" s="1509" t="s">
        <v>522</v>
      </c>
      <c r="L284" s="1520"/>
      <c r="M284" s="1520"/>
      <c r="N284" s="1520" t="s">
        <v>2710</v>
      </c>
      <c r="O284" s="1225"/>
      <c r="P284" s="1228"/>
      <c r="Q284" s="1228"/>
      <c r="U284" s="220" t="s">
        <v>1152</v>
      </c>
      <c r="V284" s="220" t="s">
        <v>1152</v>
      </c>
      <c r="X284" s="255">
        <v>43742</v>
      </c>
      <c r="Y284" s="255">
        <v>43742</v>
      </c>
      <c r="AA284" s="255"/>
      <c r="AB284" s="220" t="s">
        <v>523</v>
      </c>
      <c r="AC284" s="220">
        <v>0</v>
      </c>
      <c r="AD284" s="220">
        <v>0</v>
      </c>
      <c r="AE284" s="220">
        <v>0</v>
      </c>
      <c r="AF284" s="220">
        <v>0</v>
      </c>
      <c r="AG284" s="220">
        <v>0</v>
      </c>
      <c r="AH284" s="220">
        <v>1</v>
      </c>
      <c r="AI284" s="220">
        <v>70095</v>
      </c>
      <c r="AJ284" s="220">
        <v>2180</v>
      </c>
      <c r="AK284" s="220">
        <v>0</v>
      </c>
      <c r="AL284" s="220">
        <v>0</v>
      </c>
      <c r="AO284" s="258"/>
      <c r="AP284" s="258"/>
      <c r="AQ284" s="220" t="str">
        <f t="shared" si="8"/>
        <v/>
      </c>
      <c r="AS284" s="220" t="str">
        <f t="shared" si="9"/>
        <v>wci_corp</v>
      </c>
    </row>
    <row r="285" spans="2:45">
      <c r="B285" s="1509" t="s">
        <v>2447</v>
      </c>
      <c r="C285" s="1529">
        <v>43738</v>
      </c>
      <c r="D285" s="1537">
        <v>324.44</v>
      </c>
      <c r="E285" s="1518">
        <v>0</v>
      </c>
      <c r="F285" s="1519" t="s">
        <v>413</v>
      </c>
      <c r="G285" s="1509" t="s">
        <v>2711</v>
      </c>
      <c r="H285" s="1530" t="s">
        <v>520</v>
      </c>
      <c r="I285" s="1509" t="s">
        <v>2583</v>
      </c>
      <c r="J285" s="1509" t="s">
        <v>543</v>
      </c>
      <c r="K285" s="1509" t="s">
        <v>522</v>
      </c>
      <c r="L285" s="1520"/>
      <c r="M285" s="1520"/>
      <c r="N285" s="1520" t="s">
        <v>2584</v>
      </c>
      <c r="O285" s="1225"/>
      <c r="P285" s="1228"/>
      <c r="Q285" s="1228"/>
      <c r="U285" s="220" t="s">
        <v>2712</v>
      </c>
      <c r="V285" s="220" t="s">
        <v>2712</v>
      </c>
      <c r="X285" s="255">
        <v>43744</v>
      </c>
      <c r="Y285" s="255">
        <v>43745</v>
      </c>
      <c r="AA285" s="255"/>
      <c r="AB285" s="220" t="s">
        <v>523</v>
      </c>
      <c r="AC285" s="220">
        <v>0</v>
      </c>
      <c r="AD285" s="220">
        <v>0</v>
      </c>
      <c r="AE285" s="220">
        <v>0</v>
      </c>
      <c r="AF285" s="220">
        <v>0</v>
      </c>
      <c r="AG285" s="220">
        <v>0</v>
      </c>
      <c r="AH285" s="220">
        <v>1</v>
      </c>
      <c r="AI285" s="220">
        <v>70095</v>
      </c>
      <c r="AJ285" s="220">
        <v>2180</v>
      </c>
      <c r="AK285" s="220">
        <v>0</v>
      </c>
      <c r="AL285" s="220">
        <v>0</v>
      </c>
      <c r="AO285" s="258"/>
      <c r="AP285" s="258"/>
      <c r="AQ285" s="220" t="str">
        <f t="shared" si="8"/>
        <v/>
      </c>
      <c r="AS285" s="220" t="str">
        <f t="shared" si="9"/>
        <v>wci_corp</v>
      </c>
    </row>
    <row r="286" spans="2:45">
      <c r="B286" s="1509" t="s">
        <v>2447</v>
      </c>
      <c r="C286" s="1529">
        <v>43738</v>
      </c>
      <c r="D286" s="1537">
        <v>700.56</v>
      </c>
      <c r="E286" s="1518">
        <v>0</v>
      </c>
      <c r="F286" s="1519" t="s">
        <v>413</v>
      </c>
      <c r="G286" s="1509" t="s">
        <v>2711</v>
      </c>
      <c r="H286" s="1530" t="s">
        <v>520</v>
      </c>
      <c r="I286" s="1509" t="s">
        <v>2583</v>
      </c>
      <c r="J286" s="1509" t="s">
        <v>543</v>
      </c>
      <c r="K286" s="1509" t="s">
        <v>522</v>
      </c>
      <c r="L286" s="1520"/>
      <c r="M286" s="1520"/>
      <c r="N286" s="1520" t="s">
        <v>2713</v>
      </c>
      <c r="O286" s="1225"/>
      <c r="P286" s="1228"/>
      <c r="Q286" s="1228"/>
      <c r="U286" s="220" t="s">
        <v>2712</v>
      </c>
      <c r="V286" s="220" t="s">
        <v>2712</v>
      </c>
      <c r="X286" s="255">
        <v>43744</v>
      </c>
      <c r="Y286" s="255">
        <v>43745</v>
      </c>
      <c r="AA286" s="255"/>
      <c r="AB286" s="220" t="s">
        <v>523</v>
      </c>
      <c r="AC286" s="220">
        <v>0</v>
      </c>
      <c r="AD286" s="220">
        <v>0</v>
      </c>
      <c r="AE286" s="220">
        <v>0</v>
      </c>
      <c r="AF286" s="220">
        <v>0</v>
      </c>
      <c r="AG286" s="220">
        <v>0</v>
      </c>
      <c r="AH286" s="220">
        <v>1</v>
      </c>
      <c r="AI286" s="220">
        <v>70095</v>
      </c>
      <c r="AJ286" s="220">
        <v>2180</v>
      </c>
      <c r="AK286" s="220">
        <v>0</v>
      </c>
      <c r="AL286" s="220">
        <v>0</v>
      </c>
      <c r="AO286" s="258"/>
      <c r="AP286" s="258"/>
      <c r="AQ286" s="220" t="str">
        <f t="shared" si="8"/>
        <v/>
      </c>
      <c r="AS286" s="220" t="str">
        <f t="shared" si="9"/>
        <v>wci_corp</v>
      </c>
    </row>
    <row r="287" spans="2:45">
      <c r="B287" s="1509" t="s">
        <v>2447</v>
      </c>
      <c r="C287" s="1529">
        <v>43769</v>
      </c>
      <c r="D287" s="1537">
        <v>46.34</v>
      </c>
      <c r="E287" s="1518">
        <v>0</v>
      </c>
      <c r="F287" s="1519" t="s">
        <v>413</v>
      </c>
      <c r="G287" s="1509" t="s">
        <v>1058</v>
      </c>
      <c r="H287" s="1530" t="s">
        <v>520</v>
      </c>
      <c r="I287" s="1509" t="s">
        <v>1059</v>
      </c>
      <c r="J287" s="1509" t="s">
        <v>543</v>
      </c>
      <c r="K287" s="1509" t="s">
        <v>522</v>
      </c>
      <c r="L287" s="1520"/>
      <c r="M287" s="1520"/>
      <c r="N287" s="1520" t="s">
        <v>2714</v>
      </c>
      <c r="O287" s="1225"/>
      <c r="P287" s="1228"/>
      <c r="Q287" s="1228"/>
      <c r="U287" s="220" t="s">
        <v>1061</v>
      </c>
      <c r="V287" s="220" t="s">
        <v>1061</v>
      </c>
      <c r="X287" s="255">
        <v>43773</v>
      </c>
      <c r="Y287" s="255">
        <v>43774</v>
      </c>
      <c r="AA287" s="255"/>
      <c r="AB287" s="220" t="s">
        <v>523</v>
      </c>
      <c r="AC287" s="220">
        <v>0</v>
      </c>
      <c r="AD287" s="220">
        <v>0</v>
      </c>
      <c r="AE287" s="220">
        <v>0</v>
      </c>
      <c r="AF287" s="220">
        <v>0</v>
      </c>
      <c r="AG287" s="220">
        <v>0</v>
      </c>
      <c r="AH287" s="220">
        <v>1</v>
      </c>
      <c r="AI287" s="220">
        <v>70095</v>
      </c>
      <c r="AJ287" s="220">
        <v>2180</v>
      </c>
      <c r="AK287" s="220">
        <v>0</v>
      </c>
      <c r="AL287" s="220">
        <v>0</v>
      </c>
      <c r="AO287" s="258"/>
      <c r="AP287" s="258"/>
      <c r="AQ287" s="220" t="str">
        <f t="shared" si="8"/>
        <v/>
      </c>
      <c r="AS287" s="220" t="str">
        <f t="shared" si="9"/>
        <v>wci_corp</v>
      </c>
    </row>
    <row r="288" spans="2:45">
      <c r="B288" s="1509" t="s">
        <v>2447</v>
      </c>
      <c r="C288" s="1529">
        <v>43769</v>
      </c>
      <c r="D288" s="1537">
        <v>320.83</v>
      </c>
      <c r="E288" s="1518">
        <v>0</v>
      </c>
      <c r="F288" s="1519" t="s">
        <v>413</v>
      </c>
      <c r="G288" s="1509" t="s">
        <v>1058</v>
      </c>
      <c r="H288" s="1530" t="s">
        <v>520</v>
      </c>
      <c r="I288" s="1509" t="s">
        <v>1059</v>
      </c>
      <c r="J288" s="1509" t="s">
        <v>543</v>
      </c>
      <c r="K288" s="1509" t="s">
        <v>522</v>
      </c>
      <c r="L288" s="1520"/>
      <c r="M288" s="1520"/>
      <c r="N288" s="1520" t="s">
        <v>2698</v>
      </c>
      <c r="O288" s="1225"/>
      <c r="P288" s="1228"/>
      <c r="Q288" s="1228"/>
      <c r="U288" s="220" t="s">
        <v>1061</v>
      </c>
      <c r="V288" s="220" t="s">
        <v>1061</v>
      </c>
      <c r="X288" s="255">
        <v>43773</v>
      </c>
      <c r="Y288" s="255">
        <v>43774</v>
      </c>
      <c r="AA288" s="255"/>
      <c r="AB288" s="220" t="s">
        <v>523</v>
      </c>
      <c r="AC288" s="220">
        <v>0</v>
      </c>
      <c r="AD288" s="220">
        <v>0</v>
      </c>
      <c r="AE288" s="220">
        <v>0</v>
      </c>
      <c r="AF288" s="220">
        <v>0</v>
      </c>
      <c r="AG288" s="220">
        <v>0</v>
      </c>
      <c r="AH288" s="220">
        <v>1</v>
      </c>
      <c r="AI288" s="220">
        <v>70095</v>
      </c>
      <c r="AJ288" s="220">
        <v>2180</v>
      </c>
      <c r="AK288" s="220">
        <v>0</v>
      </c>
      <c r="AL288" s="220">
        <v>0</v>
      </c>
      <c r="AO288" s="258"/>
      <c r="AP288" s="258"/>
      <c r="AQ288" s="220" t="str">
        <f t="shared" si="8"/>
        <v/>
      </c>
      <c r="AS288" s="220" t="str">
        <f t="shared" si="9"/>
        <v>wci_corp</v>
      </c>
    </row>
    <row r="289" spans="2:45">
      <c r="B289" s="1509" t="s">
        <v>2447</v>
      </c>
      <c r="C289" s="1529">
        <v>43769</v>
      </c>
      <c r="D289" s="1537">
        <v>71.8</v>
      </c>
      <c r="E289" s="1518">
        <v>0</v>
      </c>
      <c r="F289" s="1519" t="s">
        <v>413</v>
      </c>
      <c r="G289" s="1509" t="s">
        <v>1058</v>
      </c>
      <c r="H289" s="1530" t="s">
        <v>520</v>
      </c>
      <c r="I289" s="1509" t="s">
        <v>1059</v>
      </c>
      <c r="J289" s="1509" t="s">
        <v>543</v>
      </c>
      <c r="K289" s="1509" t="s">
        <v>522</v>
      </c>
      <c r="L289" s="1520"/>
      <c r="M289" s="1520"/>
      <c r="N289" s="1520" t="s">
        <v>2715</v>
      </c>
      <c r="O289" s="1225"/>
      <c r="P289" s="1228"/>
      <c r="Q289" s="1228"/>
      <c r="U289" s="220" t="s">
        <v>1061</v>
      </c>
      <c r="V289" s="220" t="s">
        <v>1061</v>
      </c>
      <c r="X289" s="255">
        <v>43773</v>
      </c>
      <c r="Y289" s="255">
        <v>43774</v>
      </c>
      <c r="AA289" s="255"/>
      <c r="AB289" s="220" t="s">
        <v>523</v>
      </c>
      <c r="AC289" s="220">
        <v>0</v>
      </c>
      <c r="AD289" s="220">
        <v>0</v>
      </c>
      <c r="AE289" s="220">
        <v>0</v>
      </c>
      <c r="AF289" s="220">
        <v>0</v>
      </c>
      <c r="AG289" s="220">
        <v>0</v>
      </c>
      <c r="AH289" s="220">
        <v>1</v>
      </c>
      <c r="AI289" s="220">
        <v>70095</v>
      </c>
      <c r="AJ289" s="220">
        <v>2180</v>
      </c>
      <c r="AK289" s="220">
        <v>0</v>
      </c>
      <c r="AL289" s="220">
        <v>0</v>
      </c>
      <c r="AO289" s="258"/>
      <c r="AP289" s="258"/>
      <c r="AQ289" s="220" t="str">
        <f t="shared" si="8"/>
        <v/>
      </c>
      <c r="AS289" s="220" t="str">
        <f t="shared" si="9"/>
        <v>wci_corp</v>
      </c>
    </row>
    <row r="290" spans="2:45">
      <c r="B290" s="1509" t="s">
        <v>2447</v>
      </c>
      <c r="C290" s="1529">
        <v>43769</v>
      </c>
      <c r="D290" s="1537">
        <v>28.75</v>
      </c>
      <c r="E290" s="1518">
        <v>0</v>
      </c>
      <c r="F290" s="1519" t="s">
        <v>413</v>
      </c>
      <c r="G290" s="1509" t="s">
        <v>1058</v>
      </c>
      <c r="H290" s="1530" t="s">
        <v>520</v>
      </c>
      <c r="I290" s="1509" t="s">
        <v>1059</v>
      </c>
      <c r="J290" s="1509" t="s">
        <v>543</v>
      </c>
      <c r="K290" s="1509" t="s">
        <v>522</v>
      </c>
      <c r="L290" s="1520"/>
      <c r="M290" s="1520"/>
      <c r="N290" s="1520" t="s">
        <v>2594</v>
      </c>
      <c r="O290" s="1225"/>
      <c r="P290" s="1228"/>
      <c r="Q290" s="1228"/>
      <c r="U290" s="220" t="s">
        <v>1061</v>
      </c>
      <c r="V290" s="220" t="s">
        <v>1061</v>
      </c>
      <c r="X290" s="255">
        <v>43773</v>
      </c>
      <c r="Y290" s="255">
        <v>43774</v>
      </c>
      <c r="AA290" s="255"/>
      <c r="AB290" s="220" t="s">
        <v>523</v>
      </c>
      <c r="AC290" s="220">
        <v>0</v>
      </c>
      <c r="AD290" s="220">
        <v>0</v>
      </c>
      <c r="AE290" s="220">
        <v>0</v>
      </c>
      <c r="AF290" s="220">
        <v>0</v>
      </c>
      <c r="AG290" s="220">
        <v>0</v>
      </c>
      <c r="AH290" s="220">
        <v>1</v>
      </c>
      <c r="AI290" s="220">
        <v>70095</v>
      </c>
      <c r="AJ290" s="220">
        <v>2180</v>
      </c>
      <c r="AK290" s="220">
        <v>0</v>
      </c>
      <c r="AL290" s="220">
        <v>0</v>
      </c>
      <c r="AO290" s="258"/>
      <c r="AP290" s="258"/>
      <c r="AQ290" s="220" t="str">
        <f t="shared" si="8"/>
        <v/>
      </c>
      <c r="AS290" s="220" t="str">
        <f t="shared" si="9"/>
        <v>wci_corp</v>
      </c>
    </row>
    <row r="291" spans="2:45">
      <c r="B291" s="1509" t="s">
        <v>2447</v>
      </c>
      <c r="C291" s="1529">
        <v>43769</v>
      </c>
      <c r="D291" s="1537">
        <v>72.53</v>
      </c>
      <c r="E291" s="1518">
        <v>0</v>
      </c>
      <c r="F291" s="1519" t="s">
        <v>413</v>
      </c>
      <c r="G291" s="1509" t="s">
        <v>1058</v>
      </c>
      <c r="H291" s="1530" t="s">
        <v>520</v>
      </c>
      <c r="I291" s="1509" t="s">
        <v>1059</v>
      </c>
      <c r="J291" s="1509" t="s">
        <v>543</v>
      </c>
      <c r="K291" s="1509" t="s">
        <v>522</v>
      </c>
      <c r="L291" s="1520"/>
      <c r="M291" s="1520"/>
      <c r="N291" s="1520" t="s">
        <v>2716</v>
      </c>
      <c r="O291" s="1225"/>
      <c r="P291" s="1228"/>
      <c r="Q291" s="1228"/>
      <c r="U291" s="220" t="s">
        <v>1061</v>
      </c>
      <c r="V291" s="220" t="s">
        <v>1061</v>
      </c>
      <c r="X291" s="255">
        <v>43773</v>
      </c>
      <c r="Y291" s="255">
        <v>43774</v>
      </c>
      <c r="AA291" s="255"/>
      <c r="AB291" s="220" t="s">
        <v>523</v>
      </c>
      <c r="AC291" s="220">
        <v>0</v>
      </c>
      <c r="AD291" s="220">
        <v>0</v>
      </c>
      <c r="AE291" s="220">
        <v>0</v>
      </c>
      <c r="AF291" s="220">
        <v>0</v>
      </c>
      <c r="AG291" s="220">
        <v>0</v>
      </c>
      <c r="AH291" s="220">
        <v>1</v>
      </c>
      <c r="AI291" s="220">
        <v>70095</v>
      </c>
      <c r="AJ291" s="220">
        <v>2180</v>
      </c>
      <c r="AK291" s="220">
        <v>0</v>
      </c>
      <c r="AL291" s="220">
        <v>0</v>
      </c>
      <c r="AO291" s="258"/>
      <c r="AP291" s="258"/>
      <c r="AQ291" s="220" t="str">
        <f t="shared" si="8"/>
        <v/>
      </c>
      <c r="AS291" s="220" t="str">
        <f t="shared" si="9"/>
        <v>wci_corp</v>
      </c>
    </row>
    <row r="292" spans="2:45">
      <c r="B292" s="1509" t="s">
        <v>2447</v>
      </c>
      <c r="C292" s="1529">
        <v>43769</v>
      </c>
      <c r="D292" s="1537">
        <v>12.06</v>
      </c>
      <c r="E292" s="1518">
        <v>0</v>
      </c>
      <c r="F292" s="1519" t="s">
        <v>413</v>
      </c>
      <c r="G292" s="1509" t="s">
        <v>1058</v>
      </c>
      <c r="H292" s="1530" t="s">
        <v>520</v>
      </c>
      <c r="I292" s="1509" t="s">
        <v>1059</v>
      </c>
      <c r="J292" s="1509" t="s">
        <v>543</v>
      </c>
      <c r="K292" s="1509" t="s">
        <v>522</v>
      </c>
      <c r="L292" s="1520"/>
      <c r="M292" s="1520"/>
      <c r="N292" s="1520" t="s">
        <v>2717</v>
      </c>
      <c r="O292" s="1225"/>
      <c r="P292" s="1228"/>
      <c r="Q292" s="1228"/>
      <c r="U292" s="220" t="s">
        <v>1061</v>
      </c>
      <c r="V292" s="220" t="s">
        <v>1061</v>
      </c>
      <c r="X292" s="255">
        <v>43773</v>
      </c>
      <c r="Y292" s="255">
        <v>43774</v>
      </c>
      <c r="AA292" s="255"/>
      <c r="AB292" s="220" t="s">
        <v>523</v>
      </c>
      <c r="AC292" s="220">
        <v>0</v>
      </c>
      <c r="AD292" s="220">
        <v>0</v>
      </c>
      <c r="AE292" s="220">
        <v>0</v>
      </c>
      <c r="AF292" s="220">
        <v>0</v>
      </c>
      <c r="AG292" s="220">
        <v>0</v>
      </c>
      <c r="AH292" s="220">
        <v>1</v>
      </c>
      <c r="AI292" s="220">
        <v>70095</v>
      </c>
      <c r="AJ292" s="220">
        <v>2180</v>
      </c>
      <c r="AK292" s="220">
        <v>0</v>
      </c>
      <c r="AL292" s="220">
        <v>0</v>
      </c>
      <c r="AO292" s="258"/>
      <c r="AP292" s="258"/>
      <c r="AQ292" s="220" t="str">
        <f t="shared" si="8"/>
        <v/>
      </c>
      <c r="AS292" s="220" t="str">
        <f t="shared" si="9"/>
        <v>wci_corp</v>
      </c>
    </row>
    <row r="293" spans="2:45">
      <c r="B293" s="1509" t="s">
        <v>2447</v>
      </c>
      <c r="C293" s="1529">
        <v>43769</v>
      </c>
      <c r="D293" s="1537">
        <v>85.98</v>
      </c>
      <c r="E293" s="1518">
        <v>0</v>
      </c>
      <c r="F293" s="1519" t="s">
        <v>413</v>
      </c>
      <c r="G293" s="1509" t="s">
        <v>1058</v>
      </c>
      <c r="H293" s="1530" t="s">
        <v>520</v>
      </c>
      <c r="I293" s="1509" t="s">
        <v>1059</v>
      </c>
      <c r="J293" s="1509" t="s">
        <v>543</v>
      </c>
      <c r="K293" s="1509" t="s">
        <v>522</v>
      </c>
      <c r="L293" s="1520"/>
      <c r="M293" s="1520"/>
      <c r="N293" s="1520" t="s">
        <v>2718</v>
      </c>
      <c r="O293" s="1225"/>
      <c r="P293" s="1228"/>
      <c r="Q293" s="1228"/>
      <c r="U293" s="220" t="s">
        <v>1061</v>
      </c>
      <c r="V293" s="220" t="s">
        <v>1061</v>
      </c>
      <c r="X293" s="255">
        <v>43773</v>
      </c>
      <c r="Y293" s="255">
        <v>43774</v>
      </c>
      <c r="AA293" s="255"/>
      <c r="AB293" s="220" t="s">
        <v>523</v>
      </c>
      <c r="AC293" s="220">
        <v>0</v>
      </c>
      <c r="AD293" s="220">
        <v>0</v>
      </c>
      <c r="AE293" s="220">
        <v>0</v>
      </c>
      <c r="AF293" s="220">
        <v>0</v>
      </c>
      <c r="AG293" s="220">
        <v>0</v>
      </c>
      <c r="AH293" s="220">
        <v>1</v>
      </c>
      <c r="AI293" s="220">
        <v>70095</v>
      </c>
      <c r="AJ293" s="220">
        <v>2180</v>
      </c>
      <c r="AK293" s="220">
        <v>0</v>
      </c>
      <c r="AL293" s="220">
        <v>0</v>
      </c>
      <c r="AO293" s="258"/>
      <c r="AP293" s="258"/>
      <c r="AQ293" s="220" t="str">
        <f t="shared" si="8"/>
        <v/>
      </c>
      <c r="AS293" s="220" t="str">
        <f t="shared" si="9"/>
        <v>wci_corp</v>
      </c>
    </row>
    <row r="294" spans="2:45">
      <c r="B294" s="1509" t="s">
        <v>2447</v>
      </c>
      <c r="C294" s="1529">
        <v>43769</v>
      </c>
      <c r="D294" s="1537">
        <v>49</v>
      </c>
      <c r="E294" s="1518">
        <v>0</v>
      </c>
      <c r="F294" s="1519" t="s">
        <v>413</v>
      </c>
      <c r="G294" s="1509" t="s">
        <v>1058</v>
      </c>
      <c r="H294" s="1530" t="s">
        <v>520</v>
      </c>
      <c r="I294" s="1509" t="s">
        <v>1059</v>
      </c>
      <c r="J294" s="1509" t="s">
        <v>543</v>
      </c>
      <c r="K294" s="1509" t="s">
        <v>522</v>
      </c>
      <c r="L294" s="1520"/>
      <c r="M294" s="1520"/>
      <c r="N294" s="1520" t="s">
        <v>2719</v>
      </c>
      <c r="O294" s="1225"/>
      <c r="P294" s="1228"/>
      <c r="Q294" s="1228"/>
      <c r="U294" s="220" t="s">
        <v>1061</v>
      </c>
      <c r="V294" s="220" t="s">
        <v>1061</v>
      </c>
      <c r="X294" s="255">
        <v>43773</v>
      </c>
      <c r="Y294" s="255">
        <v>43774</v>
      </c>
      <c r="AA294" s="255"/>
      <c r="AB294" s="220" t="s">
        <v>523</v>
      </c>
      <c r="AC294" s="220">
        <v>0</v>
      </c>
      <c r="AD294" s="220">
        <v>0</v>
      </c>
      <c r="AE294" s="220">
        <v>0</v>
      </c>
      <c r="AF294" s="220">
        <v>0</v>
      </c>
      <c r="AG294" s="220">
        <v>0</v>
      </c>
      <c r="AH294" s="220">
        <v>1</v>
      </c>
      <c r="AI294" s="220">
        <v>70095</v>
      </c>
      <c r="AJ294" s="220">
        <v>2180</v>
      </c>
      <c r="AK294" s="220">
        <v>0</v>
      </c>
      <c r="AL294" s="220">
        <v>0</v>
      </c>
      <c r="AO294" s="258"/>
      <c r="AP294" s="258"/>
      <c r="AQ294" s="220" t="str">
        <f t="shared" si="8"/>
        <v/>
      </c>
      <c r="AS294" s="220" t="str">
        <f t="shared" si="9"/>
        <v>wci_corp</v>
      </c>
    </row>
    <row r="295" spans="2:45">
      <c r="B295" s="1509" t="s">
        <v>2447</v>
      </c>
      <c r="C295" s="1529">
        <v>43769</v>
      </c>
      <c r="D295" s="1537">
        <v>298.73</v>
      </c>
      <c r="E295" s="1518">
        <v>0</v>
      </c>
      <c r="F295" s="1519" t="s">
        <v>413</v>
      </c>
      <c r="G295" s="1509" t="s">
        <v>1058</v>
      </c>
      <c r="H295" s="1530" t="s">
        <v>520</v>
      </c>
      <c r="I295" s="1509" t="s">
        <v>1059</v>
      </c>
      <c r="J295" s="1509" t="s">
        <v>543</v>
      </c>
      <c r="K295" s="1509" t="s">
        <v>522</v>
      </c>
      <c r="L295" s="1520"/>
      <c r="M295" s="1520"/>
      <c r="N295" s="1520" t="s">
        <v>2566</v>
      </c>
      <c r="O295" s="1225"/>
      <c r="P295" s="1228"/>
      <c r="Q295" s="1228"/>
      <c r="U295" s="220" t="s">
        <v>1061</v>
      </c>
      <c r="V295" s="220" t="s">
        <v>1061</v>
      </c>
      <c r="X295" s="255">
        <v>43773</v>
      </c>
      <c r="Y295" s="255">
        <v>43774</v>
      </c>
      <c r="AA295" s="255"/>
      <c r="AB295" s="220" t="s">
        <v>523</v>
      </c>
      <c r="AC295" s="220">
        <v>0</v>
      </c>
      <c r="AD295" s="220">
        <v>0</v>
      </c>
      <c r="AE295" s="220">
        <v>0</v>
      </c>
      <c r="AF295" s="220">
        <v>0</v>
      </c>
      <c r="AG295" s="220">
        <v>0</v>
      </c>
      <c r="AH295" s="220">
        <v>1</v>
      </c>
      <c r="AI295" s="220">
        <v>70095</v>
      </c>
      <c r="AJ295" s="220">
        <v>2180</v>
      </c>
      <c r="AK295" s="220">
        <v>0</v>
      </c>
      <c r="AL295" s="220">
        <v>0</v>
      </c>
      <c r="AO295" s="258"/>
      <c r="AP295" s="258"/>
      <c r="AQ295" s="220" t="str">
        <f t="shared" si="8"/>
        <v/>
      </c>
      <c r="AS295" s="220" t="str">
        <f t="shared" si="9"/>
        <v>wci_corp</v>
      </c>
    </row>
    <row r="296" spans="2:45">
      <c r="B296" s="1509" t="s">
        <v>2447</v>
      </c>
      <c r="C296" s="1529">
        <v>43769</v>
      </c>
      <c r="D296" s="1537">
        <v>13.03</v>
      </c>
      <c r="E296" s="1518">
        <v>0</v>
      </c>
      <c r="F296" s="1519" t="s">
        <v>413</v>
      </c>
      <c r="G296" s="1509" t="s">
        <v>1058</v>
      </c>
      <c r="H296" s="1530" t="s">
        <v>520</v>
      </c>
      <c r="I296" s="1509" t="s">
        <v>1059</v>
      </c>
      <c r="J296" s="1509" t="s">
        <v>543</v>
      </c>
      <c r="K296" s="1509" t="s">
        <v>522</v>
      </c>
      <c r="L296" s="1520"/>
      <c r="M296" s="1520"/>
      <c r="N296" s="1520" t="s">
        <v>2720</v>
      </c>
      <c r="O296" s="1225"/>
      <c r="P296" s="1228"/>
      <c r="Q296" s="1228"/>
      <c r="U296" s="220" t="s">
        <v>1061</v>
      </c>
      <c r="V296" s="220" t="s">
        <v>1061</v>
      </c>
      <c r="X296" s="255">
        <v>43773</v>
      </c>
      <c r="Y296" s="255">
        <v>43774</v>
      </c>
      <c r="AA296" s="255"/>
      <c r="AB296" s="220" t="s">
        <v>523</v>
      </c>
      <c r="AC296" s="220">
        <v>0</v>
      </c>
      <c r="AD296" s="220">
        <v>0</v>
      </c>
      <c r="AE296" s="220">
        <v>0</v>
      </c>
      <c r="AF296" s="220">
        <v>0</v>
      </c>
      <c r="AG296" s="220">
        <v>0</v>
      </c>
      <c r="AH296" s="220">
        <v>1</v>
      </c>
      <c r="AI296" s="220">
        <v>70095</v>
      </c>
      <c r="AJ296" s="220">
        <v>2180</v>
      </c>
      <c r="AK296" s="220">
        <v>0</v>
      </c>
      <c r="AL296" s="220">
        <v>0</v>
      </c>
      <c r="AO296" s="258"/>
      <c r="AP296" s="258"/>
      <c r="AQ296" s="220" t="str">
        <f t="shared" si="8"/>
        <v/>
      </c>
      <c r="AS296" s="220" t="str">
        <f t="shared" si="9"/>
        <v>wci_corp</v>
      </c>
    </row>
    <row r="297" spans="2:45">
      <c r="B297" s="1509" t="s">
        <v>2447</v>
      </c>
      <c r="C297" s="1529">
        <v>43769</v>
      </c>
      <c r="D297" s="1537">
        <v>157.1</v>
      </c>
      <c r="E297" s="1518">
        <v>0</v>
      </c>
      <c r="F297" s="1519" t="s">
        <v>413</v>
      </c>
      <c r="G297" s="1509" t="s">
        <v>1058</v>
      </c>
      <c r="H297" s="1530" t="s">
        <v>520</v>
      </c>
      <c r="I297" s="1509" t="s">
        <v>1059</v>
      </c>
      <c r="J297" s="1509" t="s">
        <v>543</v>
      </c>
      <c r="K297" s="1509" t="s">
        <v>522</v>
      </c>
      <c r="L297" s="1520"/>
      <c r="M297" s="1520"/>
      <c r="N297" s="1520" t="s">
        <v>2721</v>
      </c>
      <c r="O297" s="1225"/>
      <c r="P297" s="1228"/>
      <c r="Q297" s="1228"/>
      <c r="U297" s="220" t="s">
        <v>1061</v>
      </c>
      <c r="V297" s="220" t="s">
        <v>1061</v>
      </c>
      <c r="X297" s="255">
        <v>43773</v>
      </c>
      <c r="Y297" s="255">
        <v>43774</v>
      </c>
      <c r="AA297" s="255"/>
      <c r="AB297" s="220" t="s">
        <v>523</v>
      </c>
      <c r="AC297" s="220">
        <v>0</v>
      </c>
      <c r="AD297" s="220">
        <v>0</v>
      </c>
      <c r="AE297" s="220">
        <v>0</v>
      </c>
      <c r="AF297" s="220">
        <v>0</v>
      </c>
      <c r="AG297" s="220">
        <v>0</v>
      </c>
      <c r="AH297" s="220">
        <v>1</v>
      </c>
      <c r="AI297" s="220">
        <v>70095</v>
      </c>
      <c r="AJ297" s="220">
        <v>2180</v>
      </c>
      <c r="AK297" s="220">
        <v>0</v>
      </c>
      <c r="AL297" s="220">
        <v>0</v>
      </c>
      <c r="AO297" s="258"/>
      <c r="AP297" s="258"/>
      <c r="AQ297" s="220" t="str">
        <f t="shared" si="8"/>
        <v/>
      </c>
      <c r="AS297" s="220" t="str">
        <f t="shared" si="9"/>
        <v>wci_corp</v>
      </c>
    </row>
    <row r="298" spans="2:45">
      <c r="B298" s="1509" t="s">
        <v>2447</v>
      </c>
      <c r="C298" s="1529">
        <v>43769</v>
      </c>
      <c r="D298" s="1537">
        <v>305.42</v>
      </c>
      <c r="E298" s="1518">
        <v>0</v>
      </c>
      <c r="F298" s="1519" t="s">
        <v>413</v>
      </c>
      <c r="G298" s="1509" t="s">
        <v>1058</v>
      </c>
      <c r="H298" s="1530" t="s">
        <v>520</v>
      </c>
      <c r="I298" s="1509" t="s">
        <v>1059</v>
      </c>
      <c r="J298" s="1509" t="s">
        <v>543</v>
      </c>
      <c r="K298" s="1509" t="s">
        <v>522</v>
      </c>
      <c r="L298" s="1520"/>
      <c r="M298" s="1520"/>
      <c r="N298" s="1520" t="s">
        <v>2715</v>
      </c>
      <c r="O298" s="1225"/>
      <c r="P298" s="1228"/>
      <c r="Q298" s="1228"/>
      <c r="U298" s="220" t="s">
        <v>1061</v>
      </c>
      <c r="V298" s="220" t="s">
        <v>1061</v>
      </c>
      <c r="X298" s="255">
        <v>43773</v>
      </c>
      <c r="Y298" s="255">
        <v>43774</v>
      </c>
      <c r="AA298" s="255"/>
      <c r="AB298" s="220" t="s">
        <v>523</v>
      </c>
      <c r="AC298" s="220">
        <v>0</v>
      </c>
      <c r="AD298" s="220">
        <v>0</v>
      </c>
      <c r="AE298" s="220">
        <v>0</v>
      </c>
      <c r="AF298" s="220">
        <v>0</v>
      </c>
      <c r="AG298" s="220">
        <v>0</v>
      </c>
      <c r="AH298" s="220">
        <v>1</v>
      </c>
      <c r="AI298" s="220">
        <v>70095</v>
      </c>
      <c r="AJ298" s="220">
        <v>2180</v>
      </c>
      <c r="AK298" s="220">
        <v>0</v>
      </c>
      <c r="AL298" s="220">
        <v>0</v>
      </c>
      <c r="AO298" s="258"/>
      <c r="AP298" s="258"/>
      <c r="AQ298" s="220" t="str">
        <f t="shared" si="8"/>
        <v/>
      </c>
      <c r="AS298" s="220" t="str">
        <f t="shared" si="9"/>
        <v>wci_corp</v>
      </c>
    </row>
    <row r="299" spans="2:45">
      <c r="B299" s="1509" t="s">
        <v>2447</v>
      </c>
      <c r="C299" s="1529">
        <v>43769</v>
      </c>
      <c r="D299" s="1537">
        <v>36.520000000000003</v>
      </c>
      <c r="E299" s="1518">
        <v>0</v>
      </c>
      <c r="F299" s="1519" t="s">
        <v>413</v>
      </c>
      <c r="G299" s="1509" t="s">
        <v>1058</v>
      </c>
      <c r="H299" s="1530" t="s">
        <v>520</v>
      </c>
      <c r="I299" s="1509" t="s">
        <v>1059</v>
      </c>
      <c r="J299" s="1509" t="s">
        <v>543</v>
      </c>
      <c r="K299" s="1509" t="s">
        <v>522</v>
      </c>
      <c r="L299" s="1520"/>
      <c r="M299" s="1520"/>
      <c r="N299" s="1520" t="s">
        <v>2722</v>
      </c>
      <c r="O299" s="1225"/>
      <c r="P299" s="1228"/>
      <c r="Q299" s="1228"/>
      <c r="U299" s="220" t="s">
        <v>1061</v>
      </c>
      <c r="V299" s="220" t="s">
        <v>1061</v>
      </c>
      <c r="X299" s="255">
        <v>43773</v>
      </c>
      <c r="Y299" s="255">
        <v>43774</v>
      </c>
      <c r="AA299" s="255"/>
      <c r="AB299" s="220" t="s">
        <v>523</v>
      </c>
      <c r="AC299" s="220">
        <v>0</v>
      </c>
      <c r="AD299" s="220">
        <v>0</v>
      </c>
      <c r="AE299" s="220">
        <v>0</v>
      </c>
      <c r="AF299" s="220">
        <v>0</v>
      </c>
      <c r="AG299" s="220">
        <v>0</v>
      </c>
      <c r="AH299" s="220">
        <v>1</v>
      </c>
      <c r="AI299" s="220">
        <v>70095</v>
      </c>
      <c r="AJ299" s="220">
        <v>2180</v>
      </c>
      <c r="AK299" s="220">
        <v>0</v>
      </c>
      <c r="AL299" s="220">
        <v>0</v>
      </c>
      <c r="AO299" s="258"/>
      <c r="AP299" s="258"/>
      <c r="AQ299" s="220" t="str">
        <f t="shared" si="8"/>
        <v/>
      </c>
      <c r="AS299" s="220" t="str">
        <f t="shared" si="9"/>
        <v>wci_corp</v>
      </c>
    </row>
    <row r="300" spans="2:45">
      <c r="B300" s="1509" t="s">
        <v>2447</v>
      </c>
      <c r="C300" s="1529">
        <v>43769</v>
      </c>
      <c r="D300" s="1537">
        <v>361.24</v>
      </c>
      <c r="E300" s="1518">
        <v>0</v>
      </c>
      <c r="F300" s="1519" t="s">
        <v>413</v>
      </c>
      <c r="G300" s="1509" t="s">
        <v>1058</v>
      </c>
      <c r="H300" s="1530" t="s">
        <v>520</v>
      </c>
      <c r="I300" s="1509" t="s">
        <v>1059</v>
      </c>
      <c r="J300" s="1509" t="s">
        <v>543</v>
      </c>
      <c r="K300" s="1509" t="s">
        <v>522</v>
      </c>
      <c r="L300" s="1520"/>
      <c r="M300" s="1520"/>
      <c r="N300" s="1520" t="s">
        <v>2723</v>
      </c>
      <c r="O300" s="1225"/>
      <c r="P300" s="1228"/>
      <c r="Q300" s="1228"/>
      <c r="U300" s="220" t="s">
        <v>1061</v>
      </c>
      <c r="V300" s="220" t="s">
        <v>1061</v>
      </c>
      <c r="X300" s="255">
        <v>43773</v>
      </c>
      <c r="Y300" s="255">
        <v>43774</v>
      </c>
      <c r="AA300" s="255"/>
      <c r="AB300" s="220" t="s">
        <v>523</v>
      </c>
      <c r="AC300" s="220">
        <v>0</v>
      </c>
      <c r="AD300" s="220">
        <v>0</v>
      </c>
      <c r="AE300" s="220">
        <v>0</v>
      </c>
      <c r="AF300" s="220">
        <v>0</v>
      </c>
      <c r="AG300" s="220">
        <v>0</v>
      </c>
      <c r="AH300" s="220">
        <v>1</v>
      </c>
      <c r="AI300" s="220">
        <v>70095</v>
      </c>
      <c r="AJ300" s="220">
        <v>2180</v>
      </c>
      <c r="AK300" s="220">
        <v>0</v>
      </c>
      <c r="AL300" s="220">
        <v>0</v>
      </c>
      <c r="AO300" s="258"/>
      <c r="AP300" s="258"/>
      <c r="AQ300" s="220" t="str">
        <f t="shared" si="8"/>
        <v/>
      </c>
      <c r="AS300" s="220" t="str">
        <f t="shared" si="9"/>
        <v>wci_corp</v>
      </c>
    </row>
    <row r="301" spans="2:45">
      <c r="B301" s="1509" t="s">
        <v>2447</v>
      </c>
      <c r="C301" s="1529">
        <v>43769</v>
      </c>
      <c r="D301" s="1537">
        <v>66.13</v>
      </c>
      <c r="E301" s="1518">
        <v>0</v>
      </c>
      <c r="F301" s="1519" t="s">
        <v>413</v>
      </c>
      <c r="G301" s="1509" t="s">
        <v>1058</v>
      </c>
      <c r="H301" s="1530" t="s">
        <v>520</v>
      </c>
      <c r="I301" s="1509" t="s">
        <v>1059</v>
      </c>
      <c r="J301" s="1509" t="s">
        <v>543</v>
      </c>
      <c r="K301" s="1509" t="s">
        <v>522</v>
      </c>
      <c r="L301" s="1520"/>
      <c r="M301" s="1520"/>
      <c r="N301" s="1520" t="s">
        <v>2723</v>
      </c>
      <c r="O301" s="1225"/>
      <c r="P301" s="1228"/>
      <c r="Q301" s="1228"/>
      <c r="U301" s="220" t="s">
        <v>1061</v>
      </c>
      <c r="V301" s="220" t="s">
        <v>1061</v>
      </c>
      <c r="X301" s="255">
        <v>43773</v>
      </c>
      <c r="Y301" s="255">
        <v>43774</v>
      </c>
      <c r="AA301" s="255"/>
      <c r="AB301" s="220" t="s">
        <v>523</v>
      </c>
      <c r="AC301" s="220">
        <v>0</v>
      </c>
      <c r="AD301" s="220">
        <v>0</v>
      </c>
      <c r="AE301" s="220">
        <v>0</v>
      </c>
      <c r="AF301" s="220">
        <v>0</v>
      </c>
      <c r="AG301" s="220">
        <v>0</v>
      </c>
      <c r="AH301" s="220">
        <v>1</v>
      </c>
      <c r="AI301" s="220">
        <v>70095</v>
      </c>
      <c r="AJ301" s="220">
        <v>2180</v>
      </c>
      <c r="AK301" s="220">
        <v>0</v>
      </c>
      <c r="AL301" s="220">
        <v>0</v>
      </c>
      <c r="AO301" s="258"/>
      <c r="AP301" s="258"/>
      <c r="AQ301" s="220" t="str">
        <f t="shared" si="8"/>
        <v/>
      </c>
      <c r="AS301" s="220" t="str">
        <f t="shared" si="9"/>
        <v>wci_corp</v>
      </c>
    </row>
    <row r="302" spans="2:45">
      <c r="B302" s="1509" t="s">
        <v>2447</v>
      </c>
      <c r="C302" s="1529">
        <v>43769</v>
      </c>
      <c r="D302" s="1537">
        <v>62.3</v>
      </c>
      <c r="E302" s="1518">
        <v>0</v>
      </c>
      <c r="F302" s="1519" t="s">
        <v>413</v>
      </c>
      <c r="G302" s="1509" t="s">
        <v>1058</v>
      </c>
      <c r="H302" s="1530" t="s">
        <v>520</v>
      </c>
      <c r="I302" s="1509" t="s">
        <v>1059</v>
      </c>
      <c r="J302" s="1509" t="s">
        <v>543</v>
      </c>
      <c r="K302" s="1509" t="s">
        <v>522</v>
      </c>
      <c r="L302" s="1520"/>
      <c r="M302" s="1520"/>
      <c r="N302" s="1520" t="s">
        <v>2723</v>
      </c>
      <c r="O302" s="1225"/>
      <c r="P302" s="1228"/>
      <c r="Q302" s="1228"/>
      <c r="U302" s="220" t="s">
        <v>1061</v>
      </c>
      <c r="V302" s="220" t="s">
        <v>1061</v>
      </c>
      <c r="X302" s="255">
        <v>43773</v>
      </c>
      <c r="Y302" s="255">
        <v>43774</v>
      </c>
      <c r="AA302" s="255"/>
      <c r="AB302" s="220" t="s">
        <v>523</v>
      </c>
      <c r="AC302" s="220">
        <v>0</v>
      </c>
      <c r="AD302" s="220">
        <v>0</v>
      </c>
      <c r="AE302" s="220">
        <v>0</v>
      </c>
      <c r="AF302" s="220">
        <v>0</v>
      </c>
      <c r="AG302" s="220">
        <v>0</v>
      </c>
      <c r="AH302" s="220">
        <v>1</v>
      </c>
      <c r="AI302" s="220">
        <v>70095</v>
      </c>
      <c r="AJ302" s="220">
        <v>2180</v>
      </c>
      <c r="AK302" s="220">
        <v>0</v>
      </c>
      <c r="AL302" s="220">
        <v>0</v>
      </c>
      <c r="AO302" s="258"/>
      <c r="AP302" s="258"/>
      <c r="AQ302" s="220" t="str">
        <f t="shared" si="8"/>
        <v/>
      </c>
      <c r="AS302" s="220" t="str">
        <f t="shared" si="9"/>
        <v>wci_corp</v>
      </c>
    </row>
    <row r="303" spans="2:45">
      <c r="B303" s="1509" t="s">
        <v>2447</v>
      </c>
      <c r="C303" s="1529">
        <v>43769</v>
      </c>
      <c r="D303" s="1537">
        <v>60</v>
      </c>
      <c r="E303" s="1518">
        <v>0</v>
      </c>
      <c r="F303" s="1519" t="s">
        <v>413</v>
      </c>
      <c r="G303" s="1509" t="s">
        <v>2724</v>
      </c>
      <c r="H303" s="1530" t="s">
        <v>520</v>
      </c>
      <c r="I303" s="1509" t="s">
        <v>2725</v>
      </c>
      <c r="J303" s="1509" t="s">
        <v>543</v>
      </c>
      <c r="K303" s="1509" t="s">
        <v>522</v>
      </c>
      <c r="L303" s="1520"/>
      <c r="M303" s="1520"/>
      <c r="N303" s="1520" t="s">
        <v>2726</v>
      </c>
      <c r="O303" s="1225"/>
      <c r="P303" s="1228"/>
      <c r="Q303" s="1228"/>
      <c r="U303" s="220" t="s">
        <v>2727</v>
      </c>
      <c r="V303" s="220" t="s">
        <v>2727</v>
      </c>
      <c r="X303" s="255">
        <v>43774</v>
      </c>
      <c r="Y303" s="255">
        <v>43774</v>
      </c>
      <c r="AA303" s="255"/>
      <c r="AB303" s="220" t="s">
        <v>523</v>
      </c>
      <c r="AC303" s="220">
        <v>0</v>
      </c>
      <c r="AD303" s="220">
        <v>0</v>
      </c>
      <c r="AE303" s="220">
        <v>0</v>
      </c>
      <c r="AF303" s="220">
        <v>0</v>
      </c>
      <c r="AG303" s="220">
        <v>0</v>
      </c>
      <c r="AH303" s="220">
        <v>1</v>
      </c>
      <c r="AI303" s="220">
        <v>70095</v>
      </c>
      <c r="AJ303" s="220">
        <v>2180</v>
      </c>
      <c r="AK303" s="220">
        <v>0</v>
      </c>
      <c r="AL303" s="220">
        <v>0</v>
      </c>
      <c r="AO303" s="258"/>
      <c r="AP303" s="258"/>
      <c r="AQ303" s="220" t="str">
        <f t="shared" si="8"/>
        <v/>
      </c>
      <c r="AS303" s="220" t="str">
        <f t="shared" si="9"/>
        <v>wci_corp</v>
      </c>
    </row>
    <row r="304" spans="2:45">
      <c r="B304" s="1509" t="s">
        <v>2447</v>
      </c>
      <c r="C304" s="1529">
        <v>43769</v>
      </c>
      <c r="D304" s="1537">
        <v>236.29</v>
      </c>
      <c r="E304" s="1518">
        <v>0</v>
      </c>
      <c r="F304" s="1519" t="s">
        <v>413</v>
      </c>
      <c r="G304" s="1509" t="s">
        <v>1063</v>
      </c>
      <c r="H304" s="1530" t="s">
        <v>520</v>
      </c>
      <c r="I304" s="1509" t="s">
        <v>1064</v>
      </c>
      <c r="J304" s="1509" t="s">
        <v>543</v>
      </c>
      <c r="K304" s="1509" t="s">
        <v>522</v>
      </c>
      <c r="L304" s="1520"/>
      <c r="M304" s="1520"/>
      <c r="N304" s="1520" t="s">
        <v>2728</v>
      </c>
      <c r="O304" s="1225"/>
      <c r="P304" s="1228"/>
      <c r="Q304" s="1228"/>
      <c r="U304" s="220" t="s">
        <v>1066</v>
      </c>
      <c r="V304" s="220" t="s">
        <v>1066</v>
      </c>
      <c r="X304" s="255">
        <v>43775</v>
      </c>
      <c r="Y304" s="255">
        <v>43776</v>
      </c>
      <c r="AA304" s="255"/>
      <c r="AB304" s="220" t="s">
        <v>523</v>
      </c>
      <c r="AC304" s="220">
        <v>0</v>
      </c>
      <c r="AD304" s="220">
        <v>0</v>
      </c>
      <c r="AE304" s="220">
        <v>0</v>
      </c>
      <c r="AF304" s="220">
        <v>0</v>
      </c>
      <c r="AG304" s="220">
        <v>0</v>
      </c>
      <c r="AH304" s="220">
        <v>1</v>
      </c>
      <c r="AI304" s="220">
        <v>70095</v>
      </c>
      <c r="AJ304" s="220">
        <v>2180</v>
      </c>
      <c r="AK304" s="220">
        <v>0</v>
      </c>
      <c r="AL304" s="220">
        <v>0</v>
      </c>
      <c r="AO304" s="258"/>
      <c r="AP304" s="258"/>
      <c r="AQ304" s="220" t="str">
        <f t="shared" si="8"/>
        <v/>
      </c>
      <c r="AS304" s="220" t="str">
        <f t="shared" si="9"/>
        <v>wci_corp</v>
      </c>
    </row>
    <row r="305" spans="2:45">
      <c r="B305" s="1509" t="s">
        <v>2447</v>
      </c>
      <c r="C305" s="1529">
        <v>43769</v>
      </c>
      <c r="D305" s="1537">
        <v>65.14</v>
      </c>
      <c r="E305" s="1518">
        <v>0</v>
      </c>
      <c r="F305" s="1519" t="s">
        <v>413</v>
      </c>
      <c r="G305" s="1509" t="s">
        <v>1063</v>
      </c>
      <c r="H305" s="1530" t="s">
        <v>520</v>
      </c>
      <c r="I305" s="1509" t="s">
        <v>1064</v>
      </c>
      <c r="J305" s="1509" t="s">
        <v>543</v>
      </c>
      <c r="K305" s="1509" t="s">
        <v>522</v>
      </c>
      <c r="L305" s="1520"/>
      <c r="M305" s="1520"/>
      <c r="N305" s="1520" t="s">
        <v>2647</v>
      </c>
      <c r="O305" s="1225"/>
      <c r="P305" s="1228"/>
      <c r="Q305" s="1228"/>
      <c r="U305" s="220" t="s">
        <v>1066</v>
      </c>
      <c r="V305" s="220" t="s">
        <v>1066</v>
      </c>
      <c r="X305" s="255">
        <v>43775</v>
      </c>
      <c r="Y305" s="255">
        <v>43776</v>
      </c>
      <c r="AA305" s="255"/>
      <c r="AB305" s="220" t="s">
        <v>523</v>
      </c>
      <c r="AC305" s="220">
        <v>0</v>
      </c>
      <c r="AD305" s="220">
        <v>0</v>
      </c>
      <c r="AE305" s="220">
        <v>0</v>
      </c>
      <c r="AF305" s="220">
        <v>0</v>
      </c>
      <c r="AG305" s="220">
        <v>0</v>
      </c>
      <c r="AH305" s="220">
        <v>1</v>
      </c>
      <c r="AI305" s="220">
        <v>70095</v>
      </c>
      <c r="AJ305" s="220">
        <v>2180</v>
      </c>
      <c r="AK305" s="220">
        <v>0</v>
      </c>
      <c r="AL305" s="220">
        <v>0</v>
      </c>
      <c r="AO305" s="258"/>
      <c r="AP305" s="258"/>
      <c r="AQ305" s="220" t="str">
        <f t="shared" si="8"/>
        <v/>
      </c>
      <c r="AS305" s="220" t="str">
        <f t="shared" si="9"/>
        <v>wci_corp</v>
      </c>
    </row>
    <row r="306" spans="2:45">
      <c r="B306" s="1509" t="s">
        <v>2447</v>
      </c>
      <c r="C306" s="1529">
        <v>43769</v>
      </c>
      <c r="D306" s="1537">
        <v>341.74</v>
      </c>
      <c r="E306" s="1518">
        <v>0</v>
      </c>
      <c r="F306" s="1519" t="s">
        <v>413</v>
      </c>
      <c r="G306" s="1509" t="s">
        <v>1063</v>
      </c>
      <c r="H306" s="1530" t="s">
        <v>520</v>
      </c>
      <c r="I306" s="1509" t="s">
        <v>1064</v>
      </c>
      <c r="J306" s="1509" t="s">
        <v>543</v>
      </c>
      <c r="K306" s="1509" t="s">
        <v>522</v>
      </c>
      <c r="L306" s="1520"/>
      <c r="M306" s="1520"/>
      <c r="N306" s="1520" t="s">
        <v>2715</v>
      </c>
      <c r="O306" s="1225"/>
      <c r="P306" s="1228"/>
      <c r="Q306" s="1228"/>
      <c r="U306" s="220" t="s">
        <v>1066</v>
      </c>
      <c r="V306" s="220" t="s">
        <v>1066</v>
      </c>
      <c r="X306" s="255">
        <v>43775</v>
      </c>
      <c r="Y306" s="255">
        <v>43776</v>
      </c>
      <c r="AA306" s="255"/>
      <c r="AB306" s="220" t="s">
        <v>523</v>
      </c>
      <c r="AC306" s="220">
        <v>0</v>
      </c>
      <c r="AD306" s="220">
        <v>0</v>
      </c>
      <c r="AE306" s="220">
        <v>0</v>
      </c>
      <c r="AF306" s="220">
        <v>0</v>
      </c>
      <c r="AG306" s="220">
        <v>0</v>
      </c>
      <c r="AH306" s="220">
        <v>1</v>
      </c>
      <c r="AI306" s="220">
        <v>70095</v>
      </c>
      <c r="AJ306" s="220">
        <v>2180</v>
      </c>
      <c r="AK306" s="220">
        <v>0</v>
      </c>
      <c r="AL306" s="220">
        <v>0</v>
      </c>
      <c r="AO306" s="258"/>
      <c r="AP306" s="258"/>
      <c r="AQ306" s="220" t="str">
        <f t="shared" si="8"/>
        <v/>
      </c>
      <c r="AS306" s="220" t="str">
        <f t="shared" si="9"/>
        <v>wci_corp</v>
      </c>
    </row>
    <row r="307" spans="2:45">
      <c r="B307" s="1509" t="s">
        <v>2447</v>
      </c>
      <c r="C307" s="1529">
        <v>43769</v>
      </c>
      <c r="D307" s="1537">
        <v>42.81</v>
      </c>
      <c r="E307" s="1518">
        <v>0</v>
      </c>
      <c r="F307" s="1519" t="s">
        <v>413</v>
      </c>
      <c r="G307" s="1509" t="s">
        <v>2729</v>
      </c>
      <c r="H307" s="1530" t="s">
        <v>520</v>
      </c>
      <c r="I307" s="1509" t="s">
        <v>2730</v>
      </c>
      <c r="J307" s="1509" t="s">
        <v>670</v>
      </c>
      <c r="K307" s="1509" t="s">
        <v>522</v>
      </c>
      <c r="L307" s="1520"/>
      <c r="M307" s="1520"/>
      <c r="N307" s="1520" t="s">
        <v>2731</v>
      </c>
      <c r="O307" s="1225"/>
      <c r="P307" s="1228"/>
      <c r="Q307" s="1228"/>
      <c r="U307" s="220" t="s">
        <v>2732</v>
      </c>
      <c r="V307" s="220" t="s">
        <v>2732</v>
      </c>
      <c r="X307" s="255">
        <v>43776</v>
      </c>
      <c r="Y307" s="255">
        <v>43776</v>
      </c>
      <c r="AA307" s="255"/>
      <c r="AB307" s="220" t="s">
        <v>523</v>
      </c>
      <c r="AC307" s="220">
        <v>0</v>
      </c>
      <c r="AD307" s="220">
        <v>0</v>
      </c>
      <c r="AE307" s="220">
        <v>0</v>
      </c>
      <c r="AF307" s="220">
        <v>0</v>
      </c>
      <c r="AG307" s="220">
        <v>0</v>
      </c>
      <c r="AH307" s="220">
        <v>1</v>
      </c>
      <c r="AI307" s="220">
        <v>70095</v>
      </c>
      <c r="AJ307" s="220">
        <v>2180</v>
      </c>
      <c r="AK307" s="220">
        <v>0</v>
      </c>
      <c r="AL307" s="220">
        <v>0</v>
      </c>
      <c r="AO307" s="258"/>
      <c r="AP307" s="258"/>
      <c r="AQ307" s="220" t="str">
        <f t="shared" si="8"/>
        <v/>
      </c>
      <c r="AS307" s="220" t="str">
        <f t="shared" si="9"/>
        <v>wci_corp</v>
      </c>
    </row>
    <row r="308" spans="2:45">
      <c r="B308" s="1509" t="s">
        <v>2447</v>
      </c>
      <c r="C308" s="1529">
        <v>43769</v>
      </c>
      <c r="D308" s="1537">
        <v>700.56</v>
      </c>
      <c r="E308" s="1518">
        <v>0</v>
      </c>
      <c r="F308" s="1519" t="s">
        <v>413</v>
      </c>
      <c r="G308" s="1509" t="s">
        <v>2733</v>
      </c>
      <c r="H308" s="1530" t="s">
        <v>520</v>
      </c>
      <c r="I308" s="1509" t="s">
        <v>2583</v>
      </c>
      <c r="J308" s="1509" t="s">
        <v>670</v>
      </c>
      <c r="K308" s="1509" t="s">
        <v>522</v>
      </c>
      <c r="L308" s="1520"/>
      <c r="M308" s="1520"/>
      <c r="N308" s="1520" t="s">
        <v>2713</v>
      </c>
      <c r="O308" s="1225"/>
      <c r="P308" s="1228"/>
      <c r="Q308" s="1228"/>
      <c r="U308" s="220" t="s">
        <v>2734</v>
      </c>
      <c r="V308" s="220" t="s">
        <v>2734</v>
      </c>
      <c r="X308" s="255">
        <v>43776</v>
      </c>
      <c r="Y308" s="255">
        <v>43776</v>
      </c>
      <c r="AA308" s="255"/>
      <c r="AB308" s="220" t="s">
        <v>523</v>
      </c>
      <c r="AC308" s="220">
        <v>0</v>
      </c>
      <c r="AD308" s="220">
        <v>0</v>
      </c>
      <c r="AE308" s="220">
        <v>0</v>
      </c>
      <c r="AF308" s="220">
        <v>0</v>
      </c>
      <c r="AG308" s="220">
        <v>0</v>
      </c>
      <c r="AH308" s="220">
        <v>1</v>
      </c>
      <c r="AI308" s="220">
        <v>70095</v>
      </c>
      <c r="AJ308" s="220">
        <v>2180</v>
      </c>
      <c r="AK308" s="220">
        <v>0</v>
      </c>
      <c r="AL308" s="220">
        <v>0</v>
      </c>
      <c r="AO308" s="258"/>
      <c r="AP308" s="258"/>
      <c r="AQ308" s="220" t="str">
        <f t="shared" si="8"/>
        <v/>
      </c>
      <c r="AS308" s="220" t="str">
        <f t="shared" si="9"/>
        <v>wci_corp</v>
      </c>
    </row>
    <row r="309" spans="2:45">
      <c r="B309" s="1509" t="s">
        <v>2447</v>
      </c>
      <c r="C309" s="1529">
        <v>43799</v>
      </c>
      <c r="D309" s="1537">
        <v>-236.29</v>
      </c>
      <c r="E309" s="1518">
        <v>0</v>
      </c>
      <c r="F309" s="1519" t="s">
        <v>413</v>
      </c>
      <c r="G309" s="1509" t="s">
        <v>1067</v>
      </c>
      <c r="H309" s="1530" t="s">
        <v>520</v>
      </c>
      <c r="I309" s="1509" t="s">
        <v>1064</v>
      </c>
      <c r="J309" s="1509" t="s">
        <v>543</v>
      </c>
      <c r="K309" s="1509" t="s">
        <v>522</v>
      </c>
      <c r="L309" s="1520"/>
      <c r="M309" s="1520"/>
      <c r="N309" s="1520" t="s">
        <v>2728</v>
      </c>
      <c r="O309" s="1225"/>
      <c r="P309" s="1228"/>
      <c r="Q309" s="1228"/>
      <c r="U309" s="220" t="s">
        <v>1066</v>
      </c>
      <c r="V309" s="220" t="s">
        <v>1068</v>
      </c>
      <c r="X309" s="255">
        <v>43776</v>
      </c>
      <c r="Y309" s="255">
        <v>43776</v>
      </c>
      <c r="AA309" s="255"/>
      <c r="AB309" s="220" t="s">
        <v>523</v>
      </c>
      <c r="AC309" s="220">
        <v>0</v>
      </c>
      <c r="AD309" s="220">
        <v>0</v>
      </c>
      <c r="AE309" s="220">
        <v>0</v>
      </c>
      <c r="AF309" s="220">
        <v>0</v>
      </c>
      <c r="AG309" s="220">
        <v>5</v>
      </c>
      <c r="AH309" s="220">
        <v>1</v>
      </c>
      <c r="AI309" s="220">
        <v>70095</v>
      </c>
      <c r="AJ309" s="220">
        <v>2180</v>
      </c>
      <c r="AK309" s="220">
        <v>0</v>
      </c>
      <c r="AL309" s="220">
        <v>0</v>
      </c>
      <c r="AO309" s="258"/>
      <c r="AP309" s="258"/>
      <c r="AQ309" s="220" t="str">
        <f t="shared" si="8"/>
        <v/>
      </c>
      <c r="AS309" s="220" t="str">
        <f t="shared" si="9"/>
        <v>wci_corp</v>
      </c>
    </row>
    <row r="310" spans="2:45">
      <c r="B310" s="1509" t="s">
        <v>2447</v>
      </c>
      <c r="C310" s="1529">
        <v>43799</v>
      </c>
      <c r="D310" s="1537">
        <v>-65.14</v>
      </c>
      <c r="E310" s="1518">
        <v>0</v>
      </c>
      <c r="F310" s="1519" t="s">
        <v>413</v>
      </c>
      <c r="G310" s="1509" t="s">
        <v>1067</v>
      </c>
      <c r="H310" s="1530" t="s">
        <v>520</v>
      </c>
      <c r="I310" s="1509" t="s">
        <v>1064</v>
      </c>
      <c r="J310" s="1509" t="s">
        <v>543</v>
      </c>
      <c r="K310" s="1509" t="s">
        <v>522</v>
      </c>
      <c r="L310" s="1520"/>
      <c r="M310" s="1520"/>
      <c r="N310" s="1520" t="s">
        <v>2647</v>
      </c>
      <c r="O310" s="1225"/>
      <c r="P310" s="1228"/>
      <c r="Q310" s="1228"/>
      <c r="U310" s="220" t="s">
        <v>1066</v>
      </c>
      <c r="V310" s="220" t="s">
        <v>1068</v>
      </c>
      <c r="X310" s="255">
        <v>43776</v>
      </c>
      <c r="Y310" s="255">
        <v>43776</v>
      </c>
      <c r="AA310" s="255"/>
      <c r="AB310" s="220" t="s">
        <v>523</v>
      </c>
      <c r="AC310" s="220">
        <v>0</v>
      </c>
      <c r="AD310" s="220">
        <v>0</v>
      </c>
      <c r="AE310" s="220">
        <v>0</v>
      </c>
      <c r="AF310" s="220">
        <v>0</v>
      </c>
      <c r="AG310" s="220">
        <v>5</v>
      </c>
      <c r="AH310" s="220">
        <v>1</v>
      </c>
      <c r="AI310" s="220">
        <v>70095</v>
      </c>
      <c r="AJ310" s="220">
        <v>2180</v>
      </c>
      <c r="AK310" s="220">
        <v>0</v>
      </c>
      <c r="AL310" s="220">
        <v>0</v>
      </c>
      <c r="AO310" s="258"/>
      <c r="AP310" s="258"/>
      <c r="AQ310" s="220" t="str">
        <f t="shared" si="8"/>
        <v/>
      </c>
      <c r="AS310" s="220" t="str">
        <f t="shared" si="9"/>
        <v>wci_corp</v>
      </c>
    </row>
    <row r="311" spans="2:45">
      <c r="B311" s="1509" t="s">
        <v>2447</v>
      </c>
      <c r="C311" s="1529">
        <v>43799</v>
      </c>
      <c r="D311" s="1537">
        <v>-341.74</v>
      </c>
      <c r="E311" s="1518">
        <v>0</v>
      </c>
      <c r="F311" s="1519" t="s">
        <v>413</v>
      </c>
      <c r="G311" s="1509" t="s">
        <v>1067</v>
      </c>
      <c r="H311" s="1530" t="s">
        <v>520</v>
      </c>
      <c r="I311" s="1509" t="s">
        <v>1064</v>
      </c>
      <c r="J311" s="1509" t="s">
        <v>543</v>
      </c>
      <c r="K311" s="1509" t="s">
        <v>522</v>
      </c>
      <c r="L311" s="1520"/>
      <c r="M311" s="1520"/>
      <c r="N311" s="1520" t="s">
        <v>2715</v>
      </c>
      <c r="O311" s="1225"/>
      <c r="P311" s="1228"/>
      <c r="Q311" s="1228"/>
      <c r="U311" s="220" t="s">
        <v>1066</v>
      </c>
      <c r="V311" s="220" t="s">
        <v>1068</v>
      </c>
      <c r="X311" s="255">
        <v>43776</v>
      </c>
      <c r="Y311" s="255">
        <v>43776</v>
      </c>
      <c r="AA311" s="255"/>
      <c r="AB311" s="220" t="s">
        <v>523</v>
      </c>
      <c r="AC311" s="220">
        <v>0</v>
      </c>
      <c r="AD311" s="220">
        <v>0</v>
      </c>
      <c r="AE311" s="220">
        <v>0</v>
      </c>
      <c r="AF311" s="220">
        <v>0</v>
      </c>
      <c r="AG311" s="220">
        <v>5</v>
      </c>
      <c r="AH311" s="220">
        <v>1</v>
      </c>
      <c r="AI311" s="220">
        <v>70095</v>
      </c>
      <c r="AJ311" s="220">
        <v>2180</v>
      </c>
      <c r="AK311" s="220">
        <v>0</v>
      </c>
      <c r="AL311" s="220">
        <v>0</v>
      </c>
      <c r="AO311" s="258"/>
      <c r="AP311" s="258"/>
      <c r="AQ311" s="220" t="str">
        <f t="shared" si="8"/>
        <v/>
      </c>
      <c r="AS311" s="220" t="str">
        <f t="shared" si="9"/>
        <v>wci_corp</v>
      </c>
    </row>
    <row r="312" spans="2:45">
      <c r="B312" s="1509" t="s">
        <v>2447</v>
      </c>
      <c r="C312" s="1529">
        <v>43799</v>
      </c>
      <c r="D312" s="1537">
        <v>-42.81</v>
      </c>
      <c r="E312" s="1518">
        <v>0</v>
      </c>
      <c r="F312" s="1519" t="s">
        <v>413</v>
      </c>
      <c r="G312" s="1509" t="s">
        <v>2735</v>
      </c>
      <c r="H312" s="1530" t="s">
        <v>520</v>
      </c>
      <c r="I312" s="1509" t="s">
        <v>2730</v>
      </c>
      <c r="J312" s="1509" t="s">
        <v>543</v>
      </c>
      <c r="K312" s="1509" t="s">
        <v>522</v>
      </c>
      <c r="L312" s="1520"/>
      <c r="M312" s="1520"/>
      <c r="N312" s="1520" t="s">
        <v>2731</v>
      </c>
      <c r="O312" s="1225"/>
      <c r="P312" s="1228"/>
      <c r="Q312" s="1228"/>
      <c r="U312" s="220" t="s">
        <v>2732</v>
      </c>
      <c r="V312" s="220" t="s">
        <v>2736</v>
      </c>
      <c r="X312" s="255">
        <v>43776</v>
      </c>
      <c r="Y312" s="255">
        <v>43776</v>
      </c>
      <c r="AA312" s="255"/>
      <c r="AB312" s="220" t="s">
        <v>523</v>
      </c>
      <c r="AC312" s="220">
        <v>0</v>
      </c>
      <c r="AD312" s="220">
        <v>0</v>
      </c>
      <c r="AE312" s="220">
        <v>0</v>
      </c>
      <c r="AF312" s="220">
        <v>0</v>
      </c>
      <c r="AG312" s="220">
        <v>5</v>
      </c>
      <c r="AH312" s="220">
        <v>1</v>
      </c>
      <c r="AI312" s="220">
        <v>70095</v>
      </c>
      <c r="AJ312" s="220">
        <v>2180</v>
      </c>
      <c r="AK312" s="220">
        <v>0</v>
      </c>
      <c r="AL312" s="220">
        <v>0</v>
      </c>
      <c r="AO312" s="258"/>
      <c r="AP312" s="258"/>
      <c r="AQ312" s="220" t="str">
        <f t="shared" si="8"/>
        <v/>
      </c>
      <c r="AS312" s="220" t="str">
        <f t="shared" si="9"/>
        <v>wci_corp</v>
      </c>
    </row>
    <row r="313" spans="2:45">
      <c r="B313" s="1509" t="s">
        <v>2447</v>
      </c>
      <c r="C313" s="1529">
        <v>43799</v>
      </c>
      <c r="D313" s="1537">
        <v>42.81</v>
      </c>
      <c r="E313" s="1518">
        <v>0</v>
      </c>
      <c r="F313" s="1519" t="s">
        <v>413</v>
      </c>
      <c r="G313" s="1509" t="s">
        <v>1069</v>
      </c>
      <c r="H313" s="1530" t="s">
        <v>520</v>
      </c>
      <c r="I313" s="1509" t="s">
        <v>1070</v>
      </c>
      <c r="J313" s="1509" t="s">
        <v>521</v>
      </c>
      <c r="K313" s="1509" t="s">
        <v>522</v>
      </c>
      <c r="L313" s="1520"/>
      <c r="M313" s="1520"/>
      <c r="N313" s="1520" t="s">
        <v>2731</v>
      </c>
      <c r="O313" s="1225"/>
      <c r="P313" s="1228"/>
      <c r="Q313" s="1228"/>
      <c r="U313" s="220" t="s">
        <v>1072</v>
      </c>
      <c r="V313" s="220" t="s">
        <v>1072</v>
      </c>
      <c r="X313" s="255">
        <v>43802</v>
      </c>
      <c r="Y313" s="255">
        <v>43802</v>
      </c>
      <c r="AA313" s="255"/>
      <c r="AB313" s="220" t="s">
        <v>523</v>
      </c>
      <c r="AC313" s="220">
        <v>0</v>
      </c>
      <c r="AD313" s="220">
        <v>0</v>
      </c>
      <c r="AE313" s="220">
        <v>0</v>
      </c>
      <c r="AF313" s="220">
        <v>0</v>
      </c>
      <c r="AG313" s="220">
        <v>0</v>
      </c>
      <c r="AH313" s="220">
        <v>1</v>
      </c>
      <c r="AI313" s="220">
        <v>70095</v>
      </c>
      <c r="AJ313" s="220">
        <v>2180</v>
      </c>
      <c r="AK313" s="220">
        <v>0</v>
      </c>
      <c r="AL313" s="220">
        <v>0</v>
      </c>
      <c r="AO313" s="258"/>
      <c r="AP313" s="258"/>
      <c r="AQ313" s="220" t="str">
        <f t="shared" si="8"/>
        <v/>
      </c>
      <c r="AS313" s="220" t="str">
        <f t="shared" si="9"/>
        <v>wci_corp</v>
      </c>
    </row>
    <row r="314" spans="2:45">
      <c r="B314" s="1509" t="s">
        <v>2447</v>
      </c>
      <c r="C314" s="1529">
        <v>43799</v>
      </c>
      <c r="D314" s="1537">
        <v>91</v>
      </c>
      <c r="E314" s="1518">
        <v>0</v>
      </c>
      <c r="F314" s="1519" t="s">
        <v>413</v>
      </c>
      <c r="G314" s="1509" t="s">
        <v>1069</v>
      </c>
      <c r="H314" s="1530" t="s">
        <v>520</v>
      </c>
      <c r="I314" s="1509" t="s">
        <v>1070</v>
      </c>
      <c r="J314" s="1509" t="s">
        <v>521</v>
      </c>
      <c r="K314" s="1509" t="s">
        <v>522</v>
      </c>
      <c r="L314" s="1520"/>
      <c r="M314" s="1520"/>
      <c r="N314" s="1520" t="s">
        <v>2737</v>
      </c>
      <c r="O314" s="1225"/>
      <c r="P314" s="1228"/>
      <c r="Q314" s="1228"/>
      <c r="U314" s="220" t="s">
        <v>1072</v>
      </c>
      <c r="V314" s="220" t="s">
        <v>1072</v>
      </c>
      <c r="X314" s="255">
        <v>43802</v>
      </c>
      <c r="Y314" s="255">
        <v>43802</v>
      </c>
      <c r="AA314" s="255"/>
      <c r="AB314" s="220" t="s">
        <v>523</v>
      </c>
      <c r="AC314" s="220">
        <v>0</v>
      </c>
      <c r="AD314" s="220">
        <v>0</v>
      </c>
      <c r="AE314" s="220">
        <v>0</v>
      </c>
      <c r="AF314" s="220">
        <v>0</v>
      </c>
      <c r="AG314" s="220">
        <v>0</v>
      </c>
      <c r="AH314" s="220">
        <v>1</v>
      </c>
      <c r="AI314" s="220">
        <v>70095</v>
      </c>
      <c r="AJ314" s="220">
        <v>2180</v>
      </c>
      <c r="AK314" s="220">
        <v>0</v>
      </c>
      <c r="AL314" s="220">
        <v>0</v>
      </c>
      <c r="AO314" s="258"/>
      <c r="AP314" s="258"/>
      <c r="AQ314" s="220" t="str">
        <f t="shared" si="8"/>
        <v/>
      </c>
      <c r="AS314" s="220" t="str">
        <f t="shared" si="9"/>
        <v>wci_corp</v>
      </c>
    </row>
    <row r="315" spans="2:45">
      <c r="B315" s="1509" t="s">
        <v>2447</v>
      </c>
      <c r="C315" s="1529">
        <v>43799</v>
      </c>
      <c r="D315" s="1537">
        <v>283.43</v>
      </c>
      <c r="E315" s="1518">
        <v>0</v>
      </c>
      <c r="F315" s="1519" t="s">
        <v>413</v>
      </c>
      <c r="G315" s="1509" t="s">
        <v>1069</v>
      </c>
      <c r="H315" s="1530" t="s">
        <v>520</v>
      </c>
      <c r="I315" s="1509" t="s">
        <v>1070</v>
      </c>
      <c r="J315" s="1509" t="s">
        <v>521</v>
      </c>
      <c r="K315" s="1509" t="s">
        <v>522</v>
      </c>
      <c r="L315" s="1520"/>
      <c r="M315" s="1520"/>
      <c r="N315" s="1520" t="s">
        <v>2737</v>
      </c>
      <c r="O315" s="1225"/>
      <c r="P315" s="1228"/>
      <c r="Q315" s="1228"/>
      <c r="U315" s="220" t="s">
        <v>1072</v>
      </c>
      <c r="V315" s="220" t="s">
        <v>1072</v>
      </c>
      <c r="X315" s="255">
        <v>43802</v>
      </c>
      <c r="Y315" s="255">
        <v>43802</v>
      </c>
      <c r="AA315" s="255"/>
      <c r="AB315" s="220" t="s">
        <v>523</v>
      </c>
      <c r="AC315" s="220">
        <v>0</v>
      </c>
      <c r="AD315" s="220">
        <v>0</v>
      </c>
      <c r="AE315" s="220">
        <v>0</v>
      </c>
      <c r="AF315" s="220">
        <v>0</v>
      </c>
      <c r="AG315" s="220">
        <v>0</v>
      </c>
      <c r="AH315" s="220">
        <v>1</v>
      </c>
      <c r="AI315" s="220">
        <v>70095</v>
      </c>
      <c r="AJ315" s="220">
        <v>2180</v>
      </c>
      <c r="AK315" s="220">
        <v>0</v>
      </c>
      <c r="AL315" s="220">
        <v>0</v>
      </c>
      <c r="AO315" s="258"/>
      <c r="AP315" s="258"/>
      <c r="AQ315" s="220" t="str">
        <f t="shared" si="8"/>
        <v/>
      </c>
      <c r="AS315" s="220" t="str">
        <f t="shared" si="9"/>
        <v>wci_corp</v>
      </c>
    </row>
    <row r="316" spans="2:45">
      <c r="B316" s="1509" t="s">
        <v>2447</v>
      </c>
      <c r="C316" s="1529">
        <v>43799</v>
      </c>
      <c r="D316" s="1537">
        <v>165.08</v>
      </c>
      <c r="E316" s="1518">
        <v>0</v>
      </c>
      <c r="F316" s="1519" t="s">
        <v>413</v>
      </c>
      <c r="G316" s="1509" t="s">
        <v>1069</v>
      </c>
      <c r="H316" s="1530" t="s">
        <v>520</v>
      </c>
      <c r="I316" s="1509" t="s">
        <v>1070</v>
      </c>
      <c r="J316" s="1509" t="s">
        <v>521</v>
      </c>
      <c r="K316" s="1509" t="s">
        <v>522</v>
      </c>
      <c r="L316" s="1520"/>
      <c r="M316" s="1520"/>
      <c r="N316" s="1520" t="s">
        <v>2738</v>
      </c>
      <c r="O316" s="1225"/>
      <c r="P316" s="1228"/>
      <c r="Q316" s="1228"/>
      <c r="U316" s="220" t="s">
        <v>1072</v>
      </c>
      <c r="V316" s="220" t="s">
        <v>1072</v>
      </c>
      <c r="X316" s="255">
        <v>43802</v>
      </c>
      <c r="Y316" s="255">
        <v>43802</v>
      </c>
      <c r="AA316" s="255"/>
      <c r="AB316" s="220" t="s">
        <v>523</v>
      </c>
      <c r="AC316" s="220">
        <v>0</v>
      </c>
      <c r="AD316" s="220">
        <v>0</v>
      </c>
      <c r="AE316" s="220">
        <v>0</v>
      </c>
      <c r="AF316" s="220">
        <v>0</v>
      </c>
      <c r="AG316" s="220">
        <v>0</v>
      </c>
      <c r="AH316" s="220">
        <v>1</v>
      </c>
      <c r="AI316" s="220">
        <v>70095</v>
      </c>
      <c r="AJ316" s="220">
        <v>2180</v>
      </c>
      <c r="AK316" s="220">
        <v>0</v>
      </c>
      <c r="AL316" s="220">
        <v>0</v>
      </c>
      <c r="AO316" s="258"/>
      <c r="AP316" s="258"/>
      <c r="AQ316" s="220" t="str">
        <f t="shared" si="8"/>
        <v/>
      </c>
      <c r="AS316" s="220" t="str">
        <f t="shared" si="9"/>
        <v>wci_corp</v>
      </c>
    </row>
    <row r="317" spans="2:45">
      <c r="B317" s="1509" t="s">
        <v>2447</v>
      </c>
      <c r="C317" s="1529">
        <v>43799</v>
      </c>
      <c r="D317" s="1537">
        <v>89.1</v>
      </c>
      <c r="E317" s="1518">
        <v>0</v>
      </c>
      <c r="F317" s="1519" t="s">
        <v>413</v>
      </c>
      <c r="G317" s="1509" t="s">
        <v>1069</v>
      </c>
      <c r="H317" s="1530" t="s">
        <v>520</v>
      </c>
      <c r="I317" s="1509" t="s">
        <v>1070</v>
      </c>
      <c r="J317" s="1509" t="s">
        <v>521</v>
      </c>
      <c r="K317" s="1509" t="s">
        <v>522</v>
      </c>
      <c r="L317" s="1520"/>
      <c r="M317" s="1520"/>
      <c r="N317" s="1520" t="s">
        <v>2739</v>
      </c>
      <c r="O317" s="1225"/>
      <c r="P317" s="1228"/>
      <c r="Q317" s="1228"/>
      <c r="U317" s="220" t="s">
        <v>1072</v>
      </c>
      <c r="V317" s="220" t="s">
        <v>1072</v>
      </c>
      <c r="X317" s="255">
        <v>43802</v>
      </c>
      <c r="Y317" s="255">
        <v>43802</v>
      </c>
      <c r="AA317" s="255"/>
      <c r="AB317" s="220" t="s">
        <v>523</v>
      </c>
      <c r="AC317" s="220">
        <v>0</v>
      </c>
      <c r="AD317" s="220">
        <v>0</v>
      </c>
      <c r="AE317" s="220">
        <v>0</v>
      </c>
      <c r="AF317" s="220">
        <v>0</v>
      </c>
      <c r="AG317" s="220">
        <v>0</v>
      </c>
      <c r="AH317" s="220">
        <v>1</v>
      </c>
      <c r="AI317" s="220">
        <v>70095</v>
      </c>
      <c r="AJ317" s="220">
        <v>2180</v>
      </c>
      <c r="AK317" s="220">
        <v>0</v>
      </c>
      <c r="AL317" s="220">
        <v>0</v>
      </c>
      <c r="AO317" s="258"/>
      <c r="AP317" s="258"/>
      <c r="AQ317" s="220" t="str">
        <f t="shared" si="8"/>
        <v/>
      </c>
      <c r="AS317" s="220" t="str">
        <f t="shared" si="9"/>
        <v>wci_corp</v>
      </c>
    </row>
    <row r="318" spans="2:45">
      <c r="B318" s="1509" t="s">
        <v>2447</v>
      </c>
      <c r="C318" s="1529">
        <v>43799</v>
      </c>
      <c r="D318" s="1537">
        <v>126.85</v>
      </c>
      <c r="E318" s="1518">
        <v>0</v>
      </c>
      <c r="F318" s="1519" t="s">
        <v>413</v>
      </c>
      <c r="G318" s="1509" t="s">
        <v>1069</v>
      </c>
      <c r="H318" s="1530" t="s">
        <v>520</v>
      </c>
      <c r="I318" s="1509" t="s">
        <v>1070</v>
      </c>
      <c r="J318" s="1509" t="s">
        <v>521</v>
      </c>
      <c r="K318" s="1509" t="s">
        <v>522</v>
      </c>
      <c r="L318" s="1520"/>
      <c r="M318" s="1520"/>
      <c r="N318" s="1520" t="s">
        <v>2661</v>
      </c>
      <c r="O318" s="1225"/>
      <c r="P318" s="1228"/>
      <c r="Q318" s="1228"/>
      <c r="U318" s="220" t="s">
        <v>1072</v>
      </c>
      <c r="V318" s="220" t="s">
        <v>1072</v>
      </c>
      <c r="X318" s="255">
        <v>43802</v>
      </c>
      <c r="Y318" s="255">
        <v>43802</v>
      </c>
      <c r="AA318" s="255"/>
      <c r="AB318" s="220" t="s">
        <v>523</v>
      </c>
      <c r="AC318" s="220">
        <v>0</v>
      </c>
      <c r="AD318" s="220">
        <v>0</v>
      </c>
      <c r="AE318" s="220">
        <v>0</v>
      </c>
      <c r="AF318" s="220">
        <v>0</v>
      </c>
      <c r="AG318" s="220">
        <v>0</v>
      </c>
      <c r="AH318" s="220">
        <v>1</v>
      </c>
      <c r="AI318" s="220">
        <v>70095</v>
      </c>
      <c r="AJ318" s="220">
        <v>2180</v>
      </c>
      <c r="AK318" s="220">
        <v>0</v>
      </c>
      <c r="AL318" s="220">
        <v>0</v>
      </c>
      <c r="AO318" s="258"/>
      <c r="AP318" s="258"/>
      <c r="AQ318" s="220" t="str">
        <f t="shared" si="8"/>
        <v/>
      </c>
      <c r="AS318" s="220" t="str">
        <f t="shared" si="9"/>
        <v>wci_corp</v>
      </c>
    </row>
    <row r="319" spans="2:45">
      <c r="B319" s="1509" t="s">
        <v>2447</v>
      </c>
      <c r="C319" s="1529">
        <v>43799</v>
      </c>
      <c r="D319" s="1537">
        <v>9.34</v>
      </c>
      <c r="E319" s="1518">
        <v>0</v>
      </c>
      <c r="F319" s="1519" t="s">
        <v>413</v>
      </c>
      <c r="G319" s="1509" t="s">
        <v>1069</v>
      </c>
      <c r="H319" s="1530" t="s">
        <v>520</v>
      </c>
      <c r="I319" s="1509" t="s">
        <v>1070</v>
      </c>
      <c r="J319" s="1509" t="s">
        <v>521</v>
      </c>
      <c r="K319" s="1509" t="s">
        <v>522</v>
      </c>
      <c r="L319" s="1520"/>
      <c r="M319" s="1520"/>
      <c r="N319" s="1520" t="s">
        <v>2740</v>
      </c>
      <c r="O319" s="1225"/>
      <c r="P319" s="1228"/>
      <c r="Q319" s="1228"/>
      <c r="U319" s="220" t="s">
        <v>1072</v>
      </c>
      <c r="V319" s="220" t="s">
        <v>1072</v>
      </c>
      <c r="X319" s="255">
        <v>43802</v>
      </c>
      <c r="Y319" s="255">
        <v>43802</v>
      </c>
      <c r="AA319" s="255"/>
      <c r="AB319" s="220" t="s">
        <v>523</v>
      </c>
      <c r="AC319" s="220">
        <v>0</v>
      </c>
      <c r="AD319" s="220">
        <v>0</v>
      </c>
      <c r="AE319" s="220">
        <v>0</v>
      </c>
      <c r="AF319" s="220">
        <v>0</v>
      </c>
      <c r="AG319" s="220">
        <v>0</v>
      </c>
      <c r="AH319" s="220">
        <v>1</v>
      </c>
      <c r="AI319" s="220">
        <v>70095</v>
      </c>
      <c r="AJ319" s="220">
        <v>2180</v>
      </c>
      <c r="AK319" s="220">
        <v>0</v>
      </c>
      <c r="AL319" s="220">
        <v>0</v>
      </c>
      <c r="AO319" s="258"/>
      <c r="AP319" s="258"/>
      <c r="AQ319" s="220" t="str">
        <f t="shared" si="8"/>
        <v/>
      </c>
      <c r="AS319" s="220" t="str">
        <f t="shared" si="9"/>
        <v>wci_corp</v>
      </c>
    </row>
    <row r="320" spans="2:45">
      <c r="B320" s="1509" t="s">
        <v>2447</v>
      </c>
      <c r="C320" s="1529">
        <v>43799</v>
      </c>
      <c r="D320" s="1537">
        <v>236.29</v>
      </c>
      <c r="E320" s="1518">
        <v>0</v>
      </c>
      <c r="F320" s="1519" t="s">
        <v>413</v>
      </c>
      <c r="G320" s="1509" t="s">
        <v>1069</v>
      </c>
      <c r="H320" s="1530" t="s">
        <v>520</v>
      </c>
      <c r="I320" s="1509" t="s">
        <v>1070</v>
      </c>
      <c r="J320" s="1509" t="s">
        <v>521</v>
      </c>
      <c r="K320" s="1509" t="s">
        <v>522</v>
      </c>
      <c r="L320" s="1520"/>
      <c r="M320" s="1520"/>
      <c r="N320" s="1520" t="s">
        <v>2728</v>
      </c>
      <c r="O320" s="1225"/>
      <c r="P320" s="1228"/>
      <c r="Q320" s="1228"/>
      <c r="U320" s="220" t="s">
        <v>1072</v>
      </c>
      <c r="V320" s="220" t="s">
        <v>1072</v>
      </c>
      <c r="X320" s="255">
        <v>43802</v>
      </c>
      <c r="Y320" s="255">
        <v>43802</v>
      </c>
      <c r="AA320" s="255"/>
      <c r="AB320" s="220" t="s">
        <v>523</v>
      </c>
      <c r="AC320" s="220">
        <v>0</v>
      </c>
      <c r="AD320" s="220">
        <v>0</v>
      </c>
      <c r="AE320" s="220">
        <v>0</v>
      </c>
      <c r="AF320" s="220">
        <v>0</v>
      </c>
      <c r="AG320" s="220">
        <v>0</v>
      </c>
      <c r="AH320" s="220">
        <v>1</v>
      </c>
      <c r="AI320" s="220">
        <v>70095</v>
      </c>
      <c r="AJ320" s="220">
        <v>2180</v>
      </c>
      <c r="AK320" s="220">
        <v>0</v>
      </c>
      <c r="AL320" s="220">
        <v>0</v>
      </c>
      <c r="AO320" s="258"/>
      <c r="AP320" s="258"/>
      <c r="AQ320" s="220" t="str">
        <f t="shared" si="8"/>
        <v/>
      </c>
      <c r="AS320" s="220" t="str">
        <f t="shared" si="9"/>
        <v>wci_corp</v>
      </c>
    </row>
    <row r="321" spans="2:45">
      <c r="B321" s="1509" t="s">
        <v>2447</v>
      </c>
      <c r="C321" s="1529">
        <v>43799</v>
      </c>
      <c r="D321" s="1537">
        <v>65.14</v>
      </c>
      <c r="E321" s="1518">
        <v>0</v>
      </c>
      <c r="F321" s="1519" t="s">
        <v>413</v>
      </c>
      <c r="G321" s="1509" t="s">
        <v>1069</v>
      </c>
      <c r="H321" s="1530" t="s">
        <v>520</v>
      </c>
      <c r="I321" s="1509" t="s">
        <v>1070</v>
      </c>
      <c r="J321" s="1509" t="s">
        <v>521</v>
      </c>
      <c r="K321" s="1509" t="s">
        <v>522</v>
      </c>
      <c r="L321" s="1520"/>
      <c r="M321" s="1520"/>
      <c r="N321" s="1520" t="s">
        <v>2647</v>
      </c>
      <c r="O321" s="1225"/>
      <c r="P321" s="1228"/>
      <c r="Q321" s="1228"/>
      <c r="U321" s="220" t="s">
        <v>1072</v>
      </c>
      <c r="V321" s="220" t="s">
        <v>1072</v>
      </c>
      <c r="X321" s="255">
        <v>43802</v>
      </c>
      <c r="Y321" s="255">
        <v>43802</v>
      </c>
      <c r="AA321" s="255"/>
      <c r="AB321" s="220" t="s">
        <v>523</v>
      </c>
      <c r="AC321" s="220">
        <v>0</v>
      </c>
      <c r="AD321" s="220">
        <v>0</v>
      </c>
      <c r="AE321" s="220">
        <v>0</v>
      </c>
      <c r="AF321" s="220">
        <v>0</v>
      </c>
      <c r="AG321" s="220">
        <v>0</v>
      </c>
      <c r="AH321" s="220">
        <v>1</v>
      </c>
      <c r="AI321" s="220">
        <v>70095</v>
      </c>
      <c r="AJ321" s="220">
        <v>2180</v>
      </c>
      <c r="AK321" s="220">
        <v>0</v>
      </c>
      <c r="AL321" s="220">
        <v>0</v>
      </c>
      <c r="AO321" s="258"/>
      <c r="AP321" s="258"/>
      <c r="AQ321" s="220" t="str">
        <f t="shared" si="8"/>
        <v/>
      </c>
      <c r="AS321" s="220" t="str">
        <f t="shared" si="9"/>
        <v>wci_corp</v>
      </c>
    </row>
    <row r="322" spans="2:45">
      <c r="B322" s="1509" t="s">
        <v>2447</v>
      </c>
      <c r="C322" s="1529">
        <v>43799</v>
      </c>
      <c r="D322" s="1537">
        <v>341.74</v>
      </c>
      <c r="E322" s="1518">
        <v>0</v>
      </c>
      <c r="F322" s="1519" t="s">
        <v>413</v>
      </c>
      <c r="G322" s="1509" t="s">
        <v>1069</v>
      </c>
      <c r="H322" s="1530" t="s">
        <v>520</v>
      </c>
      <c r="I322" s="1509" t="s">
        <v>1070</v>
      </c>
      <c r="J322" s="1509" t="s">
        <v>521</v>
      </c>
      <c r="K322" s="1509" t="s">
        <v>522</v>
      </c>
      <c r="L322" s="1520"/>
      <c r="M322" s="1520"/>
      <c r="N322" s="1520" t="s">
        <v>2715</v>
      </c>
      <c r="O322" s="1225"/>
      <c r="P322" s="1228"/>
      <c r="Q322" s="1228"/>
      <c r="U322" s="220" t="s">
        <v>1072</v>
      </c>
      <c r="V322" s="220" t="s">
        <v>1072</v>
      </c>
      <c r="X322" s="255">
        <v>43802</v>
      </c>
      <c r="Y322" s="255">
        <v>43802</v>
      </c>
      <c r="AA322" s="255"/>
      <c r="AB322" s="220" t="s">
        <v>523</v>
      </c>
      <c r="AC322" s="220">
        <v>0</v>
      </c>
      <c r="AD322" s="220">
        <v>0</v>
      </c>
      <c r="AE322" s="220">
        <v>0</v>
      </c>
      <c r="AF322" s="220">
        <v>0</v>
      </c>
      <c r="AG322" s="220">
        <v>0</v>
      </c>
      <c r="AH322" s="220">
        <v>1</v>
      </c>
      <c r="AI322" s="220">
        <v>70095</v>
      </c>
      <c r="AJ322" s="220">
        <v>2180</v>
      </c>
      <c r="AK322" s="220">
        <v>0</v>
      </c>
      <c r="AL322" s="220">
        <v>0</v>
      </c>
      <c r="AO322" s="258"/>
      <c r="AP322" s="258"/>
      <c r="AQ322" s="220" t="str">
        <f t="shared" si="8"/>
        <v/>
      </c>
      <c r="AS322" s="220" t="str">
        <f t="shared" si="9"/>
        <v>wci_corp</v>
      </c>
    </row>
    <row r="323" spans="2:45">
      <c r="B323" s="1509" t="s">
        <v>2447</v>
      </c>
      <c r="C323" s="1529">
        <v>43799</v>
      </c>
      <c r="D323" s="1537">
        <v>106.4</v>
      </c>
      <c r="E323" s="1518">
        <v>0</v>
      </c>
      <c r="F323" s="1519" t="s">
        <v>413</v>
      </c>
      <c r="G323" s="1509" t="s">
        <v>1069</v>
      </c>
      <c r="H323" s="1530" t="s">
        <v>520</v>
      </c>
      <c r="I323" s="1509" t="s">
        <v>1070</v>
      </c>
      <c r="J323" s="1509" t="s">
        <v>521</v>
      </c>
      <c r="K323" s="1509" t="s">
        <v>522</v>
      </c>
      <c r="L323" s="1520"/>
      <c r="M323" s="1520"/>
      <c r="N323" s="1520" t="s">
        <v>2715</v>
      </c>
      <c r="O323" s="1225"/>
      <c r="P323" s="1228"/>
      <c r="Q323" s="1228"/>
      <c r="U323" s="220" t="s">
        <v>1072</v>
      </c>
      <c r="V323" s="220" t="s">
        <v>1072</v>
      </c>
      <c r="X323" s="255">
        <v>43802</v>
      </c>
      <c r="Y323" s="255">
        <v>43802</v>
      </c>
      <c r="AA323" s="255"/>
      <c r="AB323" s="220" t="s">
        <v>523</v>
      </c>
      <c r="AC323" s="220">
        <v>0</v>
      </c>
      <c r="AD323" s="220">
        <v>0</v>
      </c>
      <c r="AE323" s="220">
        <v>0</v>
      </c>
      <c r="AF323" s="220">
        <v>0</v>
      </c>
      <c r="AG323" s="220">
        <v>0</v>
      </c>
      <c r="AH323" s="220">
        <v>1</v>
      </c>
      <c r="AI323" s="220">
        <v>70095</v>
      </c>
      <c r="AJ323" s="220">
        <v>2180</v>
      </c>
      <c r="AK323" s="220">
        <v>0</v>
      </c>
      <c r="AL323" s="220">
        <v>0</v>
      </c>
      <c r="AO323" s="258"/>
      <c r="AP323" s="258"/>
      <c r="AQ323" s="220" t="str">
        <f t="shared" si="8"/>
        <v/>
      </c>
      <c r="AS323" s="220" t="str">
        <f t="shared" si="9"/>
        <v>wci_corp</v>
      </c>
    </row>
    <row r="324" spans="2:45">
      <c r="B324" s="1509" t="s">
        <v>2447</v>
      </c>
      <c r="C324" s="1529">
        <v>43799</v>
      </c>
      <c r="D324" s="1537">
        <v>59</v>
      </c>
      <c r="E324" s="1518">
        <v>0</v>
      </c>
      <c r="F324" s="1519" t="s">
        <v>413</v>
      </c>
      <c r="G324" s="1509" t="s">
        <v>1069</v>
      </c>
      <c r="H324" s="1530" t="s">
        <v>520</v>
      </c>
      <c r="I324" s="1509" t="s">
        <v>1070</v>
      </c>
      <c r="J324" s="1509" t="s">
        <v>521</v>
      </c>
      <c r="K324" s="1509" t="s">
        <v>522</v>
      </c>
      <c r="L324" s="1520"/>
      <c r="M324" s="1520"/>
      <c r="N324" s="1520" t="s">
        <v>2722</v>
      </c>
      <c r="O324" s="1225"/>
      <c r="P324" s="1228"/>
      <c r="Q324" s="1228"/>
      <c r="U324" s="220" t="s">
        <v>1072</v>
      </c>
      <c r="V324" s="220" t="s">
        <v>1072</v>
      </c>
      <c r="X324" s="255">
        <v>43802</v>
      </c>
      <c r="Y324" s="255">
        <v>43802</v>
      </c>
      <c r="AA324" s="255"/>
      <c r="AB324" s="220" t="s">
        <v>523</v>
      </c>
      <c r="AC324" s="220">
        <v>0</v>
      </c>
      <c r="AD324" s="220">
        <v>0</v>
      </c>
      <c r="AE324" s="220">
        <v>0</v>
      </c>
      <c r="AF324" s="220">
        <v>0</v>
      </c>
      <c r="AG324" s="220">
        <v>0</v>
      </c>
      <c r="AH324" s="220">
        <v>1</v>
      </c>
      <c r="AI324" s="220">
        <v>70095</v>
      </c>
      <c r="AJ324" s="220">
        <v>2180</v>
      </c>
      <c r="AK324" s="220">
        <v>0</v>
      </c>
      <c r="AL324" s="220">
        <v>0</v>
      </c>
      <c r="AO324" s="258"/>
      <c r="AP324" s="258"/>
      <c r="AQ324" s="220" t="str">
        <f t="shared" si="8"/>
        <v/>
      </c>
      <c r="AS324" s="220" t="str">
        <f t="shared" si="9"/>
        <v>wci_corp</v>
      </c>
    </row>
    <row r="325" spans="2:45">
      <c r="B325" s="1509" t="s">
        <v>2447</v>
      </c>
      <c r="C325" s="1529">
        <v>43799</v>
      </c>
      <c r="D325" s="1537">
        <v>104</v>
      </c>
      <c r="E325" s="1518">
        <v>0</v>
      </c>
      <c r="F325" s="1519" t="s">
        <v>413</v>
      </c>
      <c r="G325" s="1509" t="s">
        <v>1069</v>
      </c>
      <c r="H325" s="1530" t="s">
        <v>520</v>
      </c>
      <c r="I325" s="1509" t="s">
        <v>1070</v>
      </c>
      <c r="J325" s="1509" t="s">
        <v>521</v>
      </c>
      <c r="K325" s="1509" t="s">
        <v>522</v>
      </c>
      <c r="L325" s="1520"/>
      <c r="M325" s="1520"/>
      <c r="N325" s="1520" t="s">
        <v>2594</v>
      </c>
      <c r="O325" s="1225"/>
      <c r="P325" s="1228"/>
      <c r="Q325" s="1228"/>
      <c r="U325" s="220" t="s">
        <v>1072</v>
      </c>
      <c r="V325" s="220" t="s">
        <v>1072</v>
      </c>
      <c r="X325" s="255">
        <v>43802</v>
      </c>
      <c r="Y325" s="255">
        <v>43802</v>
      </c>
      <c r="AA325" s="255"/>
      <c r="AB325" s="220" t="s">
        <v>523</v>
      </c>
      <c r="AC325" s="220">
        <v>0</v>
      </c>
      <c r="AD325" s="220">
        <v>0</v>
      </c>
      <c r="AE325" s="220">
        <v>0</v>
      </c>
      <c r="AF325" s="220">
        <v>0</v>
      </c>
      <c r="AG325" s="220">
        <v>0</v>
      </c>
      <c r="AH325" s="220">
        <v>1</v>
      </c>
      <c r="AI325" s="220">
        <v>70095</v>
      </c>
      <c r="AJ325" s="220">
        <v>2180</v>
      </c>
      <c r="AK325" s="220">
        <v>0</v>
      </c>
      <c r="AL325" s="220">
        <v>0</v>
      </c>
      <c r="AO325" s="258"/>
      <c r="AP325" s="258"/>
      <c r="AQ325" s="220" t="str">
        <f t="shared" si="8"/>
        <v/>
      </c>
      <c r="AS325" s="220" t="str">
        <f t="shared" si="9"/>
        <v>wci_corp</v>
      </c>
    </row>
    <row r="326" spans="2:45">
      <c r="B326" s="1509" t="s">
        <v>2447</v>
      </c>
      <c r="C326" s="1529">
        <v>43799</v>
      </c>
      <c r="D326" s="1537">
        <v>17.46</v>
      </c>
      <c r="E326" s="1518">
        <v>0</v>
      </c>
      <c r="F326" s="1519" t="s">
        <v>413</v>
      </c>
      <c r="G326" s="1509" t="s">
        <v>1069</v>
      </c>
      <c r="H326" s="1530" t="s">
        <v>520</v>
      </c>
      <c r="I326" s="1509" t="s">
        <v>1070</v>
      </c>
      <c r="J326" s="1509" t="s">
        <v>521</v>
      </c>
      <c r="K326" s="1509" t="s">
        <v>522</v>
      </c>
      <c r="L326" s="1520"/>
      <c r="M326" s="1520"/>
      <c r="N326" s="1520" t="s">
        <v>2741</v>
      </c>
      <c r="O326" s="1225"/>
      <c r="P326" s="1228"/>
      <c r="Q326" s="1228"/>
      <c r="U326" s="220" t="s">
        <v>1072</v>
      </c>
      <c r="V326" s="220" t="s">
        <v>1072</v>
      </c>
      <c r="X326" s="255">
        <v>43802</v>
      </c>
      <c r="Y326" s="255">
        <v>43802</v>
      </c>
      <c r="AA326" s="255"/>
      <c r="AB326" s="220" t="s">
        <v>523</v>
      </c>
      <c r="AC326" s="220">
        <v>0</v>
      </c>
      <c r="AD326" s="220">
        <v>0</v>
      </c>
      <c r="AE326" s="220">
        <v>0</v>
      </c>
      <c r="AF326" s="220">
        <v>0</v>
      </c>
      <c r="AG326" s="220">
        <v>0</v>
      </c>
      <c r="AH326" s="220">
        <v>1</v>
      </c>
      <c r="AI326" s="220">
        <v>70095</v>
      </c>
      <c r="AJ326" s="220">
        <v>2180</v>
      </c>
      <c r="AK326" s="220">
        <v>0</v>
      </c>
      <c r="AL326" s="220">
        <v>0</v>
      </c>
      <c r="AO326" s="258"/>
      <c r="AP326" s="258"/>
      <c r="AQ326" s="220" t="str">
        <f t="shared" si="8"/>
        <v/>
      </c>
      <c r="AS326" s="220" t="str">
        <f t="shared" si="9"/>
        <v>wci_corp</v>
      </c>
    </row>
    <row r="327" spans="2:45">
      <c r="B327" s="1509" t="s">
        <v>2447</v>
      </c>
      <c r="C327" s="1529">
        <v>43799</v>
      </c>
      <c r="D327" s="1537">
        <v>1044.92</v>
      </c>
      <c r="E327" s="1518">
        <v>0</v>
      </c>
      <c r="F327" s="1519" t="s">
        <v>413</v>
      </c>
      <c r="G327" s="1509" t="s">
        <v>1069</v>
      </c>
      <c r="H327" s="1530" t="s">
        <v>520</v>
      </c>
      <c r="I327" s="1509" t="s">
        <v>1070</v>
      </c>
      <c r="J327" s="1509" t="s">
        <v>521</v>
      </c>
      <c r="K327" s="1509" t="s">
        <v>522</v>
      </c>
      <c r="L327" s="1520"/>
      <c r="M327" s="1520"/>
      <c r="N327" s="1520" t="s">
        <v>2593</v>
      </c>
      <c r="O327" s="1225"/>
      <c r="P327" s="1228"/>
      <c r="Q327" s="1228"/>
      <c r="U327" s="220" t="s">
        <v>1072</v>
      </c>
      <c r="V327" s="220" t="s">
        <v>1072</v>
      </c>
      <c r="X327" s="255">
        <v>43802</v>
      </c>
      <c r="Y327" s="255">
        <v>43802</v>
      </c>
      <c r="AA327" s="255"/>
      <c r="AB327" s="220" t="s">
        <v>523</v>
      </c>
      <c r="AC327" s="220">
        <v>0</v>
      </c>
      <c r="AD327" s="220">
        <v>0</v>
      </c>
      <c r="AE327" s="220">
        <v>0</v>
      </c>
      <c r="AF327" s="220">
        <v>0</v>
      </c>
      <c r="AG327" s="220">
        <v>0</v>
      </c>
      <c r="AH327" s="220">
        <v>1</v>
      </c>
      <c r="AI327" s="220">
        <v>70095</v>
      </c>
      <c r="AJ327" s="220">
        <v>2180</v>
      </c>
      <c r="AK327" s="220">
        <v>0</v>
      </c>
      <c r="AL327" s="220">
        <v>0</v>
      </c>
      <c r="AO327" s="258"/>
      <c r="AP327" s="258"/>
      <c r="AQ327" s="220" t="str">
        <f t="shared" si="8"/>
        <v/>
      </c>
      <c r="AS327" s="220" t="str">
        <f t="shared" si="9"/>
        <v>wci_corp</v>
      </c>
    </row>
    <row r="328" spans="2:45">
      <c r="B328" s="1509" t="s">
        <v>2447</v>
      </c>
      <c r="C328" s="1529">
        <v>43799</v>
      </c>
      <c r="D328" s="1537">
        <v>629.73</v>
      </c>
      <c r="E328" s="1518">
        <v>0</v>
      </c>
      <c r="F328" s="1519" t="s">
        <v>413</v>
      </c>
      <c r="G328" s="1509" t="s">
        <v>1069</v>
      </c>
      <c r="H328" s="1530" t="s">
        <v>520</v>
      </c>
      <c r="I328" s="1509" t="s">
        <v>1070</v>
      </c>
      <c r="J328" s="1509" t="s">
        <v>521</v>
      </c>
      <c r="K328" s="1509" t="s">
        <v>522</v>
      </c>
      <c r="L328" s="1520"/>
      <c r="M328" s="1520"/>
      <c r="N328" s="1520" t="s">
        <v>2742</v>
      </c>
      <c r="O328" s="1225"/>
      <c r="P328" s="1228"/>
      <c r="Q328" s="1228"/>
      <c r="U328" s="220" t="s">
        <v>1072</v>
      </c>
      <c r="V328" s="220" t="s">
        <v>1072</v>
      </c>
      <c r="X328" s="255">
        <v>43802</v>
      </c>
      <c r="Y328" s="255">
        <v>43802</v>
      </c>
      <c r="AA328" s="255"/>
      <c r="AB328" s="220" t="s">
        <v>523</v>
      </c>
      <c r="AC328" s="220">
        <v>0</v>
      </c>
      <c r="AD328" s="220">
        <v>0</v>
      </c>
      <c r="AE328" s="220">
        <v>0</v>
      </c>
      <c r="AF328" s="220">
        <v>0</v>
      </c>
      <c r="AG328" s="220">
        <v>0</v>
      </c>
      <c r="AH328" s="220">
        <v>1</v>
      </c>
      <c r="AI328" s="220">
        <v>70095</v>
      </c>
      <c r="AJ328" s="220">
        <v>2180</v>
      </c>
      <c r="AK328" s="220">
        <v>0</v>
      </c>
      <c r="AL328" s="220">
        <v>0</v>
      </c>
      <c r="AO328" s="258"/>
      <c r="AP328" s="258"/>
      <c r="AQ328" s="220" t="str">
        <f t="shared" si="8"/>
        <v/>
      </c>
      <c r="AS328" s="220" t="str">
        <f t="shared" si="9"/>
        <v>wci_corp</v>
      </c>
    </row>
    <row r="329" spans="2:45">
      <c r="B329" s="1509" t="s">
        <v>2447</v>
      </c>
      <c r="C329" s="1529">
        <v>43799</v>
      </c>
      <c r="D329" s="1537">
        <v>85.97</v>
      </c>
      <c r="E329" s="1518">
        <v>0</v>
      </c>
      <c r="F329" s="1519" t="s">
        <v>413</v>
      </c>
      <c r="G329" s="1509" t="s">
        <v>1069</v>
      </c>
      <c r="H329" s="1530" t="s">
        <v>520</v>
      </c>
      <c r="I329" s="1509" t="s">
        <v>1070</v>
      </c>
      <c r="J329" s="1509" t="s">
        <v>521</v>
      </c>
      <c r="K329" s="1509" t="s">
        <v>522</v>
      </c>
      <c r="L329" s="1520"/>
      <c r="M329" s="1520"/>
      <c r="N329" s="1520" t="s">
        <v>2718</v>
      </c>
      <c r="O329" s="1225"/>
      <c r="P329" s="1228"/>
      <c r="Q329" s="1228"/>
      <c r="U329" s="220" t="s">
        <v>1072</v>
      </c>
      <c r="V329" s="220" t="s">
        <v>1072</v>
      </c>
      <c r="X329" s="255">
        <v>43802</v>
      </c>
      <c r="Y329" s="255">
        <v>43802</v>
      </c>
      <c r="AA329" s="255"/>
      <c r="AB329" s="220" t="s">
        <v>523</v>
      </c>
      <c r="AC329" s="220">
        <v>0</v>
      </c>
      <c r="AD329" s="220">
        <v>0</v>
      </c>
      <c r="AE329" s="220">
        <v>0</v>
      </c>
      <c r="AF329" s="220">
        <v>0</v>
      </c>
      <c r="AG329" s="220">
        <v>0</v>
      </c>
      <c r="AH329" s="220">
        <v>1</v>
      </c>
      <c r="AI329" s="220">
        <v>70095</v>
      </c>
      <c r="AJ329" s="220">
        <v>2180</v>
      </c>
      <c r="AK329" s="220">
        <v>0</v>
      </c>
      <c r="AL329" s="220">
        <v>0</v>
      </c>
      <c r="AO329" s="258"/>
      <c r="AP329" s="258"/>
      <c r="AQ329" s="220" t="str">
        <f t="shared" si="8"/>
        <v/>
      </c>
      <c r="AS329" s="220" t="str">
        <f t="shared" si="9"/>
        <v>wci_corp</v>
      </c>
    </row>
    <row r="330" spans="2:45">
      <c r="B330" s="1509" t="s">
        <v>2447</v>
      </c>
      <c r="C330" s="1529">
        <v>43799</v>
      </c>
      <c r="D330" s="1537">
        <v>460.2</v>
      </c>
      <c r="E330" s="1518">
        <v>0</v>
      </c>
      <c r="F330" s="1519" t="s">
        <v>413</v>
      </c>
      <c r="G330" s="1509" t="s">
        <v>1069</v>
      </c>
      <c r="H330" s="1530" t="s">
        <v>520</v>
      </c>
      <c r="I330" s="1509" t="s">
        <v>1070</v>
      </c>
      <c r="J330" s="1509" t="s">
        <v>521</v>
      </c>
      <c r="K330" s="1509" t="s">
        <v>522</v>
      </c>
      <c r="L330" s="1520"/>
      <c r="M330" s="1520"/>
      <c r="N330" s="1520" t="s">
        <v>2715</v>
      </c>
      <c r="O330" s="1225"/>
      <c r="P330" s="1228"/>
      <c r="Q330" s="1228"/>
      <c r="U330" s="220" t="s">
        <v>1072</v>
      </c>
      <c r="V330" s="220" t="s">
        <v>1072</v>
      </c>
      <c r="X330" s="255">
        <v>43802</v>
      </c>
      <c r="Y330" s="255">
        <v>43802</v>
      </c>
      <c r="AA330" s="255"/>
      <c r="AB330" s="220" t="s">
        <v>523</v>
      </c>
      <c r="AC330" s="220">
        <v>0</v>
      </c>
      <c r="AD330" s="220">
        <v>0</v>
      </c>
      <c r="AE330" s="220">
        <v>0</v>
      </c>
      <c r="AF330" s="220">
        <v>0</v>
      </c>
      <c r="AG330" s="220">
        <v>0</v>
      </c>
      <c r="AH330" s="220">
        <v>1</v>
      </c>
      <c r="AI330" s="220">
        <v>70095</v>
      </c>
      <c r="AJ330" s="220">
        <v>2180</v>
      </c>
      <c r="AK330" s="220">
        <v>0</v>
      </c>
      <c r="AL330" s="220">
        <v>0</v>
      </c>
      <c r="AO330" s="258"/>
      <c r="AP330" s="258"/>
      <c r="AQ330" s="220" t="str">
        <f t="shared" si="8"/>
        <v/>
      </c>
      <c r="AS330" s="220" t="str">
        <f t="shared" si="9"/>
        <v>wci_corp</v>
      </c>
    </row>
    <row r="331" spans="2:45">
      <c r="B331" s="1509" t="s">
        <v>2447</v>
      </c>
      <c r="C331" s="1529">
        <v>43799</v>
      </c>
      <c r="D331" s="1537">
        <v>36.86</v>
      </c>
      <c r="E331" s="1518">
        <v>0</v>
      </c>
      <c r="F331" s="1519" t="s">
        <v>413</v>
      </c>
      <c r="G331" s="1509" t="s">
        <v>1069</v>
      </c>
      <c r="H331" s="1530" t="s">
        <v>520</v>
      </c>
      <c r="I331" s="1509" t="s">
        <v>1070</v>
      </c>
      <c r="J331" s="1509" t="s">
        <v>521</v>
      </c>
      <c r="K331" s="1509" t="s">
        <v>522</v>
      </c>
      <c r="L331" s="1520"/>
      <c r="M331" s="1520"/>
      <c r="N331" s="1520" t="s">
        <v>2743</v>
      </c>
      <c r="O331" s="1225"/>
      <c r="P331" s="1228"/>
      <c r="Q331" s="1228"/>
      <c r="U331" s="220" t="s">
        <v>1072</v>
      </c>
      <c r="V331" s="220" t="s">
        <v>1072</v>
      </c>
      <c r="X331" s="255">
        <v>43802</v>
      </c>
      <c r="Y331" s="255">
        <v>43802</v>
      </c>
      <c r="AA331" s="255"/>
      <c r="AB331" s="220" t="s">
        <v>523</v>
      </c>
      <c r="AC331" s="220">
        <v>0</v>
      </c>
      <c r="AD331" s="220">
        <v>0</v>
      </c>
      <c r="AE331" s="220">
        <v>0</v>
      </c>
      <c r="AF331" s="220">
        <v>0</v>
      </c>
      <c r="AG331" s="220">
        <v>0</v>
      </c>
      <c r="AH331" s="220">
        <v>1</v>
      </c>
      <c r="AI331" s="220">
        <v>70095</v>
      </c>
      <c r="AJ331" s="220">
        <v>2180</v>
      </c>
      <c r="AK331" s="220">
        <v>0</v>
      </c>
      <c r="AL331" s="220">
        <v>0</v>
      </c>
      <c r="AO331" s="258"/>
      <c r="AP331" s="258"/>
      <c r="AQ331" s="220" t="str">
        <f t="shared" si="8"/>
        <v/>
      </c>
      <c r="AS331" s="220" t="str">
        <f t="shared" si="9"/>
        <v>wci_corp</v>
      </c>
    </row>
    <row r="332" spans="2:45">
      <c r="B332" s="1509" t="s">
        <v>2447</v>
      </c>
      <c r="C332" s="1529">
        <v>43799</v>
      </c>
      <c r="D332" s="1537">
        <v>110.97</v>
      </c>
      <c r="E332" s="1518">
        <v>0</v>
      </c>
      <c r="F332" s="1519" t="s">
        <v>413</v>
      </c>
      <c r="G332" s="1509" t="s">
        <v>1069</v>
      </c>
      <c r="H332" s="1530" t="s">
        <v>520</v>
      </c>
      <c r="I332" s="1509" t="s">
        <v>1070</v>
      </c>
      <c r="J332" s="1509" t="s">
        <v>521</v>
      </c>
      <c r="K332" s="1509" t="s">
        <v>522</v>
      </c>
      <c r="L332" s="1520"/>
      <c r="M332" s="1520"/>
      <c r="N332" s="1520" t="s">
        <v>2744</v>
      </c>
      <c r="O332" s="1225"/>
      <c r="P332" s="1228"/>
      <c r="Q332" s="1228"/>
      <c r="U332" s="220" t="s">
        <v>1072</v>
      </c>
      <c r="V332" s="220" t="s">
        <v>1072</v>
      </c>
      <c r="X332" s="255">
        <v>43802</v>
      </c>
      <c r="Y332" s="255">
        <v>43802</v>
      </c>
      <c r="AA332" s="255"/>
      <c r="AB332" s="220" t="s">
        <v>523</v>
      </c>
      <c r="AC332" s="220">
        <v>0</v>
      </c>
      <c r="AD332" s="220">
        <v>0</v>
      </c>
      <c r="AE332" s="220">
        <v>0</v>
      </c>
      <c r="AF332" s="220">
        <v>0</v>
      </c>
      <c r="AG332" s="220">
        <v>0</v>
      </c>
      <c r="AH332" s="220">
        <v>1</v>
      </c>
      <c r="AI332" s="220">
        <v>70095</v>
      </c>
      <c r="AJ332" s="220">
        <v>2180</v>
      </c>
      <c r="AK332" s="220">
        <v>0</v>
      </c>
      <c r="AL332" s="220">
        <v>0</v>
      </c>
      <c r="AO332" s="258"/>
      <c r="AP332" s="258"/>
      <c r="AQ332" s="220" t="str">
        <f t="shared" si="8"/>
        <v/>
      </c>
      <c r="AS332" s="220" t="str">
        <f t="shared" si="9"/>
        <v>wci_corp</v>
      </c>
    </row>
    <row r="333" spans="2:45">
      <c r="B333" s="1509" t="s">
        <v>2447</v>
      </c>
      <c r="C333" s="1529">
        <v>43799</v>
      </c>
      <c r="D333" s="1537">
        <v>69.77</v>
      </c>
      <c r="E333" s="1518">
        <v>0</v>
      </c>
      <c r="F333" s="1519" t="s">
        <v>413</v>
      </c>
      <c r="G333" s="1509" t="s">
        <v>1069</v>
      </c>
      <c r="H333" s="1530" t="s">
        <v>520</v>
      </c>
      <c r="I333" s="1509" t="s">
        <v>1070</v>
      </c>
      <c r="J333" s="1509" t="s">
        <v>521</v>
      </c>
      <c r="K333" s="1509" t="s">
        <v>522</v>
      </c>
      <c r="L333" s="1520"/>
      <c r="M333" s="1520"/>
      <c r="N333" s="1520" t="s">
        <v>2498</v>
      </c>
      <c r="O333" s="1225"/>
      <c r="P333" s="1228"/>
      <c r="Q333" s="1228"/>
      <c r="U333" s="220" t="s">
        <v>1072</v>
      </c>
      <c r="V333" s="220" t="s">
        <v>1072</v>
      </c>
      <c r="X333" s="255">
        <v>43802</v>
      </c>
      <c r="Y333" s="255">
        <v>43802</v>
      </c>
      <c r="AA333" s="255"/>
      <c r="AB333" s="220" t="s">
        <v>523</v>
      </c>
      <c r="AC333" s="220">
        <v>0</v>
      </c>
      <c r="AD333" s="220">
        <v>0</v>
      </c>
      <c r="AE333" s="220">
        <v>0</v>
      </c>
      <c r="AF333" s="220">
        <v>0</v>
      </c>
      <c r="AG333" s="220">
        <v>0</v>
      </c>
      <c r="AH333" s="220">
        <v>1</v>
      </c>
      <c r="AI333" s="220">
        <v>70095</v>
      </c>
      <c r="AJ333" s="220">
        <v>2180</v>
      </c>
      <c r="AK333" s="220">
        <v>0</v>
      </c>
      <c r="AL333" s="220">
        <v>0</v>
      </c>
      <c r="AO333" s="258"/>
      <c r="AP333" s="258"/>
      <c r="AQ333" s="220" t="str">
        <f t="shared" si="8"/>
        <v/>
      </c>
      <c r="AS333" s="220" t="str">
        <f t="shared" si="9"/>
        <v>wci_corp</v>
      </c>
    </row>
    <row r="334" spans="2:45">
      <c r="B334" s="1509" t="s">
        <v>2447</v>
      </c>
      <c r="C334" s="1529">
        <v>43799</v>
      </c>
      <c r="D334" s="1537">
        <v>150</v>
      </c>
      <c r="E334" s="1518">
        <v>0</v>
      </c>
      <c r="F334" s="1519" t="s">
        <v>413</v>
      </c>
      <c r="G334" s="1509" t="s">
        <v>1069</v>
      </c>
      <c r="H334" s="1530" t="s">
        <v>520</v>
      </c>
      <c r="I334" s="1509" t="s">
        <v>1070</v>
      </c>
      <c r="J334" s="1509" t="s">
        <v>521</v>
      </c>
      <c r="K334" s="1509" t="s">
        <v>522</v>
      </c>
      <c r="L334" s="1520"/>
      <c r="M334" s="1520"/>
      <c r="N334" s="1520" t="s">
        <v>2745</v>
      </c>
      <c r="O334" s="1225"/>
      <c r="P334" s="1228"/>
      <c r="Q334" s="1228"/>
      <c r="U334" s="220" t="s">
        <v>1072</v>
      </c>
      <c r="V334" s="220" t="s">
        <v>1072</v>
      </c>
      <c r="X334" s="255">
        <v>43802</v>
      </c>
      <c r="Y334" s="255">
        <v>43802</v>
      </c>
      <c r="AA334" s="255"/>
      <c r="AB334" s="220" t="s">
        <v>523</v>
      </c>
      <c r="AC334" s="220">
        <v>0</v>
      </c>
      <c r="AD334" s="220">
        <v>0</v>
      </c>
      <c r="AE334" s="220">
        <v>0</v>
      </c>
      <c r="AF334" s="220">
        <v>0</v>
      </c>
      <c r="AG334" s="220">
        <v>0</v>
      </c>
      <c r="AH334" s="220">
        <v>1</v>
      </c>
      <c r="AI334" s="220">
        <v>70095</v>
      </c>
      <c r="AJ334" s="220">
        <v>2180</v>
      </c>
      <c r="AK334" s="220">
        <v>0</v>
      </c>
      <c r="AL334" s="220">
        <v>0</v>
      </c>
      <c r="AO334" s="258"/>
      <c r="AP334" s="258"/>
      <c r="AQ334" s="220" t="str">
        <f t="shared" si="8"/>
        <v/>
      </c>
      <c r="AS334" s="220" t="str">
        <f t="shared" si="9"/>
        <v>wci_corp</v>
      </c>
    </row>
    <row r="335" spans="2:45">
      <c r="B335" s="1509" t="s">
        <v>2447</v>
      </c>
      <c r="C335" s="1529">
        <v>43799</v>
      </c>
      <c r="D335" s="1537">
        <v>29.98</v>
      </c>
      <c r="E335" s="1518">
        <v>0</v>
      </c>
      <c r="F335" s="1519" t="s">
        <v>413</v>
      </c>
      <c r="G335" s="1509" t="s">
        <v>2746</v>
      </c>
      <c r="H335" s="1530" t="s">
        <v>520</v>
      </c>
      <c r="I335" s="1509" t="s">
        <v>2747</v>
      </c>
      <c r="J335" s="1509" t="s">
        <v>543</v>
      </c>
      <c r="K335" s="1509" t="s">
        <v>522</v>
      </c>
      <c r="L335" s="1520"/>
      <c r="M335" s="1520"/>
      <c r="N335" s="1520" t="s">
        <v>2748</v>
      </c>
      <c r="O335" s="1225"/>
      <c r="P335" s="1228"/>
      <c r="Q335" s="1228"/>
      <c r="U335" s="220" t="s">
        <v>2749</v>
      </c>
      <c r="V335" s="220" t="s">
        <v>2749</v>
      </c>
      <c r="X335" s="255">
        <v>43803</v>
      </c>
      <c r="Y335" s="255">
        <v>43803</v>
      </c>
      <c r="AA335" s="255"/>
      <c r="AB335" s="220" t="s">
        <v>523</v>
      </c>
      <c r="AC335" s="220">
        <v>0</v>
      </c>
      <c r="AD335" s="220">
        <v>0</v>
      </c>
      <c r="AE335" s="220">
        <v>0</v>
      </c>
      <c r="AF335" s="220">
        <v>0</v>
      </c>
      <c r="AG335" s="220">
        <v>0</v>
      </c>
      <c r="AH335" s="220">
        <v>1</v>
      </c>
      <c r="AI335" s="220">
        <v>70095</v>
      </c>
      <c r="AJ335" s="220">
        <v>2180</v>
      </c>
      <c r="AK335" s="220">
        <v>0</v>
      </c>
      <c r="AL335" s="220">
        <v>0</v>
      </c>
      <c r="AO335" s="258"/>
      <c r="AP335" s="258"/>
      <c r="AQ335" s="220" t="str">
        <f t="shared" si="8"/>
        <v/>
      </c>
      <c r="AS335" s="220" t="str">
        <f t="shared" si="9"/>
        <v>wci_corp</v>
      </c>
    </row>
    <row r="336" spans="2:45">
      <c r="B336" s="1509" t="s">
        <v>2447</v>
      </c>
      <c r="C336" s="1529">
        <v>43799</v>
      </c>
      <c r="D336" s="1537">
        <v>500</v>
      </c>
      <c r="E336" s="1518">
        <v>0</v>
      </c>
      <c r="F336" s="1519" t="s">
        <v>413</v>
      </c>
      <c r="G336" s="1509" t="s">
        <v>2746</v>
      </c>
      <c r="H336" s="1530" t="s">
        <v>520</v>
      </c>
      <c r="I336" s="1509" t="s">
        <v>2747</v>
      </c>
      <c r="J336" s="1509" t="s">
        <v>543</v>
      </c>
      <c r="K336" s="1509" t="s">
        <v>522</v>
      </c>
      <c r="L336" s="1520"/>
      <c r="M336" s="1520"/>
      <c r="N336" s="1520" t="s">
        <v>2750</v>
      </c>
      <c r="O336" s="1225"/>
      <c r="P336" s="1228"/>
      <c r="Q336" s="1228"/>
      <c r="U336" s="220" t="s">
        <v>2749</v>
      </c>
      <c r="V336" s="220" t="s">
        <v>2749</v>
      </c>
      <c r="X336" s="255">
        <v>43803</v>
      </c>
      <c r="Y336" s="255">
        <v>43803</v>
      </c>
      <c r="AA336" s="255"/>
      <c r="AB336" s="220" t="s">
        <v>523</v>
      </c>
      <c r="AC336" s="220">
        <v>0</v>
      </c>
      <c r="AD336" s="220">
        <v>0</v>
      </c>
      <c r="AE336" s="220">
        <v>0</v>
      </c>
      <c r="AF336" s="220">
        <v>0</v>
      </c>
      <c r="AG336" s="220">
        <v>0</v>
      </c>
      <c r="AH336" s="220">
        <v>1</v>
      </c>
      <c r="AI336" s="220">
        <v>70095</v>
      </c>
      <c r="AJ336" s="220">
        <v>2180</v>
      </c>
      <c r="AK336" s="220">
        <v>0</v>
      </c>
      <c r="AL336" s="220">
        <v>0</v>
      </c>
      <c r="AO336" s="258"/>
      <c r="AP336" s="258"/>
      <c r="AQ336" s="220" t="str">
        <f t="shared" si="8"/>
        <v/>
      </c>
      <c r="AS336" s="220" t="str">
        <f t="shared" si="9"/>
        <v>wci_corp</v>
      </c>
    </row>
    <row r="337" spans="2:45">
      <c r="B337" s="1509" t="s">
        <v>2447</v>
      </c>
      <c r="C337" s="1529">
        <v>43799</v>
      </c>
      <c r="D337" s="1537">
        <v>272.13</v>
      </c>
      <c r="E337" s="1518">
        <v>0</v>
      </c>
      <c r="F337" s="1519" t="s">
        <v>413</v>
      </c>
      <c r="G337" s="1509" t="s">
        <v>1073</v>
      </c>
      <c r="H337" s="1530" t="s">
        <v>520</v>
      </c>
      <c r="I337" s="1509" t="s">
        <v>1064</v>
      </c>
      <c r="J337" s="1509" t="s">
        <v>689</v>
      </c>
      <c r="K337" s="1509" t="s">
        <v>522</v>
      </c>
      <c r="L337" s="1520"/>
      <c r="M337" s="1520"/>
      <c r="N337" s="1520" t="s">
        <v>2751</v>
      </c>
      <c r="O337" s="1225"/>
      <c r="P337" s="1228"/>
      <c r="Q337" s="1228"/>
      <c r="U337" s="220" t="s">
        <v>1075</v>
      </c>
      <c r="V337" s="220" t="s">
        <v>1075</v>
      </c>
      <c r="X337" s="255">
        <v>43804</v>
      </c>
      <c r="Y337" s="255">
        <v>43805</v>
      </c>
      <c r="AA337" s="255"/>
      <c r="AB337" s="220" t="s">
        <v>523</v>
      </c>
      <c r="AC337" s="220">
        <v>0</v>
      </c>
      <c r="AD337" s="220">
        <v>0</v>
      </c>
      <c r="AE337" s="220">
        <v>0</v>
      </c>
      <c r="AF337" s="220">
        <v>0</v>
      </c>
      <c r="AG337" s="220">
        <v>0</v>
      </c>
      <c r="AH337" s="220">
        <v>1</v>
      </c>
      <c r="AI337" s="220">
        <v>70095</v>
      </c>
      <c r="AJ337" s="220">
        <v>2180</v>
      </c>
      <c r="AK337" s="220">
        <v>0</v>
      </c>
      <c r="AL337" s="220">
        <v>0</v>
      </c>
      <c r="AO337" s="258"/>
      <c r="AP337" s="258"/>
      <c r="AQ337" s="220" t="str">
        <f t="shared" si="8"/>
        <v/>
      </c>
      <c r="AS337" s="220" t="str">
        <f t="shared" si="9"/>
        <v>wci_corp</v>
      </c>
    </row>
    <row r="338" spans="2:45">
      <c r="B338" s="1509" t="s">
        <v>2447</v>
      </c>
      <c r="C338" s="1529">
        <v>43799</v>
      </c>
      <c r="D338" s="1537">
        <v>351.5</v>
      </c>
      <c r="E338" s="1518">
        <v>0</v>
      </c>
      <c r="F338" s="1519" t="s">
        <v>413</v>
      </c>
      <c r="G338" s="1509" t="s">
        <v>1073</v>
      </c>
      <c r="H338" s="1530" t="s">
        <v>520</v>
      </c>
      <c r="I338" s="1509" t="s">
        <v>1064</v>
      </c>
      <c r="J338" s="1509" t="s">
        <v>689</v>
      </c>
      <c r="K338" s="1509" t="s">
        <v>522</v>
      </c>
      <c r="L338" s="1520"/>
      <c r="M338" s="1520"/>
      <c r="N338" s="1520" t="s">
        <v>2752</v>
      </c>
      <c r="O338" s="1225"/>
      <c r="P338" s="1228"/>
      <c r="Q338" s="1228"/>
      <c r="U338" s="220" t="s">
        <v>1075</v>
      </c>
      <c r="V338" s="220" t="s">
        <v>1075</v>
      </c>
      <c r="X338" s="255">
        <v>43804</v>
      </c>
      <c r="Y338" s="255">
        <v>43805</v>
      </c>
      <c r="AA338" s="255"/>
      <c r="AB338" s="220" t="s">
        <v>523</v>
      </c>
      <c r="AC338" s="220">
        <v>0</v>
      </c>
      <c r="AD338" s="220">
        <v>0</v>
      </c>
      <c r="AE338" s="220">
        <v>0</v>
      </c>
      <c r="AF338" s="220">
        <v>0</v>
      </c>
      <c r="AG338" s="220">
        <v>0</v>
      </c>
      <c r="AH338" s="220">
        <v>1</v>
      </c>
      <c r="AI338" s="220">
        <v>70095</v>
      </c>
      <c r="AJ338" s="220">
        <v>2180</v>
      </c>
      <c r="AK338" s="220">
        <v>0</v>
      </c>
      <c r="AL338" s="220">
        <v>0</v>
      </c>
      <c r="AO338" s="258"/>
      <c r="AP338" s="258"/>
      <c r="AQ338" s="220" t="str">
        <f t="shared" si="8"/>
        <v/>
      </c>
      <c r="AS338" s="220" t="str">
        <f t="shared" si="9"/>
        <v>wci_corp</v>
      </c>
    </row>
    <row r="339" spans="2:45">
      <c r="B339" s="1509" t="s">
        <v>2447</v>
      </c>
      <c r="C339" s="1529">
        <v>43799</v>
      </c>
      <c r="D339" s="1537">
        <v>700.56</v>
      </c>
      <c r="E339" s="1518">
        <v>0</v>
      </c>
      <c r="F339" s="1519" t="s">
        <v>413</v>
      </c>
      <c r="G339" s="1509" t="s">
        <v>2753</v>
      </c>
      <c r="H339" s="1530" t="s">
        <v>520</v>
      </c>
      <c r="I339" s="1509" t="s">
        <v>2583</v>
      </c>
      <c r="J339" s="1509" t="s">
        <v>689</v>
      </c>
      <c r="K339" s="1509" t="s">
        <v>522</v>
      </c>
      <c r="L339" s="1520"/>
      <c r="M339" s="1520"/>
      <c r="N339" s="1520" t="s">
        <v>2713</v>
      </c>
      <c r="O339" s="1225"/>
      <c r="P339" s="1228"/>
      <c r="Q339" s="1228"/>
      <c r="U339" s="220" t="s">
        <v>2754</v>
      </c>
      <c r="V339" s="220" t="s">
        <v>2754</v>
      </c>
      <c r="X339" s="255">
        <v>43804</v>
      </c>
      <c r="Y339" s="255">
        <v>43805</v>
      </c>
      <c r="AA339" s="255"/>
      <c r="AB339" s="220" t="s">
        <v>523</v>
      </c>
      <c r="AC339" s="220">
        <v>0</v>
      </c>
      <c r="AD339" s="220">
        <v>0</v>
      </c>
      <c r="AE339" s="220">
        <v>0</v>
      </c>
      <c r="AF339" s="220">
        <v>0</v>
      </c>
      <c r="AG339" s="220">
        <v>0</v>
      </c>
      <c r="AH339" s="220">
        <v>1</v>
      </c>
      <c r="AI339" s="220">
        <v>70095</v>
      </c>
      <c r="AJ339" s="220">
        <v>2180</v>
      </c>
      <c r="AK339" s="220">
        <v>0</v>
      </c>
      <c r="AL339" s="220">
        <v>0</v>
      </c>
      <c r="AO339" s="258"/>
      <c r="AP339" s="258"/>
      <c r="AQ339" s="220" t="str">
        <f t="shared" si="8"/>
        <v/>
      </c>
      <c r="AS339" s="220" t="str">
        <f t="shared" si="9"/>
        <v>wci_corp</v>
      </c>
    </row>
    <row r="340" spans="2:45">
      <c r="C340" s="1529"/>
      <c r="E340" s="1531"/>
      <c r="F340" s="1531"/>
      <c r="H340" s="1514"/>
      <c r="O340" s="1215"/>
      <c r="P340" s="1215"/>
      <c r="Q340" s="1215"/>
    </row>
    <row r="341" spans="2:45">
      <c r="B341" s="1532" t="s">
        <v>529</v>
      </c>
      <c r="C341" s="1532"/>
      <c r="D341" s="1539"/>
      <c r="E341" s="1533"/>
      <c r="F341" s="1533"/>
      <c r="G341" s="1532"/>
      <c r="H341" s="1534"/>
      <c r="I341" s="1532"/>
      <c r="J341" s="1532"/>
      <c r="K341" s="1532"/>
      <c r="L341" s="1532"/>
      <c r="M341" s="1532"/>
      <c r="N341" s="1532"/>
      <c r="O341" s="1229"/>
      <c r="P341" s="1229"/>
      <c r="Q341" s="1229"/>
      <c r="R341" s="572"/>
      <c r="S341" s="572"/>
      <c r="T341" s="572"/>
      <c r="U341" s="572"/>
      <c r="V341" s="572"/>
      <c r="W341" s="572"/>
      <c r="X341" s="572"/>
      <c r="Y341" s="572"/>
      <c r="Z341" s="572"/>
      <c r="AA341" s="572"/>
      <c r="AB341" s="572"/>
      <c r="AC341" s="572"/>
      <c r="AD341" s="572"/>
      <c r="AE341" s="572"/>
      <c r="AF341" s="572"/>
      <c r="AG341" s="572"/>
      <c r="AH341" s="572"/>
      <c r="AI341" s="572"/>
      <c r="AJ341" s="572"/>
      <c r="AK341" s="572"/>
      <c r="AL341" s="572"/>
      <c r="AM341" s="572"/>
      <c r="AN341" s="572"/>
      <c r="AO341" s="572"/>
      <c r="AP341" s="221"/>
    </row>
    <row r="342" spans="2:45">
      <c r="H342" s="1514"/>
      <c r="O342" s="1215"/>
      <c r="P342" s="1215"/>
      <c r="Q342" s="1215"/>
    </row>
    <row r="343" spans="2:45">
      <c r="H343" s="1514"/>
      <c r="O343" s="1215"/>
      <c r="P343" s="1215"/>
      <c r="Q343" s="1215"/>
    </row>
    <row r="344" spans="2:45">
      <c r="H344" s="1514"/>
      <c r="O344" s="1215"/>
      <c r="P344" s="1215"/>
      <c r="Q344" s="1215"/>
    </row>
    <row r="345" spans="2:45">
      <c r="H345" s="1514"/>
      <c r="O345" s="1215"/>
      <c r="P345" s="1215"/>
      <c r="Q345" s="1215"/>
    </row>
    <row r="346" spans="2:45">
      <c r="B346" s="1509" t="s">
        <v>530</v>
      </c>
      <c r="C346" s="1509" t="s">
        <v>531</v>
      </c>
      <c r="D346" s="1540" t="s">
        <v>531</v>
      </c>
      <c r="H346" s="1514"/>
      <c r="O346" s="1215"/>
      <c r="P346" s="1215"/>
      <c r="Q346" s="1215"/>
    </row>
    <row r="347" spans="2:45">
      <c r="B347" s="1520">
        <v>-2146826265</v>
      </c>
      <c r="C347" s="1535">
        <v>26.42</v>
      </c>
      <c r="D347" s="1536">
        <v>26.42</v>
      </c>
      <c r="E347" s="1510"/>
      <c r="H347" s="1514"/>
      <c r="O347" s="1215"/>
      <c r="P347" s="1215"/>
      <c r="Q347" s="1215"/>
    </row>
    <row r="348" spans="2:45">
      <c r="B348" s="1520" t="s">
        <v>2744</v>
      </c>
      <c r="C348" s="1535">
        <v>110.97</v>
      </c>
      <c r="D348" s="1536">
        <v>110.97</v>
      </c>
      <c r="E348" s="1510"/>
      <c r="H348" s="1514"/>
      <c r="O348" s="1215"/>
      <c r="P348" s="1215"/>
      <c r="Q348" s="1215"/>
    </row>
    <row r="349" spans="2:45">
      <c r="B349" s="1520" t="s">
        <v>2464</v>
      </c>
      <c r="C349" s="1535">
        <v>49.44</v>
      </c>
      <c r="D349" s="1536">
        <v>49.44</v>
      </c>
      <c r="E349" s="1510"/>
      <c r="H349" s="1514"/>
      <c r="O349" s="1215"/>
      <c r="P349" s="1215"/>
      <c r="Q349" s="1215"/>
    </row>
    <row r="350" spans="2:45">
      <c r="B350" s="1520" t="s">
        <v>2710</v>
      </c>
      <c r="C350" s="1535">
        <v>10706.97</v>
      </c>
      <c r="D350" s="1536">
        <v>10706.97</v>
      </c>
      <c r="E350" s="1510"/>
      <c r="H350" s="1514"/>
      <c r="O350" s="1215"/>
      <c r="P350" s="1215"/>
      <c r="Q350" s="1215"/>
    </row>
    <row r="351" spans="2:45">
      <c r="B351" s="1520" t="s">
        <v>2709</v>
      </c>
      <c r="C351" s="1535">
        <v>11197.39</v>
      </c>
      <c r="D351" s="1536">
        <v>11197.39</v>
      </c>
      <c r="E351" s="1510" t="s">
        <v>2441</v>
      </c>
      <c r="H351" s="1514"/>
      <c r="O351" s="1215"/>
      <c r="P351" s="1215"/>
      <c r="Q351" s="1215"/>
    </row>
    <row r="352" spans="2:45">
      <c r="B352" s="1520" t="s">
        <v>2577</v>
      </c>
      <c r="C352" s="1535">
        <v>10568</v>
      </c>
      <c r="D352" s="1536">
        <v>10568</v>
      </c>
      <c r="E352" s="1510" t="s">
        <v>2441</v>
      </c>
      <c r="H352" s="1514"/>
      <c r="O352" s="1215"/>
      <c r="P352" s="1215"/>
      <c r="Q352" s="1215"/>
    </row>
    <row r="353" spans="2:17">
      <c r="B353" s="1520" t="s">
        <v>2524</v>
      </c>
      <c r="C353" s="1535">
        <v>25800.899999999998</v>
      </c>
      <c r="D353" s="1536">
        <v>25800.899999999998</v>
      </c>
      <c r="E353" s="1510"/>
      <c r="H353" s="1514"/>
      <c r="O353" s="1215"/>
      <c r="P353" s="1215"/>
      <c r="Q353" s="1215"/>
    </row>
    <row r="354" spans="2:17">
      <c r="B354" s="1520" t="s">
        <v>2731</v>
      </c>
      <c r="C354" s="1535">
        <v>42.81</v>
      </c>
      <c r="D354" s="1536">
        <v>42.81</v>
      </c>
      <c r="E354" s="1510"/>
      <c r="H354" s="1514"/>
      <c r="O354" s="1215"/>
      <c r="P354" s="1215"/>
      <c r="Q354" s="1215"/>
    </row>
    <row r="355" spans="2:17">
      <c r="B355" s="1520" t="s">
        <v>2573</v>
      </c>
      <c r="C355" s="1535">
        <v>41.93</v>
      </c>
      <c r="D355" s="1536">
        <v>41.93</v>
      </c>
      <c r="E355" s="1510"/>
      <c r="H355" s="1514"/>
      <c r="O355" s="1215"/>
      <c r="P355" s="1215"/>
      <c r="Q355" s="1215"/>
    </row>
    <row r="356" spans="2:17">
      <c r="B356" s="1520" t="s">
        <v>2741</v>
      </c>
      <c r="C356" s="1535">
        <v>17.46</v>
      </c>
      <c r="D356" s="1536">
        <v>17.46</v>
      </c>
      <c r="E356" s="1510"/>
      <c r="H356" s="1514"/>
      <c r="O356" s="1215"/>
      <c r="P356" s="1215"/>
      <c r="Q356" s="1215"/>
    </row>
    <row r="357" spans="2:17">
      <c r="B357" s="1520" t="s">
        <v>2697</v>
      </c>
      <c r="C357" s="1535">
        <v>750</v>
      </c>
      <c r="D357" s="1536">
        <v>750</v>
      </c>
      <c r="E357" s="1510" t="s">
        <v>2441</v>
      </c>
      <c r="H357" s="1514"/>
      <c r="O357" s="1215"/>
      <c r="P357" s="1215"/>
      <c r="Q357" s="1215"/>
    </row>
    <row r="358" spans="2:17">
      <c r="B358" s="1520" t="s">
        <v>2717</v>
      </c>
      <c r="C358" s="1535">
        <v>12.06</v>
      </c>
      <c r="D358" s="1536">
        <v>12.06</v>
      </c>
      <c r="E358" s="1510"/>
      <c r="H358" s="1514"/>
      <c r="O358" s="1215"/>
      <c r="P358" s="1215"/>
      <c r="Q358" s="1215"/>
    </row>
    <row r="359" spans="2:17">
      <c r="B359" s="1520" t="s">
        <v>2632</v>
      </c>
      <c r="C359" s="1535">
        <v>60.34</v>
      </c>
      <c r="D359" s="1536">
        <v>60.34</v>
      </c>
      <c r="E359" s="1510"/>
      <c r="H359" s="1514"/>
      <c r="O359" s="1215"/>
      <c r="P359" s="1215"/>
      <c r="Q359" s="1215"/>
    </row>
    <row r="360" spans="2:17">
      <c r="B360" s="1520" t="s">
        <v>2631</v>
      </c>
      <c r="C360" s="1535">
        <v>36.049999999999997</v>
      </c>
      <c r="D360" s="1536">
        <v>36.049999999999997</v>
      </c>
      <c r="E360" s="1510"/>
      <c r="O360" s="1215"/>
      <c r="P360" s="1215"/>
      <c r="Q360" s="1215"/>
    </row>
    <row r="361" spans="2:17">
      <c r="B361" s="1520" t="s">
        <v>2570</v>
      </c>
      <c r="C361" s="1535">
        <v>36.92</v>
      </c>
      <c r="D361" s="1536">
        <v>36.92</v>
      </c>
      <c r="E361" s="1510"/>
      <c r="O361" s="1215"/>
      <c r="P361" s="1215"/>
      <c r="Q361" s="1215"/>
    </row>
    <row r="362" spans="2:17">
      <c r="B362" s="1520" t="s">
        <v>2680</v>
      </c>
      <c r="C362" s="1535">
        <v>13.68</v>
      </c>
      <c r="D362" s="1536">
        <v>13.68</v>
      </c>
      <c r="E362" s="1510"/>
      <c r="O362" s="1215"/>
      <c r="P362" s="1215"/>
      <c r="Q362" s="1215"/>
    </row>
    <row r="363" spans="2:17">
      <c r="B363" s="1520" t="s">
        <v>2530</v>
      </c>
      <c r="C363" s="1535">
        <v>500</v>
      </c>
      <c r="D363" s="1536">
        <v>500</v>
      </c>
      <c r="E363" s="1510" t="s">
        <v>2441</v>
      </c>
      <c r="O363" s="1215"/>
      <c r="P363" s="1215"/>
      <c r="Q363" s="1215"/>
    </row>
    <row r="364" spans="2:17">
      <c r="B364" s="1520" t="s">
        <v>2466</v>
      </c>
      <c r="C364" s="1535">
        <v>879.89</v>
      </c>
      <c r="D364" s="1536">
        <v>879.89</v>
      </c>
      <c r="E364" s="1510"/>
      <c r="O364" s="1215"/>
      <c r="P364" s="1215"/>
      <c r="Q364" s="1215"/>
    </row>
    <row r="365" spans="2:17">
      <c r="B365" s="1520" t="s">
        <v>2454</v>
      </c>
      <c r="C365" s="1535">
        <v>0</v>
      </c>
      <c r="D365" s="1536">
        <v>0</v>
      </c>
      <c r="E365" s="1510"/>
      <c r="O365" s="1215"/>
      <c r="P365" s="1215"/>
      <c r="Q365" s="1215"/>
    </row>
    <row r="366" spans="2:17">
      <c r="B366" s="1520" t="s">
        <v>2455</v>
      </c>
      <c r="C366" s="1535">
        <v>0</v>
      </c>
      <c r="D366" s="1536">
        <v>0</v>
      </c>
      <c r="E366" s="1510"/>
      <c r="O366" s="1215"/>
      <c r="P366" s="1215"/>
      <c r="Q366" s="1215"/>
    </row>
    <row r="367" spans="2:17">
      <c r="B367" s="1520" t="s">
        <v>2477</v>
      </c>
      <c r="C367" s="1535">
        <v>234.41</v>
      </c>
      <c r="D367" s="1536">
        <v>234.41</v>
      </c>
      <c r="E367" s="1510"/>
      <c r="O367" s="1215"/>
      <c r="P367" s="1215"/>
      <c r="Q367" s="1215"/>
    </row>
    <row r="368" spans="2:17">
      <c r="B368" s="1520" t="s">
        <v>2689</v>
      </c>
      <c r="C368" s="1535">
        <v>638.98</v>
      </c>
      <c r="D368" s="1536">
        <v>638.98</v>
      </c>
      <c r="E368" s="1510"/>
      <c r="O368" s="1215"/>
      <c r="P368" s="1215"/>
      <c r="Q368" s="1215"/>
    </row>
    <row r="369" spans="2:17">
      <c r="B369" s="1520" t="s">
        <v>2671</v>
      </c>
      <c r="C369" s="1535">
        <v>78.75</v>
      </c>
      <c r="D369" s="1536">
        <v>78.75</v>
      </c>
      <c r="E369" s="1510"/>
      <c r="O369" s="1215"/>
      <c r="P369" s="1215"/>
      <c r="Q369" s="1215"/>
    </row>
    <row r="370" spans="2:17">
      <c r="B370" s="1520" t="s">
        <v>2502</v>
      </c>
      <c r="C370" s="1535">
        <v>1485.17</v>
      </c>
      <c r="D370" s="1536">
        <v>1485.17</v>
      </c>
      <c r="E370" s="1510"/>
      <c r="F370" s="1509" t="s">
        <v>2756</v>
      </c>
      <c r="O370" s="1215"/>
      <c r="P370" s="1215"/>
      <c r="Q370" s="1215"/>
    </row>
    <row r="371" spans="2:17">
      <c r="B371" s="1520" t="s">
        <v>2520</v>
      </c>
      <c r="C371" s="1535">
        <v>0</v>
      </c>
      <c r="D371" s="1536">
        <v>0</v>
      </c>
      <c r="E371" s="1510"/>
      <c r="O371" s="1215"/>
      <c r="P371" s="1215"/>
      <c r="Q371" s="1215"/>
    </row>
    <row r="372" spans="2:17">
      <c r="B372" s="1520" t="s">
        <v>2674</v>
      </c>
      <c r="C372" s="1535">
        <v>2319.65</v>
      </c>
      <c r="D372" s="1536">
        <v>2319.65</v>
      </c>
      <c r="E372" s="1510"/>
      <c r="F372" s="1509" t="s">
        <v>2755</v>
      </c>
      <c r="O372" s="1215"/>
      <c r="P372" s="1215"/>
      <c r="Q372" s="1215"/>
    </row>
    <row r="373" spans="2:17">
      <c r="B373" s="1520" t="s">
        <v>2657</v>
      </c>
      <c r="C373" s="1535">
        <v>64.5</v>
      </c>
      <c r="D373" s="1536">
        <v>64.5</v>
      </c>
      <c r="E373" s="1510"/>
      <c r="F373" s="1509" t="s">
        <v>2757</v>
      </c>
      <c r="O373" s="1215"/>
      <c r="P373" s="1215"/>
      <c r="Q373" s="1215"/>
    </row>
    <row r="374" spans="2:17">
      <c r="B374" s="1520" t="s">
        <v>2612</v>
      </c>
      <c r="C374" s="1535">
        <v>1001.05</v>
      </c>
      <c r="D374" s="1536">
        <v>1001.05</v>
      </c>
      <c r="E374" s="1510"/>
      <c r="F374" s="1509" t="s">
        <v>2757</v>
      </c>
      <c r="O374" s="1215"/>
      <c r="P374" s="1215"/>
      <c r="Q374" s="1215"/>
    </row>
    <row r="375" spans="2:17">
      <c r="B375" s="1520" t="s">
        <v>2715</v>
      </c>
      <c r="C375" s="1535">
        <v>1285.56</v>
      </c>
      <c r="D375" s="1536">
        <v>1285.56</v>
      </c>
      <c r="E375" s="1510"/>
      <c r="F375" s="1509" t="s">
        <v>2757</v>
      </c>
      <c r="O375" s="1215"/>
      <c r="P375" s="1215"/>
      <c r="Q375" s="1215"/>
    </row>
    <row r="376" spans="2:17">
      <c r="B376" s="1520" t="s">
        <v>2664</v>
      </c>
      <c r="C376" s="1535">
        <v>61.97</v>
      </c>
      <c r="D376" s="1536">
        <v>61.97</v>
      </c>
      <c r="E376" s="1510"/>
      <c r="F376" s="1509" t="s">
        <v>2757</v>
      </c>
      <c r="O376" s="1215"/>
      <c r="P376" s="1215"/>
      <c r="Q376" s="1215"/>
    </row>
    <row r="377" spans="2:17">
      <c r="B377" s="1520" t="s">
        <v>2453</v>
      </c>
      <c r="C377" s="1535">
        <v>0</v>
      </c>
      <c r="D377" s="1536">
        <v>0</v>
      </c>
      <c r="E377" s="1510"/>
      <c r="F377" s="1509" t="s">
        <v>2757</v>
      </c>
      <c r="O377" s="1215"/>
      <c r="P377" s="1215"/>
      <c r="Q377" s="1215"/>
    </row>
    <row r="378" spans="2:17">
      <c r="B378" s="1520" t="s">
        <v>1097</v>
      </c>
      <c r="C378" s="1535">
        <v>939.60000000000014</v>
      </c>
      <c r="D378" s="1536">
        <v>939.60000000000014</v>
      </c>
      <c r="E378" s="1510"/>
      <c r="F378" s="1509" t="s">
        <v>2757</v>
      </c>
      <c r="O378" s="1215"/>
      <c r="P378" s="1215"/>
      <c r="Q378" s="1215"/>
    </row>
    <row r="379" spans="2:17">
      <c r="B379" s="1520" t="s">
        <v>2663</v>
      </c>
      <c r="C379" s="1535">
        <v>45.78</v>
      </c>
      <c r="D379" s="1536">
        <v>45.78</v>
      </c>
      <c r="E379" s="1510"/>
      <c r="F379" s="1509" t="s">
        <v>2757</v>
      </c>
      <c r="O379" s="1215"/>
      <c r="P379" s="1215"/>
      <c r="Q379" s="1215"/>
    </row>
    <row r="380" spans="2:17">
      <c r="B380" s="1520" t="s">
        <v>2468</v>
      </c>
      <c r="C380" s="1535">
        <v>507.74</v>
      </c>
      <c r="D380" s="1536">
        <v>507.74</v>
      </c>
      <c r="E380" s="1510"/>
      <c r="F380" s="1509" t="s">
        <v>2757</v>
      </c>
      <c r="O380" s="1215"/>
      <c r="P380" s="1215"/>
      <c r="Q380" s="1215"/>
    </row>
    <row r="381" spans="2:17">
      <c r="B381" s="1520" t="s">
        <v>2728</v>
      </c>
      <c r="C381" s="1535">
        <v>236.29</v>
      </c>
      <c r="D381" s="1536">
        <v>236.29</v>
      </c>
      <c r="E381" s="1510"/>
      <c r="F381" s="1509" t="s">
        <v>2757</v>
      </c>
      <c r="O381" s="1215"/>
      <c r="P381" s="1215"/>
      <c r="Q381" s="1215"/>
    </row>
    <row r="382" spans="2:17">
      <c r="B382" s="1520" t="s">
        <v>2503</v>
      </c>
      <c r="C382" s="1535">
        <v>13.59</v>
      </c>
      <c r="D382" s="1536">
        <v>13.59</v>
      </c>
      <c r="E382" s="1510"/>
      <c r="O382" s="1215"/>
      <c r="P382" s="1215"/>
      <c r="Q382" s="1215"/>
    </row>
    <row r="383" spans="2:17">
      <c r="B383" s="1520" t="s">
        <v>2541</v>
      </c>
      <c r="C383" s="1535">
        <v>0</v>
      </c>
      <c r="D383" s="1536">
        <v>0</v>
      </c>
      <c r="E383" s="1510"/>
      <c r="O383" s="1215"/>
      <c r="P383" s="1215"/>
      <c r="Q383" s="1215"/>
    </row>
    <row r="384" spans="2:17">
      <c r="B384" s="1520" t="s">
        <v>2474</v>
      </c>
      <c r="C384" s="1535">
        <v>107.42</v>
      </c>
      <c r="D384" s="1536">
        <v>107.42</v>
      </c>
      <c r="E384" s="1510"/>
      <c r="O384" s="1215"/>
      <c r="P384" s="1215"/>
      <c r="Q384" s="1215"/>
    </row>
    <row r="385" spans="2:17">
      <c r="B385" s="1520" t="s">
        <v>2472</v>
      </c>
      <c r="C385" s="1535">
        <v>36.410000000000004</v>
      </c>
      <c r="D385" s="1536">
        <v>36.410000000000004</v>
      </c>
      <c r="E385" s="1510"/>
      <c r="O385" s="1215"/>
      <c r="P385" s="1215"/>
      <c r="Q385" s="1215"/>
    </row>
    <row r="386" spans="2:17">
      <c r="B386" s="1520" t="s">
        <v>2590</v>
      </c>
      <c r="C386" s="1535">
        <v>-5000</v>
      </c>
      <c r="D386" s="1536">
        <v>-5000</v>
      </c>
      <c r="E386" s="1510" t="s">
        <v>2441</v>
      </c>
      <c r="O386" s="1215"/>
      <c r="P386" s="1215"/>
      <c r="Q386" s="1215"/>
    </row>
    <row r="387" spans="2:17">
      <c r="B387" s="1520" t="s">
        <v>2739</v>
      </c>
      <c r="C387" s="1535">
        <v>89.1</v>
      </c>
      <c r="D387" s="1536">
        <v>89.1</v>
      </c>
      <c r="E387" s="1510"/>
      <c r="O387" s="1215"/>
      <c r="P387" s="1215"/>
      <c r="Q387" s="1215"/>
    </row>
    <row r="388" spans="2:17">
      <c r="B388" s="1520" t="s">
        <v>2740</v>
      </c>
      <c r="C388" s="1535">
        <v>9.34</v>
      </c>
      <c r="D388" s="1536">
        <v>9.34</v>
      </c>
      <c r="E388" s="1510"/>
      <c r="O388" s="1215"/>
      <c r="P388" s="1215"/>
      <c r="Q388" s="1215"/>
    </row>
    <row r="389" spans="2:17">
      <c r="B389" s="1520" t="s">
        <v>2533</v>
      </c>
      <c r="C389" s="1535">
        <v>133.56</v>
      </c>
      <c r="D389" s="1536">
        <v>133.56</v>
      </c>
      <c r="E389" s="1510"/>
      <c r="O389" s="1215"/>
      <c r="P389" s="1215"/>
      <c r="Q389" s="1215"/>
    </row>
    <row r="390" spans="2:17">
      <c r="B390" s="1520" t="s">
        <v>2742</v>
      </c>
      <c r="C390" s="1535">
        <v>629.73</v>
      </c>
      <c r="D390" s="1536">
        <v>629.73</v>
      </c>
      <c r="E390" s="1510"/>
      <c r="O390" s="1215"/>
      <c r="P390" s="1215"/>
      <c r="Q390" s="1215"/>
    </row>
    <row r="391" spans="2:17">
      <c r="B391" s="1520" t="s">
        <v>2450</v>
      </c>
      <c r="C391" s="1535">
        <v>0</v>
      </c>
      <c r="D391" s="1536">
        <v>0</v>
      </c>
      <c r="E391" s="1510"/>
      <c r="O391" s="1215"/>
      <c r="P391" s="1215"/>
      <c r="Q391" s="1215"/>
    </row>
    <row r="392" spans="2:17">
      <c r="B392" s="1520" t="s">
        <v>2481</v>
      </c>
      <c r="C392" s="1535">
        <v>2081.94</v>
      </c>
      <c r="D392" s="1536">
        <v>2081.94</v>
      </c>
      <c r="E392" s="1510"/>
      <c r="O392" s="1215"/>
      <c r="P392" s="1215"/>
      <c r="Q392" s="1215"/>
    </row>
    <row r="393" spans="2:17">
      <c r="B393" s="1520" t="s">
        <v>2501</v>
      </c>
      <c r="C393" s="1535">
        <v>1670.24</v>
      </c>
      <c r="D393" s="1536">
        <v>1670.24</v>
      </c>
      <c r="E393" s="1510"/>
      <c r="F393" s="1509" t="s">
        <v>2756</v>
      </c>
      <c r="O393" s="1215"/>
      <c r="P393" s="1215"/>
      <c r="Q393" s="1215"/>
    </row>
    <row r="394" spans="2:17">
      <c r="B394" s="1520" t="s">
        <v>2465</v>
      </c>
      <c r="C394" s="1535">
        <v>648.55999999999995</v>
      </c>
      <c r="D394" s="1536">
        <v>648.55999999999995</v>
      </c>
      <c r="E394" s="1510"/>
      <c r="O394" s="1215"/>
      <c r="P394" s="1215"/>
      <c r="Q394" s="1215"/>
    </row>
    <row r="395" spans="2:17">
      <c r="B395" s="1520" t="s">
        <v>2515</v>
      </c>
      <c r="C395" s="1535">
        <v>200</v>
      </c>
      <c r="D395" s="1536">
        <v>200</v>
      </c>
      <c r="E395" s="1510"/>
      <c r="O395" s="1215"/>
      <c r="P395" s="1215"/>
      <c r="Q395" s="1215"/>
    </row>
    <row r="396" spans="2:17">
      <c r="B396" s="1520" t="s">
        <v>2517</v>
      </c>
      <c r="C396" s="1535">
        <v>81.81</v>
      </c>
      <c r="D396" s="1536">
        <v>81.81</v>
      </c>
      <c r="E396" s="1510"/>
      <c r="O396" s="1215"/>
      <c r="P396" s="1215"/>
      <c r="Q396" s="1215"/>
    </row>
    <row r="397" spans="2:17">
      <c r="B397" s="1520" t="s">
        <v>2511</v>
      </c>
      <c r="C397" s="1535">
        <v>17.98</v>
      </c>
      <c r="D397" s="1536">
        <v>17.98</v>
      </c>
      <c r="E397" s="1510"/>
      <c r="O397" s="1215"/>
      <c r="P397" s="1215"/>
      <c r="Q397" s="1215"/>
    </row>
    <row r="398" spans="2:17">
      <c r="B398" s="1520" t="s">
        <v>2594</v>
      </c>
      <c r="C398" s="1535">
        <v>210.75</v>
      </c>
      <c r="D398" s="1536">
        <v>210.75</v>
      </c>
      <c r="E398" s="1510"/>
      <c r="O398" s="1215"/>
      <c r="P398" s="1215"/>
      <c r="Q398" s="1215"/>
    </row>
    <row r="399" spans="2:17">
      <c r="B399" s="1520" t="s">
        <v>2665</v>
      </c>
      <c r="C399" s="1535">
        <v>27</v>
      </c>
      <c r="D399" s="1536">
        <v>27</v>
      </c>
      <c r="E399" s="1510"/>
      <c r="O399" s="1215"/>
      <c r="P399" s="1215"/>
      <c r="Q399" s="1215"/>
    </row>
    <row r="400" spans="2:17">
      <c r="B400" s="1520" t="s">
        <v>2595</v>
      </c>
      <c r="C400" s="1535">
        <v>581.09</v>
      </c>
      <c r="D400" s="1536">
        <v>581.09</v>
      </c>
      <c r="E400" s="1510"/>
      <c r="O400" s="1215"/>
      <c r="P400" s="1215"/>
      <c r="Q400" s="1215"/>
    </row>
    <row r="401" spans="2:17">
      <c r="B401" s="1520" t="s">
        <v>2500</v>
      </c>
      <c r="C401" s="1535">
        <v>106.09</v>
      </c>
      <c r="D401" s="1536">
        <v>106.09</v>
      </c>
      <c r="E401" s="1510"/>
      <c r="O401" s="1215"/>
      <c r="P401" s="1215"/>
      <c r="Q401" s="1215"/>
    </row>
    <row r="402" spans="2:17">
      <c r="B402" s="1520" t="s">
        <v>2616</v>
      </c>
      <c r="C402" s="1535">
        <v>10.31</v>
      </c>
      <c r="D402" s="1536">
        <v>10.31</v>
      </c>
      <c r="E402" s="1510"/>
      <c r="O402" s="1215"/>
      <c r="P402" s="1215"/>
      <c r="Q402" s="1215"/>
    </row>
    <row r="403" spans="2:17">
      <c r="B403" s="1520" t="s">
        <v>2633</v>
      </c>
      <c r="C403" s="1535">
        <v>73.009999999999991</v>
      </c>
      <c r="D403" s="1536">
        <v>73.009999999999991</v>
      </c>
      <c r="E403" s="1510"/>
      <c r="O403" s="1215"/>
      <c r="P403" s="1215"/>
      <c r="Q403" s="1215"/>
    </row>
    <row r="404" spans="2:17">
      <c r="B404" s="1520" t="s">
        <v>2743</v>
      </c>
      <c r="C404" s="1535">
        <v>36.86</v>
      </c>
      <c r="D404" s="1536">
        <v>36.86</v>
      </c>
      <c r="E404" s="1510"/>
      <c r="O404" s="1215"/>
      <c r="P404" s="1215"/>
      <c r="Q404" s="1215"/>
    </row>
    <row r="405" spans="2:17">
      <c r="B405" s="1520" t="s">
        <v>2699</v>
      </c>
      <c r="C405" s="1535">
        <v>101.89</v>
      </c>
      <c r="D405" s="1536">
        <v>101.89</v>
      </c>
      <c r="E405" s="1510"/>
      <c r="O405" s="1215"/>
      <c r="P405" s="1215"/>
      <c r="Q405" s="1215"/>
    </row>
    <row r="406" spans="2:17">
      <c r="B406" s="1520" t="s">
        <v>2489</v>
      </c>
      <c r="C406" s="1535">
        <v>336.38</v>
      </c>
      <c r="D406" s="1536">
        <v>336.38</v>
      </c>
      <c r="E406" s="1510"/>
      <c r="O406" s="1215"/>
      <c r="P406" s="1215"/>
      <c r="Q406" s="1215"/>
    </row>
    <row r="407" spans="2:17">
      <c r="B407" s="1520" t="s">
        <v>2673</v>
      </c>
      <c r="C407" s="1535">
        <v>175</v>
      </c>
      <c r="D407" s="1536">
        <v>175</v>
      </c>
      <c r="E407" s="1510"/>
      <c r="O407" s="1215"/>
      <c r="P407" s="1215"/>
      <c r="Q407" s="1215"/>
    </row>
    <row r="408" spans="2:17">
      <c r="B408" s="1520" t="s">
        <v>2506</v>
      </c>
      <c r="C408" s="1535">
        <v>1348.8999999999999</v>
      </c>
      <c r="D408" s="1536">
        <v>1348.8999999999999</v>
      </c>
      <c r="E408" s="1510"/>
      <c r="O408" s="1215"/>
      <c r="P408" s="1215"/>
      <c r="Q408" s="1215"/>
    </row>
    <row r="409" spans="2:17">
      <c r="B409" s="1520" t="s">
        <v>2593</v>
      </c>
      <c r="C409" s="1535">
        <v>1801.66</v>
      </c>
      <c r="D409" s="1536">
        <v>1801.66</v>
      </c>
      <c r="E409" s="1510"/>
      <c r="O409" s="1215"/>
      <c r="P409" s="1215"/>
      <c r="Q409" s="1215"/>
    </row>
    <row r="410" spans="2:17">
      <c r="B410" s="1520" t="s">
        <v>2641</v>
      </c>
      <c r="C410" s="1535">
        <v>54.75</v>
      </c>
      <c r="D410" s="1536">
        <v>54.75</v>
      </c>
      <c r="E410" s="1510"/>
      <c r="O410" s="1215"/>
      <c r="P410" s="1215"/>
      <c r="Q410" s="1215"/>
    </row>
    <row r="411" spans="2:17">
      <c r="B411" s="1520" t="s">
        <v>2643</v>
      </c>
      <c r="C411" s="1535">
        <v>37.25</v>
      </c>
      <c r="D411" s="1536">
        <v>37.25</v>
      </c>
      <c r="E411" s="1510"/>
      <c r="O411" s="1215"/>
      <c r="P411" s="1215"/>
      <c r="Q411" s="1215"/>
    </row>
    <row r="412" spans="2:17">
      <c r="B412" s="1520" t="s">
        <v>2642</v>
      </c>
      <c r="C412" s="1535">
        <v>91.37</v>
      </c>
      <c r="D412" s="1536">
        <v>91.37</v>
      </c>
      <c r="E412" s="1510"/>
      <c r="O412" s="1215"/>
      <c r="P412" s="1215"/>
      <c r="Q412" s="1215"/>
    </row>
    <row r="413" spans="2:17">
      <c r="B413" s="1520" t="s">
        <v>2639</v>
      </c>
      <c r="C413" s="1535">
        <v>103.05000000000001</v>
      </c>
      <c r="D413" s="1536">
        <v>103.05000000000001</v>
      </c>
      <c r="E413" s="1510"/>
      <c r="O413" s="1215"/>
      <c r="P413" s="1215"/>
      <c r="Q413" s="1215"/>
    </row>
    <row r="414" spans="2:17">
      <c r="B414" s="1520" t="s">
        <v>2645</v>
      </c>
      <c r="C414" s="1535">
        <v>153.03</v>
      </c>
      <c r="D414" s="1536">
        <v>153.03</v>
      </c>
      <c r="E414" s="1510"/>
      <c r="O414" s="1215"/>
      <c r="P414" s="1215"/>
      <c r="Q414" s="1215"/>
    </row>
    <row r="415" spans="2:17">
      <c r="B415" s="1520" t="s">
        <v>2614</v>
      </c>
      <c r="C415" s="1535">
        <v>63.82</v>
      </c>
      <c r="D415" s="1536">
        <v>63.82</v>
      </c>
      <c r="E415" s="1510"/>
      <c r="O415" s="1215"/>
      <c r="P415" s="1215"/>
      <c r="Q415" s="1215"/>
    </row>
    <row r="416" spans="2:17">
      <c r="B416" s="1520" t="s">
        <v>2719</v>
      </c>
      <c r="C416" s="1535">
        <v>49</v>
      </c>
      <c r="D416" s="1536">
        <v>49</v>
      </c>
      <c r="E416" s="1510"/>
      <c r="O416" s="1215"/>
      <c r="P416" s="1215"/>
      <c r="Q416" s="1215"/>
    </row>
    <row r="417" spans="2:17">
      <c r="B417" s="1520" t="s">
        <v>2630</v>
      </c>
      <c r="C417" s="1535">
        <v>4131.54</v>
      </c>
      <c r="D417" s="1536">
        <v>4131.54</v>
      </c>
      <c r="E417" s="1510" t="s">
        <v>2441</v>
      </c>
      <c r="O417" s="1215"/>
      <c r="P417" s="1215"/>
      <c r="Q417" s="1215"/>
    </row>
    <row r="418" spans="2:17">
      <c r="B418" s="1520" t="s">
        <v>2716</v>
      </c>
      <c r="C418" s="1535">
        <v>72.53</v>
      </c>
      <c r="D418" s="1536">
        <v>72.53</v>
      </c>
      <c r="E418" s="1510"/>
      <c r="O418" s="1215"/>
      <c r="P418" s="1215"/>
      <c r="Q418" s="1215"/>
    </row>
    <row r="419" spans="2:17">
      <c r="B419" s="1520" t="s">
        <v>2669</v>
      </c>
      <c r="C419" s="1535">
        <v>540.75</v>
      </c>
      <c r="D419" s="1536">
        <v>540.75</v>
      </c>
      <c r="E419" s="1510" t="s">
        <v>2441</v>
      </c>
      <c r="O419" s="1215"/>
      <c r="P419" s="1215"/>
      <c r="Q419" s="1215"/>
    </row>
    <row r="420" spans="2:17">
      <c r="B420" s="1520" t="s">
        <v>2662</v>
      </c>
      <c r="C420" s="1535">
        <v>34.020000000000003</v>
      </c>
      <c r="D420" s="1536">
        <v>34.020000000000003</v>
      </c>
      <c r="E420" s="1510"/>
      <c r="O420" s="1215"/>
      <c r="P420" s="1215"/>
      <c r="Q420" s="1215"/>
    </row>
    <row r="421" spans="2:17">
      <c r="B421" s="1520" t="s">
        <v>2538</v>
      </c>
      <c r="C421" s="1535">
        <v>156.52000000000001</v>
      </c>
      <c r="D421" s="1536">
        <v>156.52000000000001</v>
      </c>
      <c r="E421" s="1510"/>
      <c r="O421" s="1215"/>
      <c r="P421" s="1215"/>
      <c r="Q421" s="1215"/>
    </row>
    <row r="422" spans="2:17">
      <c r="B422" s="1520" t="s">
        <v>2596</v>
      </c>
      <c r="C422" s="1535">
        <v>51.53</v>
      </c>
      <c r="D422" s="1536">
        <v>51.53</v>
      </c>
      <c r="E422" s="1510"/>
      <c r="O422" s="1215"/>
      <c r="P422" s="1215"/>
      <c r="Q422" s="1215"/>
    </row>
    <row r="423" spans="2:17">
      <c r="B423" s="1520" t="s">
        <v>2737</v>
      </c>
      <c r="C423" s="1535">
        <v>374.43</v>
      </c>
      <c r="D423" s="1536">
        <v>374.43</v>
      </c>
      <c r="E423" s="1510"/>
      <c r="O423" s="1215"/>
      <c r="P423" s="1215"/>
      <c r="Q423" s="1215"/>
    </row>
    <row r="424" spans="2:17">
      <c r="B424" s="1520" t="s">
        <v>2748</v>
      </c>
      <c r="C424" s="1535">
        <v>29.98</v>
      </c>
      <c r="D424" s="1536">
        <v>29.98</v>
      </c>
      <c r="E424" s="1510"/>
      <c r="O424" s="1215"/>
      <c r="P424" s="1215"/>
      <c r="Q424" s="1215"/>
    </row>
    <row r="425" spans="2:17">
      <c r="B425" s="1520" t="s">
        <v>2750</v>
      </c>
      <c r="C425" s="1535">
        <v>500</v>
      </c>
      <c r="D425" s="1536">
        <v>500</v>
      </c>
      <c r="E425" s="1510"/>
      <c r="O425" s="1215"/>
      <c r="P425" s="1215"/>
      <c r="Q425" s="1215"/>
    </row>
    <row r="426" spans="2:17">
      <c r="B426" s="1520" t="s">
        <v>2667</v>
      </c>
      <c r="C426" s="1535">
        <v>320.77</v>
      </c>
      <c r="D426" s="1536">
        <v>320.77</v>
      </c>
      <c r="E426" s="1510"/>
      <c r="O426" s="1215"/>
      <c r="P426" s="1215"/>
      <c r="Q426" s="1215"/>
    </row>
    <row r="427" spans="2:17">
      <c r="B427" s="1520" t="s">
        <v>2461</v>
      </c>
      <c r="C427" s="1535">
        <v>2575.7600000000002</v>
      </c>
      <c r="D427" s="1536">
        <v>2575.7600000000002</v>
      </c>
      <c r="E427" s="1510"/>
      <c r="O427" s="1215"/>
      <c r="P427" s="1215"/>
      <c r="Q427" s="1215"/>
    </row>
    <row r="428" spans="2:17">
      <c r="B428" s="1520" t="s">
        <v>2726</v>
      </c>
      <c r="C428" s="1535">
        <v>60</v>
      </c>
      <c r="D428" s="1536">
        <v>60</v>
      </c>
      <c r="E428" s="1510"/>
      <c r="O428" s="1215"/>
      <c r="P428" s="1215"/>
      <c r="Q428" s="1215"/>
    </row>
    <row r="429" spans="2:17">
      <c r="B429" s="1520" t="s">
        <v>2532</v>
      </c>
      <c r="C429" s="1535">
        <v>38.86</v>
      </c>
      <c r="D429" s="1536">
        <v>38.86</v>
      </c>
      <c r="E429" s="1510"/>
      <c r="O429" s="1215"/>
      <c r="P429" s="1215"/>
      <c r="Q429" s="1215"/>
    </row>
    <row r="430" spans="2:17">
      <c r="B430" s="1520" t="s">
        <v>2721</v>
      </c>
      <c r="C430" s="1535">
        <v>157.1</v>
      </c>
      <c r="D430" s="1536">
        <v>157.1</v>
      </c>
      <c r="E430" s="1510"/>
      <c r="O430" s="1215"/>
      <c r="P430" s="1215"/>
      <c r="Q430" s="1215"/>
    </row>
    <row r="431" spans="2:17">
      <c r="B431" s="1520" t="s">
        <v>2504</v>
      </c>
      <c r="C431" s="1535">
        <v>192.34</v>
      </c>
      <c r="D431" s="1536">
        <v>192.34</v>
      </c>
      <c r="E431" s="1510"/>
      <c r="O431" s="1215"/>
      <c r="P431" s="1215"/>
      <c r="Q431" s="1215"/>
    </row>
    <row r="432" spans="2:17">
      <c r="B432" s="1520" t="s">
        <v>2720</v>
      </c>
      <c r="C432" s="1535">
        <v>13.03</v>
      </c>
      <c r="D432" s="1536">
        <v>13.03</v>
      </c>
      <c r="E432" s="1510"/>
      <c r="O432" s="1215"/>
      <c r="P432" s="1215"/>
      <c r="Q432" s="1215"/>
    </row>
    <row r="433" spans="2:17">
      <c r="B433" s="1520" t="s">
        <v>2469</v>
      </c>
      <c r="C433" s="1535">
        <v>13.19</v>
      </c>
      <c r="D433" s="1536">
        <v>13.19</v>
      </c>
      <c r="E433" s="1510"/>
      <c r="O433" s="1215"/>
      <c r="P433" s="1215"/>
      <c r="Q433" s="1215"/>
    </row>
    <row r="434" spans="2:17">
      <c r="B434" s="1520" t="s">
        <v>2658</v>
      </c>
      <c r="C434" s="1535">
        <v>33.67</v>
      </c>
      <c r="D434" s="1536">
        <v>33.67</v>
      </c>
      <c r="E434" s="1510"/>
      <c r="O434" s="1215"/>
      <c r="P434" s="1215"/>
      <c r="Q434" s="1215"/>
    </row>
    <row r="435" spans="2:17">
      <c r="B435" s="1520" t="s">
        <v>2548</v>
      </c>
      <c r="C435" s="1535">
        <v>0</v>
      </c>
      <c r="D435" s="1536">
        <v>0</v>
      </c>
      <c r="E435" s="1510"/>
      <c r="O435" s="1215"/>
      <c r="P435" s="1215"/>
      <c r="Q435" s="1215"/>
    </row>
    <row r="436" spans="2:17">
      <c r="B436" s="1520" t="s">
        <v>2579</v>
      </c>
      <c r="C436" s="1535">
        <v>0</v>
      </c>
      <c r="D436" s="1536">
        <v>0</v>
      </c>
      <c r="E436" s="1510"/>
      <c r="O436" s="1215"/>
      <c r="P436" s="1215"/>
      <c r="Q436" s="1215"/>
    </row>
    <row r="437" spans="2:17">
      <c r="B437" s="1520" t="s">
        <v>2580</v>
      </c>
      <c r="C437" s="1535">
        <v>0</v>
      </c>
      <c r="D437" s="1536">
        <v>0</v>
      </c>
      <c r="E437" s="1510"/>
      <c r="O437" s="1215"/>
      <c r="P437" s="1215"/>
      <c r="Q437" s="1215"/>
    </row>
    <row r="438" spans="2:17">
      <c r="B438" s="1520" t="s">
        <v>2581</v>
      </c>
      <c r="C438" s="1535">
        <v>0</v>
      </c>
      <c r="D438" s="1536">
        <v>0</v>
      </c>
      <c r="E438" s="1510"/>
      <c r="O438" s="1215"/>
      <c r="P438" s="1215"/>
      <c r="Q438" s="1215"/>
    </row>
    <row r="439" spans="2:17">
      <c r="B439" s="1520" t="s">
        <v>2622</v>
      </c>
      <c r="C439" s="1535">
        <v>0</v>
      </c>
      <c r="D439" s="1536">
        <v>0</v>
      </c>
      <c r="E439" s="1510"/>
      <c r="O439" s="1215"/>
      <c r="P439" s="1215"/>
      <c r="Q439" s="1215"/>
    </row>
    <row r="440" spans="2:17">
      <c r="B440" s="1520" t="s">
        <v>2485</v>
      </c>
      <c r="C440" s="1535">
        <v>0</v>
      </c>
      <c r="D440" s="1536">
        <v>0</v>
      </c>
      <c r="E440" s="1510"/>
      <c r="O440" s="1215"/>
      <c r="P440" s="1215"/>
      <c r="Q440" s="1215"/>
    </row>
    <row r="441" spans="2:17">
      <c r="B441" s="1520" t="s">
        <v>2686</v>
      </c>
      <c r="C441" s="1535">
        <v>81.650000000000006</v>
      </c>
      <c r="D441" s="1536">
        <v>81.650000000000006</v>
      </c>
      <c r="E441" s="1510"/>
      <c r="O441" s="1215"/>
      <c r="P441" s="1215"/>
      <c r="Q441" s="1215"/>
    </row>
    <row r="442" spans="2:17">
      <c r="B442" s="1520" t="s">
        <v>2677</v>
      </c>
      <c r="C442" s="1535">
        <v>268.18</v>
      </c>
      <c r="D442" s="1536">
        <v>268.18</v>
      </c>
      <c r="E442" s="1510"/>
      <c r="O442" s="1215"/>
      <c r="P442" s="1215"/>
      <c r="Q442" s="1215"/>
    </row>
    <row r="443" spans="2:17">
      <c r="B443" s="1520" t="s">
        <v>2651</v>
      </c>
      <c r="C443" s="1535">
        <v>138.22999999999999</v>
      </c>
      <c r="D443" s="1536">
        <v>138.22999999999999</v>
      </c>
      <c r="E443" s="1510"/>
      <c r="O443" s="1215"/>
      <c r="P443" s="1215"/>
      <c r="Q443" s="1215"/>
    </row>
    <row r="444" spans="2:17">
      <c r="B444" s="1520" t="s">
        <v>2745</v>
      </c>
      <c r="C444" s="1535">
        <v>150</v>
      </c>
      <c r="D444" s="1536">
        <v>150</v>
      </c>
      <c r="E444" s="1510"/>
      <c r="O444" s="1215"/>
      <c r="P444" s="1215"/>
      <c r="Q444" s="1215"/>
    </row>
    <row r="445" spans="2:17">
      <c r="B445" s="1520" t="s">
        <v>2659</v>
      </c>
      <c r="C445" s="1535">
        <v>67.12</v>
      </c>
      <c r="D445" s="1536">
        <v>67.12</v>
      </c>
      <c r="E445" s="1510"/>
      <c r="O445" s="1215"/>
      <c r="P445" s="1215"/>
      <c r="Q445" s="1215"/>
    </row>
    <row r="446" spans="2:17">
      <c r="B446" s="1520" t="s">
        <v>2617</v>
      </c>
      <c r="C446" s="1535">
        <v>2106.2199999999998</v>
      </c>
      <c r="D446" s="1536">
        <v>2106.2199999999998</v>
      </c>
      <c r="E446" s="1510"/>
      <c r="O446" s="1215"/>
      <c r="P446" s="1215"/>
      <c r="Q446" s="1215"/>
    </row>
    <row r="447" spans="2:17">
      <c r="B447" s="1520" t="s">
        <v>2458</v>
      </c>
      <c r="C447" s="1535">
        <v>0</v>
      </c>
      <c r="D447" s="1536">
        <v>0</v>
      </c>
      <c r="E447" s="1510"/>
      <c r="O447" s="1215"/>
      <c r="P447" s="1215"/>
      <c r="Q447" s="1215"/>
    </row>
    <row r="448" spans="2:17">
      <c r="B448" s="1520" t="s">
        <v>2491</v>
      </c>
      <c r="C448" s="1535">
        <v>232.59</v>
      </c>
      <c r="D448" s="1536">
        <v>232.59</v>
      </c>
      <c r="E448" s="1510"/>
      <c r="O448" s="1215"/>
      <c r="P448" s="1215"/>
      <c r="Q448" s="1215"/>
    </row>
    <row r="449" spans="2:17">
      <c r="B449" s="1520" t="s">
        <v>2714</v>
      </c>
      <c r="C449" s="1535">
        <v>46.34</v>
      </c>
      <c r="D449" s="1536">
        <v>46.34</v>
      </c>
      <c r="E449" s="1510"/>
      <c r="O449" s="1215"/>
      <c r="P449" s="1215"/>
      <c r="Q449" s="1215"/>
    </row>
    <row r="450" spans="2:17">
      <c r="B450" s="1520" t="s">
        <v>2536</v>
      </c>
      <c r="C450" s="1535">
        <v>85.97</v>
      </c>
      <c r="D450" s="1536">
        <v>85.97</v>
      </c>
      <c r="E450" s="1510"/>
      <c r="O450" s="1215"/>
      <c r="P450" s="1215"/>
      <c r="Q450" s="1215"/>
    </row>
    <row r="451" spans="2:17">
      <c r="B451" s="1520" t="s">
        <v>2490</v>
      </c>
      <c r="C451" s="1535">
        <v>464</v>
      </c>
      <c r="D451" s="1536">
        <v>464</v>
      </c>
      <c r="E451" s="1510"/>
      <c r="O451" s="1215"/>
      <c r="P451" s="1215"/>
      <c r="Q451" s="1215"/>
    </row>
    <row r="452" spans="2:17">
      <c r="B452" s="1520" t="s">
        <v>2508</v>
      </c>
      <c r="C452" s="1535">
        <v>172.94</v>
      </c>
      <c r="D452" s="1536">
        <v>172.94</v>
      </c>
      <c r="E452" s="1510"/>
      <c r="O452" s="1215"/>
      <c r="P452" s="1215"/>
      <c r="Q452" s="1215"/>
    </row>
    <row r="453" spans="2:17">
      <c r="B453" s="1520" t="s">
        <v>2635</v>
      </c>
      <c r="C453" s="1535">
        <v>55.16</v>
      </c>
      <c r="D453" s="1536">
        <v>55.16</v>
      </c>
      <c r="E453" s="1510"/>
      <c r="O453" s="1215"/>
      <c r="P453" s="1215"/>
      <c r="Q453" s="1215"/>
    </row>
    <row r="454" spans="2:17">
      <c r="B454" s="1520" t="s">
        <v>2718</v>
      </c>
      <c r="C454" s="1535">
        <v>171.95</v>
      </c>
      <c r="D454" s="1536">
        <v>171.95</v>
      </c>
      <c r="E454" s="1510"/>
      <c r="O454" s="1215"/>
      <c r="P454" s="1215"/>
      <c r="Q454" s="1215"/>
    </row>
    <row r="455" spans="2:17">
      <c r="B455" s="1520" t="s">
        <v>2615</v>
      </c>
      <c r="C455" s="1535">
        <v>53.98</v>
      </c>
      <c r="D455" s="1536">
        <v>53.98</v>
      </c>
      <c r="E455" s="1510"/>
      <c r="O455" s="1215"/>
      <c r="P455" s="1215"/>
      <c r="Q455" s="1215"/>
    </row>
    <row r="456" spans="2:17">
      <c r="B456" s="1520" t="s">
        <v>2618</v>
      </c>
      <c r="C456" s="1535">
        <v>28.98</v>
      </c>
      <c r="D456" s="1536">
        <v>28.98</v>
      </c>
      <c r="E456" s="1510"/>
      <c r="O456" s="1215"/>
      <c r="P456" s="1215"/>
      <c r="Q456" s="1215"/>
    </row>
    <row r="457" spans="2:17">
      <c r="B457" s="1520" t="s">
        <v>2634</v>
      </c>
      <c r="C457" s="1535">
        <v>77.56</v>
      </c>
      <c r="D457" s="1536">
        <v>77.56</v>
      </c>
      <c r="E457" s="1510"/>
      <c r="O457" s="1215"/>
      <c r="P457" s="1215"/>
      <c r="Q457" s="1215"/>
    </row>
    <row r="458" spans="2:17">
      <c r="B458" s="1520" t="s">
        <v>2507</v>
      </c>
      <c r="C458" s="1535">
        <v>76.400000000000006</v>
      </c>
      <c r="D458" s="1536">
        <v>76.400000000000006</v>
      </c>
      <c r="E458" s="1510"/>
      <c r="O458" s="1215"/>
      <c r="P458" s="1215"/>
      <c r="Q458" s="1215"/>
    </row>
    <row r="459" spans="2:17">
      <c r="B459" s="1520" t="s">
        <v>2670</v>
      </c>
      <c r="C459" s="1535">
        <v>1033.3</v>
      </c>
      <c r="D459" s="1536">
        <v>1033.3</v>
      </c>
      <c r="E459" s="1510" t="s">
        <v>2441</v>
      </c>
      <c r="O459" s="1215"/>
      <c r="P459" s="1215"/>
      <c r="Q459" s="1215"/>
    </row>
    <row r="460" spans="2:17">
      <c r="B460" s="1520" t="s">
        <v>2668</v>
      </c>
      <c r="C460" s="1535">
        <v>89.84</v>
      </c>
      <c r="D460" s="1536">
        <v>89.84</v>
      </c>
      <c r="E460" s="1510" t="s">
        <v>2441</v>
      </c>
      <c r="O460" s="1215"/>
      <c r="P460" s="1215"/>
      <c r="Q460" s="1215"/>
    </row>
    <row r="461" spans="2:17">
      <c r="B461" s="1520" t="s">
        <v>2672</v>
      </c>
      <c r="C461" s="1535">
        <v>51</v>
      </c>
      <c r="D461" s="1536">
        <v>51</v>
      </c>
      <c r="E461" s="1510" t="s">
        <v>2441</v>
      </c>
      <c r="O461" s="1215"/>
      <c r="P461" s="1215"/>
      <c r="Q461" s="1215"/>
    </row>
    <row r="462" spans="2:17">
      <c r="B462" s="1520" t="s">
        <v>2708</v>
      </c>
      <c r="C462" s="1535">
        <v>261.05</v>
      </c>
      <c r="D462" s="1536">
        <v>261.05</v>
      </c>
      <c r="E462" s="1510"/>
      <c r="O462" s="1215"/>
      <c r="P462" s="1215"/>
      <c r="Q462" s="1215"/>
    </row>
    <row r="463" spans="2:17">
      <c r="B463" s="1520" t="s">
        <v>2706</v>
      </c>
      <c r="C463" s="1535">
        <v>218.76</v>
      </c>
      <c r="D463" s="1536">
        <v>218.76</v>
      </c>
      <c r="E463" s="1510"/>
      <c r="O463" s="1215"/>
      <c r="P463" s="1215"/>
      <c r="Q463" s="1215"/>
    </row>
    <row r="464" spans="2:17">
      <c r="B464" s="1520" t="s">
        <v>2575</v>
      </c>
      <c r="C464" s="1535">
        <v>50</v>
      </c>
      <c r="D464" s="1536">
        <v>50</v>
      </c>
      <c r="E464" s="1510"/>
      <c r="O464" s="1215"/>
      <c r="P464" s="1215"/>
      <c r="Q464" s="1215"/>
    </row>
    <row r="465" spans="2:17">
      <c r="B465" s="1520" t="s">
        <v>2647</v>
      </c>
      <c r="C465" s="1535">
        <v>335.34</v>
      </c>
      <c r="D465" s="1536">
        <v>335.34</v>
      </c>
      <c r="E465" s="1510"/>
      <c r="O465" s="1215"/>
      <c r="P465" s="1215"/>
      <c r="Q465" s="1215"/>
    </row>
    <row r="466" spans="2:17">
      <c r="B466" s="1520" t="s">
        <v>2492</v>
      </c>
      <c r="C466" s="1535">
        <v>430.62</v>
      </c>
      <c r="D466" s="1536">
        <v>430.62</v>
      </c>
      <c r="E466" s="1510"/>
      <c r="O466" s="1215"/>
      <c r="P466" s="1215"/>
      <c r="Q466" s="1215"/>
    </row>
    <row r="467" spans="2:17">
      <c r="B467" s="1520" t="s">
        <v>2660</v>
      </c>
      <c r="C467" s="1535">
        <v>25.56</v>
      </c>
      <c r="D467" s="1536">
        <v>25.56</v>
      </c>
      <c r="E467" s="1510"/>
      <c r="O467" s="1215"/>
      <c r="P467" s="1215"/>
      <c r="Q467" s="1215"/>
    </row>
    <row r="468" spans="2:17">
      <c r="B468" s="1520" t="s">
        <v>2661</v>
      </c>
      <c r="C468" s="1535">
        <v>242.16</v>
      </c>
      <c r="D468" s="1536">
        <v>242.16</v>
      </c>
      <c r="E468" s="1510"/>
      <c r="O468" s="1215"/>
      <c r="P468" s="1215"/>
      <c r="Q468" s="1215"/>
    </row>
    <row r="469" spans="2:17">
      <c r="B469" s="1520" t="s">
        <v>2713</v>
      </c>
      <c r="C469" s="1535">
        <v>2101.6799999999998</v>
      </c>
      <c r="D469" s="1536">
        <v>2101.6799999999998</v>
      </c>
      <c r="E469" s="1510" t="s">
        <v>2441</v>
      </c>
      <c r="O469" s="1215"/>
      <c r="P469" s="1215"/>
      <c r="Q469" s="1215"/>
    </row>
    <row r="470" spans="2:17">
      <c r="B470" s="1520" t="s">
        <v>2584</v>
      </c>
      <c r="C470" s="1535">
        <v>1946.64</v>
      </c>
      <c r="D470" s="1536">
        <v>1946.64</v>
      </c>
      <c r="E470" s="1510" t="s">
        <v>2441</v>
      </c>
      <c r="O470" s="1215"/>
      <c r="P470" s="1215"/>
      <c r="Q470" s="1215"/>
    </row>
    <row r="471" spans="2:17">
      <c r="B471" s="1520" t="s">
        <v>2463</v>
      </c>
      <c r="C471" s="1535">
        <v>81.98</v>
      </c>
      <c r="D471" s="1536">
        <v>81.98</v>
      </c>
      <c r="E471" s="1510"/>
      <c r="O471" s="1215"/>
      <c r="P471" s="1215"/>
      <c r="Q471" s="1215"/>
    </row>
    <row r="472" spans="2:17">
      <c r="B472" s="1520" t="s">
        <v>2505</v>
      </c>
      <c r="C472" s="1535">
        <v>471.37</v>
      </c>
      <c r="D472" s="1536">
        <v>471.37</v>
      </c>
      <c r="E472" s="1510"/>
      <c r="O472" s="1215"/>
      <c r="P472" s="1215"/>
      <c r="Q472" s="1215"/>
    </row>
    <row r="473" spans="2:17">
      <c r="B473" s="1520" t="s">
        <v>2534</v>
      </c>
      <c r="C473" s="1535">
        <v>55</v>
      </c>
      <c r="D473" s="1536">
        <v>55</v>
      </c>
      <c r="E473" s="1510"/>
      <c r="O473" s="1215"/>
      <c r="P473" s="1215"/>
      <c r="Q473" s="1215"/>
    </row>
    <row r="474" spans="2:17">
      <c r="B474" s="1520" t="s">
        <v>2698</v>
      </c>
      <c r="C474" s="1535">
        <v>906.04</v>
      </c>
      <c r="D474" s="1536">
        <v>906.04</v>
      </c>
      <c r="E474" s="1510" t="s">
        <v>2441</v>
      </c>
      <c r="O474" s="1215"/>
      <c r="P474" s="1215"/>
      <c r="Q474" s="1215"/>
    </row>
    <row r="475" spans="2:17">
      <c r="B475" s="1520" t="s">
        <v>2619</v>
      </c>
      <c r="C475" s="1535">
        <v>87.42</v>
      </c>
      <c r="D475" s="1536">
        <v>87.42</v>
      </c>
      <c r="E475" s="1510"/>
      <c r="O475" s="1215"/>
      <c r="P475" s="1215"/>
      <c r="Q475" s="1215"/>
    </row>
    <row r="476" spans="2:17">
      <c r="B476" s="1520" t="s">
        <v>2703</v>
      </c>
      <c r="C476" s="1535">
        <v>185.55</v>
      </c>
      <c r="D476" s="1536">
        <v>185.55</v>
      </c>
      <c r="E476" s="1510"/>
      <c r="O476" s="1215"/>
      <c r="P476" s="1215"/>
      <c r="Q476" s="1215"/>
    </row>
    <row r="477" spans="2:17">
      <c r="B477" s="1520" t="s">
        <v>2603</v>
      </c>
      <c r="C477" s="1535">
        <v>54.95</v>
      </c>
      <c r="D477" s="1536">
        <v>54.95</v>
      </c>
      <c r="E477" s="1510"/>
      <c r="O477" s="1215"/>
      <c r="P477" s="1215"/>
      <c r="Q477" s="1215"/>
    </row>
    <row r="478" spans="2:17">
      <c r="B478" s="1520" t="s">
        <v>2675</v>
      </c>
      <c r="C478" s="1535">
        <v>109.98</v>
      </c>
      <c r="D478" s="1536">
        <v>109.98</v>
      </c>
      <c r="E478" s="1510"/>
      <c r="O478" s="1215"/>
      <c r="P478" s="1215"/>
      <c r="Q478" s="1215"/>
    </row>
    <row r="479" spans="2:17">
      <c r="B479" s="1520" t="s">
        <v>2676</v>
      </c>
      <c r="C479" s="1535">
        <v>224.68</v>
      </c>
      <c r="D479" s="1536">
        <v>224.68</v>
      </c>
      <c r="E479" s="1510"/>
      <c r="O479" s="1215"/>
      <c r="P479" s="1215"/>
      <c r="Q479" s="1215"/>
    </row>
    <row r="480" spans="2:17">
      <c r="B480" s="1520" t="s">
        <v>2752</v>
      </c>
      <c r="C480" s="1535">
        <v>351.5</v>
      </c>
      <c r="D480" s="1536">
        <v>351.5</v>
      </c>
      <c r="E480" s="1510"/>
      <c r="O480" s="1215"/>
      <c r="P480" s="1215"/>
      <c r="Q480" s="1215"/>
    </row>
    <row r="481" spans="2:17">
      <c r="B481" s="1520" t="s">
        <v>2535</v>
      </c>
      <c r="C481" s="1535">
        <v>22.82</v>
      </c>
      <c r="D481" s="1536">
        <v>22.82</v>
      </c>
      <c r="E481" s="1510"/>
      <c r="O481" s="1215"/>
      <c r="P481" s="1215"/>
      <c r="Q481" s="1215"/>
    </row>
    <row r="482" spans="2:17">
      <c r="B482" s="1520" t="s">
        <v>2531</v>
      </c>
      <c r="C482" s="1535">
        <v>480.72</v>
      </c>
      <c r="D482" s="1536">
        <v>480.72</v>
      </c>
      <c r="E482" s="1510"/>
      <c r="O482" s="1215"/>
      <c r="P482" s="1215"/>
      <c r="Q482" s="1215"/>
    </row>
    <row r="483" spans="2:17">
      <c r="B483" s="1520" t="s">
        <v>2700</v>
      </c>
      <c r="C483" s="1535">
        <v>76.989999999999995</v>
      </c>
      <c r="D483" s="1536">
        <v>76.989999999999995</v>
      </c>
      <c r="E483" s="1510"/>
      <c r="O483" s="1215"/>
      <c r="P483" s="1215"/>
      <c r="Q483" s="1215"/>
    </row>
    <row r="484" spans="2:17">
      <c r="B484" s="1520" t="s">
        <v>2701</v>
      </c>
      <c r="C484" s="1535">
        <v>75.22</v>
      </c>
      <c r="D484" s="1536">
        <v>75.22</v>
      </c>
      <c r="E484" s="1510"/>
      <c r="O484" s="1215"/>
      <c r="P484" s="1215"/>
      <c r="Q484" s="1215"/>
    </row>
    <row r="485" spans="2:17">
      <c r="B485" s="1520" t="s">
        <v>2666</v>
      </c>
      <c r="C485" s="1535">
        <v>54.21</v>
      </c>
      <c r="D485" s="1536">
        <v>54.21</v>
      </c>
      <c r="E485" s="1510"/>
      <c r="O485" s="1215"/>
      <c r="P485" s="1215"/>
      <c r="Q485" s="1215"/>
    </row>
    <row r="486" spans="2:17">
      <c r="B486" s="1520" t="s">
        <v>2498</v>
      </c>
      <c r="C486" s="1535">
        <v>98.679999999999993</v>
      </c>
      <c r="D486" s="1536">
        <v>98.679999999999993</v>
      </c>
      <c r="E486" s="1510"/>
      <c r="O486" s="1215"/>
      <c r="P486" s="1215"/>
      <c r="Q486" s="1215"/>
    </row>
    <row r="487" spans="2:17">
      <c r="B487" s="1520" t="s">
        <v>2738</v>
      </c>
      <c r="C487" s="1535">
        <v>165.08</v>
      </c>
      <c r="D487" s="1536">
        <v>165.08</v>
      </c>
      <c r="E487" s="1510"/>
      <c r="O487" s="1215"/>
      <c r="P487" s="1215"/>
      <c r="Q487" s="1215"/>
    </row>
    <row r="488" spans="2:17">
      <c r="B488" s="1520" t="s">
        <v>2566</v>
      </c>
      <c r="C488" s="1535">
        <v>571.49</v>
      </c>
      <c r="D488" s="1536">
        <v>571.49</v>
      </c>
      <c r="E488" s="1510"/>
      <c r="O488" s="1215"/>
      <c r="P488" s="1215"/>
      <c r="Q488" s="1215"/>
    </row>
    <row r="489" spans="2:17">
      <c r="B489" s="1520" t="s">
        <v>2702</v>
      </c>
      <c r="C489" s="1535">
        <v>610.58000000000004</v>
      </c>
      <c r="D489" s="1536">
        <v>610.58000000000004</v>
      </c>
      <c r="E489" s="1510"/>
      <c r="O489" s="1215"/>
      <c r="P489" s="1215"/>
      <c r="Q489" s="1215"/>
    </row>
    <row r="490" spans="2:17">
      <c r="B490" s="1520" t="s">
        <v>2537</v>
      </c>
      <c r="C490" s="1535">
        <v>827.95</v>
      </c>
      <c r="D490" s="1536">
        <v>827.95</v>
      </c>
      <c r="E490" s="1510"/>
      <c r="O490" s="1215"/>
      <c r="P490" s="1215"/>
      <c r="Q490" s="1215"/>
    </row>
    <row r="491" spans="2:17">
      <c r="B491" s="1520" t="s">
        <v>2605</v>
      </c>
      <c r="C491" s="1535">
        <v>67.94</v>
      </c>
      <c r="D491" s="1536">
        <v>67.94</v>
      </c>
      <c r="E491" s="1510"/>
      <c r="O491" s="1215"/>
      <c r="P491" s="1215"/>
      <c r="Q491" s="1215"/>
    </row>
    <row r="492" spans="2:17">
      <c r="B492" s="1520" t="s">
        <v>2613</v>
      </c>
      <c r="C492" s="1535">
        <v>51.54</v>
      </c>
      <c r="D492" s="1536">
        <v>51.54</v>
      </c>
      <c r="E492" s="1510"/>
      <c r="O492" s="1215"/>
      <c r="P492" s="1215"/>
      <c r="Q492" s="1215"/>
    </row>
    <row r="493" spans="2:17">
      <c r="B493" s="1520" t="s">
        <v>2656</v>
      </c>
      <c r="C493" s="1535">
        <v>128.21</v>
      </c>
      <c r="D493" s="1536">
        <v>128.21</v>
      </c>
      <c r="E493" s="1510"/>
      <c r="O493" s="1215"/>
      <c r="P493" s="1215"/>
      <c r="Q493" s="1215"/>
    </row>
    <row r="494" spans="2:17">
      <c r="B494" s="1520" t="s">
        <v>2544</v>
      </c>
      <c r="C494" s="1535">
        <v>126.91</v>
      </c>
      <c r="D494" s="1536">
        <v>126.91</v>
      </c>
      <c r="E494" s="1510"/>
      <c r="O494" s="1215"/>
      <c r="P494" s="1215"/>
      <c r="Q494" s="1215"/>
    </row>
    <row r="495" spans="2:17">
      <c r="B495" s="1520" t="s">
        <v>2722</v>
      </c>
      <c r="C495" s="1535">
        <v>95.52000000000001</v>
      </c>
      <c r="D495" s="1536">
        <v>95.52000000000001</v>
      </c>
      <c r="E495" s="1510"/>
      <c r="O495" s="1215"/>
      <c r="P495" s="1215"/>
      <c r="Q495" s="1215"/>
    </row>
    <row r="496" spans="2:17">
      <c r="B496" s="1520" t="s">
        <v>2467</v>
      </c>
      <c r="C496" s="1535">
        <v>675</v>
      </c>
      <c r="D496" s="1536">
        <v>675</v>
      </c>
      <c r="E496" s="1510"/>
      <c r="O496" s="1215"/>
      <c r="P496" s="1215"/>
      <c r="Q496" s="1215"/>
    </row>
    <row r="497" spans="2:17">
      <c r="B497" s="1520" t="s">
        <v>2555</v>
      </c>
      <c r="C497" s="1535">
        <v>5000</v>
      </c>
      <c r="D497" s="1536">
        <v>5000</v>
      </c>
      <c r="E497" s="1510" t="s">
        <v>2441</v>
      </c>
      <c r="O497" s="1215"/>
      <c r="P497" s="1215"/>
      <c r="Q497" s="1215"/>
    </row>
    <row r="498" spans="2:17">
      <c r="B498" s="1520" t="s">
        <v>2636</v>
      </c>
      <c r="C498" s="1535">
        <v>126.43</v>
      </c>
      <c r="D498" s="1536">
        <v>126.43</v>
      </c>
      <c r="E498" s="1510"/>
      <c r="O498" s="1215"/>
      <c r="P498" s="1215"/>
      <c r="Q498" s="1215"/>
    </row>
    <row r="499" spans="2:17">
      <c r="B499" s="1520" t="s">
        <v>2567</v>
      </c>
      <c r="C499" s="1535">
        <v>1105.04</v>
      </c>
      <c r="D499" s="1536">
        <v>1105.04</v>
      </c>
      <c r="E499" s="1510"/>
      <c r="F499" s="1509" t="s">
        <v>2758</v>
      </c>
      <c r="O499" s="1215"/>
      <c r="P499" s="1215"/>
      <c r="Q499" s="1215"/>
    </row>
    <row r="500" spans="2:17">
      <c r="B500" s="1520" t="s">
        <v>2723</v>
      </c>
      <c r="C500" s="1535">
        <v>489.67</v>
      </c>
      <c r="D500" s="1536">
        <v>489.67</v>
      </c>
      <c r="E500" s="1510"/>
      <c r="O500" s="1215"/>
      <c r="P500" s="1215"/>
      <c r="Q500" s="1215"/>
    </row>
    <row r="501" spans="2:17">
      <c r="B501" s="1520" t="s">
        <v>2751</v>
      </c>
      <c r="C501" s="1535">
        <v>272.13</v>
      </c>
      <c r="D501" s="1536">
        <v>272.13</v>
      </c>
      <c r="E501" s="1510"/>
      <c r="O501" s="1215"/>
      <c r="P501" s="1215"/>
      <c r="Q501" s="1215"/>
    </row>
    <row r="502" spans="2:17">
      <c r="B502" s="1520" t="s">
        <v>2462</v>
      </c>
      <c r="C502" s="1535">
        <v>1055.3700000000001</v>
      </c>
      <c r="D502" s="1536">
        <v>1055.3700000000001</v>
      </c>
      <c r="E502" s="1510"/>
      <c r="O502" s="1215"/>
      <c r="P502" s="1215"/>
      <c r="Q502" s="1215"/>
    </row>
    <row r="503" spans="2:17">
      <c r="B503" s="1520" t="s">
        <v>303</v>
      </c>
      <c r="C503" s="1535">
        <v>110896.7799999999</v>
      </c>
      <c r="D503" s="1541">
        <v>110896.7799999999</v>
      </c>
      <c r="E503" s="1510"/>
      <c r="O503" s="1215"/>
      <c r="P503" s="1215"/>
      <c r="Q503" s="1215"/>
    </row>
    <row r="504" spans="2:17">
      <c r="E504" s="1510"/>
      <c r="O504" s="1215"/>
      <c r="P504" s="1215"/>
      <c r="Q504" s="1215"/>
    </row>
    <row r="505" spans="2:17">
      <c r="C505" s="1513" t="s">
        <v>703</v>
      </c>
      <c r="D505" s="1537">
        <f>SUMIF($E$347:$E$502,E505,$D$347:$D$502)</f>
        <v>33816.18</v>
      </c>
      <c r="E505" s="1510" t="s">
        <v>2441</v>
      </c>
      <c r="O505" s="1215"/>
      <c r="P505" s="1215"/>
      <c r="Q505" s="1215"/>
    </row>
    <row r="506" spans="2:17">
      <c r="O506" s="1215"/>
      <c r="P506" s="1215"/>
      <c r="Q506" s="1215"/>
    </row>
    <row r="507" spans="2:17">
      <c r="O507" s="1215"/>
      <c r="P507" s="1215"/>
      <c r="Q507" s="1215"/>
    </row>
  </sheetData>
  <dataValidations disablePrompts="1" count="1">
    <dataValidation type="list" allowBlank="1" showInputMessage="1" showErrorMessage="1" sqref="P15">
      <formula1>"All,Posted/Unposted,Posted,Unposted,Staged"</formula1>
    </dataValidation>
  </dataValidations>
  <pageMargins left="0.27" right="0.28999999999999998" top="0.37" bottom="0.43" header="0.25" footer="0.25"/>
  <pageSetup scale="43" fitToHeight="0" orientation="landscape" r:id="rId2"/>
  <headerFooter alignWithMargins="0">
    <oddHeader>&amp;L&amp;8 &amp;C&amp;"-,Bold"CONFIDENTIAL PER WAC 480-07-160&amp;R&amp;8 &amp;D-&amp;T-Jeff Honsowetz</oddHeader>
    <oddFooter>&amp;L&amp;"Arial"&amp;L&amp;08 Path:D:\Data_WCNX\Financials\MidMonths\BrentProject\\&amp;F-&amp;A&amp;R&amp;"Arial"&amp;R&amp;08  Page &amp;P</oddFooter>
  </headerFooter>
  <rowBreaks count="1" manualBreakCount="1">
    <brk id="383" max="13" man="1"/>
  </rowBreaks>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pageSetUpPr fitToPage="1"/>
  </sheetPr>
  <dimension ref="A1:AS110"/>
  <sheetViews>
    <sheetView showGridLines="0" view="pageBreakPreview" topLeftCell="B9" zoomScale="60" zoomScaleNormal="80" workbookViewId="0">
      <pane ySplit="11" topLeftCell="A69" activePane="bottomLeft" state="frozen"/>
      <selection activeCell="AP280" sqref="AP280"/>
      <selection pane="bottomLeft" activeCell="AP280" sqref="AP280"/>
    </sheetView>
  </sheetViews>
  <sheetFormatPr defaultRowHeight="12.75" outlineLevelRow="1"/>
  <cols>
    <col min="1" max="1" width="2.7109375" style="220" customWidth="1"/>
    <col min="2" max="2" width="46.42578125" style="220" customWidth="1"/>
    <col min="3" max="3" width="19.85546875" style="220" customWidth="1"/>
    <col min="4" max="5" width="18.7109375" style="220" customWidth="1"/>
    <col min="6" max="6" width="12.28515625" style="220" customWidth="1"/>
    <col min="7" max="7" width="19" style="220" customWidth="1"/>
    <col min="8" max="8" width="7.85546875" style="220" customWidth="1"/>
    <col min="9" max="9" width="30.28515625" style="220" customWidth="1"/>
    <col min="10" max="10" width="10.28515625" style="220" customWidth="1"/>
    <col min="11" max="11" width="13.5703125" style="220" customWidth="1"/>
    <col min="12" max="12" width="15.140625" style="220" customWidth="1"/>
    <col min="13" max="13" width="29.85546875" style="220" customWidth="1"/>
    <col min="14" max="14" width="38.5703125" style="220" customWidth="1"/>
    <col min="15" max="15" width="11.42578125" style="220" customWidth="1"/>
    <col min="16" max="16" width="35.140625" style="220" customWidth="1"/>
    <col min="17" max="17" width="18" style="220" customWidth="1"/>
    <col min="18" max="18" width="14.140625" style="220" customWidth="1"/>
    <col min="19" max="19" width="17.7109375" style="220" customWidth="1"/>
    <col min="20" max="20" width="12.7109375" style="220" customWidth="1"/>
    <col min="21" max="21" width="15.85546875" style="220" customWidth="1"/>
    <col min="22" max="22" width="13.7109375" style="220" bestFit="1" customWidth="1"/>
    <col min="23" max="23" width="13.28515625" style="220" customWidth="1"/>
    <col min="24" max="24" width="12.28515625" style="220" customWidth="1"/>
    <col min="25" max="25" width="11.5703125" style="220" customWidth="1"/>
    <col min="26" max="26" width="9.85546875" style="220" customWidth="1"/>
    <col min="27" max="27" width="11.42578125" style="220" customWidth="1"/>
    <col min="28" max="28" width="11" style="220" customWidth="1"/>
    <col min="29" max="29" width="11.5703125" style="220" customWidth="1"/>
    <col min="30" max="30" width="7" style="220" customWidth="1"/>
    <col min="31" max="31" width="11.140625" style="220" customWidth="1"/>
    <col min="32" max="32" width="11" style="220" customWidth="1"/>
    <col min="33" max="33" width="8.5703125" style="220" customWidth="1"/>
    <col min="34" max="34" width="8.42578125" style="220" customWidth="1"/>
    <col min="35" max="36" width="10.28515625" style="220" customWidth="1"/>
    <col min="37" max="37" width="10.140625" style="220" customWidth="1"/>
    <col min="38" max="38" width="10.42578125" style="220" customWidth="1"/>
    <col min="39" max="39" width="21.140625" style="220" customWidth="1"/>
    <col min="40" max="42" width="18.85546875" style="220" customWidth="1"/>
    <col min="43" max="43" width="20.42578125" style="220" customWidth="1"/>
    <col min="44" max="44" width="9.140625" style="220" customWidth="1"/>
    <col min="45" max="45" width="9.140625" style="220" hidden="1" customWidth="1"/>
    <col min="46" max="46" width="9.140625" style="220" customWidth="1"/>
    <col min="47" max="16384" width="9.140625" style="220"/>
  </cols>
  <sheetData>
    <row r="1" spans="1:43" hidden="1" outlineLevel="1">
      <c r="A1" s="223" t="b">
        <v>1</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row>
    <row r="2" spans="1:43" hidden="1" outlineLevel="1">
      <c r="B2" s="220" t="s">
        <v>414</v>
      </c>
      <c r="C2" s="220" t="s">
        <v>415</v>
      </c>
      <c r="D2" s="224" t="s">
        <v>416</v>
      </c>
      <c r="E2" s="224" t="s">
        <v>417</v>
      </c>
      <c r="F2" s="224" t="s">
        <v>418</v>
      </c>
      <c r="G2" s="220" t="s">
        <v>419</v>
      </c>
      <c r="H2" s="220" t="s">
        <v>420</v>
      </c>
      <c r="I2" s="220" t="s">
        <v>421</v>
      </c>
      <c r="J2" s="220" t="s">
        <v>422</v>
      </c>
      <c r="K2" s="220" t="s">
        <v>423</v>
      </c>
      <c r="L2" s="220" t="s">
        <v>424</v>
      </c>
      <c r="M2" s="220" t="s">
        <v>425</v>
      </c>
      <c r="N2" s="220" t="s">
        <v>426</v>
      </c>
      <c r="O2" s="220" t="s">
        <v>427</v>
      </c>
      <c r="P2" s="220" t="s">
        <v>428</v>
      </c>
      <c r="Q2" s="220" t="s">
        <v>429</v>
      </c>
      <c r="R2" s="220" t="s">
        <v>430</v>
      </c>
      <c r="S2" s="220" t="s">
        <v>431</v>
      </c>
      <c r="T2" s="220" t="s">
        <v>432</v>
      </c>
      <c r="U2" s="220" t="s">
        <v>433</v>
      </c>
      <c r="V2" s="220" t="s">
        <v>434</v>
      </c>
      <c r="W2" s="220" t="s">
        <v>435</v>
      </c>
      <c r="X2" s="220" t="s">
        <v>436</v>
      </c>
      <c r="Y2" s="220" t="s">
        <v>437</v>
      </c>
      <c r="Z2" s="220" t="s">
        <v>438</v>
      </c>
      <c r="AA2" s="220" t="s">
        <v>439</v>
      </c>
      <c r="AB2" s="220" t="s">
        <v>440</v>
      </c>
      <c r="AC2" s="220" t="s">
        <v>441</v>
      </c>
      <c r="AD2" s="220" t="s">
        <v>442</v>
      </c>
      <c r="AE2" s="220" t="s">
        <v>443</v>
      </c>
      <c r="AF2" s="220" t="s">
        <v>444</v>
      </c>
      <c r="AG2" s="220" t="s">
        <v>445</v>
      </c>
      <c r="AH2" s="220" t="s">
        <v>446</v>
      </c>
      <c r="AI2" s="220" t="s">
        <v>447</v>
      </c>
      <c r="AJ2" s="220" t="s">
        <v>448</v>
      </c>
      <c r="AK2" s="220" t="s">
        <v>449</v>
      </c>
      <c r="AL2" s="220" t="s">
        <v>450</v>
      </c>
      <c r="AM2" s="220" t="s">
        <v>451</v>
      </c>
      <c r="AN2" s="220" t="s">
        <v>452</v>
      </c>
      <c r="AO2" s="220" t="s">
        <v>453</v>
      </c>
      <c r="AP2" s="220" t="s">
        <v>454</v>
      </c>
      <c r="AQ2" s="224"/>
    </row>
    <row r="3" spans="1:43" hidden="1" outlineLevel="1">
      <c r="A3" s="223" t="s">
        <v>455</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row>
    <row r="4" spans="1:43" hidden="1" outlineLevel="1">
      <c r="Q4" s="220" t="str">
        <f ca="1">_xll.ReportDrill('[56]JE Lookup'!B1,,_xll.PairGroup(_xll.Pair(G20:G79,'[56]JE Lookup'!N8),_xll.Pair(AB20:AB79,'[56]JE Lookup'!N7)),"JE Lookup")</f>
        <v>OK!: ReportDrill 'JE Lookup' Formula OK [jAction{}]</v>
      </c>
      <c r="U4" s="220" t="str">
        <f ca="1">_xll.ReportDrill(,"APDrill",_xll.PairGroup(_xll.PairExt(AQ20:AQ79,"H8")),"AP Detail")</f>
        <v>OK!: ReportDrill 'AP Detail' Formula OK [jAction{}]</v>
      </c>
      <c r="Y4" s="220" t="str">
        <f ca="1">_xll.ReportDrill(,"JEStaged_DrillToDetail",_xll.PairGroup(_xll.PairExt(Q19:Q79,"dControlNum",TRUE),_xll.PairExt(AP19:AP79,"dDistrict",TRUE),_xll.PairExt(AO19:AO79,"dApplyMonth",TRUE)),"JE Staged Details")</f>
        <v>OK!: ReportDrill 'JE Staged Details' Formula OK [jAction{}]</v>
      </c>
    </row>
    <row r="5" spans="1:43" hidden="1" outlineLevel="1">
      <c r="B5" s="220" t="str">
        <f ca="1">_xll.ReportRange("JEQuery_WithStaged",B20:AS78,B2:AS2,,_xll.Param(I12,DateTo,IF(M12="","all",M12),M13,M14,M15,P12,P13,P14,P15,EntrieShownLimit,DateFrom,DateTo),TRUE)</f>
        <v>OK!: ReportRange Formula OK [jAction{}]</v>
      </c>
      <c r="Q5" s="220" t="str">
        <f ca="1">_xll.ReportDrill('[56]JE Lookup'!B1,,_xll.PairGroup(_xll.Pair(V20:V79,'[56]JE Lookup'!N8),_xll.Pair(AS20:AS79,'[56]JE Lookup'!N7)),"I/C Originating JE")</f>
        <v>OK!: ReportDrill 'I/C Originating JE' Formula OK [jAction{}]</v>
      </c>
    </row>
    <row r="6" spans="1:43" hidden="1" outlineLevel="1">
      <c r="B6" s="222" t="s">
        <v>456</v>
      </c>
      <c r="D6" s="220">
        <v>10000</v>
      </c>
    </row>
    <row r="7" spans="1:43" hidden="1" outlineLevel="1">
      <c r="A7" s="223" t="s">
        <v>457</v>
      </c>
      <c r="B7" s="22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row>
    <row r="8" spans="1:43" hidden="1" outlineLevel="1">
      <c r="B8" s="225" t="s">
        <v>458</v>
      </c>
      <c r="C8" s="220" t="str">
        <f>IF(DateFrom="",CurrentMonth,DateFrom)</f>
        <v>2018-12</v>
      </c>
      <c r="E8" s="225" t="s">
        <v>459</v>
      </c>
      <c r="G8" s="220" t="str">
        <f>IF(DateTo="",CurrentMonth,DateTo)</f>
        <v>2019-11</v>
      </c>
      <c r="I8" s="225" t="s">
        <v>460</v>
      </c>
      <c r="J8" s="226" t="str">
        <f ca="1">TEXT(NOW() - 15,"yyyy-mm")</f>
        <v>2020-01</v>
      </c>
    </row>
    <row r="9" spans="1:43" ht="18" collapsed="1">
      <c r="B9" s="227" t="s">
        <v>461</v>
      </c>
      <c r="G9" s="228" t="s">
        <v>462</v>
      </c>
      <c r="P9" s="229"/>
      <c r="U9" s="222"/>
    </row>
    <row r="10" spans="1:43" ht="14.25">
      <c r="B10" s="224" t="s">
        <v>463</v>
      </c>
      <c r="G10" s="230"/>
      <c r="P10" s="229"/>
      <c r="U10" s="222"/>
    </row>
    <row r="11" spans="1:43">
      <c r="G11" s="231" t="s">
        <v>464</v>
      </c>
      <c r="H11" s="232"/>
      <c r="I11" s="233"/>
      <c r="L11" s="232" t="s">
        <v>465</v>
      </c>
      <c r="M11" s="232"/>
      <c r="N11" s="232"/>
      <c r="O11" s="232"/>
      <c r="P11" s="232"/>
      <c r="U11" s="224"/>
    </row>
    <row r="12" spans="1:43" s="222" customFormat="1">
      <c r="D12" s="578" t="s">
        <v>1078</v>
      </c>
      <c r="E12" s="256">
        <f>SUM(D41:D42,D45:D47,D52,D54:D56)</f>
        <v>3360.76</v>
      </c>
      <c r="H12" s="234" t="s">
        <v>466</v>
      </c>
      <c r="I12" s="235" t="s">
        <v>944</v>
      </c>
      <c r="K12" s="236"/>
      <c r="L12" s="222" t="s">
        <v>467</v>
      </c>
      <c r="M12" s="235" t="s">
        <v>167</v>
      </c>
      <c r="O12" s="234" t="s">
        <v>468</v>
      </c>
      <c r="P12" s="237"/>
      <c r="Z12" s="220"/>
      <c r="AA12" s="220"/>
      <c r="AB12" s="220"/>
      <c r="AH12" s="220"/>
      <c r="AI12" s="220"/>
      <c r="AJ12" s="220"/>
      <c r="AK12" s="220"/>
      <c r="AL12" s="220"/>
    </row>
    <row r="13" spans="1:43" s="222" customFormat="1">
      <c r="D13" s="579" t="s">
        <v>1079</v>
      </c>
      <c r="E13" s="256">
        <f>SUM(D21,D51,D25)</f>
        <v>1026</v>
      </c>
      <c r="H13" s="234" t="s">
        <v>469</v>
      </c>
      <c r="I13" s="235" t="s">
        <v>941</v>
      </c>
      <c r="K13" s="236"/>
      <c r="L13" s="222" t="s">
        <v>470</v>
      </c>
      <c r="M13" s="235" t="s">
        <v>1080</v>
      </c>
      <c r="N13" s="220"/>
      <c r="O13" s="234" t="s">
        <v>471</v>
      </c>
      <c r="P13" s="238"/>
      <c r="Q13" s="239"/>
      <c r="Z13" s="220"/>
      <c r="AA13" s="220"/>
      <c r="AB13" s="220"/>
      <c r="AH13" s="220"/>
      <c r="AI13" s="220"/>
      <c r="AJ13" s="220"/>
      <c r="AK13" s="220"/>
      <c r="AL13" s="220"/>
    </row>
    <row r="14" spans="1:43">
      <c r="L14" s="222" t="s">
        <v>188</v>
      </c>
      <c r="M14" s="235" t="s">
        <v>187</v>
      </c>
      <c r="O14" s="234" t="s">
        <v>472</v>
      </c>
      <c r="P14" s="238"/>
      <c r="Q14" s="239"/>
    </row>
    <row r="15" spans="1:43">
      <c r="L15" s="222" t="s">
        <v>309</v>
      </c>
      <c r="M15" s="235" t="s">
        <v>187</v>
      </c>
      <c r="O15" s="234" t="s">
        <v>473</v>
      </c>
      <c r="P15" s="240" t="s">
        <v>474</v>
      </c>
    </row>
    <row r="16" spans="1:43">
      <c r="B16" s="241" t="s">
        <v>475</v>
      </c>
      <c r="C16" s="242"/>
      <c r="D16" s="243">
        <f>SUM(D19:D79)</f>
        <v>27689.46000000001</v>
      </c>
      <c r="E16" s="243">
        <f>SUM(E19:E79)</f>
        <v>0</v>
      </c>
      <c r="F16" s="220" t="s">
        <v>476</v>
      </c>
      <c r="N16" s="244"/>
      <c r="O16" s="244"/>
      <c r="P16" s="244"/>
      <c r="Q16" s="244"/>
    </row>
    <row r="17" spans="2:45">
      <c r="B17" s="241" t="s">
        <v>477</v>
      </c>
      <c r="C17" s="242"/>
      <c r="D17" s="245">
        <f>COUNT(D20:D80)</f>
        <v>58</v>
      </c>
      <c r="E17" s="245">
        <f>COUNT(E20:E80)</f>
        <v>58</v>
      </c>
      <c r="F17" s="224" t="s">
        <v>478</v>
      </c>
      <c r="G17" s="246" t="str">
        <f>""&amp;EntrieShownLimit</f>
        <v>10000</v>
      </c>
    </row>
    <row r="18" spans="2:45">
      <c r="O18" s="247"/>
      <c r="R18" s="569" t="s">
        <v>479</v>
      </c>
      <c r="S18" s="570"/>
      <c r="T18" s="570"/>
      <c r="U18" s="570"/>
      <c r="V18" s="570"/>
      <c r="W18" s="570"/>
      <c r="X18" s="570"/>
      <c r="Y18" s="570"/>
      <c r="Z18" s="571"/>
      <c r="AA18" s="571"/>
      <c r="AB18" s="571"/>
      <c r="AC18" s="571"/>
      <c r="AD18" s="571"/>
      <c r="AE18" s="571"/>
      <c r="AF18" s="571"/>
      <c r="AG18" s="571"/>
      <c r="AH18" s="571"/>
      <c r="AI18" s="571"/>
      <c r="AJ18" s="571"/>
      <c r="AK18" s="571"/>
      <c r="AL18" s="571"/>
      <c r="AM18" s="571"/>
      <c r="AN18" s="571"/>
      <c r="AO18" s="571"/>
      <c r="AP18" s="571"/>
      <c r="AQ18" s="571"/>
    </row>
    <row r="19" spans="2:45" s="248" customFormat="1" ht="29.25" customHeight="1" thickBot="1">
      <c r="B19" s="249" t="s">
        <v>480</v>
      </c>
      <c r="C19" s="250" t="s">
        <v>481</v>
      </c>
      <c r="D19" s="251" t="s">
        <v>482</v>
      </c>
      <c r="E19" s="251" t="s">
        <v>483</v>
      </c>
      <c r="F19" s="251" t="s">
        <v>484</v>
      </c>
      <c r="G19" s="252" t="s">
        <v>485</v>
      </c>
      <c r="H19" s="249" t="s">
        <v>486</v>
      </c>
      <c r="I19" s="249" t="s">
        <v>487</v>
      </c>
      <c r="J19" s="249" t="s">
        <v>422</v>
      </c>
      <c r="K19" s="249" t="s">
        <v>488</v>
      </c>
      <c r="L19" s="249" t="s">
        <v>489</v>
      </c>
      <c r="M19" s="249" t="s">
        <v>490</v>
      </c>
      <c r="N19" s="249" t="s">
        <v>491</v>
      </c>
      <c r="O19" s="253" t="s">
        <v>492</v>
      </c>
      <c r="P19" s="249" t="s">
        <v>493</v>
      </c>
      <c r="Q19" s="249" t="s">
        <v>494</v>
      </c>
      <c r="R19" s="249" t="s">
        <v>495</v>
      </c>
      <c r="S19" s="249" t="s">
        <v>496</v>
      </c>
      <c r="T19" s="249" t="s">
        <v>497</v>
      </c>
      <c r="U19" s="249" t="s">
        <v>498</v>
      </c>
      <c r="V19" s="249" t="s">
        <v>499</v>
      </c>
      <c r="W19" s="249" t="s">
        <v>500</v>
      </c>
      <c r="X19" s="249" t="s">
        <v>501</v>
      </c>
      <c r="Y19" s="249" t="s">
        <v>502</v>
      </c>
      <c r="Z19" s="249" t="s">
        <v>503</v>
      </c>
      <c r="AA19" s="249" t="s">
        <v>504</v>
      </c>
      <c r="AB19" s="249" t="s">
        <v>505</v>
      </c>
      <c r="AC19" s="254" t="s">
        <v>506</v>
      </c>
      <c r="AD19" s="254" t="s">
        <v>507</v>
      </c>
      <c r="AE19" s="254" t="s">
        <v>508</v>
      </c>
      <c r="AF19" s="254" t="s">
        <v>509</v>
      </c>
      <c r="AG19" s="254" t="s">
        <v>510</v>
      </c>
      <c r="AH19" s="254" t="s">
        <v>511</v>
      </c>
      <c r="AI19" s="250" t="s">
        <v>512</v>
      </c>
      <c r="AJ19" s="250" t="s">
        <v>513</v>
      </c>
      <c r="AK19" s="250" t="s">
        <v>514</v>
      </c>
      <c r="AL19" s="250" t="s">
        <v>515</v>
      </c>
      <c r="AM19" s="250" t="s">
        <v>516</v>
      </c>
      <c r="AN19" s="250" t="s">
        <v>452</v>
      </c>
      <c r="AO19" s="448" t="s">
        <v>517</v>
      </c>
      <c r="AP19" s="448" t="s">
        <v>518</v>
      </c>
      <c r="AQ19" s="448" t="s">
        <v>519</v>
      </c>
    </row>
    <row r="20" spans="2:45">
      <c r="B20" s="220" t="s">
        <v>1081</v>
      </c>
      <c r="C20" s="255">
        <v>43529</v>
      </c>
      <c r="D20" s="256">
        <v>312</v>
      </c>
      <c r="E20" s="256">
        <v>0</v>
      </c>
      <c r="F20" s="257" t="s">
        <v>413</v>
      </c>
      <c r="G20" s="220" t="s">
        <v>1082</v>
      </c>
      <c r="H20" s="258" t="s">
        <v>520</v>
      </c>
      <c r="I20" s="220" t="s">
        <v>680</v>
      </c>
      <c r="J20" s="220" t="s">
        <v>681</v>
      </c>
      <c r="K20" s="220" t="s">
        <v>522</v>
      </c>
      <c r="L20" s="226" t="s">
        <v>1083</v>
      </c>
      <c r="M20" s="226"/>
      <c r="N20" s="226" t="s">
        <v>1084</v>
      </c>
      <c r="O20" s="247">
        <v>43525</v>
      </c>
      <c r="P20" s="226" t="s">
        <v>1085</v>
      </c>
      <c r="Q20" s="226">
        <v>192113</v>
      </c>
      <c r="R20" s="220" t="s">
        <v>1086</v>
      </c>
      <c r="U20" s="220" t="s">
        <v>1087</v>
      </c>
      <c r="V20" s="220" t="s">
        <v>1088</v>
      </c>
      <c r="W20" s="220">
        <v>2111</v>
      </c>
      <c r="X20" s="255">
        <v>43529</v>
      </c>
      <c r="Y20" s="255">
        <v>43529</v>
      </c>
      <c r="Z20" s="220">
        <v>2600</v>
      </c>
      <c r="AA20" s="255">
        <v>43535</v>
      </c>
      <c r="AB20" s="220" t="s">
        <v>523</v>
      </c>
      <c r="AC20" s="220">
        <v>0</v>
      </c>
      <c r="AD20" s="220">
        <v>0</v>
      </c>
      <c r="AE20" s="220">
        <v>0</v>
      </c>
      <c r="AF20" s="220">
        <v>0</v>
      </c>
      <c r="AG20" s="220">
        <v>0</v>
      </c>
      <c r="AH20" s="220">
        <v>1</v>
      </c>
      <c r="AI20" s="220">
        <v>70195</v>
      </c>
      <c r="AJ20" s="220">
        <v>2180</v>
      </c>
      <c r="AK20" s="220">
        <v>0</v>
      </c>
      <c r="AL20" s="220">
        <v>0</v>
      </c>
      <c r="AO20" s="258"/>
      <c r="AP20" s="258"/>
      <c r="AQ20" s="220" t="str">
        <f t="shared" ref="AQ20:AQ51" si="0">IF(LEFT(U20,2)="VO",U20,"")</f>
        <v>VO04941245</v>
      </c>
      <c r="AS20" s="220" t="str">
        <f>IF(RIGHT(K20,2)="IC",IF(OR(AB20="wci_canada",AB20="wci_can_corp"),"wci_can_Corp","wci_corp"),AB20)</f>
        <v>wci_corp</v>
      </c>
    </row>
    <row r="21" spans="2:45">
      <c r="B21" s="220" t="s">
        <v>1081</v>
      </c>
      <c r="C21" s="255">
        <v>43452</v>
      </c>
      <c r="D21" s="580">
        <v>250</v>
      </c>
      <c r="E21" s="580">
        <v>0</v>
      </c>
      <c r="F21" s="581" t="s">
        <v>413</v>
      </c>
      <c r="G21" s="582" t="s">
        <v>1089</v>
      </c>
      <c r="H21" s="583" t="s">
        <v>520</v>
      </c>
      <c r="I21" s="582" t="s">
        <v>680</v>
      </c>
      <c r="J21" s="582" t="s">
        <v>1011</v>
      </c>
      <c r="K21" s="582" t="s">
        <v>522</v>
      </c>
      <c r="L21" s="584" t="s">
        <v>1090</v>
      </c>
      <c r="M21" s="584"/>
      <c r="N21" s="584" t="s">
        <v>1091</v>
      </c>
      <c r="O21" s="247">
        <v>43448</v>
      </c>
      <c r="P21" s="226" t="s">
        <v>1092</v>
      </c>
      <c r="Q21" s="226">
        <v>80503475</v>
      </c>
      <c r="R21" s="220" t="s">
        <v>1093</v>
      </c>
      <c r="U21" s="220" t="s">
        <v>1094</v>
      </c>
      <c r="V21" s="220" t="s">
        <v>1095</v>
      </c>
      <c r="W21" s="220">
        <v>2180</v>
      </c>
      <c r="X21" s="255">
        <v>43452</v>
      </c>
      <c r="Y21" s="255">
        <v>43454</v>
      </c>
      <c r="Z21" s="220">
        <v>250</v>
      </c>
      <c r="AA21" s="255">
        <v>43449</v>
      </c>
      <c r="AB21" s="220" t="s">
        <v>523</v>
      </c>
      <c r="AC21" s="220">
        <v>0</v>
      </c>
      <c r="AD21" s="220">
        <v>0</v>
      </c>
      <c r="AE21" s="220">
        <v>0</v>
      </c>
      <c r="AF21" s="220">
        <v>0</v>
      </c>
      <c r="AG21" s="220">
        <v>0</v>
      </c>
      <c r="AH21" s="220">
        <v>1</v>
      </c>
      <c r="AI21" s="220">
        <v>70195</v>
      </c>
      <c r="AJ21" s="220">
        <v>2180</v>
      </c>
      <c r="AK21" s="220">
        <v>0</v>
      </c>
      <c r="AL21" s="220">
        <v>0</v>
      </c>
      <c r="AO21" s="258"/>
      <c r="AP21" s="258"/>
      <c r="AQ21" s="220" t="str">
        <f t="shared" si="0"/>
        <v>VO04866778</v>
      </c>
      <c r="AS21" s="220" t="str">
        <f t="shared" ref="AS21:AS77" si="1">IF(RIGHT(K21,2)="IC",IF(OR(AB21="wci_canada",AB21="wci_can_corp"),"wci_can_Corp","wci_corp"),AB21)</f>
        <v>wci_corp</v>
      </c>
    </row>
    <row r="22" spans="2:45">
      <c r="B22" s="220" t="s">
        <v>1081</v>
      </c>
      <c r="C22" s="255">
        <v>43646</v>
      </c>
      <c r="D22" s="256">
        <v>120</v>
      </c>
      <c r="E22" s="256">
        <v>0</v>
      </c>
      <c r="F22" s="257" t="s">
        <v>413</v>
      </c>
      <c r="G22" s="220" t="s">
        <v>1096</v>
      </c>
      <c r="H22" s="258" t="s">
        <v>520</v>
      </c>
      <c r="I22" s="220" t="s">
        <v>1064</v>
      </c>
      <c r="J22" s="220" t="s">
        <v>543</v>
      </c>
      <c r="K22" s="220" t="s">
        <v>522</v>
      </c>
      <c r="L22" s="226"/>
      <c r="M22" s="226"/>
      <c r="N22" s="226" t="s">
        <v>1097</v>
      </c>
      <c r="O22" s="247"/>
      <c r="P22" s="226"/>
      <c r="Q22" s="226"/>
      <c r="U22" s="220" t="s">
        <v>1098</v>
      </c>
      <c r="V22" s="220" t="s">
        <v>1098</v>
      </c>
      <c r="X22" s="255">
        <v>43651</v>
      </c>
      <c r="Y22" s="255">
        <v>43651</v>
      </c>
      <c r="AA22" s="255"/>
      <c r="AB22" s="220" t="s">
        <v>523</v>
      </c>
      <c r="AC22" s="220">
        <v>0</v>
      </c>
      <c r="AD22" s="220">
        <v>0</v>
      </c>
      <c r="AE22" s="220">
        <v>0</v>
      </c>
      <c r="AF22" s="220">
        <v>0</v>
      </c>
      <c r="AG22" s="220">
        <v>0</v>
      </c>
      <c r="AH22" s="220">
        <v>1</v>
      </c>
      <c r="AI22" s="220">
        <v>70195</v>
      </c>
      <c r="AJ22" s="220">
        <v>2180</v>
      </c>
      <c r="AK22" s="220">
        <v>0</v>
      </c>
      <c r="AL22" s="220">
        <v>0</v>
      </c>
      <c r="AO22" s="258"/>
      <c r="AP22" s="258"/>
      <c r="AQ22" s="220" t="str">
        <f t="shared" si="0"/>
        <v/>
      </c>
      <c r="AS22" s="220" t="str">
        <f t="shared" si="1"/>
        <v>wci_corp</v>
      </c>
    </row>
    <row r="23" spans="2:45">
      <c r="B23" s="220" t="s">
        <v>1081</v>
      </c>
      <c r="C23" s="255">
        <v>43677</v>
      </c>
      <c r="D23" s="256">
        <v>-120</v>
      </c>
      <c r="E23" s="256">
        <v>0</v>
      </c>
      <c r="F23" s="257" t="s">
        <v>413</v>
      </c>
      <c r="G23" s="220" t="s">
        <v>1099</v>
      </c>
      <c r="H23" s="258" t="s">
        <v>520</v>
      </c>
      <c r="I23" s="220" t="s">
        <v>1064</v>
      </c>
      <c r="J23" s="220" t="s">
        <v>689</v>
      </c>
      <c r="K23" s="220" t="s">
        <v>522</v>
      </c>
      <c r="L23" s="226"/>
      <c r="M23" s="226"/>
      <c r="N23" s="226" t="s">
        <v>1097</v>
      </c>
      <c r="O23" s="247"/>
      <c r="P23" s="226"/>
      <c r="Q23" s="226"/>
      <c r="U23" s="220" t="s">
        <v>1098</v>
      </c>
      <c r="V23" s="220" t="s">
        <v>1100</v>
      </c>
      <c r="X23" s="255">
        <v>43651</v>
      </c>
      <c r="Y23" s="255">
        <v>43651</v>
      </c>
      <c r="AA23" s="255"/>
      <c r="AB23" s="220" t="s">
        <v>523</v>
      </c>
      <c r="AC23" s="220">
        <v>0</v>
      </c>
      <c r="AD23" s="220">
        <v>0</v>
      </c>
      <c r="AE23" s="220">
        <v>0</v>
      </c>
      <c r="AF23" s="220">
        <v>0</v>
      </c>
      <c r="AG23" s="220">
        <v>5</v>
      </c>
      <c r="AH23" s="220">
        <v>1</v>
      </c>
      <c r="AI23" s="220">
        <v>70195</v>
      </c>
      <c r="AJ23" s="220">
        <v>2180</v>
      </c>
      <c r="AK23" s="220">
        <v>0</v>
      </c>
      <c r="AL23" s="220">
        <v>0</v>
      </c>
      <c r="AO23" s="258"/>
      <c r="AP23" s="258"/>
      <c r="AQ23" s="220" t="str">
        <f t="shared" si="0"/>
        <v/>
      </c>
      <c r="AS23" s="220" t="str">
        <f t="shared" si="1"/>
        <v>wci_corp</v>
      </c>
    </row>
    <row r="24" spans="2:45">
      <c r="B24" s="220" t="s">
        <v>1081</v>
      </c>
      <c r="C24" s="255">
        <v>43677</v>
      </c>
      <c r="D24" s="256">
        <v>120</v>
      </c>
      <c r="E24" s="256">
        <v>0</v>
      </c>
      <c r="F24" s="257" t="s">
        <v>413</v>
      </c>
      <c r="G24" s="220" t="s">
        <v>1042</v>
      </c>
      <c r="H24" s="258" t="s">
        <v>520</v>
      </c>
      <c r="I24" s="220" t="s">
        <v>1043</v>
      </c>
      <c r="J24" s="220" t="s">
        <v>543</v>
      </c>
      <c r="K24" s="220" t="s">
        <v>522</v>
      </c>
      <c r="L24" s="226"/>
      <c r="M24" s="226"/>
      <c r="N24" s="226" t="s">
        <v>1097</v>
      </c>
      <c r="O24" s="247"/>
      <c r="P24" s="226"/>
      <c r="Q24" s="226"/>
      <c r="U24" s="220" t="s">
        <v>1044</v>
      </c>
      <c r="V24" s="220" t="s">
        <v>1044</v>
      </c>
      <c r="X24" s="255">
        <v>43679</v>
      </c>
      <c r="Y24" s="255">
        <v>43679</v>
      </c>
      <c r="AA24" s="255"/>
      <c r="AB24" s="220" t="s">
        <v>523</v>
      </c>
      <c r="AC24" s="220">
        <v>0</v>
      </c>
      <c r="AD24" s="220">
        <v>0</v>
      </c>
      <c r="AE24" s="220">
        <v>0</v>
      </c>
      <c r="AF24" s="220">
        <v>0</v>
      </c>
      <c r="AG24" s="220">
        <v>0</v>
      </c>
      <c r="AH24" s="220">
        <v>1</v>
      </c>
      <c r="AI24" s="220">
        <v>70195</v>
      </c>
      <c r="AJ24" s="220">
        <v>2180</v>
      </c>
      <c r="AK24" s="220">
        <v>0</v>
      </c>
      <c r="AL24" s="220">
        <v>0</v>
      </c>
      <c r="AO24" s="258"/>
      <c r="AP24" s="258"/>
      <c r="AQ24" s="220" t="str">
        <f t="shared" si="0"/>
        <v/>
      </c>
      <c r="AS24" s="220" t="str">
        <f t="shared" si="1"/>
        <v>wci_corp</v>
      </c>
    </row>
    <row r="25" spans="2:45">
      <c r="B25" s="220" t="s">
        <v>1081</v>
      </c>
      <c r="C25" s="255">
        <v>43769</v>
      </c>
      <c r="D25" s="580">
        <v>731</v>
      </c>
      <c r="E25" s="580">
        <v>0</v>
      </c>
      <c r="F25" s="581" t="s">
        <v>413</v>
      </c>
      <c r="G25" s="582" t="s">
        <v>1058</v>
      </c>
      <c r="H25" s="583" t="s">
        <v>520</v>
      </c>
      <c r="I25" s="582" t="s">
        <v>1059</v>
      </c>
      <c r="J25" s="582" t="s">
        <v>543</v>
      </c>
      <c r="K25" s="582" t="s">
        <v>522</v>
      </c>
      <c r="L25" s="584"/>
      <c r="M25" s="584"/>
      <c r="N25" s="584" t="s">
        <v>1101</v>
      </c>
      <c r="O25" s="247"/>
      <c r="P25" s="226"/>
      <c r="Q25" s="226"/>
      <c r="U25" s="220" t="s">
        <v>1061</v>
      </c>
      <c r="V25" s="220" t="s">
        <v>1061</v>
      </c>
      <c r="X25" s="255">
        <v>43773</v>
      </c>
      <c r="Y25" s="255">
        <v>43774</v>
      </c>
      <c r="AA25" s="255"/>
      <c r="AB25" s="220" t="s">
        <v>523</v>
      </c>
      <c r="AC25" s="220">
        <v>0</v>
      </c>
      <c r="AD25" s="220">
        <v>0</v>
      </c>
      <c r="AE25" s="220">
        <v>0</v>
      </c>
      <c r="AF25" s="220">
        <v>0</v>
      </c>
      <c r="AG25" s="220">
        <v>0</v>
      </c>
      <c r="AH25" s="220">
        <v>1</v>
      </c>
      <c r="AI25" s="220">
        <v>70195</v>
      </c>
      <c r="AJ25" s="220">
        <v>2180</v>
      </c>
      <c r="AK25" s="220">
        <v>0</v>
      </c>
      <c r="AL25" s="220">
        <v>0</v>
      </c>
      <c r="AO25" s="258"/>
      <c r="AP25" s="258"/>
      <c r="AQ25" s="220" t="str">
        <f t="shared" si="0"/>
        <v/>
      </c>
      <c r="AS25" s="220" t="str">
        <f t="shared" si="1"/>
        <v>wci_corp</v>
      </c>
    </row>
    <row r="26" spans="2:45">
      <c r="B26" s="220" t="s">
        <v>1081</v>
      </c>
      <c r="C26" s="255">
        <v>43465</v>
      </c>
      <c r="D26" s="256">
        <v>52.21</v>
      </c>
      <c r="E26" s="256">
        <v>0</v>
      </c>
      <c r="F26" s="257" t="s">
        <v>413</v>
      </c>
      <c r="G26" s="220" t="s">
        <v>963</v>
      </c>
      <c r="H26" s="258" t="s">
        <v>520</v>
      </c>
      <c r="I26" s="220" t="s">
        <v>964</v>
      </c>
      <c r="J26" s="220" t="s">
        <v>543</v>
      </c>
      <c r="K26" s="220" t="s">
        <v>522</v>
      </c>
      <c r="L26" s="226"/>
      <c r="M26" s="226"/>
      <c r="N26" s="226" t="s">
        <v>1102</v>
      </c>
      <c r="O26" s="247"/>
      <c r="P26" s="226"/>
      <c r="Q26" s="226"/>
      <c r="U26" s="220" t="s">
        <v>965</v>
      </c>
      <c r="V26" s="220" t="s">
        <v>965</v>
      </c>
      <c r="X26" s="255">
        <v>43468</v>
      </c>
      <c r="Y26" s="255">
        <v>43468</v>
      </c>
      <c r="AA26" s="255"/>
      <c r="AB26" s="220" t="s">
        <v>523</v>
      </c>
      <c r="AC26" s="220">
        <v>0</v>
      </c>
      <c r="AD26" s="220">
        <v>0</v>
      </c>
      <c r="AE26" s="220">
        <v>0</v>
      </c>
      <c r="AF26" s="220">
        <v>0</v>
      </c>
      <c r="AG26" s="220">
        <v>0</v>
      </c>
      <c r="AH26" s="220">
        <v>1</v>
      </c>
      <c r="AI26" s="220">
        <v>70195</v>
      </c>
      <c r="AJ26" s="220">
        <v>2180</v>
      </c>
      <c r="AK26" s="220">
        <v>0</v>
      </c>
      <c r="AL26" s="220">
        <v>0</v>
      </c>
      <c r="AO26" s="258"/>
      <c r="AP26" s="258"/>
      <c r="AQ26" s="220" t="str">
        <f t="shared" si="0"/>
        <v/>
      </c>
      <c r="AS26" s="220" t="str">
        <f t="shared" si="1"/>
        <v>wci_corp</v>
      </c>
    </row>
    <row r="27" spans="2:45">
      <c r="B27" s="220" t="s">
        <v>1081</v>
      </c>
      <c r="C27" s="255">
        <v>43496</v>
      </c>
      <c r="D27" s="256">
        <v>30.23</v>
      </c>
      <c r="E27" s="256">
        <v>0</v>
      </c>
      <c r="F27" s="257" t="s">
        <v>413</v>
      </c>
      <c r="G27" s="220" t="s">
        <v>982</v>
      </c>
      <c r="H27" s="258" t="s">
        <v>520</v>
      </c>
      <c r="I27" s="220" t="s">
        <v>983</v>
      </c>
      <c r="J27" s="220" t="s">
        <v>536</v>
      </c>
      <c r="K27" s="220" t="s">
        <v>522</v>
      </c>
      <c r="L27" s="226"/>
      <c r="M27" s="226"/>
      <c r="N27" s="226" t="s">
        <v>1102</v>
      </c>
      <c r="O27" s="247"/>
      <c r="P27" s="226"/>
      <c r="Q27" s="226"/>
      <c r="U27" s="220" t="s">
        <v>984</v>
      </c>
      <c r="V27" s="220" t="s">
        <v>984</v>
      </c>
      <c r="X27" s="255">
        <v>43500</v>
      </c>
      <c r="Y27" s="255">
        <v>43500</v>
      </c>
      <c r="AA27" s="255"/>
      <c r="AB27" s="220" t="s">
        <v>523</v>
      </c>
      <c r="AC27" s="220">
        <v>0</v>
      </c>
      <c r="AD27" s="220">
        <v>0</v>
      </c>
      <c r="AE27" s="220">
        <v>0</v>
      </c>
      <c r="AF27" s="220">
        <v>0</v>
      </c>
      <c r="AG27" s="220">
        <v>0</v>
      </c>
      <c r="AH27" s="220">
        <v>1</v>
      </c>
      <c r="AI27" s="220">
        <v>70195</v>
      </c>
      <c r="AJ27" s="220">
        <v>2180</v>
      </c>
      <c r="AK27" s="220">
        <v>0</v>
      </c>
      <c r="AL27" s="220">
        <v>0</v>
      </c>
      <c r="AO27" s="258"/>
      <c r="AP27" s="258"/>
      <c r="AQ27" s="220" t="str">
        <f t="shared" si="0"/>
        <v/>
      </c>
      <c r="AS27" s="220" t="str">
        <f t="shared" si="1"/>
        <v>wci_corp</v>
      </c>
    </row>
    <row r="28" spans="2:45">
      <c r="B28" s="220" t="s">
        <v>1081</v>
      </c>
      <c r="C28" s="255">
        <v>43524</v>
      </c>
      <c r="D28" s="256">
        <v>30.23</v>
      </c>
      <c r="E28" s="256">
        <v>0</v>
      </c>
      <c r="F28" s="257" t="s">
        <v>413</v>
      </c>
      <c r="G28" s="220" t="s">
        <v>987</v>
      </c>
      <c r="H28" s="258" t="s">
        <v>520</v>
      </c>
      <c r="I28" s="220" t="s">
        <v>988</v>
      </c>
      <c r="J28" s="220" t="s">
        <v>536</v>
      </c>
      <c r="K28" s="220" t="s">
        <v>522</v>
      </c>
      <c r="L28" s="226"/>
      <c r="M28" s="226"/>
      <c r="N28" s="226" t="s">
        <v>1102</v>
      </c>
      <c r="O28" s="247"/>
      <c r="P28" s="226"/>
      <c r="Q28" s="226"/>
      <c r="U28" s="220" t="s">
        <v>989</v>
      </c>
      <c r="V28" s="220" t="s">
        <v>989</v>
      </c>
      <c r="X28" s="255">
        <v>43528</v>
      </c>
      <c r="Y28" s="255">
        <v>43528</v>
      </c>
      <c r="AA28" s="255"/>
      <c r="AB28" s="220" t="s">
        <v>523</v>
      </c>
      <c r="AC28" s="220">
        <v>0</v>
      </c>
      <c r="AD28" s="220">
        <v>0</v>
      </c>
      <c r="AE28" s="220">
        <v>0</v>
      </c>
      <c r="AF28" s="220">
        <v>0</v>
      </c>
      <c r="AG28" s="220">
        <v>0</v>
      </c>
      <c r="AH28" s="220">
        <v>1</v>
      </c>
      <c r="AI28" s="220">
        <v>70195</v>
      </c>
      <c r="AJ28" s="220">
        <v>2180</v>
      </c>
      <c r="AK28" s="220">
        <v>0</v>
      </c>
      <c r="AL28" s="220">
        <v>0</v>
      </c>
      <c r="AO28" s="258"/>
      <c r="AP28" s="258"/>
      <c r="AQ28" s="220" t="str">
        <f t="shared" si="0"/>
        <v/>
      </c>
      <c r="AS28" s="220" t="str">
        <f t="shared" si="1"/>
        <v>wci_corp</v>
      </c>
    </row>
    <row r="29" spans="2:45">
      <c r="B29" s="220" t="s">
        <v>1081</v>
      </c>
      <c r="C29" s="255">
        <v>43555</v>
      </c>
      <c r="D29" s="256">
        <v>5.5</v>
      </c>
      <c r="E29" s="256">
        <v>0</v>
      </c>
      <c r="F29" s="257" t="s">
        <v>413</v>
      </c>
      <c r="G29" s="220" t="s">
        <v>998</v>
      </c>
      <c r="H29" s="258" t="s">
        <v>520</v>
      </c>
      <c r="I29" s="220" t="s">
        <v>999</v>
      </c>
      <c r="J29" s="220" t="s">
        <v>543</v>
      </c>
      <c r="K29" s="220" t="s">
        <v>522</v>
      </c>
      <c r="L29" s="226"/>
      <c r="M29" s="226"/>
      <c r="N29" s="226" t="s">
        <v>1102</v>
      </c>
      <c r="O29" s="247"/>
      <c r="P29" s="226"/>
      <c r="Q29" s="226"/>
      <c r="U29" s="220" t="s">
        <v>1001</v>
      </c>
      <c r="V29" s="220" t="s">
        <v>1001</v>
      </c>
      <c r="X29" s="255">
        <v>43557</v>
      </c>
      <c r="Y29" s="255">
        <v>43557</v>
      </c>
      <c r="AA29" s="255"/>
      <c r="AB29" s="220" t="s">
        <v>523</v>
      </c>
      <c r="AC29" s="220">
        <v>0</v>
      </c>
      <c r="AD29" s="220">
        <v>0</v>
      </c>
      <c r="AE29" s="220">
        <v>0</v>
      </c>
      <c r="AF29" s="220">
        <v>0</v>
      </c>
      <c r="AG29" s="220">
        <v>0</v>
      </c>
      <c r="AH29" s="220">
        <v>1</v>
      </c>
      <c r="AI29" s="220">
        <v>70195</v>
      </c>
      <c r="AJ29" s="220">
        <v>2180</v>
      </c>
      <c r="AK29" s="220">
        <v>0</v>
      </c>
      <c r="AL29" s="220">
        <v>0</v>
      </c>
      <c r="AO29" s="258"/>
      <c r="AP29" s="258"/>
      <c r="AQ29" s="220" t="str">
        <f t="shared" si="0"/>
        <v/>
      </c>
      <c r="AS29" s="220" t="str">
        <f t="shared" si="1"/>
        <v>wci_corp</v>
      </c>
    </row>
    <row r="30" spans="2:45">
      <c r="B30" s="220" t="s">
        <v>1081</v>
      </c>
      <c r="C30" s="255">
        <v>43585</v>
      </c>
      <c r="D30" s="256">
        <v>82.43</v>
      </c>
      <c r="E30" s="256">
        <v>0</v>
      </c>
      <c r="F30" s="257" t="s">
        <v>413</v>
      </c>
      <c r="G30" s="220" t="s">
        <v>1002</v>
      </c>
      <c r="H30" s="258" t="s">
        <v>520</v>
      </c>
      <c r="I30" s="220" t="s">
        <v>1003</v>
      </c>
      <c r="J30" s="220" t="s">
        <v>543</v>
      </c>
      <c r="K30" s="220" t="s">
        <v>522</v>
      </c>
      <c r="L30" s="226"/>
      <c r="M30" s="226"/>
      <c r="N30" s="226" t="s">
        <v>1102</v>
      </c>
      <c r="O30" s="247"/>
      <c r="P30" s="226"/>
      <c r="Q30" s="226"/>
      <c r="U30" s="220" t="s">
        <v>1005</v>
      </c>
      <c r="V30" s="220" t="s">
        <v>1005</v>
      </c>
      <c r="X30" s="255">
        <v>43586</v>
      </c>
      <c r="Y30" s="255">
        <v>43587</v>
      </c>
      <c r="AA30" s="255"/>
      <c r="AB30" s="220" t="s">
        <v>523</v>
      </c>
      <c r="AC30" s="220">
        <v>0</v>
      </c>
      <c r="AD30" s="220">
        <v>0</v>
      </c>
      <c r="AE30" s="220">
        <v>0</v>
      </c>
      <c r="AF30" s="220">
        <v>0</v>
      </c>
      <c r="AG30" s="220">
        <v>0</v>
      </c>
      <c r="AH30" s="220">
        <v>1</v>
      </c>
      <c r="AI30" s="220">
        <v>70195</v>
      </c>
      <c r="AJ30" s="220">
        <v>2180</v>
      </c>
      <c r="AK30" s="220">
        <v>0</v>
      </c>
      <c r="AL30" s="220">
        <v>0</v>
      </c>
      <c r="AO30" s="258"/>
      <c r="AP30" s="258"/>
      <c r="AQ30" s="220" t="str">
        <f t="shared" si="0"/>
        <v/>
      </c>
      <c r="AS30" s="220" t="str">
        <f t="shared" si="1"/>
        <v>wci_corp</v>
      </c>
    </row>
    <row r="31" spans="2:45">
      <c r="B31" s="220" t="s">
        <v>1081</v>
      </c>
      <c r="C31" s="255">
        <v>43616</v>
      </c>
      <c r="D31" s="256">
        <v>82.42</v>
      </c>
      <c r="E31" s="256">
        <v>0</v>
      </c>
      <c r="F31" s="257" t="s">
        <v>413</v>
      </c>
      <c r="G31" s="220" t="s">
        <v>1017</v>
      </c>
      <c r="H31" s="258" t="s">
        <v>520</v>
      </c>
      <c r="I31" s="220" t="s">
        <v>1018</v>
      </c>
      <c r="J31" s="220" t="s">
        <v>670</v>
      </c>
      <c r="K31" s="220" t="s">
        <v>522</v>
      </c>
      <c r="L31" s="226"/>
      <c r="M31" s="226"/>
      <c r="N31" s="226" t="s">
        <v>1102</v>
      </c>
      <c r="O31" s="247"/>
      <c r="P31" s="226"/>
      <c r="Q31" s="226"/>
      <c r="U31" s="220" t="s">
        <v>1020</v>
      </c>
      <c r="V31" s="220" t="s">
        <v>1020</v>
      </c>
      <c r="X31" s="255">
        <v>43620</v>
      </c>
      <c r="Y31" s="255">
        <v>43620</v>
      </c>
      <c r="AA31" s="255"/>
      <c r="AB31" s="220" t="s">
        <v>523</v>
      </c>
      <c r="AC31" s="220">
        <v>0</v>
      </c>
      <c r="AD31" s="220">
        <v>0</v>
      </c>
      <c r="AE31" s="220">
        <v>0</v>
      </c>
      <c r="AF31" s="220">
        <v>0</v>
      </c>
      <c r="AG31" s="220">
        <v>0</v>
      </c>
      <c r="AH31" s="220">
        <v>1</v>
      </c>
      <c r="AI31" s="220">
        <v>70195</v>
      </c>
      <c r="AJ31" s="220">
        <v>2180</v>
      </c>
      <c r="AK31" s="220">
        <v>0</v>
      </c>
      <c r="AL31" s="220">
        <v>0</v>
      </c>
      <c r="AO31" s="258"/>
      <c r="AP31" s="258"/>
      <c r="AQ31" s="220" t="str">
        <f t="shared" si="0"/>
        <v/>
      </c>
      <c r="AS31" s="220" t="str">
        <f t="shared" si="1"/>
        <v>wci_corp</v>
      </c>
    </row>
    <row r="32" spans="2:45">
      <c r="B32" s="220" t="s">
        <v>1081</v>
      </c>
      <c r="C32" s="255">
        <v>43555</v>
      </c>
      <c r="D32" s="256">
        <v>447.3</v>
      </c>
      <c r="E32" s="256">
        <v>0</v>
      </c>
      <c r="F32" s="257" t="s">
        <v>413</v>
      </c>
      <c r="G32" s="220" t="s">
        <v>1103</v>
      </c>
      <c r="H32" s="258" t="s">
        <v>520</v>
      </c>
      <c r="I32" s="220" t="s">
        <v>1104</v>
      </c>
      <c r="J32" s="220" t="s">
        <v>536</v>
      </c>
      <c r="K32" s="220" t="s">
        <v>522</v>
      </c>
      <c r="L32" s="226"/>
      <c r="M32" s="226"/>
      <c r="N32" s="226" t="s">
        <v>1105</v>
      </c>
      <c r="O32" s="247"/>
      <c r="P32" s="226"/>
      <c r="Q32" s="226"/>
      <c r="U32" s="220" t="s">
        <v>1106</v>
      </c>
      <c r="V32" s="220" t="s">
        <v>1106</v>
      </c>
      <c r="X32" s="255">
        <v>43559</v>
      </c>
      <c r="Y32" s="255">
        <v>43559</v>
      </c>
      <c r="AA32" s="255"/>
      <c r="AB32" s="220" t="s">
        <v>523</v>
      </c>
      <c r="AC32" s="220">
        <v>0</v>
      </c>
      <c r="AD32" s="220">
        <v>0</v>
      </c>
      <c r="AE32" s="220">
        <v>0</v>
      </c>
      <c r="AF32" s="220">
        <v>0</v>
      </c>
      <c r="AG32" s="220">
        <v>0</v>
      </c>
      <c r="AH32" s="220">
        <v>1</v>
      </c>
      <c r="AI32" s="220">
        <v>70195</v>
      </c>
      <c r="AJ32" s="220">
        <v>2180</v>
      </c>
      <c r="AK32" s="220">
        <v>0</v>
      </c>
      <c r="AL32" s="220">
        <v>0</v>
      </c>
      <c r="AO32" s="258"/>
      <c r="AP32" s="258"/>
      <c r="AQ32" s="220" t="str">
        <f t="shared" si="0"/>
        <v/>
      </c>
      <c r="AS32" s="220" t="str">
        <f t="shared" si="1"/>
        <v>wci_corp</v>
      </c>
    </row>
    <row r="33" spans="2:45">
      <c r="B33" s="220" t="s">
        <v>1081</v>
      </c>
      <c r="C33" s="255">
        <v>43708</v>
      </c>
      <c r="D33" s="256">
        <v>1.99</v>
      </c>
      <c r="E33" s="256">
        <v>0</v>
      </c>
      <c r="F33" s="257" t="s">
        <v>413</v>
      </c>
      <c r="G33" s="220" t="s">
        <v>1107</v>
      </c>
      <c r="H33" s="258" t="s">
        <v>520</v>
      </c>
      <c r="I33" s="220" t="s">
        <v>1108</v>
      </c>
      <c r="J33" s="220" t="s">
        <v>689</v>
      </c>
      <c r="K33" s="220" t="s">
        <v>522</v>
      </c>
      <c r="L33" s="226"/>
      <c r="M33" s="226"/>
      <c r="N33" s="226" t="s">
        <v>1109</v>
      </c>
      <c r="O33" s="247"/>
      <c r="P33" s="226"/>
      <c r="Q33" s="226"/>
      <c r="U33" s="220" t="s">
        <v>1110</v>
      </c>
      <c r="V33" s="220" t="s">
        <v>1110</v>
      </c>
      <c r="X33" s="255">
        <v>43712</v>
      </c>
      <c r="Y33" s="255">
        <v>43712</v>
      </c>
      <c r="AA33" s="255"/>
      <c r="AB33" s="220" t="s">
        <v>523</v>
      </c>
      <c r="AC33" s="220">
        <v>0</v>
      </c>
      <c r="AD33" s="220">
        <v>0</v>
      </c>
      <c r="AE33" s="220">
        <v>0</v>
      </c>
      <c r="AF33" s="220">
        <v>0</v>
      </c>
      <c r="AG33" s="220">
        <v>0</v>
      </c>
      <c r="AH33" s="220">
        <v>1</v>
      </c>
      <c r="AI33" s="220">
        <v>70195</v>
      </c>
      <c r="AJ33" s="220">
        <v>2180</v>
      </c>
      <c r="AK33" s="220">
        <v>0</v>
      </c>
      <c r="AL33" s="220">
        <v>0</v>
      </c>
      <c r="AO33" s="258"/>
      <c r="AP33" s="258"/>
      <c r="AQ33" s="220" t="str">
        <f t="shared" si="0"/>
        <v/>
      </c>
      <c r="AS33" s="220" t="str">
        <f t="shared" si="1"/>
        <v>wci_corp</v>
      </c>
    </row>
    <row r="34" spans="2:45">
      <c r="B34" s="220" t="s">
        <v>1081</v>
      </c>
      <c r="C34" s="255">
        <v>43524</v>
      </c>
      <c r="D34" s="256">
        <v>32.97</v>
      </c>
      <c r="E34" s="256">
        <v>0</v>
      </c>
      <c r="F34" s="257" t="s">
        <v>413</v>
      </c>
      <c r="G34" s="220" t="s">
        <v>1111</v>
      </c>
      <c r="H34" s="258" t="s">
        <v>520</v>
      </c>
      <c r="I34" s="220" t="s">
        <v>1112</v>
      </c>
      <c r="J34" s="220" t="s">
        <v>536</v>
      </c>
      <c r="K34" s="220" t="s">
        <v>522</v>
      </c>
      <c r="L34" s="226"/>
      <c r="M34" s="226"/>
      <c r="N34" s="226" t="s">
        <v>1113</v>
      </c>
      <c r="O34" s="247"/>
      <c r="P34" s="226"/>
      <c r="Q34" s="226"/>
      <c r="U34" s="220" t="s">
        <v>1114</v>
      </c>
      <c r="V34" s="220" t="s">
        <v>1114</v>
      </c>
      <c r="X34" s="255">
        <v>43529</v>
      </c>
      <c r="Y34" s="255">
        <v>43530</v>
      </c>
      <c r="AA34" s="255"/>
      <c r="AB34" s="220" t="s">
        <v>523</v>
      </c>
      <c r="AC34" s="220">
        <v>0</v>
      </c>
      <c r="AD34" s="220">
        <v>0</v>
      </c>
      <c r="AE34" s="220">
        <v>0</v>
      </c>
      <c r="AF34" s="220">
        <v>0</v>
      </c>
      <c r="AG34" s="220">
        <v>0</v>
      </c>
      <c r="AH34" s="220">
        <v>1</v>
      </c>
      <c r="AI34" s="220">
        <v>70195</v>
      </c>
      <c r="AJ34" s="220">
        <v>2180</v>
      </c>
      <c r="AK34" s="220">
        <v>0</v>
      </c>
      <c r="AL34" s="220">
        <v>0</v>
      </c>
      <c r="AO34" s="258"/>
      <c r="AP34" s="258"/>
      <c r="AQ34" s="220" t="str">
        <f t="shared" si="0"/>
        <v/>
      </c>
      <c r="AS34" s="220" t="str">
        <f t="shared" si="1"/>
        <v>wci_corp</v>
      </c>
    </row>
    <row r="35" spans="2:45">
      <c r="B35" s="220" t="s">
        <v>1081</v>
      </c>
      <c r="C35" s="255">
        <v>43524</v>
      </c>
      <c r="D35" s="256">
        <v>-32.97</v>
      </c>
      <c r="E35" s="256">
        <v>0</v>
      </c>
      <c r="F35" s="257" t="s">
        <v>413</v>
      </c>
      <c r="G35" s="220" t="s">
        <v>1115</v>
      </c>
      <c r="H35" s="258" t="s">
        <v>520</v>
      </c>
      <c r="I35" s="220" t="s">
        <v>1116</v>
      </c>
      <c r="J35" s="220" t="s">
        <v>536</v>
      </c>
      <c r="K35" s="220" t="s">
        <v>522</v>
      </c>
      <c r="L35" s="226"/>
      <c r="M35" s="226"/>
      <c r="N35" s="226" t="s">
        <v>1113</v>
      </c>
      <c r="O35" s="247"/>
      <c r="P35" s="226"/>
      <c r="Q35" s="226"/>
      <c r="U35" s="220" t="s">
        <v>1117</v>
      </c>
      <c r="V35" s="220" t="s">
        <v>1117</v>
      </c>
      <c r="X35" s="255">
        <v>43530</v>
      </c>
      <c r="Y35" s="255">
        <v>43531</v>
      </c>
      <c r="AA35" s="255"/>
      <c r="AB35" s="220" t="s">
        <v>523</v>
      </c>
      <c r="AC35" s="220">
        <v>0</v>
      </c>
      <c r="AD35" s="220">
        <v>0</v>
      </c>
      <c r="AE35" s="220">
        <v>0</v>
      </c>
      <c r="AF35" s="220">
        <v>0</v>
      </c>
      <c r="AG35" s="220">
        <v>0</v>
      </c>
      <c r="AH35" s="220">
        <v>1</v>
      </c>
      <c r="AI35" s="220">
        <v>70195</v>
      </c>
      <c r="AJ35" s="220">
        <v>2180</v>
      </c>
      <c r="AK35" s="220">
        <v>0</v>
      </c>
      <c r="AL35" s="220">
        <v>0</v>
      </c>
      <c r="AO35" s="258"/>
      <c r="AP35" s="258"/>
      <c r="AQ35" s="220" t="str">
        <f t="shared" si="0"/>
        <v/>
      </c>
      <c r="AS35" s="220" t="str">
        <f t="shared" si="1"/>
        <v>wci_corp</v>
      </c>
    </row>
    <row r="36" spans="2:45">
      <c r="B36" s="220" t="s">
        <v>1081</v>
      </c>
      <c r="C36" s="255">
        <v>43524</v>
      </c>
      <c r="D36" s="256">
        <v>32.97</v>
      </c>
      <c r="E36" s="256">
        <v>0</v>
      </c>
      <c r="F36" s="257" t="s">
        <v>413</v>
      </c>
      <c r="G36" s="220" t="s">
        <v>1118</v>
      </c>
      <c r="H36" s="258" t="s">
        <v>520</v>
      </c>
      <c r="I36" s="220" t="s">
        <v>1119</v>
      </c>
      <c r="J36" s="220" t="s">
        <v>536</v>
      </c>
      <c r="K36" s="220" t="s">
        <v>522</v>
      </c>
      <c r="L36" s="226"/>
      <c r="M36" s="226"/>
      <c r="N36" s="226" t="s">
        <v>1113</v>
      </c>
      <c r="O36" s="247"/>
      <c r="P36" s="226"/>
      <c r="Q36" s="226"/>
      <c r="U36" s="220" t="s">
        <v>1120</v>
      </c>
      <c r="V36" s="220" t="s">
        <v>1120</v>
      </c>
      <c r="X36" s="255">
        <v>43530</v>
      </c>
      <c r="Y36" s="255">
        <v>43531</v>
      </c>
      <c r="AA36" s="255"/>
      <c r="AB36" s="220" t="s">
        <v>523</v>
      </c>
      <c r="AC36" s="220">
        <v>0</v>
      </c>
      <c r="AD36" s="220">
        <v>0</v>
      </c>
      <c r="AE36" s="220">
        <v>0</v>
      </c>
      <c r="AF36" s="220">
        <v>0</v>
      </c>
      <c r="AG36" s="220">
        <v>0</v>
      </c>
      <c r="AH36" s="220">
        <v>1</v>
      </c>
      <c r="AI36" s="220">
        <v>70195</v>
      </c>
      <c r="AJ36" s="220">
        <v>2180</v>
      </c>
      <c r="AK36" s="220">
        <v>0</v>
      </c>
      <c r="AL36" s="220">
        <v>0</v>
      </c>
      <c r="AO36" s="258"/>
      <c r="AP36" s="258"/>
      <c r="AQ36" s="220" t="str">
        <f t="shared" si="0"/>
        <v/>
      </c>
      <c r="AS36" s="220" t="str">
        <f t="shared" si="1"/>
        <v>wci_corp</v>
      </c>
    </row>
    <row r="37" spans="2:45">
      <c r="B37" s="220" t="s">
        <v>1081</v>
      </c>
      <c r="C37" s="255">
        <v>43555</v>
      </c>
      <c r="D37" s="256">
        <v>-32.97</v>
      </c>
      <c r="E37" s="256">
        <v>0</v>
      </c>
      <c r="F37" s="257" t="s">
        <v>413</v>
      </c>
      <c r="G37" s="220" t="s">
        <v>1121</v>
      </c>
      <c r="H37" s="258" t="s">
        <v>520</v>
      </c>
      <c r="I37" s="220" t="s">
        <v>1112</v>
      </c>
      <c r="J37" s="220" t="s">
        <v>536</v>
      </c>
      <c r="K37" s="220" t="s">
        <v>522</v>
      </c>
      <c r="L37" s="226"/>
      <c r="M37" s="226"/>
      <c r="N37" s="226" t="s">
        <v>1113</v>
      </c>
      <c r="O37" s="247"/>
      <c r="P37" s="226"/>
      <c r="Q37" s="226"/>
      <c r="U37" s="220" t="s">
        <v>1114</v>
      </c>
      <c r="V37" s="220" t="s">
        <v>1122</v>
      </c>
      <c r="X37" s="255">
        <v>43530</v>
      </c>
      <c r="Y37" s="255">
        <v>43530</v>
      </c>
      <c r="AA37" s="255"/>
      <c r="AB37" s="220" t="s">
        <v>523</v>
      </c>
      <c r="AC37" s="220">
        <v>0</v>
      </c>
      <c r="AD37" s="220">
        <v>0</v>
      </c>
      <c r="AE37" s="220">
        <v>0</v>
      </c>
      <c r="AF37" s="220">
        <v>0</v>
      </c>
      <c r="AG37" s="220">
        <v>5</v>
      </c>
      <c r="AH37" s="220">
        <v>1</v>
      </c>
      <c r="AI37" s="220">
        <v>70195</v>
      </c>
      <c r="AJ37" s="220">
        <v>2180</v>
      </c>
      <c r="AK37" s="220">
        <v>0</v>
      </c>
      <c r="AL37" s="220">
        <v>0</v>
      </c>
      <c r="AO37" s="258"/>
      <c r="AP37" s="258"/>
      <c r="AQ37" s="220" t="str">
        <f t="shared" si="0"/>
        <v/>
      </c>
      <c r="AS37" s="220" t="str">
        <f t="shared" si="1"/>
        <v>wci_corp</v>
      </c>
    </row>
    <row r="38" spans="2:45">
      <c r="B38" s="220" t="s">
        <v>1081</v>
      </c>
      <c r="C38" s="255">
        <v>43555</v>
      </c>
      <c r="D38" s="256">
        <v>32.97</v>
      </c>
      <c r="E38" s="256">
        <v>0</v>
      </c>
      <c r="F38" s="257" t="s">
        <v>413</v>
      </c>
      <c r="G38" s="220" t="s">
        <v>1123</v>
      </c>
      <c r="H38" s="258" t="s">
        <v>520</v>
      </c>
      <c r="I38" s="220" t="s">
        <v>1116</v>
      </c>
      <c r="J38" s="220" t="s">
        <v>536</v>
      </c>
      <c r="K38" s="220" t="s">
        <v>522</v>
      </c>
      <c r="L38" s="226"/>
      <c r="M38" s="226"/>
      <c r="N38" s="226" t="s">
        <v>1113</v>
      </c>
      <c r="O38" s="247"/>
      <c r="P38" s="226"/>
      <c r="Q38" s="226"/>
      <c r="U38" s="220" t="s">
        <v>1117</v>
      </c>
      <c r="V38" s="220" t="s">
        <v>1124</v>
      </c>
      <c r="X38" s="255">
        <v>43531</v>
      </c>
      <c r="Y38" s="255">
        <v>43531</v>
      </c>
      <c r="AA38" s="255"/>
      <c r="AB38" s="220" t="s">
        <v>523</v>
      </c>
      <c r="AC38" s="220">
        <v>0</v>
      </c>
      <c r="AD38" s="220">
        <v>0</v>
      </c>
      <c r="AE38" s="220">
        <v>0</v>
      </c>
      <c r="AF38" s="220">
        <v>0</v>
      </c>
      <c r="AG38" s="220">
        <v>5</v>
      </c>
      <c r="AH38" s="220">
        <v>1</v>
      </c>
      <c r="AI38" s="220">
        <v>70195</v>
      </c>
      <c r="AJ38" s="220">
        <v>2180</v>
      </c>
      <c r="AK38" s="220">
        <v>0</v>
      </c>
      <c r="AL38" s="220">
        <v>0</v>
      </c>
      <c r="AO38" s="258"/>
      <c r="AP38" s="258"/>
      <c r="AQ38" s="220" t="str">
        <f t="shared" si="0"/>
        <v/>
      </c>
      <c r="AS38" s="220" t="str">
        <f t="shared" si="1"/>
        <v>wci_corp</v>
      </c>
    </row>
    <row r="39" spans="2:45">
      <c r="B39" s="220" t="s">
        <v>1081</v>
      </c>
      <c r="C39" s="255">
        <v>43555</v>
      </c>
      <c r="D39" s="256">
        <v>-32.97</v>
      </c>
      <c r="E39" s="256">
        <v>0</v>
      </c>
      <c r="F39" s="257" t="s">
        <v>413</v>
      </c>
      <c r="G39" s="220" t="s">
        <v>1125</v>
      </c>
      <c r="H39" s="258" t="s">
        <v>520</v>
      </c>
      <c r="I39" s="220" t="s">
        <v>1119</v>
      </c>
      <c r="J39" s="220" t="s">
        <v>536</v>
      </c>
      <c r="K39" s="220" t="s">
        <v>522</v>
      </c>
      <c r="L39" s="226"/>
      <c r="M39" s="226"/>
      <c r="N39" s="226" t="s">
        <v>1113</v>
      </c>
      <c r="O39" s="247"/>
      <c r="P39" s="226"/>
      <c r="Q39" s="226"/>
      <c r="U39" s="220" t="s">
        <v>1120</v>
      </c>
      <c r="V39" s="220" t="s">
        <v>1126</v>
      </c>
      <c r="X39" s="255">
        <v>43531</v>
      </c>
      <c r="Y39" s="255">
        <v>43531</v>
      </c>
      <c r="AA39" s="255"/>
      <c r="AB39" s="220" t="s">
        <v>523</v>
      </c>
      <c r="AC39" s="220">
        <v>0</v>
      </c>
      <c r="AD39" s="220">
        <v>0</v>
      </c>
      <c r="AE39" s="220">
        <v>0</v>
      </c>
      <c r="AF39" s="220">
        <v>0</v>
      </c>
      <c r="AG39" s="220">
        <v>5</v>
      </c>
      <c r="AH39" s="220">
        <v>1</v>
      </c>
      <c r="AI39" s="220">
        <v>70195</v>
      </c>
      <c r="AJ39" s="220">
        <v>2180</v>
      </c>
      <c r="AK39" s="220">
        <v>0</v>
      </c>
      <c r="AL39" s="220">
        <v>0</v>
      </c>
      <c r="AO39" s="258"/>
      <c r="AP39" s="258"/>
      <c r="AQ39" s="220" t="str">
        <f t="shared" si="0"/>
        <v/>
      </c>
      <c r="AS39" s="220" t="str">
        <f t="shared" si="1"/>
        <v>wci_corp</v>
      </c>
    </row>
    <row r="40" spans="2:45">
      <c r="B40" s="220" t="s">
        <v>1081</v>
      </c>
      <c r="C40" s="255">
        <v>43555</v>
      </c>
      <c r="D40" s="256">
        <v>32.97</v>
      </c>
      <c r="E40" s="256">
        <v>0</v>
      </c>
      <c r="F40" s="257" t="s">
        <v>413</v>
      </c>
      <c r="G40" s="220" t="s">
        <v>998</v>
      </c>
      <c r="H40" s="258" t="s">
        <v>520</v>
      </c>
      <c r="I40" s="220" t="s">
        <v>999</v>
      </c>
      <c r="J40" s="220" t="s">
        <v>543</v>
      </c>
      <c r="K40" s="220" t="s">
        <v>522</v>
      </c>
      <c r="L40" s="226"/>
      <c r="M40" s="226"/>
      <c r="N40" s="226" t="s">
        <v>1113</v>
      </c>
      <c r="O40" s="247"/>
      <c r="P40" s="226"/>
      <c r="Q40" s="226"/>
      <c r="U40" s="220" t="s">
        <v>1001</v>
      </c>
      <c r="V40" s="220" t="s">
        <v>1001</v>
      </c>
      <c r="X40" s="255">
        <v>43557</v>
      </c>
      <c r="Y40" s="255">
        <v>43557</v>
      </c>
      <c r="AA40" s="255"/>
      <c r="AB40" s="220" t="s">
        <v>523</v>
      </c>
      <c r="AC40" s="220">
        <v>0</v>
      </c>
      <c r="AD40" s="220">
        <v>0</v>
      </c>
      <c r="AE40" s="220">
        <v>0</v>
      </c>
      <c r="AF40" s="220">
        <v>0</v>
      </c>
      <c r="AG40" s="220">
        <v>0</v>
      </c>
      <c r="AH40" s="220">
        <v>1</v>
      </c>
      <c r="AI40" s="220">
        <v>70195</v>
      </c>
      <c r="AJ40" s="220">
        <v>2180</v>
      </c>
      <c r="AK40" s="220">
        <v>0</v>
      </c>
      <c r="AL40" s="220">
        <v>0</v>
      </c>
      <c r="AO40" s="258"/>
      <c r="AP40" s="258"/>
      <c r="AQ40" s="220" t="str">
        <f t="shared" si="0"/>
        <v/>
      </c>
      <c r="AS40" s="220" t="str">
        <f t="shared" si="1"/>
        <v>wci_corp</v>
      </c>
    </row>
    <row r="41" spans="2:45">
      <c r="B41" s="220" t="s">
        <v>1081</v>
      </c>
      <c r="C41" s="255">
        <v>43496</v>
      </c>
      <c r="D41" s="585">
        <v>560</v>
      </c>
      <c r="E41" s="585">
        <v>0</v>
      </c>
      <c r="F41" s="586" t="s">
        <v>413</v>
      </c>
      <c r="G41" s="587" t="s">
        <v>1127</v>
      </c>
      <c r="H41" s="588" t="s">
        <v>520</v>
      </c>
      <c r="I41" s="587" t="s">
        <v>1128</v>
      </c>
      <c r="J41" s="587" t="s">
        <v>536</v>
      </c>
      <c r="K41" s="587" t="s">
        <v>522</v>
      </c>
      <c r="L41" s="589"/>
      <c r="M41" s="589"/>
      <c r="N41" s="589" t="s">
        <v>1129</v>
      </c>
      <c r="O41" s="590"/>
      <c r="P41" s="226"/>
      <c r="Q41" s="226"/>
      <c r="U41" s="220" t="s">
        <v>1130</v>
      </c>
      <c r="V41" s="220" t="s">
        <v>1130</v>
      </c>
      <c r="X41" s="255">
        <v>43502</v>
      </c>
      <c r="Y41" s="255">
        <v>43503</v>
      </c>
      <c r="AA41" s="255"/>
      <c r="AB41" s="220" t="s">
        <v>523</v>
      </c>
      <c r="AC41" s="220">
        <v>0</v>
      </c>
      <c r="AD41" s="220">
        <v>0</v>
      </c>
      <c r="AE41" s="220">
        <v>0</v>
      </c>
      <c r="AF41" s="220">
        <v>0</v>
      </c>
      <c r="AG41" s="220">
        <v>0</v>
      </c>
      <c r="AH41" s="220">
        <v>1</v>
      </c>
      <c r="AI41" s="220">
        <v>70195</v>
      </c>
      <c r="AJ41" s="220">
        <v>2180</v>
      </c>
      <c r="AK41" s="220">
        <v>0</v>
      </c>
      <c r="AL41" s="220">
        <v>0</v>
      </c>
      <c r="AO41" s="258"/>
      <c r="AP41" s="258"/>
      <c r="AQ41" s="220" t="str">
        <f t="shared" si="0"/>
        <v/>
      </c>
      <c r="AS41" s="220" t="str">
        <f t="shared" si="1"/>
        <v>wci_corp</v>
      </c>
    </row>
    <row r="42" spans="2:45">
      <c r="B42" s="220" t="s">
        <v>1081</v>
      </c>
      <c r="C42" s="255">
        <v>43524</v>
      </c>
      <c r="D42" s="585">
        <v>-560</v>
      </c>
      <c r="E42" s="585">
        <v>0</v>
      </c>
      <c r="F42" s="586" t="s">
        <v>413</v>
      </c>
      <c r="G42" s="587" t="s">
        <v>1131</v>
      </c>
      <c r="H42" s="588" t="s">
        <v>520</v>
      </c>
      <c r="I42" s="587" t="s">
        <v>1128</v>
      </c>
      <c r="J42" s="587" t="s">
        <v>536</v>
      </c>
      <c r="K42" s="587" t="s">
        <v>522</v>
      </c>
      <c r="L42" s="589"/>
      <c r="M42" s="589"/>
      <c r="N42" s="589" t="s">
        <v>1129</v>
      </c>
      <c r="O42" s="590"/>
      <c r="P42" s="226"/>
      <c r="Q42" s="226"/>
      <c r="U42" s="220" t="s">
        <v>1130</v>
      </c>
      <c r="V42" s="220" t="s">
        <v>1132</v>
      </c>
      <c r="X42" s="255">
        <v>43503</v>
      </c>
      <c r="Y42" s="255">
        <v>43503</v>
      </c>
      <c r="AA42" s="255"/>
      <c r="AB42" s="220" t="s">
        <v>523</v>
      </c>
      <c r="AC42" s="220">
        <v>0</v>
      </c>
      <c r="AD42" s="220">
        <v>0</v>
      </c>
      <c r="AE42" s="220">
        <v>0</v>
      </c>
      <c r="AF42" s="220">
        <v>0</v>
      </c>
      <c r="AG42" s="220">
        <v>5</v>
      </c>
      <c r="AH42" s="220">
        <v>1</v>
      </c>
      <c r="AI42" s="220">
        <v>70195</v>
      </c>
      <c r="AJ42" s="220">
        <v>2180</v>
      </c>
      <c r="AK42" s="220">
        <v>0</v>
      </c>
      <c r="AL42" s="220">
        <v>0</v>
      </c>
      <c r="AO42" s="258"/>
      <c r="AP42" s="258"/>
      <c r="AQ42" s="220" t="str">
        <f t="shared" si="0"/>
        <v/>
      </c>
      <c r="AS42" s="220" t="str">
        <f t="shared" si="1"/>
        <v>wci_corp</v>
      </c>
    </row>
    <row r="43" spans="2:45">
      <c r="B43" s="220" t="s">
        <v>1081</v>
      </c>
      <c r="C43" s="255">
        <v>43524</v>
      </c>
      <c r="D43" s="256">
        <v>312</v>
      </c>
      <c r="E43" s="256">
        <v>0</v>
      </c>
      <c r="F43" s="257" t="s">
        <v>413</v>
      </c>
      <c r="G43" s="220" t="s">
        <v>1133</v>
      </c>
      <c r="H43" s="258" t="s">
        <v>520</v>
      </c>
      <c r="I43" s="220" t="s">
        <v>1134</v>
      </c>
      <c r="J43" s="220" t="s">
        <v>536</v>
      </c>
      <c r="K43" s="220" t="s">
        <v>522</v>
      </c>
      <c r="L43" s="226"/>
      <c r="M43" s="226"/>
      <c r="N43" s="226" t="s">
        <v>1135</v>
      </c>
      <c r="O43" s="247"/>
      <c r="P43" s="226"/>
      <c r="Q43" s="226"/>
      <c r="U43" s="220" t="s">
        <v>1136</v>
      </c>
      <c r="V43" s="220" t="s">
        <v>1136</v>
      </c>
      <c r="X43" s="255">
        <v>43530</v>
      </c>
      <c r="Y43" s="255">
        <v>43531</v>
      </c>
      <c r="AA43" s="255"/>
      <c r="AB43" s="220" t="s">
        <v>523</v>
      </c>
      <c r="AC43" s="220">
        <v>0</v>
      </c>
      <c r="AD43" s="220">
        <v>0</v>
      </c>
      <c r="AE43" s="220">
        <v>0</v>
      </c>
      <c r="AF43" s="220">
        <v>0</v>
      </c>
      <c r="AG43" s="220">
        <v>0</v>
      </c>
      <c r="AH43" s="220">
        <v>1</v>
      </c>
      <c r="AI43" s="220">
        <v>70195</v>
      </c>
      <c r="AJ43" s="220">
        <v>2180</v>
      </c>
      <c r="AK43" s="220">
        <v>0</v>
      </c>
      <c r="AL43" s="220">
        <v>0</v>
      </c>
      <c r="AO43" s="258"/>
      <c r="AP43" s="258"/>
      <c r="AQ43" s="220" t="str">
        <f t="shared" si="0"/>
        <v/>
      </c>
      <c r="AS43" s="220" t="str">
        <f t="shared" si="1"/>
        <v>wci_corp</v>
      </c>
    </row>
    <row r="44" spans="2:45">
      <c r="B44" s="220" t="s">
        <v>1081</v>
      </c>
      <c r="C44" s="255">
        <v>43555</v>
      </c>
      <c r="D44" s="256">
        <v>-312</v>
      </c>
      <c r="E44" s="256">
        <v>0</v>
      </c>
      <c r="F44" s="257" t="s">
        <v>413</v>
      </c>
      <c r="G44" s="220" t="s">
        <v>1137</v>
      </c>
      <c r="H44" s="258" t="s">
        <v>520</v>
      </c>
      <c r="I44" s="220" t="s">
        <v>1134</v>
      </c>
      <c r="J44" s="220" t="s">
        <v>536</v>
      </c>
      <c r="K44" s="220" t="s">
        <v>522</v>
      </c>
      <c r="L44" s="226"/>
      <c r="M44" s="226"/>
      <c r="N44" s="226" t="s">
        <v>1135</v>
      </c>
      <c r="O44" s="247"/>
      <c r="P44" s="226"/>
      <c r="Q44" s="226"/>
      <c r="U44" s="220" t="s">
        <v>1136</v>
      </c>
      <c r="V44" s="220" t="s">
        <v>1138</v>
      </c>
      <c r="X44" s="255">
        <v>43531</v>
      </c>
      <c r="Y44" s="255">
        <v>43531</v>
      </c>
      <c r="AA44" s="255"/>
      <c r="AB44" s="220" t="s">
        <v>523</v>
      </c>
      <c r="AC44" s="220">
        <v>0</v>
      </c>
      <c r="AD44" s="220">
        <v>0</v>
      </c>
      <c r="AE44" s="220">
        <v>0</v>
      </c>
      <c r="AF44" s="220">
        <v>0</v>
      </c>
      <c r="AG44" s="220">
        <v>5</v>
      </c>
      <c r="AH44" s="220">
        <v>1</v>
      </c>
      <c r="AI44" s="220">
        <v>70195</v>
      </c>
      <c r="AJ44" s="220">
        <v>2180</v>
      </c>
      <c r="AK44" s="220">
        <v>0</v>
      </c>
      <c r="AL44" s="220">
        <v>0</v>
      </c>
      <c r="AO44" s="258"/>
      <c r="AP44" s="258"/>
      <c r="AQ44" s="220" t="str">
        <f t="shared" si="0"/>
        <v/>
      </c>
      <c r="AS44" s="220" t="str">
        <f t="shared" si="1"/>
        <v>wci_corp</v>
      </c>
    </row>
    <row r="45" spans="2:45">
      <c r="B45" s="220" t="s">
        <v>1081</v>
      </c>
      <c r="C45" s="255">
        <v>43465</v>
      </c>
      <c r="D45" s="585">
        <v>-560</v>
      </c>
      <c r="E45" s="585">
        <v>0</v>
      </c>
      <c r="F45" s="586" t="s">
        <v>413</v>
      </c>
      <c r="G45" s="587" t="s">
        <v>1139</v>
      </c>
      <c r="H45" s="588" t="s">
        <v>520</v>
      </c>
      <c r="I45" s="587" t="s">
        <v>1140</v>
      </c>
      <c r="J45" s="587" t="s">
        <v>536</v>
      </c>
      <c r="K45" s="587" t="s">
        <v>522</v>
      </c>
      <c r="L45" s="589"/>
      <c r="M45" s="589"/>
      <c r="N45" s="589" t="s">
        <v>1141</v>
      </c>
      <c r="O45" s="590"/>
      <c r="P45" s="226"/>
      <c r="Q45" s="226"/>
      <c r="U45" s="220" t="s">
        <v>1142</v>
      </c>
      <c r="V45" s="220" t="s">
        <v>1143</v>
      </c>
      <c r="X45" s="255">
        <v>43441</v>
      </c>
      <c r="Y45" s="255">
        <v>43441</v>
      </c>
      <c r="AA45" s="255"/>
      <c r="AB45" s="220" t="s">
        <v>523</v>
      </c>
      <c r="AC45" s="220">
        <v>0</v>
      </c>
      <c r="AD45" s="220">
        <v>0</v>
      </c>
      <c r="AE45" s="220">
        <v>0</v>
      </c>
      <c r="AF45" s="220">
        <v>0</v>
      </c>
      <c r="AG45" s="220">
        <v>5</v>
      </c>
      <c r="AH45" s="220">
        <v>1</v>
      </c>
      <c r="AI45" s="220">
        <v>70195</v>
      </c>
      <c r="AJ45" s="220">
        <v>2180</v>
      </c>
      <c r="AK45" s="220">
        <v>0</v>
      </c>
      <c r="AL45" s="220">
        <v>0</v>
      </c>
      <c r="AO45" s="258"/>
      <c r="AP45" s="258"/>
      <c r="AQ45" s="220" t="str">
        <f t="shared" si="0"/>
        <v/>
      </c>
      <c r="AS45" s="220" t="str">
        <f t="shared" si="1"/>
        <v>wci_corp</v>
      </c>
    </row>
    <row r="46" spans="2:45">
      <c r="B46" s="220" t="s">
        <v>1081</v>
      </c>
      <c r="C46" s="255">
        <v>43465</v>
      </c>
      <c r="D46" s="585">
        <v>560.38</v>
      </c>
      <c r="E46" s="585">
        <v>0</v>
      </c>
      <c r="F46" s="586" t="s">
        <v>413</v>
      </c>
      <c r="G46" s="587" t="s">
        <v>1144</v>
      </c>
      <c r="H46" s="588" t="s">
        <v>520</v>
      </c>
      <c r="I46" s="587" t="s">
        <v>1145</v>
      </c>
      <c r="J46" s="587" t="s">
        <v>536</v>
      </c>
      <c r="K46" s="587" t="s">
        <v>522</v>
      </c>
      <c r="L46" s="589"/>
      <c r="M46" s="589"/>
      <c r="N46" s="589" t="s">
        <v>1141</v>
      </c>
      <c r="O46" s="590"/>
      <c r="P46" s="226"/>
      <c r="Q46" s="226"/>
      <c r="U46" s="220" t="s">
        <v>1146</v>
      </c>
      <c r="V46" s="220" t="s">
        <v>1146</v>
      </c>
      <c r="X46" s="255">
        <v>43473</v>
      </c>
      <c r="Y46" s="255">
        <v>43473</v>
      </c>
      <c r="AA46" s="255"/>
      <c r="AB46" s="220" t="s">
        <v>523</v>
      </c>
      <c r="AC46" s="220">
        <v>0</v>
      </c>
      <c r="AD46" s="220">
        <v>0</v>
      </c>
      <c r="AE46" s="220">
        <v>0</v>
      </c>
      <c r="AF46" s="220">
        <v>0</v>
      </c>
      <c r="AG46" s="220">
        <v>0</v>
      </c>
      <c r="AH46" s="220">
        <v>1</v>
      </c>
      <c r="AI46" s="220">
        <v>70195</v>
      </c>
      <c r="AJ46" s="220">
        <v>2180</v>
      </c>
      <c r="AK46" s="220">
        <v>0</v>
      </c>
      <c r="AL46" s="220">
        <v>0</v>
      </c>
      <c r="AO46" s="258"/>
      <c r="AP46" s="258"/>
      <c r="AQ46" s="220" t="str">
        <f t="shared" si="0"/>
        <v/>
      </c>
      <c r="AS46" s="220" t="str">
        <f t="shared" si="1"/>
        <v>wci_corp</v>
      </c>
    </row>
    <row r="47" spans="2:45">
      <c r="B47" s="220" t="s">
        <v>1081</v>
      </c>
      <c r="C47" s="255">
        <v>43496</v>
      </c>
      <c r="D47" s="585">
        <v>-560.38</v>
      </c>
      <c r="E47" s="585">
        <v>0</v>
      </c>
      <c r="F47" s="586" t="s">
        <v>413</v>
      </c>
      <c r="G47" s="587" t="s">
        <v>1147</v>
      </c>
      <c r="H47" s="588" t="s">
        <v>520</v>
      </c>
      <c r="I47" s="587" t="s">
        <v>1145</v>
      </c>
      <c r="J47" s="587" t="s">
        <v>536</v>
      </c>
      <c r="K47" s="587" t="s">
        <v>522</v>
      </c>
      <c r="L47" s="589"/>
      <c r="M47" s="589"/>
      <c r="N47" s="589" t="s">
        <v>1141</v>
      </c>
      <c r="O47" s="590"/>
      <c r="P47" s="226"/>
      <c r="Q47" s="226"/>
      <c r="U47" s="220" t="s">
        <v>1146</v>
      </c>
      <c r="V47" s="220" t="s">
        <v>1148</v>
      </c>
      <c r="X47" s="255">
        <v>43473</v>
      </c>
      <c r="Y47" s="255">
        <v>43473</v>
      </c>
      <c r="AA47" s="255"/>
      <c r="AB47" s="220" t="s">
        <v>523</v>
      </c>
      <c r="AC47" s="220">
        <v>0</v>
      </c>
      <c r="AD47" s="220">
        <v>0</v>
      </c>
      <c r="AE47" s="220">
        <v>0</v>
      </c>
      <c r="AF47" s="220">
        <v>0</v>
      </c>
      <c r="AG47" s="220">
        <v>5</v>
      </c>
      <c r="AH47" s="220">
        <v>1</v>
      </c>
      <c r="AI47" s="220">
        <v>70195</v>
      </c>
      <c r="AJ47" s="220">
        <v>2180</v>
      </c>
      <c r="AK47" s="220">
        <v>0</v>
      </c>
      <c r="AL47" s="220">
        <v>0</v>
      </c>
      <c r="AO47" s="258"/>
      <c r="AP47" s="258"/>
      <c r="AQ47" s="220" t="str">
        <f t="shared" si="0"/>
        <v/>
      </c>
      <c r="AS47" s="220" t="str">
        <f t="shared" si="1"/>
        <v>wci_corp</v>
      </c>
    </row>
    <row r="48" spans="2:45">
      <c r="B48" s="220" t="s">
        <v>1081</v>
      </c>
      <c r="C48" s="255">
        <v>43738</v>
      </c>
      <c r="D48" s="256">
        <v>341.67</v>
      </c>
      <c r="E48" s="256">
        <v>0</v>
      </c>
      <c r="F48" s="257" t="s">
        <v>413</v>
      </c>
      <c r="G48" s="220" t="s">
        <v>1149</v>
      </c>
      <c r="H48" s="258" t="s">
        <v>520</v>
      </c>
      <c r="I48" s="220" t="s">
        <v>1150</v>
      </c>
      <c r="J48" s="220" t="s">
        <v>543</v>
      </c>
      <c r="K48" s="220" t="s">
        <v>522</v>
      </c>
      <c r="L48" s="226"/>
      <c r="M48" s="226"/>
      <c r="N48" s="226" t="s">
        <v>1151</v>
      </c>
      <c r="O48" s="247"/>
      <c r="P48" s="226"/>
      <c r="Q48" s="226"/>
      <c r="U48" s="220" t="s">
        <v>1152</v>
      </c>
      <c r="V48" s="220" t="s">
        <v>1152</v>
      </c>
      <c r="X48" s="255">
        <v>43742</v>
      </c>
      <c r="Y48" s="255">
        <v>43742</v>
      </c>
      <c r="AA48" s="255"/>
      <c r="AB48" s="220" t="s">
        <v>523</v>
      </c>
      <c r="AC48" s="220">
        <v>0</v>
      </c>
      <c r="AD48" s="220">
        <v>0</v>
      </c>
      <c r="AE48" s="220">
        <v>0</v>
      </c>
      <c r="AF48" s="220">
        <v>0</v>
      </c>
      <c r="AG48" s="220">
        <v>0</v>
      </c>
      <c r="AH48" s="220">
        <v>1</v>
      </c>
      <c r="AI48" s="220">
        <v>70195</v>
      </c>
      <c r="AJ48" s="220">
        <v>2180</v>
      </c>
      <c r="AK48" s="220">
        <v>0</v>
      </c>
      <c r="AL48" s="220">
        <v>0</v>
      </c>
      <c r="AO48" s="258"/>
      <c r="AP48" s="258"/>
      <c r="AQ48" s="220" t="str">
        <f t="shared" si="0"/>
        <v/>
      </c>
      <c r="AS48" s="220" t="str">
        <f t="shared" si="1"/>
        <v>wci_corp</v>
      </c>
    </row>
    <row r="49" spans="2:45">
      <c r="B49" s="220" t="s">
        <v>1081</v>
      </c>
      <c r="C49" s="255">
        <v>43769</v>
      </c>
      <c r="D49" s="256">
        <v>341.67</v>
      </c>
      <c r="E49" s="256">
        <v>0</v>
      </c>
      <c r="F49" s="257" t="s">
        <v>413</v>
      </c>
      <c r="G49" s="220" t="s">
        <v>1153</v>
      </c>
      <c r="H49" s="258" t="s">
        <v>520</v>
      </c>
      <c r="I49" s="220" t="s">
        <v>1150</v>
      </c>
      <c r="J49" s="220" t="s">
        <v>543</v>
      </c>
      <c r="K49" s="220" t="s">
        <v>522</v>
      </c>
      <c r="L49" s="226"/>
      <c r="M49" s="226"/>
      <c r="N49" s="226" t="s">
        <v>1151</v>
      </c>
      <c r="O49" s="247"/>
      <c r="P49" s="226"/>
      <c r="Q49" s="226"/>
      <c r="U49" s="220" t="s">
        <v>1154</v>
      </c>
      <c r="V49" s="220" t="s">
        <v>1154</v>
      </c>
      <c r="X49" s="255">
        <v>43775</v>
      </c>
      <c r="Y49" s="255">
        <v>43776</v>
      </c>
      <c r="AA49" s="255"/>
      <c r="AB49" s="220" t="s">
        <v>523</v>
      </c>
      <c r="AC49" s="220">
        <v>0</v>
      </c>
      <c r="AD49" s="220">
        <v>0</v>
      </c>
      <c r="AE49" s="220">
        <v>0</v>
      </c>
      <c r="AF49" s="220">
        <v>0</v>
      </c>
      <c r="AG49" s="220">
        <v>0</v>
      </c>
      <c r="AH49" s="220">
        <v>1</v>
      </c>
      <c r="AI49" s="220">
        <v>70195</v>
      </c>
      <c r="AJ49" s="220">
        <v>2180</v>
      </c>
      <c r="AK49" s="220">
        <v>0</v>
      </c>
      <c r="AL49" s="220">
        <v>0</v>
      </c>
      <c r="AO49" s="258"/>
      <c r="AP49" s="258"/>
      <c r="AQ49" s="220" t="str">
        <f t="shared" si="0"/>
        <v/>
      </c>
      <c r="AS49" s="220" t="str">
        <f t="shared" si="1"/>
        <v>wci_corp</v>
      </c>
    </row>
    <row r="50" spans="2:45">
      <c r="B50" s="220" t="s">
        <v>1081</v>
      </c>
      <c r="C50" s="255">
        <v>43799</v>
      </c>
      <c r="D50" s="256">
        <v>341.66</v>
      </c>
      <c r="E50" s="256">
        <v>0</v>
      </c>
      <c r="F50" s="257" t="s">
        <v>413</v>
      </c>
      <c r="G50" s="220" t="s">
        <v>1155</v>
      </c>
      <c r="H50" s="258" t="s">
        <v>520</v>
      </c>
      <c r="I50" s="220" t="s">
        <v>1150</v>
      </c>
      <c r="J50" s="220" t="s">
        <v>689</v>
      </c>
      <c r="K50" s="220" t="s">
        <v>522</v>
      </c>
      <c r="L50" s="226"/>
      <c r="M50" s="226"/>
      <c r="N50" s="226" t="s">
        <v>1151</v>
      </c>
      <c r="O50" s="247"/>
      <c r="P50" s="226"/>
      <c r="Q50" s="226"/>
      <c r="U50" s="220" t="s">
        <v>1156</v>
      </c>
      <c r="V50" s="220" t="s">
        <v>1156</v>
      </c>
      <c r="X50" s="255">
        <v>43804</v>
      </c>
      <c r="Y50" s="255">
        <v>43805</v>
      </c>
      <c r="AA50" s="255"/>
      <c r="AB50" s="220" t="s">
        <v>523</v>
      </c>
      <c r="AC50" s="220">
        <v>0</v>
      </c>
      <c r="AD50" s="220">
        <v>0</v>
      </c>
      <c r="AE50" s="220">
        <v>0</v>
      </c>
      <c r="AF50" s="220">
        <v>0</v>
      </c>
      <c r="AG50" s="220">
        <v>0</v>
      </c>
      <c r="AH50" s="220">
        <v>1</v>
      </c>
      <c r="AI50" s="220">
        <v>70195</v>
      </c>
      <c r="AJ50" s="220">
        <v>2180</v>
      </c>
      <c r="AK50" s="220">
        <v>0</v>
      </c>
      <c r="AL50" s="220">
        <v>0</v>
      </c>
      <c r="AO50" s="258"/>
      <c r="AP50" s="258"/>
      <c r="AQ50" s="220" t="str">
        <f t="shared" si="0"/>
        <v/>
      </c>
      <c r="AS50" s="220" t="str">
        <f t="shared" si="1"/>
        <v>wci_corp</v>
      </c>
    </row>
    <row r="51" spans="2:45">
      <c r="B51" s="220" t="s">
        <v>1081</v>
      </c>
      <c r="C51" s="255">
        <v>43452</v>
      </c>
      <c r="D51" s="580">
        <v>45</v>
      </c>
      <c r="E51" s="580">
        <v>0</v>
      </c>
      <c r="F51" s="581" t="s">
        <v>413</v>
      </c>
      <c r="G51" s="582" t="s">
        <v>1089</v>
      </c>
      <c r="H51" s="583" t="s">
        <v>520</v>
      </c>
      <c r="I51" s="582" t="s">
        <v>680</v>
      </c>
      <c r="J51" s="582" t="s">
        <v>1011</v>
      </c>
      <c r="K51" s="582" t="s">
        <v>522</v>
      </c>
      <c r="L51" s="584" t="s">
        <v>1157</v>
      </c>
      <c r="M51" s="584"/>
      <c r="N51" s="584" t="s">
        <v>1158</v>
      </c>
      <c r="O51" s="247">
        <v>43439</v>
      </c>
      <c r="P51" s="226" t="s">
        <v>1159</v>
      </c>
      <c r="Q51" s="226" t="s">
        <v>1160</v>
      </c>
      <c r="R51" s="220" t="s">
        <v>1161</v>
      </c>
      <c r="U51" s="220" t="s">
        <v>1162</v>
      </c>
      <c r="V51" s="220" t="s">
        <v>1095</v>
      </c>
      <c r="W51" s="220">
        <v>2180</v>
      </c>
      <c r="X51" s="255">
        <v>43452</v>
      </c>
      <c r="Y51" s="255">
        <v>43454</v>
      </c>
      <c r="Z51" s="220">
        <v>45</v>
      </c>
      <c r="AA51" s="255">
        <v>43449</v>
      </c>
      <c r="AB51" s="220" t="s">
        <v>523</v>
      </c>
      <c r="AC51" s="220">
        <v>0</v>
      </c>
      <c r="AD51" s="220">
        <v>0</v>
      </c>
      <c r="AE51" s="220">
        <v>0</v>
      </c>
      <c r="AF51" s="220">
        <v>0</v>
      </c>
      <c r="AG51" s="220">
        <v>0</v>
      </c>
      <c r="AH51" s="220">
        <v>1</v>
      </c>
      <c r="AI51" s="220">
        <v>70195</v>
      </c>
      <c r="AJ51" s="220">
        <v>2180</v>
      </c>
      <c r="AK51" s="220">
        <v>0</v>
      </c>
      <c r="AL51" s="220">
        <v>0</v>
      </c>
      <c r="AO51" s="258"/>
      <c r="AP51" s="258"/>
      <c r="AQ51" s="220" t="str">
        <f t="shared" si="0"/>
        <v>VO04866779</v>
      </c>
      <c r="AS51" s="220" t="str">
        <f t="shared" si="1"/>
        <v>wci_corp</v>
      </c>
    </row>
    <row r="52" spans="2:45">
      <c r="B52" s="220" t="s">
        <v>1081</v>
      </c>
      <c r="C52" s="255">
        <v>43738</v>
      </c>
      <c r="D52" s="585">
        <v>1250</v>
      </c>
      <c r="E52" s="585">
        <v>0</v>
      </c>
      <c r="F52" s="586" t="s">
        <v>413</v>
      </c>
      <c r="G52" s="587" t="s">
        <v>1149</v>
      </c>
      <c r="H52" s="588" t="s">
        <v>520</v>
      </c>
      <c r="I52" s="587" t="s">
        <v>1150</v>
      </c>
      <c r="J52" s="587" t="s">
        <v>543</v>
      </c>
      <c r="K52" s="587" t="s">
        <v>522</v>
      </c>
      <c r="L52" s="589"/>
      <c r="M52" s="589"/>
      <c r="N52" s="589" t="s">
        <v>1163</v>
      </c>
      <c r="O52" s="247"/>
      <c r="P52" s="226"/>
      <c r="Q52" s="226"/>
      <c r="U52" s="220" t="s">
        <v>1152</v>
      </c>
      <c r="V52" s="220" t="s">
        <v>1152</v>
      </c>
      <c r="X52" s="255">
        <v>43742</v>
      </c>
      <c r="Y52" s="255">
        <v>43742</v>
      </c>
      <c r="AA52" s="255"/>
      <c r="AB52" s="220" t="s">
        <v>523</v>
      </c>
      <c r="AC52" s="220">
        <v>0</v>
      </c>
      <c r="AD52" s="220">
        <v>0</v>
      </c>
      <c r="AE52" s="220">
        <v>0</v>
      </c>
      <c r="AF52" s="220">
        <v>0</v>
      </c>
      <c r="AG52" s="220">
        <v>0</v>
      </c>
      <c r="AH52" s="220">
        <v>1</v>
      </c>
      <c r="AI52" s="220">
        <v>70195</v>
      </c>
      <c r="AJ52" s="220">
        <v>2180</v>
      </c>
      <c r="AK52" s="220">
        <v>0</v>
      </c>
      <c r="AL52" s="220">
        <v>0</v>
      </c>
      <c r="AO52" s="258"/>
      <c r="AP52" s="258"/>
      <c r="AQ52" s="220" t="str">
        <f t="shared" ref="AQ52:AQ77" si="2">IF(LEFT(U52,2)="VO",U52,"")</f>
        <v/>
      </c>
      <c r="AS52" s="220" t="str">
        <f t="shared" si="1"/>
        <v>wci_corp</v>
      </c>
    </row>
    <row r="53" spans="2:45">
      <c r="B53" s="220" t="s">
        <v>1081</v>
      </c>
      <c r="C53" s="255">
        <v>43524</v>
      </c>
      <c r="D53" s="256">
        <v>250</v>
      </c>
      <c r="E53" s="256">
        <v>0</v>
      </c>
      <c r="F53" s="257" t="s">
        <v>413</v>
      </c>
      <c r="G53" s="220" t="s">
        <v>987</v>
      </c>
      <c r="H53" s="258" t="s">
        <v>520</v>
      </c>
      <c r="I53" s="220" t="s">
        <v>988</v>
      </c>
      <c r="J53" s="220" t="s">
        <v>536</v>
      </c>
      <c r="K53" s="220" t="s">
        <v>522</v>
      </c>
      <c r="L53" s="226"/>
      <c r="M53" s="226"/>
      <c r="N53" s="226" t="s">
        <v>1164</v>
      </c>
      <c r="O53" s="247"/>
      <c r="P53" s="226"/>
      <c r="Q53" s="226"/>
      <c r="U53" s="220" t="s">
        <v>989</v>
      </c>
      <c r="V53" s="220" t="s">
        <v>989</v>
      </c>
      <c r="X53" s="255">
        <v>43528</v>
      </c>
      <c r="Y53" s="255">
        <v>43528</v>
      </c>
      <c r="AA53" s="255"/>
      <c r="AB53" s="220" t="s">
        <v>523</v>
      </c>
      <c r="AC53" s="220">
        <v>0</v>
      </c>
      <c r="AD53" s="220">
        <v>0</v>
      </c>
      <c r="AE53" s="220">
        <v>0</v>
      </c>
      <c r="AF53" s="220">
        <v>0</v>
      </c>
      <c r="AG53" s="220">
        <v>0</v>
      </c>
      <c r="AH53" s="220">
        <v>1</v>
      </c>
      <c r="AI53" s="220">
        <v>70195</v>
      </c>
      <c r="AJ53" s="220">
        <v>2180</v>
      </c>
      <c r="AK53" s="220">
        <v>0</v>
      </c>
      <c r="AL53" s="220">
        <v>0</v>
      </c>
      <c r="AO53" s="258"/>
      <c r="AP53" s="258"/>
      <c r="AQ53" s="220" t="str">
        <f t="shared" si="2"/>
        <v/>
      </c>
      <c r="AS53" s="220" t="str">
        <f t="shared" si="1"/>
        <v>wci_corp</v>
      </c>
    </row>
    <row r="54" spans="2:45">
      <c r="B54" s="220" t="s">
        <v>1081</v>
      </c>
      <c r="C54" s="255">
        <v>43452</v>
      </c>
      <c r="D54" s="585">
        <v>560.38</v>
      </c>
      <c r="E54" s="585">
        <v>0</v>
      </c>
      <c r="F54" s="586" t="s">
        <v>413</v>
      </c>
      <c r="G54" s="587" t="s">
        <v>1165</v>
      </c>
      <c r="H54" s="588" t="s">
        <v>520</v>
      </c>
      <c r="I54" s="587" t="s">
        <v>680</v>
      </c>
      <c r="J54" s="587" t="s">
        <v>1037</v>
      </c>
      <c r="K54" s="587" t="s">
        <v>522</v>
      </c>
      <c r="L54" s="589" t="s">
        <v>1166</v>
      </c>
      <c r="M54" s="589"/>
      <c r="N54" s="589" t="s">
        <v>1167</v>
      </c>
      <c r="O54" s="247">
        <v>43434</v>
      </c>
      <c r="P54" s="226" t="s">
        <v>1168</v>
      </c>
      <c r="Q54" s="226" t="s">
        <v>1169</v>
      </c>
      <c r="R54" s="220" t="s">
        <v>1170</v>
      </c>
      <c r="U54" s="220" t="s">
        <v>1171</v>
      </c>
      <c r="V54" s="220" t="s">
        <v>1172</v>
      </c>
      <c r="W54" s="220">
        <v>2111</v>
      </c>
      <c r="X54" s="255">
        <v>43452</v>
      </c>
      <c r="Y54" s="255">
        <v>43454</v>
      </c>
      <c r="Z54" s="220">
        <v>560.38</v>
      </c>
      <c r="AA54" s="255">
        <v>43499</v>
      </c>
      <c r="AB54" s="220" t="s">
        <v>523</v>
      </c>
      <c r="AC54" s="220">
        <v>0</v>
      </c>
      <c r="AD54" s="220">
        <v>0</v>
      </c>
      <c r="AE54" s="220">
        <v>0</v>
      </c>
      <c r="AF54" s="220">
        <v>0</v>
      </c>
      <c r="AG54" s="220">
        <v>0</v>
      </c>
      <c r="AH54" s="220">
        <v>1</v>
      </c>
      <c r="AI54" s="220">
        <v>70195</v>
      </c>
      <c r="AJ54" s="220">
        <v>2180</v>
      </c>
      <c r="AK54" s="220">
        <v>0</v>
      </c>
      <c r="AL54" s="220">
        <v>0</v>
      </c>
      <c r="AO54" s="258"/>
      <c r="AP54" s="258"/>
      <c r="AQ54" s="220" t="str">
        <f t="shared" si="2"/>
        <v>VO04866561</v>
      </c>
      <c r="AS54" s="220" t="str">
        <f t="shared" si="1"/>
        <v>wci_corp</v>
      </c>
    </row>
    <row r="55" spans="2:45">
      <c r="B55" s="220" t="s">
        <v>1081</v>
      </c>
      <c r="C55" s="255">
        <v>43476</v>
      </c>
      <c r="D55" s="585">
        <v>560.38</v>
      </c>
      <c r="E55" s="585">
        <v>0</v>
      </c>
      <c r="F55" s="586" t="s">
        <v>413</v>
      </c>
      <c r="G55" s="587" t="s">
        <v>1173</v>
      </c>
      <c r="H55" s="588" t="s">
        <v>520</v>
      </c>
      <c r="I55" s="587" t="s">
        <v>680</v>
      </c>
      <c r="J55" s="587" t="s">
        <v>1011</v>
      </c>
      <c r="K55" s="587" t="s">
        <v>522</v>
      </c>
      <c r="L55" s="589" t="s">
        <v>1166</v>
      </c>
      <c r="M55" s="589"/>
      <c r="N55" s="589" t="s">
        <v>1167</v>
      </c>
      <c r="O55" s="247">
        <v>43465</v>
      </c>
      <c r="P55" s="226" t="s">
        <v>1168</v>
      </c>
      <c r="Q55" s="226" t="s">
        <v>1174</v>
      </c>
      <c r="R55" s="220" t="s">
        <v>1170</v>
      </c>
      <c r="U55" s="220" t="s">
        <v>1175</v>
      </c>
      <c r="V55" s="220" t="s">
        <v>1176</v>
      </c>
      <c r="W55" s="220">
        <v>2111</v>
      </c>
      <c r="X55" s="255">
        <v>43476</v>
      </c>
      <c r="Y55" s="255">
        <v>43482</v>
      </c>
      <c r="Z55" s="220">
        <v>560.38</v>
      </c>
      <c r="AA55" s="255">
        <v>43530</v>
      </c>
      <c r="AB55" s="220" t="s">
        <v>523</v>
      </c>
      <c r="AC55" s="220">
        <v>0</v>
      </c>
      <c r="AD55" s="220">
        <v>0</v>
      </c>
      <c r="AE55" s="220">
        <v>0</v>
      </c>
      <c r="AF55" s="220">
        <v>0</v>
      </c>
      <c r="AG55" s="220">
        <v>0</v>
      </c>
      <c r="AH55" s="220">
        <v>1</v>
      </c>
      <c r="AI55" s="220">
        <v>70195</v>
      </c>
      <c r="AJ55" s="220">
        <v>2180</v>
      </c>
      <c r="AK55" s="220">
        <v>0</v>
      </c>
      <c r="AL55" s="220">
        <v>0</v>
      </c>
      <c r="AO55" s="258"/>
      <c r="AP55" s="258"/>
      <c r="AQ55" s="220" t="str">
        <f t="shared" si="2"/>
        <v>VO04888904</v>
      </c>
      <c r="AS55" s="220" t="str">
        <f t="shared" si="1"/>
        <v>wci_corp</v>
      </c>
    </row>
    <row r="56" spans="2:45">
      <c r="B56" s="220" t="s">
        <v>1081</v>
      </c>
      <c r="C56" s="255">
        <v>43524</v>
      </c>
      <c r="D56" s="585">
        <v>1550</v>
      </c>
      <c r="E56" s="585">
        <v>0</v>
      </c>
      <c r="F56" s="586" t="s">
        <v>413</v>
      </c>
      <c r="G56" s="587" t="s">
        <v>987</v>
      </c>
      <c r="H56" s="588" t="s">
        <v>520</v>
      </c>
      <c r="I56" s="587" t="s">
        <v>988</v>
      </c>
      <c r="J56" s="587" t="s">
        <v>536</v>
      </c>
      <c r="K56" s="587" t="s">
        <v>522</v>
      </c>
      <c r="L56" s="589"/>
      <c r="M56" s="589"/>
      <c r="N56" s="589" t="s">
        <v>1177</v>
      </c>
      <c r="O56" s="247"/>
      <c r="P56" s="226"/>
      <c r="Q56" s="226"/>
      <c r="U56" s="220" t="s">
        <v>989</v>
      </c>
      <c r="V56" s="220" t="s">
        <v>989</v>
      </c>
      <c r="X56" s="255">
        <v>43528</v>
      </c>
      <c r="Y56" s="255">
        <v>43528</v>
      </c>
      <c r="AA56" s="255"/>
      <c r="AB56" s="220" t="s">
        <v>523</v>
      </c>
      <c r="AC56" s="220">
        <v>0</v>
      </c>
      <c r="AD56" s="220">
        <v>0</v>
      </c>
      <c r="AE56" s="220">
        <v>0</v>
      </c>
      <c r="AF56" s="220">
        <v>0</v>
      </c>
      <c r="AG56" s="220">
        <v>0</v>
      </c>
      <c r="AH56" s="220">
        <v>1</v>
      </c>
      <c r="AI56" s="220">
        <v>70195</v>
      </c>
      <c r="AJ56" s="220">
        <v>2180</v>
      </c>
      <c r="AK56" s="220">
        <v>0</v>
      </c>
      <c r="AL56" s="220">
        <v>0</v>
      </c>
      <c r="AO56" s="258"/>
      <c r="AP56" s="258"/>
      <c r="AQ56" s="220" t="str">
        <f t="shared" si="2"/>
        <v/>
      </c>
      <c r="AS56" s="220" t="str">
        <f t="shared" si="1"/>
        <v>wci_corp</v>
      </c>
    </row>
    <row r="57" spans="2:45">
      <c r="B57" s="220" t="s">
        <v>1081</v>
      </c>
      <c r="C57" s="255">
        <v>43585</v>
      </c>
      <c r="D57" s="256">
        <v>239.56</v>
      </c>
      <c r="E57" s="256">
        <v>0</v>
      </c>
      <c r="F57" s="257" t="s">
        <v>413</v>
      </c>
      <c r="G57" s="220" t="s">
        <v>1002</v>
      </c>
      <c r="H57" s="258" t="s">
        <v>520</v>
      </c>
      <c r="I57" s="220" t="s">
        <v>1003</v>
      </c>
      <c r="J57" s="220" t="s">
        <v>543</v>
      </c>
      <c r="K57" s="220" t="s">
        <v>522</v>
      </c>
      <c r="L57" s="226"/>
      <c r="M57" s="226"/>
      <c r="N57" s="226" t="s">
        <v>1178</v>
      </c>
      <c r="O57" s="247"/>
      <c r="P57" s="226"/>
      <c r="Q57" s="226"/>
      <c r="U57" s="220" t="s">
        <v>1005</v>
      </c>
      <c r="V57" s="220" t="s">
        <v>1005</v>
      </c>
      <c r="X57" s="255">
        <v>43586</v>
      </c>
      <c r="Y57" s="255">
        <v>43587</v>
      </c>
      <c r="AA57" s="255"/>
      <c r="AB57" s="220" t="s">
        <v>523</v>
      </c>
      <c r="AC57" s="220">
        <v>0</v>
      </c>
      <c r="AD57" s="220">
        <v>0</v>
      </c>
      <c r="AE57" s="220">
        <v>0</v>
      </c>
      <c r="AF57" s="220">
        <v>0</v>
      </c>
      <c r="AG57" s="220">
        <v>0</v>
      </c>
      <c r="AH57" s="220">
        <v>1</v>
      </c>
      <c r="AI57" s="220">
        <v>70195</v>
      </c>
      <c r="AJ57" s="220">
        <v>2180</v>
      </c>
      <c r="AK57" s="220">
        <v>0</v>
      </c>
      <c r="AL57" s="220">
        <v>0</v>
      </c>
      <c r="AO57" s="258"/>
      <c r="AP57" s="258"/>
      <c r="AQ57" s="220" t="str">
        <f t="shared" si="2"/>
        <v/>
      </c>
      <c r="AS57" s="220" t="str">
        <f t="shared" si="1"/>
        <v>wci_corp</v>
      </c>
    </row>
    <row r="58" spans="2:45">
      <c r="B58" s="220" t="s">
        <v>1081</v>
      </c>
      <c r="C58" s="255">
        <v>43616</v>
      </c>
      <c r="D58" s="256">
        <v>239.56</v>
      </c>
      <c r="E58" s="256">
        <v>0</v>
      </c>
      <c r="F58" s="257" t="s">
        <v>413</v>
      </c>
      <c r="G58" s="220" t="s">
        <v>1017</v>
      </c>
      <c r="H58" s="258" t="s">
        <v>520</v>
      </c>
      <c r="I58" s="220" t="s">
        <v>1018</v>
      </c>
      <c r="J58" s="220" t="s">
        <v>670</v>
      </c>
      <c r="K58" s="220" t="s">
        <v>522</v>
      </c>
      <c r="L58" s="226"/>
      <c r="M58" s="226"/>
      <c r="N58" s="226" t="s">
        <v>1178</v>
      </c>
      <c r="O58" s="247"/>
      <c r="P58" s="226"/>
      <c r="Q58" s="226"/>
      <c r="U58" s="220" t="s">
        <v>1020</v>
      </c>
      <c r="V58" s="220" t="s">
        <v>1020</v>
      </c>
      <c r="X58" s="255">
        <v>43620</v>
      </c>
      <c r="Y58" s="255">
        <v>43620</v>
      </c>
      <c r="AA58" s="255"/>
      <c r="AB58" s="220" t="s">
        <v>523</v>
      </c>
      <c r="AC58" s="220">
        <v>0</v>
      </c>
      <c r="AD58" s="220">
        <v>0</v>
      </c>
      <c r="AE58" s="220">
        <v>0</v>
      </c>
      <c r="AF58" s="220">
        <v>0</v>
      </c>
      <c r="AG58" s="220">
        <v>0</v>
      </c>
      <c r="AH58" s="220">
        <v>1</v>
      </c>
      <c r="AI58" s="220">
        <v>70195</v>
      </c>
      <c r="AJ58" s="220">
        <v>2180</v>
      </c>
      <c r="AK58" s="220">
        <v>0</v>
      </c>
      <c r="AL58" s="220">
        <v>0</v>
      </c>
      <c r="AO58" s="258"/>
      <c r="AP58" s="258"/>
      <c r="AQ58" s="220" t="str">
        <f t="shared" si="2"/>
        <v/>
      </c>
      <c r="AS58" s="220" t="str">
        <f t="shared" si="1"/>
        <v>wci_corp</v>
      </c>
    </row>
    <row r="59" spans="2:45">
      <c r="B59" s="220" t="s">
        <v>1081</v>
      </c>
      <c r="C59" s="255">
        <v>43646</v>
      </c>
      <c r="D59" s="256">
        <v>239.56</v>
      </c>
      <c r="E59" s="256">
        <v>0</v>
      </c>
      <c r="F59" s="257" t="s">
        <v>413</v>
      </c>
      <c r="G59" s="220" t="s">
        <v>1179</v>
      </c>
      <c r="H59" s="258" t="s">
        <v>520</v>
      </c>
      <c r="I59" s="220" t="s">
        <v>1180</v>
      </c>
      <c r="J59" s="220" t="s">
        <v>521</v>
      </c>
      <c r="K59" s="220" t="s">
        <v>522</v>
      </c>
      <c r="L59" s="226"/>
      <c r="M59" s="226"/>
      <c r="N59" s="226" t="s">
        <v>1178</v>
      </c>
      <c r="O59" s="247"/>
      <c r="P59" s="226"/>
      <c r="Q59" s="226"/>
      <c r="U59" s="220" t="s">
        <v>1181</v>
      </c>
      <c r="V59" s="220" t="s">
        <v>1181</v>
      </c>
      <c r="X59" s="255">
        <v>43648</v>
      </c>
      <c r="Y59" s="255">
        <v>43648</v>
      </c>
      <c r="AA59" s="255"/>
      <c r="AB59" s="220" t="s">
        <v>523</v>
      </c>
      <c r="AC59" s="220">
        <v>0</v>
      </c>
      <c r="AD59" s="220">
        <v>0</v>
      </c>
      <c r="AE59" s="220">
        <v>0</v>
      </c>
      <c r="AF59" s="220">
        <v>0</v>
      </c>
      <c r="AG59" s="220">
        <v>0</v>
      </c>
      <c r="AH59" s="220">
        <v>1</v>
      </c>
      <c r="AI59" s="220">
        <v>70195</v>
      </c>
      <c r="AJ59" s="220">
        <v>2180</v>
      </c>
      <c r="AK59" s="220">
        <v>0</v>
      </c>
      <c r="AL59" s="220">
        <v>0</v>
      </c>
      <c r="AO59" s="258"/>
      <c r="AP59" s="258"/>
      <c r="AQ59" s="220" t="str">
        <f t="shared" si="2"/>
        <v/>
      </c>
      <c r="AS59" s="220" t="str">
        <f t="shared" si="1"/>
        <v>wci_corp</v>
      </c>
    </row>
    <row r="60" spans="2:45">
      <c r="B60" s="220" t="s">
        <v>1081</v>
      </c>
      <c r="C60" s="255">
        <v>43677</v>
      </c>
      <c r="D60" s="256">
        <v>239.57</v>
      </c>
      <c r="E60" s="256">
        <v>0</v>
      </c>
      <c r="F60" s="257" t="s">
        <v>413</v>
      </c>
      <c r="G60" s="220" t="s">
        <v>1042</v>
      </c>
      <c r="H60" s="258" t="s">
        <v>520</v>
      </c>
      <c r="I60" s="220" t="s">
        <v>1043</v>
      </c>
      <c r="J60" s="220" t="s">
        <v>543</v>
      </c>
      <c r="K60" s="220" t="s">
        <v>522</v>
      </c>
      <c r="L60" s="226"/>
      <c r="M60" s="226"/>
      <c r="N60" s="226" t="s">
        <v>1178</v>
      </c>
      <c r="O60" s="247"/>
      <c r="P60" s="226"/>
      <c r="Q60" s="226"/>
      <c r="U60" s="220" t="s">
        <v>1044</v>
      </c>
      <c r="V60" s="220" t="s">
        <v>1044</v>
      </c>
      <c r="X60" s="255">
        <v>43679</v>
      </c>
      <c r="Y60" s="255">
        <v>43679</v>
      </c>
      <c r="AA60" s="255"/>
      <c r="AB60" s="220" t="s">
        <v>523</v>
      </c>
      <c r="AC60" s="220">
        <v>0</v>
      </c>
      <c r="AD60" s="220">
        <v>0</v>
      </c>
      <c r="AE60" s="220">
        <v>0</v>
      </c>
      <c r="AF60" s="220">
        <v>0</v>
      </c>
      <c r="AG60" s="220">
        <v>0</v>
      </c>
      <c r="AH60" s="220">
        <v>1</v>
      </c>
      <c r="AI60" s="220">
        <v>70195</v>
      </c>
      <c r="AJ60" s="220">
        <v>2180</v>
      </c>
      <c r="AK60" s="220">
        <v>0</v>
      </c>
      <c r="AL60" s="220">
        <v>0</v>
      </c>
      <c r="AO60" s="258"/>
      <c r="AP60" s="258"/>
      <c r="AQ60" s="220" t="str">
        <f t="shared" si="2"/>
        <v/>
      </c>
      <c r="AS60" s="220" t="str">
        <f t="shared" si="1"/>
        <v>wci_corp</v>
      </c>
    </row>
    <row r="61" spans="2:45">
      <c r="B61" s="220" t="s">
        <v>1081</v>
      </c>
      <c r="C61" s="255">
        <v>43708</v>
      </c>
      <c r="D61" s="256">
        <v>239.56</v>
      </c>
      <c r="E61" s="256">
        <v>0</v>
      </c>
      <c r="F61" s="257" t="s">
        <v>413</v>
      </c>
      <c r="G61" s="220" t="s">
        <v>1107</v>
      </c>
      <c r="H61" s="258" t="s">
        <v>520</v>
      </c>
      <c r="I61" s="220" t="s">
        <v>1108</v>
      </c>
      <c r="J61" s="220" t="s">
        <v>689</v>
      </c>
      <c r="K61" s="220" t="s">
        <v>522</v>
      </c>
      <c r="L61" s="226"/>
      <c r="M61" s="226"/>
      <c r="N61" s="226" t="s">
        <v>1178</v>
      </c>
      <c r="O61" s="247"/>
      <c r="P61" s="226"/>
      <c r="Q61" s="226"/>
      <c r="U61" s="220" t="s">
        <v>1110</v>
      </c>
      <c r="V61" s="220" t="s">
        <v>1110</v>
      </c>
      <c r="X61" s="255">
        <v>43712</v>
      </c>
      <c r="Y61" s="255">
        <v>43712</v>
      </c>
      <c r="AA61" s="255"/>
      <c r="AB61" s="220" t="s">
        <v>523</v>
      </c>
      <c r="AC61" s="220">
        <v>0</v>
      </c>
      <c r="AD61" s="220">
        <v>0</v>
      </c>
      <c r="AE61" s="220">
        <v>0</v>
      </c>
      <c r="AF61" s="220">
        <v>0</v>
      </c>
      <c r="AG61" s="220">
        <v>0</v>
      </c>
      <c r="AH61" s="220">
        <v>1</v>
      </c>
      <c r="AI61" s="220">
        <v>70195</v>
      </c>
      <c r="AJ61" s="220">
        <v>2180</v>
      </c>
      <c r="AK61" s="220">
        <v>0</v>
      </c>
      <c r="AL61" s="220">
        <v>0</v>
      </c>
      <c r="AO61" s="258"/>
      <c r="AP61" s="258"/>
      <c r="AQ61" s="220" t="str">
        <f t="shared" si="2"/>
        <v/>
      </c>
      <c r="AS61" s="220" t="str">
        <f t="shared" si="1"/>
        <v>wci_corp</v>
      </c>
    </row>
    <row r="62" spans="2:45">
      <c r="B62" s="220" t="s">
        <v>1081</v>
      </c>
      <c r="C62" s="255">
        <v>43738</v>
      </c>
      <c r="D62" s="256">
        <v>239.56</v>
      </c>
      <c r="E62" s="256">
        <v>0</v>
      </c>
      <c r="F62" s="257" t="s">
        <v>413</v>
      </c>
      <c r="G62" s="220" t="s">
        <v>1045</v>
      </c>
      <c r="H62" s="258" t="s">
        <v>520</v>
      </c>
      <c r="I62" s="220" t="s">
        <v>1046</v>
      </c>
      <c r="J62" s="220" t="s">
        <v>543</v>
      </c>
      <c r="K62" s="220" t="s">
        <v>522</v>
      </c>
      <c r="L62" s="226"/>
      <c r="M62" s="226"/>
      <c r="N62" s="226" t="s">
        <v>1178</v>
      </c>
      <c r="O62" s="247"/>
      <c r="P62" s="226"/>
      <c r="Q62" s="226"/>
      <c r="U62" s="220" t="s">
        <v>1047</v>
      </c>
      <c r="V62" s="220" t="s">
        <v>1047</v>
      </c>
      <c r="X62" s="255">
        <v>43740</v>
      </c>
      <c r="Y62" s="255">
        <v>43740</v>
      </c>
      <c r="AA62" s="255"/>
      <c r="AB62" s="220" t="s">
        <v>523</v>
      </c>
      <c r="AC62" s="220">
        <v>0</v>
      </c>
      <c r="AD62" s="220">
        <v>0</v>
      </c>
      <c r="AE62" s="220">
        <v>0</v>
      </c>
      <c r="AF62" s="220">
        <v>0</v>
      </c>
      <c r="AG62" s="220">
        <v>0</v>
      </c>
      <c r="AH62" s="220">
        <v>1</v>
      </c>
      <c r="AI62" s="220">
        <v>70195</v>
      </c>
      <c r="AJ62" s="220">
        <v>2180</v>
      </c>
      <c r="AK62" s="220">
        <v>0</v>
      </c>
      <c r="AL62" s="220">
        <v>0</v>
      </c>
      <c r="AO62" s="258"/>
      <c r="AP62" s="258"/>
      <c r="AQ62" s="220" t="str">
        <f t="shared" si="2"/>
        <v/>
      </c>
      <c r="AS62" s="220" t="str">
        <f t="shared" si="1"/>
        <v>wci_corp</v>
      </c>
    </row>
    <row r="63" spans="2:45">
      <c r="B63" s="220" t="s">
        <v>1081</v>
      </c>
      <c r="C63" s="255">
        <v>43769</v>
      </c>
      <c r="D63" s="256">
        <v>239.56</v>
      </c>
      <c r="E63" s="256">
        <v>0</v>
      </c>
      <c r="F63" s="257" t="s">
        <v>413</v>
      </c>
      <c r="G63" s="220" t="s">
        <v>1058</v>
      </c>
      <c r="H63" s="258" t="s">
        <v>520</v>
      </c>
      <c r="I63" s="220" t="s">
        <v>1059</v>
      </c>
      <c r="J63" s="220" t="s">
        <v>543</v>
      </c>
      <c r="K63" s="220" t="s">
        <v>522</v>
      </c>
      <c r="L63" s="226"/>
      <c r="M63" s="226"/>
      <c r="N63" s="226" t="s">
        <v>1178</v>
      </c>
      <c r="O63" s="247"/>
      <c r="P63" s="226"/>
      <c r="Q63" s="226"/>
      <c r="U63" s="220" t="s">
        <v>1061</v>
      </c>
      <c r="V63" s="220" t="s">
        <v>1061</v>
      </c>
      <c r="X63" s="255">
        <v>43773</v>
      </c>
      <c r="Y63" s="255">
        <v>43774</v>
      </c>
      <c r="AA63" s="255"/>
      <c r="AB63" s="220" t="s">
        <v>523</v>
      </c>
      <c r="AC63" s="220">
        <v>0</v>
      </c>
      <c r="AD63" s="220">
        <v>0</v>
      </c>
      <c r="AE63" s="220">
        <v>0</v>
      </c>
      <c r="AF63" s="220">
        <v>0</v>
      </c>
      <c r="AG63" s="220">
        <v>0</v>
      </c>
      <c r="AH63" s="220">
        <v>1</v>
      </c>
      <c r="AI63" s="220">
        <v>70195</v>
      </c>
      <c r="AJ63" s="220">
        <v>2180</v>
      </c>
      <c r="AK63" s="220">
        <v>0</v>
      </c>
      <c r="AL63" s="220">
        <v>0</v>
      </c>
      <c r="AO63" s="258"/>
      <c r="AP63" s="258"/>
      <c r="AQ63" s="220" t="str">
        <f t="shared" si="2"/>
        <v/>
      </c>
      <c r="AS63" s="220" t="str">
        <f t="shared" si="1"/>
        <v>wci_corp</v>
      </c>
    </row>
    <row r="64" spans="2:45">
      <c r="B64" s="220" t="s">
        <v>1081</v>
      </c>
      <c r="C64" s="255">
        <v>43799</v>
      </c>
      <c r="D64" s="256">
        <v>239.56</v>
      </c>
      <c r="E64" s="256">
        <v>0</v>
      </c>
      <c r="F64" s="257" t="s">
        <v>413</v>
      </c>
      <c r="G64" s="220" t="s">
        <v>1069</v>
      </c>
      <c r="H64" s="258" t="s">
        <v>520</v>
      </c>
      <c r="I64" s="220" t="s">
        <v>1070</v>
      </c>
      <c r="J64" s="220" t="s">
        <v>521</v>
      </c>
      <c r="K64" s="220" t="s">
        <v>522</v>
      </c>
      <c r="L64" s="226"/>
      <c r="M64" s="226"/>
      <c r="N64" s="226" t="s">
        <v>1178</v>
      </c>
      <c r="O64" s="247"/>
      <c r="P64" s="226"/>
      <c r="Q64" s="226"/>
      <c r="U64" s="220" t="s">
        <v>1072</v>
      </c>
      <c r="V64" s="220" t="s">
        <v>1072</v>
      </c>
      <c r="X64" s="255">
        <v>43802</v>
      </c>
      <c r="Y64" s="255">
        <v>43802</v>
      </c>
      <c r="AA64" s="255"/>
      <c r="AB64" s="220" t="s">
        <v>523</v>
      </c>
      <c r="AC64" s="220">
        <v>0</v>
      </c>
      <c r="AD64" s="220">
        <v>0</v>
      </c>
      <c r="AE64" s="220">
        <v>0</v>
      </c>
      <c r="AF64" s="220">
        <v>0</v>
      </c>
      <c r="AG64" s="220">
        <v>0</v>
      </c>
      <c r="AH64" s="220">
        <v>1</v>
      </c>
      <c r="AI64" s="220">
        <v>70195</v>
      </c>
      <c r="AJ64" s="220">
        <v>2180</v>
      </c>
      <c r="AK64" s="220">
        <v>0</v>
      </c>
      <c r="AL64" s="220">
        <v>0</v>
      </c>
      <c r="AO64" s="258"/>
      <c r="AP64" s="258"/>
      <c r="AQ64" s="220" t="str">
        <f t="shared" si="2"/>
        <v/>
      </c>
      <c r="AS64" s="220" t="str">
        <f t="shared" si="1"/>
        <v>wci_corp</v>
      </c>
    </row>
    <row r="65" spans="2:45">
      <c r="B65" s="220" t="s">
        <v>1081</v>
      </c>
      <c r="C65" s="255">
        <v>43446</v>
      </c>
      <c r="D65" s="256">
        <v>1593.52</v>
      </c>
      <c r="E65" s="256">
        <v>0</v>
      </c>
      <c r="F65" s="257" t="s">
        <v>413</v>
      </c>
      <c r="G65" s="220" t="s">
        <v>1182</v>
      </c>
      <c r="H65" s="258" t="s">
        <v>520</v>
      </c>
      <c r="I65" s="220" t="s">
        <v>680</v>
      </c>
      <c r="J65" s="220" t="s">
        <v>1011</v>
      </c>
      <c r="K65" s="220" t="s">
        <v>522</v>
      </c>
      <c r="L65" s="226" t="s">
        <v>1183</v>
      </c>
      <c r="M65" s="226"/>
      <c r="N65" s="226" t="s">
        <v>1184</v>
      </c>
      <c r="O65" s="247">
        <v>43435</v>
      </c>
      <c r="P65" s="226" t="s">
        <v>1185</v>
      </c>
      <c r="Q65" s="226">
        <v>14461</v>
      </c>
      <c r="R65" s="220" t="s">
        <v>1186</v>
      </c>
      <c r="U65" s="220" t="s">
        <v>1187</v>
      </c>
      <c r="V65" s="220" t="s">
        <v>1188</v>
      </c>
      <c r="W65" s="220">
        <v>2000</v>
      </c>
      <c r="X65" s="255">
        <v>43446</v>
      </c>
      <c r="Y65" s="255">
        <v>43454</v>
      </c>
      <c r="Z65" s="220">
        <v>8400</v>
      </c>
      <c r="AA65" s="255">
        <v>43470</v>
      </c>
      <c r="AB65" s="220" t="s">
        <v>523</v>
      </c>
      <c r="AC65" s="220">
        <v>0</v>
      </c>
      <c r="AD65" s="220">
        <v>0</v>
      </c>
      <c r="AE65" s="220">
        <v>0</v>
      </c>
      <c r="AF65" s="220">
        <v>0</v>
      </c>
      <c r="AG65" s="220">
        <v>0</v>
      </c>
      <c r="AH65" s="220">
        <v>1</v>
      </c>
      <c r="AI65" s="220">
        <v>70195</v>
      </c>
      <c r="AJ65" s="220">
        <v>2180</v>
      </c>
      <c r="AK65" s="220">
        <v>0</v>
      </c>
      <c r="AL65" s="220">
        <v>0</v>
      </c>
      <c r="AO65" s="258"/>
      <c r="AP65" s="258"/>
      <c r="AQ65" s="220" t="str">
        <f t="shared" si="2"/>
        <v>VO04859541</v>
      </c>
      <c r="AS65" s="220" t="str">
        <f t="shared" si="1"/>
        <v>wci_corp</v>
      </c>
    </row>
    <row r="66" spans="2:45">
      <c r="B66" s="220" t="s">
        <v>1081</v>
      </c>
      <c r="C66" s="255">
        <v>43482</v>
      </c>
      <c r="D66" s="256">
        <v>1547.31</v>
      </c>
      <c r="E66" s="256">
        <v>0</v>
      </c>
      <c r="F66" s="257" t="s">
        <v>413</v>
      </c>
      <c r="G66" s="220" t="s">
        <v>1189</v>
      </c>
      <c r="H66" s="258" t="s">
        <v>520</v>
      </c>
      <c r="I66" s="220" t="s">
        <v>680</v>
      </c>
      <c r="J66" s="220" t="s">
        <v>681</v>
      </c>
      <c r="K66" s="220" t="s">
        <v>522</v>
      </c>
      <c r="L66" s="226" t="s">
        <v>1183</v>
      </c>
      <c r="M66" s="226"/>
      <c r="N66" s="226" t="s">
        <v>1184</v>
      </c>
      <c r="O66" s="247">
        <v>43466</v>
      </c>
      <c r="P66" s="226" t="s">
        <v>1185</v>
      </c>
      <c r="Q66" s="226">
        <v>14621</v>
      </c>
      <c r="R66" s="220" t="s">
        <v>1190</v>
      </c>
      <c r="U66" s="220" t="s">
        <v>1191</v>
      </c>
      <c r="V66" s="220" t="s">
        <v>1192</v>
      </c>
      <c r="W66" s="220">
        <v>2000</v>
      </c>
      <c r="X66" s="255">
        <v>43482</v>
      </c>
      <c r="Y66" s="255">
        <v>43482</v>
      </c>
      <c r="Z66" s="220">
        <v>8400</v>
      </c>
      <c r="AA66" s="255">
        <v>43501</v>
      </c>
      <c r="AB66" s="220" t="s">
        <v>523</v>
      </c>
      <c r="AC66" s="220">
        <v>0</v>
      </c>
      <c r="AD66" s="220">
        <v>0</v>
      </c>
      <c r="AE66" s="220">
        <v>0</v>
      </c>
      <c r="AF66" s="220">
        <v>0</v>
      </c>
      <c r="AG66" s="220">
        <v>0</v>
      </c>
      <c r="AH66" s="220">
        <v>1</v>
      </c>
      <c r="AI66" s="220">
        <v>70195</v>
      </c>
      <c r="AJ66" s="220">
        <v>2180</v>
      </c>
      <c r="AK66" s="220">
        <v>0</v>
      </c>
      <c r="AL66" s="220">
        <v>0</v>
      </c>
      <c r="AO66" s="258"/>
      <c r="AP66" s="258"/>
      <c r="AQ66" s="220" t="str">
        <f t="shared" si="2"/>
        <v>VO04894005</v>
      </c>
      <c r="AS66" s="220" t="str">
        <f t="shared" si="1"/>
        <v>wci_corp</v>
      </c>
    </row>
    <row r="67" spans="2:45">
      <c r="B67" s="220" t="s">
        <v>1081</v>
      </c>
      <c r="C67" s="255">
        <v>43514</v>
      </c>
      <c r="D67" s="256">
        <v>1547.31</v>
      </c>
      <c r="E67" s="256">
        <v>0</v>
      </c>
      <c r="F67" s="257" t="s">
        <v>413</v>
      </c>
      <c r="G67" s="220" t="s">
        <v>1193</v>
      </c>
      <c r="H67" s="258" t="s">
        <v>520</v>
      </c>
      <c r="I67" s="220" t="s">
        <v>680</v>
      </c>
      <c r="J67" s="220" t="s">
        <v>681</v>
      </c>
      <c r="K67" s="220" t="s">
        <v>522</v>
      </c>
      <c r="L67" s="226" t="s">
        <v>1183</v>
      </c>
      <c r="M67" s="226"/>
      <c r="N67" s="226" t="s">
        <v>1184</v>
      </c>
      <c r="O67" s="247">
        <v>43497</v>
      </c>
      <c r="P67" s="226" t="s">
        <v>1185</v>
      </c>
      <c r="Q67" s="226">
        <v>14650</v>
      </c>
      <c r="R67" s="220" t="s">
        <v>1194</v>
      </c>
      <c r="U67" s="220" t="s">
        <v>1195</v>
      </c>
      <c r="V67" s="220" t="s">
        <v>1196</v>
      </c>
      <c r="W67" s="220">
        <v>2000</v>
      </c>
      <c r="X67" s="255">
        <v>43514</v>
      </c>
      <c r="Y67" s="255">
        <v>43516</v>
      </c>
      <c r="Z67" s="220">
        <v>8400</v>
      </c>
      <c r="AA67" s="255">
        <v>43532</v>
      </c>
      <c r="AB67" s="220" t="s">
        <v>523</v>
      </c>
      <c r="AC67" s="220">
        <v>0</v>
      </c>
      <c r="AD67" s="220">
        <v>0</v>
      </c>
      <c r="AE67" s="220">
        <v>0</v>
      </c>
      <c r="AF67" s="220">
        <v>0</v>
      </c>
      <c r="AG67" s="220">
        <v>0</v>
      </c>
      <c r="AH67" s="220">
        <v>1</v>
      </c>
      <c r="AI67" s="220">
        <v>70195</v>
      </c>
      <c r="AJ67" s="220">
        <v>2180</v>
      </c>
      <c r="AK67" s="220">
        <v>0</v>
      </c>
      <c r="AL67" s="220">
        <v>0</v>
      </c>
      <c r="AO67" s="258"/>
      <c r="AP67" s="258"/>
      <c r="AQ67" s="220" t="str">
        <f t="shared" si="2"/>
        <v>VO04925537</v>
      </c>
      <c r="AS67" s="220" t="str">
        <f t="shared" si="1"/>
        <v>wci_corp</v>
      </c>
    </row>
    <row r="68" spans="2:45">
      <c r="B68" s="220" t="s">
        <v>1081</v>
      </c>
      <c r="C68" s="255">
        <v>43550</v>
      </c>
      <c r="D68" s="256">
        <v>1547.31</v>
      </c>
      <c r="E68" s="256">
        <v>0</v>
      </c>
      <c r="F68" s="257" t="s">
        <v>413</v>
      </c>
      <c r="G68" s="220" t="s">
        <v>1197</v>
      </c>
      <c r="H68" s="258" t="s">
        <v>520</v>
      </c>
      <c r="I68" s="220" t="s">
        <v>680</v>
      </c>
      <c r="J68" s="220" t="s">
        <v>681</v>
      </c>
      <c r="K68" s="220" t="s">
        <v>522</v>
      </c>
      <c r="L68" s="226" t="s">
        <v>1183</v>
      </c>
      <c r="M68" s="226"/>
      <c r="N68" s="226" t="s">
        <v>1184</v>
      </c>
      <c r="O68" s="247">
        <v>43525</v>
      </c>
      <c r="P68" s="226" t="s">
        <v>1185</v>
      </c>
      <c r="Q68" s="226">
        <v>14680</v>
      </c>
      <c r="R68" s="220" t="s">
        <v>1198</v>
      </c>
      <c r="U68" s="220" t="s">
        <v>1199</v>
      </c>
      <c r="V68" s="220" t="s">
        <v>1200</v>
      </c>
      <c r="W68" s="220">
        <v>2000</v>
      </c>
      <c r="X68" s="255">
        <v>43550</v>
      </c>
      <c r="Y68" s="255">
        <v>43552</v>
      </c>
      <c r="Z68" s="220">
        <v>8400</v>
      </c>
      <c r="AA68" s="255">
        <v>43560</v>
      </c>
      <c r="AB68" s="220" t="s">
        <v>523</v>
      </c>
      <c r="AC68" s="220">
        <v>0</v>
      </c>
      <c r="AD68" s="220">
        <v>0</v>
      </c>
      <c r="AE68" s="220">
        <v>0</v>
      </c>
      <c r="AF68" s="220">
        <v>0</v>
      </c>
      <c r="AG68" s="220">
        <v>0</v>
      </c>
      <c r="AH68" s="220">
        <v>1</v>
      </c>
      <c r="AI68" s="220">
        <v>70195</v>
      </c>
      <c r="AJ68" s="220">
        <v>2180</v>
      </c>
      <c r="AK68" s="220">
        <v>0</v>
      </c>
      <c r="AL68" s="220">
        <v>0</v>
      </c>
      <c r="AO68" s="258"/>
      <c r="AP68" s="258"/>
      <c r="AQ68" s="220" t="str">
        <f t="shared" si="2"/>
        <v>VO04964688</v>
      </c>
      <c r="AS68" s="220" t="str">
        <f t="shared" si="1"/>
        <v>wci_corp</v>
      </c>
    </row>
    <row r="69" spans="2:45">
      <c r="B69" s="220" t="s">
        <v>1081</v>
      </c>
      <c r="C69" s="255">
        <v>43565</v>
      </c>
      <c r="D69" s="256">
        <v>1547.31</v>
      </c>
      <c r="E69" s="256">
        <v>0</v>
      </c>
      <c r="F69" s="257" t="s">
        <v>413</v>
      </c>
      <c r="G69" s="220" t="s">
        <v>1201</v>
      </c>
      <c r="H69" s="258" t="s">
        <v>520</v>
      </c>
      <c r="I69" s="220" t="s">
        <v>680</v>
      </c>
      <c r="J69" s="220" t="s">
        <v>681</v>
      </c>
      <c r="K69" s="220" t="s">
        <v>522</v>
      </c>
      <c r="L69" s="226" t="s">
        <v>1183</v>
      </c>
      <c r="M69" s="226"/>
      <c r="N69" s="226" t="s">
        <v>1184</v>
      </c>
      <c r="O69" s="247">
        <v>43556</v>
      </c>
      <c r="P69" s="226" t="s">
        <v>1185</v>
      </c>
      <c r="Q69" s="226">
        <v>14709</v>
      </c>
      <c r="R69" s="220" t="s">
        <v>1202</v>
      </c>
      <c r="U69" s="220" t="s">
        <v>1203</v>
      </c>
      <c r="V69" s="220" t="s">
        <v>1204</v>
      </c>
      <c r="W69" s="220">
        <v>2000</v>
      </c>
      <c r="X69" s="255">
        <v>43565</v>
      </c>
      <c r="Y69" s="255">
        <v>43574</v>
      </c>
      <c r="Z69" s="220">
        <v>8400</v>
      </c>
      <c r="AA69" s="255">
        <v>43591</v>
      </c>
      <c r="AB69" s="220" t="s">
        <v>523</v>
      </c>
      <c r="AC69" s="220">
        <v>0</v>
      </c>
      <c r="AD69" s="220">
        <v>0</v>
      </c>
      <c r="AE69" s="220">
        <v>0</v>
      </c>
      <c r="AF69" s="220">
        <v>0</v>
      </c>
      <c r="AG69" s="220">
        <v>0</v>
      </c>
      <c r="AH69" s="220">
        <v>1</v>
      </c>
      <c r="AI69" s="220">
        <v>70195</v>
      </c>
      <c r="AJ69" s="220">
        <v>2180</v>
      </c>
      <c r="AK69" s="220">
        <v>0</v>
      </c>
      <c r="AL69" s="220">
        <v>0</v>
      </c>
      <c r="AO69" s="258"/>
      <c r="AP69" s="258"/>
      <c r="AQ69" s="220" t="str">
        <f t="shared" si="2"/>
        <v>VO04979309</v>
      </c>
      <c r="AS69" s="220" t="str">
        <f t="shared" si="1"/>
        <v>wci_corp</v>
      </c>
    </row>
    <row r="70" spans="2:45">
      <c r="B70" s="220" t="s">
        <v>1081</v>
      </c>
      <c r="C70" s="255">
        <v>43606</v>
      </c>
      <c r="D70" s="256">
        <v>1547.31</v>
      </c>
      <c r="E70" s="256">
        <v>0</v>
      </c>
      <c r="F70" s="257" t="s">
        <v>413</v>
      </c>
      <c r="G70" s="220" t="s">
        <v>1205</v>
      </c>
      <c r="H70" s="258" t="s">
        <v>520</v>
      </c>
      <c r="I70" s="220" t="s">
        <v>680</v>
      </c>
      <c r="J70" s="220" t="s">
        <v>681</v>
      </c>
      <c r="K70" s="220" t="s">
        <v>522</v>
      </c>
      <c r="L70" s="226" t="s">
        <v>1183</v>
      </c>
      <c r="M70" s="226"/>
      <c r="N70" s="226" t="s">
        <v>1184</v>
      </c>
      <c r="O70" s="247">
        <v>43586</v>
      </c>
      <c r="P70" s="226" t="s">
        <v>1185</v>
      </c>
      <c r="Q70" s="226">
        <v>14742</v>
      </c>
      <c r="R70" s="220" t="s">
        <v>1206</v>
      </c>
      <c r="U70" s="220" t="s">
        <v>1207</v>
      </c>
      <c r="V70" s="220" t="s">
        <v>1208</v>
      </c>
      <c r="W70" s="220">
        <v>2000</v>
      </c>
      <c r="X70" s="255">
        <v>43606</v>
      </c>
      <c r="Y70" s="255">
        <v>43614</v>
      </c>
      <c r="Z70" s="220">
        <v>8400</v>
      </c>
      <c r="AA70" s="255">
        <v>43621</v>
      </c>
      <c r="AB70" s="220" t="s">
        <v>523</v>
      </c>
      <c r="AC70" s="220">
        <v>0</v>
      </c>
      <c r="AD70" s="220">
        <v>0</v>
      </c>
      <c r="AE70" s="220">
        <v>0</v>
      </c>
      <c r="AF70" s="220">
        <v>0</v>
      </c>
      <c r="AG70" s="220">
        <v>0</v>
      </c>
      <c r="AH70" s="220">
        <v>1</v>
      </c>
      <c r="AI70" s="220">
        <v>70195</v>
      </c>
      <c r="AJ70" s="220">
        <v>2180</v>
      </c>
      <c r="AK70" s="220">
        <v>0</v>
      </c>
      <c r="AL70" s="220">
        <v>0</v>
      </c>
      <c r="AO70" s="258"/>
      <c r="AP70" s="258"/>
      <c r="AQ70" s="220" t="str">
        <f t="shared" si="2"/>
        <v>VO05021862</v>
      </c>
      <c r="AS70" s="220" t="str">
        <f t="shared" si="1"/>
        <v>wci_corp</v>
      </c>
    </row>
    <row r="71" spans="2:45">
      <c r="B71" s="220" t="s">
        <v>1081</v>
      </c>
      <c r="C71" s="255">
        <v>43627</v>
      </c>
      <c r="D71" s="256">
        <v>1547.31</v>
      </c>
      <c r="E71" s="256">
        <v>0</v>
      </c>
      <c r="F71" s="257" t="s">
        <v>413</v>
      </c>
      <c r="G71" s="220" t="s">
        <v>1209</v>
      </c>
      <c r="H71" s="258" t="s">
        <v>520</v>
      </c>
      <c r="I71" s="220" t="s">
        <v>680</v>
      </c>
      <c r="J71" s="220" t="s">
        <v>681</v>
      </c>
      <c r="K71" s="220" t="s">
        <v>522</v>
      </c>
      <c r="L71" s="226" t="s">
        <v>1183</v>
      </c>
      <c r="M71" s="226"/>
      <c r="N71" s="226" t="s">
        <v>1184</v>
      </c>
      <c r="O71" s="247">
        <v>43617</v>
      </c>
      <c r="P71" s="226" t="s">
        <v>1185</v>
      </c>
      <c r="Q71" s="226">
        <v>14820</v>
      </c>
      <c r="R71" s="220" t="s">
        <v>1210</v>
      </c>
      <c r="U71" s="220" t="s">
        <v>1211</v>
      </c>
      <c r="V71" s="220" t="s">
        <v>1212</v>
      </c>
      <c r="W71" s="220">
        <v>2000</v>
      </c>
      <c r="X71" s="255">
        <v>43627</v>
      </c>
      <c r="Y71" s="255">
        <v>43627</v>
      </c>
      <c r="Z71" s="220">
        <v>8400</v>
      </c>
      <c r="AA71" s="255">
        <v>43652</v>
      </c>
      <c r="AB71" s="220" t="s">
        <v>523</v>
      </c>
      <c r="AC71" s="220">
        <v>0</v>
      </c>
      <c r="AD71" s="220">
        <v>0</v>
      </c>
      <c r="AE71" s="220">
        <v>0</v>
      </c>
      <c r="AF71" s="220">
        <v>0</v>
      </c>
      <c r="AG71" s="220">
        <v>0</v>
      </c>
      <c r="AH71" s="220">
        <v>1</v>
      </c>
      <c r="AI71" s="220">
        <v>70195</v>
      </c>
      <c r="AJ71" s="220">
        <v>2180</v>
      </c>
      <c r="AK71" s="220">
        <v>0</v>
      </c>
      <c r="AL71" s="220">
        <v>0</v>
      </c>
      <c r="AO71" s="258"/>
      <c r="AP71" s="258"/>
      <c r="AQ71" s="220" t="str">
        <f t="shared" si="2"/>
        <v>VO05046847</v>
      </c>
      <c r="AS71" s="220" t="str">
        <f t="shared" si="1"/>
        <v>wci_corp</v>
      </c>
    </row>
    <row r="72" spans="2:45">
      <c r="B72" s="220" t="s">
        <v>1081</v>
      </c>
      <c r="C72" s="255">
        <v>43668</v>
      </c>
      <c r="D72" s="256">
        <v>1547.31</v>
      </c>
      <c r="E72" s="256">
        <v>0</v>
      </c>
      <c r="F72" s="257" t="s">
        <v>413</v>
      </c>
      <c r="G72" s="220" t="s">
        <v>1213</v>
      </c>
      <c r="H72" s="258" t="s">
        <v>520</v>
      </c>
      <c r="I72" s="220" t="s">
        <v>680</v>
      </c>
      <c r="J72" s="220" t="s">
        <v>681</v>
      </c>
      <c r="K72" s="220" t="s">
        <v>522</v>
      </c>
      <c r="L72" s="226" t="s">
        <v>1183</v>
      </c>
      <c r="M72" s="226"/>
      <c r="N72" s="226" t="s">
        <v>1184</v>
      </c>
      <c r="O72" s="247">
        <v>43647</v>
      </c>
      <c r="P72" s="226" t="s">
        <v>1185</v>
      </c>
      <c r="Q72" s="226">
        <v>14935</v>
      </c>
      <c r="R72" s="220" t="s">
        <v>1214</v>
      </c>
      <c r="U72" s="220" t="s">
        <v>1215</v>
      </c>
      <c r="V72" s="220" t="s">
        <v>1216</v>
      </c>
      <c r="W72" s="220">
        <v>2000</v>
      </c>
      <c r="X72" s="255">
        <v>43668</v>
      </c>
      <c r="Y72" s="255">
        <v>43675</v>
      </c>
      <c r="Z72" s="220">
        <v>8400</v>
      </c>
      <c r="AA72" s="255">
        <v>43682</v>
      </c>
      <c r="AB72" s="220" t="s">
        <v>523</v>
      </c>
      <c r="AC72" s="220">
        <v>0</v>
      </c>
      <c r="AD72" s="220">
        <v>0</v>
      </c>
      <c r="AE72" s="220">
        <v>0</v>
      </c>
      <c r="AF72" s="220">
        <v>0</v>
      </c>
      <c r="AG72" s="220">
        <v>0</v>
      </c>
      <c r="AH72" s="220">
        <v>1</v>
      </c>
      <c r="AI72" s="220">
        <v>70195</v>
      </c>
      <c r="AJ72" s="220">
        <v>2180</v>
      </c>
      <c r="AK72" s="220">
        <v>0</v>
      </c>
      <c r="AL72" s="220">
        <v>0</v>
      </c>
      <c r="AO72" s="258"/>
      <c r="AP72" s="258"/>
      <c r="AQ72" s="220" t="str">
        <f t="shared" si="2"/>
        <v>VO05087975</v>
      </c>
      <c r="AS72" s="220" t="str">
        <f t="shared" si="1"/>
        <v>wci_corp</v>
      </c>
    </row>
    <row r="73" spans="2:45">
      <c r="B73" s="220" t="s">
        <v>1081</v>
      </c>
      <c r="C73" s="255">
        <v>43690</v>
      </c>
      <c r="D73" s="256">
        <v>1547.31</v>
      </c>
      <c r="E73" s="256">
        <v>0</v>
      </c>
      <c r="F73" s="257" t="s">
        <v>413</v>
      </c>
      <c r="G73" s="220" t="s">
        <v>1217</v>
      </c>
      <c r="H73" s="258" t="s">
        <v>520</v>
      </c>
      <c r="I73" s="220" t="s">
        <v>680</v>
      </c>
      <c r="J73" s="220" t="s">
        <v>681</v>
      </c>
      <c r="K73" s="220" t="s">
        <v>522</v>
      </c>
      <c r="L73" s="226" t="s">
        <v>1183</v>
      </c>
      <c r="M73" s="226"/>
      <c r="N73" s="226" t="s">
        <v>1184</v>
      </c>
      <c r="O73" s="247">
        <v>43678</v>
      </c>
      <c r="P73" s="226" t="s">
        <v>1218</v>
      </c>
      <c r="Q73" s="226">
        <v>14993</v>
      </c>
      <c r="R73" s="220" t="s">
        <v>1219</v>
      </c>
      <c r="U73" s="220" t="s">
        <v>1220</v>
      </c>
      <c r="V73" s="220" t="s">
        <v>1221</v>
      </c>
      <c r="W73" s="220">
        <v>2000</v>
      </c>
      <c r="X73" s="255">
        <v>43690</v>
      </c>
      <c r="Y73" s="255">
        <v>43692</v>
      </c>
      <c r="Z73" s="220">
        <v>8400</v>
      </c>
      <c r="AA73" s="255">
        <v>43713</v>
      </c>
      <c r="AB73" s="220" t="s">
        <v>523</v>
      </c>
      <c r="AC73" s="220">
        <v>0</v>
      </c>
      <c r="AD73" s="220">
        <v>0</v>
      </c>
      <c r="AE73" s="220">
        <v>0</v>
      </c>
      <c r="AF73" s="220">
        <v>0</v>
      </c>
      <c r="AG73" s="220">
        <v>0</v>
      </c>
      <c r="AH73" s="220">
        <v>1</v>
      </c>
      <c r="AI73" s="220">
        <v>70195</v>
      </c>
      <c r="AJ73" s="220">
        <v>2180</v>
      </c>
      <c r="AK73" s="220">
        <v>0</v>
      </c>
      <c r="AL73" s="220">
        <v>0</v>
      </c>
      <c r="AO73" s="258"/>
      <c r="AP73" s="258"/>
      <c r="AQ73" s="220" t="str">
        <f t="shared" si="2"/>
        <v>VO05112080</v>
      </c>
      <c r="AS73" s="220" t="str">
        <f t="shared" si="1"/>
        <v>wci_corp</v>
      </c>
    </row>
    <row r="74" spans="2:45">
      <c r="B74" s="220" t="s">
        <v>1081</v>
      </c>
      <c r="C74" s="255">
        <v>43725</v>
      </c>
      <c r="D74" s="256">
        <v>300</v>
      </c>
      <c r="E74" s="256">
        <v>0</v>
      </c>
      <c r="F74" s="257" t="s">
        <v>413</v>
      </c>
      <c r="G74" s="220" t="s">
        <v>1222</v>
      </c>
      <c r="H74" s="258" t="s">
        <v>520</v>
      </c>
      <c r="I74" s="220" t="s">
        <v>680</v>
      </c>
      <c r="J74" s="220" t="s">
        <v>681</v>
      </c>
      <c r="K74" s="220" t="s">
        <v>522</v>
      </c>
      <c r="L74" s="226" t="s">
        <v>1183</v>
      </c>
      <c r="M74" s="226"/>
      <c r="N74" s="226" t="s">
        <v>1184</v>
      </c>
      <c r="O74" s="247">
        <v>43711</v>
      </c>
      <c r="P74" s="226" t="s">
        <v>1223</v>
      </c>
      <c r="Q74" s="226">
        <v>15126</v>
      </c>
      <c r="R74" s="220" t="s">
        <v>1224</v>
      </c>
      <c r="U74" s="220" t="s">
        <v>1225</v>
      </c>
      <c r="V74" s="220" t="s">
        <v>1226</v>
      </c>
      <c r="W74" s="220">
        <v>2180</v>
      </c>
      <c r="X74" s="255">
        <v>43725</v>
      </c>
      <c r="Y74" s="255">
        <v>43727</v>
      </c>
      <c r="Z74" s="220">
        <v>300</v>
      </c>
      <c r="AA74" s="255">
        <v>43746</v>
      </c>
      <c r="AB74" s="220" t="s">
        <v>523</v>
      </c>
      <c r="AC74" s="220">
        <v>0</v>
      </c>
      <c r="AD74" s="220">
        <v>0</v>
      </c>
      <c r="AE74" s="220">
        <v>0</v>
      </c>
      <c r="AF74" s="220">
        <v>0</v>
      </c>
      <c r="AG74" s="220">
        <v>0</v>
      </c>
      <c r="AH74" s="220">
        <v>1</v>
      </c>
      <c r="AI74" s="220">
        <v>70195</v>
      </c>
      <c r="AJ74" s="220">
        <v>2180</v>
      </c>
      <c r="AK74" s="220">
        <v>0</v>
      </c>
      <c r="AL74" s="220">
        <v>0</v>
      </c>
      <c r="AO74" s="258"/>
      <c r="AP74" s="258"/>
      <c r="AQ74" s="220" t="str">
        <f t="shared" si="2"/>
        <v>VO05151981</v>
      </c>
      <c r="AS74" s="220" t="str">
        <f t="shared" si="1"/>
        <v>wci_corp</v>
      </c>
    </row>
    <row r="75" spans="2:45">
      <c r="B75" s="220" t="s">
        <v>1081</v>
      </c>
      <c r="C75" s="255">
        <v>43734</v>
      </c>
      <c r="D75" s="256">
        <v>1547.31</v>
      </c>
      <c r="E75" s="256">
        <v>0</v>
      </c>
      <c r="F75" s="257" t="s">
        <v>413</v>
      </c>
      <c r="G75" s="220" t="s">
        <v>1227</v>
      </c>
      <c r="H75" s="258" t="s">
        <v>520</v>
      </c>
      <c r="I75" s="220" t="s">
        <v>680</v>
      </c>
      <c r="J75" s="220" t="s">
        <v>681</v>
      </c>
      <c r="K75" s="220" t="s">
        <v>522</v>
      </c>
      <c r="L75" s="226" t="s">
        <v>1183</v>
      </c>
      <c r="M75" s="226"/>
      <c r="N75" s="226" t="s">
        <v>1184</v>
      </c>
      <c r="O75" s="247">
        <v>43709</v>
      </c>
      <c r="P75" s="226" t="s">
        <v>1218</v>
      </c>
      <c r="Q75" s="226">
        <v>15028</v>
      </c>
      <c r="R75" s="220" t="s">
        <v>1228</v>
      </c>
      <c r="U75" s="220" t="s">
        <v>1229</v>
      </c>
      <c r="V75" s="220" t="s">
        <v>1230</v>
      </c>
      <c r="W75" s="220">
        <v>2000</v>
      </c>
      <c r="X75" s="255">
        <v>43734</v>
      </c>
      <c r="Y75" s="255">
        <v>43734</v>
      </c>
      <c r="Z75" s="220">
        <v>8400</v>
      </c>
      <c r="AA75" s="255">
        <v>43744</v>
      </c>
      <c r="AB75" s="220" t="s">
        <v>523</v>
      </c>
      <c r="AC75" s="220">
        <v>0</v>
      </c>
      <c r="AD75" s="220">
        <v>0</v>
      </c>
      <c r="AE75" s="220">
        <v>0</v>
      </c>
      <c r="AF75" s="220">
        <v>0</v>
      </c>
      <c r="AG75" s="220">
        <v>0</v>
      </c>
      <c r="AH75" s="220">
        <v>1</v>
      </c>
      <c r="AI75" s="220">
        <v>70195</v>
      </c>
      <c r="AJ75" s="220">
        <v>2180</v>
      </c>
      <c r="AK75" s="220">
        <v>0</v>
      </c>
      <c r="AL75" s="220">
        <v>0</v>
      </c>
      <c r="AO75" s="258"/>
      <c r="AP75" s="258"/>
      <c r="AQ75" s="220" t="str">
        <f t="shared" si="2"/>
        <v>VO05160614</v>
      </c>
      <c r="AS75" s="220" t="str">
        <f t="shared" si="1"/>
        <v>wci_corp</v>
      </c>
    </row>
    <row r="76" spans="2:45">
      <c r="B76" s="220" t="s">
        <v>1081</v>
      </c>
      <c r="C76" s="255">
        <v>43756</v>
      </c>
      <c r="D76" s="256">
        <v>1547.31</v>
      </c>
      <c r="E76" s="256">
        <v>0</v>
      </c>
      <c r="F76" s="257" t="s">
        <v>413</v>
      </c>
      <c r="G76" s="220" t="s">
        <v>1231</v>
      </c>
      <c r="H76" s="258" t="s">
        <v>520</v>
      </c>
      <c r="I76" s="220" t="s">
        <v>680</v>
      </c>
      <c r="J76" s="220" t="s">
        <v>681</v>
      </c>
      <c r="K76" s="220" t="s">
        <v>522</v>
      </c>
      <c r="L76" s="226" t="s">
        <v>1183</v>
      </c>
      <c r="M76" s="226"/>
      <c r="N76" s="226" t="s">
        <v>1184</v>
      </c>
      <c r="O76" s="247">
        <v>43739</v>
      </c>
      <c r="P76" s="226" t="s">
        <v>1232</v>
      </c>
      <c r="Q76" s="226">
        <v>15061</v>
      </c>
      <c r="R76" s="220" t="s">
        <v>1233</v>
      </c>
      <c r="U76" s="220" t="s">
        <v>1234</v>
      </c>
      <c r="V76" s="220" t="s">
        <v>1235</v>
      </c>
      <c r="W76" s="220">
        <v>2000</v>
      </c>
      <c r="X76" s="255">
        <v>43756</v>
      </c>
      <c r="Y76" s="255">
        <v>43756</v>
      </c>
      <c r="Z76" s="220">
        <v>8400</v>
      </c>
      <c r="AA76" s="255">
        <v>43774</v>
      </c>
      <c r="AB76" s="220" t="s">
        <v>523</v>
      </c>
      <c r="AC76" s="220">
        <v>0</v>
      </c>
      <c r="AD76" s="220">
        <v>0</v>
      </c>
      <c r="AE76" s="220">
        <v>0</v>
      </c>
      <c r="AF76" s="220">
        <v>0</v>
      </c>
      <c r="AG76" s="220">
        <v>0</v>
      </c>
      <c r="AH76" s="220">
        <v>1</v>
      </c>
      <c r="AI76" s="220">
        <v>70195</v>
      </c>
      <c r="AJ76" s="220">
        <v>2180</v>
      </c>
      <c r="AK76" s="220">
        <v>0</v>
      </c>
      <c r="AL76" s="220">
        <v>0</v>
      </c>
      <c r="AO76" s="258"/>
      <c r="AP76" s="258"/>
      <c r="AQ76" s="220" t="str">
        <f t="shared" si="2"/>
        <v>VO05186307</v>
      </c>
      <c r="AS76" s="220" t="str">
        <f t="shared" si="1"/>
        <v>wci_corp</v>
      </c>
    </row>
    <row r="77" spans="2:45">
      <c r="B77" s="220" t="s">
        <v>1081</v>
      </c>
      <c r="C77" s="255">
        <v>43777</v>
      </c>
      <c r="D77" s="256">
        <v>1547.31</v>
      </c>
      <c r="E77" s="256">
        <v>0</v>
      </c>
      <c r="F77" s="257" t="s">
        <v>413</v>
      </c>
      <c r="G77" s="220" t="s">
        <v>1236</v>
      </c>
      <c r="H77" s="258" t="s">
        <v>520</v>
      </c>
      <c r="I77" s="220" t="s">
        <v>680</v>
      </c>
      <c r="J77" s="220" t="s">
        <v>1237</v>
      </c>
      <c r="K77" s="220" t="s">
        <v>522</v>
      </c>
      <c r="L77" s="226" t="s">
        <v>1183</v>
      </c>
      <c r="M77" s="226"/>
      <c r="N77" s="226" t="s">
        <v>1184</v>
      </c>
      <c r="O77" s="247">
        <v>43770</v>
      </c>
      <c r="P77" s="226" t="s">
        <v>1238</v>
      </c>
      <c r="Q77" s="226">
        <v>15090</v>
      </c>
      <c r="R77" s="220" t="s">
        <v>1239</v>
      </c>
      <c r="U77" s="220" t="s">
        <v>1240</v>
      </c>
      <c r="V77" s="220" t="s">
        <v>1241</v>
      </c>
      <c r="W77" s="220">
        <v>2000</v>
      </c>
      <c r="X77" s="255">
        <v>43777</v>
      </c>
      <c r="Y77" s="255">
        <v>43777</v>
      </c>
      <c r="Z77" s="220">
        <v>8400</v>
      </c>
      <c r="AA77" s="255">
        <v>43805</v>
      </c>
      <c r="AB77" s="220" t="s">
        <v>523</v>
      </c>
      <c r="AC77" s="220">
        <v>0</v>
      </c>
      <c r="AD77" s="220">
        <v>0</v>
      </c>
      <c r="AE77" s="220">
        <v>0</v>
      </c>
      <c r="AF77" s="220">
        <v>0</v>
      </c>
      <c r="AG77" s="220">
        <v>0</v>
      </c>
      <c r="AH77" s="220">
        <v>1</v>
      </c>
      <c r="AI77" s="220">
        <v>70195</v>
      </c>
      <c r="AJ77" s="220">
        <v>2180</v>
      </c>
      <c r="AK77" s="220">
        <v>0</v>
      </c>
      <c r="AL77" s="220">
        <v>0</v>
      </c>
      <c r="AO77" s="258"/>
      <c r="AP77" s="258"/>
      <c r="AQ77" s="220" t="str">
        <f t="shared" si="2"/>
        <v>VO05208101</v>
      </c>
      <c r="AS77" s="220" t="str">
        <f t="shared" si="1"/>
        <v>wci_corp</v>
      </c>
    </row>
    <row r="78" spans="2:45">
      <c r="C78" s="255"/>
      <c r="D78" s="259"/>
      <c r="E78" s="259"/>
      <c r="F78" s="259"/>
      <c r="H78" s="225"/>
    </row>
    <row r="79" spans="2:45">
      <c r="B79" s="572" t="s">
        <v>529</v>
      </c>
      <c r="C79" s="572"/>
      <c r="D79" s="573"/>
      <c r="E79" s="573"/>
      <c r="F79" s="573"/>
      <c r="G79" s="572"/>
      <c r="H79" s="574"/>
      <c r="I79" s="572"/>
      <c r="J79" s="572"/>
      <c r="K79" s="572"/>
      <c r="L79" s="572"/>
      <c r="M79" s="572"/>
      <c r="N79" s="572"/>
      <c r="O79" s="572"/>
      <c r="P79" s="572"/>
      <c r="Q79" s="572"/>
      <c r="R79" s="572"/>
      <c r="S79" s="572"/>
      <c r="T79" s="572"/>
      <c r="U79" s="572"/>
      <c r="V79" s="572"/>
      <c r="W79" s="572"/>
      <c r="X79" s="572"/>
      <c r="Y79" s="572"/>
      <c r="Z79" s="572"/>
      <c r="AA79" s="572"/>
      <c r="AB79" s="572"/>
      <c r="AC79" s="572"/>
      <c r="AD79" s="572"/>
      <c r="AE79" s="572"/>
      <c r="AF79" s="572"/>
      <c r="AG79" s="572"/>
      <c r="AH79" s="572"/>
      <c r="AI79" s="572"/>
      <c r="AJ79" s="572"/>
      <c r="AK79" s="572"/>
      <c r="AL79" s="572"/>
      <c r="AM79" s="572"/>
      <c r="AN79" s="572"/>
      <c r="AO79" s="572"/>
      <c r="AP79" s="221"/>
    </row>
    <row r="80" spans="2:45">
      <c r="H80" s="225"/>
    </row>
    <row r="81" spans="2:8">
      <c r="H81" s="225"/>
    </row>
    <row r="82" spans="2:8">
      <c r="H82" s="225"/>
    </row>
    <row r="83" spans="2:8" ht="15">
      <c r="B83" s="561" t="s">
        <v>530</v>
      </c>
      <c r="C83" s="542" t="s">
        <v>531</v>
      </c>
      <c r="D83" s="1085" t="s">
        <v>531</v>
      </c>
      <c r="H83" s="225"/>
    </row>
    <row r="84" spans="2:8" ht="15">
      <c r="B84" s="562" t="s">
        <v>1084</v>
      </c>
      <c r="C84" s="542">
        <v>312</v>
      </c>
      <c r="D84" s="542">
        <v>312</v>
      </c>
      <c r="H84" s="225"/>
    </row>
    <row r="85" spans="2:8" ht="15">
      <c r="B85" s="562" t="s">
        <v>1091</v>
      </c>
      <c r="C85" s="542">
        <v>250</v>
      </c>
      <c r="D85" s="542">
        <v>250</v>
      </c>
      <c r="E85" s="1088" t="s">
        <v>2441</v>
      </c>
      <c r="H85" s="225"/>
    </row>
    <row r="86" spans="2:8" ht="15">
      <c r="B86" s="562" t="s">
        <v>1097</v>
      </c>
      <c r="C86" s="542">
        <v>120</v>
      </c>
      <c r="D86" s="542">
        <v>120</v>
      </c>
      <c r="E86" s="1088"/>
      <c r="H86" s="225"/>
    </row>
    <row r="87" spans="2:8" ht="15">
      <c r="B87" s="562" t="s">
        <v>1101</v>
      </c>
      <c r="C87" s="542">
        <v>731</v>
      </c>
      <c r="D87" s="542">
        <v>731</v>
      </c>
      <c r="E87" s="1088" t="s">
        <v>2441</v>
      </c>
      <c r="H87" s="225"/>
    </row>
    <row r="88" spans="2:8" ht="15">
      <c r="B88" s="562" t="s">
        <v>1102</v>
      </c>
      <c r="C88" s="542">
        <v>283.02000000000004</v>
      </c>
      <c r="D88" s="542">
        <v>283.02000000000004</v>
      </c>
      <c r="E88" s="1088"/>
      <c r="H88" s="225"/>
    </row>
    <row r="89" spans="2:8" ht="15">
      <c r="B89" s="562" t="s">
        <v>1105</v>
      </c>
      <c r="C89" s="542">
        <v>447.3</v>
      </c>
      <c r="D89" s="542">
        <v>447.3</v>
      </c>
      <c r="E89" s="1088"/>
      <c r="H89" s="225"/>
    </row>
    <row r="90" spans="2:8" ht="15">
      <c r="B90" s="562" t="s">
        <v>1109</v>
      </c>
      <c r="C90" s="542">
        <v>1.99</v>
      </c>
      <c r="D90" s="542">
        <v>1.99</v>
      </c>
      <c r="E90" s="1088"/>
      <c r="H90" s="225"/>
    </row>
    <row r="91" spans="2:8" ht="15">
      <c r="B91" s="562" t="s">
        <v>1113</v>
      </c>
      <c r="C91" s="542">
        <v>32.97</v>
      </c>
      <c r="D91" s="542">
        <v>32.97</v>
      </c>
      <c r="E91" s="1088"/>
      <c r="H91" s="225"/>
    </row>
    <row r="92" spans="2:8" ht="15">
      <c r="B92" s="562" t="s">
        <v>1129</v>
      </c>
      <c r="C92" s="542">
        <v>0</v>
      </c>
      <c r="D92" s="542">
        <v>0</v>
      </c>
      <c r="E92" s="1088"/>
      <c r="H92" s="225"/>
    </row>
    <row r="93" spans="2:8" ht="15">
      <c r="B93" s="562" t="s">
        <v>1135</v>
      </c>
      <c r="C93" s="542">
        <v>0</v>
      </c>
      <c r="D93" s="542">
        <v>0</v>
      </c>
      <c r="E93" s="1088"/>
      <c r="H93" s="225"/>
    </row>
    <row r="94" spans="2:8" ht="15">
      <c r="B94" s="562" t="s">
        <v>1141</v>
      </c>
      <c r="C94" s="542">
        <v>-560</v>
      </c>
      <c r="D94" s="542">
        <v>-560</v>
      </c>
      <c r="E94" s="1088" t="s">
        <v>2441</v>
      </c>
      <c r="H94" s="225"/>
    </row>
    <row r="95" spans="2:8" ht="15">
      <c r="B95" s="562" t="s">
        <v>1151</v>
      </c>
      <c r="C95" s="542">
        <v>1025</v>
      </c>
      <c r="D95" s="542">
        <v>1025</v>
      </c>
      <c r="E95" s="1088"/>
      <c r="H95" s="225"/>
    </row>
    <row r="96" spans="2:8" ht="15">
      <c r="B96" s="562" t="s">
        <v>1158</v>
      </c>
      <c r="C96" s="542">
        <v>45</v>
      </c>
      <c r="D96" s="542">
        <v>45</v>
      </c>
      <c r="E96" s="1088" t="s">
        <v>2441</v>
      </c>
      <c r="H96" s="225"/>
    </row>
    <row r="97" spans="2:8" ht="15">
      <c r="B97" s="562" t="s">
        <v>1163</v>
      </c>
      <c r="C97" s="542">
        <v>1250</v>
      </c>
      <c r="D97" s="542">
        <v>1250</v>
      </c>
      <c r="E97" s="1088" t="s">
        <v>2441</v>
      </c>
      <c r="H97" s="225"/>
    </row>
    <row r="98" spans="2:8" ht="15">
      <c r="B98" s="562" t="s">
        <v>1164</v>
      </c>
      <c r="C98" s="542">
        <v>250</v>
      </c>
      <c r="D98" s="542">
        <v>250</v>
      </c>
      <c r="E98" s="1088" t="s">
        <v>2441</v>
      </c>
    </row>
    <row r="99" spans="2:8" ht="15">
      <c r="B99" s="562" t="s">
        <v>1167</v>
      </c>
      <c r="C99" s="542">
        <v>1120.76</v>
      </c>
      <c r="D99" s="542">
        <v>1120.76</v>
      </c>
      <c r="E99" s="1088" t="s">
        <v>2441</v>
      </c>
    </row>
    <row r="100" spans="2:8" ht="15">
      <c r="B100" s="562" t="s">
        <v>1177</v>
      </c>
      <c r="C100" s="542">
        <v>1550</v>
      </c>
      <c r="D100" s="542">
        <v>1550</v>
      </c>
      <c r="E100" s="1088" t="s">
        <v>2441</v>
      </c>
    </row>
    <row r="101" spans="2:8" ht="15">
      <c r="B101" s="562" t="s">
        <v>1178</v>
      </c>
      <c r="C101" s="542">
        <v>1916.4899999999998</v>
      </c>
      <c r="D101" s="542">
        <v>1916.4899999999998</v>
      </c>
      <c r="E101" s="1088"/>
    </row>
    <row r="102" spans="2:8" ht="15">
      <c r="B102" s="562" t="s">
        <v>1184</v>
      </c>
      <c r="C102" s="542">
        <v>18913.929999999997</v>
      </c>
      <c r="D102" s="542">
        <v>18913.929999999997</v>
      </c>
      <c r="E102" s="1088" t="s">
        <v>2442</v>
      </c>
    </row>
    <row r="103" spans="2:8" ht="15">
      <c r="B103" s="562" t="s">
        <v>303</v>
      </c>
      <c r="C103" s="542">
        <v>27689.459999999995</v>
      </c>
      <c r="D103" s="1086">
        <v>27689.459999999995</v>
      </c>
    </row>
    <row r="105" spans="2:8">
      <c r="B105" s="220" t="s">
        <v>2443</v>
      </c>
    </row>
    <row r="106" spans="2:8">
      <c r="C106" s="1089" t="s">
        <v>2445</v>
      </c>
      <c r="D106" s="427">
        <f>D102</f>
        <v>18913.929999999997</v>
      </c>
    </row>
    <row r="107" spans="2:8">
      <c r="C107" s="225" t="s">
        <v>2444</v>
      </c>
      <c r="D107" s="427">
        <f>D106*0.16</f>
        <v>3026.2287999999994</v>
      </c>
      <c r="E107" s="1088" t="s">
        <v>2441</v>
      </c>
    </row>
    <row r="110" spans="2:8">
      <c r="C110" s="234" t="s">
        <v>703</v>
      </c>
      <c r="D110" s="1090">
        <f>SUMIF(E84:E107,E110,D84:D108)</f>
        <v>7662.9887999999992</v>
      </c>
      <c r="E110" s="1088" t="s">
        <v>2441</v>
      </c>
    </row>
  </sheetData>
  <autoFilter ref="B19:AQ77">
    <sortState ref="B20:AQ77">
      <sortCondition ref="N19:N20"/>
    </sortState>
  </autoFilter>
  <customSheetViews>
    <customSheetView guid="{76FC386D-C488-46EF-BB9C-D1C49FEBAB90}" scale="80" showPageBreaks="1" showGridLines="0" fitToPage="1" printArea="1" showAutoFilter="1" hiddenRows="1" hiddenColumns="1" topLeftCell="B9">
      <pane ySplit="11" topLeftCell="A20" activePane="bottomLeft" state="frozen"/>
      <selection pane="bottomLeft" activeCell="K35" sqref="K35"/>
      <pageMargins left="0.27" right="0.28999999999999998" top="0.37" bottom="0.43" header="0.25" footer="0.25"/>
      <pageSetup scale="40" fitToHeight="0"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autoFilter ref="B19:AQ77">
        <sortState ref="B20:AQ77">
          <sortCondition ref="N19:N20"/>
        </sortState>
      </autoFilter>
    </customSheetView>
    <customSheetView guid="{16F8EA47-9864-4C0F-89A1-62B7CCC013F9}" scale="80" showGridLines="0" fitToPage="1" showAutoFilter="1" hiddenRows="1" hiddenColumns="1" topLeftCell="B9">
      <pane ySplit="11" topLeftCell="A20" activePane="bottomLeft" state="frozen"/>
      <selection pane="bottomLeft" activeCell="K35" sqref="K35"/>
      <pageMargins left="0.27" right="0.28999999999999998" top="0.37" bottom="0.43" header="0.25" footer="0.25"/>
      <pageSetup scale="53" fitToHeight="0" orientation="landscape" r:id="rId3"/>
      <headerFooter alignWithMargins="0">
        <oddHeader>&amp;L&amp;"Arial"&amp;L&amp;08 &amp;R&amp;"Arial"&amp;R&amp;08 &amp;D-&amp;T-Jeff Honsowetz</oddHeader>
        <oddFooter>&amp;L&amp;"Arial"&amp;L&amp;08 Path:D:\Data_WCNX\Financials\MidMonths\BrentProject\\&amp;F-&amp;A&amp;R&amp;"Arial"&amp;R&amp;08  Page &amp;P</oddFooter>
      </headerFooter>
      <autoFilter ref="B19:AQ20">
        <sortState ref="B20:AQ77">
          <sortCondition ref="N19:N20"/>
        </sortState>
      </autoFilter>
    </customSheetView>
  </customSheetViews>
  <dataValidations disablePrompts="1" count="1">
    <dataValidation type="list" allowBlank="1" showInputMessage="1" showErrorMessage="1" sqref="P15">
      <formula1>"All,Posted/Unposted,Posted,Unposted,Staged"</formula1>
    </dataValidation>
  </dataValidations>
  <pageMargins left="0.27" right="0.28999999999999998" top="0.37" bottom="0.43" header="0.25" footer="0.25"/>
  <pageSetup scale="33" fitToHeight="0" orientation="landscape" r:id="rId4"/>
  <headerFooter alignWithMargins="0">
    <oddHeader>&amp;L&amp;"Arial"&amp;L&amp;08 &amp;R&amp;"Arial"&amp;R&amp;08 &amp;D-&amp;T-Jeff Honsowetz</oddHeader>
    <oddFooter>&amp;L&amp;"Arial"&amp;L&amp;08 Path:D:\Data_WCNX\Financials\MidMonths\BrentProject\\&amp;F-&amp;A&amp;R&amp;"Arial"&amp;R&amp;08  Page &amp;P</oddFooter>
  </headerFooter>
  <legacy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tint="0.59999389629810485"/>
    <pageSetUpPr fitToPage="1"/>
  </sheetPr>
  <dimension ref="A1:Y250"/>
  <sheetViews>
    <sheetView showGridLines="0" view="pageBreakPreview" topLeftCell="D7" zoomScale="60" zoomScaleNormal="75" workbookViewId="0">
      <pane xSplit="5" ySplit="7" topLeftCell="I185" activePane="bottomRight" state="frozen"/>
      <selection activeCell="AP280" sqref="AP280"/>
      <selection pane="topRight" activeCell="AP280" sqref="AP280"/>
      <selection pane="bottomLeft" activeCell="AP280" sqref="AP280"/>
      <selection pane="bottomRight" activeCell="AP280" sqref="AP280"/>
    </sheetView>
  </sheetViews>
  <sheetFormatPr defaultColWidth="13.85546875" defaultRowHeight="12.75" outlineLevelRow="1"/>
  <cols>
    <col min="1" max="1" width="116.7109375" style="1" customWidth="1"/>
    <col min="2" max="2" width="16.5703125" style="1" customWidth="1"/>
    <col min="3" max="3" width="12.42578125" style="1" customWidth="1"/>
    <col min="4" max="4" width="6.85546875" style="1" customWidth="1"/>
    <col min="5" max="6" width="2.28515625" style="1" customWidth="1"/>
    <col min="7" max="7" width="25.5703125" style="1" customWidth="1"/>
    <col min="8" max="8" width="3.85546875" style="1" customWidth="1"/>
    <col min="9" max="9" width="2" style="1" customWidth="1"/>
    <col min="10" max="10" width="15.5703125" style="1" customWidth="1"/>
    <col min="11" max="11" width="1.85546875" style="1" customWidth="1"/>
    <col min="12" max="12" width="15.5703125" style="1" customWidth="1"/>
    <col min="13" max="13" width="1.85546875" style="1" customWidth="1"/>
    <col min="14" max="14" width="15.5703125" style="1" customWidth="1"/>
    <col min="15" max="15" width="1.85546875" style="1" customWidth="1"/>
    <col min="16" max="16" width="15.5703125" style="1" customWidth="1"/>
    <col min="17" max="17" width="3.140625" style="1" customWidth="1"/>
    <col min="18" max="20" width="16.28515625" style="1" bestFit="1" customWidth="1"/>
    <col min="21" max="21" width="1.85546875" style="1" customWidth="1"/>
    <col min="22" max="22" width="15.5703125" style="1" customWidth="1"/>
    <col min="23" max="23" width="2.85546875" style="1" customWidth="1"/>
    <col min="24" max="16384" width="13.85546875" style="1"/>
  </cols>
  <sheetData>
    <row r="1" spans="1:25">
      <c r="D1" s="1" t="s">
        <v>169</v>
      </c>
      <c r="E1" s="1" t="s">
        <v>170</v>
      </c>
      <c r="F1" s="2"/>
      <c r="G1" s="3"/>
      <c r="J1" s="1" t="s">
        <v>182</v>
      </c>
      <c r="L1" s="1" t="s">
        <v>710</v>
      </c>
      <c r="N1" s="1" t="s">
        <v>711</v>
      </c>
      <c r="R1" s="455" t="s">
        <v>180</v>
      </c>
      <c r="S1" s="455" t="s">
        <v>181</v>
      </c>
    </row>
    <row r="2" spans="1:25" s="7" customFormat="1" outlineLevel="1">
      <c r="A2" s="456"/>
      <c r="B2" s="457"/>
      <c r="C2" s="458"/>
      <c r="D2" s="459"/>
      <c r="E2" s="459"/>
      <c r="F2" s="460"/>
      <c r="G2" s="460"/>
      <c r="H2" s="456"/>
      <c r="I2" s="456"/>
      <c r="J2" s="461">
        <v>0</v>
      </c>
      <c r="K2" s="456"/>
      <c r="L2" s="461">
        <v>0</v>
      </c>
      <c r="M2" s="456"/>
      <c r="N2" s="462">
        <v>0</v>
      </c>
      <c r="O2" s="456"/>
      <c r="P2" s="461">
        <f>J2+L2+N2</f>
        <v>0</v>
      </c>
      <c r="Q2" s="456"/>
      <c r="R2" s="461">
        <v>0</v>
      </c>
      <c r="S2" s="461">
        <v>0</v>
      </c>
      <c r="T2" s="461">
        <f>P2</f>
        <v>0</v>
      </c>
      <c r="U2" s="456"/>
      <c r="V2" s="462">
        <f>T2-S2</f>
        <v>0</v>
      </c>
      <c r="W2" s="456"/>
      <c r="X2" s="456"/>
    </row>
    <row r="3" spans="1:25">
      <c r="G3" s="3"/>
      <c r="J3" s="1" t="str">
        <f>D9</f>
        <v>2019-11</v>
      </c>
      <c r="L3" s="1" t="str">
        <f>D9</f>
        <v>2019-11</v>
      </c>
      <c r="N3" s="1" t="str">
        <f>YearMonth</f>
        <v>2019-11</v>
      </c>
      <c r="P3" s="1" t="str">
        <f>D9</f>
        <v>2019-11</v>
      </c>
      <c r="R3" s="1" t="str">
        <f>IFERROR(TEXT(EDATE($B$7,MID(LEFT(R1,FIND(")",R1)-1),FIND("(",R1)+1,LEN(R1))),"yyyy-mm"),"")</f>
        <v>2019-09</v>
      </c>
      <c r="S3" s="1" t="str">
        <f>IFERROR(TEXT(EDATE($B$7,MID(LEFT(S1,FIND(")",S1)-1),FIND("(",S1)+1,LEN(S1))),"yyyy-mm"),"")</f>
        <v>2019-10</v>
      </c>
      <c r="T3" s="1" t="str">
        <f>D9</f>
        <v>2019-11</v>
      </c>
    </row>
    <row r="4" spans="1:25">
      <c r="A4" s="1" t="str">
        <f>_xll.jBinder("MarkerCell")</f>
        <v>jBinderOption{MarkerCell}: This cell will be used to note the tab was created from the binder.</v>
      </c>
      <c r="B4" s="1" t="str">
        <f ca="1">_xll.ReportVariable("FinCube",B11:B250,A1:Y1,A2:Y2,_xll.Param("BS"&amp;IF(ExcludeIC=TRUE,",!Eliminated",""),District,System,SubSystem,,,"*",,RIGHT(YearMonth,2),LEFT(YearMonth,4),,,1,,FALSE))</f>
        <v>OK!: ReportVariable Formula OK [jAction{}]</v>
      </c>
      <c r="G4" s="3"/>
      <c r="J4" s="1" t="s">
        <v>712</v>
      </c>
      <c r="L4" s="1" t="s">
        <v>713</v>
      </c>
      <c r="N4" s="1" t="s">
        <v>711</v>
      </c>
      <c r="P4" s="1" t="s">
        <v>474</v>
      </c>
      <c r="R4" s="1" t="s">
        <v>474</v>
      </c>
      <c r="S4" s="1" t="s">
        <v>474</v>
      </c>
      <c r="T4" s="1" t="s">
        <v>474</v>
      </c>
    </row>
    <row r="5" spans="1:25">
      <c r="A5" s="1" t="str">
        <f>_xll.jBinder("ChooseSegmentListtoIterateThru","Dist")</f>
        <v>jBinderOption{ChooseSegmentListtoIterateThru|Dist}: Option "ChooseSegmentListtoIterateThru" has value "Dist"</v>
      </c>
      <c r="B5" s="1" t="str">
        <f ca="1">_xll.ReportDrill(,"JEQuery_WithStaged",_xll.PairGroup(_xll.PairExt("C:d","Accounts"),_xll.PairExt(System,"Systems","N"),_xll.PairExt("R:3","DateFrom","Y"),_xll.PairExt("R:3","DateTo","Y"),_xll.PairExt(District,"Districts"),_xll.PairExt(SubSystem,"Subsystems","n"),_xll.PairExt("","VendorCode","n"),_xll.PairExt("","AmountFrom","N"),_xll.PairExt("","AmountTo","n"),_xll.PairExt("R:4","Posting","Y")),"Drill To JEQuery")</f>
        <v>OK!: ReportDrill 'Drill To JEQuery' Formula OK [jAction{}]</v>
      </c>
    </row>
    <row r="6" spans="1:25">
      <c r="A6" s="1" t="str">
        <f>_xll.jBinder("CreateSummaryTab","False")</f>
        <v>jBinderOption{CreateSummaryTab|False}: Option "CreateSummaryTab" has value "False"</v>
      </c>
      <c r="B6" s="1" t="str">
        <f ca="1">_xll.ReportDrill(,"JEQuery_WithStaged",_xll.PairGroup(_xll.PairExt("C:a","Accounts"),_xll.PairExt(System,"Systems","N"),_xll.PairExt("R:3","DateFrom","Y"),_xll.PairExt("R:3","DateTo","Y"),_xll.PairExt(District,"Districts"),_xll.PairExt(SubSystem,"Subsystems","n"),_xll.PairExt("","VendorCode","n"),_xll.PairExt("","AmountFrom","N"),_xll.PairExt("","AmountTo","n"),_xll.PairExt("R:4","Posting","Y")),"Drill To JEQuery")</f>
        <v>OK!: ReportDrill 'Drill To JEQuery' Formula OK [jAction{}]</v>
      </c>
    </row>
    <row r="7" spans="1:25" s="14" customFormat="1" ht="15.75">
      <c r="A7" s="1" t="str">
        <f ca="1">_xll.jBinder("Dist",District)</f>
        <v>jBinderOption{Dist||N7}: "Dist" can iterate on cell "N7"</v>
      </c>
      <c r="B7" s="463">
        <f>DATEVALUE(RIGHT(YearMonth,2)&amp;"/1/"&amp;LEFT(YearMonth,4))</f>
        <v>43770</v>
      </c>
      <c r="C7" s="1"/>
      <c r="D7" s="13" t="s">
        <v>183</v>
      </c>
      <c r="L7" s="15" t="s">
        <v>184</v>
      </c>
      <c r="N7" s="17">
        <v>2180</v>
      </c>
      <c r="T7" s="15" t="s">
        <v>188</v>
      </c>
      <c r="V7" s="19" t="s">
        <v>187</v>
      </c>
      <c r="X7" s="464"/>
    </row>
    <row r="8" spans="1:25" s="14" customFormat="1" ht="15.75">
      <c r="A8" s="14" t="str">
        <f>_xll.jBinder("TabSuffix","_BS")</f>
        <v>jBinderOption{TabSuffix|_BS}: Option "TabSuffix" has value "_BS"</v>
      </c>
      <c r="B8" s="465"/>
      <c r="C8" s="465"/>
      <c r="D8" s="13" t="s">
        <v>714</v>
      </c>
      <c r="L8" s="15" t="s">
        <v>185</v>
      </c>
      <c r="M8" s="466"/>
      <c r="N8" s="17"/>
      <c r="T8" s="15" t="s">
        <v>715</v>
      </c>
      <c r="V8" s="467" t="s">
        <v>187</v>
      </c>
    </row>
    <row r="9" spans="1:25" s="14" customFormat="1" ht="15.75">
      <c r="B9" s="465"/>
      <c r="C9" s="465"/>
      <c r="D9" s="20" t="s">
        <v>941</v>
      </c>
      <c r="J9" s="468" t="s">
        <v>716</v>
      </c>
      <c r="K9" s="469"/>
      <c r="L9" s="468" t="s">
        <v>716</v>
      </c>
      <c r="M9" s="469"/>
      <c r="N9" s="468" t="s">
        <v>716</v>
      </c>
      <c r="O9" s="469"/>
      <c r="P9" s="468" t="s">
        <v>716</v>
      </c>
      <c r="Q9" s="469"/>
      <c r="R9" s="468" t="s">
        <v>716</v>
      </c>
      <c r="S9" s="468" t="s">
        <v>716</v>
      </c>
      <c r="T9" s="468" t="s">
        <v>716</v>
      </c>
    </row>
    <row r="10" spans="1:25" s="14" customFormat="1" ht="15.75">
      <c r="B10" s="458"/>
      <c r="C10" s="458"/>
      <c r="D10" s="68" t="str">
        <f>IF(ISERROR($B$7),"The date cell in D9  must be in YYYY-MM format","")</f>
        <v/>
      </c>
      <c r="E10" s="470"/>
      <c r="F10" s="470"/>
      <c r="G10" s="470"/>
      <c r="H10" s="470"/>
      <c r="I10" s="470"/>
      <c r="J10" s="471" t="s">
        <v>717</v>
      </c>
      <c r="K10" s="471"/>
      <c r="L10" s="471"/>
      <c r="M10" s="471"/>
      <c r="N10" s="471"/>
      <c r="O10" s="471"/>
      <c r="P10" s="471"/>
      <c r="Q10" s="470"/>
      <c r="R10" s="471" t="s">
        <v>718</v>
      </c>
      <c r="S10" s="471"/>
      <c r="T10" s="471"/>
      <c r="U10" s="470"/>
      <c r="V10" s="470"/>
      <c r="W10" s="470"/>
      <c r="X10" s="470"/>
      <c r="Y10" s="470"/>
    </row>
    <row r="11" spans="1:25" s="23" customFormat="1">
      <c r="B11" s="458"/>
      <c r="C11" s="458"/>
      <c r="D11" s="470"/>
      <c r="E11" s="470"/>
      <c r="F11" s="470"/>
      <c r="G11" s="470"/>
      <c r="H11" s="470"/>
      <c r="I11" s="470"/>
      <c r="J11" s="470"/>
      <c r="K11" s="470"/>
      <c r="L11" s="470"/>
      <c r="M11" s="470"/>
      <c r="N11" s="470"/>
      <c r="O11" s="470"/>
      <c r="P11" s="470"/>
      <c r="Q11" s="470"/>
      <c r="R11" s="470"/>
      <c r="S11" s="470"/>
      <c r="T11" s="472"/>
      <c r="U11" s="470"/>
      <c r="V11" s="470"/>
      <c r="W11" s="470"/>
      <c r="X11" s="470"/>
      <c r="Y11" s="470"/>
    </row>
    <row r="12" spans="1:25" s="23" customFormat="1">
      <c r="B12" s="458"/>
      <c r="C12" s="458"/>
      <c r="D12" s="470"/>
      <c r="E12" s="470"/>
      <c r="F12" s="470"/>
      <c r="G12" s="470"/>
      <c r="H12" s="470"/>
      <c r="I12" s="470"/>
      <c r="J12" s="470"/>
      <c r="K12" s="470"/>
      <c r="L12" s="473" t="s">
        <v>719</v>
      </c>
      <c r="M12" s="474"/>
      <c r="N12" s="473"/>
      <c r="O12" s="470"/>
      <c r="P12" s="475"/>
      <c r="Q12" s="470"/>
      <c r="R12" s="476"/>
      <c r="S12" s="476"/>
      <c r="T12" s="477" t="s">
        <v>13</v>
      </c>
      <c r="U12" s="470"/>
      <c r="V12" s="478" t="s">
        <v>720</v>
      </c>
      <c r="W12" s="470"/>
      <c r="X12" s="470"/>
      <c r="Y12" s="470"/>
    </row>
    <row r="13" spans="1:25" s="23" customFormat="1" ht="13.5" thickBot="1">
      <c r="B13" s="458"/>
      <c r="C13" s="458"/>
      <c r="D13" s="470"/>
      <c r="E13" s="470"/>
      <c r="F13" s="470"/>
      <c r="G13" s="470"/>
      <c r="H13" s="470"/>
      <c r="I13" s="470"/>
      <c r="J13" s="479" t="s">
        <v>712</v>
      </c>
      <c r="K13" s="470"/>
      <c r="L13" s="479" t="s">
        <v>713</v>
      </c>
      <c r="M13" s="470"/>
      <c r="N13" s="480" t="s">
        <v>711</v>
      </c>
      <c r="O13" s="470"/>
      <c r="P13" s="479" t="s">
        <v>13</v>
      </c>
      <c r="Q13" s="470"/>
      <c r="R13" s="481">
        <f>IFERROR(EDATE(S13,-1),"")</f>
        <v>43709</v>
      </c>
      <c r="S13" s="481">
        <f>IFERROR(EDATE(T13,-1),"")</f>
        <v>43739</v>
      </c>
      <c r="T13" s="481">
        <f>$B$7</f>
        <v>43770</v>
      </c>
      <c r="U13" s="470"/>
      <c r="V13" s="480" t="s">
        <v>721</v>
      </c>
      <c r="W13" s="470"/>
      <c r="X13" s="470"/>
      <c r="Y13" s="470"/>
    </row>
    <row r="14" spans="1:25" s="23" customFormat="1" ht="5.25" customHeight="1">
      <c r="B14" s="458"/>
      <c r="C14" s="458"/>
      <c r="D14" s="470"/>
      <c r="E14" s="470"/>
      <c r="F14" s="482"/>
      <c r="G14" s="470"/>
      <c r="H14" s="470"/>
      <c r="I14" s="470"/>
      <c r="J14" s="468"/>
      <c r="K14" s="470"/>
      <c r="L14" s="468"/>
      <c r="M14" s="470"/>
      <c r="N14" s="468"/>
      <c r="O14" s="470"/>
      <c r="P14" s="468"/>
      <c r="Q14" s="470"/>
      <c r="R14" s="468"/>
      <c r="S14" s="468"/>
      <c r="T14" s="468"/>
      <c r="U14" s="470"/>
      <c r="V14" s="468"/>
      <c r="W14" s="470"/>
      <c r="X14" s="470"/>
      <c r="Y14" s="470"/>
    </row>
    <row r="15" spans="1:25" s="7" customFormat="1" ht="4.5" customHeight="1">
      <c r="B15" s="458"/>
      <c r="C15" s="458"/>
      <c r="D15" s="456"/>
      <c r="E15" s="456"/>
      <c r="F15" s="456"/>
      <c r="G15" s="456"/>
      <c r="H15" s="456"/>
      <c r="I15" s="456"/>
      <c r="J15" s="456"/>
      <c r="K15" s="456"/>
      <c r="L15" s="456"/>
      <c r="M15" s="456"/>
      <c r="N15" s="456"/>
      <c r="O15" s="456"/>
      <c r="P15" s="456"/>
      <c r="Q15" s="470"/>
      <c r="R15" s="456"/>
      <c r="S15" s="456"/>
      <c r="T15" s="456"/>
      <c r="U15" s="456"/>
      <c r="V15" s="456"/>
      <c r="W15" s="456"/>
      <c r="X15" s="456"/>
      <c r="Y15" s="456"/>
    </row>
    <row r="16" spans="1:25" s="7" customFormat="1" outlineLevel="1">
      <c r="A16" s="456"/>
      <c r="B16" s="457" t="s">
        <v>722</v>
      </c>
      <c r="C16" s="458"/>
      <c r="D16" s="459">
        <v>10051</v>
      </c>
      <c r="E16" s="459" t="s">
        <v>723</v>
      </c>
      <c r="F16" s="460"/>
      <c r="G16" s="460"/>
      <c r="H16" s="456"/>
      <c r="I16" s="456"/>
      <c r="J16" s="461">
        <v>349.02</v>
      </c>
      <c r="K16" s="456"/>
      <c r="L16" s="461">
        <v>0</v>
      </c>
      <c r="M16" s="456"/>
      <c r="N16" s="462">
        <v>0</v>
      </c>
      <c r="O16" s="456"/>
      <c r="P16" s="461">
        <f t="shared" ref="P16:P26" si="0">J16+L16+N16</f>
        <v>349.02</v>
      </c>
      <c r="Q16" s="456"/>
      <c r="R16" s="461">
        <v>349.02</v>
      </c>
      <c r="S16" s="461">
        <v>349.02</v>
      </c>
      <c r="T16" s="461">
        <f t="shared" ref="T16:T26" si="1">P16</f>
        <v>349.02</v>
      </c>
      <c r="U16" s="456"/>
      <c r="V16" s="462">
        <f t="shared" ref="V16:V26" si="2">T16-S16</f>
        <v>0</v>
      </c>
      <c r="W16" s="456"/>
      <c r="X16" s="456"/>
    </row>
    <row r="17" spans="1:25" s="7" customFormat="1" outlineLevel="1">
      <c r="A17" s="456"/>
      <c r="B17" s="457" t="s">
        <v>380</v>
      </c>
      <c r="C17" s="458"/>
      <c r="D17" s="459">
        <v>10063</v>
      </c>
      <c r="E17" s="459" t="s">
        <v>724</v>
      </c>
      <c r="F17" s="460"/>
      <c r="G17" s="460"/>
      <c r="H17" s="456"/>
      <c r="I17" s="456"/>
      <c r="J17" s="461">
        <v>487710.42</v>
      </c>
      <c r="K17" s="456"/>
      <c r="L17" s="461">
        <v>0</v>
      </c>
      <c r="M17" s="456"/>
      <c r="N17" s="462">
        <v>0</v>
      </c>
      <c r="O17" s="456"/>
      <c r="P17" s="461">
        <f t="shared" si="0"/>
        <v>487710.42</v>
      </c>
      <c r="Q17" s="456"/>
      <c r="R17" s="461">
        <v>526246.82999999996</v>
      </c>
      <c r="S17" s="461">
        <v>28163.919999999998</v>
      </c>
      <c r="T17" s="461">
        <f t="shared" si="1"/>
        <v>487710.42</v>
      </c>
      <c r="U17" s="456"/>
      <c r="V17" s="462">
        <f t="shared" si="2"/>
        <v>459546.5</v>
      </c>
      <c r="W17" s="456"/>
      <c r="X17" s="456"/>
    </row>
    <row r="18" spans="1:25" s="7" customFormat="1" outlineLevel="1">
      <c r="A18" s="456"/>
      <c r="B18" s="457" t="s">
        <v>380</v>
      </c>
      <c r="C18" s="458"/>
      <c r="D18" s="459">
        <v>10070</v>
      </c>
      <c r="E18" s="459" t="s">
        <v>725</v>
      </c>
      <c r="F18" s="460"/>
      <c r="G18" s="460"/>
      <c r="H18" s="456"/>
      <c r="I18" s="456"/>
      <c r="J18" s="461">
        <v>-141043.76999999999</v>
      </c>
      <c r="K18" s="456"/>
      <c r="L18" s="461">
        <v>0</v>
      </c>
      <c r="M18" s="456"/>
      <c r="N18" s="462">
        <v>0</v>
      </c>
      <c r="O18" s="456"/>
      <c r="P18" s="461">
        <f t="shared" si="0"/>
        <v>-141043.76999999999</v>
      </c>
      <c r="Q18" s="456"/>
      <c r="R18" s="461">
        <v>-140396.57</v>
      </c>
      <c r="S18" s="461">
        <v>-140687.76999999999</v>
      </c>
      <c r="T18" s="461">
        <f t="shared" si="1"/>
        <v>-141043.76999999999</v>
      </c>
      <c r="U18" s="456"/>
      <c r="V18" s="462">
        <f t="shared" si="2"/>
        <v>-356</v>
      </c>
      <c r="W18" s="456"/>
      <c r="X18" s="456"/>
    </row>
    <row r="19" spans="1:25" s="7" customFormat="1" outlineLevel="1">
      <c r="A19" s="456"/>
      <c r="B19" s="457" t="s">
        <v>380</v>
      </c>
      <c r="C19" s="458"/>
      <c r="D19" s="459">
        <v>10071</v>
      </c>
      <c r="E19" s="459" t="s">
        <v>726</v>
      </c>
      <c r="F19" s="460"/>
      <c r="G19" s="460"/>
      <c r="H19" s="456"/>
      <c r="I19" s="456"/>
      <c r="J19" s="461">
        <v>141043.76999999999</v>
      </c>
      <c r="K19" s="456"/>
      <c r="L19" s="461">
        <v>0</v>
      </c>
      <c r="M19" s="456"/>
      <c r="N19" s="462">
        <v>0</v>
      </c>
      <c r="O19" s="456"/>
      <c r="P19" s="461">
        <f t="shared" si="0"/>
        <v>141043.76999999999</v>
      </c>
      <c r="Q19" s="456"/>
      <c r="R19" s="461">
        <v>140396.57</v>
      </c>
      <c r="S19" s="461">
        <v>140687.76999999999</v>
      </c>
      <c r="T19" s="461">
        <f t="shared" si="1"/>
        <v>141043.76999999999</v>
      </c>
      <c r="U19" s="456"/>
      <c r="V19" s="462">
        <f t="shared" si="2"/>
        <v>356</v>
      </c>
      <c r="W19" s="456"/>
      <c r="X19" s="456"/>
    </row>
    <row r="20" spans="1:25" s="7" customFormat="1" outlineLevel="1">
      <c r="A20" s="456"/>
      <c r="B20" s="457" t="s">
        <v>380</v>
      </c>
      <c r="C20" s="458"/>
      <c r="D20" s="459">
        <v>10091</v>
      </c>
      <c r="E20" s="459" t="s">
        <v>727</v>
      </c>
      <c r="F20" s="460"/>
      <c r="G20" s="460"/>
      <c r="H20" s="456"/>
      <c r="I20" s="456"/>
      <c r="J20" s="461">
        <v>0</v>
      </c>
      <c r="K20" s="456"/>
      <c r="L20" s="461">
        <v>0</v>
      </c>
      <c r="M20" s="456"/>
      <c r="N20" s="462">
        <v>0</v>
      </c>
      <c r="O20" s="456"/>
      <c r="P20" s="461">
        <f t="shared" si="0"/>
        <v>0</v>
      </c>
      <c r="Q20" s="456"/>
      <c r="R20" s="461">
        <v>0</v>
      </c>
      <c r="S20" s="461">
        <v>0</v>
      </c>
      <c r="T20" s="461">
        <f t="shared" si="1"/>
        <v>0</v>
      </c>
      <c r="U20" s="456"/>
      <c r="V20" s="462">
        <f t="shared" si="2"/>
        <v>0</v>
      </c>
      <c r="W20" s="456"/>
      <c r="X20" s="456"/>
    </row>
    <row r="21" spans="1:25" s="7" customFormat="1" outlineLevel="1">
      <c r="A21" s="456"/>
      <c r="B21" s="457" t="s">
        <v>380</v>
      </c>
      <c r="C21" s="458"/>
      <c r="D21" s="459">
        <v>10092</v>
      </c>
      <c r="E21" s="459" t="s">
        <v>728</v>
      </c>
      <c r="F21" s="460"/>
      <c r="G21" s="460"/>
      <c r="H21" s="456"/>
      <c r="I21" s="456"/>
      <c r="J21" s="461">
        <v>-1617.74</v>
      </c>
      <c r="K21" s="456"/>
      <c r="L21" s="461">
        <v>0</v>
      </c>
      <c r="M21" s="456"/>
      <c r="N21" s="462">
        <v>0</v>
      </c>
      <c r="O21" s="456"/>
      <c r="P21" s="461">
        <f t="shared" si="0"/>
        <v>-1617.74</v>
      </c>
      <c r="Q21" s="456"/>
      <c r="R21" s="461">
        <v>0</v>
      </c>
      <c r="S21" s="461">
        <v>82</v>
      </c>
      <c r="T21" s="461">
        <f t="shared" si="1"/>
        <v>-1617.74</v>
      </c>
      <c r="U21" s="456"/>
      <c r="V21" s="462">
        <f t="shared" si="2"/>
        <v>-1699.74</v>
      </c>
      <c r="W21" s="456"/>
      <c r="X21" s="456"/>
    </row>
    <row r="22" spans="1:25" s="7" customFormat="1" outlineLevel="1">
      <c r="A22" s="456"/>
      <c r="B22" s="457" t="s">
        <v>380</v>
      </c>
      <c r="C22" s="458"/>
      <c r="D22" s="459">
        <v>10093</v>
      </c>
      <c r="E22" s="459" t="s">
        <v>729</v>
      </c>
      <c r="F22" s="460"/>
      <c r="G22" s="460"/>
      <c r="H22" s="456"/>
      <c r="I22" s="456"/>
      <c r="J22" s="461">
        <v>0</v>
      </c>
      <c r="K22" s="456"/>
      <c r="L22" s="461">
        <v>0</v>
      </c>
      <c r="M22" s="456"/>
      <c r="N22" s="462">
        <v>0</v>
      </c>
      <c r="O22" s="456"/>
      <c r="P22" s="461">
        <f t="shared" si="0"/>
        <v>0</v>
      </c>
      <c r="Q22" s="456"/>
      <c r="R22" s="461">
        <v>0</v>
      </c>
      <c r="S22" s="461">
        <v>0</v>
      </c>
      <c r="T22" s="461">
        <f t="shared" si="1"/>
        <v>0</v>
      </c>
      <c r="U22" s="456"/>
      <c r="V22" s="462">
        <f t="shared" si="2"/>
        <v>0</v>
      </c>
      <c r="W22" s="456"/>
      <c r="X22" s="456"/>
    </row>
    <row r="23" spans="1:25" s="7" customFormat="1" outlineLevel="1">
      <c r="A23" s="456"/>
      <c r="B23" s="457" t="s">
        <v>380</v>
      </c>
      <c r="C23" s="458"/>
      <c r="D23" s="459">
        <v>10095</v>
      </c>
      <c r="E23" s="459" t="s">
        <v>730</v>
      </c>
      <c r="F23" s="460"/>
      <c r="G23" s="460"/>
      <c r="H23" s="456"/>
      <c r="I23" s="456"/>
      <c r="J23" s="461">
        <v>200</v>
      </c>
      <c r="K23" s="456"/>
      <c r="L23" s="461">
        <v>0</v>
      </c>
      <c r="M23" s="456"/>
      <c r="N23" s="462">
        <v>0</v>
      </c>
      <c r="O23" s="456"/>
      <c r="P23" s="461">
        <f t="shared" si="0"/>
        <v>200</v>
      </c>
      <c r="Q23" s="456"/>
      <c r="R23" s="461">
        <v>0</v>
      </c>
      <c r="S23" s="461">
        <v>200</v>
      </c>
      <c r="T23" s="461">
        <f t="shared" si="1"/>
        <v>200</v>
      </c>
      <c r="U23" s="456"/>
      <c r="V23" s="462">
        <f t="shared" si="2"/>
        <v>0</v>
      </c>
      <c r="W23" s="456"/>
      <c r="X23" s="456"/>
    </row>
    <row r="24" spans="1:25" s="7" customFormat="1" outlineLevel="1">
      <c r="A24" s="456"/>
      <c r="B24" s="457" t="s">
        <v>380</v>
      </c>
      <c r="C24" s="458"/>
      <c r="D24" s="459">
        <v>10097</v>
      </c>
      <c r="E24" s="459" t="s">
        <v>731</v>
      </c>
      <c r="F24" s="460"/>
      <c r="G24" s="460"/>
      <c r="H24" s="456"/>
      <c r="I24" s="456"/>
      <c r="J24" s="461">
        <v>0</v>
      </c>
      <c r="K24" s="456"/>
      <c r="L24" s="461">
        <v>0</v>
      </c>
      <c r="M24" s="456"/>
      <c r="N24" s="462">
        <v>0</v>
      </c>
      <c r="O24" s="456"/>
      <c r="P24" s="461">
        <f t="shared" si="0"/>
        <v>0</v>
      </c>
      <c r="Q24" s="456"/>
      <c r="R24" s="461">
        <v>0</v>
      </c>
      <c r="S24" s="461">
        <v>0</v>
      </c>
      <c r="T24" s="461">
        <f t="shared" si="1"/>
        <v>0</v>
      </c>
      <c r="U24" s="456"/>
      <c r="V24" s="462">
        <f t="shared" si="2"/>
        <v>0</v>
      </c>
      <c r="W24" s="456"/>
      <c r="X24" s="456"/>
    </row>
    <row r="25" spans="1:25" s="7" customFormat="1" outlineLevel="1">
      <c r="A25" s="456"/>
      <c r="B25" s="457" t="s">
        <v>380</v>
      </c>
      <c r="C25" s="458"/>
      <c r="D25" s="459">
        <v>10098</v>
      </c>
      <c r="E25" s="459" t="s">
        <v>732</v>
      </c>
      <c r="F25" s="460"/>
      <c r="G25" s="460"/>
      <c r="H25" s="456"/>
      <c r="I25" s="456"/>
      <c r="J25" s="461">
        <v>0</v>
      </c>
      <c r="K25" s="456"/>
      <c r="L25" s="461">
        <v>0</v>
      </c>
      <c r="M25" s="456"/>
      <c r="N25" s="462">
        <v>0</v>
      </c>
      <c r="O25" s="456"/>
      <c r="P25" s="461">
        <f t="shared" si="0"/>
        <v>0</v>
      </c>
      <c r="Q25" s="456"/>
      <c r="R25" s="461">
        <v>0</v>
      </c>
      <c r="S25" s="461">
        <v>0</v>
      </c>
      <c r="T25" s="461">
        <f t="shared" si="1"/>
        <v>0</v>
      </c>
      <c r="U25" s="456"/>
      <c r="V25" s="462">
        <f t="shared" si="2"/>
        <v>0</v>
      </c>
      <c r="W25" s="456"/>
      <c r="X25" s="456"/>
    </row>
    <row r="26" spans="1:25" s="7" customFormat="1" outlineLevel="1">
      <c r="A26" s="456"/>
      <c r="B26" s="457" t="s">
        <v>380</v>
      </c>
      <c r="C26" s="458"/>
      <c r="D26" s="459">
        <v>10099</v>
      </c>
      <c r="E26" s="459" t="s">
        <v>733</v>
      </c>
      <c r="F26" s="460"/>
      <c r="G26" s="460"/>
      <c r="H26" s="456"/>
      <c r="I26" s="456"/>
      <c r="J26" s="461">
        <v>0</v>
      </c>
      <c r="K26" s="456"/>
      <c r="L26" s="461">
        <v>0</v>
      </c>
      <c r="M26" s="456"/>
      <c r="N26" s="462">
        <v>0</v>
      </c>
      <c r="O26" s="456"/>
      <c r="P26" s="461">
        <f t="shared" si="0"/>
        <v>0</v>
      </c>
      <c r="Q26" s="456"/>
      <c r="R26" s="461">
        <v>0</v>
      </c>
      <c r="S26" s="461">
        <v>0</v>
      </c>
      <c r="T26" s="461">
        <f t="shared" si="1"/>
        <v>0</v>
      </c>
      <c r="U26" s="456"/>
      <c r="V26" s="462">
        <f t="shared" si="2"/>
        <v>0</v>
      </c>
      <c r="W26" s="456"/>
      <c r="X26" s="456"/>
    </row>
    <row r="27" spans="1:25" s="7" customFormat="1" ht="4.5" customHeight="1" outlineLevel="1">
      <c r="A27" s="45"/>
      <c r="B27" s="483" t="s">
        <v>187</v>
      </c>
      <c r="C27" s="483"/>
      <c r="D27" s="456"/>
      <c r="E27" s="456"/>
      <c r="F27" s="456"/>
      <c r="G27" s="456"/>
      <c r="H27" s="456"/>
      <c r="I27" s="456"/>
      <c r="J27" s="484"/>
      <c r="K27" s="456"/>
      <c r="L27" s="484"/>
      <c r="M27" s="456"/>
      <c r="N27" s="484"/>
      <c r="O27" s="456"/>
      <c r="P27" s="484"/>
      <c r="Q27" s="456"/>
      <c r="R27" s="484"/>
      <c r="S27" s="484"/>
      <c r="T27" s="484"/>
      <c r="U27" s="456"/>
      <c r="V27" s="484"/>
      <c r="W27" s="456"/>
      <c r="X27" s="456"/>
      <c r="Y27" s="456"/>
    </row>
    <row r="28" spans="1:25" s="7" customFormat="1">
      <c r="A28" s="458" t="s">
        <v>722</v>
      </c>
      <c r="B28" s="458" t="s">
        <v>187</v>
      </c>
      <c r="C28" s="458"/>
      <c r="D28" s="456"/>
      <c r="E28" s="456"/>
      <c r="F28" s="456" t="s">
        <v>734</v>
      </c>
      <c r="G28" s="456"/>
      <c r="H28" s="456"/>
      <c r="I28" s="456"/>
      <c r="J28" s="485">
        <f>SUM(J16:J27)</f>
        <v>486641.70000000007</v>
      </c>
      <c r="K28" s="456"/>
      <c r="L28" s="485">
        <f>SUM(L16:L27)</f>
        <v>0</v>
      </c>
      <c r="M28" s="456"/>
      <c r="N28" s="486">
        <f>SUM(N16:N27)</f>
        <v>0</v>
      </c>
      <c r="O28" s="456"/>
      <c r="P28" s="485">
        <f t="shared" ref="P28" si="3">J28+L28+N28</f>
        <v>486641.70000000007</v>
      </c>
      <c r="Q28" s="456"/>
      <c r="R28" s="485">
        <f>SUM(R16:R27)</f>
        <v>526595.85</v>
      </c>
      <c r="S28" s="485">
        <f>SUM(S16:S27)</f>
        <v>28794.940000000002</v>
      </c>
      <c r="T28" s="485">
        <f>SUM(T16:T27)</f>
        <v>486641.70000000007</v>
      </c>
      <c r="U28" s="456"/>
      <c r="V28" s="486">
        <f>SUM(V16:V27)</f>
        <v>457846.76</v>
      </c>
      <c r="W28" s="456"/>
      <c r="X28" s="456"/>
      <c r="Y28" s="456"/>
    </row>
    <row r="29" spans="1:25" s="7" customFormat="1" outlineLevel="1">
      <c r="A29" s="456"/>
      <c r="B29" s="457" t="s">
        <v>735</v>
      </c>
      <c r="C29" s="458"/>
      <c r="D29" s="459">
        <v>11501</v>
      </c>
      <c r="E29" s="459" t="s">
        <v>736</v>
      </c>
      <c r="F29" s="460"/>
      <c r="G29" s="460"/>
      <c r="H29" s="456"/>
      <c r="I29" s="456"/>
      <c r="J29" s="461">
        <v>6446563.4299999997</v>
      </c>
      <c r="K29" s="456"/>
      <c r="L29" s="461">
        <v>0</v>
      </c>
      <c r="M29" s="456"/>
      <c r="N29" s="462">
        <v>0</v>
      </c>
      <c r="O29" s="456"/>
      <c r="P29" s="461">
        <f t="shared" ref="P29:P38" si="4">J29+L29+N29</f>
        <v>6446563.4299999997</v>
      </c>
      <c r="Q29" s="456"/>
      <c r="R29" s="461">
        <v>6207424.9000000004</v>
      </c>
      <c r="S29" s="461">
        <v>6297978.75</v>
      </c>
      <c r="T29" s="461">
        <f t="shared" ref="T29:T38" si="5">P29</f>
        <v>6446563.4299999997</v>
      </c>
      <c r="U29" s="456"/>
      <c r="V29" s="462">
        <f t="shared" ref="V29:V38" si="6">T29-S29</f>
        <v>148584.6799999997</v>
      </c>
      <c r="W29" s="456"/>
      <c r="X29" s="456"/>
    </row>
    <row r="30" spans="1:25" s="7" customFormat="1" outlineLevel="1">
      <c r="A30" s="456"/>
      <c r="B30" s="457" t="s">
        <v>380</v>
      </c>
      <c r="C30" s="458"/>
      <c r="D30" s="459">
        <v>11502</v>
      </c>
      <c r="E30" s="459" t="s">
        <v>737</v>
      </c>
      <c r="F30" s="460"/>
      <c r="G30" s="460"/>
      <c r="H30" s="456"/>
      <c r="I30" s="456"/>
      <c r="J30" s="461">
        <v>0</v>
      </c>
      <c r="K30" s="456"/>
      <c r="L30" s="461">
        <v>0</v>
      </c>
      <c r="M30" s="456"/>
      <c r="N30" s="462">
        <v>0</v>
      </c>
      <c r="O30" s="456"/>
      <c r="P30" s="461">
        <f t="shared" si="4"/>
        <v>0</v>
      </c>
      <c r="Q30" s="456"/>
      <c r="R30" s="461">
        <v>0</v>
      </c>
      <c r="S30" s="461">
        <v>0</v>
      </c>
      <c r="T30" s="461">
        <f t="shared" si="5"/>
        <v>0</v>
      </c>
      <c r="U30" s="456"/>
      <c r="V30" s="462">
        <f t="shared" si="6"/>
        <v>0</v>
      </c>
      <c r="W30" s="456"/>
      <c r="X30" s="456"/>
    </row>
    <row r="31" spans="1:25" s="7" customFormat="1" outlineLevel="1">
      <c r="A31" s="456"/>
      <c r="B31" s="457" t="s">
        <v>380</v>
      </c>
      <c r="C31" s="458"/>
      <c r="D31" s="459">
        <v>11510</v>
      </c>
      <c r="E31" s="459" t="s">
        <v>738</v>
      </c>
      <c r="F31" s="460"/>
      <c r="G31" s="460"/>
      <c r="H31" s="456"/>
      <c r="I31" s="456"/>
      <c r="J31" s="461">
        <v>224150.59</v>
      </c>
      <c r="K31" s="456"/>
      <c r="L31" s="461">
        <v>0</v>
      </c>
      <c r="M31" s="456"/>
      <c r="N31" s="462">
        <v>0</v>
      </c>
      <c r="O31" s="456"/>
      <c r="P31" s="461">
        <f t="shared" si="4"/>
        <v>224150.59</v>
      </c>
      <c r="Q31" s="456"/>
      <c r="R31" s="461">
        <v>405190.69</v>
      </c>
      <c r="S31" s="461">
        <v>431238.74</v>
      </c>
      <c r="T31" s="461">
        <f t="shared" si="5"/>
        <v>224150.59</v>
      </c>
      <c r="U31" s="456"/>
      <c r="V31" s="462">
        <f t="shared" si="6"/>
        <v>-207088.15</v>
      </c>
      <c r="W31" s="456"/>
      <c r="X31" s="456"/>
    </row>
    <row r="32" spans="1:25" s="7" customFormat="1" outlineLevel="1">
      <c r="A32" s="456"/>
      <c r="B32" s="457" t="s">
        <v>380</v>
      </c>
      <c r="C32" s="458"/>
      <c r="D32" s="459">
        <v>11511</v>
      </c>
      <c r="E32" s="459" t="s">
        <v>739</v>
      </c>
      <c r="F32" s="460"/>
      <c r="G32" s="460"/>
      <c r="H32" s="456"/>
      <c r="I32" s="456"/>
      <c r="J32" s="461">
        <v>90233.05</v>
      </c>
      <c r="K32" s="456"/>
      <c r="L32" s="461">
        <v>0</v>
      </c>
      <c r="M32" s="456"/>
      <c r="N32" s="462">
        <v>0</v>
      </c>
      <c r="O32" s="456"/>
      <c r="P32" s="461">
        <f t="shared" si="4"/>
        <v>90233.05</v>
      </c>
      <c r="Q32" s="456"/>
      <c r="R32" s="461">
        <v>102966.34</v>
      </c>
      <c r="S32" s="461">
        <v>95975.74</v>
      </c>
      <c r="T32" s="461">
        <f t="shared" si="5"/>
        <v>90233.05</v>
      </c>
      <c r="U32" s="456"/>
      <c r="V32" s="462">
        <f t="shared" si="6"/>
        <v>-5742.6900000000023</v>
      </c>
      <c r="W32" s="456"/>
      <c r="X32" s="456"/>
    </row>
    <row r="33" spans="1:25" s="7" customFormat="1" outlineLevel="1">
      <c r="A33" s="456"/>
      <c r="B33" s="457" t="s">
        <v>380</v>
      </c>
      <c r="C33" s="458"/>
      <c r="D33" s="459">
        <v>11599</v>
      </c>
      <c r="E33" s="459" t="s">
        <v>740</v>
      </c>
      <c r="F33" s="460"/>
      <c r="G33" s="460"/>
      <c r="H33" s="456"/>
      <c r="I33" s="456"/>
      <c r="J33" s="461">
        <v>33.21</v>
      </c>
      <c r="K33" s="456"/>
      <c r="L33" s="461">
        <v>0</v>
      </c>
      <c r="M33" s="456"/>
      <c r="N33" s="462">
        <v>0</v>
      </c>
      <c r="O33" s="456"/>
      <c r="P33" s="461">
        <f t="shared" si="4"/>
        <v>33.21</v>
      </c>
      <c r="Q33" s="456"/>
      <c r="R33" s="461">
        <v>41.72</v>
      </c>
      <c r="S33" s="461">
        <v>37.31</v>
      </c>
      <c r="T33" s="461">
        <f t="shared" si="5"/>
        <v>33.21</v>
      </c>
      <c r="U33" s="456"/>
      <c r="V33" s="462">
        <f t="shared" si="6"/>
        <v>-4.1000000000000014</v>
      </c>
      <c r="W33" s="456"/>
      <c r="X33" s="456"/>
    </row>
    <row r="34" spans="1:25" s="7" customFormat="1" outlineLevel="1">
      <c r="A34" s="456"/>
      <c r="B34" s="457" t="s">
        <v>380</v>
      </c>
      <c r="C34" s="458"/>
      <c r="D34" s="459">
        <v>11701</v>
      </c>
      <c r="E34" s="459" t="s">
        <v>741</v>
      </c>
      <c r="F34" s="460"/>
      <c r="G34" s="460"/>
      <c r="H34" s="456"/>
      <c r="I34" s="456"/>
      <c r="J34" s="461">
        <v>7201.98</v>
      </c>
      <c r="K34" s="456"/>
      <c r="L34" s="461">
        <v>0</v>
      </c>
      <c r="M34" s="456"/>
      <c r="N34" s="462">
        <v>0</v>
      </c>
      <c r="O34" s="456"/>
      <c r="P34" s="461">
        <f t="shared" si="4"/>
        <v>7201.98</v>
      </c>
      <c r="Q34" s="456"/>
      <c r="R34" s="461">
        <v>9753.2199999999993</v>
      </c>
      <c r="S34" s="461">
        <v>7340.18</v>
      </c>
      <c r="T34" s="461">
        <f t="shared" si="5"/>
        <v>7201.98</v>
      </c>
      <c r="U34" s="456"/>
      <c r="V34" s="462">
        <f t="shared" si="6"/>
        <v>-138.20000000000073</v>
      </c>
      <c r="W34" s="456"/>
      <c r="X34" s="456"/>
    </row>
    <row r="35" spans="1:25" s="7" customFormat="1" outlineLevel="1">
      <c r="A35" s="456"/>
      <c r="B35" s="457" t="s">
        <v>380</v>
      </c>
      <c r="C35" s="458"/>
      <c r="D35" s="459">
        <v>11800</v>
      </c>
      <c r="E35" s="459" t="s">
        <v>742</v>
      </c>
      <c r="F35" s="460"/>
      <c r="G35" s="460"/>
      <c r="H35" s="456"/>
      <c r="I35" s="456"/>
      <c r="J35" s="461">
        <v>35420.160000000003</v>
      </c>
      <c r="K35" s="456"/>
      <c r="L35" s="461">
        <v>0</v>
      </c>
      <c r="M35" s="456"/>
      <c r="N35" s="462">
        <v>0</v>
      </c>
      <c r="O35" s="456"/>
      <c r="P35" s="461">
        <f t="shared" si="4"/>
        <v>35420.160000000003</v>
      </c>
      <c r="Q35" s="456"/>
      <c r="R35" s="461">
        <v>26248.65</v>
      </c>
      <c r="S35" s="461">
        <v>23708.22</v>
      </c>
      <c r="T35" s="461">
        <f t="shared" si="5"/>
        <v>35420.160000000003</v>
      </c>
      <c r="U35" s="456"/>
      <c r="V35" s="462">
        <f t="shared" si="6"/>
        <v>11711.940000000002</v>
      </c>
      <c r="W35" s="456"/>
      <c r="X35" s="456"/>
    </row>
    <row r="36" spans="1:25" s="7" customFormat="1" outlineLevel="1">
      <c r="A36" s="456"/>
      <c r="B36" s="457" t="s">
        <v>380</v>
      </c>
      <c r="C36" s="458"/>
      <c r="D36" s="459">
        <v>11901</v>
      </c>
      <c r="E36" s="459" t="s">
        <v>743</v>
      </c>
      <c r="F36" s="460"/>
      <c r="G36" s="460"/>
      <c r="H36" s="456"/>
      <c r="I36" s="456"/>
      <c r="J36" s="461">
        <v>-2049152.73</v>
      </c>
      <c r="K36" s="456"/>
      <c r="L36" s="461">
        <v>0</v>
      </c>
      <c r="M36" s="456"/>
      <c r="N36" s="462">
        <v>0</v>
      </c>
      <c r="O36" s="456"/>
      <c r="P36" s="461">
        <f t="shared" si="4"/>
        <v>-2049152.73</v>
      </c>
      <c r="Q36" s="456"/>
      <c r="R36" s="461">
        <v>-2021741.95</v>
      </c>
      <c r="S36" s="461">
        <v>-2028750.92</v>
      </c>
      <c r="T36" s="461">
        <f t="shared" si="5"/>
        <v>-2049152.73</v>
      </c>
      <c r="U36" s="456"/>
      <c r="V36" s="462">
        <f t="shared" si="6"/>
        <v>-20401.810000000056</v>
      </c>
      <c r="W36" s="456"/>
      <c r="X36" s="456"/>
    </row>
    <row r="37" spans="1:25" s="7" customFormat="1" outlineLevel="1">
      <c r="A37" s="456"/>
      <c r="B37" s="457" t="s">
        <v>380</v>
      </c>
      <c r="C37" s="458"/>
      <c r="D37" s="459">
        <v>11902</v>
      </c>
      <c r="E37" s="459" t="s">
        <v>744</v>
      </c>
      <c r="F37" s="460"/>
      <c r="G37" s="460"/>
      <c r="H37" s="456"/>
      <c r="I37" s="456"/>
      <c r="J37" s="461">
        <v>3882956.94</v>
      </c>
      <c r="K37" s="456"/>
      <c r="L37" s="461">
        <v>0</v>
      </c>
      <c r="M37" s="456"/>
      <c r="N37" s="462">
        <v>0</v>
      </c>
      <c r="O37" s="456"/>
      <c r="P37" s="461">
        <f t="shared" si="4"/>
        <v>3882956.94</v>
      </c>
      <c r="Q37" s="456"/>
      <c r="R37" s="461">
        <v>3835157.54</v>
      </c>
      <c r="S37" s="461">
        <v>3858858.53</v>
      </c>
      <c r="T37" s="461">
        <f t="shared" si="5"/>
        <v>3882956.94</v>
      </c>
      <c r="U37" s="456"/>
      <c r="V37" s="462">
        <f t="shared" si="6"/>
        <v>24098.410000000149</v>
      </c>
      <c r="W37" s="456"/>
      <c r="X37" s="456"/>
    </row>
    <row r="38" spans="1:25" s="7" customFormat="1" outlineLevel="1">
      <c r="A38" s="456"/>
      <c r="B38" s="457" t="s">
        <v>380</v>
      </c>
      <c r="C38" s="458"/>
      <c r="D38" s="459">
        <v>11903</v>
      </c>
      <c r="E38" s="459" t="s">
        <v>745</v>
      </c>
      <c r="F38" s="460"/>
      <c r="G38" s="460"/>
      <c r="H38" s="456"/>
      <c r="I38" s="456"/>
      <c r="J38" s="461">
        <v>-1869946.93</v>
      </c>
      <c r="K38" s="456"/>
      <c r="L38" s="461">
        <v>0</v>
      </c>
      <c r="M38" s="456"/>
      <c r="N38" s="462">
        <v>0</v>
      </c>
      <c r="O38" s="456"/>
      <c r="P38" s="461">
        <f t="shared" si="4"/>
        <v>-1869946.93</v>
      </c>
      <c r="Q38" s="456"/>
      <c r="R38" s="461">
        <v>-1848328.52</v>
      </c>
      <c r="S38" s="461">
        <v>-1859925.79</v>
      </c>
      <c r="T38" s="461">
        <f t="shared" si="5"/>
        <v>-1869946.93</v>
      </c>
      <c r="U38" s="456"/>
      <c r="V38" s="462">
        <f t="shared" si="6"/>
        <v>-10021.139999999898</v>
      </c>
      <c r="W38" s="456"/>
      <c r="X38" s="456"/>
    </row>
    <row r="39" spans="1:25" s="7" customFormat="1" ht="5.0999999999999996" customHeight="1" outlineLevel="1">
      <c r="A39" s="458" t="s">
        <v>187</v>
      </c>
      <c r="B39" s="483" t="s">
        <v>187</v>
      </c>
      <c r="C39" s="483"/>
      <c r="D39" s="460"/>
      <c r="E39" s="460"/>
      <c r="F39" s="460"/>
      <c r="G39" s="460"/>
      <c r="H39" s="456"/>
      <c r="I39" s="456"/>
      <c r="J39" s="487"/>
      <c r="K39" s="456"/>
      <c r="L39" s="487"/>
      <c r="M39" s="456"/>
      <c r="N39" s="488"/>
      <c r="O39" s="456"/>
      <c r="P39" s="487"/>
      <c r="Q39" s="456"/>
      <c r="R39" s="487"/>
      <c r="S39" s="487"/>
      <c r="T39" s="487"/>
      <c r="U39" s="456"/>
      <c r="V39" s="488"/>
      <c r="W39" s="456"/>
      <c r="X39" s="456"/>
      <c r="Y39" s="456"/>
    </row>
    <row r="40" spans="1:25" s="7" customFormat="1">
      <c r="A40" s="458" t="s">
        <v>735</v>
      </c>
      <c r="B40" s="458" t="s">
        <v>187</v>
      </c>
      <c r="C40" s="458"/>
      <c r="D40" s="456"/>
      <c r="E40" s="456"/>
      <c r="F40" s="459" t="s">
        <v>746</v>
      </c>
      <c r="G40" s="456"/>
      <c r="H40" s="456"/>
      <c r="I40" s="456"/>
      <c r="J40" s="485">
        <f>SUM(J29:J39)</f>
        <v>6767459.6999999993</v>
      </c>
      <c r="K40" s="456"/>
      <c r="L40" s="485">
        <f>SUM(L29:L39)</f>
        <v>0</v>
      </c>
      <c r="M40" s="456"/>
      <c r="N40" s="486">
        <f>SUM(N29:N39)</f>
        <v>0</v>
      </c>
      <c r="O40" s="456"/>
      <c r="P40" s="485">
        <f t="shared" ref="P40" si="7">J40+L40+N40</f>
        <v>6767459.6999999993</v>
      </c>
      <c r="Q40" s="456"/>
      <c r="R40" s="485">
        <f>SUM(R29:R39)</f>
        <v>6716712.5899999999</v>
      </c>
      <c r="S40" s="485">
        <f>SUM(S29:S39)</f>
        <v>6826460.7599999988</v>
      </c>
      <c r="T40" s="485">
        <f>SUM(T29:T39)</f>
        <v>6767459.6999999993</v>
      </c>
      <c r="U40" s="456"/>
      <c r="V40" s="486">
        <f>SUM(V29:V39)</f>
        <v>-59001.0600000001</v>
      </c>
      <c r="W40" s="456"/>
      <c r="X40" s="456"/>
      <c r="Y40" s="456"/>
    </row>
    <row r="41" spans="1:25" s="7" customFormat="1" outlineLevel="1">
      <c r="A41" s="456"/>
      <c r="B41" s="457" t="s">
        <v>747</v>
      </c>
      <c r="C41" s="458"/>
      <c r="D41" s="459">
        <v>12001</v>
      </c>
      <c r="E41" s="459" t="s">
        <v>748</v>
      </c>
      <c r="F41" s="460"/>
      <c r="G41" s="460"/>
      <c r="H41" s="456"/>
      <c r="I41" s="456"/>
      <c r="J41" s="461">
        <v>217160.01</v>
      </c>
      <c r="K41" s="456"/>
      <c r="L41" s="461">
        <v>0</v>
      </c>
      <c r="M41" s="456"/>
      <c r="N41" s="462">
        <v>0</v>
      </c>
      <c r="O41" s="456"/>
      <c r="P41" s="461">
        <f>J41+L41+N41</f>
        <v>217160.01</v>
      </c>
      <c r="Q41" s="456"/>
      <c r="R41" s="461">
        <v>217160.01</v>
      </c>
      <c r="S41" s="461">
        <v>217160.01</v>
      </c>
      <c r="T41" s="461">
        <f t="shared" ref="T41:T45" si="8">P41</f>
        <v>217160.01</v>
      </c>
      <c r="U41" s="456"/>
      <c r="V41" s="462">
        <f t="shared" ref="V41:V45" si="9">T41-S41</f>
        <v>0</v>
      </c>
      <c r="W41" s="456"/>
      <c r="X41" s="456"/>
    </row>
    <row r="42" spans="1:25" s="7" customFormat="1" outlineLevel="1">
      <c r="A42" s="456"/>
      <c r="B42" s="457" t="s">
        <v>380</v>
      </c>
      <c r="C42" s="458"/>
      <c r="D42" s="459">
        <v>12002</v>
      </c>
      <c r="E42" s="459" t="s">
        <v>749</v>
      </c>
      <c r="F42" s="460"/>
      <c r="G42" s="460"/>
      <c r="H42" s="456"/>
      <c r="I42" s="456"/>
      <c r="J42" s="461">
        <v>25604.82</v>
      </c>
      <c r="K42" s="456"/>
      <c r="L42" s="461">
        <v>0</v>
      </c>
      <c r="M42" s="456"/>
      <c r="N42" s="462">
        <v>0</v>
      </c>
      <c r="O42" s="456"/>
      <c r="P42" s="461">
        <f>J42+L42+N42</f>
        <v>25604.82</v>
      </c>
      <c r="Q42" s="456"/>
      <c r="R42" s="461">
        <v>22455.200000000001</v>
      </c>
      <c r="S42" s="461">
        <v>16295.1</v>
      </c>
      <c r="T42" s="461">
        <f t="shared" si="8"/>
        <v>25604.82</v>
      </c>
      <c r="U42" s="456"/>
      <c r="V42" s="462">
        <f t="shared" si="9"/>
        <v>9309.7199999999993</v>
      </c>
      <c r="W42" s="456"/>
      <c r="X42" s="456"/>
    </row>
    <row r="43" spans="1:25" s="7" customFormat="1" outlineLevel="1">
      <c r="A43" s="456"/>
      <c r="B43" s="457" t="s">
        <v>380</v>
      </c>
      <c r="C43" s="458"/>
      <c r="D43" s="459">
        <v>12003</v>
      </c>
      <c r="E43" s="459" t="s">
        <v>750</v>
      </c>
      <c r="F43" s="460"/>
      <c r="G43" s="460"/>
      <c r="H43" s="456"/>
      <c r="I43" s="456"/>
      <c r="J43" s="461">
        <v>22780.66</v>
      </c>
      <c r="K43" s="456"/>
      <c r="L43" s="461">
        <v>0</v>
      </c>
      <c r="M43" s="456"/>
      <c r="N43" s="462">
        <v>0</v>
      </c>
      <c r="O43" s="456"/>
      <c r="P43" s="461">
        <f>J43+L43+N43</f>
        <v>22780.66</v>
      </c>
      <c r="Q43" s="456"/>
      <c r="R43" s="461">
        <v>22780.66</v>
      </c>
      <c r="S43" s="461">
        <v>22780.66</v>
      </c>
      <c r="T43" s="461">
        <f t="shared" si="8"/>
        <v>22780.66</v>
      </c>
      <c r="U43" s="456"/>
      <c r="V43" s="462">
        <f t="shared" si="9"/>
        <v>0</v>
      </c>
      <c r="W43" s="456"/>
      <c r="X43" s="456"/>
    </row>
    <row r="44" spans="1:25" s="7" customFormat="1" outlineLevel="1">
      <c r="A44" s="456"/>
      <c r="B44" s="457" t="s">
        <v>380</v>
      </c>
      <c r="C44" s="458"/>
      <c r="D44" s="459">
        <v>12004</v>
      </c>
      <c r="E44" s="459" t="s">
        <v>751</v>
      </c>
      <c r="F44" s="460"/>
      <c r="G44" s="460"/>
      <c r="H44" s="456"/>
      <c r="I44" s="456"/>
      <c r="J44" s="461">
        <v>28355.8</v>
      </c>
      <c r="K44" s="456"/>
      <c r="L44" s="461">
        <v>0</v>
      </c>
      <c r="M44" s="456"/>
      <c r="N44" s="462">
        <v>0</v>
      </c>
      <c r="O44" s="456"/>
      <c r="P44" s="461">
        <f>J44+L44+N44</f>
        <v>28355.8</v>
      </c>
      <c r="Q44" s="456"/>
      <c r="R44" s="461">
        <v>28355.8</v>
      </c>
      <c r="S44" s="461">
        <v>28355.8</v>
      </c>
      <c r="T44" s="461">
        <f t="shared" si="8"/>
        <v>28355.8</v>
      </c>
      <c r="U44" s="456"/>
      <c r="V44" s="462">
        <f t="shared" si="9"/>
        <v>0</v>
      </c>
      <c r="W44" s="456"/>
      <c r="X44" s="456"/>
    </row>
    <row r="45" spans="1:25" s="7" customFormat="1" outlineLevel="1">
      <c r="A45" s="456"/>
      <c r="B45" s="457" t="s">
        <v>380</v>
      </c>
      <c r="C45" s="458"/>
      <c r="D45" s="459">
        <v>12005</v>
      </c>
      <c r="E45" s="459" t="s">
        <v>752</v>
      </c>
      <c r="F45" s="460"/>
      <c r="G45" s="460"/>
      <c r="H45" s="456"/>
      <c r="I45" s="456"/>
      <c r="J45" s="461">
        <v>34724.019999999997</v>
      </c>
      <c r="K45" s="456"/>
      <c r="L45" s="461">
        <v>0</v>
      </c>
      <c r="M45" s="456"/>
      <c r="N45" s="462">
        <v>0</v>
      </c>
      <c r="O45" s="456"/>
      <c r="P45" s="461">
        <f>J45+L45+N45</f>
        <v>34724.019999999997</v>
      </c>
      <c r="Q45" s="456"/>
      <c r="R45" s="461">
        <v>34724.019999999997</v>
      </c>
      <c r="S45" s="461">
        <v>34724.019999999997</v>
      </c>
      <c r="T45" s="461">
        <f t="shared" si="8"/>
        <v>34724.019999999997</v>
      </c>
      <c r="U45" s="456"/>
      <c r="V45" s="462">
        <f t="shared" si="9"/>
        <v>0</v>
      </c>
      <c r="W45" s="456"/>
      <c r="X45" s="456"/>
    </row>
    <row r="46" spans="1:25" s="7" customFormat="1" ht="5.0999999999999996" customHeight="1" outlineLevel="1">
      <c r="A46" s="458" t="s">
        <v>187</v>
      </c>
      <c r="B46" s="483" t="s">
        <v>187</v>
      </c>
      <c r="C46" s="483"/>
      <c r="D46" s="460"/>
      <c r="E46" s="460"/>
      <c r="F46" s="460"/>
      <c r="G46" s="460"/>
      <c r="H46" s="456"/>
      <c r="I46" s="456"/>
      <c r="J46" s="487"/>
      <c r="K46" s="456"/>
      <c r="L46" s="487"/>
      <c r="M46" s="456"/>
      <c r="N46" s="488"/>
      <c r="O46" s="456"/>
      <c r="P46" s="487"/>
      <c r="Q46" s="456"/>
      <c r="R46" s="487"/>
      <c r="S46" s="487"/>
      <c r="T46" s="487"/>
      <c r="U46" s="456"/>
      <c r="V46" s="488"/>
      <c r="W46" s="456"/>
      <c r="X46" s="456"/>
      <c r="Y46" s="456"/>
    </row>
    <row r="47" spans="1:25" s="7" customFormat="1">
      <c r="A47" s="458" t="s">
        <v>747</v>
      </c>
      <c r="B47" s="458" t="s">
        <v>187</v>
      </c>
      <c r="C47" s="458"/>
      <c r="D47" s="456"/>
      <c r="E47" s="456"/>
      <c r="F47" s="459" t="s">
        <v>753</v>
      </c>
      <c r="G47" s="456"/>
      <c r="H47" s="456"/>
      <c r="I47" s="456"/>
      <c r="J47" s="485">
        <f>SUM(J41:J46)</f>
        <v>328625.31</v>
      </c>
      <c r="K47" s="456"/>
      <c r="L47" s="485">
        <f>SUM(L41:L46)</f>
        <v>0</v>
      </c>
      <c r="M47" s="456"/>
      <c r="N47" s="486">
        <f>SUM(N41:N46)</f>
        <v>0</v>
      </c>
      <c r="O47" s="456"/>
      <c r="P47" s="485">
        <f>J47+L47+N47</f>
        <v>328625.31</v>
      </c>
      <c r="Q47" s="456"/>
      <c r="R47" s="485">
        <f>SUM(R41:R46)</f>
        <v>325475.69</v>
      </c>
      <c r="S47" s="485">
        <f>SUM(S41:S46)</f>
        <v>319315.59000000003</v>
      </c>
      <c r="T47" s="485">
        <f>SUM(T41:T46)</f>
        <v>328625.31</v>
      </c>
      <c r="U47" s="456"/>
      <c r="V47" s="486">
        <f>SUM(V41:V46)</f>
        <v>9309.7199999999993</v>
      </c>
      <c r="W47" s="456"/>
      <c r="X47" s="456"/>
      <c r="Y47" s="456"/>
    </row>
    <row r="48" spans="1:25" s="7" customFormat="1" outlineLevel="1">
      <c r="A48" s="456"/>
      <c r="B48" s="457" t="s">
        <v>754</v>
      </c>
      <c r="C48" s="458"/>
      <c r="D48" s="459">
        <v>13001</v>
      </c>
      <c r="E48" s="459" t="s">
        <v>755</v>
      </c>
      <c r="F48" s="460"/>
      <c r="G48" s="460"/>
      <c r="H48" s="456"/>
      <c r="I48" s="456"/>
      <c r="J48" s="461">
        <v>9961.2199999999993</v>
      </c>
      <c r="K48" s="456"/>
      <c r="L48" s="461">
        <v>0</v>
      </c>
      <c r="M48" s="456"/>
      <c r="N48" s="462">
        <v>0</v>
      </c>
      <c r="O48" s="456"/>
      <c r="P48" s="461">
        <f>J48+L48+N48</f>
        <v>9961.2199999999993</v>
      </c>
      <c r="Q48" s="456"/>
      <c r="R48" s="461">
        <v>29883.68</v>
      </c>
      <c r="S48" s="461">
        <v>19922.45</v>
      </c>
      <c r="T48" s="461">
        <f t="shared" ref="T48:T51" si="10">P48</f>
        <v>9961.2199999999993</v>
      </c>
      <c r="U48" s="456"/>
      <c r="V48" s="462">
        <f t="shared" ref="V48:V51" si="11">T48-S48</f>
        <v>-9961.2300000000014</v>
      </c>
      <c r="W48" s="456"/>
      <c r="X48" s="456"/>
    </row>
    <row r="49" spans="1:25" s="7" customFormat="1" outlineLevel="1">
      <c r="A49" s="456"/>
      <c r="B49" s="457" t="s">
        <v>380</v>
      </c>
      <c r="C49" s="458"/>
      <c r="D49" s="459">
        <v>13003</v>
      </c>
      <c r="E49" s="459" t="s">
        <v>756</v>
      </c>
      <c r="F49" s="460"/>
      <c r="G49" s="460"/>
      <c r="H49" s="456"/>
      <c r="I49" s="456"/>
      <c r="J49" s="461">
        <v>3008.93</v>
      </c>
      <c r="K49" s="456"/>
      <c r="L49" s="461">
        <v>0</v>
      </c>
      <c r="M49" s="456"/>
      <c r="N49" s="462">
        <v>0</v>
      </c>
      <c r="O49" s="456"/>
      <c r="P49" s="461">
        <f>J49+L49+N49</f>
        <v>3008.93</v>
      </c>
      <c r="Q49" s="456"/>
      <c r="R49" s="461">
        <v>3868.63</v>
      </c>
      <c r="S49" s="461">
        <v>3438.78</v>
      </c>
      <c r="T49" s="461">
        <f t="shared" si="10"/>
        <v>3008.93</v>
      </c>
      <c r="U49" s="456"/>
      <c r="V49" s="462">
        <f t="shared" si="11"/>
        <v>-429.85000000000036</v>
      </c>
      <c r="W49" s="456"/>
      <c r="X49" s="456"/>
    </row>
    <row r="50" spans="1:25" s="7" customFormat="1" outlineLevel="1">
      <c r="A50" s="456"/>
      <c r="B50" s="457" t="s">
        <v>380</v>
      </c>
      <c r="C50" s="458"/>
      <c r="D50" s="459">
        <v>13004</v>
      </c>
      <c r="E50" s="459" t="s">
        <v>757</v>
      </c>
      <c r="F50" s="460"/>
      <c r="G50" s="460"/>
      <c r="H50" s="456"/>
      <c r="I50" s="456"/>
      <c r="J50" s="461">
        <v>15519.34</v>
      </c>
      <c r="K50" s="456"/>
      <c r="L50" s="461">
        <v>0</v>
      </c>
      <c r="M50" s="456"/>
      <c r="N50" s="462">
        <v>0</v>
      </c>
      <c r="O50" s="456"/>
      <c r="P50" s="461">
        <f>J50+L50+N50</f>
        <v>15519.34</v>
      </c>
      <c r="Q50" s="456"/>
      <c r="R50" s="461">
        <v>46558.06</v>
      </c>
      <c r="S50" s="461">
        <v>31038.7</v>
      </c>
      <c r="T50" s="461">
        <f t="shared" si="10"/>
        <v>15519.34</v>
      </c>
      <c r="U50" s="456"/>
      <c r="V50" s="462">
        <f t="shared" si="11"/>
        <v>-15519.36</v>
      </c>
      <c r="W50" s="456"/>
      <c r="X50" s="456"/>
    </row>
    <row r="51" spans="1:25" s="7" customFormat="1" outlineLevel="1">
      <c r="A51" s="456"/>
      <c r="B51" s="457" t="s">
        <v>380</v>
      </c>
      <c r="C51" s="458"/>
      <c r="D51" s="459">
        <v>13008</v>
      </c>
      <c r="E51" s="459" t="s">
        <v>758</v>
      </c>
      <c r="F51" s="460"/>
      <c r="G51" s="460"/>
      <c r="H51" s="456"/>
      <c r="I51" s="456"/>
      <c r="J51" s="461">
        <v>118715.09</v>
      </c>
      <c r="K51" s="456"/>
      <c r="L51" s="461">
        <v>0</v>
      </c>
      <c r="M51" s="456"/>
      <c r="N51" s="462">
        <v>0</v>
      </c>
      <c r="O51" s="456"/>
      <c r="P51" s="461">
        <f>J51+L51+N51</f>
        <v>118715.09</v>
      </c>
      <c r="Q51" s="456"/>
      <c r="R51" s="461">
        <v>152531.94</v>
      </c>
      <c r="S51" s="461">
        <v>130339.51</v>
      </c>
      <c r="T51" s="461">
        <f t="shared" si="10"/>
        <v>118715.09</v>
      </c>
      <c r="U51" s="456"/>
      <c r="V51" s="462">
        <f t="shared" si="11"/>
        <v>-11624.419999999998</v>
      </c>
      <c r="W51" s="456"/>
      <c r="X51" s="456"/>
    </row>
    <row r="52" spans="1:25" s="7" customFormat="1" ht="3.75" customHeight="1" outlineLevel="1">
      <c r="A52" s="458" t="s">
        <v>187</v>
      </c>
      <c r="B52" s="483" t="s">
        <v>187</v>
      </c>
      <c r="C52" s="483"/>
      <c r="D52" s="460"/>
      <c r="E52" s="460"/>
      <c r="F52" s="460"/>
      <c r="G52" s="460"/>
      <c r="H52" s="456"/>
      <c r="I52" s="456"/>
      <c r="J52" s="487"/>
      <c r="K52" s="456"/>
      <c r="L52" s="487"/>
      <c r="M52" s="456"/>
      <c r="N52" s="488"/>
      <c r="O52" s="456"/>
      <c r="P52" s="487"/>
      <c r="Q52" s="456"/>
      <c r="R52" s="487"/>
      <c r="S52" s="487"/>
      <c r="T52" s="487"/>
      <c r="U52" s="456"/>
      <c r="V52" s="488"/>
      <c r="W52" s="456"/>
      <c r="X52" s="456"/>
      <c r="Y52" s="456"/>
    </row>
    <row r="53" spans="1:25" s="7" customFormat="1">
      <c r="A53" s="458" t="s">
        <v>754</v>
      </c>
      <c r="B53" s="458" t="s">
        <v>187</v>
      </c>
      <c r="C53" s="458"/>
      <c r="D53" s="456"/>
      <c r="E53" s="456"/>
      <c r="F53" s="459" t="s">
        <v>759</v>
      </c>
      <c r="G53" s="456"/>
      <c r="H53" s="456"/>
      <c r="I53" s="456"/>
      <c r="J53" s="485">
        <f>SUM(J48:J52)</f>
        <v>147204.57999999999</v>
      </c>
      <c r="K53" s="456"/>
      <c r="L53" s="485">
        <f>SUM(L48:L52)</f>
        <v>0</v>
      </c>
      <c r="M53" s="456"/>
      <c r="N53" s="486">
        <f>SUM(N48:N52)</f>
        <v>0</v>
      </c>
      <c r="O53" s="456"/>
      <c r="P53" s="485">
        <f>J53+L53+N53</f>
        <v>147204.57999999999</v>
      </c>
      <c r="Q53" s="456"/>
      <c r="R53" s="485">
        <f>SUM(R48:R52)</f>
        <v>232842.31</v>
      </c>
      <c r="S53" s="485">
        <f>SUM(S48:S52)</f>
        <v>184739.44</v>
      </c>
      <c r="T53" s="485">
        <f>SUM(T48:T52)</f>
        <v>147204.57999999999</v>
      </c>
      <c r="U53" s="489"/>
      <c r="V53" s="486">
        <f>SUM(V48:V52)</f>
        <v>-37534.86</v>
      </c>
      <c r="W53" s="456"/>
      <c r="X53" s="456"/>
      <c r="Y53" s="456"/>
    </row>
    <row r="54" spans="1:25" s="7" customFormat="1" outlineLevel="1">
      <c r="A54" s="456"/>
      <c r="B54" s="457" t="s">
        <v>760</v>
      </c>
      <c r="C54" s="458"/>
      <c r="D54" s="459"/>
      <c r="E54" s="459"/>
      <c r="F54" s="460"/>
      <c r="G54" s="460"/>
      <c r="H54" s="456"/>
      <c r="I54" s="456"/>
      <c r="J54" s="461"/>
      <c r="K54" s="456"/>
      <c r="L54" s="461"/>
      <c r="M54" s="456"/>
      <c r="N54" s="462"/>
      <c r="O54" s="456"/>
      <c r="P54" s="461">
        <f>J54+L54+N54</f>
        <v>0</v>
      </c>
      <c r="Q54" s="456"/>
      <c r="R54" s="461"/>
      <c r="S54" s="461"/>
      <c r="T54" s="461">
        <f>P54</f>
        <v>0</v>
      </c>
      <c r="U54" s="456"/>
      <c r="V54" s="462">
        <f>T54-S54</f>
        <v>0</v>
      </c>
      <c r="W54" s="456"/>
      <c r="X54" s="456"/>
    </row>
    <row r="55" spans="1:25" s="7" customFormat="1" ht="3.75" customHeight="1" outlineLevel="1">
      <c r="A55" s="458" t="s">
        <v>187</v>
      </c>
      <c r="B55" s="483" t="s">
        <v>187</v>
      </c>
      <c r="C55" s="483"/>
      <c r="D55" s="460"/>
      <c r="E55" s="460"/>
      <c r="F55" s="460"/>
      <c r="G55" s="460"/>
      <c r="H55" s="456"/>
      <c r="I55" s="456"/>
      <c r="J55" s="487"/>
      <c r="K55" s="456"/>
      <c r="L55" s="487"/>
      <c r="M55" s="456"/>
      <c r="N55" s="488"/>
      <c r="O55" s="456"/>
      <c r="P55" s="487"/>
      <c r="Q55" s="456"/>
      <c r="R55" s="487"/>
      <c r="S55" s="487"/>
      <c r="T55" s="487"/>
      <c r="U55" s="456"/>
      <c r="V55" s="488"/>
      <c r="W55" s="456"/>
      <c r="X55" s="456"/>
      <c r="Y55" s="456"/>
    </row>
    <row r="56" spans="1:25" s="7" customFormat="1">
      <c r="A56" s="458" t="s">
        <v>760</v>
      </c>
      <c r="B56" s="458" t="s">
        <v>187</v>
      </c>
      <c r="C56" s="458"/>
      <c r="D56" s="456"/>
      <c r="E56" s="456"/>
      <c r="F56" s="459" t="s">
        <v>761</v>
      </c>
      <c r="G56" s="456"/>
      <c r="H56" s="456"/>
      <c r="I56" s="456"/>
      <c r="J56" s="485">
        <f>SUM(J54:J55)</f>
        <v>0</v>
      </c>
      <c r="K56" s="456"/>
      <c r="L56" s="485">
        <f>SUM(L54:L55)</f>
        <v>0</v>
      </c>
      <c r="M56" s="456"/>
      <c r="N56" s="486">
        <f>SUM(N54:N55)</f>
        <v>0</v>
      </c>
      <c r="O56" s="456"/>
      <c r="P56" s="485">
        <f>J56+L56+N56</f>
        <v>0</v>
      </c>
      <c r="Q56" s="456"/>
      <c r="R56" s="485">
        <f>SUM(R54:R55)</f>
        <v>0</v>
      </c>
      <c r="S56" s="485">
        <f>SUM(S54:S55)</f>
        <v>0</v>
      </c>
      <c r="T56" s="485">
        <f>SUM(T54:T55)</f>
        <v>0</v>
      </c>
      <c r="U56" s="489"/>
      <c r="V56" s="486">
        <f>SUM(V54:V55)</f>
        <v>0</v>
      </c>
      <c r="W56" s="456"/>
      <c r="X56" s="456"/>
      <c r="Y56" s="456"/>
    </row>
    <row r="57" spans="1:25" s="7" customFormat="1" ht="7.5" customHeight="1">
      <c r="A57" s="483" t="s">
        <v>187</v>
      </c>
      <c r="B57" s="483" t="s">
        <v>187</v>
      </c>
      <c r="C57" s="483"/>
      <c r="D57" s="456"/>
      <c r="E57" s="456"/>
      <c r="F57" s="456"/>
      <c r="G57" s="456"/>
      <c r="H57" s="456"/>
      <c r="I57" s="456"/>
      <c r="J57" s="490"/>
      <c r="K57" s="456"/>
      <c r="L57" s="490"/>
      <c r="M57" s="456"/>
      <c r="N57" s="490"/>
      <c r="O57" s="456"/>
      <c r="P57" s="490"/>
      <c r="Q57" s="456"/>
      <c r="R57" s="490"/>
      <c r="S57" s="490"/>
      <c r="T57" s="490"/>
      <c r="U57" s="456"/>
      <c r="V57" s="490"/>
      <c r="W57" s="456"/>
      <c r="X57" s="456"/>
      <c r="Y57" s="456"/>
    </row>
    <row r="58" spans="1:25" s="7" customFormat="1">
      <c r="A58" s="458" t="s">
        <v>187</v>
      </c>
      <c r="B58" s="483" t="s">
        <v>187</v>
      </c>
      <c r="C58" s="483"/>
      <c r="D58" s="456"/>
      <c r="E58" s="491" t="s">
        <v>762</v>
      </c>
      <c r="F58" s="456"/>
      <c r="G58" s="456"/>
      <c r="H58" s="456"/>
      <c r="I58" s="456"/>
      <c r="J58" s="492">
        <f>SUM(J28,J40,J47,J53,J56)</f>
        <v>7729931.2899999991</v>
      </c>
      <c r="K58" s="456"/>
      <c r="L58" s="492">
        <f>SUM(L28,L40,L47,L53,L56)</f>
        <v>0</v>
      </c>
      <c r="M58" s="456"/>
      <c r="N58" s="493">
        <f>SUM(N28,N40,N47,N53,N56)</f>
        <v>0</v>
      </c>
      <c r="O58" s="456"/>
      <c r="P58" s="492">
        <f>SUM(P28,P40,P47,P53,P56)</f>
        <v>7729931.2899999991</v>
      </c>
      <c r="Q58" s="456"/>
      <c r="R58" s="492">
        <f>SUM(R28,R40,R47,R53,R56)</f>
        <v>7801626.4399999995</v>
      </c>
      <c r="S58" s="492">
        <f>SUM(S28,S40,S47,S53,S56)</f>
        <v>7359310.7299999995</v>
      </c>
      <c r="T58" s="492">
        <f>SUM(T28,T40,T47,T53,T56)</f>
        <v>7729931.2899999991</v>
      </c>
      <c r="U58" s="456"/>
      <c r="V58" s="493">
        <f>SUM(V28,V40,V47,V53,V56)</f>
        <v>370620.55999999988</v>
      </c>
      <c r="W58" s="456"/>
      <c r="X58" s="456"/>
      <c r="Y58" s="456"/>
    </row>
    <row r="59" spans="1:25" s="7" customFormat="1" ht="7.5" customHeight="1">
      <c r="A59" s="483" t="s">
        <v>187</v>
      </c>
      <c r="B59" s="483" t="s">
        <v>187</v>
      </c>
      <c r="C59" s="483"/>
      <c r="D59" s="456"/>
      <c r="E59" s="456"/>
      <c r="F59" s="456"/>
      <c r="G59" s="456"/>
      <c r="H59" s="456"/>
      <c r="I59" s="456"/>
      <c r="J59" s="490"/>
      <c r="K59" s="456"/>
      <c r="L59" s="490"/>
      <c r="M59" s="456"/>
      <c r="N59" s="462"/>
      <c r="O59" s="456"/>
      <c r="P59" s="490"/>
      <c r="Q59" s="456"/>
      <c r="R59" s="490"/>
      <c r="S59" s="490"/>
      <c r="T59" s="490"/>
      <c r="U59" s="456"/>
      <c r="V59" s="462"/>
      <c r="W59" s="456"/>
      <c r="X59" s="456"/>
      <c r="Y59" s="456"/>
    </row>
    <row r="60" spans="1:25" s="7" customFormat="1" outlineLevel="1">
      <c r="A60" s="483" t="s">
        <v>187</v>
      </c>
      <c r="B60" s="483" t="s">
        <v>187</v>
      </c>
      <c r="C60" s="483"/>
      <c r="D60" s="456"/>
      <c r="E60" s="456"/>
      <c r="F60" s="456"/>
      <c r="G60" s="456"/>
      <c r="H60" s="456"/>
      <c r="I60" s="456"/>
      <c r="J60" s="490"/>
      <c r="K60" s="456"/>
      <c r="L60" s="490"/>
      <c r="M60" s="456"/>
      <c r="N60" s="462"/>
      <c r="O60" s="456"/>
      <c r="P60" s="490"/>
      <c r="Q60" s="456"/>
      <c r="R60" s="490"/>
      <c r="S60" s="490"/>
      <c r="T60" s="490"/>
      <c r="U60" s="456"/>
      <c r="V60" s="462"/>
      <c r="W60" s="456"/>
      <c r="X60" s="456"/>
      <c r="Y60" s="456"/>
    </row>
    <row r="61" spans="1:25" s="7" customFormat="1" outlineLevel="1">
      <c r="A61" s="456"/>
      <c r="B61" s="457" t="s">
        <v>763</v>
      </c>
      <c r="C61" s="458"/>
      <c r="D61" s="459">
        <v>14002</v>
      </c>
      <c r="E61" s="459" t="s">
        <v>764</v>
      </c>
      <c r="F61" s="460"/>
      <c r="G61" s="460"/>
      <c r="H61" s="456"/>
      <c r="I61" s="456"/>
      <c r="J61" s="461">
        <v>9148000</v>
      </c>
      <c r="K61" s="456"/>
      <c r="L61" s="461">
        <v>0</v>
      </c>
      <c r="M61" s="456"/>
      <c r="N61" s="462">
        <v>0</v>
      </c>
      <c r="O61" s="456"/>
      <c r="P61" s="461">
        <f t="shared" ref="P61:P105" si="12">J61+L61+N61</f>
        <v>9148000</v>
      </c>
      <c r="Q61" s="456"/>
      <c r="R61" s="461">
        <v>9148000</v>
      </c>
      <c r="S61" s="461">
        <v>9148000</v>
      </c>
      <c r="T61" s="461">
        <f t="shared" ref="T61:T105" si="13">P61</f>
        <v>9148000</v>
      </c>
      <c r="U61" s="456"/>
      <c r="V61" s="462">
        <f t="shared" ref="V61:V105" si="14">T61-S61</f>
        <v>0</v>
      </c>
      <c r="W61" s="456"/>
      <c r="X61" s="456"/>
    </row>
    <row r="62" spans="1:25" s="7" customFormat="1" outlineLevel="1">
      <c r="A62" s="456"/>
      <c r="B62" s="457" t="s">
        <v>380</v>
      </c>
      <c r="C62" s="458"/>
      <c r="D62" s="459">
        <v>14012</v>
      </c>
      <c r="E62" s="459" t="s">
        <v>765</v>
      </c>
      <c r="F62" s="460"/>
      <c r="G62" s="460"/>
      <c r="H62" s="456"/>
      <c r="I62" s="456"/>
      <c r="J62" s="461">
        <v>450000</v>
      </c>
      <c r="K62" s="456"/>
      <c r="L62" s="461">
        <v>0</v>
      </c>
      <c r="M62" s="456"/>
      <c r="N62" s="462">
        <v>0</v>
      </c>
      <c r="O62" s="456"/>
      <c r="P62" s="461">
        <f t="shared" si="12"/>
        <v>450000</v>
      </c>
      <c r="Q62" s="456"/>
      <c r="R62" s="461">
        <v>450000</v>
      </c>
      <c r="S62" s="461">
        <v>450000</v>
      </c>
      <c r="T62" s="461">
        <f t="shared" si="13"/>
        <v>450000</v>
      </c>
      <c r="U62" s="456"/>
      <c r="V62" s="462">
        <f t="shared" si="14"/>
        <v>0</v>
      </c>
      <c r="W62" s="456"/>
      <c r="X62" s="456"/>
    </row>
    <row r="63" spans="1:25" s="7" customFormat="1" outlineLevel="1">
      <c r="A63" s="456"/>
      <c r="B63" s="457" t="s">
        <v>380</v>
      </c>
      <c r="C63" s="458"/>
      <c r="D63" s="459">
        <v>14016</v>
      </c>
      <c r="E63" s="459" t="s">
        <v>766</v>
      </c>
      <c r="F63" s="460"/>
      <c r="G63" s="460"/>
      <c r="H63" s="456"/>
      <c r="I63" s="456"/>
      <c r="J63" s="461">
        <v>-249375</v>
      </c>
      <c r="K63" s="456"/>
      <c r="L63" s="461">
        <v>0</v>
      </c>
      <c r="M63" s="456"/>
      <c r="N63" s="462">
        <v>0</v>
      </c>
      <c r="O63" s="456"/>
      <c r="P63" s="461">
        <f t="shared" si="12"/>
        <v>-249375</v>
      </c>
      <c r="Q63" s="456"/>
      <c r="R63" s="461">
        <v>-245625</v>
      </c>
      <c r="S63" s="461">
        <v>-247500</v>
      </c>
      <c r="T63" s="461">
        <f t="shared" si="13"/>
        <v>-249375</v>
      </c>
      <c r="U63" s="456"/>
      <c r="V63" s="462">
        <f t="shared" si="14"/>
        <v>-1875</v>
      </c>
      <c r="W63" s="456"/>
      <c r="X63" s="456"/>
    </row>
    <row r="64" spans="1:25" s="7" customFormat="1" outlineLevel="1">
      <c r="A64" s="456"/>
      <c r="B64" s="457" t="s">
        <v>380</v>
      </c>
      <c r="C64" s="458"/>
      <c r="D64" s="459">
        <v>14031</v>
      </c>
      <c r="E64" s="459" t="s">
        <v>767</v>
      </c>
      <c r="F64" s="460"/>
      <c r="G64" s="460"/>
      <c r="H64" s="456"/>
      <c r="I64" s="456"/>
      <c r="J64" s="461">
        <v>355022.48</v>
      </c>
      <c r="K64" s="456"/>
      <c r="L64" s="461">
        <v>0</v>
      </c>
      <c r="M64" s="456"/>
      <c r="N64" s="462">
        <v>0</v>
      </c>
      <c r="O64" s="456"/>
      <c r="P64" s="461">
        <f t="shared" si="12"/>
        <v>355022.48</v>
      </c>
      <c r="Q64" s="456"/>
      <c r="R64" s="461">
        <v>193804.98</v>
      </c>
      <c r="S64" s="461">
        <v>355022.48</v>
      </c>
      <c r="T64" s="461">
        <f t="shared" si="13"/>
        <v>355022.48</v>
      </c>
      <c r="U64" s="456"/>
      <c r="V64" s="462">
        <f t="shared" si="14"/>
        <v>0</v>
      </c>
      <c r="W64" s="456"/>
      <c r="X64" s="456"/>
    </row>
    <row r="65" spans="1:24" s="7" customFormat="1" outlineLevel="1">
      <c r="A65" s="456"/>
      <c r="B65" s="457" t="s">
        <v>380</v>
      </c>
      <c r="C65" s="458"/>
      <c r="D65" s="459">
        <v>14032</v>
      </c>
      <c r="E65" s="459" t="s">
        <v>768</v>
      </c>
      <c r="F65" s="460"/>
      <c r="G65" s="460"/>
      <c r="H65" s="456"/>
      <c r="I65" s="456"/>
      <c r="J65" s="461">
        <v>13500</v>
      </c>
      <c r="K65" s="456"/>
      <c r="L65" s="461">
        <v>0</v>
      </c>
      <c r="M65" s="456"/>
      <c r="N65" s="462">
        <v>0</v>
      </c>
      <c r="O65" s="456"/>
      <c r="P65" s="461">
        <f t="shared" si="12"/>
        <v>13500</v>
      </c>
      <c r="Q65" s="456"/>
      <c r="R65" s="461">
        <v>13500</v>
      </c>
      <c r="S65" s="461">
        <v>13500</v>
      </c>
      <c r="T65" s="461">
        <f t="shared" si="13"/>
        <v>13500</v>
      </c>
      <c r="U65" s="456"/>
      <c r="V65" s="462">
        <f t="shared" si="14"/>
        <v>0</v>
      </c>
      <c r="W65" s="456"/>
      <c r="X65" s="456"/>
    </row>
    <row r="66" spans="1:24" s="7" customFormat="1" outlineLevel="1">
      <c r="A66" s="456"/>
      <c r="B66" s="457" t="s">
        <v>380</v>
      </c>
      <c r="C66" s="458"/>
      <c r="D66" s="459">
        <v>14033</v>
      </c>
      <c r="E66" s="459" t="s">
        <v>769</v>
      </c>
      <c r="F66" s="460"/>
      <c r="G66" s="460"/>
      <c r="H66" s="456"/>
      <c r="I66" s="456"/>
      <c r="J66" s="461">
        <v>101594.47</v>
      </c>
      <c r="K66" s="456"/>
      <c r="L66" s="461">
        <v>0</v>
      </c>
      <c r="M66" s="456"/>
      <c r="N66" s="462">
        <v>0</v>
      </c>
      <c r="O66" s="456"/>
      <c r="P66" s="461">
        <f t="shared" si="12"/>
        <v>101594.47</v>
      </c>
      <c r="Q66" s="456"/>
      <c r="R66" s="461">
        <v>169906.97</v>
      </c>
      <c r="S66" s="461">
        <v>101594.47</v>
      </c>
      <c r="T66" s="461">
        <f t="shared" si="13"/>
        <v>101594.47</v>
      </c>
      <c r="U66" s="456"/>
      <c r="V66" s="462">
        <f t="shared" si="14"/>
        <v>0</v>
      </c>
      <c r="W66" s="456"/>
      <c r="X66" s="456"/>
    </row>
    <row r="67" spans="1:24" s="7" customFormat="1" outlineLevel="1">
      <c r="A67" s="456"/>
      <c r="B67" s="457" t="s">
        <v>380</v>
      </c>
      <c r="C67" s="458"/>
      <c r="D67" s="459">
        <v>14034</v>
      </c>
      <c r="E67" s="459" t="s">
        <v>770</v>
      </c>
      <c r="F67" s="460"/>
      <c r="G67" s="460"/>
      <c r="H67" s="456"/>
      <c r="I67" s="456"/>
      <c r="J67" s="461">
        <v>-15504.78</v>
      </c>
      <c r="K67" s="456"/>
      <c r="L67" s="461">
        <v>0</v>
      </c>
      <c r="M67" s="456"/>
      <c r="N67" s="462">
        <v>0</v>
      </c>
      <c r="O67" s="456"/>
      <c r="P67" s="461">
        <f t="shared" si="12"/>
        <v>-15504.78</v>
      </c>
      <c r="Q67" s="456"/>
      <c r="R67" s="461">
        <v>-15504.78</v>
      </c>
      <c r="S67" s="461">
        <v>-15504.78</v>
      </c>
      <c r="T67" s="461">
        <f t="shared" si="13"/>
        <v>-15504.78</v>
      </c>
      <c r="U67" s="456"/>
      <c r="V67" s="462">
        <f t="shared" si="14"/>
        <v>0</v>
      </c>
      <c r="W67" s="456"/>
      <c r="X67" s="456"/>
    </row>
    <row r="68" spans="1:24" s="7" customFormat="1" outlineLevel="1">
      <c r="A68" s="456"/>
      <c r="B68" s="457" t="s">
        <v>380</v>
      </c>
      <c r="C68" s="458"/>
      <c r="D68" s="459">
        <v>14036</v>
      </c>
      <c r="E68" s="459" t="s">
        <v>771</v>
      </c>
      <c r="F68" s="460"/>
      <c r="G68" s="460"/>
      <c r="H68" s="456"/>
      <c r="I68" s="456"/>
      <c r="J68" s="461">
        <v>-253351.4</v>
      </c>
      <c r="K68" s="456"/>
      <c r="L68" s="461">
        <v>0</v>
      </c>
      <c r="M68" s="456"/>
      <c r="N68" s="462">
        <v>0</v>
      </c>
      <c r="O68" s="456"/>
      <c r="P68" s="461">
        <f t="shared" si="12"/>
        <v>-253351.4</v>
      </c>
      <c r="Q68" s="456"/>
      <c r="R68" s="461">
        <v>-245248.59</v>
      </c>
      <c r="S68" s="461">
        <v>-249299.98</v>
      </c>
      <c r="T68" s="461">
        <f t="shared" si="13"/>
        <v>-253351.4</v>
      </c>
      <c r="U68" s="456"/>
      <c r="V68" s="462">
        <f t="shared" si="14"/>
        <v>-4051.4199999999837</v>
      </c>
      <c r="W68" s="456"/>
      <c r="X68" s="456"/>
    </row>
    <row r="69" spans="1:24" s="7" customFormat="1" outlineLevel="1">
      <c r="A69" s="456"/>
      <c r="B69" s="457" t="s">
        <v>380</v>
      </c>
      <c r="C69" s="458"/>
      <c r="D69" s="459">
        <v>14037</v>
      </c>
      <c r="E69" s="459" t="s">
        <v>769</v>
      </c>
      <c r="F69" s="460"/>
      <c r="G69" s="460"/>
      <c r="H69" s="456"/>
      <c r="I69" s="456"/>
      <c r="J69" s="461">
        <v>-36861.74</v>
      </c>
      <c r="K69" s="456"/>
      <c r="L69" s="461">
        <v>0</v>
      </c>
      <c r="M69" s="456"/>
      <c r="N69" s="462">
        <v>0</v>
      </c>
      <c r="O69" s="456"/>
      <c r="P69" s="461">
        <f t="shared" si="12"/>
        <v>-36861.74</v>
      </c>
      <c r="Q69" s="456"/>
      <c r="R69" s="461">
        <v>-38012.14</v>
      </c>
      <c r="S69" s="461">
        <v>-36861.74</v>
      </c>
      <c r="T69" s="461">
        <f t="shared" si="13"/>
        <v>-36861.74</v>
      </c>
      <c r="U69" s="456"/>
      <c r="V69" s="462">
        <f t="shared" si="14"/>
        <v>0</v>
      </c>
      <c r="W69" s="456"/>
      <c r="X69" s="456"/>
    </row>
    <row r="70" spans="1:24" s="7" customFormat="1" outlineLevel="1">
      <c r="A70" s="456"/>
      <c r="B70" s="457" t="s">
        <v>380</v>
      </c>
      <c r="C70" s="458"/>
      <c r="D70" s="459">
        <v>14038</v>
      </c>
      <c r="E70" s="459" t="s">
        <v>770</v>
      </c>
      <c r="F70" s="460"/>
      <c r="G70" s="460"/>
      <c r="H70" s="456"/>
      <c r="I70" s="456"/>
      <c r="J70" s="461">
        <v>14532.55</v>
      </c>
      <c r="K70" s="456"/>
      <c r="L70" s="461">
        <v>0</v>
      </c>
      <c r="M70" s="456"/>
      <c r="N70" s="462">
        <v>0</v>
      </c>
      <c r="O70" s="456"/>
      <c r="P70" s="461">
        <f t="shared" si="12"/>
        <v>14532.55</v>
      </c>
      <c r="Q70" s="456"/>
      <c r="R70" s="461">
        <v>14532.55</v>
      </c>
      <c r="S70" s="461">
        <v>14532.55</v>
      </c>
      <c r="T70" s="461">
        <f t="shared" si="13"/>
        <v>14532.55</v>
      </c>
      <c r="U70" s="456"/>
      <c r="V70" s="462">
        <f t="shared" si="14"/>
        <v>0</v>
      </c>
      <c r="W70" s="456"/>
      <c r="X70" s="456"/>
    </row>
    <row r="71" spans="1:24" s="7" customFormat="1" outlineLevel="1">
      <c r="A71" s="456"/>
      <c r="B71" s="457" t="s">
        <v>380</v>
      </c>
      <c r="C71" s="458"/>
      <c r="D71" s="459">
        <v>14041</v>
      </c>
      <c r="E71" s="459" t="s">
        <v>772</v>
      </c>
      <c r="F71" s="460"/>
      <c r="G71" s="460"/>
      <c r="H71" s="456"/>
      <c r="I71" s="456"/>
      <c r="J71" s="461">
        <v>20742861.710000001</v>
      </c>
      <c r="K71" s="456"/>
      <c r="L71" s="461">
        <v>0</v>
      </c>
      <c r="M71" s="456"/>
      <c r="N71" s="462">
        <v>0</v>
      </c>
      <c r="O71" s="456"/>
      <c r="P71" s="461">
        <f t="shared" si="12"/>
        <v>20742861.710000001</v>
      </c>
      <c r="Q71" s="456"/>
      <c r="R71" s="461">
        <v>19259249.870000001</v>
      </c>
      <c r="S71" s="461">
        <v>20106249.370000001</v>
      </c>
      <c r="T71" s="461">
        <f t="shared" si="13"/>
        <v>20742861.710000001</v>
      </c>
      <c r="U71" s="456"/>
      <c r="V71" s="462">
        <f t="shared" si="14"/>
        <v>636612.33999999985</v>
      </c>
      <c r="W71" s="456"/>
      <c r="X71" s="456"/>
    </row>
    <row r="72" spans="1:24" s="7" customFormat="1" outlineLevel="1">
      <c r="A72" s="456"/>
      <c r="B72" s="457" t="s">
        <v>380</v>
      </c>
      <c r="C72" s="458"/>
      <c r="D72" s="459">
        <v>14042</v>
      </c>
      <c r="E72" s="459" t="s">
        <v>773</v>
      </c>
      <c r="F72" s="460"/>
      <c r="G72" s="460"/>
      <c r="H72" s="456"/>
      <c r="I72" s="456"/>
      <c r="J72" s="461">
        <v>7327198.3899999997</v>
      </c>
      <c r="K72" s="456"/>
      <c r="L72" s="461">
        <v>0</v>
      </c>
      <c r="M72" s="456"/>
      <c r="N72" s="462">
        <v>0</v>
      </c>
      <c r="O72" s="456"/>
      <c r="P72" s="461">
        <f t="shared" si="12"/>
        <v>7327198.3899999997</v>
      </c>
      <c r="Q72" s="456"/>
      <c r="R72" s="461">
        <v>7327198.3899999997</v>
      </c>
      <c r="S72" s="461">
        <v>7327198.3899999997</v>
      </c>
      <c r="T72" s="461">
        <f t="shared" si="13"/>
        <v>7327198.3899999997</v>
      </c>
      <c r="U72" s="456"/>
      <c r="V72" s="462">
        <f t="shared" si="14"/>
        <v>0</v>
      </c>
      <c r="W72" s="456"/>
      <c r="X72" s="456"/>
    </row>
    <row r="73" spans="1:24" s="7" customFormat="1" outlineLevel="1">
      <c r="A73" s="456"/>
      <c r="B73" s="457" t="s">
        <v>380</v>
      </c>
      <c r="C73" s="458"/>
      <c r="D73" s="459">
        <v>14043</v>
      </c>
      <c r="E73" s="459" t="s">
        <v>774</v>
      </c>
      <c r="F73" s="460"/>
      <c r="G73" s="460"/>
      <c r="H73" s="456"/>
      <c r="I73" s="456"/>
      <c r="J73" s="461">
        <v>-97852.73</v>
      </c>
      <c r="K73" s="456"/>
      <c r="L73" s="461">
        <v>0</v>
      </c>
      <c r="M73" s="456"/>
      <c r="N73" s="462">
        <v>0</v>
      </c>
      <c r="O73" s="456"/>
      <c r="P73" s="461">
        <f t="shared" si="12"/>
        <v>-97852.73</v>
      </c>
      <c r="Q73" s="456"/>
      <c r="R73" s="461">
        <v>587014.89</v>
      </c>
      <c r="S73" s="461">
        <v>573738.64</v>
      </c>
      <c r="T73" s="461">
        <f t="shared" si="13"/>
        <v>-97852.73</v>
      </c>
      <c r="U73" s="456"/>
      <c r="V73" s="462">
        <f t="shared" si="14"/>
        <v>-671591.37</v>
      </c>
      <c r="W73" s="456"/>
      <c r="X73" s="456"/>
    </row>
    <row r="74" spans="1:24" s="7" customFormat="1" outlineLevel="1">
      <c r="A74" s="456"/>
      <c r="B74" s="457" t="s">
        <v>380</v>
      </c>
      <c r="C74" s="458"/>
      <c r="D74" s="459">
        <v>14044</v>
      </c>
      <c r="E74" s="459" t="s">
        <v>775</v>
      </c>
      <c r="F74" s="460"/>
      <c r="G74" s="460"/>
      <c r="H74" s="456"/>
      <c r="I74" s="456"/>
      <c r="J74" s="461">
        <v>-2959375.7</v>
      </c>
      <c r="K74" s="456"/>
      <c r="L74" s="461">
        <v>0</v>
      </c>
      <c r="M74" s="456"/>
      <c r="N74" s="462">
        <v>0</v>
      </c>
      <c r="O74" s="456"/>
      <c r="P74" s="461">
        <f t="shared" si="12"/>
        <v>-2959375.7</v>
      </c>
      <c r="Q74" s="456"/>
      <c r="R74" s="461">
        <v>-2959375.7</v>
      </c>
      <c r="S74" s="461">
        <v>-2959375.7</v>
      </c>
      <c r="T74" s="461">
        <f t="shared" si="13"/>
        <v>-2959375.7</v>
      </c>
      <c r="U74" s="456"/>
      <c r="V74" s="462">
        <f t="shared" si="14"/>
        <v>0</v>
      </c>
      <c r="W74" s="456"/>
      <c r="X74" s="456"/>
    </row>
    <row r="75" spans="1:24" s="7" customFormat="1" outlineLevel="1">
      <c r="A75" s="456"/>
      <c r="B75" s="457" t="s">
        <v>380</v>
      </c>
      <c r="C75" s="458"/>
      <c r="D75" s="459">
        <v>14046</v>
      </c>
      <c r="E75" s="459" t="s">
        <v>776</v>
      </c>
      <c r="F75" s="460"/>
      <c r="G75" s="460"/>
      <c r="H75" s="456"/>
      <c r="I75" s="456"/>
      <c r="J75" s="461">
        <v>-14540507.029999999</v>
      </c>
      <c r="K75" s="456"/>
      <c r="L75" s="461">
        <v>0</v>
      </c>
      <c r="M75" s="456"/>
      <c r="N75" s="462">
        <v>0</v>
      </c>
      <c r="O75" s="456"/>
      <c r="P75" s="461">
        <f t="shared" si="12"/>
        <v>-14540507.029999999</v>
      </c>
      <c r="Q75" s="456"/>
      <c r="R75" s="461">
        <v>-14208403.380000001</v>
      </c>
      <c r="S75" s="461">
        <v>-14378106.42</v>
      </c>
      <c r="T75" s="461">
        <f t="shared" si="13"/>
        <v>-14540507.029999999</v>
      </c>
      <c r="U75" s="456"/>
      <c r="V75" s="462">
        <f t="shared" si="14"/>
        <v>-162400.6099999994</v>
      </c>
      <c r="W75" s="456"/>
      <c r="X75" s="456"/>
    </row>
    <row r="76" spans="1:24" s="7" customFormat="1" outlineLevel="1">
      <c r="A76" s="456"/>
      <c r="B76" s="457" t="s">
        <v>380</v>
      </c>
      <c r="C76" s="458"/>
      <c r="D76" s="459">
        <v>14047</v>
      </c>
      <c r="E76" s="459" t="s">
        <v>774</v>
      </c>
      <c r="F76" s="460"/>
      <c r="G76" s="460"/>
      <c r="H76" s="456"/>
      <c r="I76" s="456"/>
      <c r="J76" s="461">
        <v>-384015.79</v>
      </c>
      <c r="K76" s="456"/>
      <c r="L76" s="461">
        <v>0</v>
      </c>
      <c r="M76" s="456"/>
      <c r="N76" s="462">
        <v>0</v>
      </c>
      <c r="O76" s="456"/>
      <c r="P76" s="461">
        <f t="shared" si="12"/>
        <v>-384015.79</v>
      </c>
      <c r="Q76" s="456"/>
      <c r="R76" s="461">
        <v>-384064.19</v>
      </c>
      <c r="S76" s="461">
        <v>-396626.25</v>
      </c>
      <c r="T76" s="461">
        <f t="shared" si="13"/>
        <v>-384015.79</v>
      </c>
      <c r="U76" s="456"/>
      <c r="V76" s="462">
        <f t="shared" si="14"/>
        <v>12610.460000000021</v>
      </c>
      <c r="W76" s="456"/>
      <c r="X76" s="456"/>
    </row>
    <row r="77" spans="1:24" s="7" customFormat="1" outlineLevel="1">
      <c r="A77" s="456"/>
      <c r="B77" s="457" t="s">
        <v>380</v>
      </c>
      <c r="C77" s="458"/>
      <c r="D77" s="459">
        <v>14048</v>
      </c>
      <c r="E77" s="459" t="s">
        <v>775</v>
      </c>
      <c r="F77" s="460"/>
      <c r="G77" s="460"/>
      <c r="H77" s="456"/>
      <c r="I77" s="456"/>
      <c r="J77" s="461">
        <v>2936546.81</v>
      </c>
      <c r="K77" s="456"/>
      <c r="L77" s="461">
        <v>0</v>
      </c>
      <c r="M77" s="456"/>
      <c r="N77" s="462">
        <v>0</v>
      </c>
      <c r="O77" s="456"/>
      <c r="P77" s="461">
        <f t="shared" si="12"/>
        <v>2936546.81</v>
      </c>
      <c r="Q77" s="456"/>
      <c r="R77" s="461">
        <v>2936546.81</v>
      </c>
      <c r="S77" s="461">
        <v>2936546.81</v>
      </c>
      <c r="T77" s="461">
        <f t="shared" si="13"/>
        <v>2936546.81</v>
      </c>
      <c r="U77" s="456"/>
      <c r="V77" s="462">
        <f t="shared" si="14"/>
        <v>0</v>
      </c>
      <c r="W77" s="456"/>
      <c r="X77" s="456"/>
    </row>
    <row r="78" spans="1:24" s="7" customFormat="1" outlineLevel="1">
      <c r="A78" s="456"/>
      <c r="B78" s="457" t="s">
        <v>380</v>
      </c>
      <c r="C78" s="458"/>
      <c r="D78" s="459">
        <v>14051</v>
      </c>
      <c r="E78" s="459" t="s">
        <v>777</v>
      </c>
      <c r="F78" s="460"/>
      <c r="G78" s="460"/>
      <c r="H78" s="456"/>
      <c r="I78" s="456"/>
      <c r="J78" s="461">
        <v>8064103.9000000004</v>
      </c>
      <c r="K78" s="456"/>
      <c r="L78" s="461">
        <v>0</v>
      </c>
      <c r="M78" s="456"/>
      <c r="N78" s="462">
        <v>0</v>
      </c>
      <c r="O78" s="456"/>
      <c r="P78" s="461">
        <f t="shared" si="12"/>
        <v>8064103.9000000004</v>
      </c>
      <c r="Q78" s="456"/>
      <c r="R78" s="461">
        <v>7739454.7199999997</v>
      </c>
      <c r="S78" s="461">
        <v>7870487.7000000002</v>
      </c>
      <c r="T78" s="461">
        <f t="shared" si="13"/>
        <v>8064103.9000000004</v>
      </c>
      <c r="U78" s="456"/>
      <c r="V78" s="462">
        <f t="shared" si="14"/>
        <v>193616.20000000019</v>
      </c>
      <c r="W78" s="456"/>
      <c r="X78" s="456"/>
    </row>
    <row r="79" spans="1:24" s="7" customFormat="1" outlineLevel="1">
      <c r="A79" s="456"/>
      <c r="B79" s="457" t="s">
        <v>380</v>
      </c>
      <c r="C79" s="458"/>
      <c r="D79" s="459">
        <v>14052</v>
      </c>
      <c r="E79" s="459" t="s">
        <v>778</v>
      </c>
      <c r="F79" s="460"/>
      <c r="G79" s="460"/>
      <c r="H79" s="456"/>
      <c r="I79" s="456"/>
      <c r="J79" s="461">
        <v>2498780</v>
      </c>
      <c r="K79" s="456"/>
      <c r="L79" s="461">
        <v>0</v>
      </c>
      <c r="M79" s="456"/>
      <c r="N79" s="462">
        <v>0</v>
      </c>
      <c r="O79" s="456"/>
      <c r="P79" s="461">
        <f t="shared" si="12"/>
        <v>2498780</v>
      </c>
      <c r="Q79" s="456"/>
      <c r="R79" s="461">
        <v>2498780</v>
      </c>
      <c r="S79" s="461">
        <v>2498780</v>
      </c>
      <c r="T79" s="461">
        <f t="shared" si="13"/>
        <v>2498780</v>
      </c>
      <c r="U79" s="456"/>
      <c r="V79" s="462">
        <f t="shared" si="14"/>
        <v>0</v>
      </c>
      <c r="W79" s="456"/>
      <c r="X79" s="456"/>
    </row>
    <row r="80" spans="1:24" s="7" customFormat="1" outlineLevel="1">
      <c r="A80" s="456"/>
      <c r="B80" s="457" t="s">
        <v>380</v>
      </c>
      <c r="C80" s="458"/>
      <c r="D80" s="459">
        <v>14053</v>
      </c>
      <c r="E80" s="459" t="s">
        <v>779</v>
      </c>
      <c r="F80" s="460"/>
      <c r="G80" s="460"/>
      <c r="H80" s="456"/>
      <c r="I80" s="456"/>
      <c r="J80" s="461">
        <v>1888614.53</v>
      </c>
      <c r="K80" s="456"/>
      <c r="L80" s="461">
        <v>0</v>
      </c>
      <c r="M80" s="456"/>
      <c r="N80" s="462">
        <v>0</v>
      </c>
      <c r="O80" s="456"/>
      <c r="P80" s="461">
        <f t="shared" si="12"/>
        <v>1888614.53</v>
      </c>
      <c r="Q80" s="456"/>
      <c r="R80" s="461">
        <v>1888614.53</v>
      </c>
      <c r="S80" s="461">
        <v>1888614.53</v>
      </c>
      <c r="T80" s="461">
        <f t="shared" si="13"/>
        <v>1888614.53</v>
      </c>
      <c r="U80" s="456"/>
      <c r="V80" s="462">
        <f t="shared" si="14"/>
        <v>0</v>
      </c>
      <c r="W80" s="456"/>
      <c r="X80" s="456"/>
    </row>
    <row r="81" spans="1:24" s="7" customFormat="1" outlineLevel="1">
      <c r="A81" s="456"/>
      <c r="B81" s="457" t="s">
        <v>380</v>
      </c>
      <c r="C81" s="458"/>
      <c r="D81" s="459">
        <v>14054</v>
      </c>
      <c r="E81" s="459" t="s">
        <v>780</v>
      </c>
      <c r="F81" s="460"/>
      <c r="G81" s="460"/>
      <c r="H81" s="456"/>
      <c r="I81" s="456"/>
      <c r="J81" s="461">
        <v>-1024795.94</v>
      </c>
      <c r="K81" s="456"/>
      <c r="L81" s="461">
        <v>0</v>
      </c>
      <c r="M81" s="456"/>
      <c r="N81" s="462">
        <v>0</v>
      </c>
      <c r="O81" s="456"/>
      <c r="P81" s="461">
        <f t="shared" si="12"/>
        <v>-1024795.94</v>
      </c>
      <c r="Q81" s="456"/>
      <c r="R81" s="461">
        <v>-1022195.94</v>
      </c>
      <c r="S81" s="461">
        <v>-1023395.94</v>
      </c>
      <c r="T81" s="461">
        <f t="shared" si="13"/>
        <v>-1024795.94</v>
      </c>
      <c r="U81" s="456"/>
      <c r="V81" s="462">
        <f t="shared" si="14"/>
        <v>-1400</v>
      </c>
      <c r="W81" s="456"/>
      <c r="X81" s="456"/>
    </row>
    <row r="82" spans="1:24" s="7" customFormat="1" outlineLevel="1">
      <c r="A82" s="456"/>
      <c r="B82" s="457" t="s">
        <v>380</v>
      </c>
      <c r="C82" s="458"/>
      <c r="D82" s="459">
        <v>14056</v>
      </c>
      <c r="E82" s="459" t="s">
        <v>781</v>
      </c>
      <c r="F82" s="460"/>
      <c r="G82" s="460"/>
      <c r="H82" s="456"/>
      <c r="I82" s="456"/>
      <c r="J82" s="461">
        <v>-7266386.25</v>
      </c>
      <c r="K82" s="456"/>
      <c r="L82" s="461">
        <v>0</v>
      </c>
      <c r="M82" s="456"/>
      <c r="N82" s="462">
        <v>0</v>
      </c>
      <c r="O82" s="456"/>
      <c r="P82" s="461">
        <f t="shared" si="12"/>
        <v>-7266386.25</v>
      </c>
      <c r="Q82" s="456"/>
      <c r="R82" s="461">
        <v>-7107253.0999999996</v>
      </c>
      <c r="S82" s="461">
        <v>-7186440.1799999997</v>
      </c>
      <c r="T82" s="461">
        <f t="shared" si="13"/>
        <v>-7266386.25</v>
      </c>
      <c r="U82" s="456"/>
      <c r="V82" s="462">
        <f t="shared" si="14"/>
        <v>-79946.070000000298</v>
      </c>
      <c r="W82" s="456"/>
      <c r="X82" s="456"/>
    </row>
    <row r="83" spans="1:24" s="7" customFormat="1" outlineLevel="1">
      <c r="A83" s="456"/>
      <c r="B83" s="457" t="s">
        <v>380</v>
      </c>
      <c r="C83" s="458"/>
      <c r="D83" s="459">
        <v>14057</v>
      </c>
      <c r="E83" s="459" t="s">
        <v>782</v>
      </c>
      <c r="F83" s="460"/>
      <c r="G83" s="460"/>
      <c r="H83" s="456"/>
      <c r="I83" s="456"/>
      <c r="J83" s="461">
        <v>-804495.74</v>
      </c>
      <c r="K83" s="456"/>
      <c r="L83" s="461">
        <v>0</v>
      </c>
      <c r="M83" s="456"/>
      <c r="N83" s="462">
        <v>0</v>
      </c>
      <c r="O83" s="456"/>
      <c r="P83" s="461">
        <f t="shared" si="12"/>
        <v>-804495.74</v>
      </c>
      <c r="Q83" s="456"/>
      <c r="R83" s="461">
        <v>-804495.74</v>
      </c>
      <c r="S83" s="461">
        <v>-804495.74</v>
      </c>
      <c r="T83" s="461">
        <f t="shared" si="13"/>
        <v>-804495.74</v>
      </c>
      <c r="U83" s="456"/>
      <c r="V83" s="462">
        <f t="shared" si="14"/>
        <v>0</v>
      </c>
      <c r="W83" s="456"/>
      <c r="X83" s="456"/>
    </row>
    <row r="84" spans="1:24" s="7" customFormat="1" outlineLevel="1">
      <c r="A84" s="456"/>
      <c r="B84" s="457" t="s">
        <v>380</v>
      </c>
      <c r="C84" s="458"/>
      <c r="D84" s="459">
        <v>14058</v>
      </c>
      <c r="E84" s="459" t="s">
        <v>783</v>
      </c>
      <c r="F84" s="460"/>
      <c r="G84" s="460"/>
      <c r="H84" s="456"/>
      <c r="I84" s="456"/>
      <c r="J84" s="461">
        <v>959836.47</v>
      </c>
      <c r="K84" s="456"/>
      <c r="L84" s="461">
        <v>0</v>
      </c>
      <c r="M84" s="456"/>
      <c r="N84" s="462">
        <v>0</v>
      </c>
      <c r="O84" s="456"/>
      <c r="P84" s="461">
        <f t="shared" si="12"/>
        <v>959836.47</v>
      </c>
      <c r="Q84" s="456"/>
      <c r="R84" s="461">
        <v>957236.47</v>
      </c>
      <c r="S84" s="461">
        <v>958436.47</v>
      </c>
      <c r="T84" s="461">
        <f t="shared" si="13"/>
        <v>959836.47</v>
      </c>
      <c r="U84" s="456"/>
      <c r="V84" s="462">
        <f t="shared" si="14"/>
        <v>1400</v>
      </c>
      <c r="W84" s="456"/>
      <c r="X84" s="456"/>
    </row>
    <row r="85" spans="1:24" s="7" customFormat="1" outlineLevel="1">
      <c r="A85" s="456"/>
      <c r="B85" s="457" t="s">
        <v>380</v>
      </c>
      <c r="C85" s="458"/>
      <c r="D85" s="459">
        <v>14071</v>
      </c>
      <c r="E85" s="459" t="s">
        <v>784</v>
      </c>
      <c r="F85" s="460"/>
      <c r="G85" s="460"/>
      <c r="H85" s="456"/>
      <c r="I85" s="456"/>
      <c r="J85" s="461">
        <v>312248.87</v>
      </c>
      <c r="K85" s="456"/>
      <c r="L85" s="461">
        <v>0</v>
      </c>
      <c r="M85" s="456"/>
      <c r="N85" s="462">
        <v>0</v>
      </c>
      <c r="O85" s="456"/>
      <c r="P85" s="461">
        <f t="shared" si="12"/>
        <v>312248.87</v>
      </c>
      <c r="Q85" s="456"/>
      <c r="R85" s="461">
        <v>312248.87</v>
      </c>
      <c r="S85" s="461">
        <v>312248.87</v>
      </c>
      <c r="T85" s="461">
        <f t="shared" si="13"/>
        <v>312248.87</v>
      </c>
      <c r="U85" s="456"/>
      <c r="V85" s="462">
        <f t="shared" si="14"/>
        <v>0</v>
      </c>
      <c r="W85" s="456"/>
      <c r="X85" s="456"/>
    </row>
    <row r="86" spans="1:24" s="7" customFormat="1" outlineLevel="1">
      <c r="A86" s="456"/>
      <c r="B86" s="457" t="s">
        <v>380</v>
      </c>
      <c r="C86" s="458"/>
      <c r="D86" s="459">
        <v>14072</v>
      </c>
      <c r="E86" s="459" t="s">
        <v>785</v>
      </c>
      <c r="F86" s="460"/>
      <c r="G86" s="460"/>
      <c r="H86" s="456"/>
      <c r="I86" s="456"/>
      <c r="J86" s="461">
        <v>1000</v>
      </c>
      <c r="K86" s="456"/>
      <c r="L86" s="461">
        <v>0</v>
      </c>
      <c r="M86" s="456"/>
      <c r="N86" s="462">
        <v>0</v>
      </c>
      <c r="O86" s="456"/>
      <c r="P86" s="461">
        <f t="shared" si="12"/>
        <v>1000</v>
      </c>
      <c r="Q86" s="456"/>
      <c r="R86" s="461">
        <v>1000</v>
      </c>
      <c r="S86" s="461">
        <v>1000</v>
      </c>
      <c r="T86" s="461">
        <f t="shared" si="13"/>
        <v>1000</v>
      </c>
      <c r="U86" s="456"/>
      <c r="V86" s="462">
        <f t="shared" si="14"/>
        <v>0</v>
      </c>
      <c r="W86" s="456"/>
      <c r="X86" s="456"/>
    </row>
    <row r="87" spans="1:24" s="7" customFormat="1" outlineLevel="1">
      <c r="A87" s="456"/>
      <c r="B87" s="457" t="s">
        <v>380</v>
      </c>
      <c r="C87" s="458"/>
      <c r="D87" s="459">
        <v>14073</v>
      </c>
      <c r="E87" s="459" t="s">
        <v>786</v>
      </c>
      <c r="F87" s="460"/>
      <c r="G87" s="460"/>
      <c r="H87" s="456"/>
      <c r="I87" s="456"/>
      <c r="J87" s="461">
        <v>46924.36</v>
      </c>
      <c r="K87" s="456"/>
      <c r="L87" s="461">
        <v>0</v>
      </c>
      <c r="M87" s="456"/>
      <c r="N87" s="462">
        <v>0</v>
      </c>
      <c r="O87" s="456"/>
      <c r="P87" s="461">
        <f t="shared" si="12"/>
        <v>46924.36</v>
      </c>
      <c r="Q87" s="456"/>
      <c r="R87" s="461">
        <v>46924.36</v>
      </c>
      <c r="S87" s="461">
        <v>46924.36</v>
      </c>
      <c r="T87" s="461">
        <f t="shared" si="13"/>
        <v>46924.36</v>
      </c>
      <c r="U87" s="456"/>
      <c r="V87" s="462">
        <f t="shared" si="14"/>
        <v>0</v>
      </c>
      <c r="W87" s="456"/>
      <c r="X87" s="456"/>
    </row>
    <row r="88" spans="1:24" s="7" customFormat="1" outlineLevel="1">
      <c r="A88" s="456"/>
      <c r="B88" s="457" t="s">
        <v>380</v>
      </c>
      <c r="C88" s="458"/>
      <c r="D88" s="459">
        <v>14076</v>
      </c>
      <c r="E88" s="459" t="s">
        <v>787</v>
      </c>
      <c r="F88" s="460"/>
      <c r="G88" s="460"/>
      <c r="H88" s="456"/>
      <c r="I88" s="456"/>
      <c r="J88" s="461">
        <v>-313523.38</v>
      </c>
      <c r="K88" s="456"/>
      <c r="L88" s="461">
        <v>0</v>
      </c>
      <c r="M88" s="456"/>
      <c r="N88" s="462">
        <v>0</v>
      </c>
      <c r="O88" s="456"/>
      <c r="P88" s="461">
        <f t="shared" si="12"/>
        <v>-313523.38</v>
      </c>
      <c r="Q88" s="456"/>
      <c r="R88" s="461">
        <v>-311781.90000000002</v>
      </c>
      <c r="S88" s="461">
        <v>-312652.65000000002</v>
      </c>
      <c r="T88" s="461">
        <f t="shared" si="13"/>
        <v>-313523.38</v>
      </c>
      <c r="U88" s="456"/>
      <c r="V88" s="462">
        <f t="shared" si="14"/>
        <v>-870.72999999998137</v>
      </c>
      <c r="W88" s="456"/>
      <c r="X88" s="456"/>
    </row>
    <row r="89" spans="1:24" s="7" customFormat="1" outlineLevel="1">
      <c r="A89" s="456"/>
      <c r="B89" s="457" t="s">
        <v>380</v>
      </c>
      <c r="C89" s="458"/>
      <c r="D89" s="459">
        <v>14077</v>
      </c>
      <c r="E89" s="459" t="s">
        <v>788</v>
      </c>
      <c r="F89" s="460"/>
      <c r="G89" s="460"/>
      <c r="H89" s="456"/>
      <c r="I89" s="456"/>
      <c r="J89" s="461">
        <v>-24973.48</v>
      </c>
      <c r="K89" s="456"/>
      <c r="L89" s="461">
        <v>0</v>
      </c>
      <c r="M89" s="456"/>
      <c r="N89" s="462">
        <v>0</v>
      </c>
      <c r="O89" s="456"/>
      <c r="P89" s="461">
        <f t="shared" si="12"/>
        <v>-24973.48</v>
      </c>
      <c r="Q89" s="456"/>
      <c r="R89" s="461">
        <v>-24973.48</v>
      </c>
      <c r="S89" s="461">
        <v>-24973.48</v>
      </c>
      <c r="T89" s="461">
        <f t="shared" si="13"/>
        <v>-24973.48</v>
      </c>
      <c r="U89" s="456"/>
      <c r="V89" s="462">
        <f t="shared" si="14"/>
        <v>0</v>
      </c>
      <c r="W89" s="456"/>
      <c r="X89" s="456"/>
    </row>
    <row r="90" spans="1:24" s="7" customFormat="1" outlineLevel="1">
      <c r="A90" s="456"/>
      <c r="B90" s="457" t="s">
        <v>380</v>
      </c>
      <c r="C90" s="458"/>
      <c r="D90" s="459">
        <v>14081</v>
      </c>
      <c r="E90" s="459" t="s">
        <v>789</v>
      </c>
      <c r="F90" s="460"/>
      <c r="G90" s="460"/>
      <c r="H90" s="456"/>
      <c r="I90" s="456"/>
      <c r="J90" s="461">
        <v>7770319.2400000002</v>
      </c>
      <c r="K90" s="456"/>
      <c r="L90" s="461">
        <v>0</v>
      </c>
      <c r="M90" s="456"/>
      <c r="N90" s="462">
        <v>0</v>
      </c>
      <c r="O90" s="456"/>
      <c r="P90" s="461">
        <f t="shared" si="12"/>
        <v>7770319.2400000002</v>
      </c>
      <c r="Q90" s="456"/>
      <c r="R90" s="461">
        <v>7770319.2400000002</v>
      </c>
      <c r="S90" s="461">
        <v>7770319.2400000002</v>
      </c>
      <c r="T90" s="461">
        <f t="shared" si="13"/>
        <v>7770319.2400000002</v>
      </c>
      <c r="U90" s="456"/>
      <c r="V90" s="462">
        <f t="shared" si="14"/>
        <v>0</v>
      </c>
      <c r="W90" s="456"/>
      <c r="X90" s="456"/>
    </row>
    <row r="91" spans="1:24" s="7" customFormat="1" outlineLevel="1">
      <c r="A91" s="456"/>
      <c r="B91" s="457" t="s">
        <v>380</v>
      </c>
      <c r="C91" s="458"/>
      <c r="D91" s="459">
        <v>14082</v>
      </c>
      <c r="E91" s="459" t="s">
        <v>790</v>
      </c>
      <c r="F91" s="460"/>
      <c r="G91" s="460"/>
      <c r="H91" s="456"/>
      <c r="I91" s="456"/>
      <c r="J91" s="461">
        <v>6178000</v>
      </c>
      <c r="K91" s="456"/>
      <c r="L91" s="461">
        <v>0</v>
      </c>
      <c r="M91" s="456"/>
      <c r="N91" s="462">
        <v>0</v>
      </c>
      <c r="O91" s="456"/>
      <c r="P91" s="461">
        <f t="shared" si="12"/>
        <v>6178000</v>
      </c>
      <c r="Q91" s="456"/>
      <c r="R91" s="461">
        <v>6178000</v>
      </c>
      <c r="S91" s="461">
        <v>6178000</v>
      </c>
      <c r="T91" s="461">
        <f t="shared" si="13"/>
        <v>6178000</v>
      </c>
      <c r="U91" s="456"/>
      <c r="V91" s="462">
        <f t="shared" si="14"/>
        <v>0</v>
      </c>
      <c r="W91" s="456"/>
      <c r="X91" s="456"/>
    </row>
    <row r="92" spans="1:24" s="7" customFormat="1" outlineLevel="1">
      <c r="A92" s="456"/>
      <c r="B92" s="457" t="s">
        <v>380</v>
      </c>
      <c r="C92" s="458"/>
      <c r="D92" s="459">
        <v>14083</v>
      </c>
      <c r="E92" s="459" t="s">
        <v>791</v>
      </c>
      <c r="F92" s="460"/>
      <c r="G92" s="460"/>
      <c r="H92" s="456"/>
      <c r="I92" s="456"/>
      <c r="J92" s="461">
        <v>-2648000</v>
      </c>
      <c r="K92" s="456"/>
      <c r="L92" s="461">
        <v>0</v>
      </c>
      <c r="M92" s="456"/>
      <c r="N92" s="462">
        <v>0</v>
      </c>
      <c r="O92" s="456"/>
      <c r="P92" s="461">
        <f t="shared" si="12"/>
        <v>-2648000</v>
      </c>
      <c r="Q92" s="456"/>
      <c r="R92" s="461">
        <v>-2648000</v>
      </c>
      <c r="S92" s="461">
        <v>-2648000</v>
      </c>
      <c r="T92" s="461">
        <f t="shared" si="13"/>
        <v>-2648000</v>
      </c>
      <c r="U92" s="456"/>
      <c r="V92" s="462">
        <f t="shared" si="14"/>
        <v>0</v>
      </c>
      <c r="W92" s="456"/>
      <c r="X92" s="456"/>
    </row>
    <row r="93" spans="1:24" s="7" customFormat="1" outlineLevel="1">
      <c r="A93" s="456"/>
      <c r="B93" s="457" t="s">
        <v>380</v>
      </c>
      <c r="C93" s="458"/>
      <c r="D93" s="459">
        <v>14086</v>
      </c>
      <c r="E93" s="459" t="s">
        <v>792</v>
      </c>
      <c r="F93" s="460"/>
      <c r="G93" s="460"/>
      <c r="H93" s="456"/>
      <c r="I93" s="456"/>
      <c r="J93" s="461">
        <v>-6001625.0899999999</v>
      </c>
      <c r="K93" s="456"/>
      <c r="L93" s="461">
        <v>0</v>
      </c>
      <c r="M93" s="456"/>
      <c r="N93" s="462">
        <v>0</v>
      </c>
      <c r="O93" s="456"/>
      <c r="P93" s="461">
        <f t="shared" si="12"/>
        <v>-6001625.0899999999</v>
      </c>
      <c r="Q93" s="456"/>
      <c r="R93" s="461">
        <v>-5907101.0599999996</v>
      </c>
      <c r="S93" s="461">
        <v>-5954363.0800000001</v>
      </c>
      <c r="T93" s="461">
        <f t="shared" si="13"/>
        <v>-6001625.0899999999</v>
      </c>
      <c r="U93" s="456"/>
      <c r="V93" s="462">
        <f t="shared" si="14"/>
        <v>-47262.009999999776</v>
      </c>
      <c r="W93" s="456"/>
      <c r="X93" s="456"/>
    </row>
    <row r="94" spans="1:24" s="7" customFormat="1" outlineLevel="1">
      <c r="A94" s="456"/>
      <c r="B94" s="457" t="s">
        <v>380</v>
      </c>
      <c r="C94" s="458"/>
      <c r="D94" s="459">
        <v>14087</v>
      </c>
      <c r="E94" s="459" t="s">
        <v>791</v>
      </c>
      <c r="F94" s="460"/>
      <c r="G94" s="460"/>
      <c r="H94" s="456"/>
      <c r="I94" s="456"/>
      <c r="J94" s="461">
        <v>684066.67</v>
      </c>
      <c r="K94" s="456"/>
      <c r="L94" s="461">
        <v>0</v>
      </c>
      <c r="M94" s="456"/>
      <c r="N94" s="462">
        <v>0</v>
      </c>
      <c r="O94" s="456"/>
      <c r="P94" s="461">
        <f t="shared" si="12"/>
        <v>684066.67</v>
      </c>
      <c r="Q94" s="456"/>
      <c r="R94" s="461">
        <v>684066.67</v>
      </c>
      <c r="S94" s="461">
        <v>684066.67</v>
      </c>
      <c r="T94" s="461">
        <f t="shared" si="13"/>
        <v>684066.67</v>
      </c>
      <c r="U94" s="456"/>
      <c r="V94" s="462">
        <f t="shared" si="14"/>
        <v>0</v>
      </c>
      <c r="W94" s="456"/>
      <c r="X94" s="456"/>
    </row>
    <row r="95" spans="1:24" s="7" customFormat="1" outlineLevel="1">
      <c r="A95" s="456"/>
      <c r="B95" s="457" t="s">
        <v>380</v>
      </c>
      <c r="C95" s="458"/>
      <c r="D95" s="459">
        <v>14093</v>
      </c>
      <c r="E95" s="459" t="s">
        <v>793</v>
      </c>
      <c r="F95" s="460"/>
      <c r="G95" s="460"/>
      <c r="H95" s="456"/>
      <c r="I95" s="456"/>
      <c r="J95" s="461">
        <v>99307.78</v>
      </c>
      <c r="K95" s="456"/>
      <c r="L95" s="461">
        <v>0</v>
      </c>
      <c r="M95" s="456"/>
      <c r="N95" s="462">
        <v>0</v>
      </c>
      <c r="O95" s="456"/>
      <c r="P95" s="461">
        <f t="shared" si="12"/>
        <v>99307.78</v>
      </c>
      <c r="Q95" s="456"/>
      <c r="R95" s="461">
        <v>99307.78</v>
      </c>
      <c r="S95" s="461">
        <v>99307.78</v>
      </c>
      <c r="T95" s="461">
        <f t="shared" si="13"/>
        <v>99307.78</v>
      </c>
      <c r="U95" s="456"/>
      <c r="V95" s="462">
        <f t="shared" si="14"/>
        <v>0</v>
      </c>
      <c r="W95" s="456"/>
      <c r="X95" s="456"/>
    </row>
    <row r="96" spans="1:24" s="7" customFormat="1" outlineLevel="1">
      <c r="A96" s="456"/>
      <c r="B96" s="457" t="s">
        <v>380</v>
      </c>
      <c r="C96" s="458"/>
      <c r="D96" s="459">
        <v>14096</v>
      </c>
      <c r="E96" s="459" t="s">
        <v>794</v>
      </c>
      <c r="F96" s="460"/>
      <c r="G96" s="460"/>
      <c r="H96" s="456"/>
      <c r="I96" s="456"/>
      <c r="J96" s="461">
        <v>-58757.120000000003</v>
      </c>
      <c r="K96" s="456"/>
      <c r="L96" s="461">
        <v>0</v>
      </c>
      <c r="M96" s="456"/>
      <c r="N96" s="462">
        <v>0</v>
      </c>
      <c r="O96" s="456"/>
      <c r="P96" s="461">
        <f t="shared" si="12"/>
        <v>-58757.120000000003</v>
      </c>
      <c r="Q96" s="456"/>
      <c r="R96" s="461">
        <v>-57101.99</v>
      </c>
      <c r="S96" s="461">
        <v>-57929.55</v>
      </c>
      <c r="T96" s="461">
        <f t="shared" si="13"/>
        <v>-58757.120000000003</v>
      </c>
      <c r="U96" s="456"/>
      <c r="V96" s="462">
        <f t="shared" si="14"/>
        <v>-827.56999999999971</v>
      </c>
      <c r="W96" s="456"/>
      <c r="X96" s="456"/>
    </row>
    <row r="97" spans="1:25" s="7" customFormat="1" outlineLevel="1">
      <c r="A97" s="456"/>
      <c r="B97" s="457" t="s">
        <v>380</v>
      </c>
      <c r="C97" s="458"/>
      <c r="D97" s="459">
        <v>14097</v>
      </c>
      <c r="E97" s="459" t="s">
        <v>795</v>
      </c>
      <c r="F97" s="460"/>
      <c r="G97" s="460"/>
      <c r="H97" s="456"/>
      <c r="I97" s="456"/>
      <c r="J97" s="461">
        <v>-827.57</v>
      </c>
      <c r="K97" s="456"/>
      <c r="L97" s="461">
        <v>0</v>
      </c>
      <c r="M97" s="456"/>
      <c r="N97" s="462">
        <v>0</v>
      </c>
      <c r="O97" s="456"/>
      <c r="P97" s="461">
        <f t="shared" si="12"/>
        <v>-827.57</v>
      </c>
      <c r="Q97" s="456"/>
      <c r="R97" s="461">
        <v>-827.57</v>
      </c>
      <c r="S97" s="461">
        <v>-827.57</v>
      </c>
      <c r="T97" s="461">
        <f t="shared" si="13"/>
        <v>-827.57</v>
      </c>
      <c r="U97" s="456"/>
      <c r="V97" s="462">
        <f t="shared" si="14"/>
        <v>0</v>
      </c>
      <c r="W97" s="456"/>
      <c r="X97" s="456"/>
    </row>
    <row r="98" spans="1:25" s="7" customFormat="1" outlineLevel="1">
      <c r="A98" s="456"/>
      <c r="B98" s="457" t="s">
        <v>380</v>
      </c>
      <c r="C98" s="458"/>
      <c r="D98" s="459">
        <v>14101</v>
      </c>
      <c r="E98" s="459" t="s">
        <v>796</v>
      </c>
      <c r="F98" s="460"/>
      <c r="G98" s="460"/>
      <c r="H98" s="456"/>
      <c r="I98" s="456"/>
      <c r="J98" s="461">
        <v>297259.74</v>
      </c>
      <c r="K98" s="456"/>
      <c r="L98" s="461">
        <v>0</v>
      </c>
      <c r="M98" s="456"/>
      <c r="N98" s="462">
        <v>0</v>
      </c>
      <c r="O98" s="456"/>
      <c r="P98" s="461">
        <f t="shared" si="12"/>
        <v>297259.74</v>
      </c>
      <c r="Q98" s="456"/>
      <c r="R98" s="461">
        <v>297259.74</v>
      </c>
      <c r="S98" s="461">
        <v>297259.74</v>
      </c>
      <c r="T98" s="461">
        <f t="shared" si="13"/>
        <v>297259.74</v>
      </c>
      <c r="U98" s="456"/>
      <c r="V98" s="462">
        <f t="shared" si="14"/>
        <v>0</v>
      </c>
      <c r="W98" s="456"/>
      <c r="X98" s="456"/>
    </row>
    <row r="99" spans="1:25" s="7" customFormat="1" outlineLevel="1">
      <c r="A99" s="456"/>
      <c r="B99" s="457" t="s">
        <v>380</v>
      </c>
      <c r="C99" s="458"/>
      <c r="D99" s="459">
        <v>14106</v>
      </c>
      <c r="E99" s="459" t="s">
        <v>797</v>
      </c>
      <c r="F99" s="460"/>
      <c r="G99" s="460"/>
      <c r="H99" s="456"/>
      <c r="I99" s="456"/>
      <c r="J99" s="461">
        <v>-271398.71000000002</v>
      </c>
      <c r="K99" s="456"/>
      <c r="L99" s="461">
        <v>0</v>
      </c>
      <c r="M99" s="456"/>
      <c r="N99" s="462">
        <v>0</v>
      </c>
      <c r="O99" s="456"/>
      <c r="P99" s="461">
        <f t="shared" si="12"/>
        <v>-271398.71000000002</v>
      </c>
      <c r="Q99" s="456"/>
      <c r="R99" s="461">
        <v>-268143.7</v>
      </c>
      <c r="S99" s="461">
        <v>-269771.2</v>
      </c>
      <c r="T99" s="461">
        <f t="shared" si="13"/>
        <v>-271398.71000000002</v>
      </c>
      <c r="U99" s="456"/>
      <c r="V99" s="462">
        <f t="shared" si="14"/>
        <v>-1627.5100000000093</v>
      </c>
      <c r="W99" s="456"/>
      <c r="X99" s="456"/>
    </row>
    <row r="100" spans="1:25" s="7" customFormat="1" outlineLevel="1">
      <c r="A100" s="456"/>
      <c r="B100" s="457" t="s">
        <v>380</v>
      </c>
      <c r="C100" s="458"/>
      <c r="D100" s="459">
        <v>14111</v>
      </c>
      <c r="E100" s="459" t="s">
        <v>798</v>
      </c>
      <c r="F100" s="460"/>
      <c r="G100" s="460"/>
      <c r="H100" s="456"/>
      <c r="I100" s="456"/>
      <c r="J100" s="461">
        <v>871570.43</v>
      </c>
      <c r="K100" s="456"/>
      <c r="L100" s="461">
        <v>0</v>
      </c>
      <c r="M100" s="456"/>
      <c r="N100" s="462">
        <v>0</v>
      </c>
      <c r="O100" s="456"/>
      <c r="P100" s="461">
        <f t="shared" si="12"/>
        <v>871570.43</v>
      </c>
      <c r="Q100" s="456"/>
      <c r="R100" s="461">
        <v>871570.43</v>
      </c>
      <c r="S100" s="461">
        <v>871570.43</v>
      </c>
      <c r="T100" s="461">
        <f t="shared" si="13"/>
        <v>871570.43</v>
      </c>
      <c r="U100" s="456"/>
      <c r="V100" s="462">
        <f t="shared" si="14"/>
        <v>0</v>
      </c>
      <c r="W100" s="456"/>
      <c r="X100" s="456"/>
    </row>
    <row r="101" spans="1:25" s="7" customFormat="1" outlineLevel="1">
      <c r="A101" s="456"/>
      <c r="B101" s="457" t="s">
        <v>380</v>
      </c>
      <c r="C101" s="458"/>
      <c r="D101" s="459">
        <v>14113</v>
      </c>
      <c r="E101" s="459" t="s">
        <v>799</v>
      </c>
      <c r="F101" s="460"/>
      <c r="G101" s="460"/>
      <c r="H101" s="456"/>
      <c r="I101" s="456"/>
      <c r="J101" s="461">
        <v>12121.16</v>
      </c>
      <c r="K101" s="456"/>
      <c r="L101" s="461">
        <v>0</v>
      </c>
      <c r="M101" s="456"/>
      <c r="N101" s="462">
        <v>0</v>
      </c>
      <c r="O101" s="456"/>
      <c r="P101" s="461">
        <f t="shared" si="12"/>
        <v>12121.16</v>
      </c>
      <c r="Q101" s="456"/>
      <c r="R101" s="461">
        <v>12121.16</v>
      </c>
      <c r="S101" s="461">
        <v>12121.16</v>
      </c>
      <c r="T101" s="461">
        <f t="shared" si="13"/>
        <v>12121.16</v>
      </c>
      <c r="U101" s="456"/>
      <c r="V101" s="462">
        <f t="shared" si="14"/>
        <v>0</v>
      </c>
      <c r="W101" s="456"/>
      <c r="X101" s="456"/>
    </row>
    <row r="102" spans="1:25" s="7" customFormat="1" outlineLevel="1">
      <c r="A102" s="456"/>
      <c r="B102" s="457" t="s">
        <v>380</v>
      </c>
      <c r="C102" s="458"/>
      <c r="D102" s="459">
        <v>14116</v>
      </c>
      <c r="E102" s="459" t="s">
        <v>800</v>
      </c>
      <c r="F102" s="460"/>
      <c r="G102" s="460"/>
      <c r="H102" s="456"/>
      <c r="I102" s="456"/>
      <c r="J102" s="461">
        <v>-874210.69</v>
      </c>
      <c r="K102" s="456"/>
      <c r="L102" s="461">
        <v>0</v>
      </c>
      <c r="M102" s="456"/>
      <c r="N102" s="462">
        <v>0</v>
      </c>
      <c r="O102" s="456"/>
      <c r="P102" s="461">
        <f t="shared" si="12"/>
        <v>-874210.69</v>
      </c>
      <c r="Q102" s="456"/>
      <c r="R102" s="461">
        <v>-873590.64</v>
      </c>
      <c r="S102" s="461">
        <v>-873917.08</v>
      </c>
      <c r="T102" s="461">
        <f t="shared" si="13"/>
        <v>-874210.69</v>
      </c>
      <c r="U102" s="456"/>
      <c r="V102" s="462">
        <f t="shared" si="14"/>
        <v>-293.60999999998603</v>
      </c>
      <c r="W102" s="456"/>
      <c r="X102" s="456"/>
    </row>
    <row r="103" spans="1:25" s="7" customFormat="1" outlineLevel="1">
      <c r="A103" s="456"/>
      <c r="B103" s="457" t="s">
        <v>380</v>
      </c>
      <c r="C103" s="458"/>
      <c r="D103" s="459">
        <v>14117</v>
      </c>
      <c r="E103" s="459" t="s">
        <v>801</v>
      </c>
      <c r="F103" s="460"/>
      <c r="G103" s="460"/>
      <c r="H103" s="456"/>
      <c r="I103" s="456"/>
      <c r="J103" s="461">
        <v>-2667.32</v>
      </c>
      <c r="K103" s="456"/>
      <c r="L103" s="461">
        <v>0</v>
      </c>
      <c r="M103" s="456"/>
      <c r="N103" s="462">
        <v>0</v>
      </c>
      <c r="O103" s="456"/>
      <c r="P103" s="461">
        <f t="shared" si="12"/>
        <v>-2667.32</v>
      </c>
      <c r="Q103" s="456"/>
      <c r="R103" s="461">
        <v>-2667.32</v>
      </c>
      <c r="S103" s="461">
        <v>-2667.32</v>
      </c>
      <c r="T103" s="461">
        <f t="shared" si="13"/>
        <v>-2667.32</v>
      </c>
      <c r="U103" s="456"/>
      <c r="V103" s="462">
        <f t="shared" si="14"/>
        <v>0</v>
      </c>
      <c r="W103" s="456"/>
      <c r="X103" s="456"/>
    </row>
    <row r="104" spans="1:25" s="7" customFormat="1" outlineLevel="1">
      <c r="A104" s="456"/>
      <c r="B104" s="457" t="s">
        <v>380</v>
      </c>
      <c r="C104" s="458"/>
      <c r="D104" s="459">
        <v>14121</v>
      </c>
      <c r="E104" s="459" t="s">
        <v>802</v>
      </c>
      <c r="F104" s="460"/>
      <c r="G104" s="460"/>
      <c r="H104" s="456"/>
      <c r="I104" s="456"/>
      <c r="J104" s="461">
        <v>0</v>
      </c>
      <c r="K104" s="456"/>
      <c r="L104" s="461">
        <v>0</v>
      </c>
      <c r="M104" s="456"/>
      <c r="N104" s="462">
        <v>0</v>
      </c>
      <c r="O104" s="456"/>
      <c r="P104" s="461">
        <f t="shared" si="12"/>
        <v>0</v>
      </c>
      <c r="Q104" s="456"/>
      <c r="R104" s="461">
        <v>961968.88</v>
      </c>
      <c r="S104" s="461">
        <v>0</v>
      </c>
      <c r="T104" s="461">
        <f t="shared" si="13"/>
        <v>0</v>
      </c>
      <c r="U104" s="456"/>
      <c r="V104" s="462">
        <f t="shared" si="14"/>
        <v>0</v>
      </c>
      <c r="W104" s="456"/>
      <c r="X104" s="456"/>
    </row>
    <row r="105" spans="1:25" s="7" customFormat="1" outlineLevel="1">
      <c r="A105" s="456"/>
      <c r="B105" s="457" t="s">
        <v>380</v>
      </c>
      <c r="C105" s="458"/>
      <c r="D105" s="459">
        <v>14201</v>
      </c>
      <c r="E105" s="459" t="s">
        <v>803</v>
      </c>
      <c r="F105" s="460"/>
      <c r="G105" s="460"/>
      <c r="H105" s="456"/>
      <c r="I105" s="456"/>
      <c r="J105" s="461">
        <v>966817.31</v>
      </c>
      <c r="K105" s="456"/>
      <c r="L105" s="461">
        <v>0</v>
      </c>
      <c r="M105" s="456"/>
      <c r="N105" s="462">
        <v>0</v>
      </c>
      <c r="O105" s="456"/>
      <c r="P105" s="461">
        <f t="shared" si="12"/>
        <v>966817.31</v>
      </c>
      <c r="Q105" s="456"/>
      <c r="R105" s="461">
        <v>1348675.09</v>
      </c>
      <c r="S105" s="461">
        <v>1530800.77</v>
      </c>
      <c r="T105" s="461">
        <f t="shared" si="13"/>
        <v>966817.31</v>
      </c>
      <c r="U105" s="456"/>
      <c r="V105" s="462">
        <f t="shared" si="14"/>
        <v>-563983.46</v>
      </c>
      <c r="W105" s="456"/>
      <c r="X105" s="456"/>
    </row>
    <row r="106" spans="1:25" s="7" customFormat="1" ht="4.5" customHeight="1" outlineLevel="1">
      <c r="A106" s="483" t="s">
        <v>187</v>
      </c>
      <c r="B106" s="483" t="s">
        <v>187</v>
      </c>
      <c r="C106" s="483"/>
      <c r="D106" s="494"/>
      <c r="E106" s="456"/>
      <c r="F106" s="456"/>
      <c r="G106" s="456"/>
      <c r="H106" s="456"/>
      <c r="I106" s="456"/>
      <c r="J106" s="487"/>
      <c r="K106" s="456"/>
      <c r="L106" s="487"/>
      <c r="M106" s="456"/>
      <c r="N106" s="488"/>
      <c r="O106" s="456"/>
      <c r="P106" s="487"/>
      <c r="Q106" s="456"/>
      <c r="R106" s="487"/>
      <c r="S106" s="487"/>
      <c r="T106" s="487"/>
      <c r="U106" s="456"/>
      <c r="V106" s="488"/>
      <c r="W106" s="456"/>
      <c r="X106" s="456"/>
      <c r="Y106" s="456"/>
    </row>
    <row r="107" spans="1:25" s="7" customFormat="1">
      <c r="A107" s="458" t="s">
        <v>763</v>
      </c>
      <c r="B107" s="483" t="s">
        <v>187</v>
      </c>
      <c r="C107" s="483"/>
      <c r="D107" s="456"/>
      <c r="E107" s="456"/>
      <c r="F107" s="456" t="s">
        <v>804</v>
      </c>
      <c r="G107" s="456"/>
      <c r="H107" s="456"/>
      <c r="I107" s="456"/>
      <c r="J107" s="485">
        <f>SUM(J61:J106)</f>
        <v>33911721.410000004</v>
      </c>
      <c r="K107" s="456"/>
      <c r="L107" s="485">
        <f>SUM(L61:L106)</f>
        <v>0</v>
      </c>
      <c r="M107" s="456"/>
      <c r="N107" s="486">
        <f>SUM(N61:N106)</f>
        <v>0</v>
      </c>
      <c r="O107" s="456"/>
      <c r="P107" s="485">
        <f>J107+L107+N107</f>
        <v>33911721.410000004</v>
      </c>
      <c r="Q107" s="456"/>
      <c r="R107" s="485">
        <f>SUM(R61:R106)</f>
        <v>34642936.18</v>
      </c>
      <c r="S107" s="485">
        <f>SUM(S61:S106)</f>
        <v>34603611.770000011</v>
      </c>
      <c r="T107" s="485">
        <f>SUM(T61:T106)</f>
        <v>33911721.410000004</v>
      </c>
      <c r="U107" s="456"/>
      <c r="V107" s="486">
        <f>SUM(V61:V106)</f>
        <v>-691890.35999999929</v>
      </c>
      <c r="W107" s="456"/>
      <c r="X107" s="456"/>
      <c r="Y107" s="456"/>
    </row>
    <row r="108" spans="1:25" s="7" customFormat="1" outlineLevel="1">
      <c r="A108" s="456"/>
      <c r="B108" s="457" t="s">
        <v>805</v>
      </c>
      <c r="C108" s="458"/>
      <c r="D108" s="459"/>
      <c r="E108" s="459"/>
      <c r="F108" s="460"/>
      <c r="G108" s="460"/>
      <c r="H108" s="456"/>
      <c r="I108" s="456"/>
      <c r="J108" s="461"/>
      <c r="K108" s="456"/>
      <c r="L108" s="461"/>
      <c r="M108" s="456"/>
      <c r="N108" s="462"/>
      <c r="O108" s="456"/>
      <c r="P108" s="461">
        <f>J108+L108+N108</f>
        <v>0</v>
      </c>
      <c r="Q108" s="456"/>
      <c r="R108" s="461"/>
      <c r="S108" s="461"/>
      <c r="T108" s="461">
        <f>P108</f>
        <v>0</v>
      </c>
      <c r="U108" s="456"/>
      <c r="V108" s="462">
        <f>T108-S108</f>
        <v>0</v>
      </c>
      <c r="W108" s="456"/>
      <c r="X108" s="456"/>
    </row>
    <row r="109" spans="1:25" s="7" customFormat="1" ht="5.0999999999999996" customHeight="1" outlineLevel="1">
      <c r="A109" s="483" t="s">
        <v>187</v>
      </c>
      <c r="B109" s="483" t="s">
        <v>187</v>
      </c>
      <c r="C109" s="483"/>
      <c r="D109" s="460"/>
      <c r="E109" s="460"/>
      <c r="F109" s="460"/>
      <c r="G109" s="460"/>
      <c r="H109" s="456"/>
      <c r="I109" s="456"/>
      <c r="J109" s="487"/>
      <c r="K109" s="456"/>
      <c r="L109" s="487"/>
      <c r="M109" s="456"/>
      <c r="N109" s="488"/>
      <c r="O109" s="456"/>
      <c r="P109" s="487"/>
      <c r="Q109" s="456"/>
      <c r="R109" s="487"/>
      <c r="S109" s="487"/>
      <c r="T109" s="487"/>
      <c r="U109" s="456"/>
      <c r="V109" s="488"/>
      <c r="W109" s="456"/>
      <c r="X109" s="456"/>
      <c r="Y109" s="456"/>
    </row>
    <row r="110" spans="1:25" s="7" customFormat="1">
      <c r="A110" s="458" t="s">
        <v>805</v>
      </c>
      <c r="B110" s="483" t="s">
        <v>187</v>
      </c>
      <c r="C110" s="483"/>
      <c r="D110" s="456"/>
      <c r="E110" s="456"/>
      <c r="F110" s="459" t="s">
        <v>806</v>
      </c>
      <c r="G110" s="456"/>
      <c r="H110" s="456"/>
      <c r="I110" s="456"/>
      <c r="J110" s="485">
        <f>SUM(J108:J109)</f>
        <v>0</v>
      </c>
      <c r="K110" s="456"/>
      <c r="L110" s="485">
        <f>SUM(L108:L109)</f>
        <v>0</v>
      </c>
      <c r="M110" s="456"/>
      <c r="N110" s="486">
        <f>SUM(N108:N109)</f>
        <v>0</v>
      </c>
      <c r="O110" s="456"/>
      <c r="P110" s="485">
        <f>J110+L110+N110</f>
        <v>0</v>
      </c>
      <c r="Q110" s="456"/>
      <c r="R110" s="485">
        <f>SUM(R108:R109)</f>
        <v>0</v>
      </c>
      <c r="S110" s="485">
        <f>SUM(S108:S109)</f>
        <v>0</v>
      </c>
      <c r="T110" s="485">
        <f>SUM(T108:T109)</f>
        <v>0</v>
      </c>
      <c r="U110" s="456"/>
      <c r="V110" s="486">
        <f>SUM(V108:V109)</f>
        <v>0</v>
      </c>
      <c r="W110" s="456"/>
      <c r="X110" s="456"/>
      <c r="Y110" s="456"/>
    </row>
    <row r="111" spans="1:25" s="7" customFormat="1" outlineLevel="1">
      <c r="A111" s="456"/>
      <c r="B111" s="457" t="s">
        <v>807</v>
      </c>
      <c r="C111" s="458"/>
      <c r="D111" s="459">
        <v>14301</v>
      </c>
      <c r="E111" s="459" t="s">
        <v>808</v>
      </c>
      <c r="F111" s="460"/>
      <c r="G111" s="460"/>
      <c r="H111" s="456"/>
      <c r="I111" s="456"/>
      <c r="J111" s="461">
        <v>15563.64</v>
      </c>
      <c r="K111" s="456"/>
      <c r="L111" s="461">
        <v>0</v>
      </c>
      <c r="M111" s="456"/>
      <c r="N111" s="462">
        <v>0</v>
      </c>
      <c r="O111" s="456"/>
      <c r="P111" s="461">
        <f>J111+L111+N111</f>
        <v>15563.64</v>
      </c>
      <c r="Q111" s="456"/>
      <c r="R111" s="461">
        <v>15563.64</v>
      </c>
      <c r="S111" s="461">
        <v>15563.64</v>
      </c>
      <c r="T111" s="461">
        <f t="shared" ref="T111:T112" si="15">P111</f>
        <v>15563.64</v>
      </c>
      <c r="U111" s="456"/>
      <c r="V111" s="462">
        <f t="shared" ref="V111:V112" si="16">T111-S111</f>
        <v>0</v>
      </c>
      <c r="W111" s="456"/>
      <c r="X111" s="456"/>
    </row>
    <row r="112" spans="1:25" s="7" customFormat="1" outlineLevel="1">
      <c r="A112" s="456"/>
      <c r="B112" s="457" t="s">
        <v>380</v>
      </c>
      <c r="C112" s="458"/>
      <c r="D112" s="459">
        <v>14305</v>
      </c>
      <c r="E112" s="459" t="s">
        <v>809</v>
      </c>
      <c r="F112" s="460"/>
      <c r="G112" s="460"/>
      <c r="H112" s="456"/>
      <c r="I112" s="456"/>
      <c r="J112" s="461">
        <v>-2631.27</v>
      </c>
      <c r="K112" s="456"/>
      <c r="L112" s="461">
        <v>0</v>
      </c>
      <c r="M112" s="456"/>
      <c r="N112" s="462">
        <v>0</v>
      </c>
      <c r="O112" s="456"/>
      <c r="P112" s="461">
        <f>J112+L112+N112</f>
        <v>-2631.27</v>
      </c>
      <c r="Q112" s="456"/>
      <c r="R112" s="461">
        <v>-2145.84</v>
      </c>
      <c r="S112" s="461">
        <v>-2388.16</v>
      </c>
      <c r="T112" s="461">
        <f t="shared" si="15"/>
        <v>-2631.27</v>
      </c>
      <c r="U112" s="456"/>
      <c r="V112" s="462">
        <f t="shared" si="16"/>
        <v>-243.11000000000013</v>
      </c>
      <c r="W112" s="456"/>
      <c r="X112" s="456"/>
    </row>
    <row r="113" spans="1:25" s="7" customFormat="1" ht="4.5" customHeight="1" outlineLevel="1">
      <c r="A113" s="483" t="s">
        <v>187</v>
      </c>
      <c r="B113" s="456" t="s">
        <v>187</v>
      </c>
      <c r="C113" s="495"/>
      <c r="D113" s="494"/>
      <c r="E113" s="456"/>
      <c r="F113" s="456"/>
      <c r="G113" s="456"/>
      <c r="H113" s="456"/>
      <c r="I113" s="456"/>
      <c r="J113" s="487"/>
      <c r="K113" s="456"/>
      <c r="L113" s="487"/>
      <c r="M113" s="456"/>
      <c r="N113" s="488"/>
      <c r="O113" s="456"/>
      <c r="P113" s="487"/>
      <c r="Q113" s="456"/>
      <c r="R113" s="487"/>
      <c r="S113" s="487"/>
      <c r="T113" s="487"/>
      <c r="U113" s="456"/>
      <c r="V113" s="488"/>
      <c r="W113" s="456"/>
      <c r="X113" s="456"/>
      <c r="Y113" s="456"/>
    </row>
    <row r="114" spans="1:25" s="7" customFormat="1">
      <c r="A114" s="458" t="s">
        <v>807</v>
      </c>
      <c r="B114" s="483" t="s">
        <v>187</v>
      </c>
      <c r="C114" s="483"/>
      <c r="D114" s="456"/>
      <c r="E114" s="456"/>
      <c r="F114" s="456" t="s">
        <v>810</v>
      </c>
      <c r="G114" s="456"/>
      <c r="H114" s="456"/>
      <c r="I114" s="456"/>
      <c r="J114" s="485">
        <f>SUM(J111:J113)</f>
        <v>12932.369999999999</v>
      </c>
      <c r="K114" s="456"/>
      <c r="L114" s="485">
        <f>SUM(L111:L113)</f>
        <v>0</v>
      </c>
      <c r="M114" s="456"/>
      <c r="N114" s="486">
        <f>SUM(N111:N113)</f>
        <v>0</v>
      </c>
      <c r="O114" s="456"/>
      <c r="P114" s="485">
        <f>J114+L114+N114</f>
        <v>12932.369999999999</v>
      </c>
      <c r="Q114" s="456"/>
      <c r="R114" s="485">
        <f>SUM(R111:R113)</f>
        <v>13417.8</v>
      </c>
      <c r="S114" s="485">
        <f>SUM(S111:S113)</f>
        <v>13175.48</v>
      </c>
      <c r="T114" s="485">
        <f>SUM(T111:T113)</f>
        <v>12932.369999999999</v>
      </c>
      <c r="U114" s="456"/>
      <c r="V114" s="486">
        <f>SUM(V111:V113)</f>
        <v>-243.11000000000013</v>
      </c>
      <c r="W114" s="456"/>
      <c r="X114" s="456"/>
      <c r="Y114" s="456"/>
    </row>
    <row r="115" spans="1:25" s="7" customFormat="1" outlineLevel="1">
      <c r="A115" s="456"/>
      <c r="B115" s="457" t="s">
        <v>811</v>
      </c>
      <c r="C115" s="458"/>
      <c r="D115" s="459">
        <v>15111</v>
      </c>
      <c r="E115" s="459" t="s">
        <v>812</v>
      </c>
      <c r="F115" s="460"/>
      <c r="G115" s="460"/>
      <c r="H115" s="456"/>
      <c r="I115" s="456"/>
      <c r="J115" s="461">
        <v>4740844.1100000003</v>
      </c>
      <c r="K115" s="456"/>
      <c r="L115" s="461">
        <v>0</v>
      </c>
      <c r="M115" s="456"/>
      <c r="N115" s="462">
        <v>0</v>
      </c>
      <c r="O115" s="456"/>
      <c r="P115" s="461">
        <f>J115+L115+N115</f>
        <v>4740844.1100000003</v>
      </c>
      <c r="Q115" s="456"/>
      <c r="R115" s="461">
        <v>4740844.1100000003</v>
      </c>
      <c r="S115" s="461">
        <v>4740844.1100000003</v>
      </c>
      <c r="T115" s="461">
        <f t="shared" ref="T115:T116" si="17">P115</f>
        <v>4740844.1100000003</v>
      </c>
      <c r="U115" s="456"/>
      <c r="V115" s="462">
        <f t="shared" ref="V115:V116" si="18">T115-S115</f>
        <v>0</v>
      </c>
      <c r="W115" s="456"/>
      <c r="X115" s="456"/>
    </row>
    <row r="116" spans="1:25" s="7" customFormat="1" outlineLevel="1">
      <c r="A116" s="456"/>
      <c r="B116" s="457" t="s">
        <v>380</v>
      </c>
      <c r="C116" s="458"/>
      <c r="D116" s="459">
        <v>15112</v>
      </c>
      <c r="E116" s="459" t="s">
        <v>813</v>
      </c>
      <c r="F116" s="460"/>
      <c r="G116" s="460"/>
      <c r="H116" s="456"/>
      <c r="I116" s="456"/>
      <c r="J116" s="461">
        <v>1374455.2</v>
      </c>
      <c r="K116" s="456"/>
      <c r="L116" s="461">
        <v>0</v>
      </c>
      <c r="M116" s="456"/>
      <c r="N116" s="462">
        <v>0</v>
      </c>
      <c r="O116" s="456"/>
      <c r="P116" s="461">
        <f>J116+L116+N116</f>
        <v>1374455.2</v>
      </c>
      <c r="Q116" s="456"/>
      <c r="R116" s="461">
        <v>1374455.2</v>
      </c>
      <c r="S116" s="461">
        <v>1374455.2</v>
      </c>
      <c r="T116" s="461">
        <f t="shared" si="17"/>
        <v>1374455.2</v>
      </c>
      <c r="U116" s="456"/>
      <c r="V116" s="462">
        <f t="shared" si="18"/>
        <v>0</v>
      </c>
      <c r="W116" s="456"/>
      <c r="X116" s="456"/>
    </row>
    <row r="117" spans="1:25" s="7" customFormat="1" ht="4.5" customHeight="1" outlineLevel="1">
      <c r="A117" s="483" t="s">
        <v>187</v>
      </c>
      <c r="B117" s="456" t="s">
        <v>187</v>
      </c>
      <c r="C117" s="495"/>
      <c r="D117" s="494"/>
      <c r="E117" s="456"/>
      <c r="F117" s="456"/>
      <c r="G117" s="456"/>
      <c r="H117" s="456"/>
      <c r="I117" s="456"/>
      <c r="J117" s="487"/>
      <c r="K117" s="456"/>
      <c r="L117" s="487"/>
      <c r="M117" s="456"/>
      <c r="N117" s="488"/>
      <c r="O117" s="456"/>
      <c r="P117" s="487"/>
      <c r="Q117" s="456"/>
      <c r="R117" s="487"/>
      <c r="S117" s="487"/>
      <c r="T117" s="487"/>
      <c r="U117" s="456"/>
      <c r="V117" s="488"/>
      <c r="W117" s="456"/>
      <c r="X117" s="456"/>
      <c r="Y117" s="456"/>
    </row>
    <row r="118" spans="1:25" s="7" customFormat="1">
      <c r="A118" s="458" t="s">
        <v>811</v>
      </c>
      <c r="B118" s="483" t="s">
        <v>187</v>
      </c>
      <c r="C118" s="483"/>
      <c r="D118" s="456"/>
      <c r="E118" s="456"/>
      <c r="F118" s="456" t="s">
        <v>814</v>
      </c>
      <c r="G118" s="456"/>
      <c r="H118" s="456"/>
      <c r="I118" s="456"/>
      <c r="J118" s="485">
        <f>SUM(J115:J117)</f>
        <v>6115299.3100000005</v>
      </c>
      <c r="K118" s="456"/>
      <c r="L118" s="485">
        <f>SUM(L115:L117)</f>
        <v>0</v>
      </c>
      <c r="M118" s="456"/>
      <c r="N118" s="486">
        <f>SUM(N115:N117)</f>
        <v>0</v>
      </c>
      <c r="O118" s="456"/>
      <c r="P118" s="485">
        <f t="shared" ref="P118" si="19">J118+L118+N118</f>
        <v>6115299.3100000005</v>
      </c>
      <c r="Q118" s="456"/>
      <c r="R118" s="485">
        <f>SUM(R115:R117)</f>
        <v>6115299.3100000005</v>
      </c>
      <c r="S118" s="485">
        <f>SUM(S115:S117)</f>
        <v>6115299.3100000005</v>
      </c>
      <c r="T118" s="485">
        <f>SUM(T115:T117)</f>
        <v>6115299.3100000005</v>
      </c>
      <c r="U118" s="456"/>
      <c r="V118" s="486">
        <f>SUM(V115:V117)</f>
        <v>0</v>
      </c>
      <c r="W118" s="456"/>
      <c r="X118" s="456"/>
      <c r="Y118" s="456"/>
    </row>
    <row r="119" spans="1:25" s="7" customFormat="1" outlineLevel="1">
      <c r="A119" s="456"/>
      <c r="B119" s="457" t="s">
        <v>815</v>
      </c>
      <c r="C119" s="458"/>
      <c r="D119" s="459">
        <v>15251</v>
      </c>
      <c r="E119" s="459" t="s">
        <v>816</v>
      </c>
      <c r="F119" s="460"/>
      <c r="G119" s="460"/>
      <c r="H119" s="456"/>
      <c r="I119" s="456"/>
      <c r="J119" s="461">
        <v>0.01</v>
      </c>
      <c r="K119" s="456"/>
      <c r="L119" s="461">
        <v>0</v>
      </c>
      <c r="M119" s="456"/>
      <c r="N119" s="462">
        <v>0</v>
      </c>
      <c r="O119" s="456"/>
      <c r="P119" s="461">
        <f>J119+L119+N119</f>
        <v>0.01</v>
      </c>
      <c r="Q119" s="456"/>
      <c r="R119" s="461">
        <v>0.01</v>
      </c>
      <c r="S119" s="461">
        <v>0.01</v>
      </c>
      <c r="T119" s="461">
        <f t="shared" ref="T119:T123" si="20">P119</f>
        <v>0.01</v>
      </c>
      <c r="U119" s="456"/>
      <c r="V119" s="462">
        <f t="shared" ref="V119:V123" si="21">T119-S119</f>
        <v>0</v>
      </c>
      <c r="W119" s="456"/>
      <c r="X119" s="456"/>
    </row>
    <row r="120" spans="1:25" s="7" customFormat="1" outlineLevel="1">
      <c r="A120" s="456"/>
      <c r="B120" s="457" t="s">
        <v>380</v>
      </c>
      <c r="C120" s="458"/>
      <c r="D120" s="459">
        <v>15252</v>
      </c>
      <c r="E120" s="459" t="s">
        <v>817</v>
      </c>
      <c r="F120" s="460"/>
      <c r="G120" s="460"/>
      <c r="H120" s="456"/>
      <c r="I120" s="456"/>
      <c r="J120" s="461">
        <v>19803605.969999999</v>
      </c>
      <c r="K120" s="456"/>
      <c r="L120" s="461">
        <v>0</v>
      </c>
      <c r="M120" s="456"/>
      <c r="N120" s="462">
        <v>0</v>
      </c>
      <c r="O120" s="456"/>
      <c r="P120" s="461">
        <f>J120+L120+N120</f>
        <v>19803605.969999999</v>
      </c>
      <c r="Q120" s="456"/>
      <c r="R120" s="461">
        <v>19803605.969999999</v>
      </c>
      <c r="S120" s="461">
        <v>19803605.969999999</v>
      </c>
      <c r="T120" s="461">
        <f t="shared" si="20"/>
        <v>19803605.969999999</v>
      </c>
      <c r="U120" s="456"/>
      <c r="V120" s="462">
        <f t="shared" si="21"/>
        <v>0</v>
      </c>
      <c r="W120" s="456"/>
      <c r="X120" s="456"/>
    </row>
    <row r="121" spans="1:25" s="7" customFormat="1" outlineLevel="1">
      <c r="A121" s="456"/>
      <c r="B121" s="457" t="s">
        <v>380</v>
      </c>
      <c r="C121" s="458"/>
      <c r="D121" s="459">
        <v>15256</v>
      </c>
      <c r="E121" s="459" t="s">
        <v>818</v>
      </c>
      <c r="F121" s="460"/>
      <c r="G121" s="460"/>
      <c r="H121" s="456"/>
      <c r="I121" s="456"/>
      <c r="J121" s="461">
        <v>-4873651.7699999996</v>
      </c>
      <c r="K121" s="456"/>
      <c r="L121" s="461">
        <v>0</v>
      </c>
      <c r="M121" s="456"/>
      <c r="N121" s="462">
        <v>0</v>
      </c>
      <c r="O121" s="456"/>
      <c r="P121" s="461">
        <f>J121+L121+N121</f>
        <v>-4873651.7699999996</v>
      </c>
      <c r="Q121" s="456"/>
      <c r="R121" s="461">
        <v>-4771218.6900000004</v>
      </c>
      <c r="S121" s="461">
        <v>-4822435.24</v>
      </c>
      <c r="T121" s="461">
        <f t="shared" si="20"/>
        <v>-4873651.7699999996</v>
      </c>
      <c r="U121" s="456"/>
      <c r="V121" s="462">
        <f t="shared" si="21"/>
        <v>-51216.529999999329</v>
      </c>
      <c r="W121" s="456"/>
      <c r="X121" s="456"/>
    </row>
    <row r="122" spans="1:25" s="7" customFormat="1" outlineLevel="1">
      <c r="A122" s="456"/>
      <c r="B122" s="457" t="s">
        <v>380</v>
      </c>
      <c r="C122" s="458"/>
      <c r="D122" s="459">
        <v>15257</v>
      </c>
      <c r="E122" s="459" t="s">
        <v>819</v>
      </c>
      <c r="F122" s="460"/>
      <c r="G122" s="460"/>
      <c r="H122" s="456"/>
      <c r="I122" s="456"/>
      <c r="J122" s="461">
        <v>-2107567.66</v>
      </c>
      <c r="K122" s="456"/>
      <c r="L122" s="461">
        <v>0</v>
      </c>
      <c r="M122" s="456"/>
      <c r="N122" s="462">
        <v>0</v>
      </c>
      <c r="O122" s="456"/>
      <c r="P122" s="461">
        <f>J122+L122+N122</f>
        <v>-2107567.66</v>
      </c>
      <c r="Q122" s="456"/>
      <c r="R122" s="461">
        <v>-2107567.66</v>
      </c>
      <c r="S122" s="461">
        <v>-2107567.66</v>
      </c>
      <c r="T122" s="461">
        <f t="shared" si="20"/>
        <v>-2107567.66</v>
      </c>
      <c r="U122" s="456"/>
      <c r="V122" s="462">
        <f t="shared" si="21"/>
        <v>0</v>
      </c>
      <c r="W122" s="456"/>
      <c r="X122" s="456"/>
    </row>
    <row r="123" spans="1:25" s="7" customFormat="1" outlineLevel="1">
      <c r="A123" s="456"/>
      <c r="B123" s="457" t="s">
        <v>380</v>
      </c>
      <c r="C123" s="458"/>
      <c r="D123" s="459">
        <v>15261</v>
      </c>
      <c r="E123" s="459" t="s">
        <v>820</v>
      </c>
      <c r="F123" s="460"/>
      <c r="G123" s="460"/>
      <c r="H123" s="456"/>
      <c r="I123" s="456"/>
      <c r="J123" s="461">
        <v>23804343</v>
      </c>
      <c r="K123" s="456"/>
      <c r="L123" s="461">
        <v>0</v>
      </c>
      <c r="M123" s="456"/>
      <c r="N123" s="462">
        <v>0</v>
      </c>
      <c r="O123" s="456"/>
      <c r="P123" s="461">
        <f>J123+L123+N123</f>
        <v>23804343</v>
      </c>
      <c r="Q123" s="456"/>
      <c r="R123" s="461">
        <v>23804343</v>
      </c>
      <c r="S123" s="461">
        <v>23804343</v>
      </c>
      <c r="T123" s="461">
        <f t="shared" si="20"/>
        <v>23804343</v>
      </c>
      <c r="U123" s="456"/>
      <c r="V123" s="462">
        <f t="shared" si="21"/>
        <v>0</v>
      </c>
      <c r="W123" s="456"/>
      <c r="X123" s="456"/>
    </row>
    <row r="124" spans="1:25" s="7" customFormat="1" ht="5.0999999999999996" customHeight="1" outlineLevel="1">
      <c r="A124" s="483" t="s">
        <v>187</v>
      </c>
      <c r="B124" s="458" t="s">
        <v>187</v>
      </c>
      <c r="C124" s="458"/>
      <c r="D124" s="460"/>
      <c r="E124" s="460"/>
      <c r="F124" s="460"/>
      <c r="G124" s="460"/>
      <c r="H124" s="456"/>
      <c r="I124" s="456"/>
      <c r="J124" s="487"/>
      <c r="K124" s="456"/>
      <c r="L124" s="487"/>
      <c r="M124" s="456"/>
      <c r="N124" s="488"/>
      <c r="O124" s="456"/>
      <c r="P124" s="487"/>
      <c r="Q124" s="456"/>
      <c r="R124" s="487"/>
      <c r="S124" s="487"/>
      <c r="T124" s="487"/>
      <c r="U124" s="456"/>
      <c r="V124" s="488"/>
      <c r="W124" s="456"/>
      <c r="X124" s="456"/>
      <c r="Y124" s="456"/>
    </row>
    <row r="125" spans="1:25" s="7" customFormat="1">
      <c r="A125" s="458" t="s">
        <v>815</v>
      </c>
      <c r="B125" s="483" t="s">
        <v>187</v>
      </c>
      <c r="C125" s="483"/>
      <c r="D125" s="456"/>
      <c r="E125" s="456"/>
      <c r="F125" s="459" t="s">
        <v>821</v>
      </c>
      <c r="G125" s="496"/>
      <c r="H125" s="496"/>
      <c r="I125" s="496"/>
      <c r="J125" s="485">
        <f>SUM(J119:J124)</f>
        <v>36626729.549999997</v>
      </c>
      <c r="K125" s="456"/>
      <c r="L125" s="485">
        <f>SUM(L119:L124)</f>
        <v>0</v>
      </c>
      <c r="M125" s="456"/>
      <c r="N125" s="486">
        <f>SUM(N119:N124)</f>
        <v>0</v>
      </c>
      <c r="O125" s="456"/>
      <c r="P125" s="485">
        <f>J125+L125+N125</f>
        <v>36626729.549999997</v>
      </c>
      <c r="Q125" s="456"/>
      <c r="R125" s="485">
        <f>SUM(R119:R124)</f>
        <v>36729162.629999995</v>
      </c>
      <c r="S125" s="485">
        <f>SUM(S119:S124)</f>
        <v>36677946.079999998</v>
      </c>
      <c r="T125" s="485">
        <f>SUM(T119:T124)</f>
        <v>36626729.549999997</v>
      </c>
      <c r="U125" s="456"/>
      <c r="V125" s="486">
        <f>SUM(V119:V124)</f>
        <v>-51216.529999999329</v>
      </c>
      <c r="W125" s="456"/>
      <c r="X125" s="456"/>
      <c r="Y125" s="456"/>
    </row>
    <row r="126" spans="1:25" s="7" customFormat="1" outlineLevel="1">
      <c r="A126" s="456"/>
      <c r="B126" s="457" t="s">
        <v>822</v>
      </c>
      <c r="C126" s="458"/>
      <c r="D126" s="459">
        <v>16100</v>
      </c>
      <c r="E126" s="459" t="s">
        <v>823</v>
      </c>
      <c r="F126" s="460"/>
      <c r="G126" s="460"/>
      <c r="H126" s="456"/>
      <c r="I126" s="456"/>
      <c r="J126" s="461">
        <v>911.22</v>
      </c>
      <c r="K126" s="456"/>
      <c r="L126" s="461">
        <v>0</v>
      </c>
      <c r="M126" s="456"/>
      <c r="N126" s="462">
        <v>0</v>
      </c>
      <c r="O126" s="456"/>
      <c r="P126" s="461">
        <f>J126+L126+N126</f>
        <v>911.22</v>
      </c>
      <c r="Q126" s="456"/>
      <c r="R126" s="461">
        <v>911.22</v>
      </c>
      <c r="S126" s="461">
        <v>911.22</v>
      </c>
      <c r="T126" s="461">
        <f>P126</f>
        <v>911.22</v>
      </c>
      <c r="U126" s="456"/>
      <c r="V126" s="462">
        <f>T126-S126</f>
        <v>0</v>
      </c>
      <c r="W126" s="456"/>
      <c r="X126" s="456"/>
    </row>
    <row r="127" spans="1:25" s="7" customFormat="1" ht="5.0999999999999996" customHeight="1" outlineLevel="1">
      <c r="A127" s="483" t="s">
        <v>187</v>
      </c>
      <c r="B127" s="458" t="s">
        <v>187</v>
      </c>
      <c r="C127" s="458"/>
      <c r="D127" s="460"/>
      <c r="E127" s="460"/>
      <c r="F127" s="460"/>
      <c r="G127" s="460"/>
      <c r="H127" s="456"/>
      <c r="I127" s="456"/>
      <c r="J127" s="487"/>
      <c r="K127" s="456"/>
      <c r="L127" s="487"/>
      <c r="M127" s="456"/>
      <c r="N127" s="488"/>
      <c r="O127" s="456"/>
      <c r="P127" s="487"/>
      <c r="Q127" s="456"/>
      <c r="R127" s="487"/>
      <c r="S127" s="487"/>
      <c r="T127" s="487"/>
      <c r="U127" s="456"/>
      <c r="V127" s="488"/>
      <c r="W127" s="456"/>
      <c r="X127" s="456"/>
      <c r="Y127" s="456"/>
    </row>
    <row r="128" spans="1:25" s="7" customFormat="1">
      <c r="A128" s="458" t="s">
        <v>822</v>
      </c>
      <c r="B128" s="458" t="s">
        <v>187</v>
      </c>
      <c r="C128" s="458"/>
      <c r="D128" s="456"/>
      <c r="E128" s="456"/>
      <c r="F128" s="459" t="s">
        <v>823</v>
      </c>
      <c r="G128" s="496"/>
      <c r="H128" s="496"/>
      <c r="I128" s="496"/>
      <c r="J128" s="485">
        <f>SUM(J126:J127)</f>
        <v>911.22</v>
      </c>
      <c r="K128" s="456"/>
      <c r="L128" s="485">
        <f>SUM(L126:L127)</f>
        <v>0</v>
      </c>
      <c r="M128" s="456"/>
      <c r="N128" s="486">
        <f>SUM(N126:N127)</f>
        <v>0</v>
      </c>
      <c r="O128" s="456"/>
      <c r="P128" s="485">
        <f>J128+L128+N128</f>
        <v>911.22</v>
      </c>
      <c r="Q128" s="456"/>
      <c r="R128" s="485">
        <f>SUM(R126:R127)</f>
        <v>911.22</v>
      </c>
      <c r="S128" s="485">
        <f>SUM(S126:S127)</f>
        <v>911.22</v>
      </c>
      <c r="T128" s="485">
        <f>SUM(T126:T127)</f>
        <v>911.22</v>
      </c>
      <c r="U128" s="456"/>
      <c r="V128" s="486">
        <f>SUM(V126:V127)</f>
        <v>0</v>
      </c>
      <c r="W128" s="456"/>
      <c r="X128" s="456"/>
      <c r="Y128" s="456"/>
    </row>
    <row r="129" spans="1:25" s="7" customFormat="1" outlineLevel="1">
      <c r="A129" s="456"/>
      <c r="B129" s="457" t="s">
        <v>824</v>
      </c>
      <c r="C129" s="458"/>
      <c r="D129" s="459"/>
      <c r="E129" s="459"/>
      <c r="F129" s="460"/>
      <c r="G129" s="460"/>
      <c r="H129" s="456"/>
      <c r="I129" s="456"/>
      <c r="J129" s="461"/>
      <c r="K129" s="456"/>
      <c r="L129" s="461"/>
      <c r="M129" s="456"/>
      <c r="N129" s="462"/>
      <c r="O129" s="456"/>
      <c r="P129" s="461">
        <f>J129+L129+N129</f>
        <v>0</v>
      </c>
      <c r="Q129" s="456"/>
      <c r="R129" s="461"/>
      <c r="S129" s="461"/>
      <c r="T129" s="461">
        <f>P129</f>
        <v>0</v>
      </c>
      <c r="U129" s="456"/>
      <c r="V129" s="462">
        <f>T129-S129</f>
        <v>0</v>
      </c>
      <c r="W129" s="456"/>
      <c r="X129" s="456"/>
    </row>
    <row r="130" spans="1:25" s="7" customFormat="1" ht="4.5" customHeight="1" outlineLevel="1">
      <c r="A130" s="458" t="s">
        <v>187</v>
      </c>
      <c r="B130" s="456" t="s">
        <v>187</v>
      </c>
      <c r="C130" s="495"/>
      <c r="D130" s="494"/>
      <c r="E130" s="456"/>
      <c r="F130" s="456"/>
      <c r="G130" s="456"/>
      <c r="H130" s="456"/>
      <c r="I130" s="456"/>
      <c r="J130" s="487"/>
      <c r="K130" s="456"/>
      <c r="L130" s="487"/>
      <c r="M130" s="456"/>
      <c r="N130" s="488"/>
      <c r="O130" s="456"/>
      <c r="P130" s="487"/>
      <c r="Q130" s="456"/>
      <c r="R130" s="487"/>
      <c r="S130" s="487"/>
      <c r="T130" s="487"/>
      <c r="U130" s="456"/>
      <c r="V130" s="488"/>
      <c r="W130" s="456"/>
      <c r="X130" s="456"/>
      <c r="Y130" s="456"/>
    </row>
    <row r="131" spans="1:25" s="7" customFormat="1">
      <c r="A131" s="458" t="s">
        <v>824</v>
      </c>
      <c r="B131" s="483" t="s">
        <v>187</v>
      </c>
      <c r="C131" s="483"/>
      <c r="D131" s="456"/>
      <c r="E131" s="456"/>
      <c r="F131" s="456" t="s">
        <v>825</v>
      </c>
      <c r="G131" s="456"/>
      <c r="H131" s="456"/>
      <c r="I131" s="456"/>
      <c r="J131" s="485">
        <f>SUM(J129:J130)</f>
        <v>0</v>
      </c>
      <c r="K131" s="456"/>
      <c r="L131" s="485">
        <f>SUM(L129:L130)</f>
        <v>0</v>
      </c>
      <c r="M131" s="456"/>
      <c r="N131" s="486">
        <f>SUM(N129:N130)</f>
        <v>0</v>
      </c>
      <c r="O131" s="456"/>
      <c r="P131" s="485">
        <f>J131+L131+N131</f>
        <v>0</v>
      </c>
      <c r="Q131" s="456"/>
      <c r="R131" s="485">
        <f>SUM(R129:R130)</f>
        <v>0</v>
      </c>
      <c r="S131" s="485">
        <f>SUM(S129:S130)</f>
        <v>0</v>
      </c>
      <c r="T131" s="485">
        <f>SUM(T129:T130)</f>
        <v>0</v>
      </c>
      <c r="U131" s="456"/>
      <c r="V131" s="486">
        <f>SUM(V129:V130)</f>
        <v>0</v>
      </c>
      <c r="W131" s="456"/>
      <c r="X131" s="456"/>
      <c r="Y131" s="456"/>
    </row>
    <row r="132" spans="1:25" s="7" customFormat="1" outlineLevel="1">
      <c r="A132" s="456"/>
      <c r="B132" s="457" t="s">
        <v>826</v>
      </c>
      <c r="C132" s="458"/>
      <c r="D132" s="459"/>
      <c r="E132" s="459"/>
      <c r="F132" s="460"/>
      <c r="G132" s="460"/>
      <c r="H132" s="456"/>
      <c r="I132" s="456"/>
      <c r="J132" s="461"/>
      <c r="K132" s="456"/>
      <c r="L132" s="461"/>
      <c r="M132" s="456"/>
      <c r="N132" s="462"/>
      <c r="O132" s="456"/>
      <c r="P132" s="461">
        <f>J132+L132+N132</f>
        <v>0</v>
      </c>
      <c r="Q132" s="456"/>
      <c r="R132" s="461"/>
      <c r="S132" s="461"/>
      <c r="T132" s="461">
        <f>P132</f>
        <v>0</v>
      </c>
      <c r="U132" s="456"/>
      <c r="V132" s="462">
        <f>T132-S132</f>
        <v>0</v>
      </c>
      <c r="W132" s="456"/>
      <c r="X132" s="456"/>
    </row>
    <row r="133" spans="1:25" s="7" customFormat="1" ht="4.5" customHeight="1" outlineLevel="1">
      <c r="A133" s="458" t="s">
        <v>187</v>
      </c>
      <c r="B133" s="456" t="s">
        <v>187</v>
      </c>
      <c r="C133" s="495"/>
      <c r="D133" s="494"/>
      <c r="E133" s="456"/>
      <c r="F133" s="456"/>
      <c r="G133" s="456"/>
      <c r="H133" s="456"/>
      <c r="I133" s="456"/>
      <c r="J133" s="487"/>
      <c r="K133" s="456"/>
      <c r="L133" s="487"/>
      <c r="M133" s="456"/>
      <c r="N133" s="488"/>
      <c r="O133" s="456"/>
      <c r="P133" s="487"/>
      <c r="Q133" s="456"/>
      <c r="R133" s="487"/>
      <c r="S133" s="487"/>
      <c r="T133" s="487"/>
      <c r="U133" s="456"/>
      <c r="V133" s="488"/>
      <c r="W133" s="456"/>
      <c r="X133" s="456"/>
      <c r="Y133" s="456"/>
    </row>
    <row r="134" spans="1:25" s="7" customFormat="1">
      <c r="A134" s="458" t="s">
        <v>826</v>
      </c>
      <c r="B134" s="483" t="s">
        <v>187</v>
      </c>
      <c r="C134" s="483"/>
      <c r="D134" s="456"/>
      <c r="E134" s="456"/>
      <c r="F134" s="456" t="s">
        <v>827</v>
      </c>
      <c r="G134" s="456"/>
      <c r="H134" s="456"/>
      <c r="I134" s="456"/>
      <c r="J134" s="485">
        <f>SUM(J132:J133)</f>
        <v>0</v>
      </c>
      <c r="K134" s="456"/>
      <c r="L134" s="485">
        <f>SUM(L132:L133)</f>
        <v>0</v>
      </c>
      <c r="M134" s="456"/>
      <c r="N134" s="486">
        <f>SUM(N132:N133)</f>
        <v>0</v>
      </c>
      <c r="O134" s="456"/>
      <c r="P134" s="485">
        <f>J134+L134+N134</f>
        <v>0</v>
      </c>
      <c r="Q134" s="456"/>
      <c r="R134" s="485">
        <f>SUM(R132:R133)</f>
        <v>0</v>
      </c>
      <c r="S134" s="485">
        <f>SUM(S132:S133)</f>
        <v>0</v>
      </c>
      <c r="T134" s="485">
        <f>SUM(T132:T133)</f>
        <v>0</v>
      </c>
      <c r="U134" s="456"/>
      <c r="V134" s="486">
        <f>SUM(V132:V133)</f>
        <v>0</v>
      </c>
      <c r="W134" s="456"/>
      <c r="X134" s="456"/>
      <c r="Y134" s="456"/>
    </row>
    <row r="135" spans="1:25" s="7" customFormat="1" outlineLevel="1">
      <c r="A135" s="456"/>
      <c r="B135" s="457" t="s">
        <v>828</v>
      </c>
      <c r="C135" s="458"/>
      <c r="D135" s="459"/>
      <c r="E135" s="459"/>
      <c r="F135" s="460"/>
      <c r="G135" s="460"/>
      <c r="H135" s="456"/>
      <c r="I135" s="456"/>
      <c r="J135" s="461"/>
      <c r="K135" s="456"/>
      <c r="L135" s="461"/>
      <c r="M135" s="456"/>
      <c r="N135" s="462"/>
      <c r="O135" s="456"/>
      <c r="P135" s="461">
        <f>J135+L135+N135</f>
        <v>0</v>
      </c>
      <c r="Q135" s="456"/>
      <c r="R135" s="461"/>
      <c r="S135" s="461"/>
      <c r="T135" s="461">
        <f>P135</f>
        <v>0</v>
      </c>
      <c r="U135" s="456"/>
      <c r="V135" s="462">
        <f>T135-S135</f>
        <v>0</v>
      </c>
      <c r="W135" s="456"/>
      <c r="X135" s="456"/>
    </row>
    <row r="136" spans="1:25" s="7" customFormat="1" ht="5.0999999999999996" customHeight="1" outlineLevel="1">
      <c r="A136" s="483" t="s">
        <v>187</v>
      </c>
      <c r="B136" s="483" t="s">
        <v>187</v>
      </c>
      <c r="C136" s="483"/>
      <c r="D136" s="460"/>
      <c r="E136" s="460"/>
      <c r="F136" s="460"/>
      <c r="G136" s="460"/>
      <c r="H136" s="456"/>
      <c r="I136" s="456"/>
      <c r="J136" s="487"/>
      <c r="K136" s="456"/>
      <c r="L136" s="487"/>
      <c r="M136" s="456"/>
      <c r="N136" s="488"/>
      <c r="O136" s="456"/>
      <c r="P136" s="487"/>
      <c r="Q136" s="456"/>
      <c r="R136" s="487"/>
      <c r="S136" s="487"/>
      <c r="T136" s="487"/>
      <c r="U136" s="456"/>
      <c r="V136" s="488"/>
      <c r="W136" s="456"/>
      <c r="X136" s="456"/>
      <c r="Y136" s="456"/>
    </row>
    <row r="137" spans="1:25" s="7" customFormat="1">
      <c r="A137" s="458" t="s">
        <v>828</v>
      </c>
      <c r="B137" s="483" t="s">
        <v>187</v>
      </c>
      <c r="C137" s="483"/>
      <c r="D137" s="456"/>
      <c r="E137" s="456"/>
      <c r="F137" s="459" t="s">
        <v>829</v>
      </c>
      <c r="G137" s="456"/>
      <c r="H137" s="456"/>
      <c r="I137" s="456"/>
      <c r="J137" s="485">
        <f>SUM(J135:J136)</f>
        <v>0</v>
      </c>
      <c r="K137" s="456"/>
      <c r="L137" s="485">
        <f>SUM(L135:L136)</f>
        <v>0</v>
      </c>
      <c r="M137" s="456"/>
      <c r="N137" s="486">
        <f>SUM(N135:N136)</f>
        <v>0</v>
      </c>
      <c r="O137" s="456"/>
      <c r="P137" s="485">
        <f>J137+L137+N137</f>
        <v>0</v>
      </c>
      <c r="Q137" s="456"/>
      <c r="R137" s="485">
        <f>SUM(R135:R136)</f>
        <v>0</v>
      </c>
      <c r="S137" s="485">
        <f>SUM(S135:S136)</f>
        <v>0</v>
      </c>
      <c r="T137" s="485">
        <f>SUM(T135:T136)</f>
        <v>0</v>
      </c>
      <c r="U137" s="456"/>
      <c r="V137" s="486">
        <f>SUM(V135:V136)</f>
        <v>0</v>
      </c>
      <c r="W137" s="456"/>
      <c r="X137" s="456"/>
      <c r="Y137" s="456"/>
    </row>
    <row r="138" spans="1:25" s="7" customFormat="1" outlineLevel="1">
      <c r="A138" s="456"/>
      <c r="B138" s="457" t="s">
        <v>830</v>
      </c>
      <c r="C138" s="458"/>
      <c r="D138" s="459"/>
      <c r="E138" s="459"/>
      <c r="F138" s="460"/>
      <c r="G138" s="460"/>
      <c r="H138" s="456"/>
      <c r="I138" s="456"/>
      <c r="J138" s="461"/>
      <c r="K138" s="456"/>
      <c r="L138" s="461"/>
      <c r="M138" s="456"/>
      <c r="N138" s="462"/>
      <c r="O138" s="456"/>
      <c r="P138" s="461">
        <f>J138+L138+N138</f>
        <v>0</v>
      </c>
      <c r="Q138" s="456"/>
      <c r="R138" s="461"/>
      <c r="S138" s="461"/>
      <c r="T138" s="461">
        <f>P138</f>
        <v>0</v>
      </c>
      <c r="U138" s="456"/>
      <c r="V138" s="462">
        <f>T138-S138</f>
        <v>0</v>
      </c>
      <c r="W138" s="456"/>
      <c r="X138" s="456"/>
    </row>
    <row r="139" spans="1:25" s="7" customFormat="1" ht="5.0999999999999996" customHeight="1" outlineLevel="1">
      <c r="A139" s="483" t="s">
        <v>187</v>
      </c>
      <c r="B139" s="483" t="s">
        <v>187</v>
      </c>
      <c r="C139" s="483"/>
      <c r="D139" s="460"/>
      <c r="E139" s="460"/>
      <c r="F139" s="460"/>
      <c r="G139" s="460"/>
      <c r="H139" s="456"/>
      <c r="I139" s="456"/>
      <c r="J139" s="487"/>
      <c r="K139" s="456"/>
      <c r="L139" s="487"/>
      <c r="M139" s="456"/>
      <c r="N139" s="488"/>
      <c r="O139" s="456"/>
      <c r="P139" s="487"/>
      <c r="Q139" s="456"/>
      <c r="R139" s="487"/>
      <c r="S139" s="487"/>
      <c r="T139" s="487"/>
      <c r="U139" s="456"/>
      <c r="V139" s="488"/>
      <c r="W139" s="456"/>
      <c r="X139" s="456"/>
      <c r="Y139" s="456"/>
    </row>
    <row r="140" spans="1:25" s="7" customFormat="1">
      <c r="A140" s="458" t="s">
        <v>830</v>
      </c>
      <c r="B140" s="458" t="s">
        <v>187</v>
      </c>
      <c r="C140" s="458"/>
      <c r="D140" s="456"/>
      <c r="E140" s="456"/>
      <c r="F140" s="459" t="s">
        <v>831</v>
      </c>
      <c r="G140" s="456"/>
      <c r="H140" s="456"/>
      <c r="I140" s="456"/>
      <c r="J140" s="485">
        <f>SUM(J138:J139)</f>
        <v>0</v>
      </c>
      <c r="K140" s="456"/>
      <c r="L140" s="485">
        <f>SUM(L138:L139)</f>
        <v>0</v>
      </c>
      <c r="M140" s="456"/>
      <c r="N140" s="486">
        <f>SUM(N138:N139)</f>
        <v>0</v>
      </c>
      <c r="O140" s="456"/>
      <c r="P140" s="485">
        <f>J140+L140+N140</f>
        <v>0</v>
      </c>
      <c r="Q140" s="456"/>
      <c r="R140" s="485">
        <f>SUM(R138:R139)</f>
        <v>0</v>
      </c>
      <c r="S140" s="485">
        <f>SUM(S138:S139)</f>
        <v>0</v>
      </c>
      <c r="T140" s="485">
        <f>SUM(T138:T139)</f>
        <v>0</v>
      </c>
      <c r="U140" s="456"/>
      <c r="V140" s="486">
        <f>SUM(V138:V139)</f>
        <v>0</v>
      </c>
      <c r="W140" s="456"/>
      <c r="X140" s="456"/>
      <c r="Y140" s="456"/>
    </row>
    <row r="141" spans="1:25" s="7" customFormat="1" outlineLevel="1">
      <c r="A141" s="456"/>
      <c r="B141" s="457" t="s">
        <v>832</v>
      </c>
      <c r="C141" s="458"/>
      <c r="D141" s="459">
        <v>17100</v>
      </c>
      <c r="E141" s="459" t="s">
        <v>833</v>
      </c>
      <c r="F141" s="460"/>
      <c r="G141" s="460"/>
      <c r="H141" s="456"/>
      <c r="I141" s="456"/>
      <c r="J141" s="461">
        <v>19742974.48</v>
      </c>
      <c r="K141" s="456"/>
      <c r="L141" s="461">
        <v>0</v>
      </c>
      <c r="M141" s="456"/>
      <c r="N141" s="462">
        <v>0</v>
      </c>
      <c r="O141" s="456"/>
      <c r="P141" s="461">
        <f>J141+L141+N141</f>
        <v>19742974.48</v>
      </c>
      <c r="Q141" s="456"/>
      <c r="R141" s="461">
        <v>18831547.809999999</v>
      </c>
      <c r="S141" s="461">
        <v>18544454.079999998</v>
      </c>
      <c r="T141" s="461">
        <f t="shared" ref="T141:T142" si="22">P141</f>
        <v>19742974.48</v>
      </c>
      <c r="U141" s="456"/>
      <c r="V141" s="462">
        <f t="shared" ref="V141:V142" si="23">T141-S141</f>
        <v>1198520.4000000022</v>
      </c>
      <c r="W141" s="456"/>
      <c r="X141" s="456"/>
    </row>
    <row r="142" spans="1:25" s="7" customFormat="1" outlineLevel="1">
      <c r="A142" s="456"/>
      <c r="B142" s="457" t="s">
        <v>380</v>
      </c>
      <c r="C142" s="458"/>
      <c r="D142" s="459">
        <v>18100</v>
      </c>
      <c r="E142" s="459" t="s">
        <v>834</v>
      </c>
      <c r="F142" s="460"/>
      <c r="G142" s="460"/>
      <c r="H142" s="456"/>
      <c r="I142" s="456"/>
      <c r="J142" s="461">
        <v>-44104391.840000004</v>
      </c>
      <c r="K142" s="456"/>
      <c r="L142" s="461">
        <v>0</v>
      </c>
      <c r="M142" s="456"/>
      <c r="N142" s="462">
        <v>0</v>
      </c>
      <c r="O142" s="456"/>
      <c r="P142" s="461">
        <f>J142+L142+N142</f>
        <v>-44104391.840000004</v>
      </c>
      <c r="Q142" s="456"/>
      <c r="R142" s="461">
        <v>-44104391.840000004</v>
      </c>
      <c r="S142" s="461">
        <v>-44104391.840000004</v>
      </c>
      <c r="T142" s="461">
        <f t="shared" si="22"/>
        <v>-44104391.840000004</v>
      </c>
      <c r="U142" s="456"/>
      <c r="V142" s="462">
        <f t="shared" si="23"/>
        <v>0</v>
      </c>
      <c r="W142" s="456"/>
      <c r="X142" s="456"/>
    </row>
    <row r="143" spans="1:25" s="7" customFormat="1" ht="5.0999999999999996" customHeight="1" outlineLevel="1">
      <c r="A143" s="458" t="s">
        <v>187</v>
      </c>
      <c r="B143" s="458" t="s">
        <v>187</v>
      </c>
      <c r="C143" s="458"/>
      <c r="D143" s="460"/>
      <c r="E143" s="460"/>
      <c r="F143" s="460"/>
      <c r="G143" s="460"/>
      <c r="H143" s="456"/>
      <c r="I143" s="456"/>
      <c r="J143" s="487"/>
      <c r="K143" s="456"/>
      <c r="L143" s="487"/>
      <c r="M143" s="456"/>
      <c r="N143" s="488"/>
      <c r="O143" s="456"/>
      <c r="P143" s="487"/>
      <c r="Q143" s="456"/>
      <c r="R143" s="487"/>
      <c r="S143" s="487"/>
      <c r="T143" s="487"/>
      <c r="U143" s="456"/>
      <c r="V143" s="488"/>
      <c r="W143" s="456"/>
      <c r="X143" s="456"/>
      <c r="Y143" s="456"/>
    </row>
    <row r="144" spans="1:25" s="7" customFormat="1">
      <c r="A144" s="458" t="s">
        <v>832</v>
      </c>
      <c r="B144" s="458" t="s">
        <v>187</v>
      </c>
      <c r="C144" s="458"/>
      <c r="D144" s="456"/>
      <c r="E144" s="456"/>
      <c r="F144" s="459" t="s">
        <v>835</v>
      </c>
      <c r="G144" s="456"/>
      <c r="H144" s="456"/>
      <c r="I144" s="456"/>
      <c r="J144" s="485">
        <f>SUM(J141:J143)</f>
        <v>-24361417.360000003</v>
      </c>
      <c r="K144" s="456"/>
      <c r="L144" s="485">
        <f>SUM(L141:L143)</f>
        <v>0</v>
      </c>
      <c r="M144" s="456"/>
      <c r="N144" s="486">
        <f>SUM(N141:N143)</f>
        <v>0</v>
      </c>
      <c r="O144" s="456"/>
      <c r="P144" s="485">
        <f>J144+L144+N144</f>
        <v>-24361417.360000003</v>
      </c>
      <c r="Q144" s="456"/>
      <c r="R144" s="485">
        <f>SUM(R141:R143)</f>
        <v>-25272844.030000005</v>
      </c>
      <c r="S144" s="485">
        <f>SUM(S141:S143)</f>
        <v>-25559937.760000005</v>
      </c>
      <c r="T144" s="485">
        <f>SUM(T141:T143)</f>
        <v>-24361417.360000003</v>
      </c>
      <c r="U144" s="456"/>
      <c r="V144" s="486">
        <f>SUM(V141:V143)</f>
        <v>1198520.4000000022</v>
      </c>
      <c r="W144" s="456"/>
      <c r="X144" s="456"/>
      <c r="Y144" s="456"/>
    </row>
    <row r="145" spans="1:25" s="7" customFormat="1" ht="7.5" customHeight="1">
      <c r="A145" s="458" t="s">
        <v>187</v>
      </c>
      <c r="B145" s="483" t="s">
        <v>187</v>
      </c>
      <c r="C145" s="483"/>
      <c r="D145" s="456"/>
      <c r="E145" s="456"/>
      <c r="F145" s="456"/>
      <c r="G145" s="456"/>
      <c r="H145" s="456"/>
      <c r="I145" s="456"/>
      <c r="J145" s="490"/>
      <c r="K145" s="456"/>
      <c r="L145" s="490"/>
      <c r="M145" s="456"/>
      <c r="N145" s="462"/>
      <c r="O145" s="456"/>
      <c r="P145" s="490"/>
      <c r="Q145" s="456"/>
      <c r="R145" s="490"/>
      <c r="S145" s="490"/>
      <c r="T145" s="490"/>
      <c r="U145" s="456"/>
      <c r="V145" s="462"/>
      <c r="W145" s="456"/>
      <c r="X145" s="456"/>
      <c r="Y145" s="456"/>
    </row>
    <row r="146" spans="1:25" s="7" customFormat="1" ht="13.5" thickBot="1">
      <c r="A146" s="458" t="s">
        <v>187</v>
      </c>
      <c r="B146" s="483" t="s">
        <v>187</v>
      </c>
      <c r="C146" s="483"/>
      <c r="D146" s="456"/>
      <c r="E146" s="491" t="s">
        <v>836</v>
      </c>
      <c r="F146" s="456"/>
      <c r="G146" s="456"/>
      <c r="H146" s="456"/>
      <c r="I146" s="456"/>
      <c r="J146" s="497">
        <f>SUM(J107,J110,J114,J118,J125,J128,J131,J134,J137,J140,J144,J58)</f>
        <v>60036107.789999999</v>
      </c>
      <c r="K146" s="456"/>
      <c r="L146" s="497">
        <f>SUM(L107,L110,L114,L118,L125,L128,L131,L134,L137,L140,L144,L58)</f>
        <v>0</v>
      </c>
      <c r="M146" s="456"/>
      <c r="N146" s="498">
        <f>SUM(N107,N110,N114,N118,N125,N128,N131,N134,N137,N140,N144,N58)</f>
        <v>0</v>
      </c>
      <c r="O146" s="456"/>
      <c r="P146" s="497">
        <f>SUM(P107,P110,P114,P118,P125,P128,P131,P134,P137,P140,P144,P58)</f>
        <v>60036107.789999999</v>
      </c>
      <c r="Q146" s="456"/>
      <c r="R146" s="497">
        <f>SUM(R107,R110,R114,R118,R125,R128,R131,R134,R137,R140,R144,R58)</f>
        <v>60030509.549999982</v>
      </c>
      <c r="S146" s="497">
        <f>SUM(S107,S110,S114,S118,S125,S128,S131,S134,S137,S140,S144,S58)</f>
        <v>59210316.830000006</v>
      </c>
      <c r="T146" s="497">
        <f>SUM(T107,T110,T114,T118,T125,T128,T131,T134,T137,T140,T144,T58)</f>
        <v>60036107.789999999</v>
      </c>
      <c r="U146" s="456"/>
      <c r="V146" s="498">
        <f>SUM(V107,V110,V114,V118,V125,V128,V131,V134,V137,V140,V144,V58)</f>
        <v>825790.96000000346</v>
      </c>
      <c r="W146" s="456"/>
      <c r="X146" s="456"/>
      <c r="Y146" s="456"/>
    </row>
    <row r="147" spans="1:25" s="7" customFormat="1" ht="7.5" customHeight="1" thickTop="1">
      <c r="A147" s="483" t="s">
        <v>187</v>
      </c>
      <c r="B147" s="483"/>
      <c r="C147" s="483"/>
      <c r="D147" s="456"/>
      <c r="E147" s="491"/>
      <c r="F147" s="456"/>
      <c r="G147" s="456"/>
      <c r="H147" s="456"/>
      <c r="I147" s="456"/>
      <c r="J147" s="486"/>
      <c r="K147" s="495"/>
      <c r="L147" s="486"/>
      <c r="M147" s="495"/>
      <c r="N147" s="486"/>
      <c r="O147" s="495"/>
      <c r="P147" s="486"/>
      <c r="Q147" s="495"/>
      <c r="R147" s="486"/>
      <c r="S147" s="486"/>
      <c r="T147" s="486"/>
      <c r="U147" s="495"/>
      <c r="V147" s="486"/>
      <c r="W147" s="456"/>
      <c r="X147" s="456"/>
      <c r="Y147" s="456"/>
    </row>
    <row r="148" spans="1:25" s="7" customFormat="1" outlineLevel="1">
      <c r="A148" s="456"/>
      <c r="B148" s="457" t="s">
        <v>837</v>
      </c>
      <c r="C148" s="458"/>
      <c r="D148" s="459"/>
      <c r="E148" s="459"/>
      <c r="F148" s="460"/>
      <c r="G148" s="460"/>
      <c r="H148" s="456"/>
      <c r="I148" s="456"/>
      <c r="J148" s="461"/>
      <c r="K148" s="456"/>
      <c r="L148" s="461"/>
      <c r="M148" s="456"/>
      <c r="N148" s="462"/>
      <c r="O148" s="456"/>
      <c r="P148" s="461">
        <f>J148+L148+N148</f>
        <v>0</v>
      </c>
      <c r="Q148" s="456"/>
      <c r="R148" s="461"/>
      <c r="S148" s="461"/>
      <c r="T148" s="461">
        <f>P148</f>
        <v>0</v>
      </c>
      <c r="U148" s="456"/>
      <c r="V148" s="462">
        <f>T148-S148</f>
        <v>0</v>
      </c>
      <c r="W148" s="456"/>
      <c r="X148" s="456"/>
    </row>
    <row r="149" spans="1:25" s="7" customFormat="1" ht="5.0999999999999996" customHeight="1" outlineLevel="1">
      <c r="A149" s="483"/>
      <c r="B149" s="483"/>
      <c r="C149" s="483"/>
      <c r="D149" s="459"/>
      <c r="E149" s="459"/>
      <c r="F149" s="456"/>
      <c r="G149" s="456"/>
      <c r="H149" s="456"/>
      <c r="I149" s="456"/>
      <c r="J149" s="487"/>
      <c r="K149" s="456"/>
      <c r="L149" s="487"/>
      <c r="M149" s="456"/>
      <c r="N149" s="488"/>
      <c r="O149" s="456"/>
      <c r="P149" s="487"/>
      <c r="Q149" s="456"/>
      <c r="R149" s="487"/>
      <c r="S149" s="487"/>
      <c r="T149" s="487"/>
      <c r="U149" s="456"/>
      <c r="V149" s="488"/>
      <c r="W149" s="456"/>
      <c r="X149" s="456"/>
      <c r="Y149" s="456"/>
    </row>
    <row r="150" spans="1:25" s="7" customFormat="1" ht="12.75" customHeight="1">
      <c r="A150" s="458" t="s">
        <v>837</v>
      </c>
      <c r="B150" s="483" t="s">
        <v>187</v>
      </c>
      <c r="C150" s="483"/>
      <c r="D150" s="456"/>
      <c r="E150" s="456"/>
      <c r="F150" s="456" t="s">
        <v>838</v>
      </c>
      <c r="G150" s="456"/>
      <c r="H150" s="456"/>
      <c r="I150" s="456"/>
      <c r="J150" s="485">
        <f>SUM(J148:J149)</f>
        <v>0</v>
      </c>
      <c r="K150" s="456"/>
      <c r="L150" s="485">
        <f>SUM(L148:L149)</f>
        <v>0</v>
      </c>
      <c r="M150" s="456"/>
      <c r="N150" s="486">
        <f>SUM(N148:N149)</f>
        <v>0</v>
      </c>
      <c r="O150" s="456"/>
      <c r="P150" s="485">
        <f>J150+L150+N150</f>
        <v>0</v>
      </c>
      <c r="Q150" s="456"/>
      <c r="R150" s="485">
        <f>SUM(R148:R149)</f>
        <v>0</v>
      </c>
      <c r="S150" s="485">
        <f>SUM(S148:S149)</f>
        <v>0</v>
      </c>
      <c r="T150" s="485">
        <f>SUM(T148:T149)</f>
        <v>0</v>
      </c>
      <c r="U150" s="456"/>
      <c r="V150" s="486">
        <f>SUM(V148:V149)</f>
        <v>0</v>
      </c>
      <c r="W150" s="456"/>
      <c r="X150" s="456"/>
      <c r="Y150" s="456"/>
    </row>
    <row r="151" spans="1:25" s="7" customFormat="1" ht="6" customHeight="1" outlineLevel="1">
      <c r="A151" s="483"/>
      <c r="B151" s="458" t="s">
        <v>187</v>
      </c>
      <c r="C151" s="458"/>
      <c r="D151" s="456"/>
      <c r="E151" s="456"/>
      <c r="F151" s="456"/>
      <c r="G151" s="456"/>
      <c r="H151" s="456"/>
      <c r="I151" s="456"/>
      <c r="J151" s="490"/>
      <c r="K151" s="456"/>
      <c r="L151" s="490"/>
      <c r="M151" s="456"/>
      <c r="N151" s="462"/>
      <c r="O151" s="456"/>
      <c r="P151" s="490"/>
      <c r="Q151" s="456"/>
      <c r="R151" s="490"/>
      <c r="S151" s="490"/>
      <c r="T151" s="490"/>
      <c r="U151" s="456"/>
      <c r="V151" s="462"/>
      <c r="W151" s="456"/>
      <c r="X151" s="456"/>
      <c r="Y151" s="456"/>
    </row>
    <row r="152" spans="1:25" s="7" customFormat="1" outlineLevel="1">
      <c r="A152" s="456"/>
      <c r="B152" s="457" t="s">
        <v>839</v>
      </c>
      <c r="C152" s="458"/>
      <c r="D152" s="459"/>
      <c r="E152" s="459"/>
      <c r="F152" s="460"/>
      <c r="G152" s="460"/>
      <c r="H152" s="456"/>
      <c r="I152" s="456"/>
      <c r="J152" s="461"/>
      <c r="K152" s="456"/>
      <c r="L152" s="461"/>
      <c r="M152" s="456"/>
      <c r="N152" s="462"/>
      <c r="O152" s="456"/>
      <c r="P152" s="461">
        <f>J152+L152+N152</f>
        <v>0</v>
      </c>
      <c r="Q152" s="456"/>
      <c r="R152" s="461"/>
      <c r="S152" s="461"/>
      <c r="T152" s="461">
        <f>P152</f>
        <v>0</v>
      </c>
      <c r="U152" s="456"/>
      <c r="V152" s="462">
        <f>T152-S152</f>
        <v>0</v>
      </c>
      <c r="W152" s="456"/>
      <c r="X152" s="456"/>
    </row>
    <row r="153" spans="1:25" s="7" customFormat="1" ht="5.0999999999999996" customHeight="1" outlineLevel="1">
      <c r="A153" s="458" t="s">
        <v>187</v>
      </c>
      <c r="B153" s="458" t="s">
        <v>187</v>
      </c>
      <c r="C153" s="458"/>
      <c r="D153" s="460"/>
      <c r="E153" s="460"/>
      <c r="F153" s="460"/>
      <c r="G153" s="460"/>
      <c r="H153" s="456"/>
      <c r="I153" s="456"/>
      <c r="J153" s="487"/>
      <c r="K153" s="456"/>
      <c r="L153" s="487"/>
      <c r="M153" s="456"/>
      <c r="N153" s="488"/>
      <c r="O153" s="456"/>
      <c r="P153" s="487"/>
      <c r="Q153" s="456"/>
      <c r="R153" s="487"/>
      <c r="S153" s="487"/>
      <c r="T153" s="487"/>
      <c r="U153" s="456"/>
      <c r="V153" s="488"/>
      <c r="W153" s="456"/>
      <c r="X153" s="456"/>
      <c r="Y153" s="456"/>
    </row>
    <row r="154" spans="1:25" s="7" customFormat="1" ht="12.75" customHeight="1">
      <c r="A154" s="458" t="s">
        <v>839</v>
      </c>
      <c r="B154" s="458" t="s">
        <v>187</v>
      </c>
      <c r="C154" s="458"/>
      <c r="D154" s="456"/>
      <c r="E154" s="456"/>
      <c r="F154" s="459" t="s">
        <v>840</v>
      </c>
      <c r="G154" s="456"/>
      <c r="H154" s="456"/>
      <c r="I154" s="456"/>
      <c r="J154" s="485">
        <f>SUM(J152:J153)</f>
        <v>0</v>
      </c>
      <c r="K154" s="456"/>
      <c r="L154" s="485">
        <f>SUM(L152:L153)</f>
        <v>0</v>
      </c>
      <c r="M154" s="456"/>
      <c r="N154" s="486">
        <f>SUM(N152:N153)</f>
        <v>0</v>
      </c>
      <c r="O154" s="456"/>
      <c r="P154" s="485">
        <f t="shared" ref="P154" si="24">J154+L154+N154</f>
        <v>0</v>
      </c>
      <c r="Q154" s="456"/>
      <c r="R154" s="485">
        <f>SUM(R152:R153)</f>
        <v>0</v>
      </c>
      <c r="S154" s="485">
        <f>SUM(S152:S153)</f>
        <v>0</v>
      </c>
      <c r="T154" s="485">
        <f>SUM(T152:T153)</f>
        <v>0</v>
      </c>
      <c r="U154" s="456"/>
      <c r="V154" s="486">
        <f>SUM(V152:V153)</f>
        <v>0</v>
      </c>
      <c r="W154" s="456"/>
      <c r="X154" s="456"/>
      <c r="Y154" s="456"/>
    </row>
    <row r="155" spans="1:25" s="7" customFormat="1" outlineLevel="1">
      <c r="A155" s="456"/>
      <c r="B155" s="457" t="s">
        <v>841</v>
      </c>
      <c r="C155" s="458"/>
      <c r="D155" s="459">
        <v>20120</v>
      </c>
      <c r="E155" s="459" t="s">
        <v>842</v>
      </c>
      <c r="F155" s="460"/>
      <c r="G155" s="460"/>
      <c r="H155" s="456"/>
      <c r="I155" s="456"/>
      <c r="J155" s="461">
        <v>498946.54</v>
      </c>
      <c r="K155" s="456"/>
      <c r="L155" s="461">
        <v>0</v>
      </c>
      <c r="M155" s="456"/>
      <c r="N155" s="462">
        <v>0</v>
      </c>
      <c r="O155" s="456"/>
      <c r="P155" s="461">
        <f t="shared" ref="P155:P164" si="25">J155+L155+N155</f>
        <v>498946.54</v>
      </c>
      <c r="Q155" s="456"/>
      <c r="R155" s="461">
        <v>883646.41</v>
      </c>
      <c r="S155" s="461">
        <v>333296.78999999998</v>
      </c>
      <c r="T155" s="461">
        <f t="shared" ref="T155:T164" si="26">P155</f>
        <v>498946.54</v>
      </c>
      <c r="U155" s="456"/>
      <c r="V155" s="462">
        <f t="shared" ref="V155:V164" si="27">T155-S155</f>
        <v>165649.75</v>
      </c>
      <c r="W155" s="456"/>
      <c r="X155" s="456"/>
    </row>
    <row r="156" spans="1:25" s="7" customFormat="1" outlineLevel="1">
      <c r="A156" s="456"/>
      <c r="B156" s="457" t="s">
        <v>380</v>
      </c>
      <c r="C156" s="458"/>
      <c r="D156" s="459">
        <v>20121</v>
      </c>
      <c r="E156" s="459" t="s">
        <v>843</v>
      </c>
      <c r="F156" s="460"/>
      <c r="G156" s="460"/>
      <c r="H156" s="456"/>
      <c r="I156" s="456"/>
      <c r="J156" s="461">
        <v>0</v>
      </c>
      <c r="K156" s="456"/>
      <c r="L156" s="461">
        <v>0</v>
      </c>
      <c r="M156" s="456"/>
      <c r="N156" s="462">
        <v>0</v>
      </c>
      <c r="O156" s="456"/>
      <c r="P156" s="461">
        <f t="shared" si="25"/>
        <v>0</v>
      </c>
      <c r="Q156" s="456"/>
      <c r="R156" s="461">
        <v>961968.88</v>
      </c>
      <c r="S156" s="461">
        <v>0</v>
      </c>
      <c r="T156" s="461">
        <f t="shared" si="26"/>
        <v>0</v>
      </c>
      <c r="U156" s="456"/>
      <c r="V156" s="462">
        <f t="shared" si="27"/>
        <v>0</v>
      </c>
      <c r="W156" s="456"/>
      <c r="X156" s="456"/>
    </row>
    <row r="157" spans="1:25" s="7" customFormat="1" outlineLevel="1">
      <c r="A157" s="456"/>
      <c r="B157" s="457" t="s">
        <v>380</v>
      </c>
      <c r="C157" s="458"/>
      <c r="D157" s="459">
        <v>20123</v>
      </c>
      <c r="E157" s="459" t="s">
        <v>844</v>
      </c>
      <c r="F157" s="460"/>
      <c r="G157" s="460"/>
      <c r="H157" s="456"/>
      <c r="I157" s="456"/>
      <c r="J157" s="461">
        <v>16406.64</v>
      </c>
      <c r="K157" s="456"/>
      <c r="L157" s="461">
        <v>0</v>
      </c>
      <c r="M157" s="456"/>
      <c r="N157" s="462">
        <v>0</v>
      </c>
      <c r="O157" s="456"/>
      <c r="P157" s="461">
        <f t="shared" si="25"/>
        <v>16406.64</v>
      </c>
      <c r="Q157" s="456"/>
      <c r="R157" s="461">
        <v>22922.93</v>
      </c>
      <c r="S157" s="461">
        <v>25441.3</v>
      </c>
      <c r="T157" s="461">
        <f t="shared" si="26"/>
        <v>16406.64</v>
      </c>
      <c r="U157" s="456"/>
      <c r="V157" s="462">
        <f t="shared" si="27"/>
        <v>-9034.66</v>
      </c>
      <c r="W157" s="456"/>
      <c r="X157" s="456"/>
    </row>
    <row r="158" spans="1:25" s="7" customFormat="1" outlineLevel="1">
      <c r="A158" s="456"/>
      <c r="B158" s="457" t="s">
        <v>380</v>
      </c>
      <c r="C158" s="458"/>
      <c r="D158" s="459">
        <v>20140</v>
      </c>
      <c r="E158" s="459" t="s">
        <v>845</v>
      </c>
      <c r="F158" s="460"/>
      <c r="G158" s="460"/>
      <c r="H158" s="456"/>
      <c r="I158" s="456"/>
      <c r="J158" s="461">
        <v>21153.11</v>
      </c>
      <c r="K158" s="456"/>
      <c r="L158" s="461">
        <v>0</v>
      </c>
      <c r="M158" s="456"/>
      <c r="N158" s="462">
        <v>0</v>
      </c>
      <c r="O158" s="456"/>
      <c r="P158" s="461">
        <f t="shared" si="25"/>
        <v>21153.11</v>
      </c>
      <c r="Q158" s="456"/>
      <c r="R158" s="461">
        <v>4754.07</v>
      </c>
      <c r="S158" s="461">
        <v>7776.51</v>
      </c>
      <c r="T158" s="461">
        <f t="shared" si="26"/>
        <v>21153.11</v>
      </c>
      <c r="U158" s="456"/>
      <c r="V158" s="462">
        <f t="shared" si="27"/>
        <v>13376.6</v>
      </c>
      <c r="W158" s="456"/>
      <c r="X158" s="456"/>
    </row>
    <row r="159" spans="1:25" s="7" customFormat="1" outlineLevel="1">
      <c r="A159" s="456"/>
      <c r="B159" s="457" t="s">
        <v>380</v>
      </c>
      <c r="C159" s="458"/>
      <c r="D159" s="459">
        <v>20170</v>
      </c>
      <c r="E159" s="459" t="s">
        <v>846</v>
      </c>
      <c r="F159" s="460"/>
      <c r="G159" s="460"/>
      <c r="H159" s="456"/>
      <c r="I159" s="456"/>
      <c r="J159" s="461">
        <v>74873.789999999994</v>
      </c>
      <c r="K159" s="456"/>
      <c r="L159" s="461">
        <v>0</v>
      </c>
      <c r="M159" s="456"/>
      <c r="N159" s="462">
        <v>0</v>
      </c>
      <c r="O159" s="456"/>
      <c r="P159" s="461">
        <f t="shared" si="25"/>
        <v>74873.789999999994</v>
      </c>
      <c r="Q159" s="456"/>
      <c r="R159" s="461">
        <v>93288.98</v>
      </c>
      <c r="S159" s="461">
        <v>75741.440000000002</v>
      </c>
      <c r="T159" s="461">
        <f t="shared" si="26"/>
        <v>74873.789999999994</v>
      </c>
      <c r="U159" s="456"/>
      <c r="V159" s="462">
        <f t="shared" si="27"/>
        <v>-867.65000000000873</v>
      </c>
      <c r="W159" s="456"/>
      <c r="X159" s="456"/>
    </row>
    <row r="160" spans="1:25" s="7" customFormat="1" outlineLevel="1">
      <c r="A160" s="456"/>
      <c r="B160" s="457" t="s">
        <v>380</v>
      </c>
      <c r="C160" s="458"/>
      <c r="D160" s="459">
        <v>20175</v>
      </c>
      <c r="E160" s="459" t="s">
        <v>847</v>
      </c>
      <c r="F160" s="460"/>
      <c r="G160" s="460"/>
      <c r="H160" s="456"/>
      <c r="I160" s="456"/>
      <c r="J160" s="461">
        <v>45596.6</v>
      </c>
      <c r="K160" s="456"/>
      <c r="L160" s="461">
        <v>0</v>
      </c>
      <c r="M160" s="456"/>
      <c r="N160" s="462">
        <v>0</v>
      </c>
      <c r="O160" s="456"/>
      <c r="P160" s="461">
        <f t="shared" si="25"/>
        <v>45596.6</v>
      </c>
      <c r="Q160" s="456"/>
      <c r="R160" s="461">
        <v>18937.78</v>
      </c>
      <c r="S160" s="461">
        <v>111553.29</v>
      </c>
      <c r="T160" s="461">
        <f t="shared" si="26"/>
        <v>45596.6</v>
      </c>
      <c r="U160" s="456"/>
      <c r="V160" s="462">
        <f t="shared" si="27"/>
        <v>-65956.69</v>
      </c>
      <c r="W160" s="456"/>
      <c r="X160" s="456"/>
    </row>
    <row r="161" spans="1:25" s="7" customFormat="1" outlineLevel="1">
      <c r="A161" s="456"/>
      <c r="B161" s="457" t="s">
        <v>380</v>
      </c>
      <c r="C161" s="458"/>
      <c r="D161" s="459">
        <v>20177</v>
      </c>
      <c r="E161" s="459" t="s">
        <v>848</v>
      </c>
      <c r="F161" s="460"/>
      <c r="G161" s="460"/>
      <c r="H161" s="456"/>
      <c r="I161" s="456"/>
      <c r="J161" s="461">
        <v>112380.1</v>
      </c>
      <c r="K161" s="456"/>
      <c r="L161" s="461">
        <v>0</v>
      </c>
      <c r="M161" s="456"/>
      <c r="N161" s="462">
        <v>0</v>
      </c>
      <c r="O161" s="456"/>
      <c r="P161" s="461">
        <f t="shared" si="25"/>
        <v>112380.1</v>
      </c>
      <c r="Q161" s="456"/>
      <c r="R161" s="461">
        <v>0</v>
      </c>
      <c r="S161" s="461">
        <v>56991.18</v>
      </c>
      <c r="T161" s="461">
        <f t="shared" si="26"/>
        <v>112380.1</v>
      </c>
      <c r="U161" s="456"/>
      <c r="V161" s="462">
        <f t="shared" si="27"/>
        <v>55388.920000000006</v>
      </c>
      <c r="W161" s="456"/>
      <c r="X161" s="456"/>
    </row>
    <row r="162" spans="1:25" s="7" customFormat="1" outlineLevel="1">
      <c r="A162" s="456"/>
      <c r="B162" s="457" t="s">
        <v>380</v>
      </c>
      <c r="C162" s="458"/>
      <c r="D162" s="459">
        <v>20178</v>
      </c>
      <c r="E162" s="459" t="s">
        <v>849</v>
      </c>
      <c r="F162" s="460"/>
      <c r="G162" s="460"/>
      <c r="H162" s="456"/>
      <c r="I162" s="456"/>
      <c r="J162" s="461">
        <v>188195.24</v>
      </c>
      <c r="K162" s="456"/>
      <c r="L162" s="461">
        <v>0</v>
      </c>
      <c r="M162" s="456"/>
      <c r="N162" s="462">
        <v>0</v>
      </c>
      <c r="O162" s="456"/>
      <c r="P162" s="461">
        <f t="shared" si="25"/>
        <v>188195.24</v>
      </c>
      <c r="Q162" s="456"/>
      <c r="R162" s="461">
        <v>154500.32</v>
      </c>
      <c r="S162" s="461">
        <v>171268.8</v>
      </c>
      <c r="T162" s="461">
        <f t="shared" si="26"/>
        <v>188195.24</v>
      </c>
      <c r="U162" s="456"/>
      <c r="V162" s="462">
        <f t="shared" si="27"/>
        <v>16926.440000000002</v>
      </c>
      <c r="W162" s="456"/>
      <c r="X162" s="456"/>
    </row>
    <row r="163" spans="1:25" s="7" customFormat="1" outlineLevel="1">
      <c r="A163" s="456"/>
      <c r="B163" s="457" t="s">
        <v>380</v>
      </c>
      <c r="C163" s="458"/>
      <c r="D163" s="459">
        <v>20180</v>
      </c>
      <c r="E163" s="459" t="s">
        <v>850</v>
      </c>
      <c r="F163" s="460"/>
      <c r="G163" s="460"/>
      <c r="H163" s="456"/>
      <c r="I163" s="456"/>
      <c r="J163" s="461">
        <v>171755.73</v>
      </c>
      <c r="K163" s="456"/>
      <c r="L163" s="461">
        <v>0</v>
      </c>
      <c r="M163" s="456"/>
      <c r="N163" s="462">
        <v>0</v>
      </c>
      <c r="O163" s="456"/>
      <c r="P163" s="461">
        <f t="shared" si="25"/>
        <v>171755.73</v>
      </c>
      <c r="Q163" s="456"/>
      <c r="R163" s="461">
        <v>180135.62</v>
      </c>
      <c r="S163" s="461">
        <v>167787.09</v>
      </c>
      <c r="T163" s="461">
        <f t="shared" si="26"/>
        <v>171755.73</v>
      </c>
      <c r="U163" s="456"/>
      <c r="V163" s="462">
        <f t="shared" si="27"/>
        <v>3968.640000000014</v>
      </c>
      <c r="W163" s="456"/>
      <c r="X163" s="456"/>
    </row>
    <row r="164" spans="1:25" s="7" customFormat="1" outlineLevel="1">
      <c r="A164" s="456"/>
      <c r="B164" s="457" t="s">
        <v>380</v>
      </c>
      <c r="C164" s="458"/>
      <c r="D164" s="459">
        <v>20181</v>
      </c>
      <c r="E164" s="459" t="s">
        <v>851</v>
      </c>
      <c r="F164" s="460"/>
      <c r="G164" s="460"/>
      <c r="H164" s="456"/>
      <c r="I164" s="456"/>
      <c r="J164" s="461">
        <v>30000</v>
      </c>
      <c r="K164" s="456"/>
      <c r="L164" s="461">
        <v>0</v>
      </c>
      <c r="M164" s="456"/>
      <c r="N164" s="462">
        <v>0</v>
      </c>
      <c r="O164" s="456"/>
      <c r="P164" s="461">
        <f t="shared" si="25"/>
        <v>30000</v>
      </c>
      <c r="Q164" s="456"/>
      <c r="R164" s="461">
        <v>30000</v>
      </c>
      <c r="S164" s="461">
        <v>30000</v>
      </c>
      <c r="T164" s="461">
        <f t="shared" si="26"/>
        <v>30000</v>
      </c>
      <c r="U164" s="456"/>
      <c r="V164" s="462">
        <f t="shared" si="27"/>
        <v>0</v>
      </c>
      <c r="W164" s="456"/>
      <c r="X164" s="456"/>
    </row>
    <row r="165" spans="1:25" s="7" customFormat="1" ht="5.0999999999999996" customHeight="1" outlineLevel="1">
      <c r="A165" s="458" t="s">
        <v>187</v>
      </c>
      <c r="B165" s="458" t="s">
        <v>187</v>
      </c>
      <c r="C165" s="458"/>
      <c r="D165" s="460"/>
      <c r="E165" s="460"/>
      <c r="F165" s="460"/>
      <c r="G165" s="460"/>
      <c r="H165" s="456"/>
      <c r="I165" s="456"/>
      <c r="J165" s="487"/>
      <c r="K165" s="456"/>
      <c r="L165" s="487"/>
      <c r="M165" s="456"/>
      <c r="N165" s="488"/>
      <c r="O165" s="456"/>
      <c r="P165" s="487"/>
      <c r="Q165" s="456"/>
      <c r="R165" s="487"/>
      <c r="S165" s="487"/>
      <c r="T165" s="487"/>
      <c r="U165" s="456"/>
      <c r="V165" s="488"/>
      <c r="W165" s="456"/>
      <c r="X165" s="456"/>
      <c r="Y165" s="456"/>
    </row>
    <row r="166" spans="1:25" s="7" customFormat="1">
      <c r="A166" s="458" t="s">
        <v>841</v>
      </c>
      <c r="B166" s="458" t="s">
        <v>187</v>
      </c>
      <c r="C166" s="458"/>
      <c r="D166" s="456"/>
      <c r="E166" s="456"/>
      <c r="F166" s="459" t="s">
        <v>852</v>
      </c>
      <c r="G166" s="456"/>
      <c r="H166" s="456"/>
      <c r="I166" s="456"/>
      <c r="J166" s="485">
        <f>SUM(J155:J165)</f>
        <v>1159307.75</v>
      </c>
      <c r="K166" s="456"/>
      <c r="L166" s="485">
        <f>SUM(L155:L165)</f>
        <v>0</v>
      </c>
      <c r="M166" s="456"/>
      <c r="N166" s="486">
        <f>SUM(N155:N165)</f>
        <v>0</v>
      </c>
      <c r="O166" s="456"/>
      <c r="P166" s="485">
        <f>J166+L166+N166</f>
        <v>1159307.75</v>
      </c>
      <c r="Q166" s="456"/>
      <c r="R166" s="485">
        <f>SUM(R155:R165)</f>
        <v>2350154.9900000002</v>
      </c>
      <c r="S166" s="485">
        <f>SUM(S155:S165)</f>
        <v>979856.4</v>
      </c>
      <c r="T166" s="485">
        <f>SUM(T155:T165)</f>
        <v>1159307.75</v>
      </c>
      <c r="U166" s="456"/>
      <c r="V166" s="486">
        <f>SUM(V155:V165)</f>
        <v>179451.35</v>
      </c>
      <c r="W166" s="456"/>
      <c r="X166" s="456"/>
      <c r="Y166" s="456"/>
    </row>
    <row r="167" spans="1:25" s="7" customFormat="1" outlineLevel="1">
      <c r="A167" s="456"/>
      <c r="B167" s="457" t="s">
        <v>853</v>
      </c>
      <c r="C167" s="458"/>
      <c r="D167" s="459">
        <v>20300</v>
      </c>
      <c r="E167" s="459" t="s">
        <v>854</v>
      </c>
      <c r="F167" s="460"/>
      <c r="G167" s="460"/>
      <c r="H167" s="456"/>
      <c r="I167" s="456"/>
      <c r="J167" s="461">
        <v>1198850.23</v>
      </c>
      <c r="K167" s="456"/>
      <c r="L167" s="461">
        <v>0</v>
      </c>
      <c r="M167" s="456"/>
      <c r="N167" s="462">
        <v>0</v>
      </c>
      <c r="O167" s="456"/>
      <c r="P167" s="461">
        <f>J167+L167+N167</f>
        <v>1198850.23</v>
      </c>
      <c r="Q167" s="456"/>
      <c r="R167" s="461">
        <v>1198114.08</v>
      </c>
      <c r="S167" s="461">
        <v>1192144.05</v>
      </c>
      <c r="T167" s="461">
        <f>P167</f>
        <v>1198850.23</v>
      </c>
      <c r="U167" s="456"/>
      <c r="V167" s="462">
        <f>T167-S167</f>
        <v>6706.1799999999348</v>
      </c>
      <c r="W167" s="456"/>
      <c r="X167" s="456"/>
    </row>
    <row r="168" spans="1:25" s="7" customFormat="1" ht="5.0999999999999996" customHeight="1" outlineLevel="1">
      <c r="A168" s="458" t="s">
        <v>187</v>
      </c>
      <c r="B168" s="483" t="s">
        <v>187</v>
      </c>
      <c r="C168" s="483"/>
      <c r="D168" s="460"/>
      <c r="E168" s="460"/>
      <c r="F168" s="460"/>
      <c r="G168" s="460"/>
      <c r="H168" s="456"/>
      <c r="I168" s="456"/>
      <c r="J168" s="487"/>
      <c r="K168" s="456"/>
      <c r="L168" s="487"/>
      <c r="M168" s="456"/>
      <c r="N168" s="488"/>
      <c r="O168" s="456"/>
      <c r="P168" s="487"/>
      <c r="Q168" s="456"/>
      <c r="R168" s="487"/>
      <c r="S168" s="487"/>
      <c r="T168" s="487"/>
      <c r="U168" s="456"/>
      <c r="V168" s="488"/>
      <c r="W168" s="456"/>
      <c r="X168" s="456"/>
      <c r="Y168" s="456"/>
    </row>
    <row r="169" spans="1:25" s="7" customFormat="1">
      <c r="A169" s="458" t="s">
        <v>853</v>
      </c>
      <c r="B169" s="483" t="s">
        <v>187</v>
      </c>
      <c r="C169" s="483"/>
      <c r="D169" s="456"/>
      <c r="E169" s="456"/>
      <c r="F169" s="459" t="s">
        <v>855</v>
      </c>
      <c r="G169" s="456"/>
      <c r="H169" s="456"/>
      <c r="I169" s="456"/>
      <c r="J169" s="485">
        <f>SUM(J167:J168)</f>
        <v>1198850.23</v>
      </c>
      <c r="K169" s="456"/>
      <c r="L169" s="485">
        <f>SUM(L167:L168)</f>
        <v>0</v>
      </c>
      <c r="M169" s="456"/>
      <c r="N169" s="486">
        <f>SUM(N167:N168)</f>
        <v>0</v>
      </c>
      <c r="O169" s="456"/>
      <c r="P169" s="485">
        <f t="shared" ref="P169" si="28">J169+L169+N169</f>
        <v>1198850.23</v>
      </c>
      <c r="Q169" s="456"/>
      <c r="R169" s="485">
        <f>SUM(R167:R168)</f>
        <v>1198114.08</v>
      </c>
      <c r="S169" s="485">
        <f>SUM(S167:S168)</f>
        <v>1192144.05</v>
      </c>
      <c r="T169" s="485">
        <f>SUM(T167:T168)</f>
        <v>1198850.23</v>
      </c>
      <c r="U169" s="456"/>
      <c r="V169" s="486">
        <f>SUM(V167:V168)</f>
        <v>6706.1799999999348</v>
      </c>
      <c r="W169" s="456"/>
      <c r="X169" s="456"/>
      <c r="Y169" s="456"/>
    </row>
    <row r="170" spans="1:25" s="7" customFormat="1" outlineLevel="1">
      <c r="A170" s="456"/>
      <c r="B170" s="457" t="s">
        <v>856</v>
      </c>
      <c r="C170" s="458"/>
      <c r="D170" s="459">
        <v>20320</v>
      </c>
      <c r="E170" s="459" t="s">
        <v>857</v>
      </c>
      <c r="F170" s="460"/>
      <c r="G170" s="460"/>
      <c r="H170" s="456"/>
      <c r="I170" s="456"/>
      <c r="J170" s="461">
        <v>224145.6</v>
      </c>
      <c r="K170" s="456"/>
      <c r="L170" s="461">
        <v>0</v>
      </c>
      <c r="M170" s="456"/>
      <c r="N170" s="462">
        <v>0</v>
      </c>
      <c r="O170" s="456"/>
      <c r="P170" s="461">
        <f t="shared" ref="P170:P180" si="29">J170+L170+N170</f>
        <v>224145.6</v>
      </c>
      <c r="Q170" s="456"/>
      <c r="R170" s="461">
        <v>36778.379999999997</v>
      </c>
      <c r="S170" s="461">
        <v>161491.16</v>
      </c>
      <c r="T170" s="461">
        <f t="shared" ref="T170:T180" si="30">P170</f>
        <v>224145.6</v>
      </c>
      <c r="U170" s="456"/>
      <c r="V170" s="462">
        <f t="shared" ref="V170:V180" si="31">T170-S170</f>
        <v>62654.44</v>
      </c>
      <c r="W170" s="456"/>
      <c r="X170" s="456"/>
    </row>
    <row r="171" spans="1:25" s="7" customFormat="1" outlineLevel="1">
      <c r="A171" s="456"/>
      <c r="B171" s="457" t="s">
        <v>380</v>
      </c>
      <c r="C171" s="458"/>
      <c r="D171" s="459">
        <v>20321</v>
      </c>
      <c r="E171" s="459" t="s">
        <v>858</v>
      </c>
      <c r="F171" s="460"/>
      <c r="G171" s="460"/>
      <c r="H171" s="456"/>
      <c r="I171" s="456"/>
      <c r="J171" s="461">
        <v>458100.1</v>
      </c>
      <c r="K171" s="456"/>
      <c r="L171" s="461">
        <v>0</v>
      </c>
      <c r="M171" s="456"/>
      <c r="N171" s="462">
        <v>0</v>
      </c>
      <c r="O171" s="456"/>
      <c r="P171" s="461">
        <f t="shared" si="29"/>
        <v>458100.1</v>
      </c>
      <c r="Q171" s="456"/>
      <c r="R171" s="461">
        <v>471089.37</v>
      </c>
      <c r="S171" s="461">
        <v>459294.28</v>
      </c>
      <c r="T171" s="461">
        <f t="shared" si="30"/>
        <v>458100.1</v>
      </c>
      <c r="U171" s="456"/>
      <c r="V171" s="462">
        <f t="shared" si="31"/>
        <v>-1194.1800000000512</v>
      </c>
      <c r="W171" s="456"/>
      <c r="X171" s="456"/>
    </row>
    <row r="172" spans="1:25" s="7" customFormat="1" outlineLevel="1">
      <c r="A172" s="456"/>
      <c r="B172" s="457" t="s">
        <v>380</v>
      </c>
      <c r="C172" s="458"/>
      <c r="D172" s="459">
        <v>20325</v>
      </c>
      <c r="E172" s="459" t="s">
        <v>859</v>
      </c>
      <c r="F172" s="460"/>
      <c r="G172" s="460"/>
      <c r="H172" s="456"/>
      <c r="I172" s="456"/>
      <c r="J172" s="461">
        <v>32220.06</v>
      </c>
      <c r="K172" s="456"/>
      <c r="L172" s="461">
        <v>0</v>
      </c>
      <c r="M172" s="456"/>
      <c r="N172" s="462">
        <v>0</v>
      </c>
      <c r="O172" s="456"/>
      <c r="P172" s="461">
        <f t="shared" si="29"/>
        <v>32220.06</v>
      </c>
      <c r="Q172" s="456"/>
      <c r="R172" s="461">
        <v>0</v>
      </c>
      <c r="S172" s="461">
        <v>19113.599999999999</v>
      </c>
      <c r="T172" s="461">
        <f t="shared" si="30"/>
        <v>32220.06</v>
      </c>
      <c r="U172" s="456"/>
      <c r="V172" s="462">
        <f t="shared" si="31"/>
        <v>13106.460000000003</v>
      </c>
      <c r="W172" s="456"/>
      <c r="X172" s="456"/>
    </row>
    <row r="173" spans="1:25" s="7" customFormat="1" outlineLevel="1">
      <c r="A173" s="456"/>
      <c r="B173" s="457" t="s">
        <v>380</v>
      </c>
      <c r="C173" s="458"/>
      <c r="D173" s="459">
        <v>20340</v>
      </c>
      <c r="E173" s="459" t="s">
        <v>860</v>
      </c>
      <c r="F173" s="460"/>
      <c r="G173" s="460"/>
      <c r="H173" s="456"/>
      <c r="I173" s="456"/>
      <c r="J173" s="461">
        <v>55655.05</v>
      </c>
      <c r="K173" s="456"/>
      <c r="L173" s="461">
        <v>0</v>
      </c>
      <c r="M173" s="456"/>
      <c r="N173" s="462">
        <v>0</v>
      </c>
      <c r="O173" s="456"/>
      <c r="P173" s="461">
        <f t="shared" si="29"/>
        <v>55655.05</v>
      </c>
      <c r="Q173" s="456"/>
      <c r="R173" s="461">
        <v>62217.31</v>
      </c>
      <c r="S173" s="461">
        <v>44360.77</v>
      </c>
      <c r="T173" s="461">
        <f t="shared" si="30"/>
        <v>55655.05</v>
      </c>
      <c r="U173" s="456"/>
      <c r="V173" s="462">
        <f t="shared" si="31"/>
        <v>11294.280000000006</v>
      </c>
      <c r="W173" s="456"/>
      <c r="X173" s="456"/>
    </row>
    <row r="174" spans="1:25" s="7" customFormat="1" outlineLevel="1">
      <c r="A174" s="456"/>
      <c r="B174" s="457" t="s">
        <v>380</v>
      </c>
      <c r="C174" s="458"/>
      <c r="D174" s="459">
        <v>20351</v>
      </c>
      <c r="E174" s="459" t="s">
        <v>861</v>
      </c>
      <c r="F174" s="460"/>
      <c r="G174" s="460"/>
      <c r="H174" s="456"/>
      <c r="I174" s="456"/>
      <c r="J174" s="461">
        <v>9647.94</v>
      </c>
      <c r="K174" s="456"/>
      <c r="L174" s="461">
        <v>0</v>
      </c>
      <c r="M174" s="456"/>
      <c r="N174" s="462">
        <v>0</v>
      </c>
      <c r="O174" s="456"/>
      <c r="P174" s="461">
        <f t="shared" si="29"/>
        <v>9647.94</v>
      </c>
      <c r="Q174" s="456"/>
      <c r="R174" s="461">
        <v>14471.91</v>
      </c>
      <c r="S174" s="461">
        <v>4721.7299999999996</v>
      </c>
      <c r="T174" s="461">
        <f t="shared" si="30"/>
        <v>9647.94</v>
      </c>
      <c r="U174" s="456"/>
      <c r="V174" s="462">
        <f t="shared" si="31"/>
        <v>4926.2100000000009</v>
      </c>
      <c r="W174" s="456"/>
      <c r="X174" s="456"/>
    </row>
    <row r="175" spans="1:25" s="7" customFormat="1" outlineLevel="1">
      <c r="A175" s="456"/>
      <c r="B175" s="457" t="s">
        <v>380</v>
      </c>
      <c r="C175" s="458"/>
      <c r="D175" s="459">
        <v>20360</v>
      </c>
      <c r="E175" s="459" t="s">
        <v>862</v>
      </c>
      <c r="F175" s="460"/>
      <c r="G175" s="460"/>
      <c r="H175" s="456"/>
      <c r="I175" s="456"/>
      <c r="J175" s="461">
        <v>0</v>
      </c>
      <c r="K175" s="456"/>
      <c r="L175" s="461">
        <v>0</v>
      </c>
      <c r="M175" s="456"/>
      <c r="N175" s="462">
        <v>0</v>
      </c>
      <c r="O175" s="456"/>
      <c r="P175" s="461">
        <f t="shared" si="29"/>
        <v>0</v>
      </c>
      <c r="Q175" s="456"/>
      <c r="R175" s="461">
        <v>0</v>
      </c>
      <c r="S175" s="461">
        <v>0</v>
      </c>
      <c r="T175" s="461">
        <f t="shared" si="30"/>
        <v>0</v>
      </c>
      <c r="U175" s="456"/>
      <c r="V175" s="462">
        <f t="shared" si="31"/>
        <v>0</v>
      </c>
      <c r="W175" s="456"/>
      <c r="X175" s="456"/>
    </row>
    <row r="176" spans="1:25" s="7" customFormat="1" outlineLevel="1">
      <c r="A176" s="456"/>
      <c r="B176" s="457" t="s">
        <v>380</v>
      </c>
      <c r="C176" s="458"/>
      <c r="D176" s="459">
        <v>20397</v>
      </c>
      <c r="E176" s="459" t="s">
        <v>863</v>
      </c>
      <c r="F176" s="460"/>
      <c r="G176" s="460"/>
      <c r="H176" s="456"/>
      <c r="I176" s="456"/>
      <c r="J176" s="461">
        <v>0</v>
      </c>
      <c r="K176" s="456"/>
      <c r="L176" s="461">
        <v>0</v>
      </c>
      <c r="M176" s="456"/>
      <c r="N176" s="462">
        <v>0</v>
      </c>
      <c r="O176" s="456"/>
      <c r="P176" s="461">
        <f t="shared" si="29"/>
        <v>0</v>
      </c>
      <c r="Q176" s="456"/>
      <c r="R176" s="461">
        <v>0</v>
      </c>
      <c r="S176" s="461">
        <v>0</v>
      </c>
      <c r="T176" s="461">
        <f t="shared" si="30"/>
        <v>0</v>
      </c>
      <c r="U176" s="456"/>
      <c r="V176" s="462">
        <f t="shared" si="31"/>
        <v>0</v>
      </c>
      <c r="W176" s="456"/>
      <c r="X176" s="456"/>
    </row>
    <row r="177" spans="1:25" s="7" customFormat="1" outlineLevel="1">
      <c r="A177" s="456"/>
      <c r="B177" s="457" t="s">
        <v>380</v>
      </c>
      <c r="C177" s="458"/>
      <c r="D177" s="459">
        <v>20651</v>
      </c>
      <c r="E177" s="459" t="s">
        <v>864</v>
      </c>
      <c r="F177" s="460"/>
      <c r="G177" s="460"/>
      <c r="H177" s="456"/>
      <c r="I177" s="456"/>
      <c r="J177" s="461">
        <v>2875.17</v>
      </c>
      <c r="K177" s="456"/>
      <c r="L177" s="461">
        <v>0</v>
      </c>
      <c r="M177" s="456"/>
      <c r="N177" s="462">
        <v>0</v>
      </c>
      <c r="O177" s="456"/>
      <c r="P177" s="461">
        <f t="shared" si="29"/>
        <v>2875.17</v>
      </c>
      <c r="Q177" s="456"/>
      <c r="R177" s="461">
        <v>2875.17</v>
      </c>
      <c r="S177" s="461">
        <v>2875.17</v>
      </c>
      <c r="T177" s="461">
        <f t="shared" si="30"/>
        <v>2875.17</v>
      </c>
      <c r="U177" s="456"/>
      <c r="V177" s="462">
        <f t="shared" si="31"/>
        <v>0</v>
      </c>
      <c r="W177" s="456"/>
      <c r="X177" s="456"/>
    </row>
    <row r="178" spans="1:25" s="7" customFormat="1" outlineLevel="1">
      <c r="A178" s="456"/>
      <c r="B178" s="457" t="s">
        <v>380</v>
      </c>
      <c r="C178" s="458"/>
      <c r="D178" s="459">
        <v>20652</v>
      </c>
      <c r="E178" s="459" t="s">
        <v>865</v>
      </c>
      <c r="F178" s="460"/>
      <c r="G178" s="460"/>
      <c r="H178" s="456"/>
      <c r="I178" s="456"/>
      <c r="J178" s="461">
        <v>-3135</v>
      </c>
      <c r="K178" s="456"/>
      <c r="L178" s="461">
        <v>0</v>
      </c>
      <c r="M178" s="456"/>
      <c r="N178" s="462">
        <v>0</v>
      </c>
      <c r="O178" s="456"/>
      <c r="P178" s="461">
        <f t="shared" si="29"/>
        <v>-3135</v>
      </c>
      <c r="Q178" s="456"/>
      <c r="R178" s="461">
        <v>-2565</v>
      </c>
      <c r="S178" s="461">
        <v>-2850</v>
      </c>
      <c r="T178" s="461">
        <f t="shared" si="30"/>
        <v>-3135</v>
      </c>
      <c r="U178" s="456"/>
      <c r="V178" s="462">
        <f t="shared" si="31"/>
        <v>-285</v>
      </c>
      <c r="W178" s="456"/>
      <c r="X178" s="456"/>
    </row>
    <row r="179" spans="1:25" s="7" customFormat="1" outlineLevel="1">
      <c r="A179" s="456"/>
      <c r="B179" s="457" t="s">
        <v>380</v>
      </c>
      <c r="C179" s="458"/>
      <c r="D179" s="459">
        <v>20655</v>
      </c>
      <c r="E179" s="459" t="s">
        <v>866</v>
      </c>
      <c r="F179" s="460"/>
      <c r="G179" s="460"/>
      <c r="H179" s="456"/>
      <c r="I179" s="456"/>
      <c r="J179" s="461">
        <v>503.73</v>
      </c>
      <c r="K179" s="456"/>
      <c r="L179" s="461">
        <v>0</v>
      </c>
      <c r="M179" s="456"/>
      <c r="N179" s="462">
        <v>0</v>
      </c>
      <c r="O179" s="456"/>
      <c r="P179" s="461">
        <f t="shared" si="29"/>
        <v>503.73</v>
      </c>
      <c r="Q179" s="456"/>
      <c r="R179" s="461">
        <v>419.16</v>
      </c>
      <c r="S179" s="461">
        <v>461.84</v>
      </c>
      <c r="T179" s="461">
        <f t="shared" si="30"/>
        <v>503.73</v>
      </c>
      <c r="U179" s="456"/>
      <c r="V179" s="462">
        <f t="shared" si="31"/>
        <v>41.890000000000043</v>
      </c>
      <c r="W179" s="456"/>
      <c r="X179" s="456"/>
    </row>
    <row r="180" spans="1:25" s="7" customFormat="1" outlineLevel="1">
      <c r="A180" s="456"/>
      <c r="B180" s="457" t="s">
        <v>380</v>
      </c>
      <c r="C180" s="458"/>
      <c r="D180" s="459">
        <v>20658</v>
      </c>
      <c r="E180" s="459" t="s">
        <v>867</v>
      </c>
      <c r="F180" s="460"/>
      <c r="G180" s="460"/>
      <c r="H180" s="456"/>
      <c r="I180" s="456"/>
      <c r="J180" s="461">
        <v>2735.74</v>
      </c>
      <c r="K180" s="456"/>
      <c r="L180" s="461">
        <v>0</v>
      </c>
      <c r="M180" s="456"/>
      <c r="N180" s="462">
        <v>0</v>
      </c>
      <c r="O180" s="456"/>
      <c r="P180" s="461">
        <f t="shared" si="29"/>
        <v>2735.74</v>
      </c>
      <c r="Q180" s="456"/>
      <c r="R180" s="461">
        <v>2231.04</v>
      </c>
      <c r="S180" s="461">
        <v>2482.98</v>
      </c>
      <c r="T180" s="461">
        <f t="shared" si="30"/>
        <v>2735.74</v>
      </c>
      <c r="U180" s="456"/>
      <c r="V180" s="462">
        <f t="shared" si="31"/>
        <v>252.75999999999976</v>
      </c>
      <c r="W180" s="456"/>
      <c r="X180" s="456"/>
    </row>
    <row r="181" spans="1:25" s="7" customFormat="1" ht="4.5" customHeight="1" outlineLevel="1">
      <c r="A181" s="483" t="s">
        <v>187</v>
      </c>
      <c r="B181" s="483" t="s">
        <v>187</v>
      </c>
      <c r="C181" s="483"/>
      <c r="D181" s="494"/>
      <c r="E181" s="456"/>
      <c r="F181" s="456"/>
      <c r="G181" s="456"/>
      <c r="H181" s="456"/>
      <c r="I181" s="456"/>
      <c r="J181" s="487"/>
      <c r="K181" s="456"/>
      <c r="L181" s="487"/>
      <c r="M181" s="456"/>
      <c r="N181" s="488"/>
      <c r="O181" s="456"/>
      <c r="P181" s="487"/>
      <c r="Q181" s="456"/>
      <c r="R181" s="487"/>
      <c r="S181" s="487"/>
      <c r="T181" s="487"/>
      <c r="U181" s="456"/>
      <c r="V181" s="488"/>
      <c r="W181" s="456"/>
      <c r="X181" s="456"/>
      <c r="Y181" s="456"/>
    </row>
    <row r="182" spans="1:25" s="7" customFormat="1">
      <c r="A182" s="458" t="s">
        <v>856</v>
      </c>
      <c r="B182" s="483" t="s">
        <v>187</v>
      </c>
      <c r="C182" s="483"/>
      <c r="D182" s="456"/>
      <c r="E182" s="456"/>
      <c r="F182" s="456" t="s">
        <v>868</v>
      </c>
      <c r="G182" s="456"/>
      <c r="H182" s="456"/>
      <c r="I182" s="456"/>
      <c r="J182" s="485">
        <f>SUM(J170:J181)</f>
        <v>782748.39</v>
      </c>
      <c r="K182" s="456"/>
      <c r="L182" s="485">
        <f>SUM(L170:L181)</f>
        <v>0</v>
      </c>
      <c r="M182" s="456"/>
      <c r="N182" s="486">
        <f>SUM(N170:N181)</f>
        <v>0</v>
      </c>
      <c r="O182" s="456"/>
      <c r="P182" s="485">
        <f>J182+L182+N182</f>
        <v>782748.39</v>
      </c>
      <c r="Q182" s="456"/>
      <c r="R182" s="485">
        <f>SUM(R170:R181)</f>
        <v>587517.3400000002</v>
      </c>
      <c r="S182" s="485">
        <f>SUM(S170:S181)</f>
        <v>691951.53</v>
      </c>
      <c r="T182" s="485">
        <f>SUM(T170:T181)</f>
        <v>782748.39</v>
      </c>
      <c r="U182" s="456"/>
      <c r="V182" s="486">
        <f>SUM(V170:V181)</f>
        <v>90796.859999999971</v>
      </c>
      <c r="W182" s="456"/>
      <c r="X182" s="456"/>
      <c r="Y182" s="456"/>
    </row>
    <row r="183" spans="1:25" s="7" customFormat="1" ht="7.5" customHeight="1">
      <c r="A183" s="483" t="s">
        <v>187</v>
      </c>
      <c r="B183" s="483" t="s">
        <v>187</v>
      </c>
      <c r="C183" s="483"/>
      <c r="D183" s="456"/>
      <c r="E183" s="456"/>
      <c r="F183" s="456"/>
      <c r="G183" s="456"/>
      <c r="H183" s="456"/>
      <c r="I183" s="456"/>
      <c r="J183" s="490"/>
      <c r="K183" s="456"/>
      <c r="L183" s="490"/>
      <c r="M183" s="456"/>
      <c r="N183" s="462"/>
      <c r="O183" s="456"/>
      <c r="P183" s="490"/>
      <c r="Q183" s="456"/>
      <c r="R183" s="490"/>
      <c r="S183" s="490"/>
      <c r="T183" s="490"/>
      <c r="U183" s="456"/>
      <c r="V183" s="462"/>
      <c r="W183" s="456"/>
      <c r="X183" s="456"/>
      <c r="Y183" s="456"/>
    </row>
    <row r="184" spans="1:25" s="7" customFormat="1">
      <c r="A184" s="483" t="s">
        <v>187</v>
      </c>
      <c r="B184" s="483" t="s">
        <v>187</v>
      </c>
      <c r="C184" s="483"/>
      <c r="D184" s="456"/>
      <c r="E184" s="491" t="s">
        <v>869</v>
      </c>
      <c r="F184" s="456"/>
      <c r="G184" s="456"/>
      <c r="H184" s="456"/>
      <c r="I184" s="456"/>
      <c r="J184" s="492">
        <f>SUM(J154,J166,J169,J182,J150)</f>
        <v>3140906.37</v>
      </c>
      <c r="K184" s="456"/>
      <c r="L184" s="492">
        <f>SUM(L154,L166,L169,L182,L150)</f>
        <v>0</v>
      </c>
      <c r="M184" s="456"/>
      <c r="N184" s="493">
        <f>SUM(N154,N166,N169,N182)</f>
        <v>0</v>
      </c>
      <c r="O184" s="456"/>
      <c r="P184" s="492">
        <f>SUM(P154,P166,P169,P182,P150)</f>
        <v>3140906.37</v>
      </c>
      <c r="Q184" s="456"/>
      <c r="R184" s="492">
        <f>SUM(R154,R166,R169,R182,R150)</f>
        <v>4135786.4100000006</v>
      </c>
      <c r="S184" s="492">
        <f>SUM(S154,S166,S169,S182,S150)</f>
        <v>2863951.9800000004</v>
      </c>
      <c r="T184" s="492">
        <f>SUM(T154,T166,T169,T182,T150)</f>
        <v>3140906.37</v>
      </c>
      <c r="U184" s="456"/>
      <c r="V184" s="493">
        <f>SUM(V154,V166,V169,V182,V150)</f>
        <v>276954.3899999999</v>
      </c>
      <c r="W184" s="456"/>
      <c r="X184" s="456"/>
      <c r="Y184" s="456"/>
    </row>
    <row r="185" spans="1:25" s="7" customFormat="1" ht="7.5" customHeight="1">
      <c r="A185" s="483" t="s">
        <v>187</v>
      </c>
      <c r="B185" s="483" t="s">
        <v>187</v>
      </c>
      <c r="C185" s="483"/>
      <c r="D185" s="456"/>
      <c r="E185" s="456"/>
      <c r="F185" s="456"/>
      <c r="G185" s="456"/>
      <c r="H185" s="456"/>
      <c r="I185" s="456"/>
      <c r="J185" s="490"/>
      <c r="K185" s="456"/>
      <c r="L185" s="490"/>
      <c r="M185" s="456"/>
      <c r="N185" s="462"/>
      <c r="O185" s="456"/>
      <c r="P185" s="490"/>
      <c r="Q185" s="456"/>
      <c r="R185" s="490"/>
      <c r="S185" s="490"/>
      <c r="T185" s="490"/>
      <c r="U185" s="456"/>
      <c r="V185" s="462"/>
      <c r="W185" s="456"/>
      <c r="X185" s="456"/>
      <c r="Y185" s="456"/>
    </row>
    <row r="186" spans="1:25" s="7" customFormat="1" outlineLevel="1">
      <c r="A186" s="483" t="s">
        <v>187</v>
      </c>
      <c r="B186" s="483" t="s">
        <v>187</v>
      </c>
      <c r="C186" s="483"/>
      <c r="D186" s="456"/>
      <c r="E186" s="456"/>
      <c r="F186" s="456"/>
      <c r="G186" s="456"/>
      <c r="H186" s="456"/>
      <c r="I186" s="456"/>
      <c r="J186" s="490"/>
      <c r="K186" s="456"/>
      <c r="L186" s="490"/>
      <c r="M186" s="456"/>
      <c r="N186" s="462"/>
      <c r="O186" s="456"/>
      <c r="P186" s="490"/>
      <c r="Q186" s="456"/>
      <c r="R186" s="490"/>
      <c r="S186" s="490"/>
      <c r="T186" s="490"/>
      <c r="U186" s="456"/>
      <c r="V186" s="462"/>
      <c r="W186" s="456"/>
      <c r="X186" s="456"/>
      <c r="Y186" s="456"/>
    </row>
    <row r="187" spans="1:25" s="7" customFormat="1" outlineLevel="1">
      <c r="A187" s="456"/>
      <c r="B187" s="457" t="s">
        <v>870</v>
      </c>
      <c r="C187" s="458"/>
      <c r="D187" s="459"/>
      <c r="E187" s="459"/>
      <c r="F187" s="460"/>
      <c r="G187" s="460"/>
      <c r="H187" s="456"/>
      <c r="I187" s="456"/>
      <c r="J187" s="461"/>
      <c r="K187" s="456"/>
      <c r="L187" s="461"/>
      <c r="M187" s="456"/>
      <c r="N187" s="462"/>
      <c r="O187" s="456"/>
      <c r="P187" s="461">
        <f>J187+L187+N187</f>
        <v>0</v>
      </c>
      <c r="Q187" s="456"/>
      <c r="R187" s="461"/>
      <c r="S187" s="461"/>
      <c r="T187" s="461">
        <f>P187</f>
        <v>0</v>
      </c>
      <c r="U187" s="456"/>
      <c r="V187" s="462">
        <f>T187-S187</f>
        <v>0</v>
      </c>
      <c r="W187" s="456"/>
      <c r="X187" s="456"/>
    </row>
    <row r="188" spans="1:25" s="7" customFormat="1" ht="5.0999999999999996" customHeight="1" outlineLevel="1">
      <c r="A188" s="483" t="s">
        <v>187</v>
      </c>
      <c r="B188" s="483" t="s">
        <v>187</v>
      </c>
      <c r="C188" s="483"/>
      <c r="D188" s="460"/>
      <c r="E188" s="460"/>
      <c r="F188" s="460"/>
      <c r="G188" s="460"/>
      <c r="H188" s="456"/>
      <c r="I188" s="456"/>
      <c r="J188" s="487"/>
      <c r="K188" s="456"/>
      <c r="L188" s="487"/>
      <c r="M188" s="456"/>
      <c r="N188" s="488"/>
      <c r="O188" s="456"/>
      <c r="P188" s="487"/>
      <c r="Q188" s="456"/>
      <c r="R188" s="487"/>
      <c r="S188" s="487"/>
      <c r="T188" s="487"/>
      <c r="U188" s="456"/>
      <c r="V188" s="488"/>
      <c r="W188" s="456"/>
      <c r="X188" s="456"/>
      <c r="Y188" s="456"/>
    </row>
    <row r="189" spans="1:25" s="7" customFormat="1">
      <c r="A189" s="458" t="s">
        <v>870</v>
      </c>
      <c r="B189" s="483" t="s">
        <v>187</v>
      </c>
      <c r="C189" s="483"/>
      <c r="D189" s="456"/>
      <c r="E189" s="456"/>
      <c r="F189" s="459" t="s">
        <v>871</v>
      </c>
      <c r="G189" s="456"/>
      <c r="H189" s="456"/>
      <c r="I189" s="456"/>
      <c r="J189" s="485">
        <f>SUM(J187:J188)</f>
        <v>0</v>
      </c>
      <c r="K189" s="456"/>
      <c r="L189" s="485">
        <f>SUM(L187:L188)</f>
        <v>0</v>
      </c>
      <c r="M189" s="456"/>
      <c r="N189" s="486">
        <f>SUM(N187:N188)</f>
        <v>0</v>
      </c>
      <c r="O189" s="456"/>
      <c r="P189" s="485">
        <f>J189+L189+N189</f>
        <v>0</v>
      </c>
      <c r="Q189" s="456"/>
      <c r="R189" s="485">
        <f>SUM(R187:R188)</f>
        <v>0</v>
      </c>
      <c r="S189" s="485">
        <f>SUM(S187:S188)</f>
        <v>0</v>
      </c>
      <c r="T189" s="485">
        <f>SUM(T187:T188)</f>
        <v>0</v>
      </c>
      <c r="U189" s="456"/>
      <c r="V189" s="486">
        <f>SUM(V187:V188)</f>
        <v>0</v>
      </c>
      <c r="W189" s="456"/>
      <c r="X189" s="456"/>
      <c r="Y189" s="456"/>
    </row>
    <row r="190" spans="1:25" s="7" customFormat="1" outlineLevel="1">
      <c r="A190" s="456"/>
      <c r="B190" s="457" t="s">
        <v>872</v>
      </c>
      <c r="C190" s="458"/>
      <c r="D190" s="459"/>
      <c r="E190" s="459"/>
      <c r="F190" s="460"/>
      <c r="G190" s="460"/>
      <c r="H190" s="456"/>
      <c r="I190" s="456"/>
      <c r="J190" s="461"/>
      <c r="K190" s="456"/>
      <c r="L190" s="461"/>
      <c r="M190" s="456"/>
      <c r="N190" s="462"/>
      <c r="O190" s="456"/>
      <c r="P190" s="461">
        <f>J190+L190+N190</f>
        <v>0</v>
      </c>
      <c r="Q190" s="456"/>
      <c r="R190" s="461"/>
      <c r="S190" s="461"/>
      <c r="T190" s="461">
        <f>P190</f>
        <v>0</v>
      </c>
      <c r="U190" s="456"/>
      <c r="V190" s="462">
        <f>T190-S190</f>
        <v>0</v>
      </c>
      <c r="W190" s="456"/>
      <c r="X190" s="456"/>
    </row>
    <row r="191" spans="1:25" s="7" customFormat="1" ht="5.0999999999999996" customHeight="1" outlineLevel="1">
      <c r="A191" s="483" t="s">
        <v>187</v>
      </c>
      <c r="B191" s="483" t="s">
        <v>187</v>
      </c>
      <c r="C191" s="483"/>
      <c r="D191" s="460"/>
      <c r="E191" s="460"/>
      <c r="F191" s="460"/>
      <c r="G191" s="460"/>
      <c r="H191" s="456"/>
      <c r="I191" s="456"/>
      <c r="J191" s="487"/>
      <c r="K191" s="456"/>
      <c r="L191" s="487"/>
      <c r="M191" s="456"/>
      <c r="N191" s="488"/>
      <c r="O191" s="456"/>
      <c r="P191" s="487"/>
      <c r="Q191" s="456"/>
      <c r="R191" s="487"/>
      <c r="S191" s="487"/>
      <c r="T191" s="487"/>
      <c r="U191" s="456"/>
      <c r="V191" s="488"/>
      <c r="W191" s="456"/>
      <c r="X191" s="456"/>
      <c r="Y191" s="456"/>
    </row>
    <row r="192" spans="1:25" s="7" customFormat="1">
      <c r="A192" s="458" t="s">
        <v>872</v>
      </c>
      <c r="B192" s="483" t="s">
        <v>187</v>
      </c>
      <c r="C192" s="483"/>
      <c r="D192" s="456"/>
      <c r="E192" s="456"/>
      <c r="F192" s="459" t="s">
        <v>873</v>
      </c>
      <c r="G192" s="456"/>
      <c r="H192" s="456"/>
      <c r="I192" s="456"/>
      <c r="J192" s="485">
        <f>SUM(J190:J191)</f>
        <v>0</v>
      </c>
      <c r="K192" s="456"/>
      <c r="L192" s="485">
        <f>SUM(L190:L191)</f>
        <v>0</v>
      </c>
      <c r="M192" s="456"/>
      <c r="N192" s="486">
        <f>SUM(N190:N191)</f>
        <v>0</v>
      </c>
      <c r="O192" s="456"/>
      <c r="P192" s="485">
        <f>J192+L192+N192</f>
        <v>0</v>
      </c>
      <c r="Q192" s="456"/>
      <c r="R192" s="485">
        <f>SUM(R190:R191)</f>
        <v>0</v>
      </c>
      <c r="S192" s="485">
        <f>SUM(S190:S191)</f>
        <v>0</v>
      </c>
      <c r="T192" s="485">
        <f>SUM(T190:T191)</f>
        <v>0</v>
      </c>
      <c r="U192" s="456"/>
      <c r="V192" s="486">
        <f>SUM(V190:V191)</f>
        <v>0</v>
      </c>
      <c r="W192" s="456"/>
      <c r="X192" s="456"/>
      <c r="Y192" s="456"/>
    </row>
    <row r="193" spans="1:25" s="7" customFormat="1" outlineLevel="1">
      <c r="A193" s="456"/>
      <c r="B193" s="457" t="s">
        <v>874</v>
      </c>
      <c r="C193" s="458"/>
      <c r="D193" s="459">
        <v>21651</v>
      </c>
      <c r="E193" s="459" t="s">
        <v>875</v>
      </c>
      <c r="F193" s="460"/>
      <c r="G193" s="460"/>
      <c r="H193" s="456"/>
      <c r="I193" s="456"/>
      <c r="J193" s="461">
        <v>12688.47</v>
      </c>
      <c r="K193" s="456"/>
      <c r="L193" s="461">
        <v>0</v>
      </c>
      <c r="M193" s="456"/>
      <c r="N193" s="462">
        <v>0</v>
      </c>
      <c r="O193" s="456"/>
      <c r="P193" s="461">
        <f>J193+L193+N193</f>
        <v>12688.47</v>
      </c>
      <c r="Q193" s="456"/>
      <c r="R193" s="461">
        <v>12688.47</v>
      </c>
      <c r="S193" s="461">
        <v>12688.47</v>
      </c>
      <c r="T193" s="461">
        <f t="shared" ref="T193:T195" si="32">P193</f>
        <v>12688.47</v>
      </c>
      <c r="U193" s="456"/>
      <c r="V193" s="462">
        <f t="shared" ref="V193:V195" si="33">T193-S193</f>
        <v>0</v>
      </c>
      <c r="W193" s="456"/>
      <c r="X193" s="456"/>
    </row>
    <row r="194" spans="1:25" s="7" customFormat="1" outlineLevel="1">
      <c r="A194" s="456"/>
      <c r="B194" s="457" t="s">
        <v>380</v>
      </c>
      <c r="C194" s="458"/>
      <c r="D194" s="459">
        <v>21655</v>
      </c>
      <c r="E194" s="459" t="s">
        <v>876</v>
      </c>
      <c r="F194" s="460"/>
      <c r="G194" s="460"/>
      <c r="H194" s="456"/>
      <c r="I194" s="456"/>
      <c r="J194" s="461">
        <v>0</v>
      </c>
      <c r="K194" s="456"/>
      <c r="L194" s="461">
        <v>0</v>
      </c>
      <c r="M194" s="456"/>
      <c r="N194" s="462">
        <v>0</v>
      </c>
      <c r="O194" s="456"/>
      <c r="P194" s="461">
        <f>J194+L194+N194</f>
        <v>0</v>
      </c>
      <c r="Q194" s="456"/>
      <c r="R194" s="461">
        <v>0</v>
      </c>
      <c r="S194" s="461">
        <v>0</v>
      </c>
      <c r="T194" s="461">
        <f t="shared" si="32"/>
        <v>0</v>
      </c>
      <c r="U194" s="456"/>
      <c r="V194" s="462">
        <f t="shared" si="33"/>
        <v>0</v>
      </c>
      <c r="W194" s="456"/>
      <c r="X194" s="456"/>
    </row>
    <row r="195" spans="1:25" s="7" customFormat="1" outlineLevel="1">
      <c r="A195" s="456"/>
      <c r="B195" s="457" t="s">
        <v>380</v>
      </c>
      <c r="C195" s="458"/>
      <c r="D195" s="459">
        <v>21658</v>
      </c>
      <c r="E195" s="459" t="s">
        <v>877</v>
      </c>
      <c r="F195" s="460"/>
      <c r="G195" s="460"/>
      <c r="H195" s="456"/>
      <c r="I195" s="456"/>
      <c r="J195" s="461">
        <v>-2735.74</v>
      </c>
      <c r="K195" s="456"/>
      <c r="L195" s="461">
        <v>0</v>
      </c>
      <c r="M195" s="456"/>
      <c r="N195" s="462">
        <v>0</v>
      </c>
      <c r="O195" s="456"/>
      <c r="P195" s="461">
        <f>J195+L195+N195</f>
        <v>-2735.74</v>
      </c>
      <c r="Q195" s="456"/>
      <c r="R195" s="461">
        <v>-2231.04</v>
      </c>
      <c r="S195" s="461">
        <v>-2482.98</v>
      </c>
      <c r="T195" s="461">
        <f t="shared" si="32"/>
        <v>-2735.74</v>
      </c>
      <c r="U195" s="456"/>
      <c r="V195" s="462">
        <f t="shared" si="33"/>
        <v>-252.75999999999976</v>
      </c>
      <c r="W195" s="456"/>
      <c r="X195" s="456"/>
    </row>
    <row r="196" spans="1:25" s="7" customFormat="1" ht="5.0999999999999996" customHeight="1" outlineLevel="1">
      <c r="A196" s="483" t="s">
        <v>187</v>
      </c>
      <c r="B196" s="458" t="s">
        <v>187</v>
      </c>
      <c r="C196" s="458"/>
      <c r="D196" s="460"/>
      <c r="E196" s="460"/>
      <c r="F196" s="460"/>
      <c r="G196" s="460"/>
      <c r="H196" s="456"/>
      <c r="I196" s="456"/>
      <c r="J196" s="487"/>
      <c r="K196" s="456"/>
      <c r="L196" s="487"/>
      <c r="M196" s="456"/>
      <c r="N196" s="488"/>
      <c r="O196" s="456"/>
      <c r="P196" s="487"/>
      <c r="Q196" s="456"/>
      <c r="R196" s="487"/>
      <c r="S196" s="487"/>
      <c r="T196" s="487"/>
      <c r="U196" s="456"/>
      <c r="V196" s="488"/>
      <c r="W196" s="456"/>
      <c r="X196" s="456"/>
      <c r="Y196" s="456"/>
    </row>
    <row r="197" spans="1:25" s="7" customFormat="1">
      <c r="A197" s="458" t="s">
        <v>874</v>
      </c>
      <c r="B197" s="458" t="s">
        <v>187</v>
      </c>
      <c r="C197" s="458"/>
      <c r="D197" s="456"/>
      <c r="E197" s="456"/>
      <c r="F197" s="459" t="s">
        <v>878</v>
      </c>
      <c r="G197" s="456"/>
      <c r="H197" s="456"/>
      <c r="I197" s="456"/>
      <c r="J197" s="485">
        <f>SUM(J193:J196)</f>
        <v>9952.73</v>
      </c>
      <c r="K197" s="456"/>
      <c r="L197" s="485">
        <f>SUM(L193:L196)</f>
        <v>0</v>
      </c>
      <c r="M197" s="456"/>
      <c r="N197" s="486">
        <f>SUM(N193:N196)</f>
        <v>0</v>
      </c>
      <c r="O197" s="456"/>
      <c r="P197" s="485">
        <f>J197+L197+N197</f>
        <v>9952.73</v>
      </c>
      <c r="Q197" s="456"/>
      <c r="R197" s="485">
        <f>SUM(R193:R196)</f>
        <v>10457.43</v>
      </c>
      <c r="S197" s="485">
        <f>SUM(S193:S196)</f>
        <v>10205.49</v>
      </c>
      <c r="T197" s="485">
        <f>SUM(T193:T196)</f>
        <v>9952.73</v>
      </c>
      <c r="U197" s="456"/>
      <c r="V197" s="486">
        <f>SUM(V193:V196)</f>
        <v>-252.75999999999976</v>
      </c>
      <c r="W197" s="456"/>
      <c r="X197" s="456"/>
      <c r="Y197" s="456"/>
    </row>
    <row r="198" spans="1:25" s="7" customFormat="1" outlineLevel="1">
      <c r="A198" s="456"/>
      <c r="B198" s="457" t="s">
        <v>879</v>
      </c>
      <c r="C198" s="458"/>
      <c r="D198" s="459"/>
      <c r="E198" s="459"/>
      <c r="F198" s="460"/>
      <c r="G198" s="460"/>
      <c r="H198" s="456"/>
      <c r="I198" s="456"/>
      <c r="J198" s="461"/>
      <c r="K198" s="456"/>
      <c r="L198" s="461"/>
      <c r="M198" s="456"/>
      <c r="N198" s="462"/>
      <c r="O198" s="456"/>
      <c r="P198" s="461">
        <f>J198+L198+N198</f>
        <v>0</v>
      </c>
      <c r="Q198" s="456"/>
      <c r="R198" s="461"/>
      <c r="S198" s="461"/>
      <c r="T198" s="461">
        <f>P198</f>
        <v>0</v>
      </c>
      <c r="U198" s="456"/>
      <c r="V198" s="462">
        <f>T198-S198</f>
        <v>0</v>
      </c>
      <c r="W198" s="456"/>
      <c r="X198" s="456"/>
    </row>
    <row r="199" spans="1:25" s="7" customFormat="1" ht="5.0999999999999996" customHeight="1" outlineLevel="1">
      <c r="A199" s="458" t="s">
        <v>187</v>
      </c>
      <c r="B199" s="483"/>
      <c r="C199" s="483"/>
      <c r="D199" s="459"/>
      <c r="E199" s="459"/>
      <c r="F199" s="456"/>
      <c r="G199" s="456"/>
      <c r="H199" s="456"/>
      <c r="I199" s="456"/>
      <c r="J199" s="487"/>
      <c r="K199" s="456"/>
      <c r="L199" s="487"/>
      <c r="M199" s="456"/>
      <c r="N199" s="488"/>
      <c r="O199" s="456"/>
      <c r="P199" s="487"/>
      <c r="Q199" s="456"/>
      <c r="R199" s="487"/>
      <c r="S199" s="487"/>
      <c r="T199" s="487"/>
      <c r="U199" s="456"/>
      <c r="V199" s="488"/>
      <c r="W199" s="456"/>
      <c r="X199" s="456"/>
      <c r="Y199" s="456"/>
    </row>
    <row r="200" spans="1:25" s="7" customFormat="1" ht="12.75" customHeight="1">
      <c r="A200" s="458" t="s">
        <v>879</v>
      </c>
      <c r="B200" s="483" t="s">
        <v>187</v>
      </c>
      <c r="C200" s="483"/>
      <c r="D200" s="456"/>
      <c r="E200" s="456"/>
      <c r="F200" s="456" t="s">
        <v>880</v>
      </c>
      <c r="G200" s="456"/>
      <c r="H200" s="456"/>
      <c r="I200" s="456"/>
      <c r="J200" s="485">
        <f>SUM(J198:J199)</f>
        <v>0</v>
      </c>
      <c r="K200" s="456"/>
      <c r="L200" s="485">
        <f>SUM(L198:L199)</f>
        <v>0</v>
      </c>
      <c r="M200" s="456"/>
      <c r="N200" s="486">
        <f>SUM(N198:N199)</f>
        <v>0</v>
      </c>
      <c r="O200" s="456"/>
      <c r="P200" s="485">
        <f>J200+L200+N200</f>
        <v>0</v>
      </c>
      <c r="Q200" s="456"/>
      <c r="R200" s="485">
        <f>SUM(R198:R199)</f>
        <v>0</v>
      </c>
      <c r="S200" s="485">
        <f>SUM(S198:S199)</f>
        <v>0</v>
      </c>
      <c r="T200" s="485">
        <f>SUM(T198:T199)</f>
        <v>0</v>
      </c>
      <c r="U200" s="456"/>
      <c r="V200" s="486">
        <f>SUM(V198:V199)</f>
        <v>0</v>
      </c>
      <c r="W200" s="456"/>
      <c r="X200" s="456"/>
      <c r="Y200" s="456"/>
    </row>
    <row r="201" spans="1:25" s="7" customFormat="1" outlineLevel="1">
      <c r="A201" s="456"/>
      <c r="B201" s="457" t="s">
        <v>881</v>
      </c>
      <c r="C201" s="458"/>
      <c r="D201" s="459"/>
      <c r="E201" s="459"/>
      <c r="F201" s="460"/>
      <c r="G201" s="460"/>
      <c r="H201" s="456"/>
      <c r="I201" s="456"/>
      <c r="J201" s="461"/>
      <c r="K201" s="456"/>
      <c r="L201" s="461"/>
      <c r="M201" s="456"/>
      <c r="N201" s="462"/>
      <c r="O201" s="456"/>
      <c r="P201" s="461">
        <f>J201+L201+N201</f>
        <v>0</v>
      </c>
      <c r="Q201" s="456"/>
      <c r="R201" s="461"/>
      <c r="S201" s="461"/>
      <c r="T201" s="461">
        <f>P201</f>
        <v>0</v>
      </c>
      <c r="U201" s="456"/>
      <c r="V201" s="462">
        <f>T201-S201</f>
        <v>0</v>
      </c>
      <c r="W201" s="456"/>
      <c r="X201" s="456"/>
    </row>
    <row r="202" spans="1:25" s="7" customFormat="1" ht="5.0999999999999996" customHeight="1" outlineLevel="1">
      <c r="A202" s="483" t="s">
        <v>187</v>
      </c>
      <c r="B202" s="458" t="s">
        <v>187</v>
      </c>
      <c r="C202" s="458"/>
      <c r="D202" s="460"/>
      <c r="E202" s="460"/>
      <c r="F202" s="460"/>
      <c r="G202" s="460"/>
      <c r="H202" s="456"/>
      <c r="I202" s="456"/>
      <c r="J202" s="487"/>
      <c r="K202" s="456"/>
      <c r="L202" s="487"/>
      <c r="M202" s="456"/>
      <c r="N202" s="488"/>
      <c r="O202" s="456"/>
      <c r="P202" s="487"/>
      <c r="Q202" s="456"/>
      <c r="R202" s="487"/>
      <c r="S202" s="487"/>
      <c r="T202" s="487"/>
      <c r="U202" s="456"/>
      <c r="V202" s="488"/>
      <c r="W202" s="456"/>
      <c r="X202" s="456"/>
      <c r="Y202" s="456"/>
    </row>
    <row r="203" spans="1:25" s="7" customFormat="1">
      <c r="A203" s="458" t="s">
        <v>881</v>
      </c>
      <c r="B203" s="458" t="s">
        <v>187</v>
      </c>
      <c r="C203" s="458"/>
      <c r="D203" s="456"/>
      <c r="E203" s="456"/>
      <c r="F203" s="459" t="s">
        <v>882</v>
      </c>
      <c r="G203" s="456"/>
      <c r="H203" s="456"/>
      <c r="I203" s="456"/>
      <c r="J203" s="485">
        <f>SUM(J201:J202)</f>
        <v>0</v>
      </c>
      <c r="K203" s="456"/>
      <c r="L203" s="485">
        <f>SUM(L201:L202)</f>
        <v>0</v>
      </c>
      <c r="M203" s="456"/>
      <c r="N203" s="486">
        <f>SUM(N201:N202)</f>
        <v>0</v>
      </c>
      <c r="O203" s="456"/>
      <c r="P203" s="485">
        <f>J203+L203+N203</f>
        <v>0</v>
      </c>
      <c r="Q203" s="456"/>
      <c r="R203" s="485">
        <f>SUM(R201:R202)</f>
        <v>0</v>
      </c>
      <c r="S203" s="485">
        <f>SUM(S201:S202)</f>
        <v>0</v>
      </c>
      <c r="T203" s="485">
        <f>SUM(T201:T202)</f>
        <v>0</v>
      </c>
      <c r="U203" s="456"/>
      <c r="V203" s="486">
        <f>SUM(V201:V202)</f>
        <v>0</v>
      </c>
      <c r="W203" s="456"/>
      <c r="X203" s="456"/>
      <c r="Y203" s="456"/>
    </row>
    <row r="204" spans="1:25" s="7" customFormat="1" outlineLevel="1">
      <c r="A204" s="456"/>
      <c r="B204" s="457" t="s">
        <v>883</v>
      </c>
      <c r="C204" s="458"/>
      <c r="D204" s="459"/>
      <c r="E204" s="459"/>
      <c r="F204" s="460"/>
      <c r="G204" s="460"/>
      <c r="H204" s="456"/>
      <c r="I204" s="456"/>
      <c r="J204" s="461"/>
      <c r="K204" s="456"/>
      <c r="L204" s="461"/>
      <c r="M204" s="456"/>
      <c r="N204" s="462"/>
      <c r="O204" s="456"/>
      <c r="P204" s="461">
        <f>J204+L204+N204</f>
        <v>0</v>
      </c>
      <c r="Q204" s="456"/>
      <c r="R204" s="461"/>
      <c r="S204" s="461"/>
      <c r="T204" s="461">
        <f>P204</f>
        <v>0</v>
      </c>
      <c r="U204" s="456"/>
      <c r="V204" s="462">
        <f>T204-S204</f>
        <v>0</v>
      </c>
      <c r="W204" s="456"/>
      <c r="X204" s="456"/>
    </row>
    <row r="205" spans="1:25" s="7" customFormat="1" ht="5.0999999999999996" customHeight="1" outlineLevel="1">
      <c r="A205" s="458" t="s">
        <v>187</v>
      </c>
      <c r="B205" s="458" t="s">
        <v>187</v>
      </c>
      <c r="C205" s="458"/>
      <c r="D205" s="460"/>
      <c r="E205" s="460"/>
      <c r="F205" s="460"/>
      <c r="G205" s="460"/>
      <c r="H205" s="456"/>
      <c r="I205" s="456"/>
      <c r="J205" s="487"/>
      <c r="K205" s="456"/>
      <c r="L205" s="487"/>
      <c r="M205" s="456"/>
      <c r="N205" s="488"/>
      <c r="O205" s="456"/>
      <c r="P205" s="487"/>
      <c r="Q205" s="456"/>
      <c r="R205" s="487"/>
      <c r="S205" s="487"/>
      <c r="T205" s="487"/>
      <c r="U205" s="456"/>
      <c r="V205" s="488"/>
      <c r="W205" s="456"/>
      <c r="X205" s="456"/>
      <c r="Y205" s="456"/>
    </row>
    <row r="206" spans="1:25" s="7" customFormat="1">
      <c r="A206" s="458" t="s">
        <v>883</v>
      </c>
      <c r="B206" s="458" t="s">
        <v>187</v>
      </c>
      <c r="C206" s="458"/>
      <c r="D206" s="456"/>
      <c r="E206" s="456"/>
      <c r="F206" s="459" t="s">
        <v>884</v>
      </c>
      <c r="G206" s="456"/>
      <c r="H206" s="456"/>
      <c r="I206" s="456"/>
      <c r="J206" s="485">
        <f>SUM(J204:J205)</f>
        <v>0</v>
      </c>
      <c r="K206" s="456"/>
      <c r="L206" s="485">
        <f>SUM(L204:L205)</f>
        <v>0</v>
      </c>
      <c r="M206" s="456"/>
      <c r="N206" s="486">
        <f>SUM(N204:N205)</f>
        <v>0</v>
      </c>
      <c r="O206" s="456"/>
      <c r="P206" s="485">
        <f>J206+L206+N206</f>
        <v>0</v>
      </c>
      <c r="Q206" s="456"/>
      <c r="R206" s="485">
        <f>SUM(R204:R205)</f>
        <v>0</v>
      </c>
      <c r="S206" s="485">
        <f>SUM(S204:S205)</f>
        <v>0</v>
      </c>
      <c r="T206" s="485">
        <f>SUM(T204:T205)</f>
        <v>0</v>
      </c>
      <c r="U206" s="456"/>
      <c r="V206" s="486">
        <f>SUM(V204:V205)</f>
        <v>0</v>
      </c>
      <c r="W206" s="456"/>
      <c r="X206" s="456"/>
      <c r="Y206" s="456"/>
    </row>
    <row r="207" spans="1:25" s="7" customFormat="1" outlineLevel="1">
      <c r="A207" s="456"/>
      <c r="B207" s="457" t="s">
        <v>885</v>
      </c>
      <c r="C207" s="458"/>
      <c r="D207" s="459"/>
      <c r="E207" s="459"/>
      <c r="F207" s="460"/>
      <c r="G207" s="460"/>
      <c r="H207" s="456"/>
      <c r="I207" s="456"/>
      <c r="J207" s="461"/>
      <c r="K207" s="456"/>
      <c r="L207" s="461"/>
      <c r="M207" s="456"/>
      <c r="N207" s="462"/>
      <c r="O207" s="456"/>
      <c r="P207" s="461">
        <f>J207+L207+N207</f>
        <v>0</v>
      </c>
      <c r="Q207" s="456"/>
      <c r="R207" s="461"/>
      <c r="S207" s="461"/>
      <c r="T207" s="461">
        <f>P207</f>
        <v>0</v>
      </c>
      <c r="U207" s="456"/>
      <c r="V207" s="462">
        <f>T207-S207</f>
        <v>0</v>
      </c>
      <c r="W207" s="456"/>
      <c r="X207" s="456"/>
    </row>
    <row r="208" spans="1:25" s="7" customFormat="1" ht="5.0999999999999996" customHeight="1" outlineLevel="1">
      <c r="A208" s="483" t="s">
        <v>187</v>
      </c>
      <c r="B208" s="483" t="s">
        <v>187</v>
      </c>
      <c r="C208" s="483"/>
      <c r="D208" s="460"/>
      <c r="E208" s="460"/>
      <c r="F208" s="460"/>
      <c r="G208" s="460"/>
      <c r="H208" s="456"/>
      <c r="I208" s="456"/>
      <c r="J208" s="487"/>
      <c r="K208" s="456"/>
      <c r="L208" s="487"/>
      <c r="M208" s="456"/>
      <c r="N208" s="488"/>
      <c r="O208" s="456"/>
      <c r="P208" s="487"/>
      <c r="Q208" s="456"/>
      <c r="R208" s="487"/>
      <c r="S208" s="487"/>
      <c r="T208" s="487"/>
      <c r="U208" s="456"/>
      <c r="V208" s="488"/>
      <c r="W208" s="456"/>
      <c r="X208" s="456"/>
      <c r="Y208" s="456"/>
    </row>
    <row r="209" spans="1:25" s="7" customFormat="1">
      <c r="A209" s="458" t="s">
        <v>885</v>
      </c>
      <c r="B209" s="458" t="s">
        <v>187</v>
      </c>
      <c r="C209" s="458"/>
      <c r="D209" s="456"/>
      <c r="E209" s="456"/>
      <c r="F209" s="459" t="s">
        <v>886</v>
      </c>
      <c r="G209" s="456"/>
      <c r="H209" s="456"/>
      <c r="I209" s="456"/>
      <c r="J209" s="485">
        <f>SUM(J207:J208)</f>
        <v>0</v>
      </c>
      <c r="K209" s="456"/>
      <c r="L209" s="485">
        <f>SUM(L207:L208)</f>
        <v>0</v>
      </c>
      <c r="M209" s="456"/>
      <c r="N209" s="486">
        <f>SUM(N207:N208)</f>
        <v>0</v>
      </c>
      <c r="O209" s="456"/>
      <c r="P209" s="485">
        <f>J209+L209+N209</f>
        <v>0</v>
      </c>
      <c r="Q209" s="456"/>
      <c r="R209" s="485">
        <f>SUM(R207:R208)</f>
        <v>0</v>
      </c>
      <c r="S209" s="485">
        <f>SUM(S207:S208)</f>
        <v>0</v>
      </c>
      <c r="T209" s="485">
        <f>SUM(T207:T208)</f>
        <v>0</v>
      </c>
      <c r="U209" s="456"/>
      <c r="V209" s="486">
        <f>SUM(V207:V208)</f>
        <v>0</v>
      </c>
      <c r="W209" s="456"/>
      <c r="X209" s="456"/>
      <c r="Y209" s="456"/>
    </row>
    <row r="210" spans="1:25" s="7" customFormat="1" ht="7.5" customHeight="1">
      <c r="A210" s="458" t="s">
        <v>187</v>
      </c>
      <c r="B210" s="458" t="s">
        <v>187</v>
      </c>
      <c r="C210" s="458"/>
      <c r="D210" s="456"/>
      <c r="E210" s="456"/>
      <c r="F210" s="456"/>
      <c r="G210" s="456"/>
      <c r="H210" s="456"/>
      <c r="I210" s="456"/>
      <c r="J210" s="490"/>
      <c r="K210" s="456"/>
      <c r="L210" s="490"/>
      <c r="M210" s="456"/>
      <c r="N210" s="462"/>
      <c r="O210" s="456"/>
      <c r="P210" s="490"/>
      <c r="Q210" s="456"/>
      <c r="R210" s="490"/>
      <c r="S210" s="490"/>
      <c r="T210" s="490"/>
      <c r="U210" s="456"/>
      <c r="V210" s="462"/>
      <c r="W210" s="456"/>
      <c r="X210" s="456"/>
      <c r="Y210" s="456"/>
    </row>
    <row r="211" spans="1:25" s="7" customFormat="1">
      <c r="A211" s="458" t="s">
        <v>187</v>
      </c>
      <c r="B211" s="458" t="s">
        <v>187</v>
      </c>
      <c r="C211" s="458"/>
      <c r="D211" s="456"/>
      <c r="E211" s="491" t="s">
        <v>887</v>
      </c>
      <c r="F211" s="456"/>
      <c r="G211" s="456"/>
      <c r="H211" s="456"/>
      <c r="I211" s="456"/>
      <c r="J211" s="492">
        <f>SUM(J189,J197,J206,J184,J192,J203,J200)</f>
        <v>3150859.1</v>
      </c>
      <c r="K211" s="456"/>
      <c r="L211" s="492">
        <f>SUM(L189,L197,L206,L184,L192,L203,L200)</f>
        <v>0</v>
      </c>
      <c r="M211" s="456"/>
      <c r="N211" s="493">
        <f>SUM(N189,N197,N206,N184,N192,N203,N200)</f>
        <v>0</v>
      </c>
      <c r="O211" s="456"/>
      <c r="P211" s="492">
        <f>SUM(P189,P197,P206,P184,P192,P203,P200)</f>
        <v>3150859.1</v>
      </c>
      <c r="Q211" s="456"/>
      <c r="R211" s="492">
        <f>SUM(R189,R197,R206,R184,R192,R203,R200)</f>
        <v>4146243.8400000008</v>
      </c>
      <c r="S211" s="492">
        <f>SUM(S189,S197,S206,S184,S192,S203,S200)</f>
        <v>2874157.4700000007</v>
      </c>
      <c r="T211" s="492">
        <f>SUM(T189,T197,T206,T184,T192,T203,T200)</f>
        <v>3150859.1</v>
      </c>
      <c r="U211" s="456"/>
      <c r="V211" s="493">
        <f>SUM(V189,V197,V206,V184,V192,V203,V200)</f>
        <v>276701.62999999989</v>
      </c>
      <c r="W211" s="456"/>
      <c r="X211" s="456"/>
      <c r="Y211" s="456"/>
    </row>
    <row r="212" spans="1:25" s="7" customFormat="1" ht="7.5" customHeight="1">
      <c r="A212" s="458" t="s">
        <v>187</v>
      </c>
      <c r="B212" s="458" t="s">
        <v>187</v>
      </c>
      <c r="C212" s="458"/>
      <c r="D212" s="456"/>
      <c r="E212" s="456"/>
      <c r="F212" s="456"/>
      <c r="G212" s="456"/>
      <c r="H212" s="456"/>
      <c r="I212" s="456"/>
      <c r="J212" s="490"/>
      <c r="K212" s="456"/>
      <c r="L212" s="490"/>
      <c r="M212" s="456"/>
      <c r="N212" s="462"/>
      <c r="O212" s="456"/>
      <c r="P212" s="490"/>
      <c r="Q212" s="456"/>
      <c r="R212" s="490"/>
      <c r="S212" s="490"/>
      <c r="T212" s="490"/>
      <c r="U212" s="456"/>
      <c r="V212" s="462"/>
      <c r="W212" s="456"/>
      <c r="X212" s="456"/>
      <c r="Y212" s="456"/>
    </row>
    <row r="213" spans="1:25" s="7" customFormat="1" outlineLevel="1">
      <c r="A213" s="456"/>
      <c r="B213" s="457" t="s">
        <v>888</v>
      </c>
      <c r="C213" s="458"/>
      <c r="D213" s="459"/>
      <c r="E213" s="459"/>
      <c r="F213" s="460"/>
      <c r="G213" s="460"/>
      <c r="H213" s="456"/>
      <c r="I213" s="456"/>
      <c r="J213" s="461"/>
      <c r="K213" s="456"/>
      <c r="L213" s="461"/>
      <c r="M213" s="456"/>
      <c r="N213" s="462"/>
      <c r="O213" s="456"/>
      <c r="P213" s="461">
        <f>J213+L213+N213</f>
        <v>0</v>
      </c>
      <c r="Q213" s="456"/>
      <c r="R213" s="461"/>
      <c r="S213" s="461"/>
      <c r="T213" s="461">
        <f>P213</f>
        <v>0</v>
      </c>
      <c r="U213" s="456"/>
      <c r="V213" s="462">
        <f>T213-S213</f>
        <v>0</v>
      </c>
      <c r="W213" s="456"/>
      <c r="X213" s="456"/>
    </row>
    <row r="214" spans="1:25" s="7" customFormat="1" ht="5.0999999999999996" customHeight="1" outlineLevel="1">
      <c r="A214" s="458" t="s">
        <v>187</v>
      </c>
      <c r="B214" s="458" t="s">
        <v>187</v>
      </c>
      <c r="C214" s="458"/>
      <c r="D214" s="460"/>
      <c r="E214" s="460"/>
      <c r="F214" s="460"/>
      <c r="G214" s="460"/>
      <c r="H214" s="456"/>
      <c r="I214" s="456"/>
      <c r="J214" s="487"/>
      <c r="K214" s="456"/>
      <c r="L214" s="487"/>
      <c r="M214" s="456"/>
      <c r="N214" s="488"/>
      <c r="O214" s="456"/>
      <c r="P214" s="487"/>
      <c r="Q214" s="456"/>
      <c r="R214" s="487"/>
      <c r="S214" s="487"/>
      <c r="T214" s="487"/>
      <c r="U214" s="456"/>
      <c r="V214" s="488"/>
      <c r="W214" s="456"/>
      <c r="X214" s="456"/>
      <c r="Y214" s="456"/>
    </row>
    <row r="215" spans="1:25" s="7" customFormat="1">
      <c r="A215" s="458" t="s">
        <v>888</v>
      </c>
      <c r="B215" s="458" t="s">
        <v>187</v>
      </c>
      <c r="C215" s="458"/>
      <c r="D215" s="456"/>
      <c r="E215" s="456"/>
      <c r="F215" s="459" t="s">
        <v>889</v>
      </c>
      <c r="G215" s="456"/>
      <c r="H215" s="456"/>
      <c r="I215" s="456"/>
      <c r="J215" s="485">
        <f>SUM(J213:J214)</f>
        <v>0</v>
      </c>
      <c r="K215" s="456"/>
      <c r="L215" s="485">
        <f>SUM(L213:L214)</f>
        <v>0</v>
      </c>
      <c r="M215" s="456"/>
      <c r="N215" s="486">
        <f>SUM(N213:N214)</f>
        <v>0</v>
      </c>
      <c r="O215" s="456"/>
      <c r="P215" s="485">
        <f>J215+L215+N215</f>
        <v>0</v>
      </c>
      <c r="Q215" s="456"/>
      <c r="R215" s="485">
        <f>SUM(R213:R214)</f>
        <v>0</v>
      </c>
      <c r="S215" s="485">
        <f>SUM(S213:S214)</f>
        <v>0</v>
      </c>
      <c r="T215" s="485">
        <f>SUM(T213:T214)</f>
        <v>0</v>
      </c>
      <c r="U215" s="456"/>
      <c r="V215" s="486">
        <f>SUM(V213:V214)</f>
        <v>0</v>
      </c>
      <c r="W215" s="456"/>
      <c r="X215" s="456"/>
      <c r="Y215" s="456"/>
    </row>
    <row r="216" spans="1:25" s="7" customFormat="1" outlineLevel="1">
      <c r="A216" s="456"/>
      <c r="B216" s="457" t="s">
        <v>890</v>
      </c>
      <c r="C216" s="458"/>
      <c r="D216" s="459"/>
      <c r="E216" s="459"/>
      <c r="F216" s="460"/>
      <c r="G216" s="460"/>
      <c r="H216" s="456"/>
      <c r="I216" s="456"/>
      <c r="J216" s="461"/>
      <c r="K216" s="456"/>
      <c r="L216" s="461"/>
      <c r="M216" s="456"/>
      <c r="N216" s="462"/>
      <c r="O216" s="456"/>
      <c r="P216" s="461">
        <f>J216+L216+N216</f>
        <v>0</v>
      </c>
      <c r="Q216" s="456"/>
      <c r="R216" s="461"/>
      <c r="S216" s="461"/>
      <c r="T216" s="461">
        <f>P216</f>
        <v>0</v>
      </c>
      <c r="U216" s="456"/>
      <c r="V216" s="462">
        <f>T216-S216</f>
        <v>0</v>
      </c>
      <c r="W216" s="456"/>
      <c r="X216" s="456"/>
    </row>
    <row r="217" spans="1:25" s="7" customFormat="1" ht="5.0999999999999996" customHeight="1" outlineLevel="1">
      <c r="A217" s="458" t="s">
        <v>187</v>
      </c>
      <c r="B217" s="458" t="s">
        <v>187</v>
      </c>
      <c r="C217" s="458"/>
      <c r="D217" s="460"/>
      <c r="E217" s="460"/>
      <c r="F217" s="460"/>
      <c r="G217" s="460"/>
      <c r="H217" s="456"/>
      <c r="I217" s="456"/>
      <c r="J217" s="487"/>
      <c r="K217" s="456"/>
      <c r="L217" s="487"/>
      <c r="M217" s="456"/>
      <c r="N217" s="488"/>
      <c r="O217" s="456"/>
      <c r="P217" s="487"/>
      <c r="Q217" s="456"/>
      <c r="R217" s="487"/>
      <c r="S217" s="487"/>
      <c r="T217" s="487"/>
      <c r="U217" s="456"/>
      <c r="V217" s="488"/>
      <c r="W217" s="456"/>
      <c r="X217" s="456"/>
      <c r="Y217" s="456"/>
    </row>
    <row r="218" spans="1:25" s="7" customFormat="1">
      <c r="A218" s="499" t="s">
        <v>890</v>
      </c>
      <c r="B218" s="458" t="s">
        <v>187</v>
      </c>
      <c r="C218" s="458"/>
      <c r="D218" s="456"/>
      <c r="E218" s="456"/>
      <c r="F218" s="459" t="s">
        <v>891</v>
      </c>
      <c r="G218" s="456"/>
      <c r="H218" s="456"/>
      <c r="I218" s="456"/>
      <c r="J218" s="485">
        <f>SUM(J216:J217)</f>
        <v>0</v>
      </c>
      <c r="K218" s="456"/>
      <c r="L218" s="485">
        <f>SUM(L216:L217)</f>
        <v>0</v>
      </c>
      <c r="M218" s="456"/>
      <c r="N218" s="486">
        <f>SUM(N216:N217)</f>
        <v>0</v>
      </c>
      <c r="O218" s="456"/>
      <c r="P218" s="485">
        <f>J218+L218+N218</f>
        <v>0</v>
      </c>
      <c r="Q218" s="456"/>
      <c r="R218" s="485">
        <f>SUM(R216:R217)</f>
        <v>0</v>
      </c>
      <c r="S218" s="485">
        <f>SUM(S216:S217)</f>
        <v>0</v>
      </c>
      <c r="T218" s="485">
        <f>SUM(T216:T217)</f>
        <v>0</v>
      </c>
      <c r="U218" s="456"/>
      <c r="V218" s="486">
        <f>SUM(V216:V217)</f>
        <v>0</v>
      </c>
      <c r="W218" s="456"/>
      <c r="X218" s="456"/>
      <c r="Y218" s="456"/>
    </row>
    <row r="219" spans="1:25" s="7" customFormat="1" outlineLevel="1">
      <c r="A219" s="456"/>
      <c r="B219" s="457" t="s">
        <v>892</v>
      </c>
      <c r="C219" s="458"/>
      <c r="D219" s="459"/>
      <c r="E219" s="459"/>
      <c r="F219" s="460"/>
      <c r="G219" s="460"/>
      <c r="H219" s="456"/>
      <c r="I219" s="456"/>
      <c r="J219" s="461"/>
      <c r="K219" s="456"/>
      <c r="L219" s="461"/>
      <c r="M219" s="456"/>
      <c r="N219" s="462"/>
      <c r="O219" s="456"/>
      <c r="P219" s="461">
        <f>J219+L219+N219</f>
        <v>0</v>
      </c>
      <c r="Q219" s="456"/>
      <c r="R219" s="461"/>
      <c r="S219" s="461"/>
      <c r="T219" s="461">
        <f>P219</f>
        <v>0</v>
      </c>
      <c r="U219" s="456"/>
      <c r="V219" s="462">
        <f>T219-S219</f>
        <v>0</v>
      </c>
      <c r="W219" s="456"/>
      <c r="X219" s="456"/>
    </row>
    <row r="220" spans="1:25" s="7" customFormat="1" ht="5.0999999999999996" customHeight="1" outlineLevel="1">
      <c r="A220" s="458" t="s">
        <v>187</v>
      </c>
      <c r="B220" s="458" t="s">
        <v>187</v>
      </c>
      <c r="C220" s="458"/>
      <c r="D220" s="460"/>
      <c r="E220" s="460"/>
      <c r="F220" s="460"/>
      <c r="G220" s="460"/>
      <c r="H220" s="456"/>
      <c r="I220" s="456"/>
      <c r="J220" s="487"/>
      <c r="K220" s="456"/>
      <c r="L220" s="487"/>
      <c r="M220" s="456"/>
      <c r="N220" s="488"/>
      <c r="O220" s="456"/>
      <c r="P220" s="487"/>
      <c r="Q220" s="456"/>
      <c r="R220" s="487"/>
      <c r="S220" s="487"/>
      <c r="T220" s="487"/>
      <c r="U220" s="456"/>
      <c r="V220" s="488"/>
      <c r="W220" s="456"/>
      <c r="X220" s="456"/>
      <c r="Y220" s="456"/>
    </row>
    <row r="221" spans="1:25" s="7" customFormat="1">
      <c r="A221" s="499" t="s">
        <v>892</v>
      </c>
      <c r="B221" s="458" t="s">
        <v>187</v>
      </c>
      <c r="C221" s="458"/>
      <c r="D221" s="456"/>
      <c r="E221" s="456"/>
      <c r="F221" s="459" t="s">
        <v>893</v>
      </c>
      <c r="G221" s="456"/>
      <c r="H221" s="456"/>
      <c r="I221" s="456"/>
      <c r="J221" s="485">
        <f>SUM(J219:J220)</f>
        <v>0</v>
      </c>
      <c r="K221" s="456"/>
      <c r="L221" s="485">
        <f>SUM(L219:L220)</f>
        <v>0</v>
      </c>
      <c r="M221" s="456"/>
      <c r="N221" s="486">
        <f>SUM(N219:N220)</f>
        <v>0</v>
      </c>
      <c r="O221" s="456"/>
      <c r="P221" s="485">
        <f>J221+L221+N221</f>
        <v>0</v>
      </c>
      <c r="Q221" s="456"/>
      <c r="R221" s="485">
        <f>SUM(R219:R220)</f>
        <v>0</v>
      </c>
      <c r="S221" s="485">
        <f>SUM(S219:S220)</f>
        <v>0</v>
      </c>
      <c r="T221" s="485">
        <f>SUM(T219:T220)</f>
        <v>0</v>
      </c>
      <c r="U221" s="456"/>
      <c r="V221" s="486">
        <f>SUM(V219:V220)</f>
        <v>0</v>
      </c>
      <c r="W221" s="456"/>
      <c r="X221" s="456"/>
      <c r="Y221" s="456"/>
    </row>
    <row r="222" spans="1:25" s="7" customFormat="1" outlineLevel="1">
      <c r="A222" s="456"/>
      <c r="B222" s="457" t="s">
        <v>894</v>
      </c>
      <c r="C222" s="458"/>
      <c r="D222" s="459"/>
      <c r="E222" s="459"/>
      <c r="F222" s="460"/>
      <c r="G222" s="460"/>
      <c r="H222" s="456"/>
      <c r="I222" s="456"/>
      <c r="J222" s="461"/>
      <c r="K222" s="456"/>
      <c r="L222" s="461"/>
      <c r="M222" s="456"/>
      <c r="N222" s="462"/>
      <c r="O222" s="456"/>
      <c r="P222" s="461">
        <f>J222+L222+N222</f>
        <v>0</v>
      </c>
      <c r="Q222" s="456"/>
      <c r="R222" s="461"/>
      <c r="S222" s="461"/>
      <c r="T222" s="461">
        <f>P222</f>
        <v>0</v>
      </c>
      <c r="U222" s="456"/>
      <c r="V222" s="462">
        <f>T222-S222</f>
        <v>0</v>
      </c>
      <c r="W222" s="456"/>
      <c r="X222" s="456"/>
    </row>
    <row r="223" spans="1:25" s="7" customFormat="1" ht="5.0999999999999996" customHeight="1" outlineLevel="1">
      <c r="A223" s="458" t="s">
        <v>187</v>
      </c>
      <c r="B223" s="458" t="s">
        <v>187</v>
      </c>
      <c r="C223" s="458"/>
      <c r="D223" s="460"/>
      <c r="E223" s="460"/>
      <c r="F223" s="460"/>
      <c r="G223" s="460"/>
      <c r="H223" s="456"/>
      <c r="I223" s="456"/>
      <c r="J223" s="487"/>
      <c r="K223" s="456"/>
      <c r="L223" s="487"/>
      <c r="M223" s="456"/>
      <c r="N223" s="488"/>
      <c r="O223" s="456"/>
      <c r="P223" s="487"/>
      <c r="Q223" s="456"/>
      <c r="R223" s="487"/>
      <c r="S223" s="487"/>
      <c r="T223" s="487"/>
      <c r="U223" s="456"/>
      <c r="V223" s="488"/>
      <c r="W223" s="456"/>
      <c r="X223" s="456"/>
      <c r="Y223" s="456"/>
    </row>
    <row r="224" spans="1:25" s="7" customFormat="1">
      <c r="A224" s="458" t="s">
        <v>894</v>
      </c>
      <c r="B224" s="458" t="s">
        <v>187</v>
      </c>
      <c r="C224" s="458"/>
      <c r="D224" s="456"/>
      <c r="E224" s="456"/>
      <c r="F224" s="459" t="s">
        <v>895</v>
      </c>
      <c r="G224" s="456"/>
      <c r="H224" s="456"/>
      <c r="I224" s="456"/>
      <c r="J224" s="485">
        <f>SUM(J222:J223)</f>
        <v>0</v>
      </c>
      <c r="K224" s="456"/>
      <c r="L224" s="485">
        <f>SUM(L222:L223)</f>
        <v>0</v>
      </c>
      <c r="M224" s="456"/>
      <c r="N224" s="486">
        <f>SUM(N222:N223)</f>
        <v>0</v>
      </c>
      <c r="O224" s="456"/>
      <c r="P224" s="485">
        <f>J224+L224+N224</f>
        <v>0</v>
      </c>
      <c r="Q224" s="456"/>
      <c r="R224" s="485">
        <f>SUM(R222:R223)</f>
        <v>0</v>
      </c>
      <c r="S224" s="485">
        <f>SUM(S222:S223)</f>
        <v>0</v>
      </c>
      <c r="T224" s="485">
        <f>SUM(T222:T223)</f>
        <v>0</v>
      </c>
      <c r="U224" s="456"/>
      <c r="V224" s="486">
        <f>SUM(V222:V223)</f>
        <v>0</v>
      </c>
      <c r="W224" s="456"/>
      <c r="X224" s="456"/>
      <c r="Y224" s="456"/>
    </row>
    <row r="225" spans="1:25" s="7" customFormat="1" outlineLevel="1">
      <c r="A225" s="456"/>
      <c r="B225" s="457" t="s">
        <v>896</v>
      </c>
      <c r="C225" s="458"/>
      <c r="D225" s="459"/>
      <c r="E225" s="459"/>
      <c r="F225" s="460"/>
      <c r="G225" s="460"/>
      <c r="H225" s="456"/>
      <c r="I225" s="456"/>
      <c r="J225" s="461"/>
      <c r="K225" s="456"/>
      <c r="L225" s="461"/>
      <c r="M225" s="456"/>
      <c r="N225" s="462"/>
      <c r="O225" s="456"/>
      <c r="P225" s="461">
        <f>J225+L225+N225</f>
        <v>0</v>
      </c>
      <c r="Q225" s="456"/>
      <c r="R225" s="461"/>
      <c r="S225" s="461"/>
      <c r="T225" s="461">
        <f>P225</f>
        <v>0</v>
      </c>
      <c r="U225" s="456"/>
      <c r="V225" s="462">
        <f>T225-S225</f>
        <v>0</v>
      </c>
      <c r="W225" s="456"/>
      <c r="X225" s="456"/>
    </row>
    <row r="226" spans="1:25" s="7" customFormat="1" ht="5.0999999999999996" customHeight="1" outlineLevel="1">
      <c r="A226" s="458" t="s">
        <v>187</v>
      </c>
      <c r="B226" s="458" t="s">
        <v>187</v>
      </c>
      <c r="C226" s="458"/>
      <c r="D226" s="460"/>
      <c r="E226" s="460"/>
      <c r="F226" s="460"/>
      <c r="G226" s="460"/>
      <c r="H226" s="456"/>
      <c r="I226" s="456"/>
      <c r="J226" s="487"/>
      <c r="K226" s="456"/>
      <c r="L226" s="487"/>
      <c r="M226" s="456"/>
      <c r="N226" s="488"/>
      <c r="O226" s="456"/>
      <c r="P226" s="487"/>
      <c r="Q226" s="456"/>
      <c r="R226" s="487"/>
      <c r="S226" s="487"/>
      <c r="T226" s="487"/>
      <c r="U226" s="456"/>
      <c r="V226" s="488"/>
      <c r="W226" s="456"/>
      <c r="X226" s="456"/>
      <c r="Y226" s="456"/>
    </row>
    <row r="227" spans="1:25" s="7" customFormat="1">
      <c r="A227" s="458" t="s">
        <v>896</v>
      </c>
      <c r="B227" s="458" t="s">
        <v>187</v>
      </c>
      <c r="C227" s="458"/>
      <c r="D227" s="456"/>
      <c r="E227" s="456"/>
      <c r="F227" s="459" t="s">
        <v>897</v>
      </c>
      <c r="G227" s="456"/>
      <c r="H227" s="456"/>
      <c r="I227" s="456"/>
      <c r="J227" s="485">
        <f>SUM(J225:J226)</f>
        <v>0</v>
      </c>
      <c r="K227" s="456"/>
      <c r="L227" s="485">
        <f>SUM(L225:L226)</f>
        <v>0</v>
      </c>
      <c r="M227" s="456"/>
      <c r="N227" s="486">
        <f>SUM(N225:N226)</f>
        <v>0</v>
      </c>
      <c r="O227" s="456"/>
      <c r="P227" s="485">
        <f>J227+L227+N227</f>
        <v>0</v>
      </c>
      <c r="Q227" s="456"/>
      <c r="R227" s="485">
        <f>SUM(R225:R226)</f>
        <v>0</v>
      </c>
      <c r="S227" s="485">
        <f>SUM(S225:S226)</f>
        <v>0</v>
      </c>
      <c r="T227" s="485">
        <f>SUM(T225:T226)</f>
        <v>0</v>
      </c>
      <c r="U227" s="456"/>
      <c r="V227" s="486">
        <f>SUM(V225:V226)</f>
        <v>0</v>
      </c>
      <c r="W227" s="456"/>
      <c r="X227" s="456"/>
      <c r="Y227" s="456"/>
    </row>
    <row r="228" spans="1:25" s="7" customFormat="1" outlineLevel="1">
      <c r="A228" s="456"/>
      <c r="B228" s="457" t="s">
        <v>898</v>
      </c>
      <c r="C228" s="458"/>
      <c r="D228" s="459"/>
      <c r="E228" s="459"/>
      <c r="F228" s="460"/>
      <c r="G228" s="460"/>
      <c r="H228" s="456"/>
      <c r="I228" s="456"/>
      <c r="J228" s="461"/>
      <c r="K228" s="456"/>
      <c r="L228" s="461"/>
      <c r="M228" s="456"/>
      <c r="N228" s="462"/>
      <c r="O228" s="456"/>
      <c r="P228" s="461">
        <f>J228+L228+N228</f>
        <v>0</v>
      </c>
      <c r="Q228" s="456"/>
      <c r="R228" s="461"/>
      <c r="S228" s="461"/>
      <c r="T228" s="461">
        <f>P228</f>
        <v>0</v>
      </c>
      <c r="U228" s="456"/>
      <c r="V228" s="462">
        <f>T228-S228</f>
        <v>0</v>
      </c>
      <c r="W228" s="456"/>
      <c r="X228" s="456"/>
    </row>
    <row r="229" spans="1:25" s="7" customFormat="1" ht="5.0999999999999996" customHeight="1" outlineLevel="1">
      <c r="A229" s="458" t="s">
        <v>187</v>
      </c>
      <c r="B229" s="458" t="s">
        <v>187</v>
      </c>
      <c r="C229" s="458"/>
      <c r="D229" s="460"/>
      <c r="E229" s="460"/>
      <c r="F229" s="460"/>
      <c r="G229" s="460"/>
      <c r="H229" s="456"/>
      <c r="I229" s="456"/>
      <c r="J229" s="487"/>
      <c r="K229" s="456"/>
      <c r="L229" s="487"/>
      <c r="M229" s="456"/>
      <c r="N229" s="488"/>
      <c r="O229" s="456"/>
      <c r="P229" s="487"/>
      <c r="Q229" s="456"/>
      <c r="R229" s="487"/>
      <c r="S229" s="487"/>
      <c r="T229" s="487"/>
      <c r="U229" s="456"/>
      <c r="V229" s="488"/>
      <c r="W229" s="456"/>
      <c r="X229" s="456"/>
      <c r="Y229" s="456"/>
    </row>
    <row r="230" spans="1:25" s="7" customFormat="1">
      <c r="A230" s="458" t="s">
        <v>898</v>
      </c>
      <c r="B230" s="458" t="s">
        <v>187</v>
      </c>
      <c r="C230" s="458"/>
      <c r="D230" s="456"/>
      <c r="E230" s="456"/>
      <c r="F230" s="459" t="s">
        <v>899</v>
      </c>
      <c r="G230" s="456"/>
      <c r="H230" s="456"/>
      <c r="I230" s="456"/>
      <c r="J230" s="485">
        <f>SUM(J228:J229)</f>
        <v>0</v>
      </c>
      <c r="K230" s="456"/>
      <c r="L230" s="485">
        <f>SUM(L228:L229)</f>
        <v>0</v>
      </c>
      <c r="M230" s="456"/>
      <c r="N230" s="486">
        <f>SUM(N228:N229)</f>
        <v>0</v>
      </c>
      <c r="O230" s="456"/>
      <c r="P230" s="485">
        <f>J230+L230+N230</f>
        <v>0</v>
      </c>
      <c r="Q230" s="456"/>
      <c r="R230" s="485">
        <f>SUM(R228:R229)</f>
        <v>0</v>
      </c>
      <c r="S230" s="485">
        <f>SUM(S228:S229)</f>
        <v>0</v>
      </c>
      <c r="T230" s="485">
        <f>SUM(T228:T229)</f>
        <v>0</v>
      </c>
      <c r="U230" s="456"/>
      <c r="V230" s="486">
        <f>SUM(V228:V229)</f>
        <v>0</v>
      </c>
      <c r="W230" s="456"/>
      <c r="X230" s="456"/>
      <c r="Y230" s="456"/>
    </row>
    <row r="231" spans="1:25" s="7" customFormat="1" outlineLevel="1">
      <c r="A231" s="456"/>
      <c r="B231" s="457" t="s">
        <v>900</v>
      </c>
      <c r="C231" s="458"/>
      <c r="D231" s="459"/>
      <c r="E231" s="459"/>
      <c r="F231" s="460"/>
      <c r="G231" s="460"/>
      <c r="H231" s="456"/>
      <c r="I231" s="456"/>
      <c r="J231" s="461"/>
      <c r="K231" s="456"/>
      <c r="L231" s="461"/>
      <c r="M231" s="456"/>
      <c r="N231" s="462"/>
      <c r="O231" s="456"/>
      <c r="P231" s="461">
        <f>J231+L231+N231</f>
        <v>0</v>
      </c>
      <c r="Q231" s="456"/>
      <c r="R231" s="461"/>
      <c r="S231" s="461"/>
      <c r="T231" s="461">
        <f>P231</f>
        <v>0</v>
      </c>
      <c r="U231" s="456"/>
      <c r="V231" s="462">
        <f>T231-S231</f>
        <v>0</v>
      </c>
      <c r="W231" s="456"/>
      <c r="X231" s="456"/>
    </row>
    <row r="232" spans="1:25" s="7" customFormat="1" ht="5.0999999999999996" customHeight="1" outlineLevel="1">
      <c r="A232" s="458" t="s">
        <v>187</v>
      </c>
      <c r="B232" s="483"/>
      <c r="C232" s="483"/>
      <c r="D232" s="460"/>
      <c r="E232" s="460"/>
      <c r="F232" s="460"/>
      <c r="G232" s="460"/>
      <c r="H232" s="456"/>
      <c r="I232" s="456"/>
      <c r="J232" s="487"/>
      <c r="K232" s="456"/>
      <c r="L232" s="487"/>
      <c r="M232" s="456"/>
      <c r="N232" s="488"/>
      <c r="O232" s="456"/>
      <c r="P232" s="487"/>
      <c r="Q232" s="456"/>
      <c r="R232" s="487"/>
      <c r="S232" s="487"/>
      <c r="T232" s="487"/>
      <c r="U232" s="456"/>
      <c r="V232" s="488"/>
      <c r="W232" s="456"/>
      <c r="X232" s="456"/>
      <c r="Y232" s="456"/>
    </row>
    <row r="233" spans="1:25" s="7" customFormat="1">
      <c r="A233" s="458" t="s">
        <v>900</v>
      </c>
      <c r="B233" s="483"/>
      <c r="C233" s="483"/>
      <c r="D233" s="456"/>
      <c r="E233" s="456"/>
      <c r="F233" s="459" t="s">
        <v>901</v>
      </c>
      <c r="G233" s="456"/>
      <c r="H233" s="456"/>
      <c r="I233" s="456"/>
      <c r="J233" s="485">
        <f>SUM(J231:J232)</f>
        <v>0</v>
      </c>
      <c r="K233" s="456"/>
      <c r="L233" s="485">
        <f>SUM(L231:L232)</f>
        <v>0</v>
      </c>
      <c r="M233" s="456"/>
      <c r="N233" s="486">
        <f>SUM(N231:N232)</f>
        <v>0</v>
      </c>
      <c r="O233" s="456"/>
      <c r="P233" s="485">
        <f>J233+L233+N233</f>
        <v>0</v>
      </c>
      <c r="Q233" s="456"/>
      <c r="R233" s="485">
        <f>SUM(R231:R232)</f>
        <v>0</v>
      </c>
      <c r="S233" s="485">
        <f>SUM(S231:S232)</f>
        <v>0</v>
      </c>
      <c r="T233" s="485">
        <f>SUM(T231:T232)</f>
        <v>0</v>
      </c>
      <c r="U233" s="456"/>
      <c r="V233" s="486">
        <f>SUM(V231:V232)</f>
        <v>0</v>
      </c>
      <c r="W233" s="456"/>
      <c r="X233" s="456"/>
      <c r="Y233" s="456"/>
    </row>
    <row r="234" spans="1:25" s="7" customFormat="1" ht="7.5" hidden="1" customHeight="1">
      <c r="A234" s="483"/>
      <c r="B234" s="458"/>
      <c r="C234" s="458"/>
      <c r="D234" s="456"/>
      <c r="E234" s="456"/>
      <c r="F234" s="456"/>
      <c r="G234" s="456"/>
      <c r="H234" s="456"/>
      <c r="I234" s="456"/>
      <c r="J234" s="490"/>
      <c r="K234" s="456"/>
      <c r="L234" s="490"/>
      <c r="M234" s="456"/>
      <c r="N234" s="462"/>
      <c r="O234" s="456"/>
      <c r="P234" s="490"/>
      <c r="Q234" s="456"/>
      <c r="R234" s="490"/>
      <c r="S234" s="490"/>
      <c r="T234" s="490"/>
      <c r="U234" s="456"/>
      <c r="V234" s="462"/>
      <c r="W234" s="456"/>
      <c r="X234" s="456"/>
      <c r="Y234" s="456"/>
    </row>
    <row r="235" spans="1:25" s="7" customFormat="1" outlineLevel="1">
      <c r="A235" s="456"/>
      <c r="B235" s="457" t="s">
        <v>902</v>
      </c>
      <c r="C235" s="458"/>
      <c r="D235" s="459">
        <v>29100</v>
      </c>
      <c r="E235" s="459" t="s">
        <v>903</v>
      </c>
      <c r="F235" s="460"/>
      <c r="G235" s="460"/>
      <c r="H235" s="456"/>
      <c r="I235" s="456"/>
      <c r="J235" s="461">
        <v>56885248.689999998</v>
      </c>
      <c r="K235" s="456"/>
      <c r="L235" s="461">
        <v>0</v>
      </c>
      <c r="M235" s="456"/>
      <c r="N235" s="462">
        <v>0</v>
      </c>
      <c r="O235" s="456"/>
      <c r="P235" s="461">
        <f>J235+L235+N235</f>
        <v>56885248.689999998</v>
      </c>
      <c r="Q235" s="456"/>
      <c r="R235" s="461">
        <v>55884265.710000001</v>
      </c>
      <c r="S235" s="461">
        <v>56336159.359999999</v>
      </c>
      <c r="T235" s="461">
        <f>P235</f>
        <v>56885248.689999998</v>
      </c>
      <c r="U235" s="456"/>
      <c r="V235" s="462">
        <f>T235-S235</f>
        <v>549089.32999999821</v>
      </c>
      <c r="W235" s="456"/>
      <c r="X235" s="456"/>
    </row>
    <row r="236" spans="1:25" s="7" customFormat="1" ht="5.0999999999999996" customHeight="1" outlineLevel="1">
      <c r="A236" s="458" t="s">
        <v>187</v>
      </c>
      <c r="B236" s="483"/>
      <c r="C236" s="483"/>
      <c r="D236" s="460"/>
      <c r="E236" s="460"/>
      <c r="F236" s="460"/>
      <c r="G236" s="460"/>
      <c r="H236" s="456"/>
      <c r="I236" s="456"/>
      <c r="J236" s="487"/>
      <c r="K236" s="456"/>
      <c r="L236" s="487"/>
      <c r="M236" s="456"/>
      <c r="N236" s="488"/>
      <c r="O236" s="456"/>
      <c r="P236" s="487"/>
      <c r="Q236" s="456"/>
      <c r="R236" s="487"/>
      <c r="S236" s="487"/>
      <c r="T236" s="487"/>
      <c r="U236" s="456"/>
      <c r="V236" s="488"/>
      <c r="W236" s="456"/>
      <c r="X236" s="456"/>
      <c r="Y236" s="456"/>
    </row>
    <row r="237" spans="1:25" s="7" customFormat="1">
      <c r="A237" s="458" t="s">
        <v>902</v>
      </c>
      <c r="B237" s="483"/>
      <c r="C237" s="483"/>
      <c r="D237" s="456"/>
      <c r="E237" s="456"/>
      <c r="F237" s="459" t="s">
        <v>903</v>
      </c>
      <c r="G237" s="456"/>
      <c r="H237" s="456"/>
      <c r="I237" s="456"/>
      <c r="J237" s="485">
        <f>SUM(J235:J236)</f>
        <v>56885248.689999998</v>
      </c>
      <c r="K237" s="456"/>
      <c r="L237" s="485">
        <f>SUM(L235:L236)</f>
        <v>0</v>
      </c>
      <c r="M237" s="456"/>
      <c r="N237" s="486">
        <f>SUM(N235:N236)</f>
        <v>0</v>
      </c>
      <c r="O237" s="456"/>
      <c r="P237" s="485">
        <f>J237+L237+N237</f>
        <v>56885248.689999998</v>
      </c>
      <c r="Q237" s="456"/>
      <c r="R237" s="485">
        <f>SUM(R235:R236)</f>
        <v>55884265.710000001</v>
      </c>
      <c r="S237" s="485">
        <f>SUM(S235:S236)</f>
        <v>56336159.359999999</v>
      </c>
      <c r="T237" s="485">
        <f>SUM(T235:T236)</f>
        <v>56885248.689999998</v>
      </c>
      <c r="U237" s="456"/>
      <c r="V237" s="486">
        <f>SUM(V235:V236)</f>
        <v>549089.32999999821</v>
      </c>
      <c r="W237" s="456"/>
      <c r="X237" s="456"/>
      <c r="Y237" s="456"/>
    </row>
    <row r="238" spans="1:25" s="7" customFormat="1" ht="7.5" customHeight="1">
      <c r="A238" s="483"/>
      <c r="B238" s="458"/>
      <c r="C238" s="458"/>
      <c r="D238" s="456"/>
      <c r="E238" s="456"/>
      <c r="F238" s="456"/>
      <c r="G238" s="456"/>
      <c r="H238" s="456"/>
      <c r="I238" s="456"/>
      <c r="J238" s="490"/>
      <c r="K238" s="456"/>
      <c r="L238" s="490"/>
      <c r="M238" s="456"/>
      <c r="N238" s="462"/>
      <c r="O238" s="456"/>
      <c r="P238" s="490"/>
      <c r="Q238" s="456"/>
      <c r="R238" s="490"/>
      <c r="S238" s="490"/>
      <c r="T238" s="490"/>
      <c r="U238" s="456"/>
      <c r="V238" s="462"/>
      <c r="W238" s="456"/>
      <c r="X238" s="456"/>
      <c r="Y238" s="456"/>
    </row>
    <row r="239" spans="1:25" s="7" customFormat="1">
      <c r="A239" s="483"/>
      <c r="B239" s="458"/>
      <c r="C239" s="458"/>
      <c r="D239" s="456"/>
      <c r="E239" s="491" t="s">
        <v>903</v>
      </c>
      <c r="F239" s="456"/>
      <c r="G239" s="456"/>
      <c r="H239" s="456"/>
      <c r="I239" s="456"/>
      <c r="J239" s="492">
        <f>SUM(J215,J221,J227,J233,J224,J218,J230,J237)</f>
        <v>56885248.689999998</v>
      </c>
      <c r="K239" s="456"/>
      <c r="L239" s="492">
        <f>SUM(L215,L221,L227,L233,L224,L218,L230,L237)</f>
        <v>0</v>
      </c>
      <c r="M239" s="456"/>
      <c r="N239" s="493">
        <f>SUM(N215,N221,N227,N233,N224,N218,N230,N237)</f>
        <v>0</v>
      </c>
      <c r="O239" s="456"/>
      <c r="P239" s="492">
        <f>SUM(P215,P221,P227,P233,P224,P218,P230,P237)</f>
        <v>56885248.689999998</v>
      </c>
      <c r="Q239" s="456"/>
      <c r="R239" s="492">
        <f>SUM(R215,R221,R227,R233,R224,R218,R230,R237)</f>
        <v>55884265.710000001</v>
      </c>
      <c r="S239" s="492">
        <f>SUM(S215,S221,S227,S233,S224,S218,S230,S237)</f>
        <v>56336159.359999999</v>
      </c>
      <c r="T239" s="492">
        <f>SUM(T215,T221,T227,T233,T224,T218,T230,T237)</f>
        <v>56885248.689999998</v>
      </c>
      <c r="U239" s="456"/>
      <c r="V239" s="493">
        <f>SUM(V215,V221,V227,V233,V224,V218,V230,V237)</f>
        <v>549089.32999999821</v>
      </c>
      <c r="W239" s="456"/>
      <c r="X239" s="456"/>
      <c r="Y239" s="456"/>
    </row>
    <row r="240" spans="1:25" s="7" customFormat="1" ht="7.5" customHeight="1">
      <c r="A240" s="458"/>
      <c r="B240" s="458"/>
      <c r="C240" s="458"/>
      <c r="D240" s="456"/>
      <c r="E240" s="456"/>
      <c r="F240" s="456"/>
      <c r="G240" s="456"/>
      <c r="H240" s="456"/>
      <c r="I240" s="456"/>
      <c r="J240" s="490"/>
      <c r="K240" s="456"/>
      <c r="L240" s="490"/>
      <c r="M240" s="456"/>
      <c r="N240" s="462"/>
      <c r="O240" s="456"/>
      <c r="P240" s="490"/>
      <c r="Q240" s="456"/>
      <c r="R240" s="490"/>
      <c r="S240" s="490"/>
      <c r="T240" s="490"/>
      <c r="U240" s="456"/>
      <c r="V240" s="462"/>
      <c r="W240" s="456"/>
      <c r="X240" s="456"/>
      <c r="Y240" s="456"/>
    </row>
    <row r="241" spans="1:25" s="7" customFormat="1" ht="13.5" thickBot="1">
      <c r="A241" s="458"/>
      <c r="B241" s="458"/>
      <c r="C241" s="458"/>
      <c r="D241" s="456"/>
      <c r="E241" s="491" t="s">
        <v>904</v>
      </c>
      <c r="F241" s="456"/>
      <c r="G241" s="456"/>
      <c r="H241" s="456"/>
      <c r="I241" s="456"/>
      <c r="J241" s="497">
        <f>+J211+J239</f>
        <v>60036107.789999999</v>
      </c>
      <c r="K241" s="456"/>
      <c r="L241" s="497">
        <f>+L211+L239</f>
        <v>0</v>
      </c>
      <c r="M241" s="456"/>
      <c r="N241" s="498">
        <f>+N211+N239</f>
        <v>0</v>
      </c>
      <c r="O241" s="456"/>
      <c r="P241" s="497">
        <f>+P211+P239</f>
        <v>60036107.789999999</v>
      </c>
      <c r="Q241" s="456"/>
      <c r="R241" s="497">
        <f>+R211+R239</f>
        <v>60030509.550000004</v>
      </c>
      <c r="S241" s="497">
        <f>+S211+S239</f>
        <v>59210316.829999998</v>
      </c>
      <c r="T241" s="497">
        <f>+T211+T239</f>
        <v>60036107.789999999</v>
      </c>
      <c r="U241" s="456"/>
      <c r="V241" s="498">
        <f>+V211+V239</f>
        <v>825790.9599999981</v>
      </c>
      <c r="W241" s="456"/>
      <c r="X241" s="456"/>
      <c r="Y241" s="456"/>
    </row>
    <row r="242" spans="1:25" s="7" customFormat="1" ht="7.5" customHeight="1" thickTop="1">
      <c r="A242" s="458"/>
      <c r="B242" s="458"/>
      <c r="C242" s="458"/>
      <c r="D242" s="456"/>
      <c r="E242" s="456"/>
      <c r="F242" s="456"/>
      <c r="G242" s="456"/>
      <c r="H242" s="456"/>
      <c r="I242" s="456"/>
      <c r="J242" s="490"/>
      <c r="K242" s="456"/>
      <c r="L242" s="490"/>
      <c r="M242" s="456"/>
      <c r="N242" s="462"/>
      <c r="O242" s="456"/>
      <c r="P242" s="490"/>
      <c r="Q242" s="456"/>
      <c r="R242" s="490"/>
      <c r="S242" s="490"/>
      <c r="T242" s="490"/>
      <c r="U242" s="456"/>
      <c r="V242" s="462"/>
      <c r="W242" s="456"/>
      <c r="X242" s="456"/>
      <c r="Y242" s="456"/>
    </row>
    <row r="243" spans="1:25" s="500" customFormat="1" ht="12">
      <c r="A243" s="458"/>
      <c r="B243" s="458"/>
      <c r="C243" s="458"/>
      <c r="D243" s="456"/>
      <c r="E243" s="456"/>
      <c r="F243" s="456" t="s">
        <v>905</v>
      </c>
      <c r="G243" s="456"/>
      <c r="H243" s="456"/>
      <c r="I243" s="456"/>
      <c r="J243" s="490">
        <f>J146-J241</f>
        <v>0</v>
      </c>
      <c r="K243" s="456"/>
      <c r="L243" s="490">
        <f>L146-L241</f>
        <v>0</v>
      </c>
      <c r="M243" s="456"/>
      <c r="N243" s="490">
        <f>N146-N241</f>
        <v>0</v>
      </c>
      <c r="O243" s="456"/>
      <c r="P243" s="490">
        <f>P146-P241</f>
        <v>0</v>
      </c>
      <c r="Q243" s="456"/>
      <c r="R243" s="490">
        <f>R146-R241</f>
        <v>0</v>
      </c>
      <c r="S243" s="490">
        <f>S146-S241</f>
        <v>0</v>
      </c>
      <c r="T243" s="490">
        <f>T146-T241</f>
        <v>0</v>
      </c>
      <c r="U243" s="456"/>
      <c r="V243" s="490">
        <f>V146-V241</f>
        <v>5.3551048040390015E-9</v>
      </c>
      <c r="W243" s="456"/>
      <c r="X243" s="456"/>
      <c r="Y243" s="456"/>
    </row>
    <row r="244" spans="1:25" s="502" customFormat="1" ht="9.75" customHeight="1">
      <c r="A244" s="458"/>
      <c r="B244" s="483"/>
      <c r="C244" s="483"/>
      <c r="D244" s="456"/>
      <c r="E244" s="456"/>
      <c r="F244" s="459"/>
      <c r="G244" s="456"/>
      <c r="H244" s="458"/>
      <c r="I244" s="458"/>
      <c r="J244" s="501"/>
      <c r="K244" s="458"/>
      <c r="L244" s="458"/>
      <c r="M244" s="458"/>
      <c r="N244" s="458"/>
      <c r="O244" s="458"/>
      <c r="P244" s="458"/>
      <c r="Q244" s="458"/>
      <c r="R244" s="458"/>
      <c r="S244" s="458"/>
      <c r="T244" s="458"/>
      <c r="U244" s="458"/>
      <c r="V244" s="458"/>
      <c r="W244" s="458"/>
      <c r="X244" s="458"/>
      <c r="Y244" s="458"/>
    </row>
    <row r="245" spans="1:25" s="7" customFormat="1" outlineLevel="1">
      <c r="A245" s="458"/>
      <c r="B245" s="457" t="s">
        <v>406</v>
      </c>
      <c r="C245" s="458"/>
      <c r="D245" s="459"/>
      <c r="E245" s="459"/>
      <c r="F245" s="460"/>
      <c r="G245" s="460"/>
      <c r="H245" s="456"/>
      <c r="I245" s="456"/>
      <c r="J245" s="461"/>
      <c r="K245" s="456"/>
      <c r="L245" s="461"/>
      <c r="M245" s="456"/>
      <c r="N245" s="462"/>
      <c r="O245" s="456"/>
      <c r="P245" s="461"/>
      <c r="Q245" s="456"/>
      <c r="R245" s="461"/>
      <c r="S245" s="461"/>
      <c r="T245" s="461"/>
      <c r="U245" s="456"/>
      <c r="V245" s="462"/>
      <c r="W245" s="456"/>
      <c r="X245" s="456"/>
      <c r="Y245" s="456"/>
    </row>
    <row r="246" spans="1:25" ht="6" customHeight="1" outlineLevel="1">
      <c r="A246" s="483"/>
      <c r="B246" s="458"/>
      <c r="C246" s="458"/>
      <c r="D246" s="458"/>
      <c r="E246" s="458"/>
      <c r="F246" s="458"/>
      <c r="G246" s="458"/>
      <c r="H246" s="458"/>
      <c r="I246" s="458"/>
      <c r="J246" s="487"/>
      <c r="K246" s="490"/>
      <c r="L246" s="487"/>
      <c r="M246" s="458"/>
      <c r="N246" s="487"/>
      <c r="O246" s="458"/>
      <c r="P246" s="487"/>
      <c r="Q246" s="458"/>
      <c r="R246" s="487"/>
      <c r="S246" s="487"/>
      <c r="T246" s="487"/>
      <c r="U246" s="458"/>
      <c r="V246" s="487"/>
      <c r="W246" s="458"/>
      <c r="X246" s="458"/>
      <c r="Y246" s="458"/>
    </row>
    <row r="247" spans="1:25" s="4" customFormat="1">
      <c r="A247" s="458" t="s">
        <v>406</v>
      </c>
      <c r="B247" s="503"/>
      <c r="C247" s="503"/>
      <c r="D247" s="503"/>
      <c r="E247" s="503" t="s">
        <v>291</v>
      </c>
      <c r="F247" s="503"/>
      <c r="G247" s="503"/>
      <c r="H247" s="503"/>
      <c r="I247" s="503"/>
      <c r="J247" s="504">
        <f>SUM(J245:J246)</f>
        <v>0</v>
      </c>
      <c r="K247" s="505"/>
      <c r="L247" s="504">
        <f>SUM(L245:L246)</f>
        <v>0</v>
      </c>
      <c r="M247" s="505"/>
      <c r="N247" s="504">
        <f>SUM(N245:N246)</f>
        <v>0</v>
      </c>
      <c r="O247" s="505"/>
      <c r="P247" s="504">
        <f>SUM(P245:P246)</f>
        <v>0</v>
      </c>
      <c r="Q247" s="505"/>
      <c r="R247" s="504">
        <f>SUM(R245:R246)</f>
        <v>0</v>
      </c>
      <c r="S247" s="504">
        <f>SUM(S245:S246)</f>
        <v>0</v>
      </c>
      <c r="T247" s="504">
        <f>SUM(T245:T246)</f>
        <v>0</v>
      </c>
      <c r="U247" s="505"/>
      <c r="V247" s="504">
        <f>SUM(V245:V246)</f>
        <v>0</v>
      </c>
      <c r="W247" s="458"/>
      <c r="X247" s="458"/>
      <c r="Y247" s="458"/>
    </row>
    <row r="248" spans="1:25">
      <c r="A248" s="506"/>
      <c r="B248" s="458"/>
      <c r="C248" s="458"/>
      <c r="D248" s="458"/>
      <c r="E248" s="458"/>
      <c r="F248" s="458"/>
      <c r="G248" s="458"/>
      <c r="H248" s="458"/>
      <c r="I248" s="458"/>
      <c r="J248" s="507"/>
      <c r="K248" s="507"/>
      <c r="L248" s="508"/>
      <c r="M248" s="508"/>
      <c r="N248" s="508"/>
      <c r="O248" s="508"/>
      <c r="P248" s="508"/>
      <c r="Q248" s="508"/>
      <c r="R248" s="508"/>
      <c r="S248" s="508"/>
      <c r="T248" s="508"/>
      <c r="U248" s="508"/>
      <c r="V248" s="508"/>
      <c r="W248" s="458"/>
      <c r="X248" s="458"/>
      <c r="Y248" s="458"/>
    </row>
    <row r="249" spans="1:25">
      <c r="B249" s="458"/>
      <c r="C249" s="458"/>
      <c r="D249" s="458"/>
      <c r="E249" s="458"/>
      <c r="F249" s="458"/>
      <c r="G249" s="458"/>
      <c r="H249" s="458"/>
      <c r="I249" s="458"/>
      <c r="J249" s="458"/>
      <c r="K249" s="458"/>
      <c r="L249" s="458"/>
      <c r="M249" s="458"/>
      <c r="N249" s="458"/>
      <c r="O249" s="458"/>
      <c r="P249" s="458"/>
      <c r="Q249" s="458"/>
      <c r="R249" s="458"/>
      <c r="S249" s="458"/>
      <c r="T249" s="458"/>
      <c r="U249" s="458"/>
      <c r="V249" s="458"/>
      <c r="W249" s="458"/>
      <c r="X249" s="458"/>
      <c r="Y249" s="458"/>
    </row>
    <row r="250" spans="1:25">
      <c r="B250" s="458"/>
      <c r="C250" s="458"/>
      <c r="D250" s="458"/>
      <c r="E250" s="458"/>
      <c r="F250" s="458"/>
      <c r="G250" s="458"/>
      <c r="H250" s="458"/>
      <c r="I250" s="458"/>
      <c r="J250" s="458"/>
      <c r="K250" s="458"/>
      <c r="L250" s="458"/>
      <c r="M250" s="458"/>
      <c r="N250" s="458"/>
      <c r="O250" s="458"/>
      <c r="P250" s="458"/>
      <c r="Q250" s="458"/>
      <c r="R250" s="458"/>
      <c r="S250" s="458"/>
      <c r="T250" s="458"/>
      <c r="U250" s="458"/>
      <c r="V250" s="458"/>
      <c r="W250" s="458"/>
      <c r="X250" s="458"/>
      <c r="Y250" s="458"/>
    </row>
  </sheetData>
  <customSheetViews>
    <customSheetView guid="{76FC386D-C488-46EF-BB9C-D1C49FEBAB90}" scale="75" showPageBreaks="1" showGridLines="0" fitToPage="1" printArea="1" hiddenRows="1" topLeftCell="D7">
      <pane xSplit="5" ySplit="7" topLeftCell="I14" activePane="bottomRight" state="frozen"/>
      <selection pane="bottomRight" activeCell="D10" sqref="D10"/>
      <pageMargins left="0.5" right="0.5" top="0.39" bottom="0.4" header="0.25" footer="0.25"/>
      <pageSetup scale="57" fitToHeight="0" orientation="landscape" errors="blank" horizontalDpi="4294967292" r:id="rId1"/>
      <headerFooter alignWithMargins="0">
        <oddHeader>&amp;R&amp;D - &amp;T</oddHeader>
        <oddFooter>&amp;L&amp;F - &amp;A&amp;RPage &amp;P of &amp;N</oddFooter>
      </headerFooter>
    </customSheetView>
    <customSheetView guid="{16F8EA47-9864-4C0F-89A1-62B7CCC013F9}" scale="75" showGridLines="0" fitToPage="1" hiddenRows="1" topLeftCell="D7">
      <pane xSplit="5" ySplit="7" topLeftCell="I14" activePane="bottomRight" state="frozen"/>
      <selection pane="bottomRight" activeCell="D10" sqref="D10"/>
      <pageMargins left="0.5" right="0.5" top="0.39" bottom="0.4" header="0.25" footer="0.25"/>
      <pageSetup scale="59" fitToHeight="0" orientation="landscape" errors="blank" horizontalDpi="4294967292" r:id="rId2"/>
      <headerFooter alignWithMargins="0">
        <oddHeader>&amp;R&amp;D - &amp;T</oddHeader>
        <oddFooter>&amp;L&amp;F - &amp;A&amp;RPage &amp;P of &amp;N</oddFooter>
      </headerFooter>
    </customSheetView>
  </customSheetViews>
  <dataValidations count="1">
    <dataValidation type="list" allowBlank="1" showInputMessage="1" showErrorMessage="1" sqref="N8">
      <formula1>"TRUE,FALSE"</formula1>
    </dataValidation>
  </dataValidations>
  <pageMargins left="0.5" right="0.5" top="0.39" bottom="0.4" header="0.25" footer="0.25"/>
  <pageSetup scale="57" fitToHeight="0" orientation="landscape" errors="blank" r:id="rId3"/>
  <headerFooter alignWithMargins="0">
    <oddHeader>&amp;R&amp;D - &amp;T</oddHeader>
    <oddFooter>&amp;L&amp;F - &amp;A&amp;RPage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tint="0.59999389629810485"/>
    <pageSetUpPr fitToPage="1"/>
  </sheetPr>
  <dimension ref="A1:Y245"/>
  <sheetViews>
    <sheetView showGridLines="0" view="pageBreakPreview" topLeftCell="D7" zoomScale="60" zoomScaleNormal="75" workbookViewId="0">
      <pane xSplit="5" ySplit="7" topLeftCell="I92" activePane="bottomRight" state="frozen"/>
      <selection activeCell="AP280" sqref="AP280"/>
      <selection pane="topRight" activeCell="AP280" sqref="AP280"/>
      <selection pane="bottomLeft" activeCell="AP280" sqref="AP280"/>
      <selection pane="bottomRight" activeCell="AP280" sqref="AP280"/>
    </sheetView>
  </sheetViews>
  <sheetFormatPr defaultColWidth="13.85546875" defaultRowHeight="12.75" outlineLevelRow="1"/>
  <cols>
    <col min="1" max="1" width="116.7109375" style="1" customWidth="1"/>
    <col min="2" max="2" width="16.5703125" style="1" customWidth="1"/>
    <col min="3" max="3" width="12.42578125" style="1" customWidth="1"/>
    <col min="4" max="4" width="6.85546875" style="1" customWidth="1"/>
    <col min="5" max="6" width="2.28515625" style="1" customWidth="1"/>
    <col min="7" max="7" width="25.5703125" style="1" customWidth="1"/>
    <col min="8" max="8" width="3.85546875" style="1" customWidth="1"/>
    <col min="9" max="9" width="2" style="1" customWidth="1"/>
    <col min="10" max="10" width="15.5703125" style="1" customWidth="1"/>
    <col min="11" max="11" width="1.85546875" style="1" customWidth="1"/>
    <col min="12" max="12" width="15.5703125" style="1" customWidth="1"/>
    <col min="13" max="13" width="1.85546875" style="1" customWidth="1"/>
    <col min="14" max="14" width="15.5703125" style="1" customWidth="1"/>
    <col min="15" max="15" width="1.85546875" style="1" customWidth="1"/>
    <col min="16" max="16" width="15.5703125" style="1" customWidth="1"/>
    <col min="17" max="17" width="3.140625" style="1" customWidth="1"/>
    <col min="18" max="20" width="16.28515625" style="1" bestFit="1" customWidth="1"/>
    <col min="21" max="21" width="1.85546875" style="1" customWidth="1"/>
    <col min="22" max="22" width="15.5703125" style="1" customWidth="1"/>
    <col min="23" max="23" width="2.85546875" style="1" customWidth="1"/>
    <col min="24" max="16384" width="13.85546875" style="1"/>
  </cols>
  <sheetData>
    <row r="1" spans="1:25">
      <c r="D1" s="1" t="s">
        <v>169</v>
      </c>
      <c r="E1" s="1" t="s">
        <v>170</v>
      </c>
      <c r="F1" s="2"/>
      <c r="G1" s="3"/>
      <c r="J1" s="1" t="s">
        <v>182</v>
      </c>
      <c r="L1" s="1" t="s">
        <v>710</v>
      </c>
      <c r="N1" s="1" t="s">
        <v>711</v>
      </c>
      <c r="R1" s="455" t="s">
        <v>180</v>
      </c>
      <c r="S1" s="455" t="s">
        <v>181</v>
      </c>
    </row>
    <row r="2" spans="1:25" s="7" customFormat="1" outlineLevel="1">
      <c r="A2" s="456"/>
      <c r="B2" s="457"/>
      <c r="C2" s="458"/>
      <c r="D2" s="459"/>
      <c r="E2" s="459"/>
      <c r="F2" s="460"/>
      <c r="G2" s="460"/>
      <c r="H2" s="456"/>
      <c r="I2" s="456"/>
      <c r="J2" s="461">
        <v>0</v>
      </c>
      <c r="K2" s="456"/>
      <c r="L2" s="461">
        <v>0</v>
      </c>
      <c r="M2" s="456"/>
      <c r="N2" s="462">
        <v>0</v>
      </c>
      <c r="O2" s="456"/>
      <c r="P2" s="461">
        <f>J2+L2+N2</f>
        <v>0</v>
      </c>
      <c r="Q2" s="456"/>
      <c r="R2" s="461">
        <v>0</v>
      </c>
      <c r="S2" s="461">
        <v>0</v>
      </c>
      <c r="T2" s="461">
        <f>P2</f>
        <v>0</v>
      </c>
      <c r="U2" s="456"/>
      <c r="V2" s="462">
        <f>T2-S2</f>
        <v>0</v>
      </c>
      <c r="W2" s="456"/>
      <c r="X2" s="456"/>
    </row>
    <row r="3" spans="1:25">
      <c r="G3" s="3"/>
      <c r="J3" s="1" t="str">
        <f>D9</f>
        <v>2018-11</v>
      </c>
      <c r="L3" s="1" t="str">
        <f>D9</f>
        <v>2018-11</v>
      </c>
      <c r="N3" s="1" t="str">
        <f>YearMonth</f>
        <v>2018-11</v>
      </c>
      <c r="P3" s="1" t="str">
        <f>D9</f>
        <v>2018-11</v>
      </c>
      <c r="R3" s="1" t="str">
        <f>IFERROR(TEXT(EDATE($B$7,MID(LEFT(R1,FIND(")",R1)-1),FIND("(",R1)+1,LEN(R1))),"yyyy-mm"),"")</f>
        <v>2018-09</v>
      </c>
      <c r="S3" s="1" t="str">
        <f>IFERROR(TEXT(EDATE($B$7,MID(LEFT(S1,FIND(")",S1)-1),FIND("(",S1)+1,LEN(S1))),"yyyy-mm"),"")</f>
        <v>2018-10</v>
      </c>
      <c r="T3" s="1" t="str">
        <f>D9</f>
        <v>2018-11</v>
      </c>
    </row>
    <row r="4" spans="1:25">
      <c r="A4" s="1" t="str">
        <f>_xll.jBinder("MarkerCell")</f>
        <v>jBinderOption{MarkerCell}: This cell will be used to note the tab was created from the binder.</v>
      </c>
      <c r="B4" s="1" t="str">
        <f ca="1">_xll.ReportVariable("FinCube",B11:B245,A1:Y1,A2:Y2,_xll.Param("BS"&amp;IF(ExcludeIC=TRUE,",!Eliminated",""),District,System,SubSystem,,,"*",,RIGHT(YearMonth,2),LEFT(YearMonth,4),,,1,,FALSE))</f>
        <v>OK!: ReportVariable Formula OK [jAction{}]</v>
      </c>
      <c r="G4" s="3"/>
      <c r="J4" s="1" t="s">
        <v>712</v>
      </c>
      <c r="L4" s="1" t="s">
        <v>713</v>
      </c>
      <c r="N4" s="1" t="s">
        <v>711</v>
      </c>
      <c r="P4" s="1" t="s">
        <v>474</v>
      </c>
      <c r="R4" s="1" t="s">
        <v>474</v>
      </c>
      <c r="S4" s="1" t="s">
        <v>474</v>
      </c>
      <c r="T4" s="1" t="s">
        <v>474</v>
      </c>
    </row>
    <row r="5" spans="1:25">
      <c r="A5" s="1" t="str">
        <f>_xll.jBinder("ChooseSegmentListtoIterateThru","Dist")</f>
        <v>jBinderOption{ChooseSegmentListtoIterateThru|Dist}: Option "ChooseSegmentListtoIterateThru" has value "Dist"</v>
      </c>
      <c r="B5" s="1" t="str">
        <f ca="1">_xll.ReportDrill(,"JEQuery_WithStaged",_xll.PairGroup(_xll.PairExt("C:d","Accounts"),_xll.PairExt(System,"Systems","N"),_xll.PairExt("R:3","DateFrom","Y"),_xll.PairExt("R:3","DateTo","Y"),_xll.PairExt(District,"Districts"),_xll.PairExt(SubSystem,"Subsystems","n"),_xll.PairExt("","VendorCode","n"),_xll.PairExt("","AmountFrom","N"),_xll.PairExt("","AmountTo","n"),_xll.PairExt("R:4","Posting","Y")),"Drill To JEQuery")</f>
        <v>OK!: ReportDrill 'Drill To JEQuery' Formula OK [jAction{}]</v>
      </c>
    </row>
    <row r="6" spans="1:25">
      <c r="A6" s="1" t="str">
        <f>_xll.jBinder("CreateSummaryTab","False")</f>
        <v>jBinderOption{CreateSummaryTab|False}: Option "CreateSummaryTab" has value "False"</v>
      </c>
      <c r="B6" s="1" t="str">
        <f ca="1">_xll.ReportDrill(,"JEQuery_WithStaged",_xll.PairGroup(_xll.PairExt("C:a","Accounts"),_xll.PairExt(System,"Systems","N"),_xll.PairExt("R:3","DateFrom","Y"),_xll.PairExt("R:3","DateTo","Y"),_xll.PairExt(District,"Districts"),_xll.PairExt(SubSystem,"Subsystems","n"),_xll.PairExt("","VendorCode","n"),_xll.PairExt("","AmountFrom","N"),_xll.PairExt("","AmountTo","n"),_xll.PairExt("R:4","Posting","Y")),"Drill To JEQuery")</f>
        <v>OK!: ReportDrill 'Drill To JEQuery' Formula OK [jAction{}]</v>
      </c>
    </row>
    <row r="7" spans="1:25" s="14" customFormat="1" ht="15.75">
      <c r="A7" s="1" t="str">
        <f ca="1">_xll.jBinder("Dist",District)</f>
        <v>jBinderOption{Dist||N7}: "Dist" can iterate on cell "N7"</v>
      </c>
      <c r="B7" s="463">
        <f>DATEVALUE(RIGHT(YearMonth,2)&amp;"/1/"&amp;LEFT(YearMonth,4))</f>
        <v>43405</v>
      </c>
      <c r="C7" s="1"/>
      <c r="D7" s="13" t="s">
        <v>183</v>
      </c>
      <c r="L7" s="15" t="s">
        <v>184</v>
      </c>
      <c r="N7" s="17">
        <v>2180</v>
      </c>
      <c r="T7" s="15" t="s">
        <v>188</v>
      </c>
      <c r="V7" s="19" t="s">
        <v>187</v>
      </c>
      <c r="X7" s="464"/>
    </row>
    <row r="8" spans="1:25" s="14" customFormat="1" ht="15.75">
      <c r="A8" s="14" t="str">
        <f>_xll.jBinder("TabSuffix","_BS")</f>
        <v>jBinderOption{TabSuffix|_BS}: Option "TabSuffix" has value "_BS"</v>
      </c>
      <c r="B8" s="465"/>
      <c r="C8" s="465"/>
      <c r="D8" s="13" t="s">
        <v>714</v>
      </c>
      <c r="L8" s="15" t="s">
        <v>185</v>
      </c>
      <c r="M8" s="466"/>
      <c r="N8" s="17"/>
      <c r="T8" s="15" t="s">
        <v>715</v>
      </c>
      <c r="V8" s="467" t="s">
        <v>187</v>
      </c>
    </row>
    <row r="9" spans="1:25" s="14" customFormat="1" ht="15.75">
      <c r="B9" s="465"/>
      <c r="C9" s="465"/>
      <c r="D9" s="20" t="s">
        <v>1077</v>
      </c>
      <c r="J9" s="468" t="s">
        <v>716</v>
      </c>
      <c r="K9" s="469"/>
      <c r="L9" s="468" t="s">
        <v>716</v>
      </c>
      <c r="M9" s="469"/>
      <c r="N9" s="468" t="s">
        <v>716</v>
      </c>
      <c r="O9" s="469"/>
      <c r="P9" s="468" t="s">
        <v>716</v>
      </c>
      <c r="Q9" s="469"/>
      <c r="R9" s="468" t="s">
        <v>716</v>
      </c>
      <c r="S9" s="468" t="s">
        <v>716</v>
      </c>
      <c r="T9" s="468" t="s">
        <v>716</v>
      </c>
    </row>
    <row r="10" spans="1:25" s="14" customFormat="1" ht="15.75">
      <c r="B10" s="458"/>
      <c r="C10" s="458"/>
      <c r="D10" s="68" t="str">
        <f>IF(ISERROR($B$7),"The date cell in D9  must be in YYYY-MM format","")</f>
        <v/>
      </c>
      <c r="E10" s="470"/>
      <c r="F10" s="470"/>
      <c r="G10" s="470"/>
      <c r="H10" s="470"/>
      <c r="I10" s="470"/>
      <c r="J10" s="471" t="s">
        <v>717</v>
      </c>
      <c r="K10" s="471"/>
      <c r="L10" s="471"/>
      <c r="M10" s="471"/>
      <c r="N10" s="471"/>
      <c r="O10" s="471"/>
      <c r="P10" s="471"/>
      <c r="Q10" s="470"/>
      <c r="R10" s="471" t="s">
        <v>718</v>
      </c>
      <c r="S10" s="471"/>
      <c r="T10" s="471"/>
      <c r="U10" s="470"/>
      <c r="V10" s="470"/>
      <c r="W10" s="470"/>
      <c r="X10" s="470"/>
      <c r="Y10" s="470"/>
    </row>
    <row r="11" spans="1:25" s="23" customFormat="1">
      <c r="B11" s="458"/>
      <c r="C11" s="458"/>
      <c r="D11" s="470"/>
      <c r="E11" s="470"/>
      <c r="F11" s="470"/>
      <c r="G11" s="470"/>
      <c r="H11" s="470"/>
      <c r="I11" s="470"/>
      <c r="J11" s="470"/>
      <c r="K11" s="470"/>
      <c r="L11" s="470"/>
      <c r="M11" s="470"/>
      <c r="N11" s="470"/>
      <c r="O11" s="470"/>
      <c r="P11" s="470"/>
      <c r="Q11" s="470"/>
      <c r="R11" s="470"/>
      <c r="S11" s="470"/>
      <c r="T11" s="472"/>
      <c r="U11" s="470"/>
      <c r="V11" s="470"/>
      <c r="W11" s="470"/>
      <c r="X11" s="470"/>
      <c r="Y11" s="470"/>
    </row>
    <row r="12" spans="1:25" s="23" customFormat="1">
      <c r="B12" s="458"/>
      <c r="C12" s="458"/>
      <c r="D12" s="470"/>
      <c r="E12" s="470"/>
      <c r="F12" s="470"/>
      <c r="G12" s="470"/>
      <c r="H12" s="470"/>
      <c r="I12" s="470"/>
      <c r="J12" s="470"/>
      <c r="K12" s="470"/>
      <c r="L12" s="473" t="s">
        <v>719</v>
      </c>
      <c r="M12" s="474"/>
      <c r="N12" s="473"/>
      <c r="O12" s="470"/>
      <c r="P12" s="475"/>
      <c r="Q12" s="470"/>
      <c r="R12" s="476"/>
      <c r="S12" s="476"/>
      <c r="T12" s="477" t="s">
        <v>13</v>
      </c>
      <c r="U12" s="470"/>
      <c r="V12" s="478" t="s">
        <v>720</v>
      </c>
      <c r="W12" s="470"/>
      <c r="X12" s="470"/>
      <c r="Y12" s="470"/>
    </row>
    <row r="13" spans="1:25" s="23" customFormat="1" ht="13.5" thickBot="1">
      <c r="B13" s="458"/>
      <c r="C13" s="458"/>
      <c r="D13" s="470"/>
      <c r="E13" s="470"/>
      <c r="F13" s="470"/>
      <c r="G13" s="470"/>
      <c r="H13" s="470"/>
      <c r="I13" s="470"/>
      <c r="J13" s="479" t="s">
        <v>712</v>
      </c>
      <c r="K13" s="470"/>
      <c r="L13" s="479" t="s">
        <v>713</v>
      </c>
      <c r="M13" s="470"/>
      <c r="N13" s="480" t="s">
        <v>711</v>
      </c>
      <c r="O13" s="470"/>
      <c r="P13" s="479" t="s">
        <v>13</v>
      </c>
      <c r="Q13" s="470"/>
      <c r="R13" s="481">
        <f>IFERROR(EDATE(S13,-1),"")</f>
        <v>43344</v>
      </c>
      <c r="S13" s="481">
        <f>IFERROR(EDATE(T13,-1),"")</f>
        <v>43374</v>
      </c>
      <c r="T13" s="481">
        <f>$B$7</f>
        <v>43405</v>
      </c>
      <c r="U13" s="470"/>
      <c r="V13" s="480" t="s">
        <v>721</v>
      </c>
      <c r="W13" s="470"/>
      <c r="X13" s="470"/>
      <c r="Y13" s="470"/>
    </row>
    <row r="14" spans="1:25" s="23" customFormat="1" ht="5.25" customHeight="1">
      <c r="B14" s="458"/>
      <c r="C14" s="458"/>
      <c r="D14" s="470"/>
      <c r="E14" s="470"/>
      <c r="F14" s="482"/>
      <c r="G14" s="470"/>
      <c r="H14" s="470"/>
      <c r="I14" s="470"/>
      <c r="J14" s="468"/>
      <c r="K14" s="470"/>
      <c r="L14" s="468"/>
      <c r="M14" s="470"/>
      <c r="N14" s="468"/>
      <c r="O14" s="470"/>
      <c r="P14" s="468"/>
      <c r="Q14" s="470"/>
      <c r="R14" s="468"/>
      <c r="S14" s="468"/>
      <c r="T14" s="468"/>
      <c r="U14" s="470"/>
      <c r="V14" s="468"/>
      <c r="W14" s="470"/>
      <c r="X14" s="470"/>
      <c r="Y14" s="470"/>
    </row>
    <row r="15" spans="1:25" s="7" customFormat="1" ht="4.5" customHeight="1">
      <c r="B15" s="458"/>
      <c r="C15" s="458"/>
      <c r="D15" s="456"/>
      <c r="E15" s="456"/>
      <c r="F15" s="456"/>
      <c r="G15" s="456"/>
      <c r="H15" s="456"/>
      <c r="I15" s="456"/>
      <c r="J15" s="456"/>
      <c r="K15" s="456"/>
      <c r="L15" s="456"/>
      <c r="M15" s="456"/>
      <c r="N15" s="456"/>
      <c r="O15" s="456"/>
      <c r="P15" s="456"/>
      <c r="Q15" s="470"/>
      <c r="R15" s="456"/>
      <c r="S15" s="456"/>
      <c r="T15" s="456"/>
      <c r="U15" s="456"/>
      <c r="V15" s="456"/>
      <c r="W15" s="456"/>
      <c r="X15" s="456"/>
      <c r="Y15" s="456"/>
    </row>
    <row r="16" spans="1:25" s="7" customFormat="1" outlineLevel="1">
      <c r="A16" s="456"/>
      <c r="B16" s="457" t="s">
        <v>722</v>
      </c>
      <c r="C16" s="458"/>
      <c r="D16" s="459">
        <v>10050</v>
      </c>
      <c r="E16" s="459" t="s">
        <v>906</v>
      </c>
      <c r="F16" s="460"/>
      <c r="G16" s="460"/>
      <c r="H16" s="456"/>
      <c r="I16" s="456"/>
      <c r="J16" s="461">
        <v>0</v>
      </c>
      <c r="K16" s="456"/>
      <c r="L16" s="461">
        <v>0</v>
      </c>
      <c r="M16" s="456"/>
      <c r="N16" s="462">
        <v>0</v>
      </c>
      <c r="O16" s="456"/>
      <c r="P16" s="461">
        <f t="shared" ref="P16:P28" si="0">J16+L16+N16</f>
        <v>0</v>
      </c>
      <c r="Q16" s="456"/>
      <c r="R16" s="461">
        <v>0</v>
      </c>
      <c r="S16" s="461">
        <v>0</v>
      </c>
      <c r="T16" s="461">
        <f t="shared" ref="T16:T28" si="1">P16</f>
        <v>0</v>
      </c>
      <c r="U16" s="456"/>
      <c r="V16" s="462">
        <f t="shared" ref="V16:V28" si="2">T16-S16</f>
        <v>0</v>
      </c>
      <c r="W16" s="456"/>
      <c r="X16" s="456"/>
    </row>
    <row r="17" spans="1:25" s="7" customFormat="1" outlineLevel="1">
      <c r="A17" s="456"/>
      <c r="B17" s="457" t="s">
        <v>380</v>
      </c>
      <c r="C17" s="458"/>
      <c r="D17" s="459">
        <v>10051</v>
      </c>
      <c r="E17" s="459" t="s">
        <v>723</v>
      </c>
      <c r="F17" s="460"/>
      <c r="G17" s="460"/>
      <c r="H17" s="456"/>
      <c r="I17" s="456"/>
      <c r="J17" s="461">
        <v>342.02</v>
      </c>
      <c r="K17" s="456"/>
      <c r="L17" s="461">
        <v>0</v>
      </c>
      <c r="M17" s="456"/>
      <c r="N17" s="462">
        <v>0</v>
      </c>
      <c r="O17" s="456"/>
      <c r="P17" s="461">
        <f t="shared" si="0"/>
        <v>342.02</v>
      </c>
      <c r="Q17" s="456"/>
      <c r="R17" s="461">
        <v>342.02</v>
      </c>
      <c r="S17" s="461">
        <v>342.02</v>
      </c>
      <c r="T17" s="461">
        <f t="shared" si="1"/>
        <v>342.02</v>
      </c>
      <c r="U17" s="456"/>
      <c r="V17" s="462">
        <f t="shared" si="2"/>
        <v>0</v>
      </c>
      <c r="W17" s="456"/>
      <c r="X17" s="456"/>
    </row>
    <row r="18" spans="1:25" s="7" customFormat="1" outlineLevel="1">
      <c r="A18" s="456"/>
      <c r="B18" s="457" t="s">
        <v>380</v>
      </c>
      <c r="C18" s="458"/>
      <c r="D18" s="459">
        <v>10060</v>
      </c>
      <c r="E18" s="459" t="s">
        <v>724</v>
      </c>
      <c r="F18" s="460"/>
      <c r="G18" s="460"/>
      <c r="H18" s="456"/>
      <c r="I18" s="456"/>
      <c r="J18" s="461">
        <v>0</v>
      </c>
      <c r="K18" s="456"/>
      <c r="L18" s="461">
        <v>0</v>
      </c>
      <c r="M18" s="456"/>
      <c r="N18" s="462">
        <v>0</v>
      </c>
      <c r="O18" s="456"/>
      <c r="P18" s="461">
        <f t="shared" si="0"/>
        <v>0</v>
      </c>
      <c r="Q18" s="456"/>
      <c r="R18" s="461">
        <v>0</v>
      </c>
      <c r="S18" s="461">
        <v>0</v>
      </c>
      <c r="T18" s="461">
        <f t="shared" si="1"/>
        <v>0</v>
      </c>
      <c r="U18" s="456"/>
      <c r="V18" s="462">
        <f t="shared" si="2"/>
        <v>0</v>
      </c>
      <c r="W18" s="456"/>
      <c r="X18" s="456"/>
    </row>
    <row r="19" spans="1:25" s="7" customFormat="1" outlineLevel="1">
      <c r="A19" s="456"/>
      <c r="B19" s="457" t="s">
        <v>380</v>
      </c>
      <c r="C19" s="458"/>
      <c r="D19" s="459">
        <v>10063</v>
      </c>
      <c r="E19" s="459" t="s">
        <v>724</v>
      </c>
      <c r="F19" s="460"/>
      <c r="G19" s="460"/>
      <c r="H19" s="456"/>
      <c r="I19" s="456"/>
      <c r="J19" s="461">
        <v>54333.14</v>
      </c>
      <c r="K19" s="456"/>
      <c r="L19" s="461">
        <v>0</v>
      </c>
      <c r="M19" s="456"/>
      <c r="N19" s="462">
        <v>0</v>
      </c>
      <c r="O19" s="456"/>
      <c r="P19" s="461">
        <f t="shared" si="0"/>
        <v>54333.14</v>
      </c>
      <c r="Q19" s="456"/>
      <c r="R19" s="461">
        <v>26303.31</v>
      </c>
      <c r="S19" s="461">
        <v>55147.31</v>
      </c>
      <c r="T19" s="461">
        <f t="shared" si="1"/>
        <v>54333.14</v>
      </c>
      <c r="U19" s="456"/>
      <c r="V19" s="462">
        <f t="shared" si="2"/>
        <v>-814.16999999999825</v>
      </c>
      <c r="W19" s="456"/>
      <c r="X19" s="456"/>
    </row>
    <row r="20" spans="1:25" s="7" customFormat="1" outlineLevel="1">
      <c r="A20" s="456"/>
      <c r="B20" s="457" t="s">
        <v>380</v>
      </c>
      <c r="C20" s="458"/>
      <c r="D20" s="459">
        <v>10070</v>
      </c>
      <c r="E20" s="459" t="s">
        <v>725</v>
      </c>
      <c r="F20" s="460"/>
      <c r="G20" s="460"/>
      <c r="H20" s="456"/>
      <c r="I20" s="456"/>
      <c r="J20" s="461">
        <v>-104771.62</v>
      </c>
      <c r="K20" s="456"/>
      <c r="L20" s="461">
        <v>0</v>
      </c>
      <c r="M20" s="456"/>
      <c r="N20" s="462">
        <v>0</v>
      </c>
      <c r="O20" s="456"/>
      <c r="P20" s="461">
        <f t="shared" si="0"/>
        <v>-104771.62</v>
      </c>
      <c r="Q20" s="456"/>
      <c r="R20" s="461">
        <v>-104225.62</v>
      </c>
      <c r="S20" s="461">
        <v>-104771.62</v>
      </c>
      <c r="T20" s="461">
        <f t="shared" si="1"/>
        <v>-104771.62</v>
      </c>
      <c r="U20" s="456"/>
      <c r="V20" s="462">
        <f t="shared" si="2"/>
        <v>0</v>
      </c>
      <c r="W20" s="456"/>
      <c r="X20" s="456"/>
    </row>
    <row r="21" spans="1:25" s="7" customFormat="1" outlineLevel="1">
      <c r="A21" s="456"/>
      <c r="B21" s="457" t="s">
        <v>380</v>
      </c>
      <c r="C21" s="458"/>
      <c r="D21" s="459">
        <v>10071</v>
      </c>
      <c r="E21" s="459" t="s">
        <v>726</v>
      </c>
      <c r="F21" s="460"/>
      <c r="G21" s="460"/>
      <c r="H21" s="456"/>
      <c r="I21" s="456"/>
      <c r="J21" s="461">
        <v>104771.62</v>
      </c>
      <c r="K21" s="456"/>
      <c r="L21" s="461">
        <v>0</v>
      </c>
      <c r="M21" s="456"/>
      <c r="N21" s="462">
        <v>0</v>
      </c>
      <c r="O21" s="456"/>
      <c r="P21" s="461">
        <f t="shared" si="0"/>
        <v>104771.62</v>
      </c>
      <c r="Q21" s="456"/>
      <c r="R21" s="461">
        <v>104225.62</v>
      </c>
      <c r="S21" s="461">
        <v>104771.62</v>
      </c>
      <c r="T21" s="461">
        <f t="shared" si="1"/>
        <v>104771.62</v>
      </c>
      <c r="U21" s="456"/>
      <c r="V21" s="462">
        <f t="shared" si="2"/>
        <v>0</v>
      </c>
      <c r="W21" s="456"/>
      <c r="X21" s="456"/>
    </row>
    <row r="22" spans="1:25" s="7" customFormat="1" outlineLevel="1">
      <c r="A22" s="456"/>
      <c r="B22" s="457" t="s">
        <v>380</v>
      </c>
      <c r="C22" s="458"/>
      <c r="D22" s="459">
        <v>10091</v>
      </c>
      <c r="E22" s="459" t="s">
        <v>727</v>
      </c>
      <c r="F22" s="460"/>
      <c r="G22" s="460"/>
      <c r="H22" s="456"/>
      <c r="I22" s="456"/>
      <c r="J22" s="461">
        <v>0</v>
      </c>
      <c r="K22" s="456"/>
      <c r="L22" s="461">
        <v>0</v>
      </c>
      <c r="M22" s="456"/>
      <c r="N22" s="462">
        <v>0</v>
      </c>
      <c r="O22" s="456"/>
      <c r="P22" s="461">
        <f t="shared" si="0"/>
        <v>0</v>
      </c>
      <c r="Q22" s="456"/>
      <c r="R22" s="461">
        <v>0</v>
      </c>
      <c r="S22" s="461">
        <v>0</v>
      </c>
      <c r="T22" s="461">
        <f t="shared" si="1"/>
        <v>0</v>
      </c>
      <c r="U22" s="456"/>
      <c r="V22" s="462">
        <f t="shared" si="2"/>
        <v>0</v>
      </c>
      <c r="W22" s="456"/>
      <c r="X22" s="456"/>
    </row>
    <row r="23" spans="1:25" s="7" customFormat="1" outlineLevel="1">
      <c r="A23" s="456"/>
      <c r="B23" s="457" t="s">
        <v>380</v>
      </c>
      <c r="C23" s="458"/>
      <c r="D23" s="459">
        <v>10092</v>
      </c>
      <c r="E23" s="459" t="s">
        <v>728</v>
      </c>
      <c r="F23" s="460"/>
      <c r="G23" s="460"/>
      <c r="H23" s="456"/>
      <c r="I23" s="456"/>
      <c r="J23" s="461">
        <v>192.22</v>
      </c>
      <c r="K23" s="456"/>
      <c r="L23" s="461">
        <v>0</v>
      </c>
      <c r="M23" s="456"/>
      <c r="N23" s="462">
        <v>0</v>
      </c>
      <c r="O23" s="456"/>
      <c r="P23" s="461">
        <f t="shared" si="0"/>
        <v>192.22</v>
      </c>
      <c r="Q23" s="456"/>
      <c r="R23" s="461">
        <v>0</v>
      </c>
      <c r="S23" s="461">
        <v>0</v>
      </c>
      <c r="T23" s="461">
        <f t="shared" si="1"/>
        <v>192.22</v>
      </c>
      <c r="U23" s="456"/>
      <c r="V23" s="462">
        <f t="shared" si="2"/>
        <v>192.22</v>
      </c>
      <c r="W23" s="456"/>
      <c r="X23" s="456"/>
    </row>
    <row r="24" spans="1:25" s="7" customFormat="1" outlineLevel="1">
      <c r="A24" s="456"/>
      <c r="B24" s="457" t="s">
        <v>380</v>
      </c>
      <c r="C24" s="458"/>
      <c r="D24" s="459">
        <v>10093</v>
      </c>
      <c r="E24" s="459" t="s">
        <v>729</v>
      </c>
      <c r="F24" s="460"/>
      <c r="G24" s="460"/>
      <c r="H24" s="456"/>
      <c r="I24" s="456"/>
      <c r="J24" s="461">
        <v>0</v>
      </c>
      <c r="K24" s="456"/>
      <c r="L24" s="461">
        <v>0</v>
      </c>
      <c r="M24" s="456"/>
      <c r="N24" s="462">
        <v>0</v>
      </c>
      <c r="O24" s="456"/>
      <c r="P24" s="461">
        <f t="shared" si="0"/>
        <v>0</v>
      </c>
      <c r="Q24" s="456"/>
      <c r="R24" s="461">
        <v>0</v>
      </c>
      <c r="S24" s="461">
        <v>0</v>
      </c>
      <c r="T24" s="461">
        <f t="shared" si="1"/>
        <v>0</v>
      </c>
      <c r="U24" s="456"/>
      <c r="V24" s="462">
        <f t="shared" si="2"/>
        <v>0</v>
      </c>
      <c r="W24" s="456"/>
      <c r="X24" s="456"/>
    </row>
    <row r="25" spans="1:25" s="7" customFormat="1" outlineLevel="1">
      <c r="A25" s="456"/>
      <c r="B25" s="457" t="s">
        <v>380</v>
      </c>
      <c r="C25" s="458"/>
      <c r="D25" s="459">
        <v>10095</v>
      </c>
      <c r="E25" s="459" t="s">
        <v>730</v>
      </c>
      <c r="F25" s="460"/>
      <c r="G25" s="460"/>
      <c r="H25" s="456"/>
      <c r="I25" s="456"/>
      <c r="J25" s="461">
        <v>0</v>
      </c>
      <c r="K25" s="456"/>
      <c r="L25" s="461">
        <v>0</v>
      </c>
      <c r="M25" s="456"/>
      <c r="N25" s="462">
        <v>0</v>
      </c>
      <c r="O25" s="456"/>
      <c r="P25" s="461">
        <f t="shared" si="0"/>
        <v>0</v>
      </c>
      <c r="Q25" s="456"/>
      <c r="R25" s="461">
        <v>-199.07</v>
      </c>
      <c r="S25" s="461">
        <v>0</v>
      </c>
      <c r="T25" s="461">
        <f t="shared" si="1"/>
        <v>0</v>
      </c>
      <c r="U25" s="456"/>
      <c r="V25" s="462">
        <f t="shared" si="2"/>
        <v>0</v>
      </c>
      <c r="W25" s="456"/>
      <c r="X25" s="456"/>
    </row>
    <row r="26" spans="1:25" s="7" customFormat="1" outlineLevel="1">
      <c r="A26" s="456"/>
      <c r="B26" s="457" t="s">
        <v>380</v>
      </c>
      <c r="C26" s="458"/>
      <c r="D26" s="459">
        <v>10097</v>
      </c>
      <c r="E26" s="459" t="s">
        <v>731</v>
      </c>
      <c r="F26" s="460"/>
      <c r="G26" s="460"/>
      <c r="H26" s="456"/>
      <c r="I26" s="456"/>
      <c r="J26" s="461">
        <v>0</v>
      </c>
      <c r="K26" s="456"/>
      <c r="L26" s="461">
        <v>0</v>
      </c>
      <c r="M26" s="456"/>
      <c r="N26" s="462">
        <v>0</v>
      </c>
      <c r="O26" s="456"/>
      <c r="P26" s="461">
        <f t="shared" si="0"/>
        <v>0</v>
      </c>
      <c r="Q26" s="456"/>
      <c r="R26" s="461">
        <v>0</v>
      </c>
      <c r="S26" s="461">
        <v>0</v>
      </c>
      <c r="T26" s="461">
        <f t="shared" si="1"/>
        <v>0</v>
      </c>
      <c r="U26" s="456"/>
      <c r="V26" s="462">
        <f t="shared" si="2"/>
        <v>0</v>
      </c>
      <c r="W26" s="456"/>
      <c r="X26" s="456"/>
    </row>
    <row r="27" spans="1:25" s="7" customFormat="1" outlineLevel="1">
      <c r="A27" s="456"/>
      <c r="B27" s="457" t="s">
        <v>380</v>
      </c>
      <c r="C27" s="458"/>
      <c r="D27" s="459">
        <v>10098</v>
      </c>
      <c r="E27" s="459" t="s">
        <v>732</v>
      </c>
      <c r="F27" s="460"/>
      <c r="G27" s="460"/>
      <c r="H27" s="456"/>
      <c r="I27" s="456"/>
      <c r="J27" s="461">
        <v>0</v>
      </c>
      <c r="K27" s="456"/>
      <c r="L27" s="461">
        <v>0</v>
      </c>
      <c r="M27" s="456"/>
      <c r="N27" s="462">
        <v>0</v>
      </c>
      <c r="O27" s="456"/>
      <c r="P27" s="461">
        <f t="shared" si="0"/>
        <v>0</v>
      </c>
      <c r="Q27" s="456"/>
      <c r="R27" s="461">
        <v>0</v>
      </c>
      <c r="S27" s="461">
        <v>-70.14</v>
      </c>
      <c r="T27" s="461">
        <f t="shared" si="1"/>
        <v>0</v>
      </c>
      <c r="U27" s="456"/>
      <c r="V27" s="462">
        <f t="shared" si="2"/>
        <v>70.14</v>
      </c>
      <c r="W27" s="456"/>
      <c r="X27" s="456"/>
    </row>
    <row r="28" spans="1:25" s="7" customFormat="1" outlineLevel="1">
      <c r="A28" s="456"/>
      <c r="B28" s="457" t="s">
        <v>380</v>
      </c>
      <c r="C28" s="458"/>
      <c r="D28" s="459">
        <v>10099</v>
      </c>
      <c r="E28" s="459" t="s">
        <v>733</v>
      </c>
      <c r="F28" s="460"/>
      <c r="G28" s="460"/>
      <c r="H28" s="456"/>
      <c r="I28" s="456"/>
      <c r="J28" s="461">
        <v>0</v>
      </c>
      <c r="K28" s="456"/>
      <c r="L28" s="461">
        <v>0</v>
      </c>
      <c r="M28" s="456"/>
      <c r="N28" s="462">
        <v>0</v>
      </c>
      <c r="O28" s="456"/>
      <c r="P28" s="461">
        <f t="shared" si="0"/>
        <v>0</v>
      </c>
      <c r="Q28" s="456"/>
      <c r="R28" s="461">
        <v>0</v>
      </c>
      <c r="S28" s="461">
        <v>0</v>
      </c>
      <c r="T28" s="461">
        <f t="shared" si="1"/>
        <v>0</v>
      </c>
      <c r="U28" s="456"/>
      <c r="V28" s="462">
        <f t="shared" si="2"/>
        <v>0</v>
      </c>
      <c r="W28" s="456"/>
      <c r="X28" s="456"/>
    </row>
    <row r="29" spans="1:25" s="7" customFormat="1" ht="4.5" customHeight="1" outlineLevel="1">
      <c r="A29" s="45"/>
      <c r="B29" s="483" t="s">
        <v>187</v>
      </c>
      <c r="C29" s="483"/>
      <c r="D29" s="456"/>
      <c r="E29" s="456"/>
      <c r="F29" s="456"/>
      <c r="G29" s="456"/>
      <c r="H29" s="456"/>
      <c r="I29" s="456"/>
      <c r="J29" s="484"/>
      <c r="K29" s="456"/>
      <c r="L29" s="484"/>
      <c r="M29" s="456"/>
      <c r="N29" s="484"/>
      <c r="O29" s="456"/>
      <c r="P29" s="484"/>
      <c r="Q29" s="456"/>
      <c r="R29" s="484"/>
      <c r="S29" s="484"/>
      <c r="T29" s="484"/>
      <c r="U29" s="456"/>
      <c r="V29" s="484"/>
      <c r="W29" s="456"/>
      <c r="X29" s="456"/>
      <c r="Y29" s="456"/>
    </row>
    <row r="30" spans="1:25" s="7" customFormat="1">
      <c r="A30" s="458" t="s">
        <v>722</v>
      </c>
      <c r="B30" s="458" t="s">
        <v>187</v>
      </c>
      <c r="C30" s="458"/>
      <c r="D30" s="456"/>
      <c r="E30" s="456"/>
      <c r="F30" s="456" t="s">
        <v>734</v>
      </c>
      <c r="G30" s="456"/>
      <c r="H30" s="456"/>
      <c r="I30" s="456"/>
      <c r="J30" s="485">
        <f>SUM(J16:J29)</f>
        <v>54867.38</v>
      </c>
      <c r="K30" s="456"/>
      <c r="L30" s="485">
        <f>SUM(L16:L29)</f>
        <v>0</v>
      </c>
      <c r="M30" s="456"/>
      <c r="N30" s="486">
        <f>SUM(N16:N29)</f>
        <v>0</v>
      </c>
      <c r="O30" s="456"/>
      <c r="P30" s="485">
        <f t="shared" ref="P30" si="3">J30+L30+N30</f>
        <v>54867.38</v>
      </c>
      <c r="Q30" s="456"/>
      <c r="R30" s="485">
        <f>SUM(R16:R29)</f>
        <v>26446.260000000002</v>
      </c>
      <c r="S30" s="485">
        <f>SUM(S16:S29)</f>
        <v>55419.189999999995</v>
      </c>
      <c r="T30" s="485">
        <f>SUM(T16:T29)</f>
        <v>54867.38</v>
      </c>
      <c r="U30" s="456"/>
      <c r="V30" s="486">
        <f>SUM(V16:V29)</f>
        <v>-551.80999999999824</v>
      </c>
      <c r="W30" s="456"/>
      <c r="X30" s="456"/>
      <c r="Y30" s="456"/>
    </row>
    <row r="31" spans="1:25" s="7" customFormat="1" outlineLevel="1">
      <c r="A31" s="456"/>
      <c r="B31" s="457" t="s">
        <v>735</v>
      </c>
      <c r="C31" s="458"/>
      <c r="D31" s="459">
        <v>11501</v>
      </c>
      <c r="E31" s="459" t="s">
        <v>736</v>
      </c>
      <c r="F31" s="460"/>
      <c r="G31" s="460"/>
      <c r="H31" s="456"/>
      <c r="I31" s="456"/>
      <c r="J31" s="461">
        <v>5858488.1200000001</v>
      </c>
      <c r="K31" s="456"/>
      <c r="L31" s="461">
        <v>0</v>
      </c>
      <c r="M31" s="456"/>
      <c r="N31" s="462">
        <v>0</v>
      </c>
      <c r="O31" s="456"/>
      <c r="P31" s="461">
        <f t="shared" ref="P31:P40" si="4">J31+L31+N31</f>
        <v>5858488.1200000001</v>
      </c>
      <c r="Q31" s="456"/>
      <c r="R31" s="461">
        <v>5527895.2699999996</v>
      </c>
      <c r="S31" s="461">
        <v>5791438.1399999997</v>
      </c>
      <c r="T31" s="461">
        <f t="shared" ref="T31:T40" si="5">P31</f>
        <v>5858488.1200000001</v>
      </c>
      <c r="U31" s="456"/>
      <c r="V31" s="462">
        <f t="shared" ref="V31:V40" si="6">T31-S31</f>
        <v>67049.980000000447</v>
      </c>
      <c r="W31" s="456"/>
      <c r="X31" s="456"/>
    </row>
    <row r="32" spans="1:25" s="7" customFormat="1" outlineLevel="1">
      <c r="A32" s="456"/>
      <c r="B32" s="457" t="s">
        <v>380</v>
      </c>
      <c r="C32" s="458"/>
      <c r="D32" s="459">
        <v>11502</v>
      </c>
      <c r="E32" s="459" t="s">
        <v>737</v>
      </c>
      <c r="F32" s="460"/>
      <c r="G32" s="460"/>
      <c r="H32" s="456"/>
      <c r="I32" s="456"/>
      <c r="J32" s="461">
        <v>614.66999999999996</v>
      </c>
      <c r="K32" s="456"/>
      <c r="L32" s="461">
        <v>0</v>
      </c>
      <c r="M32" s="456"/>
      <c r="N32" s="462">
        <v>0</v>
      </c>
      <c r="O32" s="456"/>
      <c r="P32" s="461">
        <f t="shared" si="4"/>
        <v>614.66999999999996</v>
      </c>
      <c r="Q32" s="456"/>
      <c r="R32" s="461">
        <v>0</v>
      </c>
      <c r="S32" s="461">
        <v>614.66999999999996</v>
      </c>
      <c r="T32" s="461">
        <f t="shared" si="5"/>
        <v>614.66999999999996</v>
      </c>
      <c r="U32" s="456"/>
      <c r="V32" s="462">
        <f t="shared" si="6"/>
        <v>0</v>
      </c>
      <c r="W32" s="456"/>
      <c r="X32" s="456"/>
    </row>
    <row r="33" spans="1:25" s="7" customFormat="1" outlineLevel="1">
      <c r="A33" s="456"/>
      <c r="B33" s="457" t="s">
        <v>380</v>
      </c>
      <c r="C33" s="458"/>
      <c r="D33" s="459">
        <v>11510</v>
      </c>
      <c r="E33" s="459" t="s">
        <v>738</v>
      </c>
      <c r="F33" s="460"/>
      <c r="G33" s="460"/>
      <c r="H33" s="456"/>
      <c r="I33" s="456"/>
      <c r="J33" s="461">
        <v>396227.86</v>
      </c>
      <c r="K33" s="456"/>
      <c r="L33" s="461">
        <v>0</v>
      </c>
      <c r="M33" s="456"/>
      <c r="N33" s="462">
        <v>0</v>
      </c>
      <c r="O33" s="456"/>
      <c r="P33" s="461">
        <f t="shared" si="4"/>
        <v>396227.86</v>
      </c>
      <c r="Q33" s="456"/>
      <c r="R33" s="461">
        <v>393338.95</v>
      </c>
      <c r="S33" s="461">
        <v>427140.86</v>
      </c>
      <c r="T33" s="461">
        <f t="shared" si="5"/>
        <v>396227.86</v>
      </c>
      <c r="U33" s="456"/>
      <c r="V33" s="462">
        <f t="shared" si="6"/>
        <v>-30913</v>
      </c>
      <c r="W33" s="456"/>
      <c r="X33" s="456"/>
    </row>
    <row r="34" spans="1:25" s="7" customFormat="1" outlineLevel="1">
      <c r="A34" s="456"/>
      <c r="B34" s="457" t="s">
        <v>380</v>
      </c>
      <c r="C34" s="458"/>
      <c r="D34" s="459">
        <v>11511</v>
      </c>
      <c r="E34" s="459" t="s">
        <v>739</v>
      </c>
      <c r="F34" s="460"/>
      <c r="G34" s="460"/>
      <c r="H34" s="456"/>
      <c r="I34" s="456"/>
      <c r="J34" s="461">
        <v>449931.99</v>
      </c>
      <c r="K34" s="456"/>
      <c r="L34" s="461">
        <v>0</v>
      </c>
      <c r="M34" s="456"/>
      <c r="N34" s="462">
        <v>0</v>
      </c>
      <c r="O34" s="456"/>
      <c r="P34" s="461">
        <f t="shared" si="4"/>
        <v>449931.99</v>
      </c>
      <c r="Q34" s="456"/>
      <c r="R34" s="461">
        <v>490738.31</v>
      </c>
      <c r="S34" s="461">
        <v>500904.2</v>
      </c>
      <c r="T34" s="461">
        <f t="shared" si="5"/>
        <v>449931.99</v>
      </c>
      <c r="U34" s="456"/>
      <c r="V34" s="462">
        <f t="shared" si="6"/>
        <v>-50972.210000000021</v>
      </c>
      <c r="W34" s="456"/>
      <c r="X34" s="456"/>
    </row>
    <row r="35" spans="1:25" s="7" customFormat="1" outlineLevel="1">
      <c r="A35" s="456"/>
      <c r="B35" s="457" t="s">
        <v>380</v>
      </c>
      <c r="C35" s="458"/>
      <c r="D35" s="459">
        <v>11599</v>
      </c>
      <c r="E35" s="459" t="s">
        <v>740</v>
      </c>
      <c r="F35" s="460"/>
      <c r="G35" s="460"/>
      <c r="H35" s="456"/>
      <c r="I35" s="456"/>
      <c r="J35" s="461">
        <v>4723.32</v>
      </c>
      <c r="K35" s="456"/>
      <c r="L35" s="461">
        <v>0</v>
      </c>
      <c r="M35" s="456"/>
      <c r="N35" s="462">
        <v>0</v>
      </c>
      <c r="O35" s="456"/>
      <c r="P35" s="461">
        <f t="shared" si="4"/>
        <v>4723.32</v>
      </c>
      <c r="Q35" s="456"/>
      <c r="R35" s="461">
        <v>1379.72</v>
      </c>
      <c r="S35" s="461">
        <v>1376.03</v>
      </c>
      <c r="T35" s="461">
        <f t="shared" si="5"/>
        <v>4723.32</v>
      </c>
      <c r="U35" s="456"/>
      <c r="V35" s="462">
        <f t="shared" si="6"/>
        <v>3347.29</v>
      </c>
      <c r="W35" s="456"/>
      <c r="X35" s="456"/>
    </row>
    <row r="36" spans="1:25" s="7" customFormat="1" outlineLevel="1">
      <c r="A36" s="456"/>
      <c r="B36" s="457" t="s">
        <v>380</v>
      </c>
      <c r="C36" s="458"/>
      <c r="D36" s="459">
        <v>11701</v>
      </c>
      <c r="E36" s="459" t="s">
        <v>741</v>
      </c>
      <c r="F36" s="460"/>
      <c r="G36" s="460"/>
      <c r="H36" s="456"/>
      <c r="I36" s="456"/>
      <c r="J36" s="461">
        <v>6183.28</v>
      </c>
      <c r="K36" s="456"/>
      <c r="L36" s="461">
        <v>0</v>
      </c>
      <c r="M36" s="456"/>
      <c r="N36" s="462">
        <v>0</v>
      </c>
      <c r="O36" s="456"/>
      <c r="P36" s="461">
        <f t="shared" si="4"/>
        <v>6183.28</v>
      </c>
      <c r="Q36" s="456"/>
      <c r="R36" s="461">
        <v>6183.28</v>
      </c>
      <c r="S36" s="461">
        <v>6183.28</v>
      </c>
      <c r="T36" s="461">
        <f t="shared" si="5"/>
        <v>6183.28</v>
      </c>
      <c r="U36" s="456"/>
      <c r="V36" s="462">
        <f t="shared" si="6"/>
        <v>0</v>
      </c>
      <c r="W36" s="456"/>
      <c r="X36" s="456"/>
    </row>
    <row r="37" spans="1:25" s="7" customFormat="1" outlineLevel="1">
      <c r="A37" s="456"/>
      <c r="B37" s="457" t="s">
        <v>380</v>
      </c>
      <c r="C37" s="458"/>
      <c r="D37" s="459">
        <v>11800</v>
      </c>
      <c r="E37" s="459" t="s">
        <v>742</v>
      </c>
      <c r="F37" s="460"/>
      <c r="G37" s="460"/>
      <c r="H37" s="456"/>
      <c r="I37" s="456"/>
      <c r="J37" s="461">
        <v>-13499.57</v>
      </c>
      <c r="K37" s="456"/>
      <c r="L37" s="461">
        <v>0</v>
      </c>
      <c r="M37" s="456"/>
      <c r="N37" s="462">
        <v>0</v>
      </c>
      <c r="O37" s="456"/>
      <c r="P37" s="461">
        <f t="shared" si="4"/>
        <v>-13499.57</v>
      </c>
      <c r="Q37" s="456"/>
      <c r="R37" s="461">
        <v>31364.39</v>
      </c>
      <c r="S37" s="461">
        <v>18899.16</v>
      </c>
      <c r="T37" s="461">
        <f t="shared" si="5"/>
        <v>-13499.57</v>
      </c>
      <c r="U37" s="456"/>
      <c r="V37" s="462">
        <f t="shared" si="6"/>
        <v>-32398.73</v>
      </c>
      <c r="W37" s="456"/>
      <c r="X37" s="456"/>
    </row>
    <row r="38" spans="1:25" s="7" customFormat="1" outlineLevel="1">
      <c r="A38" s="456"/>
      <c r="B38" s="457" t="s">
        <v>380</v>
      </c>
      <c r="C38" s="458"/>
      <c r="D38" s="459">
        <v>11901</v>
      </c>
      <c r="E38" s="459" t="s">
        <v>743</v>
      </c>
      <c r="F38" s="460"/>
      <c r="G38" s="460"/>
      <c r="H38" s="456"/>
      <c r="I38" s="456"/>
      <c r="J38" s="461">
        <v>-1942260.66</v>
      </c>
      <c r="K38" s="456"/>
      <c r="L38" s="461">
        <v>0</v>
      </c>
      <c r="M38" s="456"/>
      <c r="N38" s="462">
        <v>0</v>
      </c>
      <c r="O38" s="456"/>
      <c r="P38" s="461">
        <f t="shared" si="4"/>
        <v>-1942260.66</v>
      </c>
      <c r="Q38" s="456"/>
      <c r="R38" s="461">
        <v>-1916705.52</v>
      </c>
      <c r="S38" s="461">
        <v>-1929209.97</v>
      </c>
      <c r="T38" s="461">
        <f t="shared" si="5"/>
        <v>-1942260.66</v>
      </c>
      <c r="U38" s="456"/>
      <c r="V38" s="462">
        <f t="shared" si="6"/>
        <v>-13050.689999999944</v>
      </c>
      <c r="W38" s="456"/>
      <c r="X38" s="456"/>
    </row>
    <row r="39" spans="1:25" s="7" customFormat="1" outlineLevel="1">
      <c r="A39" s="456"/>
      <c r="B39" s="457" t="s">
        <v>380</v>
      </c>
      <c r="C39" s="458"/>
      <c r="D39" s="459">
        <v>11902</v>
      </c>
      <c r="E39" s="459" t="s">
        <v>744</v>
      </c>
      <c r="F39" s="460"/>
      <c r="G39" s="460"/>
      <c r="H39" s="456"/>
      <c r="I39" s="456"/>
      <c r="J39" s="461">
        <v>3627980.82</v>
      </c>
      <c r="K39" s="456"/>
      <c r="L39" s="461">
        <v>0</v>
      </c>
      <c r="M39" s="456"/>
      <c r="N39" s="462">
        <v>0</v>
      </c>
      <c r="O39" s="456"/>
      <c r="P39" s="461">
        <f t="shared" si="4"/>
        <v>3627980.82</v>
      </c>
      <c r="Q39" s="456"/>
      <c r="R39" s="461">
        <v>3581055.39</v>
      </c>
      <c r="S39" s="461">
        <v>3604935.13</v>
      </c>
      <c r="T39" s="461">
        <f t="shared" si="5"/>
        <v>3627980.82</v>
      </c>
      <c r="U39" s="456"/>
      <c r="V39" s="462">
        <f t="shared" si="6"/>
        <v>23045.689999999944</v>
      </c>
      <c r="W39" s="456"/>
      <c r="X39" s="456"/>
    </row>
    <row r="40" spans="1:25" s="7" customFormat="1" outlineLevel="1">
      <c r="A40" s="456"/>
      <c r="B40" s="457" t="s">
        <v>380</v>
      </c>
      <c r="C40" s="458"/>
      <c r="D40" s="459">
        <v>11903</v>
      </c>
      <c r="E40" s="459" t="s">
        <v>745</v>
      </c>
      <c r="F40" s="460"/>
      <c r="G40" s="460"/>
      <c r="H40" s="456"/>
      <c r="I40" s="456"/>
      <c r="J40" s="461">
        <v>-1713874.2</v>
      </c>
      <c r="K40" s="456"/>
      <c r="L40" s="461">
        <v>0</v>
      </c>
      <c r="M40" s="456"/>
      <c r="N40" s="462">
        <v>0</v>
      </c>
      <c r="O40" s="456"/>
      <c r="P40" s="461">
        <f t="shared" si="4"/>
        <v>-1713874.2</v>
      </c>
      <c r="Q40" s="456"/>
      <c r="R40" s="461">
        <v>-1694644.23</v>
      </c>
      <c r="S40" s="461">
        <v>-1704086.96</v>
      </c>
      <c r="T40" s="461">
        <f t="shared" si="5"/>
        <v>-1713874.2</v>
      </c>
      <c r="U40" s="456"/>
      <c r="V40" s="462">
        <f t="shared" si="6"/>
        <v>-9787.2399999999907</v>
      </c>
      <c r="W40" s="456"/>
      <c r="X40" s="456"/>
    </row>
    <row r="41" spans="1:25" s="7" customFormat="1" ht="5.0999999999999996" customHeight="1" outlineLevel="1">
      <c r="A41" s="458" t="s">
        <v>187</v>
      </c>
      <c r="B41" s="483" t="s">
        <v>187</v>
      </c>
      <c r="C41" s="483"/>
      <c r="D41" s="460"/>
      <c r="E41" s="460"/>
      <c r="F41" s="460"/>
      <c r="G41" s="460"/>
      <c r="H41" s="456"/>
      <c r="I41" s="456"/>
      <c r="J41" s="487"/>
      <c r="K41" s="456"/>
      <c r="L41" s="487"/>
      <c r="M41" s="456"/>
      <c r="N41" s="488"/>
      <c r="O41" s="456"/>
      <c r="P41" s="487"/>
      <c r="Q41" s="456"/>
      <c r="R41" s="487"/>
      <c r="S41" s="487"/>
      <c r="T41" s="487"/>
      <c r="U41" s="456"/>
      <c r="V41" s="488"/>
      <c r="W41" s="456"/>
      <c r="X41" s="456"/>
      <c r="Y41" s="456"/>
    </row>
    <row r="42" spans="1:25" s="7" customFormat="1">
      <c r="A42" s="458" t="s">
        <v>735</v>
      </c>
      <c r="B42" s="458" t="s">
        <v>187</v>
      </c>
      <c r="C42" s="458"/>
      <c r="D42" s="456"/>
      <c r="E42" s="456"/>
      <c r="F42" s="459" t="s">
        <v>746</v>
      </c>
      <c r="G42" s="456"/>
      <c r="H42" s="456"/>
      <c r="I42" s="456"/>
      <c r="J42" s="485">
        <f>SUM(J31:J41)</f>
        <v>6674515.6299999999</v>
      </c>
      <c r="K42" s="456"/>
      <c r="L42" s="485">
        <f>SUM(L31:L41)</f>
        <v>0</v>
      </c>
      <c r="M42" s="456"/>
      <c r="N42" s="486">
        <f>SUM(N31:N41)</f>
        <v>0</v>
      </c>
      <c r="O42" s="456"/>
      <c r="P42" s="485">
        <f t="shared" ref="P42" si="7">J42+L42+N42</f>
        <v>6674515.6299999999</v>
      </c>
      <c r="Q42" s="456"/>
      <c r="R42" s="485">
        <f>SUM(R31:R41)</f>
        <v>6420605.5599999987</v>
      </c>
      <c r="S42" s="485">
        <f>SUM(S31:S41)</f>
        <v>6718194.54</v>
      </c>
      <c r="T42" s="485">
        <f>SUM(T31:T41)</f>
        <v>6674515.6299999999</v>
      </c>
      <c r="U42" s="456"/>
      <c r="V42" s="486">
        <f>SUM(V31:V41)</f>
        <v>-43678.909999999567</v>
      </c>
      <c r="W42" s="456"/>
      <c r="X42" s="456"/>
      <c r="Y42" s="456"/>
    </row>
    <row r="43" spans="1:25" s="7" customFormat="1" outlineLevel="1">
      <c r="A43" s="456"/>
      <c r="B43" s="457" t="s">
        <v>747</v>
      </c>
      <c r="C43" s="458"/>
      <c r="D43" s="459">
        <v>12001</v>
      </c>
      <c r="E43" s="459" t="s">
        <v>748</v>
      </c>
      <c r="F43" s="460"/>
      <c r="G43" s="460"/>
      <c r="H43" s="456"/>
      <c r="I43" s="456"/>
      <c r="J43" s="461">
        <v>195885.09</v>
      </c>
      <c r="K43" s="456"/>
      <c r="L43" s="461">
        <v>0</v>
      </c>
      <c r="M43" s="456"/>
      <c r="N43" s="462">
        <v>0</v>
      </c>
      <c r="O43" s="456"/>
      <c r="P43" s="461">
        <f>J43+L43+N43</f>
        <v>195885.09</v>
      </c>
      <c r="Q43" s="456"/>
      <c r="R43" s="461">
        <v>195885.09</v>
      </c>
      <c r="S43" s="461">
        <v>195885.09</v>
      </c>
      <c r="T43" s="461">
        <f t="shared" ref="T43:T47" si="8">P43</f>
        <v>195885.09</v>
      </c>
      <c r="U43" s="456"/>
      <c r="V43" s="462">
        <f t="shared" ref="V43:V47" si="9">T43-S43</f>
        <v>0</v>
      </c>
      <c r="W43" s="456"/>
      <c r="X43" s="456"/>
    </row>
    <row r="44" spans="1:25" s="7" customFormat="1" outlineLevel="1">
      <c r="A44" s="456"/>
      <c r="B44" s="457" t="s">
        <v>380</v>
      </c>
      <c r="C44" s="458"/>
      <c r="D44" s="459">
        <v>12002</v>
      </c>
      <c r="E44" s="459" t="s">
        <v>749</v>
      </c>
      <c r="F44" s="460"/>
      <c r="G44" s="460"/>
      <c r="H44" s="456"/>
      <c r="I44" s="456"/>
      <c r="J44" s="461">
        <v>29551.46</v>
      </c>
      <c r="K44" s="456"/>
      <c r="L44" s="461">
        <v>0</v>
      </c>
      <c r="M44" s="456"/>
      <c r="N44" s="462">
        <v>0</v>
      </c>
      <c r="O44" s="456"/>
      <c r="P44" s="461">
        <f>J44+L44+N44</f>
        <v>29551.46</v>
      </c>
      <c r="Q44" s="456"/>
      <c r="R44" s="461">
        <v>42273.75</v>
      </c>
      <c r="S44" s="461">
        <v>15359.4</v>
      </c>
      <c r="T44" s="461">
        <f t="shared" si="8"/>
        <v>29551.46</v>
      </c>
      <c r="U44" s="456"/>
      <c r="V44" s="462">
        <f t="shared" si="9"/>
        <v>14192.06</v>
      </c>
      <c r="W44" s="456"/>
      <c r="X44" s="456"/>
    </row>
    <row r="45" spans="1:25" s="7" customFormat="1" outlineLevel="1">
      <c r="A45" s="456"/>
      <c r="B45" s="457" t="s">
        <v>380</v>
      </c>
      <c r="C45" s="458"/>
      <c r="D45" s="459">
        <v>12003</v>
      </c>
      <c r="E45" s="459" t="s">
        <v>750</v>
      </c>
      <c r="F45" s="460"/>
      <c r="G45" s="460"/>
      <c r="H45" s="456"/>
      <c r="I45" s="456"/>
      <c r="J45" s="461">
        <v>20007.810000000001</v>
      </c>
      <c r="K45" s="456"/>
      <c r="L45" s="461">
        <v>0</v>
      </c>
      <c r="M45" s="456"/>
      <c r="N45" s="462">
        <v>0</v>
      </c>
      <c r="O45" s="456"/>
      <c r="P45" s="461">
        <f>J45+L45+N45</f>
        <v>20007.810000000001</v>
      </c>
      <c r="Q45" s="456"/>
      <c r="R45" s="461">
        <v>20007.810000000001</v>
      </c>
      <c r="S45" s="461">
        <v>20007.810000000001</v>
      </c>
      <c r="T45" s="461">
        <f t="shared" si="8"/>
        <v>20007.810000000001</v>
      </c>
      <c r="U45" s="456"/>
      <c r="V45" s="462">
        <f t="shared" si="9"/>
        <v>0</v>
      </c>
      <c r="W45" s="456"/>
      <c r="X45" s="456"/>
    </row>
    <row r="46" spans="1:25" s="7" customFormat="1" outlineLevel="1">
      <c r="A46" s="456"/>
      <c r="B46" s="457" t="s">
        <v>380</v>
      </c>
      <c r="C46" s="458"/>
      <c r="D46" s="459">
        <v>12004</v>
      </c>
      <c r="E46" s="459" t="s">
        <v>751</v>
      </c>
      <c r="F46" s="460"/>
      <c r="G46" s="460"/>
      <c r="H46" s="456"/>
      <c r="I46" s="456"/>
      <c r="J46" s="461">
        <v>32067.360000000001</v>
      </c>
      <c r="K46" s="456"/>
      <c r="L46" s="461">
        <v>0</v>
      </c>
      <c r="M46" s="456"/>
      <c r="N46" s="462">
        <v>0</v>
      </c>
      <c r="O46" s="456"/>
      <c r="P46" s="461">
        <f>J46+L46+N46</f>
        <v>32067.360000000001</v>
      </c>
      <c r="Q46" s="456"/>
      <c r="R46" s="461">
        <v>32067.360000000001</v>
      </c>
      <c r="S46" s="461">
        <v>32067.360000000001</v>
      </c>
      <c r="T46" s="461">
        <f t="shared" si="8"/>
        <v>32067.360000000001</v>
      </c>
      <c r="U46" s="456"/>
      <c r="V46" s="462">
        <f t="shared" si="9"/>
        <v>0</v>
      </c>
      <c r="W46" s="456"/>
      <c r="X46" s="456"/>
    </row>
    <row r="47" spans="1:25" s="7" customFormat="1" outlineLevel="1">
      <c r="A47" s="456"/>
      <c r="B47" s="457" t="s">
        <v>380</v>
      </c>
      <c r="C47" s="458"/>
      <c r="D47" s="459">
        <v>12005</v>
      </c>
      <c r="E47" s="459" t="s">
        <v>752</v>
      </c>
      <c r="F47" s="460"/>
      <c r="G47" s="460"/>
      <c r="H47" s="456"/>
      <c r="I47" s="456"/>
      <c r="J47" s="461">
        <v>22256.14</v>
      </c>
      <c r="K47" s="456"/>
      <c r="L47" s="461">
        <v>0</v>
      </c>
      <c r="M47" s="456"/>
      <c r="N47" s="462">
        <v>0</v>
      </c>
      <c r="O47" s="456"/>
      <c r="P47" s="461">
        <f>J47+L47+N47</f>
        <v>22256.14</v>
      </c>
      <c r="Q47" s="456"/>
      <c r="R47" s="461">
        <v>22256.14</v>
      </c>
      <c r="S47" s="461">
        <v>22256.14</v>
      </c>
      <c r="T47" s="461">
        <f t="shared" si="8"/>
        <v>22256.14</v>
      </c>
      <c r="U47" s="456"/>
      <c r="V47" s="462">
        <f t="shared" si="9"/>
        <v>0</v>
      </c>
      <c r="W47" s="456"/>
      <c r="X47" s="456"/>
    </row>
    <row r="48" spans="1:25" s="7" customFormat="1" ht="5.0999999999999996" customHeight="1" outlineLevel="1">
      <c r="A48" s="458" t="s">
        <v>187</v>
      </c>
      <c r="B48" s="483" t="s">
        <v>187</v>
      </c>
      <c r="C48" s="483"/>
      <c r="D48" s="460"/>
      <c r="E48" s="460"/>
      <c r="F48" s="460"/>
      <c r="G48" s="460"/>
      <c r="H48" s="456"/>
      <c r="I48" s="456"/>
      <c r="J48" s="487"/>
      <c r="K48" s="456"/>
      <c r="L48" s="487"/>
      <c r="M48" s="456"/>
      <c r="N48" s="488"/>
      <c r="O48" s="456"/>
      <c r="P48" s="487"/>
      <c r="Q48" s="456"/>
      <c r="R48" s="487"/>
      <c r="S48" s="487"/>
      <c r="T48" s="487"/>
      <c r="U48" s="456"/>
      <c r="V48" s="488"/>
      <c r="W48" s="456"/>
      <c r="X48" s="456"/>
      <c r="Y48" s="456"/>
    </row>
    <row r="49" spans="1:25" s="7" customFormat="1">
      <c r="A49" s="458" t="s">
        <v>747</v>
      </c>
      <c r="B49" s="458" t="s">
        <v>187</v>
      </c>
      <c r="C49" s="458"/>
      <c r="D49" s="456"/>
      <c r="E49" s="456"/>
      <c r="F49" s="459" t="s">
        <v>753</v>
      </c>
      <c r="G49" s="456"/>
      <c r="H49" s="456"/>
      <c r="I49" s="456"/>
      <c r="J49" s="485">
        <f>SUM(J43:J48)</f>
        <v>299767.86</v>
      </c>
      <c r="K49" s="456"/>
      <c r="L49" s="485">
        <f>SUM(L43:L48)</f>
        <v>0</v>
      </c>
      <c r="M49" s="456"/>
      <c r="N49" s="486">
        <f>SUM(N43:N48)</f>
        <v>0</v>
      </c>
      <c r="O49" s="456"/>
      <c r="P49" s="485">
        <f>J49+L49+N49</f>
        <v>299767.86</v>
      </c>
      <c r="Q49" s="456"/>
      <c r="R49" s="485">
        <f>SUM(R43:R48)</f>
        <v>312490.15000000002</v>
      </c>
      <c r="S49" s="485">
        <f>SUM(S43:S48)</f>
        <v>285575.8</v>
      </c>
      <c r="T49" s="485">
        <f>SUM(T43:T48)</f>
        <v>299767.86</v>
      </c>
      <c r="U49" s="456"/>
      <c r="V49" s="486">
        <f>SUM(V43:V48)</f>
        <v>14192.06</v>
      </c>
      <c r="W49" s="456"/>
      <c r="X49" s="456"/>
      <c r="Y49" s="456"/>
    </row>
    <row r="50" spans="1:25" s="7" customFormat="1" outlineLevel="1">
      <c r="A50" s="456"/>
      <c r="B50" s="457" t="s">
        <v>754</v>
      </c>
      <c r="C50" s="458"/>
      <c r="D50" s="459">
        <v>13001</v>
      </c>
      <c r="E50" s="459" t="s">
        <v>755</v>
      </c>
      <c r="F50" s="460"/>
      <c r="G50" s="460"/>
      <c r="H50" s="456"/>
      <c r="I50" s="456"/>
      <c r="J50" s="461">
        <v>7716.17</v>
      </c>
      <c r="K50" s="456"/>
      <c r="L50" s="461">
        <v>0</v>
      </c>
      <c r="M50" s="456"/>
      <c r="N50" s="462">
        <v>0</v>
      </c>
      <c r="O50" s="456"/>
      <c r="P50" s="461">
        <f>J50+L50+N50</f>
        <v>7716.17</v>
      </c>
      <c r="Q50" s="456"/>
      <c r="R50" s="461">
        <v>31660.52</v>
      </c>
      <c r="S50" s="461">
        <v>23944.35</v>
      </c>
      <c r="T50" s="461">
        <f t="shared" ref="T50:T53" si="10">P50</f>
        <v>7716.17</v>
      </c>
      <c r="U50" s="456"/>
      <c r="V50" s="462">
        <f t="shared" ref="V50:V53" si="11">T50-S50</f>
        <v>-16228.179999999998</v>
      </c>
      <c r="W50" s="456"/>
      <c r="X50" s="456"/>
    </row>
    <row r="51" spans="1:25" s="7" customFormat="1" outlineLevel="1">
      <c r="A51" s="456"/>
      <c r="B51" s="457" t="s">
        <v>380</v>
      </c>
      <c r="C51" s="458"/>
      <c r="D51" s="459">
        <v>13003</v>
      </c>
      <c r="E51" s="459" t="s">
        <v>756</v>
      </c>
      <c r="F51" s="460"/>
      <c r="G51" s="460"/>
      <c r="H51" s="456"/>
      <c r="I51" s="456"/>
      <c r="J51" s="461">
        <v>3510.5</v>
      </c>
      <c r="K51" s="456"/>
      <c r="L51" s="461">
        <v>0</v>
      </c>
      <c r="M51" s="456"/>
      <c r="N51" s="462">
        <v>0</v>
      </c>
      <c r="O51" s="456"/>
      <c r="P51" s="461">
        <f>J51+L51+N51</f>
        <v>3510.5</v>
      </c>
      <c r="Q51" s="456"/>
      <c r="R51" s="461">
        <v>4513.5</v>
      </c>
      <c r="S51" s="461">
        <v>4012</v>
      </c>
      <c r="T51" s="461">
        <f t="shared" si="10"/>
        <v>3510.5</v>
      </c>
      <c r="U51" s="456"/>
      <c r="V51" s="462">
        <f t="shared" si="11"/>
        <v>-501.5</v>
      </c>
      <c r="W51" s="456"/>
      <c r="X51" s="456"/>
    </row>
    <row r="52" spans="1:25" s="7" customFormat="1" outlineLevel="1">
      <c r="A52" s="456"/>
      <c r="B52" s="457" t="s">
        <v>380</v>
      </c>
      <c r="C52" s="458"/>
      <c r="D52" s="459">
        <v>13004</v>
      </c>
      <c r="E52" s="459" t="s">
        <v>757</v>
      </c>
      <c r="F52" s="460"/>
      <c r="G52" s="460"/>
      <c r="H52" s="456"/>
      <c r="I52" s="456"/>
      <c r="J52" s="461">
        <v>20042.71</v>
      </c>
      <c r="K52" s="456"/>
      <c r="L52" s="461">
        <v>0</v>
      </c>
      <c r="M52" s="456"/>
      <c r="N52" s="462">
        <v>0</v>
      </c>
      <c r="O52" s="456"/>
      <c r="P52" s="461">
        <f>J52+L52+N52</f>
        <v>20042.71</v>
      </c>
      <c r="Q52" s="456"/>
      <c r="R52" s="461">
        <v>60128.12</v>
      </c>
      <c r="S52" s="461">
        <v>40085.410000000003</v>
      </c>
      <c r="T52" s="461">
        <f t="shared" si="10"/>
        <v>20042.71</v>
      </c>
      <c r="U52" s="456"/>
      <c r="V52" s="462">
        <f t="shared" si="11"/>
        <v>-20042.700000000004</v>
      </c>
      <c r="W52" s="456"/>
      <c r="X52" s="456"/>
    </row>
    <row r="53" spans="1:25" s="7" customFormat="1" outlineLevel="1">
      <c r="A53" s="456"/>
      <c r="B53" s="457" t="s">
        <v>380</v>
      </c>
      <c r="C53" s="458"/>
      <c r="D53" s="459">
        <v>13008</v>
      </c>
      <c r="E53" s="459" t="s">
        <v>758</v>
      </c>
      <c r="F53" s="460"/>
      <c r="G53" s="460"/>
      <c r="H53" s="456"/>
      <c r="I53" s="456"/>
      <c r="J53" s="461">
        <v>139461.18</v>
      </c>
      <c r="K53" s="456"/>
      <c r="L53" s="461">
        <v>0</v>
      </c>
      <c r="M53" s="456"/>
      <c r="N53" s="462">
        <v>0</v>
      </c>
      <c r="O53" s="456"/>
      <c r="P53" s="461">
        <f>J53+L53+N53</f>
        <v>139461.18</v>
      </c>
      <c r="Q53" s="456"/>
      <c r="R53" s="461">
        <v>115707.38</v>
      </c>
      <c r="S53" s="461">
        <v>108484.6</v>
      </c>
      <c r="T53" s="461">
        <f t="shared" si="10"/>
        <v>139461.18</v>
      </c>
      <c r="U53" s="456"/>
      <c r="V53" s="462">
        <f t="shared" si="11"/>
        <v>30976.579999999987</v>
      </c>
      <c r="W53" s="456"/>
      <c r="X53" s="456"/>
    </row>
    <row r="54" spans="1:25" s="7" customFormat="1" ht="3.75" customHeight="1" outlineLevel="1">
      <c r="A54" s="458" t="s">
        <v>187</v>
      </c>
      <c r="B54" s="483" t="s">
        <v>187</v>
      </c>
      <c r="C54" s="483"/>
      <c r="D54" s="460"/>
      <c r="E54" s="460"/>
      <c r="F54" s="460"/>
      <c r="G54" s="460"/>
      <c r="H54" s="456"/>
      <c r="I54" s="456"/>
      <c r="J54" s="487"/>
      <c r="K54" s="456"/>
      <c r="L54" s="487"/>
      <c r="M54" s="456"/>
      <c r="N54" s="488"/>
      <c r="O54" s="456"/>
      <c r="P54" s="487"/>
      <c r="Q54" s="456"/>
      <c r="R54" s="487"/>
      <c r="S54" s="487"/>
      <c r="T54" s="487"/>
      <c r="U54" s="456"/>
      <c r="V54" s="488"/>
      <c r="W54" s="456"/>
      <c r="X54" s="456"/>
      <c r="Y54" s="456"/>
    </row>
    <row r="55" spans="1:25" s="7" customFormat="1">
      <c r="A55" s="458" t="s">
        <v>754</v>
      </c>
      <c r="B55" s="458" t="s">
        <v>187</v>
      </c>
      <c r="C55" s="458"/>
      <c r="D55" s="456"/>
      <c r="E55" s="456"/>
      <c r="F55" s="459" t="s">
        <v>759</v>
      </c>
      <c r="G55" s="456"/>
      <c r="H55" s="456"/>
      <c r="I55" s="456"/>
      <c r="J55" s="485">
        <f>SUM(J50:J54)</f>
        <v>170730.56</v>
      </c>
      <c r="K55" s="456"/>
      <c r="L55" s="485">
        <f>SUM(L50:L54)</f>
        <v>0</v>
      </c>
      <c r="M55" s="456"/>
      <c r="N55" s="486">
        <f>SUM(N50:N54)</f>
        <v>0</v>
      </c>
      <c r="O55" s="456"/>
      <c r="P55" s="485">
        <f>J55+L55+N55</f>
        <v>170730.56</v>
      </c>
      <c r="Q55" s="456"/>
      <c r="R55" s="485">
        <f>SUM(R50:R54)</f>
        <v>212009.52000000002</v>
      </c>
      <c r="S55" s="485">
        <f>SUM(S50:S54)</f>
        <v>176526.36000000002</v>
      </c>
      <c r="T55" s="485">
        <f>SUM(T50:T54)</f>
        <v>170730.56</v>
      </c>
      <c r="U55" s="489"/>
      <c r="V55" s="486">
        <f>SUM(V50:V54)</f>
        <v>-5795.8000000000175</v>
      </c>
      <c r="W55" s="456"/>
      <c r="X55" s="456"/>
      <c r="Y55" s="456"/>
    </row>
    <row r="56" spans="1:25" s="7" customFormat="1" outlineLevel="1">
      <c r="A56" s="456"/>
      <c r="B56" s="457" t="s">
        <v>760</v>
      </c>
      <c r="C56" s="458"/>
      <c r="D56" s="459"/>
      <c r="E56" s="459"/>
      <c r="F56" s="460"/>
      <c r="G56" s="460"/>
      <c r="H56" s="456"/>
      <c r="I56" s="456"/>
      <c r="J56" s="461"/>
      <c r="K56" s="456"/>
      <c r="L56" s="461"/>
      <c r="M56" s="456"/>
      <c r="N56" s="462"/>
      <c r="O56" s="456"/>
      <c r="P56" s="461">
        <f>J56+L56+N56</f>
        <v>0</v>
      </c>
      <c r="Q56" s="456"/>
      <c r="R56" s="461"/>
      <c r="S56" s="461"/>
      <c r="T56" s="461">
        <f>P56</f>
        <v>0</v>
      </c>
      <c r="U56" s="456"/>
      <c r="V56" s="462">
        <f>T56-S56</f>
        <v>0</v>
      </c>
      <c r="W56" s="456"/>
      <c r="X56" s="456"/>
    </row>
    <row r="57" spans="1:25" s="7" customFormat="1" ht="3.75" customHeight="1" outlineLevel="1">
      <c r="A57" s="458" t="s">
        <v>187</v>
      </c>
      <c r="B57" s="483" t="s">
        <v>187</v>
      </c>
      <c r="C57" s="483"/>
      <c r="D57" s="460"/>
      <c r="E57" s="460"/>
      <c r="F57" s="460"/>
      <c r="G57" s="460"/>
      <c r="H57" s="456"/>
      <c r="I57" s="456"/>
      <c r="J57" s="487"/>
      <c r="K57" s="456"/>
      <c r="L57" s="487"/>
      <c r="M57" s="456"/>
      <c r="N57" s="488"/>
      <c r="O57" s="456"/>
      <c r="P57" s="487"/>
      <c r="Q57" s="456"/>
      <c r="R57" s="487"/>
      <c r="S57" s="487"/>
      <c r="T57" s="487"/>
      <c r="U57" s="456"/>
      <c r="V57" s="488"/>
      <c r="W57" s="456"/>
      <c r="X57" s="456"/>
      <c r="Y57" s="456"/>
    </row>
    <row r="58" spans="1:25" s="7" customFormat="1">
      <c r="A58" s="458" t="s">
        <v>760</v>
      </c>
      <c r="B58" s="458" t="s">
        <v>187</v>
      </c>
      <c r="C58" s="458"/>
      <c r="D58" s="456"/>
      <c r="E58" s="456"/>
      <c r="F58" s="459" t="s">
        <v>761</v>
      </c>
      <c r="G58" s="456"/>
      <c r="H58" s="456"/>
      <c r="I58" s="456"/>
      <c r="J58" s="485">
        <f>SUM(J56:J57)</f>
        <v>0</v>
      </c>
      <c r="K58" s="456"/>
      <c r="L58" s="485">
        <f>SUM(L56:L57)</f>
        <v>0</v>
      </c>
      <c r="M58" s="456"/>
      <c r="N58" s="486">
        <f>SUM(N56:N57)</f>
        <v>0</v>
      </c>
      <c r="O58" s="456"/>
      <c r="P58" s="485">
        <f>J58+L58+N58</f>
        <v>0</v>
      </c>
      <c r="Q58" s="456"/>
      <c r="R58" s="485">
        <f>SUM(R56:R57)</f>
        <v>0</v>
      </c>
      <c r="S58" s="485">
        <f>SUM(S56:S57)</f>
        <v>0</v>
      </c>
      <c r="T58" s="485">
        <f>SUM(T56:T57)</f>
        <v>0</v>
      </c>
      <c r="U58" s="489"/>
      <c r="V58" s="486">
        <f>SUM(V56:V57)</f>
        <v>0</v>
      </c>
      <c r="W58" s="456"/>
      <c r="X58" s="456"/>
      <c r="Y58" s="456"/>
    </row>
    <row r="59" spans="1:25" s="7" customFormat="1" ht="7.5" customHeight="1">
      <c r="A59" s="483" t="s">
        <v>187</v>
      </c>
      <c r="B59" s="483" t="s">
        <v>187</v>
      </c>
      <c r="C59" s="483"/>
      <c r="D59" s="456"/>
      <c r="E59" s="456"/>
      <c r="F59" s="456"/>
      <c r="G59" s="456"/>
      <c r="H59" s="456"/>
      <c r="I59" s="456"/>
      <c r="J59" s="490"/>
      <c r="K59" s="456"/>
      <c r="L59" s="490"/>
      <c r="M59" s="456"/>
      <c r="N59" s="490"/>
      <c r="O59" s="456"/>
      <c r="P59" s="490"/>
      <c r="Q59" s="456"/>
      <c r="R59" s="490"/>
      <c r="S59" s="490"/>
      <c r="T59" s="490"/>
      <c r="U59" s="456"/>
      <c r="V59" s="490"/>
      <c r="W59" s="456"/>
      <c r="X59" s="456"/>
      <c r="Y59" s="456"/>
    </row>
    <row r="60" spans="1:25" s="7" customFormat="1">
      <c r="A60" s="458" t="s">
        <v>187</v>
      </c>
      <c r="B60" s="483" t="s">
        <v>187</v>
      </c>
      <c r="C60" s="483"/>
      <c r="D60" s="456"/>
      <c r="E60" s="491" t="s">
        <v>762</v>
      </c>
      <c r="F60" s="456"/>
      <c r="G60" s="456"/>
      <c r="H60" s="456"/>
      <c r="I60" s="456"/>
      <c r="J60" s="492">
        <f>SUM(J30,J42,J49,J55,J58)</f>
        <v>7199881.4299999997</v>
      </c>
      <c r="K60" s="456"/>
      <c r="L60" s="492">
        <f>SUM(L30,L42,L49,L55,L58)</f>
        <v>0</v>
      </c>
      <c r="M60" s="456"/>
      <c r="N60" s="493">
        <f>SUM(N30,N42,N49,N55,N58)</f>
        <v>0</v>
      </c>
      <c r="O60" s="456"/>
      <c r="P60" s="492">
        <f>SUM(P30,P42,P49,P55,P58)</f>
        <v>7199881.4299999997</v>
      </c>
      <c r="Q60" s="456"/>
      <c r="R60" s="492">
        <f>SUM(R30,R42,R49,R55,R58)</f>
        <v>6971551.4899999984</v>
      </c>
      <c r="S60" s="492">
        <f>SUM(S30,S42,S49,S55,S58)</f>
        <v>7235715.8900000006</v>
      </c>
      <c r="T60" s="492">
        <f>SUM(T30,T42,T49,T55,T58)</f>
        <v>7199881.4299999997</v>
      </c>
      <c r="U60" s="456"/>
      <c r="V60" s="493">
        <f>SUM(V30,V42,V49,V55,V58)</f>
        <v>-35834.459999999584</v>
      </c>
      <c r="W60" s="456"/>
      <c r="X60" s="456"/>
      <c r="Y60" s="456"/>
    </row>
    <row r="61" spans="1:25" s="7" customFormat="1" ht="7.5" customHeight="1">
      <c r="A61" s="483" t="s">
        <v>187</v>
      </c>
      <c r="B61" s="483" t="s">
        <v>187</v>
      </c>
      <c r="C61" s="483"/>
      <c r="D61" s="456"/>
      <c r="E61" s="456"/>
      <c r="F61" s="456"/>
      <c r="G61" s="456"/>
      <c r="H61" s="456"/>
      <c r="I61" s="456"/>
      <c r="J61" s="490"/>
      <c r="K61" s="456"/>
      <c r="L61" s="490"/>
      <c r="M61" s="456"/>
      <c r="N61" s="462"/>
      <c r="O61" s="456"/>
      <c r="P61" s="490"/>
      <c r="Q61" s="456"/>
      <c r="R61" s="490"/>
      <c r="S61" s="490"/>
      <c r="T61" s="490"/>
      <c r="U61" s="456"/>
      <c r="V61" s="462"/>
      <c r="W61" s="456"/>
      <c r="X61" s="456"/>
      <c r="Y61" s="456"/>
    </row>
    <row r="62" spans="1:25" s="7" customFormat="1" outlineLevel="1">
      <c r="A62" s="483" t="s">
        <v>187</v>
      </c>
      <c r="B62" s="483" t="s">
        <v>187</v>
      </c>
      <c r="C62" s="483"/>
      <c r="D62" s="456"/>
      <c r="E62" s="456"/>
      <c r="F62" s="456"/>
      <c r="G62" s="456"/>
      <c r="H62" s="456"/>
      <c r="I62" s="456"/>
      <c r="J62" s="490"/>
      <c r="K62" s="456"/>
      <c r="L62" s="490"/>
      <c r="M62" s="456"/>
      <c r="N62" s="462"/>
      <c r="O62" s="456"/>
      <c r="P62" s="490"/>
      <c r="Q62" s="456"/>
      <c r="R62" s="490"/>
      <c r="S62" s="490"/>
      <c r="T62" s="490"/>
      <c r="U62" s="456"/>
      <c r="V62" s="462"/>
      <c r="W62" s="456"/>
      <c r="X62" s="456"/>
      <c r="Y62" s="456"/>
    </row>
    <row r="63" spans="1:25" s="7" customFormat="1" outlineLevel="1">
      <c r="A63" s="456"/>
      <c r="B63" s="457" t="s">
        <v>763</v>
      </c>
      <c r="C63" s="458"/>
      <c r="D63" s="459">
        <v>14002</v>
      </c>
      <c r="E63" s="459" t="s">
        <v>764</v>
      </c>
      <c r="F63" s="460"/>
      <c r="G63" s="460"/>
      <c r="H63" s="456"/>
      <c r="I63" s="456"/>
      <c r="J63" s="461">
        <v>9148000</v>
      </c>
      <c r="K63" s="456"/>
      <c r="L63" s="461">
        <v>0</v>
      </c>
      <c r="M63" s="456"/>
      <c r="N63" s="462">
        <v>0</v>
      </c>
      <c r="O63" s="456"/>
      <c r="P63" s="461">
        <f t="shared" ref="P63:P107" si="12">J63+L63+N63</f>
        <v>9148000</v>
      </c>
      <c r="Q63" s="456"/>
      <c r="R63" s="461">
        <v>9148000</v>
      </c>
      <c r="S63" s="461">
        <v>9148000</v>
      </c>
      <c r="T63" s="461">
        <f t="shared" ref="T63:T107" si="13">P63</f>
        <v>9148000</v>
      </c>
      <c r="U63" s="456"/>
      <c r="V63" s="462">
        <f t="shared" ref="V63:V107" si="14">T63-S63</f>
        <v>0</v>
      </c>
      <c r="W63" s="456"/>
      <c r="X63" s="456"/>
    </row>
    <row r="64" spans="1:25" s="7" customFormat="1" outlineLevel="1">
      <c r="A64" s="456"/>
      <c r="B64" s="457" t="s">
        <v>380</v>
      </c>
      <c r="C64" s="458"/>
      <c r="D64" s="459">
        <v>14012</v>
      </c>
      <c r="E64" s="459" t="s">
        <v>765</v>
      </c>
      <c r="F64" s="460"/>
      <c r="G64" s="460"/>
      <c r="H64" s="456"/>
      <c r="I64" s="456"/>
      <c r="J64" s="461">
        <v>450000</v>
      </c>
      <c r="K64" s="456"/>
      <c r="L64" s="461">
        <v>0</v>
      </c>
      <c r="M64" s="456"/>
      <c r="N64" s="462">
        <v>0</v>
      </c>
      <c r="O64" s="456"/>
      <c r="P64" s="461">
        <f t="shared" si="12"/>
        <v>450000</v>
      </c>
      <c r="Q64" s="456"/>
      <c r="R64" s="461">
        <v>450000</v>
      </c>
      <c r="S64" s="461">
        <v>450000</v>
      </c>
      <c r="T64" s="461">
        <f t="shared" si="13"/>
        <v>450000</v>
      </c>
      <c r="U64" s="456"/>
      <c r="V64" s="462">
        <f t="shared" si="14"/>
        <v>0</v>
      </c>
      <c r="W64" s="456"/>
      <c r="X64" s="456"/>
    </row>
    <row r="65" spans="1:24" s="7" customFormat="1" outlineLevel="1">
      <c r="A65" s="456"/>
      <c r="B65" s="457" t="s">
        <v>380</v>
      </c>
      <c r="C65" s="458"/>
      <c r="D65" s="459">
        <v>14016</v>
      </c>
      <c r="E65" s="459" t="s">
        <v>766</v>
      </c>
      <c r="F65" s="460"/>
      <c r="G65" s="460"/>
      <c r="H65" s="456"/>
      <c r="I65" s="456"/>
      <c r="J65" s="461">
        <v>-226875</v>
      </c>
      <c r="K65" s="456"/>
      <c r="L65" s="461">
        <v>0</v>
      </c>
      <c r="M65" s="456"/>
      <c r="N65" s="462">
        <v>0</v>
      </c>
      <c r="O65" s="456"/>
      <c r="P65" s="461">
        <f t="shared" si="12"/>
        <v>-226875</v>
      </c>
      <c r="Q65" s="456"/>
      <c r="R65" s="461">
        <v>-223125</v>
      </c>
      <c r="S65" s="461">
        <v>-225000</v>
      </c>
      <c r="T65" s="461">
        <f t="shared" si="13"/>
        <v>-226875</v>
      </c>
      <c r="U65" s="456"/>
      <c r="V65" s="462">
        <f t="shared" si="14"/>
        <v>-1875</v>
      </c>
      <c r="W65" s="456"/>
      <c r="X65" s="456"/>
    </row>
    <row r="66" spans="1:24" s="7" customFormat="1" outlineLevel="1">
      <c r="A66" s="456"/>
      <c r="B66" s="457" t="s">
        <v>380</v>
      </c>
      <c r="C66" s="458"/>
      <c r="D66" s="459">
        <v>14031</v>
      </c>
      <c r="E66" s="459" t="s">
        <v>767</v>
      </c>
      <c r="F66" s="460"/>
      <c r="G66" s="460"/>
      <c r="H66" s="456"/>
      <c r="I66" s="456"/>
      <c r="J66" s="461">
        <v>125492.48</v>
      </c>
      <c r="K66" s="456"/>
      <c r="L66" s="461">
        <v>0</v>
      </c>
      <c r="M66" s="456"/>
      <c r="N66" s="462">
        <v>0</v>
      </c>
      <c r="O66" s="456"/>
      <c r="P66" s="461">
        <f t="shared" si="12"/>
        <v>125492.48</v>
      </c>
      <c r="Q66" s="456"/>
      <c r="R66" s="461">
        <v>125492.48</v>
      </c>
      <c r="S66" s="461">
        <v>125492.48</v>
      </c>
      <c r="T66" s="461">
        <f t="shared" si="13"/>
        <v>125492.48</v>
      </c>
      <c r="U66" s="456"/>
      <c r="V66" s="462">
        <f t="shared" si="14"/>
        <v>0</v>
      </c>
      <c r="W66" s="456"/>
      <c r="X66" s="456"/>
    </row>
    <row r="67" spans="1:24" s="7" customFormat="1" outlineLevel="1">
      <c r="A67" s="456"/>
      <c r="B67" s="457" t="s">
        <v>380</v>
      </c>
      <c r="C67" s="458"/>
      <c r="D67" s="459">
        <v>14032</v>
      </c>
      <c r="E67" s="459" t="s">
        <v>768</v>
      </c>
      <c r="F67" s="460"/>
      <c r="G67" s="460"/>
      <c r="H67" s="456"/>
      <c r="I67" s="456"/>
      <c r="J67" s="461">
        <v>13500</v>
      </c>
      <c r="K67" s="456"/>
      <c r="L67" s="461">
        <v>0</v>
      </c>
      <c r="M67" s="456"/>
      <c r="N67" s="462">
        <v>0</v>
      </c>
      <c r="O67" s="456"/>
      <c r="P67" s="461">
        <f t="shared" si="12"/>
        <v>13500</v>
      </c>
      <c r="Q67" s="456"/>
      <c r="R67" s="461">
        <v>13500</v>
      </c>
      <c r="S67" s="461">
        <v>13500</v>
      </c>
      <c r="T67" s="461">
        <f t="shared" si="13"/>
        <v>13500</v>
      </c>
      <c r="U67" s="456"/>
      <c r="V67" s="462">
        <f t="shared" si="14"/>
        <v>0</v>
      </c>
      <c r="W67" s="456"/>
      <c r="X67" s="456"/>
    </row>
    <row r="68" spans="1:24" s="7" customFormat="1" outlineLevel="1">
      <c r="A68" s="456"/>
      <c r="B68" s="457" t="s">
        <v>380</v>
      </c>
      <c r="C68" s="458"/>
      <c r="D68" s="459">
        <v>14033</v>
      </c>
      <c r="E68" s="459" t="s">
        <v>769</v>
      </c>
      <c r="F68" s="460"/>
      <c r="G68" s="460"/>
      <c r="H68" s="456"/>
      <c r="I68" s="456"/>
      <c r="J68" s="461">
        <v>169906.97</v>
      </c>
      <c r="K68" s="456"/>
      <c r="L68" s="461">
        <v>0</v>
      </c>
      <c r="M68" s="456"/>
      <c r="N68" s="462">
        <v>0</v>
      </c>
      <c r="O68" s="456"/>
      <c r="P68" s="461">
        <f t="shared" si="12"/>
        <v>169906.97</v>
      </c>
      <c r="Q68" s="456"/>
      <c r="R68" s="461">
        <v>169906.97</v>
      </c>
      <c r="S68" s="461">
        <v>169906.97</v>
      </c>
      <c r="T68" s="461">
        <f t="shared" si="13"/>
        <v>169906.97</v>
      </c>
      <c r="U68" s="456"/>
      <c r="V68" s="462">
        <f t="shared" si="14"/>
        <v>0</v>
      </c>
      <c r="W68" s="456"/>
      <c r="X68" s="456"/>
    </row>
    <row r="69" spans="1:24" s="7" customFormat="1" outlineLevel="1">
      <c r="A69" s="456"/>
      <c r="B69" s="457" t="s">
        <v>380</v>
      </c>
      <c r="C69" s="458"/>
      <c r="D69" s="459">
        <v>14034</v>
      </c>
      <c r="E69" s="459" t="s">
        <v>770</v>
      </c>
      <c r="F69" s="460"/>
      <c r="G69" s="460"/>
      <c r="H69" s="456"/>
      <c r="I69" s="456"/>
      <c r="J69" s="461">
        <v>-15504.78</v>
      </c>
      <c r="K69" s="456"/>
      <c r="L69" s="461">
        <v>0</v>
      </c>
      <c r="M69" s="456"/>
      <c r="N69" s="462">
        <v>0</v>
      </c>
      <c r="O69" s="456"/>
      <c r="P69" s="461">
        <f t="shared" si="12"/>
        <v>-15504.78</v>
      </c>
      <c r="Q69" s="456"/>
      <c r="R69" s="461">
        <v>-15504.78</v>
      </c>
      <c r="S69" s="461">
        <v>-15504.78</v>
      </c>
      <c r="T69" s="461">
        <f t="shared" si="13"/>
        <v>-15504.78</v>
      </c>
      <c r="U69" s="456"/>
      <c r="V69" s="462">
        <f t="shared" si="14"/>
        <v>0</v>
      </c>
      <c r="W69" s="456"/>
      <c r="X69" s="456"/>
    </row>
    <row r="70" spans="1:24" s="7" customFormat="1" outlineLevel="1">
      <c r="A70" s="456"/>
      <c r="B70" s="457" t="s">
        <v>380</v>
      </c>
      <c r="C70" s="458"/>
      <c r="D70" s="459">
        <v>14036</v>
      </c>
      <c r="E70" s="459" t="s">
        <v>771</v>
      </c>
      <c r="F70" s="460"/>
      <c r="G70" s="460"/>
      <c r="H70" s="456"/>
      <c r="I70" s="456"/>
      <c r="J70" s="461">
        <v>-233252.76</v>
      </c>
      <c r="K70" s="456"/>
      <c r="L70" s="461">
        <v>0</v>
      </c>
      <c r="M70" s="456"/>
      <c r="N70" s="462">
        <v>0</v>
      </c>
      <c r="O70" s="456"/>
      <c r="P70" s="461">
        <f t="shared" si="12"/>
        <v>-233252.76</v>
      </c>
      <c r="Q70" s="456"/>
      <c r="R70" s="461">
        <v>-231083.68</v>
      </c>
      <c r="S70" s="461">
        <v>-232168.22</v>
      </c>
      <c r="T70" s="461">
        <f t="shared" si="13"/>
        <v>-233252.76</v>
      </c>
      <c r="U70" s="456"/>
      <c r="V70" s="462">
        <f t="shared" si="14"/>
        <v>-1084.5400000000081</v>
      </c>
      <c r="W70" s="456"/>
      <c r="X70" s="456"/>
    </row>
    <row r="71" spans="1:24" s="7" customFormat="1" outlineLevel="1">
      <c r="A71" s="456"/>
      <c r="B71" s="457" t="s">
        <v>380</v>
      </c>
      <c r="C71" s="458"/>
      <c r="D71" s="459">
        <v>14037</v>
      </c>
      <c r="E71" s="459" t="s">
        <v>769</v>
      </c>
      <c r="F71" s="460"/>
      <c r="G71" s="460"/>
      <c r="H71" s="456"/>
      <c r="I71" s="456"/>
      <c r="J71" s="461">
        <v>-38012.14</v>
      </c>
      <c r="K71" s="456"/>
      <c r="L71" s="461">
        <v>0</v>
      </c>
      <c r="M71" s="456"/>
      <c r="N71" s="462">
        <v>0</v>
      </c>
      <c r="O71" s="456"/>
      <c r="P71" s="461">
        <f t="shared" si="12"/>
        <v>-38012.14</v>
      </c>
      <c r="Q71" s="456"/>
      <c r="R71" s="461">
        <v>-38012.14</v>
      </c>
      <c r="S71" s="461">
        <v>-38012.14</v>
      </c>
      <c r="T71" s="461">
        <f t="shared" si="13"/>
        <v>-38012.14</v>
      </c>
      <c r="U71" s="456"/>
      <c r="V71" s="462">
        <f t="shared" si="14"/>
        <v>0</v>
      </c>
      <c r="W71" s="456"/>
      <c r="X71" s="456"/>
    </row>
    <row r="72" spans="1:24" s="7" customFormat="1" outlineLevel="1">
      <c r="A72" s="456"/>
      <c r="B72" s="457" t="s">
        <v>380</v>
      </c>
      <c r="C72" s="458"/>
      <c r="D72" s="459">
        <v>14038</v>
      </c>
      <c r="E72" s="459" t="s">
        <v>770</v>
      </c>
      <c r="F72" s="460"/>
      <c r="G72" s="460"/>
      <c r="H72" s="456"/>
      <c r="I72" s="456"/>
      <c r="J72" s="461">
        <v>14532.55</v>
      </c>
      <c r="K72" s="456"/>
      <c r="L72" s="461">
        <v>0</v>
      </c>
      <c r="M72" s="456"/>
      <c r="N72" s="462">
        <v>0</v>
      </c>
      <c r="O72" s="456"/>
      <c r="P72" s="461">
        <f t="shared" si="12"/>
        <v>14532.55</v>
      </c>
      <c r="Q72" s="456"/>
      <c r="R72" s="461">
        <v>14532.55</v>
      </c>
      <c r="S72" s="461">
        <v>14532.55</v>
      </c>
      <c r="T72" s="461">
        <f t="shared" si="13"/>
        <v>14532.55</v>
      </c>
      <c r="U72" s="456"/>
      <c r="V72" s="462">
        <f t="shared" si="14"/>
        <v>0</v>
      </c>
      <c r="W72" s="456"/>
      <c r="X72" s="456"/>
    </row>
    <row r="73" spans="1:24" s="7" customFormat="1" outlineLevel="1">
      <c r="A73" s="456"/>
      <c r="B73" s="457" t="s">
        <v>380</v>
      </c>
      <c r="C73" s="458"/>
      <c r="D73" s="459">
        <v>14041</v>
      </c>
      <c r="E73" s="459" t="s">
        <v>772</v>
      </c>
      <c r="F73" s="460"/>
      <c r="G73" s="460"/>
      <c r="H73" s="456"/>
      <c r="I73" s="456"/>
      <c r="J73" s="461">
        <v>17988227.800000001</v>
      </c>
      <c r="K73" s="456"/>
      <c r="L73" s="461">
        <v>0</v>
      </c>
      <c r="M73" s="456"/>
      <c r="N73" s="462">
        <v>0</v>
      </c>
      <c r="O73" s="456"/>
      <c r="P73" s="461">
        <f t="shared" si="12"/>
        <v>17988227.800000001</v>
      </c>
      <c r="Q73" s="456"/>
      <c r="R73" s="461">
        <v>15901842.1</v>
      </c>
      <c r="S73" s="461">
        <v>17638398.32</v>
      </c>
      <c r="T73" s="461">
        <f t="shared" si="13"/>
        <v>17988227.800000001</v>
      </c>
      <c r="U73" s="456"/>
      <c r="V73" s="462">
        <f t="shared" si="14"/>
        <v>349829.48000000045</v>
      </c>
      <c r="W73" s="456"/>
      <c r="X73" s="456"/>
    </row>
    <row r="74" spans="1:24" s="7" customFormat="1" outlineLevel="1">
      <c r="A74" s="456"/>
      <c r="B74" s="457" t="s">
        <v>380</v>
      </c>
      <c r="C74" s="458"/>
      <c r="D74" s="459">
        <v>14042</v>
      </c>
      <c r="E74" s="459" t="s">
        <v>773</v>
      </c>
      <c r="F74" s="460"/>
      <c r="G74" s="460"/>
      <c r="H74" s="456"/>
      <c r="I74" s="456"/>
      <c r="J74" s="461">
        <v>7327198.3899999997</v>
      </c>
      <c r="K74" s="456"/>
      <c r="L74" s="461">
        <v>0</v>
      </c>
      <c r="M74" s="456"/>
      <c r="N74" s="462">
        <v>0</v>
      </c>
      <c r="O74" s="456"/>
      <c r="P74" s="461">
        <f t="shared" si="12"/>
        <v>7327198.3899999997</v>
      </c>
      <c r="Q74" s="456"/>
      <c r="R74" s="461">
        <v>7327198.3899999997</v>
      </c>
      <c r="S74" s="461">
        <v>7327198.3899999997</v>
      </c>
      <c r="T74" s="461">
        <f t="shared" si="13"/>
        <v>7327198.3899999997</v>
      </c>
      <c r="U74" s="456"/>
      <c r="V74" s="462">
        <f t="shared" si="14"/>
        <v>0</v>
      </c>
      <c r="W74" s="456"/>
      <c r="X74" s="456"/>
    </row>
    <row r="75" spans="1:24" s="7" customFormat="1" outlineLevel="1">
      <c r="A75" s="456"/>
      <c r="B75" s="457" t="s">
        <v>380</v>
      </c>
      <c r="C75" s="458"/>
      <c r="D75" s="459">
        <v>14043</v>
      </c>
      <c r="E75" s="459" t="s">
        <v>774</v>
      </c>
      <c r="F75" s="460"/>
      <c r="G75" s="460"/>
      <c r="H75" s="456"/>
      <c r="I75" s="456"/>
      <c r="J75" s="461">
        <v>991908.24</v>
      </c>
      <c r="K75" s="456"/>
      <c r="L75" s="461">
        <v>0</v>
      </c>
      <c r="M75" s="456"/>
      <c r="N75" s="462">
        <v>0</v>
      </c>
      <c r="O75" s="456"/>
      <c r="P75" s="461">
        <f t="shared" si="12"/>
        <v>991908.24</v>
      </c>
      <c r="Q75" s="456"/>
      <c r="R75" s="461">
        <v>1021449</v>
      </c>
      <c r="S75" s="461">
        <v>991908.24</v>
      </c>
      <c r="T75" s="461">
        <f t="shared" si="13"/>
        <v>991908.24</v>
      </c>
      <c r="U75" s="456"/>
      <c r="V75" s="462">
        <f t="shared" si="14"/>
        <v>0</v>
      </c>
      <c r="W75" s="456"/>
      <c r="X75" s="456"/>
    </row>
    <row r="76" spans="1:24" s="7" customFormat="1" outlineLevel="1">
      <c r="A76" s="456"/>
      <c r="B76" s="457" t="s">
        <v>380</v>
      </c>
      <c r="C76" s="458"/>
      <c r="D76" s="459">
        <v>14044</v>
      </c>
      <c r="E76" s="459" t="s">
        <v>775</v>
      </c>
      <c r="F76" s="460"/>
      <c r="G76" s="460"/>
      <c r="H76" s="456"/>
      <c r="I76" s="456"/>
      <c r="J76" s="461">
        <v>-1117635.33</v>
      </c>
      <c r="K76" s="456"/>
      <c r="L76" s="461">
        <v>0</v>
      </c>
      <c r="M76" s="456"/>
      <c r="N76" s="462">
        <v>0</v>
      </c>
      <c r="O76" s="456"/>
      <c r="P76" s="461">
        <f t="shared" si="12"/>
        <v>-1117635.33</v>
      </c>
      <c r="Q76" s="456"/>
      <c r="R76" s="461">
        <v>-1117635.33</v>
      </c>
      <c r="S76" s="461">
        <v>-1117635.33</v>
      </c>
      <c r="T76" s="461">
        <f t="shared" si="13"/>
        <v>-1117635.33</v>
      </c>
      <c r="U76" s="456"/>
      <c r="V76" s="462">
        <f t="shared" si="14"/>
        <v>0</v>
      </c>
      <c r="W76" s="456"/>
      <c r="X76" s="456"/>
    </row>
    <row r="77" spans="1:24" s="7" customFormat="1" outlineLevel="1">
      <c r="A77" s="456"/>
      <c r="B77" s="457" t="s">
        <v>380</v>
      </c>
      <c r="C77" s="458"/>
      <c r="D77" s="459">
        <v>14046</v>
      </c>
      <c r="E77" s="459" t="s">
        <v>776</v>
      </c>
      <c r="F77" s="460"/>
      <c r="G77" s="460"/>
      <c r="H77" s="456"/>
      <c r="I77" s="456"/>
      <c r="J77" s="461">
        <v>-12672669.49</v>
      </c>
      <c r="K77" s="456"/>
      <c r="L77" s="461">
        <v>0</v>
      </c>
      <c r="M77" s="456"/>
      <c r="N77" s="462">
        <v>0</v>
      </c>
      <c r="O77" s="456"/>
      <c r="P77" s="461">
        <f t="shared" si="12"/>
        <v>-12672669.49</v>
      </c>
      <c r="Q77" s="456"/>
      <c r="R77" s="461">
        <v>-12373155.310000001</v>
      </c>
      <c r="S77" s="461">
        <v>-12521826.07</v>
      </c>
      <c r="T77" s="461">
        <f t="shared" si="13"/>
        <v>-12672669.49</v>
      </c>
      <c r="U77" s="456"/>
      <c r="V77" s="462">
        <f t="shared" si="14"/>
        <v>-150843.41999999993</v>
      </c>
      <c r="W77" s="456"/>
      <c r="X77" s="456"/>
    </row>
    <row r="78" spans="1:24" s="7" customFormat="1" outlineLevel="1">
      <c r="A78" s="456"/>
      <c r="B78" s="457" t="s">
        <v>380</v>
      </c>
      <c r="C78" s="458"/>
      <c r="D78" s="459">
        <v>14047</v>
      </c>
      <c r="E78" s="459" t="s">
        <v>774</v>
      </c>
      <c r="F78" s="460"/>
      <c r="G78" s="460"/>
      <c r="H78" s="456"/>
      <c r="I78" s="456"/>
      <c r="J78" s="461">
        <v>-713960.54</v>
      </c>
      <c r="K78" s="456"/>
      <c r="L78" s="461">
        <v>0</v>
      </c>
      <c r="M78" s="456"/>
      <c r="N78" s="462">
        <v>0</v>
      </c>
      <c r="O78" s="456"/>
      <c r="P78" s="461">
        <f t="shared" si="12"/>
        <v>-713960.54</v>
      </c>
      <c r="Q78" s="456"/>
      <c r="R78" s="461">
        <v>-743501.3</v>
      </c>
      <c r="S78" s="461">
        <v>-713960.54</v>
      </c>
      <c r="T78" s="461">
        <f t="shared" si="13"/>
        <v>-713960.54</v>
      </c>
      <c r="U78" s="456"/>
      <c r="V78" s="462">
        <f t="shared" si="14"/>
        <v>0</v>
      </c>
      <c r="W78" s="456"/>
      <c r="X78" s="456"/>
    </row>
    <row r="79" spans="1:24" s="7" customFormat="1" outlineLevel="1">
      <c r="A79" s="456"/>
      <c r="B79" s="457" t="s">
        <v>380</v>
      </c>
      <c r="C79" s="458"/>
      <c r="D79" s="459">
        <v>14048</v>
      </c>
      <c r="E79" s="459" t="s">
        <v>775</v>
      </c>
      <c r="F79" s="460"/>
      <c r="G79" s="460"/>
      <c r="H79" s="456"/>
      <c r="I79" s="456"/>
      <c r="J79" s="461">
        <v>1096604.05</v>
      </c>
      <c r="K79" s="456"/>
      <c r="L79" s="461">
        <v>0</v>
      </c>
      <c r="M79" s="456"/>
      <c r="N79" s="462">
        <v>0</v>
      </c>
      <c r="O79" s="456"/>
      <c r="P79" s="461">
        <f t="shared" si="12"/>
        <v>1096604.05</v>
      </c>
      <c r="Q79" s="456"/>
      <c r="R79" s="461">
        <v>1096604.05</v>
      </c>
      <c r="S79" s="461">
        <v>1096604.05</v>
      </c>
      <c r="T79" s="461">
        <f t="shared" si="13"/>
        <v>1096604.05</v>
      </c>
      <c r="U79" s="456"/>
      <c r="V79" s="462">
        <f t="shared" si="14"/>
        <v>0</v>
      </c>
      <c r="W79" s="456"/>
      <c r="X79" s="456"/>
    </row>
    <row r="80" spans="1:24" s="7" customFormat="1" outlineLevel="1">
      <c r="A80" s="456"/>
      <c r="B80" s="457" t="s">
        <v>380</v>
      </c>
      <c r="C80" s="458"/>
      <c r="D80" s="459">
        <v>14051</v>
      </c>
      <c r="E80" s="459" t="s">
        <v>777</v>
      </c>
      <c r="F80" s="460"/>
      <c r="G80" s="460"/>
      <c r="H80" s="456"/>
      <c r="I80" s="456"/>
      <c r="J80" s="461">
        <v>6816552.6600000001</v>
      </c>
      <c r="K80" s="456"/>
      <c r="L80" s="461">
        <v>0</v>
      </c>
      <c r="M80" s="456"/>
      <c r="N80" s="462">
        <v>0</v>
      </c>
      <c r="O80" s="456"/>
      <c r="P80" s="461">
        <f t="shared" si="12"/>
        <v>6816552.6600000001</v>
      </c>
      <c r="Q80" s="456"/>
      <c r="R80" s="461">
        <v>6627098.0599999996</v>
      </c>
      <c r="S80" s="461">
        <v>6816552.6600000001</v>
      </c>
      <c r="T80" s="461">
        <f t="shared" si="13"/>
        <v>6816552.6600000001</v>
      </c>
      <c r="U80" s="456"/>
      <c r="V80" s="462">
        <f t="shared" si="14"/>
        <v>0</v>
      </c>
      <c r="W80" s="456"/>
      <c r="X80" s="456"/>
    </row>
    <row r="81" spans="1:24" s="7" customFormat="1" outlineLevel="1">
      <c r="A81" s="456"/>
      <c r="B81" s="457" t="s">
        <v>380</v>
      </c>
      <c r="C81" s="458"/>
      <c r="D81" s="459">
        <v>14052</v>
      </c>
      <c r="E81" s="459" t="s">
        <v>778</v>
      </c>
      <c r="F81" s="460"/>
      <c r="G81" s="460"/>
      <c r="H81" s="456"/>
      <c r="I81" s="456"/>
      <c r="J81" s="461">
        <v>2498780</v>
      </c>
      <c r="K81" s="456"/>
      <c r="L81" s="461">
        <v>0</v>
      </c>
      <c r="M81" s="456"/>
      <c r="N81" s="462">
        <v>0</v>
      </c>
      <c r="O81" s="456"/>
      <c r="P81" s="461">
        <f t="shared" si="12"/>
        <v>2498780</v>
      </c>
      <c r="Q81" s="456"/>
      <c r="R81" s="461">
        <v>2498780</v>
      </c>
      <c r="S81" s="461">
        <v>2498780</v>
      </c>
      <c r="T81" s="461">
        <f t="shared" si="13"/>
        <v>2498780</v>
      </c>
      <c r="U81" s="456"/>
      <c r="V81" s="462">
        <f t="shared" si="14"/>
        <v>0</v>
      </c>
      <c r="W81" s="456"/>
      <c r="X81" s="456"/>
    </row>
    <row r="82" spans="1:24" s="7" customFormat="1" outlineLevel="1">
      <c r="A82" s="456"/>
      <c r="B82" s="457" t="s">
        <v>380</v>
      </c>
      <c r="C82" s="458"/>
      <c r="D82" s="459">
        <v>14053</v>
      </c>
      <c r="E82" s="459" t="s">
        <v>779</v>
      </c>
      <c r="F82" s="460"/>
      <c r="G82" s="460"/>
      <c r="H82" s="456"/>
      <c r="I82" s="456"/>
      <c r="J82" s="461">
        <v>1888614.53</v>
      </c>
      <c r="K82" s="456"/>
      <c r="L82" s="461">
        <v>0</v>
      </c>
      <c r="M82" s="456"/>
      <c r="N82" s="462">
        <v>0</v>
      </c>
      <c r="O82" s="456"/>
      <c r="P82" s="461">
        <f t="shared" si="12"/>
        <v>1888614.53</v>
      </c>
      <c r="Q82" s="456"/>
      <c r="R82" s="461">
        <v>1888614.53</v>
      </c>
      <c r="S82" s="461">
        <v>1888614.53</v>
      </c>
      <c r="T82" s="461">
        <f t="shared" si="13"/>
        <v>1888614.53</v>
      </c>
      <c r="U82" s="456"/>
      <c r="V82" s="462">
        <f t="shared" si="14"/>
        <v>0</v>
      </c>
      <c r="W82" s="456"/>
      <c r="X82" s="456"/>
    </row>
    <row r="83" spans="1:24" s="7" customFormat="1" outlineLevel="1">
      <c r="A83" s="456"/>
      <c r="B83" s="457" t="s">
        <v>380</v>
      </c>
      <c r="C83" s="458"/>
      <c r="D83" s="459">
        <v>14054</v>
      </c>
      <c r="E83" s="459" t="s">
        <v>780</v>
      </c>
      <c r="F83" s="460"/>
      <c r="G83" s="460"/>
      <c r="H83" s="456"/>
      <c r="I83" s="456"/>
      <c r="J83" s="461">
        <v>-859608.94</v>
      </c>
      <c r="K83" s="456"/>
      <c r="L83" s="461">
        <v>0</v>
      </c>
      <c r="M83" s="456"/>
      <c r="N83" s="462">
        <v>0</v>
      </c>
      <c r="O83" s="456"/>
      <c r="P83" s="461">
        <f t="shared" si="12"/>
        <v>-859608.94</v>
      </c>
      <c r="Q83" s="456"/>
      <c r="R83" s="461">
        <v>-858308.94</v>
      </c>
      <c r="S83" s="461">
        <v>-858308.94</v>
      </c>
      <c r="T83" s="461">
        <f t="shared" si="13"/>
        <v>-859608.94</v>
      </c>
      <c r="U83" s="456"/>
      <c r="V83" s="462">
        <f t="shared" si="14"/>
        <v>-1300</v>
      </c>
      <c r="W83" s="456"/>
      <c r="X83" s="456"/>
    </row>
    <row r="84" spans="1:24" s="7" customFormat="1" outlineLevel="1">
      <c r="A84" s="456"/>
      <c r="B84" s="457" t="s">
        <v>380</v>
      </c>
      <c r="C84" s="458"/>
      <c r="D84" s="459">
        <v>14056</v>
      </c>
      <c r="E84" s="459" t="s">
        <v>781</v>
      </c>
      <c r="F84" s="460"/>
      <c r="G84" s="460"/>
      <c r="H84" s="456"/>
      <c r="I84" s="456"/>
      <c r="J84" s="461">
        <v>-6342526.4699999997</v>
      </c>
      <c r="K84" s="456"/>
      <c r="L84" s="461">
        <v>0</v>
      </c>
      <c r="M84" s="456"/>
      <c r="N84" s="462">
        <v>0</v>
      </c>
      <c r="O84" s="456"/>
      <c r="P84" s="461">
        <f t="shared" si="12"/>
        <v>-6342526.4699999997</v>
      </c>
      <c r="Q84" s="456"/>
      <c r="R84" s="461">
        <v>-6198549.1399999997</v>
      </c>
      <c r="S84" s="461">
        <v>-6270877.7999999998</v>
      </c>
      <c r="T84" s="461">
        <f t="shared" si="13"/>
        <v>-6342526.4699999997</v>
      </c>
      <c r="U84" s="456"/>
      <c r="V84" s="462">
        <f t="shared" si="14"/>
        <v>-71648.669999999925</v>
      </c>
      <c r="W84" s="456"/>
      <c r="X84" s="456"/>
    </row>
    <row r="85" spans="1:24" s="7" customFormat="1" outlineLevel="1">
      <c r="A85" s="456"/>
      <c r="B85" s="457" t="s">
        <v>380</v>
      </c>
      <c r="C85" s="458"/>
      <c r="D85" s="459">
        <v>14057</v>
      </c>
      <c r="E85" s="459" t="s">
        <v>782</v>
      </c>
      <c r="F85" s="460"/>
      <c r="G85" s="460"/>
      <c r="H85" s="456"/>
      <c r="I85" s="456"/>
      <c r="J85" s="461">
        <v>-804495.74</v>
      </c>
      <c r="K85" s="456"/>
      <c r="L85" s="461">
        <v>0</v>
      </c>
      <c r="M85" s="456"/>
      <c r="N85" s="462">
        <v>0</v>
      </c>
      <c r="O85" s="456"/>
      <c r="P85" s="461">
        <f t="shared" si="12"/>
        <v>-804495.74</v>
      </c>
      <c r="Q85" s="456"/>
      <c r="R85" s="461">
        <v>-804495.74</v>
      </c>
      <c r="S85" s="461">
        <v>-804495.74</v>
      </c>
      <c r="T85" s="461">
        <f t="shared" si="13"/>
        <v>-804495.74</v>
      </c>
      <c r="U85" s="456"/>
      <c r="V85" s="462">
        <f t="shared" si="14"/>
        <v>0</v>
      </c>
      <c r="W85" s="456"/>
      <c r="X85" s="456"/>
    </row>
    <row r="86" spans="1:24" s="7" customFormat="1" outlineLevel="1">
      <c r="A86" s="456"/>
      <c r="B86" s="457" t="s">
        <v>380</v>
      </c>
      <c r="C86" s="458"/>
      <c r="D86" s="459">
        <v>14058</v>
      </c>
      <c r="E86" s="459" t="s">
        <v>783</v>
      </c>
      <c r="F86" s="460"/>
      <c r="G86" s="460"/>
      <c r="H86" s="456"/>
      <c r="I86" s="456"/>
      <c r="J86" s="461">
        <v>800263.51</v>
      </c>
      <c r="K86" s="456"/>
      <c r="L86" s="461">
        <v>0</v>
      </c>
      <c r="M86" s="456"/>
      <c r="N86" s="462">
        <v>0</v>
      </c>
      <c r="O86" s="456"/>
      <c r="P86" s="461">
        <f t="shared" si="12"/>
        <v>800263.51</v>
      </c>
      <c r="Q86" s="456"/>
      <c r="R86" s="461">
        <v>798963.51</v>
      </c>
      <c r="S86" s="461">
        <v>798963.51</v>
      </c>
      <c r="T86" s="461">
        <f t="shared" si="13"/>
        <v>800263.51</v>
      </c>
      <c r="U86" s="456"/>
      <c r="V86" s="462">
        <f t="shared" si="14"/>
        <v>1300</v>
      </c>
      <c r="W86" s="456"/>
      <c r="X86" s="456"/>
    </row>
    <row r="87" spans="1:24" s="7" customFormat="1" outlineLevel="1">
      <c r="A87" s="456"/>
      <c r="B87" s="457" t="s">
        <v>380</v>
      </c>
      <c r="C87" s="458"/>
      <c r="D87" s="459">
        <v>14071</v>
      </c>
      <c r="E87" s="459" t="s">
        <v>784</v>
      </c>
      <c r="F87" s="460"/>
      <c r="G87" s="460"/>
      <c r="H87" s="456"/>
      <c r="I87" s="456"/>
      <c r="J87" s="461">
        <v>294839.46000000002</v>
      </c>
      <c r="K87" s="456"/>
      <c r="L87" s="461">
        <v>0</v>
      </c>
      <c r="M87" s="456"/>
      <c r="N87" s="462">
        <v>0</v>
      </c>
      <c r="O87" s="456"/>
      <c r="P87" s="461">
        <f t="shared" si="12"/>
        <v>294839.46000000002</v>
      </c>
      <c r="Q87" s="456"/>
      <c r="R87" s="461">
        <v>294839.46000000002</v>
      </c>
      <c r="S87" s="461">
        <v>294839.46000000002</v>
      </c>
      <c r="T87" s="461">
        <f t="shared" si="13"/>
        <v>294839.46000000002</v>
      </c>
      <c r="U87" s="456"/>
      <c r="V87" s="462">
        <f t="shared" si="14"/>
        <v>0</v>
      </c>
      <c r="W87" s="456"/>
      <c r="X87" s="456"/>
    </row>
    <row r="88" spans="1:24" s="7" customFormat="1" outlineLevel="1">
      <c r="A88" s="456"/>
      <c r="B88" s="457" t="s">
        <v>380</v>
      </c>
      <c r="C88" s="458"/>
      <c r="D88" s="459">
        <v>14072</v>
      </c>
      <c r="E88" s="459" t="s">
        <v>785</v>
      </c>
      <c r="F88" s="460"/>
      <c r="G88" s="460"/>
      <c r="H88" s="456"/>
      <c r="I88" s="456"/>
      <c r="J88" s="461">
        <v>1000</v>
      </c>
      <c r="K88" s="456"/>
      <c r="L88" s="461">
        <v>0</v>
      </c>
      <c r="M88" s="456"/>
      <c r="N88" s="462">
        <v>0</v>
      </c>
      <c r="O88" s="456"/>
      <c r="P88" s="461">
        <f t="shared" si="12"/>
        <v>1000</v>
      </c>
      <c r="Q88" s="456"/>
      <c r="R88" s="461">
        <v>1000</v>
      </c>
      <c r="S88" s="461">
        <v>1000</v>
      </c>
      <c r="T88" s="461">
        <f t="shared" si="13"/>
        <v>1000</v>
      </c>
      <c r="U88" s="456"/>
      <c r="V88" s="462">
        <f t="shared" si="14"/>
        <v>0</v>
      </c>
      <c r="W88" s="456"/>
      <c r="X88" s="456"/>
    </row>
    <row r="89" spans="1:24" s="7" customFormat="1" outlineLevel="1">
      <c r="A89" s="456"/>
      <c r="B89" s="457" t="s">
        <v>380</v>
      </c>
      <c r="C89" s="458"/>
      <c r="D89" s="459">
        <v>14073</v>
      </c>
      <c r="E89" s="459" t="s">
        <v>786</v>
      </c>
      <c r="F89" s="460"/>
      <c r="G89" s="460"/>
      <c r="H89" s="456"/>
      <c r="I89" s="456"/>
      <c r="J89" s="461">
        <v>46924.36</v>
      </c>
      <c r="K89" s="456"/>
      <c r="L89" s="461">
        <v>0</v>
      </c>
      <c r="M89" s="456"/>
      <c r="N89" s="462">
        <v>0</v>
      </c>
      <c r="O89" s="456"/>
      <c r="P89" s="461">
        <f t="shared" si="12"/>
        <v>46924.36</v>
      </c>
      <c r="Q89" s="456"/>
      <c r="R89" s="461">
        <v>46924.36</v>
      </c>
      <c r="S89" s="461">
        <v>46924.36</v>
      </c>
      <c r="T89" s="461">
        <f t="shared" si="13"/>
        <v>46924.36</v>
      </c>
      <c r="U89" s="456"/>
      <c r="V89" s="462">
        <f t="shared" si="14"/>
        <v>0</v>
      </c>
      <c r="W89" s="456"/>
      <c r="X89" s="456"/>
    </row>
    <row r="90" spans="1:24" s="7" customFormat="1" outlineLevel="1">
      <c r="A90" s="456"/>
      <c r="B90" s="457" t="s">
        <v>380</v>
      </c>
      <c r="C90" s="458"/>
      <c r="D90" s="459">
        <v>14076</v>
      </c>
      <c r="E90" s="459" t="s">
        <v>787</v>
      </c>
      <c r="F90" s="460"/>
      <c r="G90" s="460"/>
      <c r="H90" s="456"/>
      <c r="I90" s="456"/>
      <c r="J90" s="461">
        <v>-304716.46000000002</v>
      </c>
      <c r="K90" s="456"/>
      <c r="L90" s="461">
        <v>0</v>
      </c>
      <c r="M90" s="456"/>
      <c r="N90" s="462">
        <v>0</v>
      </c>
      <c r="O90" s="456"/>
      <c r="P90" s="461">
        <f t="shared" si="12"/>
        <v>-304716.46000000002</v>
      </c>
      <c r="Q90" s="456"/>
      <c r="R90" s="461">
        <v>-303083.31</v>
      </c>
      <c r="S90" s="461">
        <v>-303899.89</v>
      </c>
      <c r="T90" s="461">
        <f t="shared" si="13"/>
        <v>-304716.46000000002</v>
      </c>
      <c r="U90" s="456"/>
      <c r="V90" s="462">
        <f t="shared" si="14"/>
        <v>-816.57000000000698</v>
      </c>
      <c r="W90" s="456"/>
      <c r="X90" s="456"/>
    </row>
    <row r="91" spans="1:24" s="7" customFormat="1" outlineLevel="1">
      <c r="A91" s="456"/>
      <c r="B91" s="457" t="s">
        <v>380</v>
      </c>
      <c r="C91" s="458"/>
      <c r="D91" s="459">
        <v>14077</v>
      </c>
      <c r="E91" s="459" t="s">
        <v>788</v>
      </c>
      <c r="F91" s="460"/>
      <c r="G91" s="460"/>
      <c r="H91" s="456"/>
      <c r="I91" s="456"/>
      <c r="J91" s="461">
        <v>-24973.48</v>
      </c>
      <c r="K91" s="456"/>
      <c r="L91" s="461">
        <v>0</v>
      </c>
      <c r="M91" s="456"/>
      <c r="N91" s="462">
        <v>0</v>
      </c>
      <c r="O91" s="456"/>
      <c r="P91" s="461">
        <f t="shared" si="12"/>
        <v>-24973.48</v>
      </c>
      <c r="Q91" s="456"/>
      <c r="R91" s="461">
        <v>-24973.48</v>
      </c>
      <c r="S91" s="461">
        <v>-24973.48</v>
      </c>
      <c r="T91" s="461">
        <f t="shared" si="13"/>
        <v>-24973.48</v>
      </c>
      <c r="U91" s="456"/>
      <c r="V91" s="462">
        <f t="shared" si="14"/>
        <v>0</v>
      </c>
      <c r="W91" s="456"/>
      <c r="X91" s="456"/>
    </row>
    <row r="92" spans="1:24" s="7" customFormat="1" outlineLevel="1">
      <c r="A92" s="456"/>
      <c r="B92" s="457" t="s">
        <v>380</v>
      </c>
      <c r="C92" s="458"/>
      <c r="D92" s="459">
        <v>14081</v>
      </c>
      <c r="E92" s="459" t="s">
        <v>789</v>
      </c>
      <c r="F92" s="460"/>
      <c r="G92" s="460"/>
      <c r="H92" s="456"/>
      <c r="I92" s="456"/>
      <c r="J92" s="461">
        <v>7739255.0099999998</v>
      </c>
      <c r="K92" s="456"/>
      <c r="L92" s="461">
        <v>0</v>
      </c>
      <c r="M92" s="456"/>
      <c r="N92" s="462">
        <v>0</v>
      </c>
      <c r="O92" s="456"/>
      <c r="P92" s="461">
        <f t="shared" si="12"/>
        <v>7739255.0099999998</v>
      </c>
      <c r="Q92" s="456"/>
      <c r="R92" s="461">
        <v>7739255.0099999998</v>
      </c>
      <c r="S92" s="461">
        <v>7739255.0099999998</v>
      </c>
      <c r="T92" s="461">
        <f t="shared" si="13"/>
        <v>7739255.0099999998</v>
      </c>
      <c r="U92" s="456"/>
      <c r="V92" s="462">
        <f t="shared" si="14"/>
        <v>0</v>
      </c>
      <c r="W92" s="456"/>
      <c r="X92" s="456"/>
    </row>
    <row r="93" spans="1:24" s="7" customFormat="1" outlineLevel="1">
      <c r="A93" s="456"/>
      <c r="B93" s="457" t="s">
        <v>380</v>
      </c>
      <c r="C93" s="458"/>
      <c r="D93" s="459">
        <v>14082</v>
      </c>
      <c r="E93" s="459" t="s">
        <v>790</v>
      </c>
      <c r="F93" s="460"/>
      <c r="G93" s="460"/>
      <c r="H93" s="456"/>
      <c r="I93" s="456"/>
      <c r="J93" s="461">
        <v>6178000</v>
      </c>
      <c r="K93" s="456"/>
      <c r="L93" s="461">
        <v>0</v>
      </c>
      <c r="M93" s="456"/>
      <c r="N93" s="462">
        <v>0</v>
      </c>
      <c r="O93" s="456"/>
      <c r="P93" s="461">
        <f t="shared" si="12"/>
        <v>6178000</v>
      </c>
      <c r="Q93" s="456"/>
      <c r="R93" s="461">
        <v>6178000</v>
      </c>
      <c r="S93" s="461">
        <v>6178000</v>
      </c>
      <c r="T93" s="461">
        <f t="shared" si="13"/>
        <v>6178000</v>
      </c>
      <c r="U93" s="456"/>
      <c r="V93" s="462">
        <f t="shared" si="14"/>
        <v>0</v>
      </c>
      <c r="W93" s="456"/>
      <c r="X93" s="456"/>
    </row>
    <row r="94" spans="1:24" s="7" customFormat="1" outlineLevel="1">
      <c r="A94" s="456"/>
      <c r="B94" s="457" t="s">
        <v>380</v>
      </c>
      <c r="C94" s="458"/>
      <c r="D94" s="459">
        <v>14083</v>
      </c>
      <c r="E94" s="459" t="s">
        <v>791</v>
      </c>
      <c r="F94" s="460"/>
      <c r="G94" s="460"/>
      <c r="H94" s="456"/>
      <c r="I94" s="456"/>
      <c r="J94" s="461">
        <v>-2648000</v>
      </c>
      <c r="K94" s="456"/>
      <c r="L94" s="461">
        <v>0</v>
      </c>
      <c r="M94" s="456"/>
      <c r="N94" s="462">
        <v>0</v>
      </c>
      <c r="O94" s="456"/>
      <c r="P94" s="461">
        <f t="shared" si="12"/>
        <v>-2648000</v>
      </c>
      <c r="Q94" s="456"/>
      <c r="R94" s="461">
        <v>-2648000</v>
      </c>
      <c r="S94" s="461">
        <v>-2648000</v>
      </c>
      <c r="T94" s="461">
        <f t="shared" si="13"/>
        <v>-2648000</v>
      </c>
      <c r="U94" s="456"/>
      <c r="V94" s="462">
        <f t="shared" si="14"/>
        <v>0</v>
      </c>
      <c r="W94" s="456"/>
      <c r="X94" s="456"/>
    </row>
    <row r="95" spans="1:24" s="7" customFormat="1" outlineLevel="1">
      <c r="A95" s="456"/>
      <c r="B95" s="457" t="s">
        <v>380</v>
      </c>
      <c r="C95" s="458"/>
      <c r="D95" s="459">
        <v>14086</v>
      </c>
      <c r="E95" s="459" t="s">
        <v>792</v>
      </c>
      <c r="F95" s="460"/>
      <c r="G95" s="460"/>
      <c r="H95" s="456"/>
      <c r="I95" s="456"/>
      <c r="J95" s="461">
        <v>-5434741.2699999996</v>
      </c>
      <c r="K95" s="456"/>
      <c r="L95" s="461">
        <v>0</v>
      </c>
      <c r="M95" s="456"/>
      <c r="N95" s="462">
        <v>0</v>
      </c>
      <c r="O95" s="456"/>
      <c r="P95" s="461">
        <f t="shared" si="12"/>
        <v>-5434741.2699999996</v>
      </c>
      <c r="Q95" s="456"/>
      <c r="R95" s="461">
        <v>-5340738.42</v>
      </c>
      <c r="S95" s="461">
        <v>-5387739.8499999996</v>
      </c>
      <c r="T95" s="461">
        <f t="shared" si="13"/>
        <v>-5434741.2699999996</v>
      </c>
      <c r="U95" s="456"/>
      <c r="V95" s="462">
        <f t="shared" si="14"/>
        <v>-47001.419999999925</v>
      </c>
      <c r="W95" s="456"/>
      <c r="X95" s="456"/>
    </row>
    <row r="96" spans="1:24" s="7" customFormat="1" outlineLevel="1">
      <c r="A96" s="456"/>
      <c r="B96" s="457" t="s">
        <v>380</v>
      </c>
      <c r="C96" s="458"/>
      <c r="D96" s="459">
        <v>14087</v>
      </c>
      <c r="E96" s="459" t="s">
        <v>791</v>
      </c>
      <c r="F96" s="460"/>
      <c r="G96" s="460"/>
      <c r="H96" s="456"/>
      <c r="I96" s="456"/>
      <c r="J96" s="461">
        <v>684066.67</v>
      </c>
      <c r="K96" s="456"/>
      <c r="L96" s="461">
        <v>0</v>
      </c>
      <c r="M96" s="456"/>
      <c r="N96" s="462">
        <v>0</v>
      </c>
      <c r="O96" s="456"/>
      <c r="P96" s="461">
        <f t="shared" si="12"/>
        <v>684066.67</v>
      </c>
      <c r="Q96" s="456"/>
      <c r="R96" s="461">
        <v>684066.67</v>
      </c>
      <c r="S96" s="461">
        <v>684066.67</v>
      </c>
      <c r="T96" s="461">
        <f t="shared" si="13"/>
        <v>684066.67</v>
      </c>
      <c r="U96" s="456"/>
      <c r="V96" s="462">
        <f t="shared" si="14"/>
        <v>0</v>
      </c>
      <c r="W96" s="456"/>
      <c r="X96" s="456"/>
    </row>
    <row r="97" spans="1:25" s="7" customFormat="1" outlineLevel="1">
      <c r="A97" s="456"/>
      <c r="B97" s="457" t="s">
        <v>380</v>
      </c>
      <c r="C97" s="458"/>
      <c r="D97" s="459">
        <v>14093</v>
      </c>
      <c r="E97" s="459" t="s">
        <v>793</v>
      </c>
      <c r="F97" s="460"/>
      <c r="G97" s="460"/>
      <c r="H97" s="456"/>
      <c r="I97" s="456"/>
      <c r="J97" s="461">
        <v>99307.78</v>
      </c>
      <c r="K97" s="456"/>
      <c r="L97" s="461">
        <v>0</v>
      </c>
      <c r="M97" s="456"/>
      <c r="N97" s="462">
        <v>0</v>
      </c>
      <c r="O97" s="456"/>
      <c r="P97" s="461">
        <f t="shared" si="12"/>
        <v>99307.78</v>
      </c>
      <c r="Q97" s="456"/>
      <c r="R97" s="461">
        <v>99307.78</v>
      </c>
      <c r="S97" s="461">
        <v>99307.78</v>
      </c>
      <c r="T97" s="461">
        <f t="shared" si="13"/>
        <v>99307.78</v>
      </c>
      <c r="U97" s="456"/>
      <c r="V97" s="462">
        <f t="shared" si="14"/>
        <v>0</v>
      </c>
      <c r="W97" s="456"/>
      <c r="X97" s="456"/>
    </row>
    <row r="98" spans="1:25" s="7" customFormat="1" outlineLevel="1">
      <c r="A98" s="456"/>
      <c r="B98" s="457" t="s">
        <v>380</v>
      </c>
      <c r="C98" s="458"/>
      <c r="D98" s="459">
        <v>14096</v>
      </c>
      <c r="E98" s="459" t="s">
        <v>794</v>
      </c>
      <c r="F98" s="460"/>
      <c r="G98" s="460"/>
      <c r="H98" s="456"/>
      <c r="I98" s="456"/>
      <c r="J98" s="461">
        <v>-48826.34</v>
      </c>
      <c r="K98" s="456"/>
      <c r="L98" s="461">
        <v>0</v>
      </c>
      <c r="M98" s="456"/>
      <c r="N98" s="462">
        <v>0</v>
      </c>
      <c r="O98" s="456"/>
      <c r="P98" s="461">
        <f t="shared" si="12"/>
        <v>-48826.34</v>
      </c>
      <c r="Q98" s="456"/>
      <c r="R98" s="461">
        <v>-47171.21</v>
      </c>
      <c r="S98" s="461">
        <v>-47998.77</v>
      </c>
      <c r="T98" s="461">
        <f t="shared" si="13"/>
        <v>-48826.34</v>
      </c>
      <c r="U98" s="456"/>
      <c r="V98" s="462">
        <f t="shared" si="14"/>
        <v>-827.56999999999971</v>
      </c>
      <c r="W98" s="456"/>
      <c r="X98" s="456"/>
    </row>
    <row r="99" spans="1:25" s="7" customFormat="1" outlineLevel="1">
      <c r="A99" s="456"/>
      <c r="B99" s="457" t="s">
        <v>380</v>
      </c>
      <c r="C99" s="458"/>
      <c r="D99" s="459">
        <v>14097</v>
      </c>
      <c r="E99" s="459" t="s">
        <v>795</v>
      </c>
      <c r="F99" s="460"/>
      <c r="G99" s="460"/>
      <c r="H99" s="456"/>
      <c r="I99" s="456"/>
      <c r="J99" s="461">
        <v>-827.57</v>
      </c>
      <c r="K99" s="456"/>
      <c r="L99" s="461">
        <v>0</v>
      </c>
      <c r="M99" s="456"/>
      <c r="N99" s="462">
        <v>0</v>
      </c>
      <c r="O99" s="456"/>
      <c r="P99" s="461">
        <f t="shared" si="12"/>
        <v>-827.57</v>
      </c>
      <c r="Q99" s="456"/>
      <c r="R99" s="461">
        <v>-827.57</v>
      </c>
      <c r="S99" s="461">
        <v>-827.57</v>
      </c>
      <c r="T99" s="461">
        <f t="shared" si="13"/>
        <v>-827.57</v>
      </c>
      <c r="U99" s="456"/>
      <c r="V99" s="462">
        <f t="shared" si="14"/>
        <v>0</v>
      </c>
      <c r="W99" s="456"/>
      <c r="X99" s="456"/>
    </row>
    <row r="100" spans="1:25" s="7" customFormat="1" outlineLevel="1">
      <c r="A100" s="456"/>
      <c r="B100" s="457" t="s">
        <v>380</v>
      </c>
      <c r="C100" s="458"/>
      <c r="D100" s="459">
        <v>14101</v>
      </c>
      <c r="E100" s="459" t="s">
        <v>796</v>
      </c>
      <c r="F100" s="460"/>
      <c r="G100" s="460"/>
      <c r="H100" s="456"/>
      <c r="I100" s="456"/>
      <c r="J100" s="461">
        <v>297259.74</v>
      </c>
      <c r="K100" s="456"/>
      <c r="L100" s="461">
        <v>0</v>
      </c>
      <c r="M100" s="456"/>
      <c r="N100" s="462">
        <v>0</v>
      </c>
      <c r="O100" s="456"/>
      <c r="P100" s="461">
        <f t="shared" si="12"/>
        <v>297259.74</v>
      </c>
      <c r="Q100" s="456"/>
      <c r="R100" s="461">
        <v>297259.74</v>
      </c>
      <c r="S100" s="461">
        <v>297259.74</v>
      </c>
      <c r="T100" s="461">
        <f t="shared" si="13"/>
        <v>297259.74</v>
      </c>
      <c r="U100" s="456"/>
      <c r="V100" s="462">
        <f t="shared" si="14"/>
        <v>0</v>
      </c>
      <c r="W100" s="456"/>
      <c r="X100" s="456"/>
    </row>
    <row r="101" spans="1:25" s="7" customFormat="1" outlineLevel="1">
      <c r="A101" s="456"/>
      <c r="B101" s="457" t="s">
        <v>380</v>
      </c>
      <c r="C101" s="458"/>
      <c r="D101" s="459">
        <v>14106</v>
      </c>
      <c r="E101" s="459" t="s">
        <v>797</v>
      </c>
      <c r="F101" s="460"/>
      <c r="G101" s="460"/>
      <c r="H101" s="456"/>
      <c r="I101" s="456"/>
      <c r="J101" s="461">
        <v>-251868.66</v>
      </c>
      <c r="K101" s="456"/>
      <c r="L101" s="461">
        <v>0</v>
      </c>
      <c r="M101" s="456"/>
      <c r="N101" s="462">
        <v>0</v>
      </c>
      <c r="O101" s="456"/>
      <c r="P101" s="461">
        <f t="shared" si="12"/>
        <v>-251868.66</v>
      </c>
      <c r="Q101" s="456"/>
      <c r="R101" s="461">
        <v>-248613.65</v>
      </c>
      <c r="S101" s="461">
        <v>-250241.15</v>
      </c>
      <c r="T101" s="461">
        <f t="shared" si="13"/>
        <v>-251868.66</v>
      </c>
      <c r="U101" s="456"/>
      <c r="V101" s="462">
        <f t="shared" si="14"/>
        <v>-1627.5100000000093</v>
      </c>
      <c r="W101" s="456"/>
      <c r="X101" s="456"/>
    </row>
    <row r="102" spans="1:25" s="7" customFormat="1" outlineLevel="1">
      <c r="A102" s="456"/>
      <c r="B102" s="457" t="s">
        <v>380</v>
      </c>
      <c r="C102" s="458"/>
      <c r="D102" s="459">
        <v>14111</v>
      </c>
      <c r="E102" s="459" t="s">
        <v>798</v>
      </c>
      <c r="F102" s="460"/>
      <c r="G102" s="460"/>
      <c r="H102" s="456"/>
      <c r="I102" s="456"/>
      <c r="J102" s="461">
        <v>865749.8</v>
      </c>
      <c r="K102" s="456"/>
      <c r="L102" s="461">
        <v>0</v>
      </c>
      <c r="M102" s="456"/>
      <c r="N102" s="462">
        <v>0</v>
      </c>
      <c r="O102" s="456"/>
      <c r="P102" s="461">
        <f t="shared" si="12"/>
        <v>865749.8</v>
      </c>
      <c r="Q102" s="456"/>
      <c r="R102" s="461">
        <v>848908.74</v>
      </c>
      <c r="S102" s="461">
        <v>864265.39</v>
      </c>
      <c r="T102" s="461">
        <f t="shared" si="13"/>
        <v>865749.8</v>
      </c>
      <c r="U102" s="456"/>
      <c r="V102" s="462">
        <f t="shared" si="14"/>
        <v>1484.4100000000326</v>
      </c>
      <c r="W102" s="456"/>
      <c r="X102" s="456"/>
    </row>
    <row r="103" spans="1:25" s="7" customFormat="1" outlineLevel="1">
      <c r="A103" s="456"/>
      <c r="B103" s="457" t="s">
        <v>380</v>
      </c>
      <c r="C103" s="458"/>
      <c r="D103" s="459">
        <v>14113</v>
      </c>
      <c r="E103" s="459" t="s">
        <v>799</v>
      </c>
      <c r="F103" s="460"/>
      <c r="G103" s="460"/>
      <c r="H103" s="456"/>
      <c r="I103" s="456"/>
      <c r="J103" s="461">
        <v>12121.16</v>
      </c>
      <c r="K103" s="456"/>
      <c r="L103" s="461">
        <v>0</v>
      </c>
      <c r="M103" s="456"/>
      <c r="N103" s="462">
        <v>0</v>
      </c>
      <c r="O103" s="456"/>
      <c r="P103" s="461">
        <f t="shared" si="12"/>
        <v>12121.16</v>
      </c>
      <c r="Q103" s="456"/>
      <c r="R103" s="461">
        <v>12121.16</v>
      </c>
      <c r="S103" s="461">
        <v>12121.16</v>
      </c>
      <c r="T103" s="461">
        <f t="shared" si="13"/>
        <v>12121.16</v>
      </c>
      <c r="U103" s="456"/>
      <c r="V103" s="462">
        <f t="shared" si="14"/>
        <v>0</v>
      </c>
      <c r="W103" s="456"/>
      <c r="X103" s="456"/>
    </row>
    <row r="104" spans="1:25" s="7" customFormat="1" outlineLevel="1">
      <c r="A104" s="456"/>
      <c r="B104" s="457" t="s">
        <v>380</v>
      </c>
      <c r="C104" s="458"/>
      <c r="D104" s="459">
        <v>14116</v>
      </c>
      <c r="E104" s="459" t="s">
        <v>800</v>
      </c>
      <c r="F104" s="460"/>
      <c r="G104" s="460"/>
      <c r="H104" s="456"/>
      <c r="I104" s="456"/>
      <c r="J104" s="461">
        <v>-859985.1</v>
      </c>
      <c r="K104" s="456"/>
      <c r="L104" s="461">
        <v>0</v>
      </c>
      <c r="M104" s="456"/>
      <c r="N104" s="462">
        <v>0</v>
      </c>
      <c r="O104" s="456"/>
      <c r="P104" s="461">
        <f t="shared" si="12"/>
        <v>-859985.1</v>
      </c>
      <c r="Q104" s="456"/>
      <c r="R104" s="461">
        <v>-855563.48</v>
      </c>
      <c r="S104" s="461">
        <v>-858508.62</v>
      </c>
      <c r="T104" s="461">
        <f t="shared" si="13"/>
        <v>-859985.1</v>
      </c>
      <c r="U104" s="456"/>
      <c r="V104" s="462">
        <f t="shared" si="14"/>
        <v>-1476.4799999999814</v>
      </c>
      <c r="W104" s="456"/>
      <c r="X104" s="456"/>
    </row>
    <row r="105" spans="1:25" s="7" customFormat="1" outlineLevel="1">
      <c r="A105" s="456"/>
      <c r="B105" s="457" t="s">
        <v>380</v>
      </c>
      <c r="C105" s="458"/>
      <c r="D105" s="459">
        <v>14117</v>
      </c>
      <c r="E105" s="459" t="s">
        <v>801</v>
      </c>
      <c r="F105" s="460"/>
      <c r="G105" s="460"/>
      <c r="H105" s="456"/>
      <c r="I105" s="456"/>
      <c r="J105" s="461">
        <v>-2667.32</v>
      </c>
      <c r="K105" s="456"/>
      <c r="L105" s="461">
        <v>0</v>
      </c>
      <c r="M105" s="456"/>
      <c r="N105" s="462">
        <v>0</v>
      </c>
      <c r="O105" s="456"/>
      <c r="P105" s="461">
        <f t="shared" si="12"/>
        <v>-2667.32</v>
      </c>
      <c r="Q105" s="456"/>
      <c r="R105" s="461">
        <v>-2667.32</v>
      </c>
      <c r="S105" s="461">
        <v>-2667.32</v>
      </c>
      <c r="T105" s="461">
        <f t="shared" si="13"/>
        <v>-2667.32</v>
      </c>
      <c r="U105" s="456"/>
      <c r="V105" s="462">
        <f t="shared" si="14"/>
        <v>0</v>
      </c>
      <c r="W105" s="456"/>
      <c r="X105" s="456"/>
    </row>
    <row r="106" spans="1:25" s="7" customFormat="1" outlineLevel="1">
      <c r="A106" s="456"/>
      <c r="B106" s="457" t="s">
        <v>380</v>
      </c>
      <c r="C106" s="458"/>
      <c r="D106" s="459">
        <v>14121</v>
      </c>
      <c r="E106" s="459" t="s">
        <v>802</v>
      </c>
      <c r="F106" s="460"/>
      <c r="G106" s="460"/>
      <c r="H106" s="456"/>
      <c r="I106" s="456"/>
      <c r="J106" s="461">
        <v>0</v>
      </c>
      <c r="K106" s="456"/>
      <c r="L106" s="461">
        <v>0</v>
      </c>
      <c r="M106" s="456"/>
      <c r="N106" s="462">
        <v>0</v>
      </c>
      <c r="O106" s="456"/>
      <c r="P106" s="461">
        <f t="shared" si="12"/>
        <v>0</v>
      </c>
      <c r="Q106" s="456"/>
      <c r="R106" s="461">
        <v>189666.8</v>
      </c>
      <c r="S106" s="461">
        <v>0</v>
      </c>
      <c r="T106" s="461">
        <f t="shared" si="13"/>
        <v>0</v>
      </c>
      <c r="U106" s="456"/>
      <c r="V106" s="462">
        <f t="shared" si="14"/>
        <v>0</v>
      </c>
      <c r="W106" s="456"/>
      <c r="X106" s="456"/>
    </row>
    <row r="107" spans="1:25" s="7" customFormat="1" outlineLevel="1">
      <c r="A107" s="456"/>
      <c r="B107" s="457" t="s">
        <v>380</v>
      </c>
      <c r="C107" s="458"/>
      <c r="D107" s="459">
        <v>14201</v>
      </c>
      <c r="E107" s="459" t="s">
        <v>803</v>
      </c>
      <c r="F107" s="460"/>
      <c r="G107" s="460"/>
      <c r="H107" s="456"/>
      <c r="I107" s="456"/>
      <c r="J107" s="461">
        <v>336121.76</v>
      </c>
      <c r="K107" s="456"/>
      <c r="L107" s="461">
        <v>0</v>
      </c>
      <c r="M107" s="456"/>
      <c r="N107" s="462">
        <v>0</v>
      </c>
      <c r="O107" s="456"/>
      <c r="P107" s="461">
        <f t="shared" si="12"/>
        <v>336121.76</v>
      </c>
      <c r="Q107" s="456"/>
      <c r="R107" s="461">
        <v>1457161.73</v>
      </c>
      <c r="S107" s="461">
        <v>534146.30000000005</v>
      </c>
      <c r="T107" s="461">
        <f t="shared" si="13"/>
        <v>336121.76</v>
      </c>
      <c r="U107" s="456"/>
      <c r="V107" s="462">
        <f t="shared" si="14"/>
        <v>-198024.54000000004</v>
      </c>
      <c r="W107" s="456"/>
      <c r="X107" s="456"/>
    </row>
    <row r="108" spans="1:25" s="7" customFormat="1" ht="4.5" customHeight="1" outlineLevel="1">
      <c r="A108" s="483" t="s">
        <v>187</v>
      </c>
      <c r="B108" s="483" t="s">
        <v>187</v>
      </c>
      <c r="C108" s="483"/>
      <c r="D108" s="494"/>
      <c r="E108" s="456"/>
      <c r="F108" s="456"/>
      <c r="G108" s="456"/>
      <c r="H108" s="456"/>
      <c r="I108" s="456"/>
      <c r="J108" s="487"/>
      <c r="K108" s="456"/>
      <c r="L108" s="487"/>
      <c r="M108" s="456"/>
      <c r="N108" s="488"/>
      <c r="O108" s="456"/>
      <c r="P108" s="487"/>
      <c r="Q108" s="456"/>
      <c r="R108" s="487"/>
      <c r="S108" s="487"/>
      <c r="T108" s="487"/>
      <c r="U108" s="456"/>
      <c r="V108" s="488"/>
      <c r="W108" s="456"/>
      <c r="X108" s="456"/>
      <c r="Y108" s="456"/>
    </row>
    <row r="109" spans="1:25" s="7" customFormat="1">
      <c r="A109" s="458" t="s">
        <v>763</v>
      </c>
      <c r="B109" s="483" t="s">
        <v>187</v>
      </c>
      <c r="C109" s="483"/>
      <c r="D109" s="456"/>
      <c r="E109" s="456"/>
      <c r="F109" s="456" t="s">
        <v>804</v>
      </c>
      <c r="G109" s="456"/>
      <c r="H109" s="456"/>
      <c r="I109" s="456"/>
      <c r="J109" s="485">
        <f>SUM(J63:J108)</f>
        <v>33283079.530000005</v>
      </c>
      <c r="K109" s="456"/>
      <c r="L109" s="485">
        <f>SUM(L63:L108)</f>
        <v>0</v>
      </c>
      <c r="M109" s="456"/>
      <c r="N109" s="486">
        <f>SUM(N63:N108)</f>
        <v>0</v>
      </c>
      <c r="O109" s="456"/>
      <c r="P109" s="485">
        <f>J109+L109+N109</f>
        <v>33283079.530000005</v>
      </c>
      <c r="Q109" s="456"/>
      <c r="R109" s="485">
        <f>SUM(R63:R108)</f>
        <v>32855483.289999999</v>
      </c>
      <c r="S109" s="485">
        <f>SUM(S63:S108)</f>
        <v>33406991.360000007</v>
      </c>
      <c r="T109" s="485">
        <f>SUM(T63:T108)</f>
        <v>33283079.530000005</v>
      </c>
      <c r="U109" s="456"/>
      <c r="V109" s="486">
        <f>SUM(V63:V108)</f>
        <v>-123911.82999999938</v>
      </c>
      <c r="W109" s="456"/>
      <c r="X109" s="456"/>
      <c r="Y109" s="456"/>
    </row>
    <row r="110" spans="1:25" s="7" customFormat="1" outlineLevel="1">
      <c r="A110" s="456"/>
      <c r="B110" s="457" t="s">
        <v>805</v>
      </c>
      <c r="C110" s="458"/>
      <c r="D110" s="459"/>
      <c r="E110" s="459"/>
      <c r="F110" s="460"/>
      <c r="G110" s="460"/>
      <c r="H110" s="456"/>
      <c r="I110" s="456"/>
      <c r="J110" s="461"/>
      <c r="K110" s="456"/>
      <c r="L110" s="461"/>
      <c r="M110" s="456"/>
      <c r="N110" s="462"/>
      <c r="O110" s="456"/>
      <c r="P110" s="461">
        <f>J110+L110+N110</f>
        <v>0</v>
      </c>
      <c r="Q110" s="456"/>
      <c r="R110" s="461"/>
      <c r="S110" s="461"/>
      <c r="T110" s="461">
        <f>P110</f>
        <v>0</v>
      </c>
      <c r="U110" s="456"/>
      <c r="V110" s="462">
        <f>T110-S110</f>
        <v>0</v>
      </c>
      <c r="W110" s="456"/>
      <c r="X110" s="456"/>
    </row>
    <row r="111" spans="1:25" s="7" customFormat="1" ht="5.0999999999999996" customHeight="1" outlineLevel="1">
      <c r="A111" s="483" t="s">
        <v>187</v>
      </c>
      <c r="B111" s="483" t="s">
        <v>187</v>
      </c>
      <c r="C111" s="483"/>
      <c r="D111" s="460"/>
      <c r="E111" s="460"/>
      <c r="F111" s="460"/>
      <c r="G111" s="460"/>
      <c r="H111" s="456"/>
      <c r="I111" s="456"/>
      <c r="J111" s="487"/>
      <c r="K111" s="456"/>
      <c r="L111" s="487"/>
      <c r="M111" s="456"/>
      <c r="N111" s="488"/>
      <c r="O111" s="456"/>
      <c r="P111" s="487"/>
      <c r="Q111" s="456"/>
      <c r="R111" s="487"/>
      <c r="S111" s="487"/>
      <c r="T111" s="487"/>
      <c r="U111" s="456"/>
      <c r="V111" s="488"/>
      <c r="W111" s="456"/>
      <c r="X111" s="456"/>
      <c r="Y111" s="456"/>
    </row>
    <row r="112" spans="1:25" s="7" customFormat="1">
      <c r="A112" s="458" t="s">
        <v>805</v>
      </c>
      <c r="B112" s="483" t="s">
        <v>187</v>
      </c>
      <c r="C112" s="483"/>
      <c r="D112" s="456"/>
      <c r="E112" s="456"/>
      <c r="F112" s="459" t="s">
        <v>806</v>
      </c>
      <c r="G112" s="456"/>
      <c r="H112" s="456"/>
      <c r="I112" s="456"/>
      <c r="J112" s="485">
        <f>SUM(J110:J111)</f>
        <v>0</v>
      </c>
      <c r="K112" s="456"/>
      <c r="L112" s="485">
        <f>SUM(L110:L111)</f>
        <v>0</v>
      </c>
      <c r="M112" s="456"/>
      <c r="N112" s="486">
        <f>SUM(N110:N111)</f>
        <v>0</v>
      </c>
      <c r="O112" s="456"/>
      <c r="P112" s="485">
        <f>J112+L112+N112</f>
        <v>0</v>
      </c>
      <c r="Q112" s="456"/>
      <c r="R112" s="485">
        <f>SUM(R110:R111)</f>
        <v>0</v>
      </c>
      <c r="S112" s="485">
        <f>SUM(S110:S111)</f>
        <v>0</v>
      </c>
      <c r="T112" s="485">
        <f>SUM(T110:T111)</f>
        <v>0</v>
      </c>
      <c r="U112" s="456"/>
      <c r="V112" s="486">
        <f>SUM(V110:V111)</f>
        <v>0</v>
      </c>
      <c r="W112" s="456"/>
      <c r="X112" s="456"/>
      <c r="Y112" s="456"/>
    </row>
    <row r="113" spans="1:25" s="7" customFormat="1" outlineLevel="1">
      <c r="A113" s="456"/>
      <c r="B113" s="457" t="s">
        <v>807</v>
      </c>
      <c r="C113" s="458"/>
      <c r="D113" s="459"/>
      <c r="E113" s="459"/>
      <c r="F113" s="460"/>
      <c r="G113" s="460"/>
      <c r="H113" s="456"/>
      <c r="I113" s="456"/>
      <c r="J113" s="461"/>
      <c r="K113" s="456"/>
      <c r="L113" s="461"/>
      <c r="M113" s="456"/>
      <c r="N113" s="462"/>
      <c r="O113" s="456"/>
      <c r="P113" s="461">
        <f>J113+L113+N113</f>
        <v>0</v>
      </c>
      <c r="Q113" s="456"/>
      <c r="R113" s="461"/>
      <c r="S113" s="461"/>
      <c r="T113" s="461">
        <f>P113</f>
        <v>0</v>
      </c>
      <c r="U113" s="456"/>
      <c r="V113" s="462">
        <f>T113-S113</f>
        <v>0</v>
      </c>
      <c r="W113" s="456"/>
      <c r="X113" s="456"/>
    </row>
    <row r="114" spans="1:25" s="7" customFormat="1" ht="4.5" customHeight="1" outlineLevel="1">
      <c r="A114" s="483" t="s">
        <v>187</v>
      </c>
      <c r="B114" s="456" t="s">
        <v>187</v>
      </c>
      <c r="C114" s="495"/>
      <c r="D114" s="494"/>
      <c r="E114" s="456"/>
      <c r="F114" s="456"/>
      <c r="G114" s="456"/>
      <c r="H114" s="456"/>
      <c r="I114" s="456"/>
      <c r="J114" s="487"/>
      <c r="K114" s="456"/>
      <c r="L114" s="487"/>
      <c r="M114" s="456"/>
      <c r="N114" s="488"/>
      <c r="O114" s="456"/>
      <c r="P114" s="487"/>
      <c r="Q114" s="456"/>
      <c r="R114" s="487"/>
      <c r="S114" s="487"/>
      <c r="T114" s="487"/>
      <c r="U114" s="456"/>
      <c r="V114" s="488"/>
      <c r="W114" s="456"/>
      <c r="X114" s="456"/>
      <c r="Y114" s="456"/>
    </row>
    <row r="115" spans="1:25" s="7" customFormat="1">
      <c r="A115" s="458" t="s">
        <v>807</v>
      </c>
      <c r="B115" s="483" t="s">
        <v>187</v>
      </c>
      <c r="C115" s="483"/>
      <c r="D115" s="456"/>
      <c r="E115" s="456"/>
      <c r="F115" s="456" t="s">
        <v>810</v>
      </c>
      <c r="G115" s="456"/>
      <c r="H115" s="456"/>
      <c r="I115" s="456"/>
      <c r="J115" s="485">
        <f>SUM(J113:J114)</f>
        <v>0</v>
      </c>
      <c r="K115" s="456"/>
      <c r="L115" s="485">
        <f>SUM(L113:L114)</f>
        <v>0</v>
      </c>
      <c r="M115" s="456"/>
      <c r="N115" s="486">
        <f>SUM(N113:N114)</f>
        <v>0</v>
      </c>
      <c r="O115" s="456"/>
      <c r="P115" s="485">
        <f>J115+L115+N115</f>
        <v>0</v>
      </c>
      <c r="Q115" s="456"/>
      <c r="R115" s="485">
        <f>SUM(R113:R114)</f>
        <v>0</v>
      </c>
      <c r="S115" s="485">
        <f>SUM(S113:S114)</f>
        <v>0</v>
      </c>
      <c r="T115" s="485">
        <f>SUM(T113:T114)</f>
        <v>0</v>
      </c>
      <c r="U115" s="456"/>
      <c r="V115" s="486">
        <f>SUM(V113:V114)</f>
        <v>0</v>
      </c>
      <c r="W115" s="456"/>
      <c r="X115" s="456"/>
      <c r="Y115" s="456"/>
    </row>
    <row r="116" spans="1:25" s="7" customFormat="1" outlineLevel="1">
      <c r="A116" s="456"/>
      <c r="B116" s="457" t="s">
        <v>811</v>
      </c>
      <c r="C116" s="458"/>
      <c r="D116" s="459">
        <v>15111</v>
      </c>
      <c r="E116" s="459" t="s">
        <v>812</v>
      </c>
      <c r="F116" s="460"/>
      <c r="G116" s="460"/>
      <c r="H116" s="456"/>
      <c r="I116" s="456"/>
      <c r="J116" s="461">
        <v>4740844.1100000003</v>
      </c>
      <c r="K116" s="456"/>
      <c r="L116" s="461">
        <v>0</v>
      </c>
      <c r="M116" s="456"/>
      <c r="N116" s="462">
        <v>0</v>
      </c>
      <c r="O116" s="456"/>
      <c r="P116" s="461">
        <f>J116+L116+N116</f>
        <v>4740844.1100000003</v>
      </c>
      <c r="Q116" s="456"/>
      <c r="R116" s="461">
        <v>4740844.1100000003</v>
      </c>
      <c r="S116" s="461">
        <v>4740844.1100000003</v>
      </c>
      <c r="T116" s="461">
        <f t="shared" ref="T116:T117" si="15">P116</f>
        <v>4740844.1100000003</v>
      </c>
      <c r="U116" s="456"/>
      <c r="V116" s="462">
        <f t="shared" ref="V116:V117" si="16">T116-S116</f>
        <v>0</v>
      </c>
      <c r="W116" s="456"/>
      <c r="X116" s="456"/>
    </row>
    <row r="117" spans="1:25" s="7" customFormat="1" outlineLevel="1">
      <c r="A117" s="456"/>
      <c r="B117" s="457" t="s">
        <v>380</v>
      </c>
      <c r="C117" s="458"/>
      <c r="D117" s="459">
        <v>15112</v>
      </c>
      <c r="E117" s="459" t="s">
        <v>813</v>
      </c>
      <c r="F117" s="460"/>
      <c r="G117" s="460"/>
      <c r="H117" s="456"/>
      <c r="I117" s="456"/>
      <c r="J117" s="461">
        <v>1374455.2</v>
      </c>
      <c r="K117" s="456"/>
      <c r="L117" s="461">
        <v>0</v>
      </c>
      <c r="M117" s="456"/>
      <c r="N117" s="462">
        <v>0</v>
      </c>
      <c r="O117" s="456"/>
      <c r="P117" s="461">
        <f>J117+L117+N117</f>
        <v>1374455.2</v>
      </c>
      <c r="Q117" s="456"/>
      <c r="R117" s="461">
        <v>1374455.2</v>
      </c>
      <c r="S117" s="461">
        <v>1374455.2</v>
      </c>
      <c r="T117" s="461">
        <f t="shared" si="15"/>
        <v>1374455.2</v>
      </c>
      <c r="U117" s="456"/>
      <c r="V117" s="462">
        <f t="shared" si="16"/>
        <v>0</v>
      </c>
      <c r="W117" s="456"/>
      <c r="X117" s="456"/>
    </row>
    <row r="118" spans="1:25" s="7" customFormat="1" ht="4.5" customHeight="1" outlineLevel="1">
      <c r="A118" s="483" t="s">
        <v>187</v>
      </c>
      <c r="B118" s="456" t="s">
        <v>187</v>
      </c>
      <c r="C118" s="495"/>
      <c r="D118" s="494"/>
      <c r="E118" s="456"/>
      <c r="F118" s="456"/>
      <c r="G118" s="456"/>
      <c r="H118" s="456"/>
      <c r="I118" s="456"/>
      <c r="J118" s="487"/>
      <c r="K118" s="456"/>
      <c r="L118" s="487"/>
      <c r="M118" s="456"/>
      <c r="N118" s="488"/>
      <c r="O118" s="456"/>
      <c r="P118" s="487"/>
      <c r="Q118" s="456"/>
      <c r="R118" s="487"/>
      <c r="S118" s="487"/>
      <c r="T118" s="487"/>
      <c r="U118" s="456"/>
      <c r="V118" s="488"/>
      <c r="W118" s="456"/>
      <c r="X118" s="456"/>
      <c r="Y118" s="456"/>
    </row>
    <row r="119" spans="1:25" s="7" customFormat="1">
      <c r="A119" s="458" t="s">
        <v>811</v>
      </c>
      <c r="B119" s="483" t="s">
        <v>187</v>
      </c>
      <c r="C119" s="483"/>
      <c r="D119" s="456"/>
      <c r="E119" s="456"/>
      <c r="F119" s="456" t="s">
        <v>814</v>
      </c>
      <c r="G119" s="456"/>
      <c r="H119" s="456"/>
      <c r="I119" s="456"/>
      <c r="J119" s="485">
        <f>SUM(J116:J118)</f>
        <v>6115299.3100000005</v>
      </c>
      <c r="K119" s="456"/>
      <c r="L119" s="485">
        <f>SUM(L116:L118)</f>
        <v>0</v>
      </c>
      <c r="M119" s="456"/>
      <c r="N119" s="486">
        <f>SUM(N116:N118)</f>
        <v>0</v>
      </c>
      <c r="O119" s="456"/>
      <c r="P119" s="485">
        <f t="shared" ref="P119" si="17">J119+L119+N119</f>
        <v>6115299.3100000005</v>
      </c>
      <c r="Q119" s="456"/>
      <c r="R119" s="485">
        <f>SUM(R116:R118)</f>
        <v>6115299.3100000005</v>
      </c>
      <c r="S119" s="485">
        <f>SUM(S116:S118)</f>
        <v>6115299.3100000005</v>
      </c>
      <c r="T119" s="485">
        <f>SUM(T116:T118)</f>
        <v>6115299.3100000005</v>
      </c>
      <c r="U119" s="456"/>
      <c r="V119" s="486">
        <f>SUM(V116:V118)</f>
        <v>0</v>
      </c>
      <c r="W119" s="456"/>
      <c r="X119" s="456"/>
      <c r="Y119" s="456"/>
    </row>
    <row r="120" spans="1:25" s="7" customFormat="1" outlineLevel="1">
      <c r="A120" s="456"/>
      <c r="B120" s="457" t="s">
        <v>815</v>
      </c>
      <c r="C120" s="458"/>
      <c r="D120" s="459">
        <v>15251</v>
      </c>
      <c r="E120" s="459" t="s">
        <v>816</v>
      </c>
      <c r="F120" s="460"/>
      <c r="G120" s="460"/>
      <c r="H120" s="456"/>
      <c r="I120" s="456"/>
      <c r="J120" s="461">
        <v>0.01</v>
      </c>
      <c r="K120" s="456"/>
      <c r="L120" s="461">
        <v>0</v>
      </c>
      <c r="M120" s="456"/>
      <c r="N120" s="462">
        <v>0</v>
      </c>
      <c r="O120" s="456"/>
      <c r="P120" s="461">
        <f>J120+L120+N120</f>
        <v>0.01</v>
      </c>
      <c r="Q120" s="456"/>
      <c r="R120" s="461">
        <v>0.01</v>
      </c>
      <c r="S120" s="461">
        <v>0.01</v>
      </c>
      <c r="T120" s="461">
        <f t="shared" ref="T120:T124" si="18">P120</f>
        <v>0.01</v>
      </c>
      <c r="U120" s="456"/>
      <c r="V120" s="462">
        <f t="shared" ref="V120:V124" si="19">T120-S120</f>
        <v>0</v>
      </c>
      <c r="W120" s="456"/>
      <c r="X120" s="456"/>
    </row>
    <row r="121" spans="1:25" s="7" customFormat="1" outlineLevel="1">
      <c r="A121" s="456"/>
      <c r="B121" s="457" t="s">
        <v>380</v>
      </c>
      <c r="C121" s="458"/>
      <c r="D121" s="459">
        <v>15252</v>
      </c>
      <c r="E121" s="459" t="s">
        <v>817</v>
      </c>
      <c r="F121" s="460"/>
      <c r="G121" s="460"/>
      <c r="H121" s="456"/>
      <c r="I121" s="456"/>
      <c r="J121" s="461">
        <v>19803605.969999999</v>
      </c>
      <c r="K121" s="456"/>
      <c r="L121" s="461">
        <v>0</v>
      </c>
      <c r="M121" s="456"/>
      <c r="N121" s="462">
        <v>0</v>
      </c>
      <c r="O121" s="456"/>
      <c r="P121" s="461">
        <f>J121+L121+N121</f>
        <v>19803605.969999999</v>
      </c>
      <c r="Q121" s="456"/>
      <c r="R121" s="461">
        <v>19803605.969999999</v>
      </c>
      <c r="S121" s="461">
        <v>19803605.969999999</v>
      </c>
      <c r="T121" s="461">
        <f t="shared" si="18"/>
        <v>19803605.969999999</v>
      </c>
      <c r="U121" s="456"/>
      <c r="V121" s="462">
        <f t="shared" si="19"/>
        <v>0</v>
      </c>
      <c r="W121" s="456"/>
      <c r="X121" s="456"/>
    </row>
    <row r="122" spans="1:25" s="7" customFormat="1" outlineLevel="1">
      <c r="A122" s="456"/>
      <c r="B122" s="457" t="s">
        <v>380</v>
      </c>
      <c r="C122" s="458"/>
      <c r="D122" s="459">
        <v>15256</v>
      </c>
      <c r="E122" s="459" t="s">
        <v>818</v>
      </c>
      <c r="F122" s="460"/>
      <c r="G122" s="460"/>
      <c r="H122" s="456"/>
      <c r="I122" s="456"/>
      <c r="J122" s="461">
        <v>-4259053.25</v>
      </c>
      <c r="K122" s="456"/>
      <c r="L122" s="461">
        <v>0</v>
      </c>
      <c r="M122" s="456"/>
      <c r="N122" s="462">
        <v>0</v>
      </c>
      <c r="O122" s="456"/>
      <c r="P122" s="461">
        <f>J122+L122+N122</f>
        <v>-4259053.25</v>
      </c>
      <c r="Q122" s="456"/>
      <c r="R122" s="461">
        <v>-4156620.17</v>
      </c>
      <c r="S122" s="461">
        <v>-4207836.72</v>
      </c>
      <c r="T122" s="461">
        <f t="shared" si="18"/>
        <v>-4259053.25</v>
      </c>
      <c r="U122" s="456"/>
      <c r="V122" s="462">
        <f t="shared" si="19"/>
        <v>-51216.530000000261</v>
      </c>
      <c r="W122" s="456"/>
      <c r="X122" s="456"/>
    </row>
    <row r="123" spans="1:25" s="7" customFormat="1" outlineLevel="1">
      <c r="A123" s="456"/>
      <c r="B123" s="457" t="s">
        <v>380</v>
      </c>
      <c r="C123" s="458"/>
      <c r="D123" s="459">
        <v>15257</v>
      </c>
      <c r="E123" s="459" t="s">
        <v>819</v>
      </c>
      <c r="F123" s="460"/>
      <c r="G123" s="460"/>
      <c r="H123" s="456"/>
      <c r="I123" s="456"/>
      <c r="J123" s="461">
        <v>-2107567.66</v>
      </c>
      <c r="K123" s="456"/>
      <c r="L123" s="461">
        <v>0</v>
      </c>
      <c r="M123" s="456"/>
      <c r="N123" s="462">
        <v>0</v>
      </c>
      <c r="O123" s="456"/>
      <c r="P123" s="461">
        <f>J123+L123+N123</f>
        <v>-2107567.66</v>
      </c>
      <c r="Q123" s="456"/>
      <c r="R123" s="461">
        <v>-2107567.66</v>
      </c>
      <c r="S123" s="461">
        <v>-2107567.66</v>
      </c>
      <c r="T123" s="461">
        <f t="shared" si="18"/>
        <v>-2107567.66</v>
      </c>
      <c r="U123" s="456"/>
      <c r="V123" s="462">
        <f t="shared" si="19"/>
        <v>0</v>
      </c>
      <c r="W123" s="456"/>
      <c r="X123" s="456"/>
    </row>
    <row r="124" spans="1:25" s="7" customFormat="1" outlineLevel="1">
      <c r="A124" s="456"/>
      <c r="B124" s="457" t="s">
        <v>380</v>
      </c>
      <c r="C124" s="458"/>
      <c r="D124" s="459">
        <v>15261</v>
      </c>
      <c r="E124" s="459" t="s">
        <v>820</v>
      </c>
      <c r="F124" s="460"/>
      <c r="G124" s="460"/>
      <c r="H124" s="456"/>
      <c r="I124" s="456"/>
      <c r="J124" s="461">
        <v>23804343</v>
      </c>
      <c r="K124" s="456"/>
      <c r="L124" s="461">
        <v>0</v>
      </c>
      <c r="M124" s="456"/>
      <c r="N124" s="462">
        <v>0</v>
      </c>
      <c r="O124" s="456"/>
      <c r="P124" s="461">
        <f>J124+L124+N124</f>
        <v>23804343</v>
      </c>
      <c r="Q124" s="456"/>
      <c r="R124" s="461">
        <v>23804343</v>
      </c>
      <c r="S124" s="461">
        <v>23804343</v>
      </c>
      <c r="T124" s="461">
        <f t="shared" si="18"/>
        <v>23804343</v>
      </c>
      <c r="U124" s="456"/>
      <c r="V124" s="462">
        <f t="shared" si="19"/>
        <v>0</v>
      </c>
      <c r="W124" s="456"/>
      <c r="X124" s="456"/>
    </row>
    <row r="125" spans="1:25" s="7" customFormat="1" ht="5.0999999999999996" customHeight="1" outlineLevel="1">
      <c r="A125" s="483" t="s">
        <v>187</v>
      </c>
      <c r="B125" s="458" t="s">
        <v>187</v>
      </c>
      <c r="C125" s="458"/>
      <c r="D125" s="460"/>
      <c r="E125" s="460"/>
      <c r="F125" s="460"/>
      <c r="G125" s="460"/>
      <c r="H125" s="456"/>
      <c r="I125" s="456"/>
      <c r="J125" s="487"/>
      <c r="K125" s="456"/>
      <c r="L125" s="487"/>
      <c r="M125" s="456"/>
      <c r="N125" s="488"/>
      <c r="O125" s="456"/>
      <c r="P125" s="487"/>
      <c r="Q125" s="456"/>
      <c r="R125" s="487"/>
      <c r="S125" s="487"/>
      <c r="T125" s="487"/>
      <c r="U125" s="456"/>
      <c r="V125" s="488"/>
      <c r="W125" s="456"/>
      <c r="X125" s="456"/>
      <c r="Y125" s="456"/>
    </row>
    <row r="126" spans="1:25" s="7" customFormat="1">
      <c r="A126" s="458" t="s">
        <v>815</v>
      </c>
      <c r="B126" s="483" t="s">
        <v>187</v>
      </c>
      <c r="C126" s="483"/>
      <c r="D126" s="456"/>
      <c r="E126" s="456"/>
      <c r="F126" s="459" t="s">
        <v>821</v>
      </c>
      <c r="G126" s="496"/>
      <c r="H126" s="496"/>
      <c r="I126" s="496"/>
      <c r="J126" s="485">
        <f>SUM(J120:J125)</f>
        <v>37241328.07</v>
      </c>
      <c r="K126" s="456"/>
      <c r="L126" s="485">
        <f>SUM(L120:L125)</f>
        <v>0</v>
      </c>
      <c r="M126" s="456"/>
      <c r="N126" s="486">
        <f>SUM(N120:N125)</f>
        <v>0</v>
      </c>
      <c r="O126" s="456"/>
      <c r="P126" s="485">
        <f>J126+L126+N126</f>
        <v>37241328.07</v>
      </c>
      <c r="Q126" s="456"/>
      <c r="R126" s="485">
        <f>SUM(R120:R125)</f>
        <v>37343761.149999999</v>
      </c>
      <c r="S126" s="485">
        <f>SUM(S120:S125)</f>
        <v>37292544.600000001</v>
      </c>
      <c r="T126" s="485">
        <f>SUM(T120:T125)</f>
        <v>37241328.07</v>
      </c>
      <c r="U126" s="456"/>
      <c r="V126" s="486">
        <f>SUM(V120:V125)</f>
        <v>-51216.530000000261</v>
      </c>
      <c r="W126" s="456"/>
      <c r="X126" s="456"/>
      <c r="Y126" s="456"/>
    </row>
    <row r="127" spans="1:25" s="7" customFormat="1" outlineLevel="1">
      <c r="A127" s="456"/>
      <c r="B127" s="457" t="s">
        <v>822</v>
      </c>
      <c r="C127" s="458"/>
      <c r="D127" s="459">
        <v>16100</v>
      </c>
      <c r="E127" s="459" t="s">
        <v>823</v>
      </c>
      <c r="F127" s="460"/>
      <c r="G127" s="460"/>
      <c r="H127" s="456"/>
      <c r="I127" s="456"/>
      <c r="J127" s="461">
        <v>2509.63</v>
      </c>
      <c r="K127" s="456"/>
      <c r="L127" s="461">
        <v>0</v>
      </c>
      <c r="M127" s="456"/>
      <c r="N127" s="462">
        <v>0</v>
      </c>
      <c r="O127" s="456"/>
      <c r="P127" s="461">
        <f>J127+L127+N127</f>
        <v>2509.63</v>
      </c>
      <c r="Q127" s="456"/>
      <c r="R127" s="461">
        <v>2509.63</v>
      </c>
      <c r="S127" s="461">
        <v>2509.63</v>
      </c>
      <c r="T127" s="461">
        <f>P127</f>
        <v>2509.63</v>
      </c>
      <c r="U127" s="456"/>
      <c r="V127" s="462">
        <f>T127-S127</f>
        <v>0</v>
      </c>
      <c r="W127" s="456"/>
      <c r="X127" s="456"/>
    </row>
    <row r="128" spans="1:25" s="7" customFormat="1" ht="5.0999999999999996" customHeight="1" outlineLevel="1">
      <c r="A128" s="483" t="s">
        <v>187</v>
      </c>
      <c r="B128" s="458" t="s">
        <v>187</v>
      </c>
      <c r="C128" s="458"/>
      <c r="D128" s="460"/>
      <c r="E128" s="460"/>
      <c r="F128" s="460"/>
      <c r="G128" s="460"/>
      <c r="H128" s="456"/>
      <c r="I128" s="456"/>
      <c r="J128" s="487"/>
      <c r="K128" s="456"/>
      <c r="L128" s="487"/>
      <c r="M128" s="456"/>
      <c r="N128" s="488"/>
      <c r="O128" s="456"/>
      <c r="P128" s="487"/>
      <c r="Q128" s="456"/>
      <c r="R128" s="487"/>
      <c r="S128" s="487"/>
      <c r="T128" s="487"/>
      <c r="U128" s="456"/>
      <c r="V128" s="488"/>
      <c r="W128" s="456"/>
      <c r="X128" s="456"/>
      <c r="Y128" s="456"/>
    </row>
    <row r="129" spans="1:25" s="7" customFormat="1">
      <c r="A129" s="458" t="s">
        <v>822</v>
      </c>
      <c r="B129" s="458" t="s">
        <v>187</v>
      </c>
      <c r="C129" s="458"/>
      <c r="D129" s="456"/>
      <c r="E129" s="456"/>
      <c r="F129" s="459" t="s">
        <v>823</v>
      </c>
      <c r="G129" s="496"/>
      <c r="H129" s="496"/>
      <c r="I129" s="496"/>
      <c r="J129" s="485">
        <f>SUM(J127:J128)</f>
        <v>2509.63</v>
      </c>
      <c r="K129" s="456"/>
      <c r="L129" s="485">
        <f>SUM(L127:L128)</f>
        <v>0</v>
      </c>
      <c r="M129" s="456"/>
      <c r="N129" s="486">
        <f>SUM(N127:N128)</f>
        <v>0</v>
      </c>
      <c r="O129" s="456"/>
      <c r="P129" s="485">
        <f>J129+L129+N129</f>
        <v>2509.63</v>
      </c>
      <c r="Q129" s="456"/>
      <c r="R129" s="485">
        <f>SUM(R127:R128)</f>
        <v>2509.63</v>
      </c>
      <c r="S129" s="485">
        <f>SUM(S127:S128)</f>
        <v>2509.63</v>
      </c>
      <c r="T129" s="485">
        <f>SUM(T127:T128)</f>
        <v>2509.63</v>
      </c>
      <c r="U129" s="456"/>
      <c r="V129" s="486">
        <f>SUM(V127:V128)</f>
        <v>0</v>
      </c>
      <c r="W129" s="456"/>
      <c r="X129" s="456"/>
      <c r="Y129" s="456"/>
    </row>
    <row r="130" spans="1:25" s="7" customFormat="1" outlineLevel="1">
      <c r="A130" s="456"/>
      <c r="B130" s="457" t="s">
        <v>824</v>
      </c>
      <c r="C130" s="458"/>
      <c r="D130" s="459"/>
      <c r="E130" s="459"/>
      <c r="F130" s="460"/>
      <c r="G130" s="460"/>
      <c r="H130" s="456"/>
      <c r="I130" s="456"/>
      <c r="J130" s="461"/>
      <c r="K130" s="456"/>
      <c r="L130" s="461"/>
      <c r="M130" s="456"/>
      <c r="N130" s="462"/>
      <c r="O130" s="456"/>
      <c r="P130" s="461">
        <f>J130+L130+N130</f>
        <v>0</v>
      </c>
      <c r="Q130" s="456"/>
      <c r="R130" s="461"/>
      <c r="S130" s="461"/>
      <c r="T130" s="461">
        <f>P130</f>
        <v>0</v>
      </c>
      <c r="U130" s="456"/>
      <c r="V130" s="462">
        <f>T130-S130</f>
        <v>0</v>
      </c>
      <c r="W130" s="456"/>
      <c r="X130" s="456"/>
    </row>
    <row r="131" spans="1:25" s="7" customFormat="1" ht="4.5" customHeight="1" outlineLevel="1">
      <c r="A131" s="458" t="s">
        <v>187</v>
      </c>
      <c r="B131" s="456" t="s">
        <v>187</v>
      </c>
      <c r="C131" s="495"/>
      <c r="D131" s="494"/>
      <c r="E131" s="456"/>
      <c r="F131" s="456"/>
      <c r="G131" s="456"/>
      <c r="H131" s="456"/>
      <c r="I131" s="456"/>
      <c r="J131" s="487"/>
      <c r="K131" s="456"/>
      <c r="L131" s="487"/>
      <c r="M131" s="456"/>
      <c r="N131" s="488"/>
      <c r="O131" s="456"/>
      <c r="P131" s="487"/>
      <c r="Q131" s="456"/>
      <c r="R131" s="487"/>
      <c r="S131" s="487"/>
      <c r="T131" s="487"/>
      <c r="U131" s="456"/>
      <c r="V131" s="488"/>
      <c r="W131" s="456"/>
      <c r="X131" s="456"/>
      <c r="Y131" s="456"/>
    </row>
    <row r="132" spans="1:25" s="7" customFormat="1">
      <c r="A132" s="458" t="s">
        <v>824</v>
      </c>
      <c r="B132" s="483" t="s">
        <v>187</v>
      </c>
      <c r="C132" s="483"/>
      <c r="D132" s="456"/>
      <c r="E132" s="456"/>
      <c r="F132" s="456" t="s">
        <v>825</v>
      </c>
      <c r="G132" s="456"/>
      <c r="H132" s="456"/>
      <c r="I132" s="456"/>
      <c r="J132" s="485">
        <f>SUM(J130:J131)</f>
        <v>0</v>
      </c>
      <c r="K132" s="456"/>
      <c r="L132" s="485">
        <f>SUM(L130:L131)</f>
        <v>0</v>
      </c>
      <c r="M132" s="456"/>
      <c r="N132" s="486">
        <f>SUM(N130:N131)</f>
        <v>0</v>
      </c>
      <c r="O132" s="456"/>
      <c r="P132" s="485">
        <f>J132+L132+N132</f>
        <v>0</v>
      </c>
      <c r="Q132" s="456"/>
      <c r="R132" s="485">
        <f>SUM(R130:R131)</f>
        <v>0</v>
      </c>
      <c r="S132" s="485">
        <f>SUM(S130:S131)</f>
        <v>0</v>
      </c>
      <c r="T132" s="485">
        <f>SUM(T130:T131)</f>
        <v>0</v>
      </c>
      <c r="U132" s="456"/>
      <c r="V132" s="486">
        <f>SUM(V130:V131)</f>
        <v>0</v>
      </c>
      <c r="W132" s="456"/>
      <c r="X132" s="456"/>
      <c r="Y132" s="456"/>
    </row>
    <row r="133" spans="1:25" s="7" customFormat="1" outlineLevel="1">
      <c r="A133" s="456"/>
      <c r="B133" s="457" t="s">
        <v>826</v>
      </c>
      <c r="C133" s="458"/>
      <c r="D133" s="459"/>
      <c r="E133" s="459"/>
      <c r="F133" s="460"/>
      <c r="G133" s="460"/>
      <c r="H133" s="456"/>
      <c r="I133" s="456"/>
      <c r="J133" s="461"/>
      <c r="K133" s="456"/>
      <c r="L133" s="461"/>
      <c r="M133" s="456"/>
      <c r="N133" s="462"/>
      <c r="O133" s="456"/>
      <c r="P133" s="461">
        <f>J133+L133+N133</f>
        <v>0</v>
      </c>
      <c r="Q133" s="456"/>
      <c r="R133" s="461"/>
      <c r="S133" s="461"/>
      <c r="T133" s="461">
        <f>P133</f>
        <v>0</v>
      </c>
      <c r="U133" s="456"/>
      <c r="V133" s="462">
        <f>T133-S133</f>
        <v>0</v>
      </c>
      <c r="W133" s="456"/>
      <c r="X133" s="456"/>
    </row>
    <row r="134" spans="1:25" s="7" customFormat="1" ht="4.5" customHeight="1" outlineLevel="1">
      <c r="A134" s="458" t="s">
        <v>187</v>
      </c>
      <c r="B134" s="456" t="s">
        <v>187</v>
      </c>
      <c r="C134" s="495"/>
      <c r="D134" s="494"/>
      <c r="E134" s="456"/>
      <c r="F134" s="456"/>
      <c r="G134" s="456"/>
      <c r="H134" s="456"/>
      <c r="I134" s="456"/>
      <c r="J134" s="487"/>
      <c r="K134" s="456"/>
      <c r="L134" s="487"/>
      <c r="M134" s="456"/>
      <c r="N134" s="488"/>
      <c r="O134" s="456"/>
      <c r="P134" s="487"/>
      <c r="Q134" s="456"/>
      <c r="R134" s="487"/>
      <c r="S134" s="487"/>
      <c r="T134" s="487"/>
      <c r="U134" s="456"/>
      <c r="V134" s="488"/>
      <c r="W134" s="456"/>
      <c r="X134" s="456"/>
      <c r="Y134" s="456"/>
    </row>
    <row r="135" spans="1:25" s="7" customFormat="1">
      <c r="A135" s="458" t="s">
        <v>826</v>
      </c>
      <c r="B135" s="483" t="s">
        <v>187</v>
      </c>
      <c r="C135" s="483"/>
      <c r="D135" s="456"/>
      <c r="E135" s="456"/>
      <c r="F135" s="456" t="s">
        <v>827</v>
      </c>
      <c r="G135" s="456"/>
      <c r="H135" s="456"/>
      <c r="I135" s="456"/>
      <c r="J135" s="485">
        <f>SUM(J133:J134)</f>
        <v>0</v>
      </c>
      <c r="K135" s="456"/>
      <c r="L135" s="485">
        <f>SUM(L133:L134)</f>
        <v>0</v>
      </c>
      <c r="M135" s="456"/>
      <c r="N135" s="486">
        <f>SUM(N133:N134)</f>
        <v>0</v>
      </c>
      <c r="O135" s="456"/>
      <c r="P135" s="485">
        <f>J135+L135+N135</f>
        <v>0</v>
      </c>
      <c r="Q135" s="456"/>
      <c r="R135" s="485">
        <f>SUM(R133:R134)</f>
        <v>0</v>
      </c>
      <c r="S135" s="485">
        <f>SUM(S133:S134)</f>
        <v>0</v>
      </c>
      <c r="T135" s="485">
        <f>SUM(T133:T134)</f>
        <v>0</v>
      </c>
      <c r="U135" s="456"/>
      <c r="V135" s="486">
        <f>SUM(V133:V134)</f>
        <v>0</v>
      </c>
      <c r="W135" s="456"/>
      <c r="X135" s="456"/>
      <c r="Y135" s="456"/>
    </row>
    <row r="136" spans="1:25" s="7" customFormat="1" outlineLevel="1">
      <c r="A136" s="456"/>
      <c r="B136" s="457" t="s">
        <v>828</v>
      </c>
      <c r="C136" s="458"/>
      <c r="D136" s="459"/>
      <c r="E136" s="459"/>
      <c r="F136" s="460"/>
      <c r="G136" s="460"/>
      <c r="H136" s="456"/>
      <c r="I136" s="456"/>
      <c r="J136" s="461"/>
      <c r="K136" s="456"/>
      <c r="L136" s="461"/>
      <c r="M136" s="456"/>
      <c r="N136" s="462"/>
      <c r="O136" s="456"/>
      <c r="P136" s="461">
        <f>J136+L136+N136</f>
        <v>0</v>
      </c>
      <c r="Q136" s="456"/>
      <c r="R136" s="461"/>
      <c r="S136" s="461"/>
      <c r="T136" s="461">
        <f>P136</f>
        <v>0</v>
      </c>
      <c r="U136" s="456"/>
      <c r="V136" s="462">
        <f>T136-S136</f>
        <v>0</v>
      </c>
      <c r="W136" s="456"/>
      <c r="X136" s="456"/>
    </row>
    <row r="137" spans="1:25" s="7" customFormat="1" ht="5.0999999999999996" customHeight="1" outlineLevel="1">
      <c r="A137" s="483" t="s">
        <v>187</v>
      </c>
      <c r="B137" s="483" t="s">
        <v>187</v>
      </c>
      <c r="C137" s="483"/>
      <c r="D137" s="460"/>
      <c r="E137" s="460"/>
      <c r="F137" s="460"/>
      <c r="G137" s="460"/>
      <c r="H137" s="456"/>
      <c r="I137" s="456"/>
      <c r="J137" s="487"/>
      <c r="K137" s="456"/>
      <c r="L137" s="487"/>
      <c r="M137" s="456"/>
      <c r="N137" s="488"/>
      <c r="O137" s="456"/>
      <c r="P137" s="487"/>
      <c r="Q137" s="456"/>
      <c r="R137" s="487"/>
      <c r="S137" s="487"/>
      <c r="T137" s="487"/>
      <c r="U137" s="456"/>
      <c r="V137" s="488"/>
      <c r="W137" s="456"/>
      <c r="X137" s="456"/>
      <c r="Y137" s="456"/>
    </row>
    <row r="138" spans="1:25" s="7" customFormat="1">
      <c r="A138" s="458" t="s">
        <v>828</v>
      </c>
      <c r="B138" s="483" t="s">
        <v>187</v>
      </c>
      <c r="C138" s="483"/>
      <c r="D138" s="456"/>
      <c r="E138" s="456"/>
      <c r="F138" s="459" t="s">
        <v>829</v>
      </c>
      <c r="G138" s="456"/>
      <c r="H138" s="456"/>
      <c r="I138" s="456"/>
      <c r="J138" s="485">
        <f>SUM(J136:J137)</f>
        <v>0</v>
      </c>
      <c r="K138" s="456"/>
      <c r="L138" s="485">
        <f>SUM(L136:L137)</f>
        <v>0</v>
      </c>
      <c r="M138" s="456"/>
      <c r="N138" s="486">
        <f>SUM(N136:N137)</f>
        <v>0</v>
      </c>
      <c r="O138" s="456"/>
      <c r="P138" s="485">
        <f>J138+L138+N138</f>
        <v>0</v>
      </c>
      <c r="Q138" s="456"/>
      <c r="R138" s="485">
        <f>SUM(R136:R137)</f>
        <v>0</v>
      </c>
      <c r="S138" s="485">
        <f>SUM(S136:S137)</f>
        <v>0</v>
      </c>
      <c r="T138" s="485">
        <f>SUM(T136:T137)</f>
        <v>0</v>
      </c>
      <c r="U138" s="456"/>
      <c r="V138" s="486">
        <f>SUM(V136:V137)</f>
        <v>0</v>
      </c>
      <c r="W138" s="456"/>
      <c r="X138" s="456"/>
      <c r="Y138" s="456"/>
    </row>
    <row r="139" spans="1:25" s="7" customFormat="1" outlineLevel="1">
      <c r="A139" s="456"/>
      <c r="B139" s="457" t="s">
        <v>830</v>
      </c>
      <c r="C139" s="458"/>
      <c r="D139" s="459"/>
      <c r="E139" s="459"/>
      <c r="F139" s="460"/>
      <c r="G139" s="460"/>
      <c r="H139" s="456"/>
      <c r="I139" s="456"/>
      <c r="J139" s="461"/>
      <c r="K139" s="456"/>
      <c r="L139" s="461"/>
      <c r="M139" s="456"/>
      <c r="N139" s="462"/>
      <c r="O139" s="456"/>
      <c r="P139" s="461">
        <f>J139+L139+N139</f>
        <v>0</v>
      </c>
      <c r="Q139" s="456"/>
      <c r="R139" s="461"/>
      <c r="S139" s="461"/>
      <c r="T139" s="461">
        <f>P139</f>
        <v>0</v>
      </c>
      <c r="U139" s="456"/>
      <c r="V139" s="462">
        <f>T139-S139</f>
        <v>0</v>
      </c>
      <c r="W139" s="456"/>
      <c r="X139" s="456"/>
    </row>
    <row r="140" spans="1:25" s="7" customFormat="1" ht="5.0999999999999996" customHeight="1" outlineLevel="1">
      <c r="A140" s="483" t="s">
        <v>187</v>
      </c>
      <c r="B140" s="483" t="s">
        <v>187</v>
      </c>
      <c r="C140" s="483"/>
      <c r="D140" s="460"/>
      <c r="E140" s="460"/>
      <c r="F140" s="460"/>
      <c r="G140" s="460"/>
      <c r="H140" s="456"/>
      <c r="I140" s="456"/>
      <c r="J140" s="487"/>
      <c r="K140" s="456"/>
      <c r="L140" s="487"/>
      <c r="M140" s="456"/>
      <c r="N140" s="488"/>
      <c r="O140" s="456"/>
      <c r="P140" s="487"/>
      <c r="Q140" s="456"/>
      <c r="R140" s="487"/>
      <c r="S140" s="487"/>
      <c r="T140" s="487"/>
      <c r="U140" s="456"/>
      <c r="V140" s="488"/>
      <c r="W140" s="456"/>
      <c r="X140" s="456"/>
      <c r="Y140" s="456"/>
    </row>
    <row r="141" spans="1:25" s="7" customFormat="1">
      <c r="A141" s="458" t="s">
        <v>830</v>
      </c>
      <c r="B141" s="458" t="s">
        <v>187</v>
      </c>
      <c r="C141" s="458"/>
      <c r="D141" s="456"/>
      <c r="E141" s="456"/>
      <c r="F141" s="459" t="s">
        <v>831</v>
      </c>
      <c r="G141" s="456"/>
      <c r="H141" s="456"/>
      <c r="I141" s="456"/>
      <c r="J141" s="485">
        <f>SUM(J139:J140)</f>
        <v>0</v>
      </c>
      <c r="K141" s="456"/>
      <c r="L141" s="485">
        <f>SUM(L139:L140)</f>
        <v>0</v>
      </c>
      <c r="M141" s="456"/>
      <c r="N141" s="486">
        <f>SUM(N139:N140)</f>
        <v>0</v>
      </c>
      <c r="O141" s="456"/>
      <c r="P141" s="485">
        <f>J141+L141+N141</f>
        <v>0</v>
      </c>
      <c r="Q141" s="456"/>
      <c r="R141" s="485">
        <f>SUM(R139:R140)</f>
        <v>0</v>
      </c>
      <c r="S141" s="485">
        <f>SUM(S139:S140)</f>
        <v>0</v>
      </c>
      <c r="T141" s="485">
        <f>SUM(T139:T140)</f>
        <v>0</v>
      </c>
      <c r="U141" s="456"/>
      <c r="V141" s="486">
        <f>SUM(V139:V140)</f>
        <v>0</v>
      </c>
      <c r="W141" s="456"/>
      <c r="X141" s="456"/>
      <c r="Y141" s="456"/>
    </row>
    <row r="142" spans="1:25" s="7" customFormat="1" outlineLevel="1">
      <c r="A142" s="456"/>
      <c r="B142" s="457" t="s">
        <v>832</v>
      </c>
      <c r="C142" s="458"/>
      <c r="D142" s="459">
        <v>17100</v>
      </c>
      <c r="E142" s="459" t="s">
        <v>833</v>
      </c>
      <c r="F142" s="460"/>
      <c r="G142" s="460"/>
      <c r="H142" s="456"/>
      <c r="I142" s="456"/>
      <c r="J142" s="461">
        <v>13376685.74</v>
      </c>
      <c r="K142" s="456"/>
      <c r="L142" s="461">
        <v>0</v>
      </c>
      <c r="M142" s="456"/>
      <c r="N142" s="462">
        <v>0</v>
      </c>
      <c r="O142" s="456"/>
      <c r="P142" s="461">
        <f>J142+L142+N142</f>
        <v>13376685.74</v>
      </c>
      <c r="Q142" s="456"/>
      <c r="R142" s="461">
        <v>12901746.68</v>
      </c>
      <c r="S142" s="461">
        <v>12300136.85</v>
      </c>
      <c r="T142" s="461">
        <f t="shared" ref="T142:T143" si="20">P142</f>
        <v>13376685.74</v>
      </c>
      <c r="U142" s="456"/>
      <c r="V142" s="462">
        <f t="shared" ref="V142:V143" si="21">T142-S142</f>
        <v>1076548.8900000006</v>
      </c>
      <c r="W142" s="456"/>
      <c r="X142" s="456"/>
    </row>
    <row r="143" spans="1:25" s="7" customFormat="1" outlineLevel="1">
      <c r="A143" s="456"/>
      <c r="B143" s="457" t="s">
        <v>380</v>
      </c>
      <c r="C143" s="458"/>
      <c r="D143" s="459">
        <v>18100</v>
      </c>
      <c r="E143" s="459" t="s">
        <v>834</v>
      </c>
      <c r="F143" s="460"/>
      <c r="G143" s="460"/>
      <c r="H143" s="456"/>
      <c r="I143" s="456"/>
      <c r="J143" s="461">
        <v>-44104391.840000004</v>
      </c>
      <c r="K143" s="456"/>
      <c r="L143" s="461">
        <v>0</v>
      </c>
      <c r="M143" s="456"/>
      <c r="N143" s="462">
        <v>0</v>
      </c>
      <c r="O143" s="456"/>
      <c r="P143" s="461">
        <f>J143+L143+N143</f>
        <v>-44104391.840000004</v>
      </c>
      <c r="Q143" s="456"/>
      <c r="R143" s="461">
        <v>-44104391.840000004</v>
      </c>
      <c r="S143" s="461">
        <v>-44104391.840000004</v>
      </c>
      <c r="T143" s="461">
        <f t="shared" si="20"/>
        <v>-44104391.840000004</v>
      </c>
      <c r="U143" s="456"/>
      <c r="V143" s="462">
        <f t="shared" si="21"/>
        <v>0</v>
      </c>
      <c r="W143" s="456"/>
      <c r="X143" s="456"/>
    </row>
    <row r="144" spans="1:25" s="7" customFormat="1" ht="5.0999999999999996" customHeight="1" outlineLevel="1">
      <c r="A144" s="458" t="s">
        <v>187</v>
      </c>
      <c r="B144" s="458" t="s">
        <v>187</v>
      </c>
      <c r="C144" s="458"/>
      <c r="D144" s="460"/>
      <c r="E144" s="460"/>
      <c r="F144" s="460"/>
      <c r="G144" s="460"/>
      <c r="H144" s="456"/>
      <c r="I144" s="456"/>
      <c r="J144" s="487"/>
      <c r="K144" s="456"/>
      <c r="L144" s="487"/>
      <c r="M144" s="456"/>
      <c r="N144" s="488"/>
      <c r="O144" s="456"/>
      <c r="P144" s="487"/>
      <c r="Q144" s="456"/>
      <c r="R144" s="487"/>
      <c r="S144" s="487"/>
      <c r="T144" s="487"/>
      <c r="U144" s="456"/>
      <c r="V144" s="488"/>
      <c r="W144" s="456"/>
      <c r="X144" s="456"/>
      <c r="Y144" s="456"/>
    </row>
    <row r="145" spans="1:25" s="7" customFormat="1">
      <c r="A145" s="458" t="s">
        <v>832</v>
      </c>
      <c r="B145" s="458" t="s">
        <v>187</v>
      </c>
      <c r="C145" s="458"/>
      <c r="D145" s="456"/>
      <c r="E145" s="456"/>
      <c r="F145" s="459" t="s">
        <v>835</v>
      </c>
      <c r="G145" s="456"/>
      <c r="H145" s="456"/>
      <c r="I145" s="456"/>
      <c r="J145" s="485">
        <f>SUM(J142:J144)</f>
        <v>-30727706.100000001</v>
      </c>
      <c r="K145" s="456"/>
      <c r="L145" s="485">
        <f>SUM(L142:L144)</f>
        <v>0</v>
      </c>
      <c r="M145" s="456"/>
      <c r="N145" s="486">
        <f>SUM(N142:N144)</f>
        <v>0</v>
      </c>
      <c r="O145" s="456"/>
      <c r="P145" s="485">
        <f>J145+L145+N145</f>
        <v>-30727706.100000001</v>
      </c>
      <c r="Q145" s="456"/>
      <c r="R145" s="485">
        <f>SUM(R142:R144)</f>
        <v>-31202645.160000004</v>
      </c>
      <c r="S145" s="485">
        <f>SUM(S142:S144)</f>
        <v>-31804254.990000002</v>
      </c>
      <c r="T145" s="485">
        <f>SUM(T142:T144)</f>
        <v>-30727706.100000001</v>
      </c>
      <c r="U145" s="456"/>
      <c r="V145" s="486">
        <f>SUM(V142:V144)</f>
        <v>1076548.8900000006</v>
      </c>
      <c r="W145" s="456"/>
      <c r="X145" s="456"/>
      <c r="Y145" s="456"/>
    </row>
    <row r="146" spans="1:25" s="7" customFormat="1" ht="7.5" customHeight="1">
      <c r="A146" s="458" t="s">
        <v>187</v>
      </c>
      <c r="B146" s="483" t="s">
        <v>187</v>
      </c>
      <c r="C146" s="483"/>
      <c r="D146" s="456"/>
      <c r="E146" s="456"/>
      <c r="F146" s="456"/>
      <c r="G146" s="456"/>
      <c r="H146" s="456"/>
      <c r="I146" s="456"/>
      <c r="J146" s="490"/>
      <c r="K146" s="456"/>
      <c r="L146" s="490"/>
      <c r="M146" s="456"/>
      <c r="N146" s="462"/>
      <c r="O146" s="456"/>
      <c r="P146" s="490"/>
      <c r="Q146" s="456"/>
      <c r="R146" s="490"/>
      <c r="S146" s="490"/>
      <c r="T146" s="490"/>
      <c r="U146" s="456"/>
      <c r="V146" s="462"/>
      <c r="W146" s="456"/>
      <c r="X146" s="456"/>
      <c r="Y146" s="456"/>
    </row>
    <row r="147" spans="1:25" s="7" customFormat="1" ht="13.5" thickBot="1">
      <c r="A147" s="458" t="s">
        <v>187</v>
      </c>
      <c r="B147" s="483" t="s">
        <v>187</v>
      </c>
      <c r="C147" s="483"/>
      <c r="D147" s="456"/>
      <c r="E147" s="491" t="s">
        <v>836</v>
      </c>
      <c r="F147" s="456"/>
      <c r="G147" s="456"/>
      <c r="H147" s="456"/>
      <c r="I147" s="456"/>
      <c r="J147" s="497">
        <f>SUM(J109,J112,J115,J119,J126,J129,J132,J135,J138,J141,J145,J60)</f>
        <v>53114391.86999999</v>
      </c>
      <c r="K147" s="456"/>
      <c r="L147" s="497">
        <f>SUM(L109,L112,L115,L119,L126,L129,L132,L135,L138,L141,L145,L60)</f>
        <v>0</v>
      </c>
      <c r="M147" s="456"/>
      <c r="N147" s="498">
        <f>SUM(N109,N112,N115,N119,N126,N129,N132,N135,N138,N141,N145,N60)</f>
        <v>0</v>
      </c>
      <c r="O147" s="456"/>
      <c r="P147" s="497">
        <f>SUM(P109,P112,P115,P119,P126,P129,P132,P135,P138,P141,P145,P60)</f>
        <v>53114391.86999999</v>
      </c>
      <c r="Q147" s="456"/>
      <c r="R147" s="497">
        <f>SUM(R109,R112,R115,R119,R126,R129,R132,R135,R138,R141,R145,R60)</f>
        <v>52085959.709999993</v>
      </c>
      <c r="S147" s="497">
        <f>SUM(S109,S112,S115,S119,S126,S129,S132,S135,S138,S141,S145,S60)</f>
        <v>52248805.800000004</v>
      </c>
      <c r="T147" s="497">
        <f>SUM(T109,T112,T115,T119,T126,T129,T132,T135,T138,T141,T145,T60)</f>
        <v>53114391.86999999</v>
      </c>
      <c r="U147" s="456"/>
      <c r="V147" s="498">
        <f>SUM(V109,V112,V115,V119,V126,V129,V132,V135,V138,V141,V145,V60)</f>
        <v>865586.07000000135</v>
      </c>
      <c r="W147" s="456"/>
      <c r="X147" s="456"/>
      <c r="Y147" s="456"/>
    </row>
    <row r="148" spans="1:25" s="7" customFormat="1" ht="7.5" customHeight="1" thickTop="1">
      <c r="A148" s="483" t="s">
        <v>187</v>
      </c>
      <c r="B148" s="483"/>
      <c r="C148" s="483"/>
      <c r="D148" s="456"/>
      <c r="E148" s="491"/>
      <c r="F148" s="456"/>
      <c r="G148" s="456"/>
      <c r="H148" s="456"/>
      <c r="I148" s="456"/>
      <c r="J148" s="486"/>
      <c r="K148" s="495"/>
      <c r="L148" s="486"/>
      <c r="M148" s="495"/>
      <c r="N148" s="486"/>
      <c r="O148" s="495"/>
      <c r="P148" s="486"/>
      <c r="Q148" s="495"/>
      <c r="R148" s="486"/>
      <c r="S148" s="486"/>
      <c r="T148" s="486"/>
      <c r="U148" s="495"/>
      <c r="V148" s="486"/>
      <c r="W148" s="456"/>
      <c r="X148" s="456"/>
      <c r="Y148" s="456"/>
    </row>
    <row r="149" spans="1:25" s="7" customFormat="1" outlineLevel="1">
      <c r="A149" s="456"/>
      <c r="B149" s="457" t="s">
        <v>837</v>
      </c>
      <c r="C149" s="458"/>
      <c r="D149" s="459"/>
      <c r="E149" s="459"/>
      <c r="F149" s="460"/>
      <c r="G149" s="460"/>
      <c r="H149" s="456"/>
      <c r="I149" s="456"/>
      <c r="J149" s="461"/>
      <c r="K149" s="456"/>
      <c r="L149" s="461"/>
      <c r="M149" s="456"/>
      <c r="N149" s="462"/>
      <c r="O149" s="456"/>
      <c r="P149" s="461">
        <f>J149+L149+N149</f>
        <v>0</v>
      </c>
      <c r="Q149" s="456"/>
      <c r="R149" s="461"/>
      <c r="S149" s="461"/>
      <c r="T149" s="461">
        <f>P149</f>
        <v>0</v>
      </c>
      <c r="U149" s="456"/>
      <c r="V149" s="462">
        <f>T149-S149</f>
        <v>0</v>
      </c>
      <c r="W149" s="456"/>
      <c r="X149" s="456"/>
    </row>
    <row r="150" spans="1:25" s="7" customFormat="1" ht="5.0999999999999996" customHeight="1" outlineLevel="1">
      <c r="A150" s="483"/>
      <c r="B150" s="483"/>
      <c r="C150" s="483"/>
      <c r="D150" s="459"/>
      <c r="E150" s="459"/>
      <c r="F150" s="456"/>
      <c r="G150" s="456"/>
      <c r="H150" s="456"/>
      <c r="I150" s="456"/>
      <c r="J150" s="487"/>
      <c r="K150" s="456"/>
      <c r="L150" s="487"/>
      <c r="M150" s="456"/>
      <c r="N150" s="488"/>
      <c r="O150" s="456"/>
      <c r="P150" s="487"/>
      <c r="Q150" s="456"/>
      <c r="R150" s="487"/>
      <c r="S150" s="487"/>
      <c r="T150" s="487"/>
      <c r="U150" s="456"/>
      <c r="V150" s="488"/>
      <c r="W150" s="456"/>
      <c r="X150" s="456"/>
      <c r="Y150" s="456"/>
    </row>
    <row r="151" spans="1:25" s="7" customFormat="1" ht="12.75" customHeight="1">
      <c r="A151" s="458" t="s">
        <v>837</v>
      </c>
      <c r="B151" s="483" t="s">
        <v>187</v>
      </c>
      <c r="C151" s="483"/>
      <c r="D151" s="456"/>
      <c r="E151" s="456"/>
      <c r="F151" s="456" t="s">
        <v>838</v>
      </c>
      <c r="G151" s="456"/>
      <c r="H151" s="456"/>
      <c r="I151" s="456"/>
      <c r="J151" s="485">
        <f>SUM(J149:J150)</f>
        <v>0</v>
      </c>
      <c r="K151" s="456"/>
      <c r="L151" s="485">
        <f>SUM(L149:L150)</f>
        <v>0</v>
      </c>
      <c r="M151" s="456"/>
      <c r="N151" s="486">
        <f>SUM(N149:N150)</f>
        <v>0</v>
      </c>
      <c r="O151" s="456"/>
      <c r="P151" s="485">
        <f>J151+L151+N151</f>
        <v>0</v>
      </c>
      <c r="Q151" s="456"/>
      <c r="R151" s="485">
        <f>SUM(R149:R150)</f>
        <v>0</v>
      </c>
      <c r="S151" s="485">
        <f>SUM(S149:S150)</f>
        <v>0</v>
      </c>
      <c r="T151" s="485">
        <f>SUM(T149:T150)</f>
        <v>0</v>
      </c>
      <c r="U151" s="456"/>
      <c r="V151" s="486">
        <f>SUM(V149:V150)</f>
        <v>0</v>
      </c>
      <c r="W151" s="456"/>
      <c r="X151" s="456"/>
      <c r="Y151" s="456"/>
    </row>
    <row r="152" spans="1:25" s="7" customFormat="1" ht="6" customHeight="1" outlineLevel="1">
      <c r="A152" s="483"/>
      <c r="B152" s="458" t="s">
        <v>187</v>
      </c>
      <c r="C152" s="458"/>
      <c r="D152" s="456"/>
      <c r="E152" s="456"/>
      <c r="F152" s="456"/>
      <c r="G152" s="456"/>
      <c r="H152" s="456"/>
      <c r="I152" s="456"/>
      <c r="J152" s="490"/>
      <c r="K152" s="456"/>
      <c r="L152" s="490"/>
      <c r="M152" s="456"/>
      <c r="N152" s="462"/>
      <c r="O152" s="456"/>
      <c r="P152" s="490"/>
      <c r="Q152" s="456"/>
      <c r="R152" s="490"/>
      <c r="S152" s="490"/>
      <c r="T152" s="490"/>
      <c r="U152" s="456"/>
      <c r="V152" s="462"/>
      <c r="W152" s="456"/>
      <c r="X152" s="456"/>
      <c r="Y152" s="456"/>
    </row>
    <row r="153" spans="1:25" s="7" customFormat="1" outlineLevel="1">
      <c r="A153" s="456"/>
      <c r="B153" s="457" t="s">
        <v>839</v>
      </c>
      <c r="C153" s="458"/>
      <c r="D153" s="459"/>
      <c r="E153" s="459"/>
      <c r="F153" s="460"/>
      <c r="G153" s="460"/>
      <c r="H153" s="456"/>
      <c r="I153" s="456"/>
      <c r="J153" s="461"/>
      <c r="K153" s="456"/>
      <c r="L153" s="461"/>
      <c r="M153" s="456"/>
      <c r="N153" s="462"/>
      <c r="O153" s="456"/>
      <c r="P153" s="461">
        <f>J153+L153+N153</f>
        <v>0</v>
      </c>
      <c r="Q153" s="456"/>
      <c r="R153" s="461"/>
      <c r="S153" s="461"/>
      <c r="T153" s="461">
        <f>P153</f>
        <v>0</v>
      </c>
      <c r="U153" s="456"/>
      <c r="V153" s="462">
        <f>T153-S153</f>
        <v>0</v>
      </c>
      <c r="W153" s="456"/>
      <c r="X153" s="456"/>
    </row>
    <row r="154" spans="1:25" s="7" customFormat="1" ht="5.0999999999999996" customHeight="1" outlineLevel="1">
      <c r="A154" s="458" t="s">
        <v>187</v>
      </c>
      <c r="B154" s="458" t="s">
        <v>187</v>
      </c>
      <c r="C154" s="458"/>
      <c r="D154" s="460"/>
      <c r="E154" s="460"/>
      <c r="F154" s="460"/>
      <c r="G154" s="460"/>
      <c r="H154" s="456"/>
      <c r="I154" s="456"/>
      <c r="J154" s="487"/>
      <c r="K154" s="456"/>
      <c r="L154" s="487"/>
      <c r="M154" s="456"/>
      <c r="N154" s="488"/>
      <c r="O154" s="456"/>
      <c r="P154" s="487"/>
      <c r="Q154" s="456"/>
      <c r="R154" s="487"/>
      <c r="S154" s="487"/>
      <c r="T154" s="487"/>
      <c r="U154" s="456"/>
      <c r="V154" s="488"/>
      <c r="W154" s="456"/>
      <c r="X154" s="456"/>
      <c r="Y154" s="456"/>
    </row>
    <row r="155" spans="1:25" s="7" customFormat="1" ht="12.75" customHeight="1">
      <c r="A155" s="458" t="s">
        <v>839</v>
      </c>
      <c r="B155" s="458" t="s">
        <v>187</v>
      </c>
      <c r="C155" s="458"/>
      <c r="D155" s="456"/>
      <c r="E155" s="456"/>
      <c r="F155" s="459" t="s">
        <v>840</v>
      </c>
      <c r="G155" s="456"/>
      <c r="H155" s="456"/>
      <c r="I155" s="456"/>
      <c r="J155" s="485">
        <f>SUM(J153:J154)</f>
        <v>0</v>
      </c>
      <c r="K155" s="456"/>
      <c r="L155" s="485">
        <f>SUM(L153:L154)</f>
        <v>0</v>
      </c>
      <c r="M155" s="456"/>
      <c r="N155" s="486">
        <f>SUM(N153:N154)</f>
        <v>0</v>
      </c>
      <c r="O155" s="456"/>
      <c r="P155" s="485">
        <f t="shared" ref="P155" si="22">J155+L155+N155</f>
        <v>0</v>
      </c>
      <c r="Q155" s="456"/>
      <c r="R155" s="485">
        <f>SUM(R153:R154)</f>
        <v>0</v>
      </c>
      <c r="S155" s="485">
        <f>SUM(S153:S154)</f>
        <v>0</v>
      </c>
      <c r="T155" s="485">
        <f>SUM(T153:T154)</f>
        <v>0</v>
      </c>
      <c r="U155" s="456"/>
      <c r="V155" s="486">
        <f>SUM(V153:V154)</f>
        <v>0</v>
      </c>
      <c r="W155" s="456"/>
      <c r="X155" s="456"/>
      <c r="Y155" s="456"/>
    </row>
    <row r="156" spans="1:25" s="7" customFormat="1" outlineLevel="1">
      <c r="A156" s="456"/>
      <c r="B156" s="457" t="s">
        <v>841</v>
      </c>
      <c r="C156" s="458"/>
      <c r="D156" s="459">
        <v>20120</v>
      </c>
      <c r="E156" s="459" t="s">
        <v>842</v>
      </c>
      <c r="F156" s="460"/>
      <c r="G156" s="460"/>
      <c r="H156" s="456"/>
      <c r="I156" s="456"/>
      <c r="J156" s="461">
        <v>468522.23999999999</v>
      </c>
      <c r="K156" s="456"/>
      <c r="L156" s="461">
        <v>0</v>
      </c>
      <c r="M156" s="456"/>
      <c r="N156" s="462">
        <v>0</v>
      </c>
      <c r="O156" s="456"/>
      <c r="P156" s="461">
        <f t="shared" ref="P156:P166" si="23">J156+L156+N156</f>
        <v>468522.23999999999</v>
      </c>
      <c r="Q156" s="456"/>
      <c r="R156" s="461">
        <v>510842.64</v>
      </c>
      <c r="S156" s="461">
        <v>339858.83</v>
      </c>
      <c r="T156" s="461">
        <f t="shared" ref="T156:T166" si="24">P156</f>
        <v>468522.23999999999</v>
      </c>
      <c r="U156" s="456"/>
      <c r="V156" s="462">
        <f t="shared" ref="V156:V166" si="25">T156-S156</f>
        <v>128663.40999999997</v>
      </c>
      <c r="W156" s="456"/>
      <c r="X156" s="456"/>
    </row>
    <row r="157" spans="1:25" s="7" customFormat="1" outlineLevel="1">
      <c r="A157" s="456"/>
      <c r="B157" s="457" t="s">
        <v>380</v>
      </c>
      <c r="C157" s="458"/>
      <c r="D157" s="459">
        <v>20121</v>
      </c>
      <c r="E157" s="459" t="s">
        <v>843</v>
      </c>
      <c r="F157" s="460"/>
      <c r="G157" s="460"/>
      <c r="H157" s="456"/>
      <c r="I157" s="456"/>
      <c r="J157" s="461">
        <v>0</v>
      </c>
      <c r="K157" s="456"/>
      <c r="L157" s="461">
        <v>0</v>
      </c>
      <c r="M157" s="456"/>
      <c r="N157" s="462">
        <v>0</v>
      </c>
      <c r="O157" s="456"/>
      <c r="P157" s="461">
        <f t="shared" si="23"/>
        <v>0</v>
      </c>
      <c r="Q157" s="456"/>
      <c r="R157" s="461">
        <v>189666.8</v>
      </c>
      <c r="S157" s="461">
        <v>0</v>
      </c>
      <c r="T157" s="461">
        <f t="shared" si="24"/>
        <v>0</v>
      </c>
      <c r="U157" s="456"/>
      <c r="V157" s="462">
        <f t="shared" si="25"/>
        <v>0</v>
      </c>
      <c r="W157" s="456"/>
      <c r="X157" s="456"/>
    </row>
    <row r="158" spans="1:25" s="7" customFormat="1" outlineLevel="1">
      <c r="A158" s="456"/>
      <c r="B158" s="457" t="s">
        <v>380</v>
      </c>
      <c r="C158" s="458"/>
      <c r="D158" s="459">
        <v>20123</v>
      </c>
      <c r="E158" s="459" t="s">
        <v>844</v>
      </c>
      <c r="F158" s="460"/>
      <c r="G158" s="460"/>
      <c r="H158" s="456"/>
      <c r="I158" s="456"/>
      <c r="J158" s="461">
        <v>32312.48</v>
      </c>
      <c r="K158" s="456"/>
      <c r="L158" s="461">
        <v>0</v>
      </c>
      <c r="M158" s="456"/>
      <c r="N158" s="462">
        <v>0</v>
      </c>
      <c r="O158" s="456"/>
      <c r="P158" s="461">
        <f t="shared" si="23"/>
        <v>32312.48</v>
      </c>
      <c r="Q158" s="456"/>
      <c r="R158" s="461">
        <v>15554.99</v>
      </c>
      <c r="S158" s="461">
        <v>22152.89</v>
      </c>
      <c r="T158" s="461">
        <f t="shared" si="24"/>
        <v>32312.48</v>
      </c>
      <c r="U158" s="456"/>
      <c r="V158" s="462">
        <f t="shared" si="25"/>
        <v>10159.59</v>
      </c>
      <c r="W158" s="456"/>
      <c r="X158" s="456"/>
    </row>
    <row r="159" spans="1:25" s="7" customFormat="1" outlineLevel="1">
      <c r="A159" s="456"/>
      <c r="B159" s="457" t="s">
        <v>380</v>
      </c>
      <c r="C159" s="458"/>
      <c r="D159" s="459">
        <v>20140</v>
      </c>
      <c r="E159" s="459" t="s">
        <v>845</v>
      </c>
      <c r="F159" s="460"/>
      <c r="G159" s="460"/>
      <c r="H159" s="456"/>
      <c r="I159" s="456"/>
      <c r="J159" s="461">
        <v>7071.52</v>
      </c>
      <c r="K159" s="456"/>
      <c r="L159" s="461">
        <v>0</v>
      </c>
      <c r="M159" s="456"/>
      <c r="N159" s="462">
        <v>0</v>
      </c>
      <c r="O159" s="456"/>
      <c r="P159" s="461">
        <f t="shared" si="23"/>
        <v>7071.52</v>
      </c>
      <c r="Q159" s="456"/>
      <c r="R159" s="461">
        <v>4910.78</v>
      </c>
      <c r="S159" s="461">
        <v>5353.58</v>
      </c>
      <c r="T159" s="461">
        <f t="shared" si="24"/>
        <v>7071.52</v>
      </c>
      <c r="U159" s="456"/>
      <c r="V159" s="462">
        <f t="shared" si="25"/>
        <v>1717.9400000000005</v>
      </c>
      <c r="W159" s="456"/>
      <c r="X159" s="456"/>
    </row>
    <row r="160" spans="1:25" s="7" customFormat="1" outlineLevel="1">
      <c r="A160" s="456"/>
      <c r="B160" s="457" t="s">
        <v>380</v>
      </c>
      <c r="C160" s="458"/>
      <c r="D160" s="459">
        <v>20165</v>
      </c>
      <c r="E160" s="459" t="s">
        <v>907</v>
      </c>
      <c r="F160" s="460"/>
      <c r="G160" s="460"/>
      <c r="H160" s="456"/>
      <c r="I160" s="456"/>
      <c r="J160" s="461">
        <v>0</v>
      </c>
      <c r="K160" s="456"/>
      <c r="L160" s="461">
        <v>0</v>
      </c>
      <c r="M160" s="456"/>
      <c r="N160" s="462">
        <v>0</v>
      </c>
      <c r="O160" s="456"/>
      <c r="P160" s="461">
        <f t="shared" si="23"/>
        <v>0</v>
      </c>
      <c r="Q160" s="456"/>
      <c r="R160" s="461">
        <v>0</v>
      </c>
      <c r="S160" s="461">
        <v>0</v>
      </c>
      <c r="T160" s="461">
        <f t="shared" si="24"/>
        <v>0</v>
      </c>
      <c r="U160" s="456"/>
      <c r="V160" s="462">
        <f t="shared" si="25"/>
        <v>0</v>
      </c>
      <c r="W160" s="456"/>
      <c r="X160" s="456"/>
    </row>
    <row r="161" spans="1:25" s="7" customFormat="1" outlineLevel="1">
      <c r="A161" s="456"/>
      <c r="B161" s="457" t="s">
        <v>380</v>
      </c>
      <c r="C161" s="458"/>
      <c r="D161" s="459">
        <v>20170</v>
      </c>
      <c r="E161" s="459" t="s">
        <v>846</v>
      </c>
      <c r="F161" s="460"/>
      <c r="G161" s="460"/>
      <c r="H161" s="456"/>
      <c r="I161" s="456"/>
      <c r="J161" s="461">
        <v>74108.53</v>
      </c>
      <c r="K161" s="456"/>
      <c r="L161" s="461">
        <v>0</v>
      </c>
      <c r="M161" s="456"/>
      <c r="N161" s="462">
        <v>0</v>
      </c>
      <c r="O161" s="456"/>
      <c r="P161" s="461">
        <f t="shared" si="23"/>
        <v>74108.53</v>
      </c>
      <c r="Q161" s="456"/>
      <c r="R161" s="461">
        <v>83576.990000000005</v>
      </c>
      <c r="S161" s="461">
        <v>102536.16</v>
      </c>
      <c r="T161" s="461">
        <f t="shared" si="24"/>
        <v>74108.53</v>
      </c>
      <c r="U161" s="456"/>
      <c r="V161" s="462">
        <f t="shared" si="25"/>
        <v>-28427.630000000005</v>
      </c>
      <c r="W161" s="456"/>
      <c r="X161" s="456"/>
    </row>
    <row r="162" spans="1:25" s="7" customFormat="1" outlineLevel="1">
      <c r="A162" s="456"/>
      <c r="B162" s="457" t="s">
        <v>380</v>
      </c>
      <c r="C162" s="458"/>
      <c r="D162" s="459">
        <v>20175</v>
      </c>
      <c r="E162" s="459" t="s">
        <v>847</v>
      </c>
      <c r="F162" s="460"/>
      <c r="G162" s="460"/>
      <c r="H162" s="456"/>
      <c r="I162" s="456"/>
      <c r="J162" s="461">
        <v>42016.14</v>
      </c>
      <c r="K162" s="456"/>
      <c r="L162" s="461">
        <v>0</v>
      </c>
      <c r="M162" s="456"/>
      <c r="N162" s="462">
        <v>0</v>
      </c>
      <c r="O162" s="456"/>
      <c r="P162" s="461">
        <f t="shared" si="23"/>
        <v>42016.14</v>
      </c>
      <c r="Q162" s="456"/>
      <c r="R162" s="461">
        <v>37478.47</v>
      </c>
      <c r="S162" s="461">
        <v>27376.59</v>
      </c>
      <c r="T162" s="461">
        <f t="shared" si="24"/>
        <v>42016.14</v>
      </c>
      <c r="U162" s="456"/>
      <c r="V162" s="462">
        <f t="shared" si="25"/>
        <v>14639.55</v>
      </c>
      <c r="W162" s="456"/>
      <c r="X162" s="456"/>
    </row>
    <row r="163" spans="1:25" s="7" customFormat="1" outlineLevel="1">
      <c r="A163" s="456"/>
      <c r="B163" s="457" t="s">
        <v>380</v>
      </c>
      <c r="C163" s="458"/>
      <c r="D163" s="459">
        <v>20177</v>
      </c>
      <c r="E163" s="459" t="s">
        <v>848</v>
      </c>
      <c r="F163" s="460"/>
      <c r="G163" s="460"/>
      <c r="H163" s="456"/>
      <c r="I163" s="456"/>
      <c r="J163" s="461">
        <v>107629.86</v>
      </c>
      <c r="K163" s="456"/>
      <c r="L163" s="461">
        <v>0</v>
      </c>
      <c r="M163" s="456"/>
      <c r="N163" s="462">
        <v>0</v>
      </c>
      <c r="O163" s="456"/>
      <c r="P163" s="461">
        <f t="shared" si="23"/>
        <v>107629.86</v>
      </c>
      <c r="Q163" s="456"/>
      <c r="R163" s="461">
        <v>160921.21</v>
      </c>
      <c r="S163" s="461">
        <v>54508.79</v>
      </c>
      <c r="T163" s="461">
        <f t="shared" si="24"/>
        <v>107629.86</v>
      </c>
      <c r="U163" s="456"/>
      <c r="V163" s="462">
        <f t="shared" si="25"/>
        <v>53121.07</v>
      </c>
      <c r="W163" s="456"/>
      <c r="X163" s="456"/>
    </row>
    <row r="164" spans="1:25" s="7" customFormat="1" outlineLevel="1">
      <c r="A164" s="456"/>
      <c r="B164" s="457" t="s">
        <v>380</v>
      </c>
      <c r="C164" s="458"/>
      <c r="D164" s="459">
        <v>20178</v>
      </c>
      <c r="E164" s="459" t="s">
        <v>849</v>
      </c>
      <c r="F164" s="460"/>
      <c r="G164" s="460"/>
      <c r="H164" s="456"/>
      <c r="I164" s="456"/>
      <c r="J164" s="461">
        <v>177531.22</v>
      </c>
      <c r="K164" s="456"/>
      <c r="L164" s="461">
        <v>0</v>
      </c>
      <c r="M164" s="456"/>
      <c r="N164" s="462">
        <v>0</v>
      </c>
      <c r="O164" s="456"/>
      <c r="P164" s="461">
        <f t="shared" si="23"/>
        <v>177531.22</v>
      </c>
      <c r="Q164" s="456"/>
      <c r="R164" s="461">
        <v>148590.32</v>
      </c>
      <c r="S164" s="461">
        <v>165342.24</v>
      </c>
      <c r="T164" s="461">
        <f t="shared" si="24"/>
        <v>177531.22</v>
      </c>
      <c r="U164" s="456"/>
      <c r="V164" s="462">
        <f t="shared" si="25"/>
        <v>12188.98000000001</v>
      </c>
      <c r="W164" s="456"/>
      <c r="X164" s="456"/>
    </row>
    <row r="165" spans="1:25" s="7" customFormat="1" outlineLevel="1">
      <c r="A165" s="456"/>
      <c r="B165" s="457" t="s">
        <v>380</v>
      </c>
      <c r="C165" s="458"/>
      <c r="D165" s="459">
        <v>20180</v>
      </c>
      <c r="E165" s="459" t="s">
        <v>850</v>
      </c>
      <c r="F165" s="460"/>
      <c r="G165" s="460"/>
      <c r="H165" s="456"/>
      <c r="I165" s="456"/>
      <c r="J165" s="461">
        <v>165637.45000000001</v>
      </c>
      <c r="K165" s="456"/>
      <c r="L165" s="461">
        <v>0</v>
      </c>
      <c r="M165" s="456"/>
      <c r="N165" s="462">
        <v>0</v>
      </c>
      <c r="O165" s="456"/>
      <c r="P165" s="461">
        <f t="shared" si="23"/>
        <v>165637.45000000001</v>
      </c>
      <c r="Q165" s="456"/>
      <c r="R165" s="461">
        <v>164502.07999999999</v>
      </c>
      <c r="S165" s="461">
        <v>165485.96</v>
      </c>
      <c r="T165" s="461">
        <f t="shared" si="24"/>
        <v>165637.45000000001</v>
      </c>
      <c r="U165" s="456"/>
      <c r="V165" s="462">
        <f t="shared" si="25"/>
        <v>151.49000000001979</v>
      </c>
      <c r="W165" s="456"/>
      <c r="X165" s="456"/>
    </row>
    <row r="166" spans="1:25" s="7" customFormat="1" outlineLevel="1">
      <c r="A166" s="456"/>
      <c r="B166" s="457" t="s">
        <v>380</v>
      </c>
      <c r="C166" s="458"/>
      <c r="D166" s="459">
        <v>20181</v>
      </c>
      <c r="E166" s="459" t="s">
        <v>851</v>
      </c>
      <c r="F166" s="460"/>
      <c r="G166" s="460"/>
      <c r="H166" s="456"/>
      <c r="I166" s="456"/>
      <c r="J166" s="461">
        <v>30000</v>
      </c>
      <c r="K166" s="456"/>
      <c r="L166" s="461">
        <v>0</v>
      </c>
      <c r="M166" s="456"/>
      <c r="N166" s="462">
        <v>0</v>
      </c>
      <c r="O166" s="456"/>
      <c r="P166" s="461">
        <f t="shared" si="23"/>
        <v>30000</v>
      </c>
      <c r="Q166" s="456"/>
      <c r="R166" s="461">
        <v>30000</v>
      </c>
      <c r="S166" s="461">
        <v>30000</v>
      </c>
      <c r="T166" s="461">
        <f t="shared" si="24"/>
        <v>30000</v>
      </c>
      <c r="U166" s="456"/>
      <c r="V166" s="462">
        <f t="shared" si="25"/>
        <v>0</v>
      </c>
      <c r="W166" s="456"/>
      <c r="X166" s="456"/>
    </row>
    <row r="167" spans="1:25" s="7" customFormat="1" ht="5.0999999999999996" customHeight="1" outlineLevel="1">
      <c r="A167" s="458" t="s">
        <v>187</v>
      </c>
      <c r="B167" s="458" t="s">
        <v>187</v>
      </c>
      <c r="C167" s="458"/>
      <c r="D167" s="460"/>
      <c r="E167" s="460"/>
      <c r="F167" s="460"/>
      <c r="G167" s="460"/>
      <c r="H167" s="456"/>
      <c r="I167" s="456"/>
      <c r="J167" s="487"/>
      <c r="K167" s="456"/>
      <c r="L167" s="487"/>
      <c r="M167" s="456"/>
      <c r="N167" s="488"/>
      <c r="O167" s="456"/>
      <c r="P167" s="487"/>
      <c r="Q167" s="456"/>
      <c r="R167" s="487"/>
      <c r="S167" s="487"/>
      <c r="T167" s="487"/>
      <c r="U167" s="456"/>
      <c r="V167" s="488"/>
      <c r="W167" s="456"/>
      <c r="X167" s="456"/>
      <c r="Y167" s="456"/>
    </row>
    <row r="168" spans="1:25" s="7" customFormat="1">
      <c r="A168" s="458" t="s">
        <v>841</v>
      </c>
      <c r="B168" s="458" t="s">
        <v>187</v>
      </c>
      <c r="C168" s="458"/>
      <c r="D168" s="456"/>
      <c r="E168" s="456"/>
      <c r="F168" s="459" t="s">
        <v>852</v>
      </c>
      <c r="G168" s="456"/>
      <c r="H168" s="456"/>
      <c r="I168" s="456"/>
      <c r="J168" s="485">
        <f>SUM(J156:J167)</f>
        <v>1104829.4399999999</v>
      </c>
      <c r="K168" s="456"/>
      <c r="L168" s="485">
        <f>SUM(L156:L167)</f>
        <v>0</v>
      </c>
      <c r="M168" s="456"/>
      <c r="N168" s="486">
        <f>SUM(N156:N167)</f>
        <v>0</v>
      </c>
      <c r="O168" s="456"/>
      <c r="P168" s="485">
        <f>J168+L168+N168</f>
        <v>1104829.4399999999</v>
      </c>
      <c r="Q168" s="456"/>
      <c r="R168" s="485">
        <f>SUM(R156:R167)</f>
        <v>1346044.28</v>
      </c>
      <c r="S168" s="485">
        <f>SUM(S156:S167)</f>
        <v>912615.04</v>
      </c>
      <c r="T168" s="485">
        <f>SUM(T156:T167)</f>
        <v>1104829.4399999999</v>
      </c>
      <c r="U168" s="456"/>
      <c r="V168" s="486">
        <f>SUM(V156:V167)</f>
        <v>192214.39999999999</v>
      </c>
      <c r="W168" s="456"/>
      <c r="X168" s="456"/>
      <c r="Y168" s="456"/>
    </row>
    <row r="169" spans="1:25" s="7" customFormat="1" outlineLevel="1">
      <c r="A169" s="456"/>
      <c r="B169" s="457" t="s">
        <v>853</v>
      </c>
      <c r="C169" s="458"/>
      <c r="D169" s="459">
        <v>20300</v>
      </c>
      <c r="E169" s="459" t="s">
        <v>854</v>
      </c>
      <c r="F169" s="460"/>
      <c r="G169" s="460"/>
      <c r="H169" s="456"/>
      <c r="I169" s="456"/>
      <c r="J169" s="461">
        <v>1208126.27</v>
      </c>
      <c r="K169" s="456"/>
      <c r="L169" s="461">
        <v>0</v>
      </c>
      <c r="M169" s="456"/>
      <c r="N169" s="462">
        <v>0</v>
      </c>
      <c r="O169" s="456"/>
      <c r="P169" s="461">
        <f>J169+L169+N169</f>
        <v>1208126.27</v>
      </c>
      <c r="Q169" s="456"/>
      <c r="R169" s="461">
        <v>1146296.6299999999</v>
      </c>
      <c r="S169" s="461">
        <v>1210144.24</v>
      </c>
      <c r="T169" s="461">
        <f>P169</f>
        <v>1208126.27</v>
      </c>
      <c r="U169" s="456"/>
      <c r="V169" s="462">
        <f>T169-S169</f>
        <v>-2017.9699999999721</v>
      </c>
      <c r="W169" s="456"/>
      <c r="X169" s="456"/>
    </row>
    <row r="170" spans="1:25" s="7" customFormat="1" ht="5.0999999999999996" customHeight="1" outlineLevel="1">
      <c r="A170" s="458" t="s">
        <v>187</v>
      </c>
      <c r="B170" s="483" t="s">
        <v>187</v>
      </c>
      <c r="C170" s="483"/>
      <c r="D170" s="460"/>
      <c r="E170" s="460"/>
      <c r="F170" s="460"/>
      <c r="G170" s="460"/>
      <c r="H170" s="456"/>
      <c r="I170" s="456"/>
      <c r="J170" s="487"/>
      <c r="K170" s="456"/>
      <c r="L170" s="487"/>
      <c r="M170" s="456"/>
      <c r="N170" s="488"/>
      <c r="O170" s="456"/>
      <c r="P170" s="487"/>
      <c r="Q170" s="456"/>
      <c r="R170" s="487"/>
      <c r="S170" s="487"/>
      <c r="T170" s="487"/>
      <c r="U170" s="456"/>
      <c r="V170" s="488"/>
      <c r="W170" s="456"/>
      <c r="X170" s="456"/>
      <c r="Y170" s="456"/>
    </row>
    <row r="171" spans="1:25" s="7" customFormat="1">
      <c r="A171" s="458" t="s">
        <v>853</v>
      </c>
      <c r="B171" s="483" t="s">
        <v>187</v>
      </c>
      <c r="C171" s="483"/>
      <c r="D171" s="456"/>
      <c r="E171" s="456"/>
      <c r="F171" s="459" t="s">
        <v>855</v>
      </c>
      <c r="G171" s="456"/>
      <c r="H171" s="456"/>
      <c r="I171" s="456"/>
      <c r="J171" s="485">
        <f>SUM(J169:J170)</f>
        <v>1208126.27</v>
      </c>
      <c r="K171" s="456"/>
      <c r="L171" s="485">
        <f>SUM(L169:L170)</f>
        <v>0</v>
      </c>
      <c r="M171" s="456"/>
      <c r="N171" s="486">
        <f>SUM(N169:N170)</f>
        <v>0</v>
      </c>
      <c r="O171" s="456"/>
      <c r="P171" s="485">
        <f t="shared" ref="P171" si="26">J171+L171+N171</f>
        <v>1208126.27</v>
      </c>
      <c r="Q171" s="456"/>
      <c r="R171" s="485">
        <f>SUM(R169:R170)</f>
        <v>1146296.6299999999</v>
      </c>
      <c r="S171" s="485">
        <f>SUM(S169:S170)</f>
        <v>1210144.24</v>
      </c>
      <c r="T171" s="485">
        <f>SUM(T169:T170)</f>
        <v>1208126.27</v>
      </c>
      <c r="U171" s="456"/>
      <c r="V171" s="486">
        <f>SUM(V169:V170)</f>
        <v>-2017.9699999999721</v>
      </c>
      <c r="W171" s="456"/>
      <c r="X171" s="456"/>
      <c r="Y171" s="456"/>
    </row>
    <row r="172" spans="1:25" s="7" customFormat="1" outlineLevel="1">
      <c r="A172" s="456"/>
      <c r="B172" s="457" t="s">
        <v>856</v>
      </c>
      <c r="C172" s="458"/>
      <c r="D172" s="459">
        <v>20320</v>
      </c>
      <c r="E172" s="459" t="s">
        <v>857</v>
      </c>
      <c r="F172" s="460"/>
      <c r="G172" s="460"/>
      <c r="H172" s="456"/>
      <c r="I172" s="456"/>
      <c r="J172" s="461">
        <v>186586.89</v>
      </c>
      <c r="K172" s="456"/>
      <c r="L172" s="461">
        <v>0</v>
      </c>
      <c r="M172" s="456"/>
      <c r="N172" s="462">
        <v>0</v>
      </c>
      <c r="O172" s="456"/>
      <c r="P172" s="461">
        <f t="shared" ref="P172:P177" si="27">J172+L172+N172</f>
        <v>186586.89</v>
      </c>
      <c r="Q172" s="456"/>
      <c r="R172" s="461">
        <v>0</v>
      </c>
      <c r="S172" s="461">
        <v>113258.74</v>
      </c>
      <c r="T172" s="461">
        <f t="shared" ref="T172:T177" si="28">P172</f>
        <v>186586.89</v>
      </c>
      <c r="U172" s="456"/>
      <c r="V172" s="462">
        <f t="shared" ref="V172:V177" si="29">T172-S172</f>
        <v>73328.150000000009</v>
      </c>
      <c r="W172" s="456"/>
      <c r="X172" s="456"/>
    </row>
    <row r="173" spans="1:25" s="7" customFormat="1" outlineLevel="1">
      <c r="A173" s="456"/>
      <c r="B173" s="457" t="s">
        <v>380</v>
      </c>
      <c r="C173" s="458"/>
      <c r="D173" s="459">
        <v>20321</v>
      </c>
      <c r="E173" s="459" t="s">
        <v>858</v>
      </c>
      <c r="F173" s="460"/>
      <c r="G173" s="460"/>
      <c r="H173" s="456"/>
      <c r="I173" s="456"/>
      <c r="J173" s="461">
        <v>615710.84</v>
      </c>
      <c r="K173" s="456"/>
      <c r="L173" s="461">
        <v>0</v>
      </c>
      <c r="M173" s="456"/>
      <c r="N173" s="462">
        <v>0</v>
      </c>
      <c r="O173" s="456"/>
      <c r="P173" s="461">
        <f t="shared" si="27"/>
        <v>615710.84</v>
      </c>
      <c r="Q173" s="456"/>
      <c r="R173" s="461">
        <v>609575.69999999995</v>
      </c>
      <c r="S173" s="461">
        <v>631125.59</v>
      </c>
      <c r="T173" s="461">
        <f t="shared" si="28"/>
        <v>615710.84</v>
      </c>
      <c r="U173" s="456"/>
      <c r="V173" s="462">
        <f t="shared" si="29"/>
        <v>-15414.75</v>
      </c>
      <c r="W173" s="456"/>
      <c r="X173" s="456"/>
    </row>
    <row r="174" spans="1:25" s="7" customFormat="1" outlineLevel="1">
      <c r="A174" s="456"/>
      <c r="B174" s="457" t="s">
        <v>380</v>
      </c>
      <c r="C174" s="458"/>
      <c r="D174" s="459">
        <v>20325</v>
      </c>
      <c r="E174" s="459" t="s">
        <v>859</v>
      </c>
      <c r="F174" s="460"/>
      <c r="G174" s="460"/>
      <c r="H174" s="456"/>
      <c r="I174" s="456"/>
      <c r="J174" s="461">
        <v>73320.36</v>
      </c>
      <c r="K174" s="456"/>
      <c r="L174" s="461">
        <v>0</v>
      </c>
      <c r="M174" s="456"/>
      <c r="N174" s="462">
        <v>0</v>
      </c>
      <c r="O174" s="456"/>
      <c r="P174" s="461">
        <f t="shared" si="27"/>
        <v>73320.36</v>
      </c>
      <c r="Q174" s="456"/>
      <c r="R174" s="461">
        <v>70707.19</v>
      </c>
      <c r="S174" s="461">
        <v>24992.639999999999</v>
      </c>
      <c r="T174" s="461">
        <f t="shared" si="28"/>
        <v>73320.36</v>
      </c>
      <c r="U174" s="456"/>
      <c r="V174" s="462">
        <f t="shared" si="29"/>
        <v>48327.72</v>
      </c>
      <c r="W174" s="456"/>
      <c r="X174" s="456"/>
    </row>
    <row r="175" spans="1:25" s="7" customFormat="1" outlineLevel="1">
      <c r="A175" s="456"/>
      <c r="B175" s="457" t="s">
        <v>380</v>
      </c>
      <c r="C175" s="458"/>
      <c r="D175" s="459">
        <v>20340</v>
      </c>
      <c r="E175" s="459" t="s">
        <v>860</v>
      </c>
      <c r="F175" s="460"/>
      <c r="G175" s="460"/>
      <c r="H175" s="456"/>
      <c r="I175" s="456"/>
      <c r="J175" s="461">
        <v>163365.29</v>
      </c>
      <c r="K175" s="456"/>
      <c r="L175" s="461">
        <v>0</v>
      </c>
      <c r="M175" s="456"/>
      <c r="N175" s="462">
        <v>0</v>
      </c>
      <c r="O175" s="456"/>
      <c r="P175" s="461">
        <f t="shared" si="27"/>
        <v>163365.29</v>
      </c>
      <c r="Q175" s="456"/>
      <c r="R175" s="461">
        <v>133662.51</v>
      </c>
      <c r="S175" s="461">
        <v>148513.9</v>
      </c>
      <c r="T175" s="461">
        <f t="shared" si="28"/>
        <v>163365.29</v>
      </c>
      <c r="U175" s="456"/>
      <c r="V175" s="462">
        <f t="shared" si="29"/>
        <v>14851.390000000014</v>
      </c>
      <c r="W175" s="456"/>
      <c r="X175" s="456"/>
    </row>
    <row r="176" spans="1:25" s="7" customFormat="1" outlineLevel="1">
      <c r="A176" s="456"/>
      <c r="B176" s="457" t="s">
        <v>380</v>
      </c>
      <c r="C176" s="458"/>
      <c r="D176" s="459">
        <v>20351</v>
      </c>
      <c r="E176" s="459" t="s">
        <v>861</v>
      </c>
      <c r="F176" s="460"/>
      <c r="G176" s="460"/>
      <c r="H176" s="456"/>
      <c r="I176" s="456"/>
      <c r="J176" s="461">
        <v>10156.76</v>
      </c>
      <c r="K176" s="456"/>
      <c r="L176" s="461">
        <v>0</v>
      </c>
      <c r="M176" s="456"/>
      <c r="N176" s="462">
        <v>0</v>
      </c>
      <c r="O176" s="456"/>
      <c r="P176" s="461">
        <f t="shared" si="27"/>
        <v>10156.76</v>
      </c>
      <c r="Q176" s="456"/>
      <c r="R176" s="461">
        <v>13923.6</v>
      </c>
      <c r="S176" s="461">
        <v>18564.8</v>
      </c>
      <c r="T176" s="461">
        <f t="shared" si="28"/>
        <v>10156.76</v>
      </c>
      <c r="U176" s="456"/>
      <c r="V176" s="462">
        <f t="shared" si="29"/>
        <v>-8408.0399999999991</v>
      </c>
      <c r="W176" s="456"/>
      <c r="X176" s="456"/>
    </row>
    <row r="177" spans="1:25" s="7" customFormat="1" outlineLevel="1">
      <c r="A177" s="456"/>
      <c r="B177" s="457" t="s">
        <v>380</v>
      </c>
      <c r="C177" s="458"/>
      <c r="D177" s="459">
        <v>20360</v>
      </c>
      <c r="E177" s="459" t="s">
        <v>862</v>
      </c>
      <c r="F177" s="460"/>
      <c r="G177" s="460"/>
      <c r="H177" s="456"/>
      <c r="I177" s="456"/>
      <c r="J177" s="461">
        <v>0</v>
      </c>
      <c r="K177" s="456"/>
      <c r="L177" s="461">
        <v>0</v>
      </c>
      <c r="M177" s="456"/>
      <c r="N177" s="462">
        <v>0</v>
      </c>
      <c r="O177" s="456"/>
      <c r="P177" s="461">
        <f t="shared" si="27"/>
        <v>0</v>
      </c>
      <c r="Q177" s="456"/>
      <c r="R177" s="461">
        <v>0</v>
      </c>
      <c r="S177" s="461">
        <v>0</v>
      </c>
      <c r="T177" s="461">
        <f t="shared" si="28"/>
        <v>0</v>
      </c>
      <c r="U177" s="456"/>
      <c r="V177" s="462">
        <f t="shared" si="29"/>
        <v>0</v>
      </c>
      <c r="W177" s="456"/>
      <c r="X177" s="456"/>
    </row>
    <row r="178" spans="1:25" s="7" customFormat="1" ht="4.5" customHeight="1" outlineLevel="1">
      <c r="A178" s="483" t="s">
        <v>187</v>
      </c>
      <c r="B178" s="483" t="s">
        <v>187</v>
      </c>
      <c r="C178" s="483"/>
      <c r="D178" s="494"/>
      <c r="E178" s="456"/>
      <c r="F178" s="456"/>
      <c r="G178" s="456"/>
      <c r="H178" s="456"/>
      <c r="I178" s="456"/>
      <c r="J178" s="487"/>
      <c r="K178" s="456"/>
      <c r="L178" s="487"/>
      <c r="M178" s="456"/>
      <c r="N178" s="488"/>
      <c r="O178" s="456"/>
      <c r="P178" s="487"/>
      <c r="Q178" s="456"/>
      <c r="R178" s="487"/>
      <c r="S178" s="487"/>
      <c r="T178" s="487"/>
      <c r="U178" s="456"/>
      <c r="V178" s="488"/>
      <c r="W178" s="456"/>
      <c r="X178" s="456"/>
      <c r="Y178" s="456"/>
    </row>
    <row r="179" spans="1:25" s="7" customFormat="1">
      <c r="A179" s="458" t="s">
        <v>856</v>
      </c>
      <c r="B179" s="483" t="s">
        <v>187</v>
      </c>
      <c r="C179" s="483"/>
      <c r="D179" s="456"/>
      <c r="E179" s="456"/>
      <c r="F179" s="456" t="s">
        <v>868</v>
      </c>
      <c r="G179" s="456"/>
      <c r="H179" s="456"/>
      <c r="I179" s="456"/>
      <c r="J179" s="485">
        <f>SUM(J172:J178)</f>
        <v>1049140.1399999999</v>
      </c>
      <c r="K179" s="456"/>
      <c r="L179" s="485">
        <f>SUM(L172:L178)</f>
        <v>0</v>
      </c>
      <c r="M179" s="456"/>
      <c r="N179" s="486">
        <f>SUM(N172:N178)</f>
        <v>0</v>
      </c>
      <c r="O179" s="456"/>
      <c r="P179" s="485">
        <f>J179+L179+N179</f>
        <v>1049140.1399999999</v>
      </c>
      <c r="Q179" s="456"/>
      <c r="R179" s="485">
        <f>SUM(R172:R178)</f>
        <v>827868.99999999988</v>
      </c>
      <c r="S179" s="485">
        <f>SUM(S172:S178)</f>
        <v>936455.67</v>
      </c>
      <c r="T179" s="485">
        <f>SUM(T172:T178)</f>
        <v>1049140.1399999999</v>
      </c>
      <c r="U179" s="456"/>
      <c r="V179" s="486">
        <f>SUM(V172:V178)</f>
        <v>112684.47000000003</v>
      </c>
      <c r="W179" s="456"/>
      <c r="X179" s="456"/>
      <c r="Y179" s="456"/>
    </row>
    <row r="180" spans="1:25" s="7" customFormat="1" ht="7.5" customHeight="1">
      <c r="A180" s="483" t="s">
        <v>187</v>
      </c>
      <c r="B180" s="483" t="s">
        <v>187</v>
      </c>
      <c r="C180" s="483"/>
      <c r="D180" s="456"/>
      <c r="E180" s="456"/>
      <c r="F180" s="456"/>
      <c r="G180" s="456"/>
      <c r="H180" s="456"/>
      <c r="I180" s="456"/>
      <c r="J180" s="490"/>
      <c r="K180" s="456"/>
      <c r="L180" s="490"/>
      <c r="M180" s="456"/>
      <c r="N180" s="462"/>
      <c r="O180" s="456"/>
      <c r="P180" s="490"/>
      <c r="Q180" s="456"/>
      <c r="R180" s="490"/>
      <c r="S180" s="490"/>
      <c r="T180" s="490"/>
      <c r="U180" s="456"/>
      <c r="V180" s="462"/>
      <c r="W180" s="456"/>
      <c r="X180" s="456"/>
      <c r="Y180" s="456"/>
    </row>
    <row r="181" spans="1:25" s="7" customFormat="1">
      <c r="A181" s="483" t="s">
        <v>187</v>
      </c>
      <c r="B181" s="483" t="s">
        <v>187</v>
      </c>
      <c r="C181" s="483"/>
      <c r="D181" s="456"/>
      <c r="E181" s="491" t="s">
        <v>869</v>
      </c>
      <c r="F181" s="456"/>
      <c r="G181" s="456"/>
      <c r="H181" s="456"/>
      <c r="I181" s="456"/>
      <c r="J181" s="492">
        <f>SUM(J155,J168,J171,J179,J151)</f>
        <v>3362095.8499999996</v>
      </c>
      <c r="K181" s="456"/>
      <c r="L181" s="492">
        <f>SUM(L155,L168,L171,L179,L151)</f>
        <v>0</v>
      </c>
      <c r="M181" s="456"/>
      <c r="N181" s="493">
        <f>SUM(N155,N168,N171,N179)</f>
        <v>0</v>
      </c>
      <c r="O181" s="456"/>
      <c r="P181" s="492">
        <f>SUM(P155,P168,P171,P179,P151)</f>
        <v>3362095.8499999996</v>
      </c>
      <c r="Q181" s="456"/>
      <c r="R181" s="492">
        <f>SUM(R155,R168,R171,R179,R151)</f>
        <v>3320209.91</v>
      </c>
      <c r="S181" s="492">
        <f>SUM(S155,S168,S171,S179,S151)</f>
        <v>3059214.95</v>
      </c>
      <c r="T181" s="492">
        <f>SUM(T155,T168,T171,T179,T151)</f>
        <v>3362095.8499999996</v>
      </c>
      <c r="U181" s="456"/>
      <c r="V181" s="493">
        <f>SUM(V155,V168,V171,V179,V151)</f>
        <v>302880.90000000002</v>
      </c>
      <c r="W181" s="456"/>
      <c r="X181" s="456"/>
      <c r="Y181" s="456"/>
    </row>
    <row r="182" spans="1:25" s="7" customFormat="1" ht="7.5" customHeight="1">
      <c r="A182" s="483" t="s">
        <v>187</v>
      </c>
      <c r="B182" s="483" t="s">
        <v>187</v>
      </c>
      <c r="C182" s="483"/>
      <c r="D182" s="456"/>
      <c r="E182" s="456"/>
      <c r="F182" s="456"/>
      <c r="G182" s="456"/>
      <c r="H182" s="456"/>
      <c r="I182" s="456"/>
      <c r="J182" s="490"/>
      <c r="K182" s="456"/>
      <c r="L182" s="490"/>
      <c r="M182" s="456"/>
      <c r="N182" s="462"/>
      <c r="O182" s="456"/>
      <c r="P182" s="490"/>
      <c r="Q182" s="456"/>
      <c r="R182" s="490"/>
      <c r="S182" s="490"/>
      <c r="T182" s="490"/>
      <c r="U182" s="456"/>
      <c r="V182" s="462"/>
      <c r="W182" s="456"/>
      <c r="X182" s="456"/>
      <c r="Y182" s="456"/>
    </row>
    <row r="183" spans="1:25" s="7" customFormat="1" outlineLevel="1">
      <c r="A183" s="483" t="s">
        <v>187</v>
      </c>
      <c r="B183" s="483" t="s">
        <v>187</v>
      </c>
      <c r="C183" s="483"/>
      <c r="D183" s="456"/>
      <c r="E183" s="456"/>
      <c r="F183" s="456"/>
      <c r="G183" s="456"/>
      <c r="H183" s="456"/>
      <c r="I183" s="456"/>
      <c r="J183" s="490"/>
      <c r="K183" s="456"/>
      <c r="L183" s="490"/>
      <c r="M183" s="456"/>
      <c r="N183" s="462"/>
      <c r="O183" s="456"/>
      <c r="P183" s="490"/>
      <c r="Q183" s="456"/>
      <c r="R183" s="490"/>
      <c r="S183" s="490"/>
      <c r="T183" s="490"/>
      <c r="U183" s="456"/>
      <c r="V183" s="462"/>
      <c r="W183" s="456"/>
      <c r="X183" s="456"/>
      <c r="Y183" s="456"/>
    </row>
    <row r="184" spans="1:25" s="7" customFormat="1" outlineLevel="1">
      <c r="A184" s="456"/>
      <c r="B184" s="457" t="s">
        <v>870</v>
      </c>
      <c r="C184" s="458"/>
      <c r="D184" s="459"/>
      <c r="E184" s="459"/>
      <c r="F184" s="460"/>
      <c r="G184" s="460"/>
      <c r="H184" s="456"/>
      <c r="I184" s="456"/>
      <c r="J184" s="461"/>
      <c r="K184" s="456"/>
      <c r="L184" s="461"/>
      <c r="M184" s="456"/>
      <c r="N184" s="462"/>
      <c r="O184" s="456"/>
      <c r="P184" s="461">
        <f>J184+L184+N184</f>
        <v>0</v>
      </c>
      <c r="Q184" s="456"/>
      <c r="R184" s="461"/>
      <c r="S184" s="461"/>
      <c r="T184" s="461">
        <f>P184</f>
        <v>0</v>
      </c>
      <c r="U184" s="456"/>
      <c r="V184" s="462">
        <f>T184-S184</f>
        <v>0</v>
      </c>
      <c r="W184" s="456"/>
      <c r="X184" s="456"/>
    </row>
    <row r="185" spans="1:25" s="7" customFormat="1" ht="5.0999999999999996" customHeight="1" outlineLevel="1">
      <c r="A185" s="483" t="s">
        <v>187</v>
      </c>
      <c r="B185" s="483" t="s">
        <v>187</v>
      </c>
      <c r="C185" s="483"/>
      <c r="D185" s="460"/>
      <c r="E185" s="460"/>
      <c r="F185" s="460"/>
      <c r="G185" s="460"/>
      <c r="H185" s="456"/>
      <c r="I185" s="456"/>
      <c r="J185" s="487"/>
      <c r="K185" s="456"/>
      <c r="L185" s="487"/>
      <c r="M185" s="456"/>
      <c r="N185" s="488"/>
      <c r="O185" s="456"/>
      <c r="P185" s="487"/>
      <c r="Q185" s="456"/>
      <c r="R185" s="487"/>
      <c r="S185" s="487"/>
      <c r="T185" s="487"/>
      <c r="U185" s="456"/>
      <c r="V185" s="488"/>
      <c r="W185" s="456"/>
      <c r="X185" s="456"/>
      <c r="Y185" s="456"/>
    </row>
    <row r="186" spans="1:25" s="7" customFormat="1">
      <c r="A186" s="458" t="s">
        <v>870</v>
      </c>
      <c r="B186" s="483" t="s">
        <v>187</v>
      </c>
      <c r="C186" s="483"/>
      <c r="D186" s="456"/>
      <c r="E186" s="456"/>
      <c r="F186" s="459" t="s">
        <v>871</v>
      </c>
      <c r="G186" s="456"/>
      <c r="H186" s="456"/>
      <c r="I186" s="456"/>
      <c r="J186" s="485">
        <f>SUM(J184:J185)</f>
        <v>0</v>
      </c>
      <c r="K186" s="456"/>
      <c r="L186" s="485">
        <f>SUM(L184:L185)</f>
        <v>0</v>
      </c>
      <c r="M186" s="456"/>
      <c r="N186" s="486">
        <f>SUM(N184:N185)</f>
        <v>0</v>
      </c>
      <c r="O186" s="456"/>
      <c r="P186" s="485">
        <f>J186+L186+N186</f>
        <v>0</v>
      </c>
      <c r="Q186" s="456"/>
      <c r="R186" s="485">
        <f>SUM(R184:R185)</f>
        <v>0</v>
      </c>
      <c r="S186" s="485">
        <f>SUM(S184:S185)</f>
        <v>0</v>
      </c>
      <c r="T186" s="485">
        <f>SUM(T184:T185)</f>
        <v>0</v>
      </c>
      <c r="U186" s="456"/>
      <c r="V186" s="486">
        <f>SUM(V184:V185)</f>
        <v>0</v>
      </c>
      <c r="W186" s="456"/>
      <c r="X186" s="456"/>
      <c r="Y186" s="456"/>
    </row>
    <row r="187" spans="1:25" s="7" customFormat="1" outlineLevel="1">
      <c r="A187" s="456"/>
      <c r="B187" s="457" t="s">
        <v>872</v>
      </c>
      <c r="C187" s="458"/>
      <c r="D187" s="459"/>
      <c r="E187" s="459"/>
      <c r="F187" s="460"/>
      <c r="G187" s="460"/>
      <c r="H187" s="456"/>
      <c r="I187" s="456"/>
      <c r="J187" s="461"/>
      <c r="K187" s="456"/>
      <c r="L187" s="461"/>
      <c r="M187" s="456"/>
      <c r="N187" s="462"/>
      <c r="O187" s="456"/>
      <c r="P187" s="461">
        <f>J187+L187+N187</f>
        <v>0</v>
      </c>
      <c r="Q187" s="456"/>
      <c r="R187" s="461"/>
      <c r="S187" s="461"/>
      <c r="T187" s="461">
        <f>P187</f>
        <v>0</v>
      </c>
      <c r="U187" s="456"/>
      <c r="V187" s="462">
        <f>T187-S187</f>
        <v>0</v>
      </c>
      <c r="W187" s="456"/>
      <c r="X187" s="456"/>
    </row>
    <row r="188" spans="1:25" s="7" customFormat="1" ht="5.0999999999999996" customHeight="1" outlineLevel="1">
      <c r="A188" s="483" t="s">
        <v>187</v>
      </c>
      <c r="B188" s="483" t="s">
        <v>187</v>
      </c>
      <c r="C188" s="483"/>
      <c r="D188" s="460"/>
      <c r="E188" s="460"/>
      <c r="F188" s="460"/>
      <c r="G188" s="460"/>
      <c r="H188" s="456"/>
      <c r="I188" s="456"/>
      <c r="J188" s="487"/>
      <c r="K188" s="456"/>
      <c r="L188" s="487"/>
      <c r="M188" s="456"/>
      <c r="N188" s="488"/>
      <c r="O188" s="456"/>
      <c r="P188" s="487"/>
      <c r="Q188" s="456"/>
      <c r="R188" s="487"/>
      <c r="S188" s="487"/>
      <c r="T188" s="487"/>
      <c r="U188" s="456"/>
      <c r="V188" s="488"/>
      <c r="W188" s="456"/>
      <c r="X188" s="456"/>
      <c r="Y188" s="456"/>
    </row>
    <row r="189" spans="1:25" s="7" customFormat="1">
      <c r="A189" s="458" t="s">
        <v>872</v>
      </c>
      <c r="B189" s="483" t="s">
        <v>187</v>
      </c>
      <c r="C189" s="483"/>
      <c r="D189" s="456"/>
      <c r="E189" s="456"/>
      <c r="F189" s="459" t="s">
        <v>873</v>
      </c>
      <c r="G189" s="456"/>
      <c r="H189" s="456"/>
      <c r="I189" s="456"/>
      <c r="J189" s="485">
        <f>SUM(J187:J188)</f>
        <v>0</v>
      </c>
      <c r="K189" s="456"/>
      <c r="L189" s="485">
        <f>SUM(L187:L188)</f>
        <v>0</v>
      </c>
      <c r="M189" s="456"/>
      <c r="N189" s="486">
        <f>SUM(N187:N188)</f>
        <v>0</v>
      </c>
      <c r="O189" s="456"/>
      <c r="P189" s="485">
        <f>J189+L189+N189</f>
        <v>0</v>
      </c>
      <c r="Q189" s="456"/>
      <c r="R189" s="485">
        <f>SUM(R187:R188)</f>
        <v>0</v>
      </c>
      <c r="S189" s="485">
        <f>SUM(S187:S188)</f>
        <v>0</v>
      </c>
      <c r="T189" s="485">
        <f>SUM(T187:T188)</f>
        <v>0</v>
      </c>
      <c r="U189" s="456"/>
      <c r="V189" s="486">
        <f>SUM(V187:V188)</f>
        <v>0</v>
      </c>
      <c r="W189" s="456"/>
      <c r="X189" s="456"/>
      <c r="Y189" s="456"/>
    </row>
    <row r="190" spans="1:25" s="7" customFormat="1" outlineLevel="1">
      <c r="A190" s="456"/>
      <c r="B190" s="457" t="s">
        <v>874</v>
      </c>
      <c r="C190" s="458"/>
      <c r="D190" s="459"/>
      <c r="E190" s="459"/>
      <c r="F190" s="460"/>
      <c r="G190" s="460"/>
      <c r="H190" s="456"/>
      <c r="I190" s="456"/>
      <c r="J190" s="461"/>
      <c r="K190" s="456"/>
      <c r="L190" s="461"/>
      <c r="M190" s="456"/>
      <c r="N190" s="462"/>
      <c r="O190" s="456"/>
      <c r="P190" s="461">
        <f>J190+L190+N190</f>
        <v>0</v>
      </c>
      <c r="Q190" s="456"/>
      <c r="R190" s="461"/>
      <c r="S190" s="461"/>
      <c r="T190" s="461">
        <f>P190</f>
        <v>0</v>
      </c>
      <c r="U190" s="456"/>
      <c r="V190" s="462">
        <f>T190-S190</f>
        <v>0</v>
      </c>
      <c r="W190" s="456"/>
      <c r="X190" s="456"/>
    </row>
    <row r="191" spans="1:25" s="7" customFormat="1" ht="5.0999999999999996" customHeight="1" outlineLevel="1">
      <c r="A191" s="483" t="s">
        <v>187</v>
      </c>
      <c r="B191" s="458" t="s">
        <v>187</v>
      </c>
      <c r="C191" s="458"/>
      <c r="D191" s="460"/>
      <c r="E191" s="460"/>
      <c r="F191" s="460"/>
      <c r="G191" s="460"/>
      <c r="H191" s="456"/>
      <c r="I191" s="456"/>
      <c r="J191" s="487"/>
      <c r="K191" s="456"/>
      <c r="L191" s="487"/>
      <c r="M191" s="456"/>
      <c r="N191" s="488"/>
      <c r="O191" s="456"/>
      <c r="P191" s="487"/>
      <c r="Q191" s="456"/>
      <c r="R191" s="487"/>
      <c r="S191" s="487"/>
      <c r="T191" s="487"/>
      <c r="U191" s="456"/>
      <c r="V191" s="488"/>
      <c r="W191" s="456"/>
      <c r="X191" s="456"/>
      <c r="Y191" s="456"/>
    </row>
    <row r="192" spans="1:25" s="7" customFormat="1">
      <c r="A192" s="458" t="s">
        <v>874</v>
      </c>
      <c r="B192" s="458" t="s">
        <v>187</v>
      </c>
      <c r="C192" s="458"/>
      <c r="D192" s="456"/>
      <c r="E192" s="456"/>
      <c r="F192" s="459" t="s">
        <v>878</v>
      </c>
      <c r="G192" s="456"/>
      <c r="H192" s="456"/>
      <c r="I192" s="456"/>
      <c r="J192" s="485">
        <f>SUM(J190:J191)</f>
        <v>0</v>
      </c>
      <c r="K192" s="456"/>
      <c r="L192" s="485">
        <f>SUM(L190:L191)</f>
        <v>0</v>
      </c>
      <c r="M192" s="456"/>
      <c r="N192" s="486">
        <f>SUM(N190:N191)</f>
        <v>0</v>
      </c>
      <c r="O192" s="456"/>
      <c r="P192" s="485">
        <f>J192+L192+N192</f>
        <v>0</v>
      </c>
      <c r="Q192" s="456"/>
      <c r="R192" s="485">
        <f>SUM(R190:R191)</f>
        <v>0</v>
      </c>
      <c r="S192" s="485">
        <f>SUM(S190:S191)</f>
        <v>0</v>
      </c>
      <c r="T192" s="485">
        <f>SUM(T190:T191)</f>
        <v>0</v>
      </c>
      <c r="U192" s="456"/>
      <c r="V192" s="486">
        <f>SUM(V190:V191)</f>
        <v>0</v>
      </c>
      <c r="W192" s="456"/>
      <c r="X192" s="456"/>
      <c r="Y192" s="456"/>
    </row>
    <row r="193" spans="1:25" s="7" customFormat="1" outlineLevel="1">
      <c r="A193" s="456"/>
      <c r="B193" s="457" t="s">
        <v>879</v>
      </c>
      <c r="C193" s="458"/>
      <c r="D193" s="459"/>
      <c r="E193" s="459"/>
      <c r="F193" s="460"/>
      <c r="G193" s="460"/>
      <c r="H193" s="456"/>
      <c r="I193" s="456"/>
      <c r="J193" s="461"/>
      <c r="K193" s="456"/>
      <c r="L193" s="461"/>
      <c r="M193" s="456"/>
      <c r="N193" s="462"/>
      <c r="O193" s="456"/>
      <c r="P193" s="461">
        <f>J193+L193+N193</f>
        <v>0</v>
      </c>
      <c r="Q193" s="456"/>
      <c r="R193" s="461"/>
      <c r="S193" s="461"/>
      <c r="T193" s="461">
        <f>P193</f>
        <v>0</v>
      </c>
      <c r="U193" s="456"/>
      <c r="V193" s="462">
        <f>T193-S193</f>
        <v>0</v>
      </c>
      <c r="W193" s="456"/>
      <c r="X193" s="456"/>
    </row>
    <row r="194" spans="1:25" s="7" customFormat="1" ht="5.0999999999999996" customHeight="1" outlineLevel="1">
      <c r="A194" s="458" t="s">
        <v>187</v>
      </c>
      <c r="B194" s="483"/>
      <c r="C194" s="483"/>
      <c r="D194" s="459"/>
      <c r="E194" s="459"/>
      <c r="F194" s="456"/>
      <c r="G194" s="456"/>
      <c r="H194" s="456"/>
      <c r="I194" s="456"/>
      <c r="J194" s="487"/>
      <c r="K194" s="456"/>
      <c r="L194" s="487"/>
      <c r="M194" s="456"/>
      <c r="N194" s="488"/>
      <c r="O194" s="456"/>
      <c r="P194" s="487"/>
      <c r="Q194" s="456"/>
      <c r="R194" s="487"/>
      <c r="S194" s="487"/>
      <c r="T194" s="487"/>
      <c r="U194" s="456"/>
      <c r="V194" s="488"/>
      <c r="W194" s="456"/>
      <c r="X194" s="456"/>
      <c r="Y194" s="456"/>
    </row>
    <row r="195" spans="1:25" s="7" customFormat="1" ht="12.75" customHeight="1">
      <c r="A195" s="458" t="s">
        <v>879</v>
      </c>
      <c r="B195" s="483" t="s">
        <v>187</v>
      </c>
      <c r="C195" s="483"/>
      <c r="D195" s="456"/>
      <c r="E195" s="456"/>
      <c r="F195" s="456" t="s">
        <v>880</v>
      </c>
      <c r="G195" s="456"/>
      <c r="H195" s="456"/>
      <c r="I195" s="456"/>
      <c r="J195" s="485">
        <f>SUM(J193:J194)</f>
        <v>0</v>
      </c>
      <c r="K195" s="456"/>
      <c r="L195" s="485">
        <f>SUM(L193:L194)</f>
        <v>0</v>
      </c>
      <c r="M195" s="456"/>
      <c r="N195" s="486">
        <f>SUM(N193:N194)</f>
        <v>0</v>
      </c>
      <c r="O195" s="456"/>
      <c r="P195" s="485">
        <f>J195+L195+N195</f>
        <v>0</v>
      </c>
      <c r="Q195" s="456"/>
      <c r="R195" s="485">
        <f>SUM(R193:R194)</f>
        <v>0</v>
      </c>
      <c r="S195" s="485">
        <f>SUM(S193:S194)</f>
        <v>0</v>
      </c>
      <c r="T195" s="485">
        <f>SUM(T193:T194)</f>
        <v>0</v>
      </c>
      <c r="U195" s="456"/>
      <c r="V195" s="486">
        <f>SUM(V193:V194)</f>
        <v>0</v>
      </c>
      <c r="W195" s="456"/>
      <c r="X195" s="456"/>
      <c r="Y195" s="456"/>
    </row>
    <row r="196" spans="1:25" s="7" customFormat="1" outlineLevel="1">
      <c r="A196" s="456"/>
      <c r="B196" s="457" t="s">
        <v>881</v>
      </c>
      <c r="C196" s="458"/>
      <c r="D196" s="459"/>
      <c r="E196" s="459"/>
      <c r="F196" s="460"/>
      <c r="G196" s="460"/>
      <c r="H196" s="456"/>
      <c r="I196" s="456"/>
      <c r="J196" s="461"/>
      <c r="K196" s="456"/>
      <c r="L196" s="461"/>
      <c r="M196" s="456"/>
      <c r="N196" s="462"/>
      <c r="O196" s="456"/>
      <c r="P196" s="461">
        <f>J196+L196+N196</f>
        <v>0</v>
      </c>
      <c r="Q196" s="456"/>
      <c r="R196" s="461"/>
      <c r="S196" s="461"/>
      <c r="T196" s="461">
        <f>P196</f>
        <v>0</v>
      </c>
      <c r="U196" s="456"/>
      <c r="V196" s="462">
        <f>T196-S196</f>
        <v>0</v>
      </c>
      <c r="W196" s="456"/>
      <c r="X196" s="456"/>
    </row>
    <row r="197" spans="1:25" s="7" customFormat="1" ht="5.0999999999999996" customHeight="1" outlineLevel="1">
      <c r="A197" s="483" t="s">
        <v>187</v>
      </c>
      <c r="B197" s="458" t="s">
        <v>187</v>
      </c>
      <c r="C197" s="458"/>
      <c r="D197" s="460"/>
      <c r="E197" s="460"/>
      <c r="F197" s="460"/>
      <c r="G197" s="460"/>
      <c r="H197" s="456"/>
      <c r="I197" s="456"/>
      <c r="J197" s="487"/>
      <c r="K197" s="456"/>
      <c r="L197" s="487"/>
      <c r="M197" s="456"/>
      <c r="N197" s="488"/>
      <c r="O197" s="456"/>
      <c r="P197" s="487"/>
      <c r="Q197" s="456"/>
      <c r="R197" s="487"/>
      <c r="S197" s="487"/>
      <c r="T197" s="487"/>
      <c r="U197" s="456"/>
      <c r="V197" s="488"/>
      <c r="W197" s="456"/>
      <c r="X197" s="456"/>
      <c r="Y197" s="456"/>
    </row>
    <row r="198" spans="1:25" s="7" customFormat="1">
      <c r="A198" s="458" t="s">
        <v>881</v>
      </c>
      <c r="B198" s="458" t="s">
        <v>187</v>
      </c>
      <c r="C198" s="458"/>
      <c r="D198" s="456"/>
      <c r="E198" s="456"/>
      <c r="F198" s="459" t="s">
        <v>882</v>
      </c>
      <c r="G198" s="456"/>
      <c r="H198" s="456"/>
      <c r="I198" s="456"/>
      <c r="J198" s="485">
        <f>SUM(J196:J197)</f>
        <v>0</v>
      </c>
      <c r="K198" s="456"/>
      <c r="L198" s="485">
        <f>SUM(L196:L197)</f>
        <v>0</v>
      </c>
      <c r="M198" s="456"/>
      <c r="N198" s="486">
        <f>SUM(N196:N197)</f>
        <v>0</v>
      </c>
      <c r="O198" s="456"/>
      <c r="P198" s="485">
        <f>J198+L198+N198</f>
        <v>0</v>
      </c>
      <c r="Q198" s="456"/>
      <c r="R198" s="485">
        <f>SUM(R196:R197)</f>
        <v>0</v>
      </c>
      <c r="S198" s="485">
        <f>SUM(S196:S197)</f>
        <v>0</v>
      </c>
      <c r="T198" s="485">
        <f>SUM(T196:T197)</f>
        <v>0</v>
      </c>
      <c r="U198" s="456"/>
      <c r="V198" s="486">
        <f>SUM(V196:V197)</f>
        <v>0</v>
      </c>
      <c r="W198" s="456"/>
      <c r="X198" s="456"/>
      <c r="Y198" s="456"/>
    </row>
    <row r="199" spans="1:25" s="7" customFormat="1" outlineLevel="1">
      <c r="A199" s="456"/>
      <c r="B199" s="457" t="s">
        <v>883</v>
      </c>
      <c r="C199" s="458"/>
      <c r="D199" s="459"/>
      <c r="E199" s="459"/>
      <c r="F199" s="460"/>
      <c r="G199" s="460"/>
      <c r="H199" s="456"/>
      <c r="I199" s="456"/>
      <c r="J199" s="461"/>
      <c r="K199" s="456"/>
      <c r="L199" s="461"/>
      <c r="M199" s="456"/>
      <c r="N199" s="462"/>
      <c r="O199" s="456"/>
      <c r="P199" s="461">
        <f>J199+L199+N199</f>
        <v>0</v>
      </c>
      <c r="Q199" s="456"/>
      <c r="R199" s="461"/>
      <c r="S199" s="461"/>
      <c r="T199" s="461">
        <f>P199</f>
        <v>0</v>
      </c>
      <c r="U199" s="456"/>
      <c r="V199" s="462">
        <f>T199-S199</f>
        <v>0</v>
      </c>
      <c r="W199" s="456"/>
      <c r="X199" s="456"/>
    </row>
    <row r="200" spans="1:25" s="7" customFormat="1" ht="5.0999999999999996" customHeight="1" outlineLevel="1">
      <c r="A200" s="458" t="s">
        <v>187</v>
      </c>
      <c r="B200" s="458" t="s">
        <v>187</v>
      </c>
      <c r="C200" s="458"/>
      <c r="D200" s="460"/>
      <c r="E200" s="460"/>
      <c r="F200" s="460"/>
      <c r="G200" s="460"/>
      <c r="H200" s="456"/>
      <c r="I200" s="456"/>
      <c r="J200" s="487"/>
      <c r="K200" s="456"/>
      <c r="L200" s="487"/>
      <c r="M200" s="456"/>
      <c r="N200" s="488"/>
      <c r="O200" s="456"/>
      <c r="P200" s="487"/>
      <c r="Q200" s="456"/>
      <c r="R200" s="487"/>
      <c r="S200" s="487"/>
      <c r="T200" s="487"/>
      <c r="U200" s="456"/>
      <c r="V200" s="488"/>
      <c r="W200" s="456"/>
      <c r="X200" s="456"/>
      <c r="Y200" s="456"/>
    </row>
    <row r="201" spans="1:25" s="7" customFormat="1">
      <c r="A201" s="458" t="s">
        <v>883</v>
      </c>
      <c r="B201" s="458" t="s">
        <v>187</v>
      </c>
      <c r="C201" s="458"/>
      <c r="D201" s="456"/>
      <c r="E201" s="456"/>
      <c r="F201" s="459" t="s">
        <v>884</v>
      </c>
      <c r="G201" s="456"/>
      <c r="H201" s="456"/>
      <c r="I201" s="456"/>
      <c r="J201" s="485">
        <f>SUM(J199:J200)</f>
        <v>0</v>
      </c>
      <c r="K201" s="456"/>
      <c r="L201" s="485">
        <f>SUM(L199:L200)</f>
        <v>0</v>
      </c>
      <c r="M201" s="456"/>
      <c r="N201" s="486">
        <f>SUM(N199:N200)</f>
        <v>0</v>
      </c>
      <c r="O201" s="456"/>
      <c r="P201" s="485">
        <f>J201+L201+N201</f>
        <v>0</v>
      </c>
      <c r="Q201" s="456"/>
      <c r="R201" s="485">
        <f>SUM(R199:R200)</f>
        <v>0</v>
      </c>
      <c r="S201" s="485">
        <f>SUM(S199:S200)</f>
        <v>0</v>
      </c>
      <c r="T201" s="485">
        <f>SUM(T199:T200)</f>
        <v>0</v>
      </c>
      <c r="U201" s="456"/>
      <c r="V201" s="486">
        <f>SUM(V199:V200)</f>
        <v>0</v>
      </c>
      <c r="W201" s="456"/>
      <c r="X201" s="456"/>
      <c r="Y201" s="456"/>
    </row>
    <row r="202" spans="1:25" s="7" customFormat="1" outlineLevel="1">
      <c r="A202" s="456"/>
      <c r="B202" s="457" t="s">
        <v>885</v>
      </c>
      <c r="C202" s="458"/>
      <c r="D202" s="459"/>
      <c r="E202" s="459"/>
      <c r="F202" s="460"/>
      <c r="G202" s="460"/>
      <c r="H202" s="456"/>
      <c r="I202" s="456"/>
      <c r="J202" s="461"/>
      <c r="K202" s="456"/>
      <c r="L202" s="461"/>
      <c r="M202" s="456"/>
      <c r="N202" s="462"/>
      <c r="O202" s="456"/>
      <c r="P202" s="461">
        <f>J202+L202+N202</f>
        <v>0</v>
      </c>
      <c r="Q202" s="456"/>
      <c r="R202" s="461"/>
      <c r="S202" s="461"/>
      <c r="T202" s="461">
        <f>P202</f>
        <v>0</v>
      </c>
      <c r="U202" s="456"/>
      <c r="V202" s="462">
        <f>T202-S202</f>
        <v>0</v>
      </c>
      <c r="W202" s="456"/>
      <c r="X202" s="456"/>
    </row>
    <row r="203" spans="1:25" s="7" customFormat="1" ht="5.0999999999999996" customHeight="1" outlineLevel="1">
      <c r="A203" s="483" t="s">
        <v>187</v>
      </c>
      <c r="B203" s="483" t="s">
        <v>187</v>
      </c>
      <c r="C203" s="483"/>
      <c r="D203" s="460"/>
      <c r="E203" s="460"/>
      <c r="F203" s="460"/>
      <c r="G203" s="460"/>
      <c r="H203" s="456"/>
      <c r="I203" s="456"/>
      <c r="J203" s="487"/>
      <c r="K203" s="456"/>
      <c r="L203" s="487"/>
      <c r="M203" s="456"/>
      <c r="N203" s="488"/>
      <c r="O203" s="456"/>
      <c r="P203" s="487"/>
      <c r="Q203" s="456"/>
      <c r="R203" s="487"/>
      <c r="S203" s="487"/>
      <c r="T203" s="487"/>
      <c r="U203" s="456"/>
      <c r="V203" s="488"/>
      <c r="W203" s="456"/>
      <c r="X203" s="456"/>
      <c r="Y203" s="456"/>
    </row>
    <row r="204" spans="1:25" s="7" customFormat="1">
      <c r="A204" s="458" t="s">
        <v>885</v>
      </c>
      <c r="B204" s="458" t="s">
        <v>187</v>
      </c>
      <c r="C204" s="458"/>
      <c r="D204" s="456"/>
      <c r="E204" s="456"/>
      <c r="F204" s="459" t="s">
        <v>886</v>
      </c>
      <c r="G204" s="456"/>
      <c r="H204" s="456"/>
      <c r="I204" s="456"/>
      <c r="J204" s="485">
        <f>SUM(J202:J203)</f>
        <v>0</v>
      </c>
      <c r="K204" s="456"/>
      <c r="L204" s="485">
        <f>SUM(L202:L203)</f>
        <v>0</v>
      </c>
      <c r="M204" s="456"/>
      <c r="N204" s="486">
        <f>SUM(N202:N203)</f>
        <v>0</v>
      </c>
      <c r="O204" s="456"/>
      <c r="P204" s="485">
        <f>J204+L204+N204</f>
        <v>0</v>
      </c>
      <c r="Q204" s="456"/>
      <c r="R204" s="485">
        <f>SUM(R202:R203)</f>
        <v>0</v>
      </c>
      <c r="S204" s="485">
        <f>SUM(S202:S203)</f>
        <v>0</v>
      </c>
      <c r="T204" s="485">
        <f>SUM(T202:T203)</f>
        <v>0</v>
      </c>
      <c r="U204" s="456"/>
      <c r="V204" s="486">
        <f>SUM(V202:V203)</f>
        <v>0</v>
      </c>
      <c r="W204" s="456"/>
      <c r="X204" s="456"/>
      <c r="Y204" s="456"/>
    </row>
    <row r="205" spans="1:25" s="7" customFormat="1" ht="7.5" customHeight="1">
      <c r="A205" s="458" t="s">
        <v>187</v>
      </c>
      <c r="B205" s="458" t="s">
        <v>187</v>
      </c>
      <c r="C205" s="458"/>
      <c r="D205" s="456"/>
      <c r="E205" s="456"/>
      <c r="F205" s="456"/>
      <c r="G205" s="456"/>
      <c r="H205" s="456"/>
      <c r="I205" s="456"/>
      <c r="J205" s="490"/>
      <c r="K205" s="456"/>
      <c r="L205" s="490"/>
      <c r="M205" s="456"/>
      <c r="N205" s="462"/>
      <c r="O205" s="456"/>
      <c r="P205" s="490"/>
      <c r="Q205" s="456"/>
      <c r="R205" s="490"/>
      <c r="S205" s="490"/>
      <c r="T205" s="490"/>
      <c r="U205" s="456"/>
      <c r="V205" s="462"/>
      <c r="W205" s="456"/>
      <c r="X205" s="456"/>
      <c r="Y205" s="456"/>
    </row>
    <row r="206" spans="1:25" s="7" customFormat="1">
      <c r="A206" s="458" t="s">
        <v>187</v>
      </c>
      <c r="B206" s="458" t="s">
        <v>187</v>
      </c>
      <c r="C206" s="458"/>
      <c r="D206" s="456"/>
      <c r="E206" s="491" t="s">
        <v>887</v>
      </c>
      <c r="F206" s="456"/>
      <c r="G206" s="456"/>
      <c r="H206" s="456"/>
      <c r="I206" s="456"/>
      <c r="J206" s="492">
        <f>SUM(J186,J192,J201,J181,J189,J198,J195)</f>
        <v>3362095.8499999996</v>
      </c>
      <c r="K206" s="456"/>
      <c r="L206" s="492">
        <f>SUM(L186,L192,L201,L181,L189,L198,L195)</f>
        <v>0</v>
      </c>
      <c r="M206" s="456"/>
      <c r="N206" s="493">
        <f>SUM(N186,N192,N201,N181,N189,N198,N195)</f>
        <v>0</v>
      </c>
      <c r="O206" s="456"/>
      <c r="P206" s="492">
        <f>SUM(P186,P192,P201,P181,P189,P198,P195)</f>
        <v>3362095.8499999996</v>
      </c>
      <c r="Q206" s="456"/>
      <c r="R206" s="492">
        <f>SUM(R186,R192,R201,R181,R189,R198,R195)</f>
        <v>3320209.91</v>
      </c>
      <c r="S206" s="492">
        <f>SUM(S186,S192,S201,S181,S189,S198,S195)</f>
        <v>3059214.95</v>
      </c>
      <c r="T206" s="492">
        <f>SUM(T186,T192,T201,T181,T189,T198,T195)</f>
        <v>3362095.8499999996</v>
      </c>
      <c r="U206" s="456"/>
      <c r="V206" s="493">
        <f>SUM(V186,V192,V201,V181,V189,V198,V195)</f>
        <v>302880.90000000002</v>
      </c>
      <c r="W206" s="456"/>
      <c r="X206" s="456"/>
      <c r="Y206" s="456"/>
    </row>
    <row r="207" spans="1:25" s="7" customFormat="1" ht="7.5" customHeight="1">
      <c r="A207" s="458" t="s">
        <v>187</v>
      </c>
      <c r="B207" s="458" t="s">
        <v>187</v>
      </c>
      <c r="C207" s="458"/>
      <c r="D207" s="456"/>
      <c r="E207" s="456"/>
      <c r="F207" s="456"/>
      <c r="G207" s="456"/>
      <c r="H207" s="456"/>
      <c r="I207" s="456"/>
      <c r="J207" s="490"/>
      <c r="K207" s="456"/>
      <c r="L207" s="490"/>
      <c r="M207" s="456"/>
      <c r="N207" s="462"/>
      <c r="O207" s="456"/>
      <c r="P207" s="490"/>
      <c r="Q207" s="456"/>
      <c r="R207" s="490"/>
      <c r="S207" s="490"/>
      <c r="T207" s="490"/>
      <c r="U207" s="456"/>
      <c r="V207" s="462"/>
      <c r="W207" s="456"/>
      <c r="X207" s="456"/>
      <c r="Y207" s="456"/>
    </row>
    <row r="208" spans="1:25" s="7" customFormat="1" outlineLevel="1">
      <c r="A208" s="456"/>
      <c r="B208" s="457" t="s">
        <v>888</v>
      </c>
      <c r="C208" s="458"/>
      <c r="D208" s="459"/>
      <c r="E208" s="459"/>
      <c r="F208" s="460"/>
      <c r="G208" s="460"/>
      <c r="H208" s="456"/>
      <c r="I208" s="456"/>
      <c r="J208" s="461"/>
      <c r="K208" s="456"/>
      <c r="L208" s="461"/>
      <c r="M208" s="456"/>
      <c r="N208" s="462"/>
      <c r="O208" s="456"/>
      <c r="P208" s="461">
        <f>J208+L208+N208</f>
        <v>0</v>
      </c>
      <c r="Q208" s="456"/>
      <c r="R208" s="461"/>
      <c r="S208" s="461"/>
      <c r="T208" s="461">
        <f>P208</f>
        <v>0</v>
      </c>
      <c r="U208" s="456"/>
      <c r="V208" s="462">
        <f>T208-S208</f>
        <v>0</v>
      </c>
      <c r="W208" s="456"/>
      <c r="X208" s="456"/>
    </row>
    <row r="209" spans="1:25" s="7" customFormat="1" ht="5.0999999999999996" customHeight="1" outlineLevel="1">
      <c r="A209" s="458" t="s">
        <v>187</v>
      </c>
      <c r="B209" s="458" t="s">
        <v>187</v>
      </c>
      <c r="C209" s="458"/>
      <c r="D209" s="460"/>
      <c r="E209" s="460"/>
      <c r="F209" s="460"/>
      <c r="G209" s="460"/>
      <c r="H209" s="456"/>
      <c r="I209" s="456"/>
      <c r="J209" s="487"/>
      <c r="K209" s="456"/>
      <c r="L209" s="487"/>
      <c r="M209" s="456"/>
      <c r="N209" s="488"/>
      <c r="O209" s="456"/>
      <c r="P209" s="487"/>
      <c r="Q209" s="456"/>
      <c r="R209" s="487"/>
      <c r="S209" s="487"/>
      <c r="T209" s="487"/>
      <c r="U209" s="456"/>
      <c r="V209" s="488"/>
      <c r="W209" s="456"/>
      <c r="X209" s="456"/>
      <c r="Y209" s="456"/>
    </row>
    <row r="210" spans="1:25" s="7" customFormat="1">
      <c r="A210" s="458" t="s">
        <v>888</v>
      </c>
      <c r="B210" s="458" t="s">
        <v>187</v>
      </c>
      <c r="C210" s="458"/>
      <c r="D210" s="456"/>
      <c r="E210" s="456"/>
      <c r="F210" s="459" t="s">
        <v>889</v>
      </c>
      <c r="G210" s="456"/>
      <c r="H210" s="456"/>
      <c r="I210" s="456"/>
      <c r="J210" s="485">
        <f>SUM(J208:J209)</f>
        <v>0</v>
      </c>
      <c r="K210" s="456"/>
      <c r="L210" s="485">
        <f>SUM(L208:L209)</f>
        <v>0</v>
      </c>
      <c r="M210" s="456"/>
      <c r="N210" s="486">
        <f>SUM(N208:N209)</f>
        <v>0</v>
      </c>
      <c r="O210" s="456"/>
      <c r="P210" s="485">
        <f>J210+L210+N210</f>
        <v>0</v>
      </c>
      <c r="Q210" s="456"/>
      <c r="R210" s="485">
        <f>SUM(R208:R209)</f>
        <v>0</v>
      </c>
      <c r="S210" s="485">
        <f>SUM(S208:S209)</f>
        <v>0</v>
      </c>
      <c r="T210" s="485">
        <f>SUM(T208:T209)</f>
        <v>0</v>
      </c>
      <c r="U210" s="456"/>
      <c r="V210" s="486">
        <f>SUM(V208:V209)</f>
        <v>0</v>
      </c>
      <c r="W210" s="456"/>
      <c r="X210" s="456"/>
      <c r="Y210" s="456"/>
    </row>
    <row r="211" spans="1:25" s="7" customFormat="1" outlineLevel="1">
      <c r="A211" s="456"/>
      <c r="B211" s="457" t="s">
        <v>890</v>
      </c>
      <c r="C211" s="458"/>
      <c r="D211" s="459"/>
      <c r="E211" s="459"/>
      <c r="F211" s="460"/>
      <c r="G211" s="460"/>
      <c r="H211" s="456"/>
      <c r="I211" s="456"/>
      <c r="J211" s="461"/>
      <c r="K211" s="456"/>
      <c r="L211" s="461"/>
      <c r="M211" s="456"/>
      <c r="N211" s="462"/>
      <c r="O211" s="456"/>
      <c r="P211" s="461">
        <f>J211+L211+N211</f>
        <v>0</v>
      </c>
      <c r="Q211" s="456"/>
      <c r="R211" s="461"/>
      <c r="S211" s="461"/>
      <c r="T211" s="461">
        <f>P211</f>
        <v>0</v>
      </c>
      <c r="U211" s="456"/>
      <c r="V211" s="462">
        <f>T211-S211</f>
        <v>0</v>
      </c>
      <c r="W211" s="456"/>
      <c r="X211" s="456"/>
    </row>
    <row r="212" spans="1:25" s="7" customFormat="1" ht="5.0999999999999996" customHeight="1" outlineLevel="1">
      <c r="A212" s="458" t="s">
        <v>187</v>
      </c>
      <c r="B212" s="458" t="s">
        <v>187</v>
      </c>
      <c r="C212" s="458"/>
      <c r="D212" s="460"/>
      <c r="E212" s="460"/>
      <c r="F212" s="460"/>
      <c r="G212" s="460"/>
      <c r="H212" s="456"/>
      <c r="I212" s="456"/>
      <c r="J212" s="487"/>
      <c r="K212" s="456"/>
      <c r="L212" s="487"/>
      <c r="M212" s="456"/>
      <c r="N212" s="488"/>
      <c r="O212" s="456"/>
      <c r="P212" s="487"/>
      <c r="Q212" s="456"/>
      <c r="R212" s="487"/>
      <c r="S212" s="487"/>
      <c r="T212" s="487"/>
      <c r="U212" s="456"/>
      <c r="V212" s="488"/>
      <c r="W212" s="456"/>
      <c r="X212" s="456"/>
      <c r="Y212" s="456"/>
    </row>
    <row r="213" spans="1:25" s="7" customFormat="1">
      <c r="A213" s="499" t="s">
        <v>890</v>
      </c>
      <c r="B213" s="458" t="s">
        <v>187</v>
      </c>
      <c r="C213" s="458"/>
      <c r="D213" s="456"/>
      <c r="E213" s="456"/>
      <c r="F213" s="459" t="s">
        <v>891</v>
      </c>
      <c r="G213" s="456"/>
      <c r="H213" s="456"/>
      <c r="I213" s="456"/>
      <c r="J213" s="485">
        <f>SUM(J211:J212)</f>
        <v>0</v>
      </c>
      <c r="K213" s="456"/>
      <c r="L213" s="485">
        <f>SUM(L211:L212)</f>
        <v>0</v>
      </c>
      <c r="M213" s="456"/>
      <c r="N213" s="486">
        <f>SUM(N211:N212)</f>
        <v>0</v>
      </c>
      <c r="O213" s="456"/>
      <c r="P213" s="485">
        <f>J213+L213+N213</f>
        <v>0</v>
      </c>
      <c r="Q213" s="456"/>
      <c r="R213" s="485">
        <f>SUM(R211:R212)</f>
        <v>0</v>
      </c>
      <c r="S213" s="485">
        <f>SUM(S211:S212)</f>
        <v>0</v>
      </c>
      <c r="T213" s="485">
        <f>SUM(T211:T212)</f>
        <v>0</v>
      </c>
      <c r="U213" s="456"/>
      <c r="V213" s="486">
        <f>SUM(V211:V212)</f>
        <v>0</v>
      </c>
      <c r="W213" s="456"/>
      <c r="X213" s="456"/>
      <c r="Y213" s="456"/>
    </row>
    <row r="214" spans="1:25" s="7" customFormat="1" outlineLevel="1">
      <c r="A214" s="456"/>
      <c r="B214" s="457" t="s">
        <v>892</v>
      </c>
      <c r="C214" s="458"/>
      <c r="D214" s="459"/>
      <c r="E214" s="459"/>
      <c r="F214" s="460"/>
      <c r="G214" s="460"/>
      <c r="H214" s="456"/>
      <c r="I214" s="456"/>
      <c r="J214" s="461"/>
      <c r="K214" s="456"/>
      <c r="L214" s="461"/>
      <c r="M214" s="456"/>
      <c r="N214" s="462"/>
      <c r="O214" s="456"/>
      <c r="P214" s="461">
        <f>J214+L214+N214</f>
        <v>0</v>
      </c>
      <c r="Q214" s="456"/>
      <c r="R214" s="461"/>
      <c r="S214" s="461"/>
      <c r="T214" s="461">
        <f>P214</f>
        <v>0</v>
      </c>
      <c r="U214" s="456"/>
      <c r="V214" s="462">
        <f>T214-S214</f>
        <v>0</v>
      </c>
      <c r="W214" s="456"/>
      <c r="X214" s="456"/>
    </row>
    <row r="215" spans="1:25" s="7" customFormat="1" ht="5.0999999999999996" customHeight="1" outlineLevel="1">
      <c r="A215" s="458" t="s">
        <v>187</v>
      </c>
      <c r="B215" s="458" t="s">
        <v>187</v>
      </c>
      <c r="C215" s="458"/>
      <c r="D215" s="460"/>
      <c r="E215" s="460"/>
      <c r="F215" s="460"/>
      <c r="G215" s="460"/>
      <c r="H215" s="456"/>
      <c r="I215" s="456"/>
      <c r="J215" s="487"/>
      <c r="K215" s="456"/>
      <c r="L215" s="487"/>
      <c r="M215" s="456"/>
      <c r="N215" s="488"/>
      <c r="O215" s="456"/>
      <c r="P215" s="487"/>
      <c r="Q215" s="456"/>
      <c r="R215" s="487"/>
      <c r="S215" s="487"/>
      <c r="T215" s="487"/>
      <c r="U215" s="456"/>
      <c r="V215" s="488"/>
      <c r="W215" s="456"/>
      <c r="X215" s="456"/>
      <c r="Y215" s="456"/>
    </row>
    <row r="216" spans="1:25" s="7" customFormat="1">
      <c r="A216" s="499" t="s">
        <v>892</v>
      </c>
      <c r="B216" s="458" t="s">
        <v>187</v>
      </c>
      <c r="C216" s="458"/>
      <c r="D216" s="456"/>
      <c r="E216" s="456"/>
      <c r="F216" s="459" t="s">
        <v>893</v>
      </c>
      <c r="G216" s="456"/>
      <c r="H216" s="456"/>
      <c r="I216" s="456"/>
      <c r="J216" s="485">
        <f>SUM(J214:J215)</f>
        <v>0</v>
      </c>
      <c r="K216" s="456"/>
      <c r="L216" s="485">
        <f>SUM(L214:L215)</f>
        <v>0</v>
      </c>
      <c r="M216" s="456"/>
      <c r="N216" s="486">
        <f>SUM(N214:N215)</f>
        <v>0</v>
      </c>
      <c r="O216" s="456"/>
      <c r="P216" s="485">
        <f>J216+L216+N216</f>
        <v>0</v>
      </c>
      <c r="Q216" s="456"/>
      <c r="R216" s="485">
        <f>SUM(R214:R215)</f>
        <v>0</v>
      </c>
      <c r="S216" s="485">
        <f>SUM(S214:S215)</f>
        <v>0</v>
      </c>
      <c r="T216" s="485">
        <f>SUM(T214:T215)</f>
        <v>0</v>
      </c>
      <c r="U216" s="456"/>
      <c r="V216" s="486">
        <f>SUM(V214:V215)</f>
        <v>0</v>
      </c>
      <c r="W216" s="456"/>
      <c r="X216" s="456"/>
      <c r="Y216" s="456"/>
    </row>
    <row r="217" spans="1:25" s="7" customFormat="1" outlineLevel="1">
      <c r="A217" s="456"/>
      <c r="B217" s="457" t="s">
        <v>894</v>
      </c>
      <c r="C217" s="458"/>
      <c r="D217" s="459"/>
      <c r="E217" s="459"/>
      <c r="F217" s="460"/>
      <c r="G217" s="460"/>
      <c r="H217" s="456"/>
      <c r="I217" s="456"/>
      <c r="J217" s="461"/>
      <c r="K217" s="456"/>
      <c r="L217" s="461"/>
      <c r="M217" s="456"/>
      <c r="N217" s="462"/>
      <c r="O217" s="456"/>
      <c r="P217" s="461">
        <f>J217+L217+N217</f>
        <v>0</v>
      </c>
      <c r="Q217" s="456"/>
      <c r="R217" s="461"/>
      <c r="S217" s="461"/>
      <c r="T217" s="461">
        <f>P217</f>
        <v>0</v>
      </c>
      <c r="U217" s="456"/>
      <c r="V217" s="462">
        <f>T217-S217</f>
        <v>0</v>
      </c>
      <c r="W217" s="456"/>
      <c r="X217" s="456"/>
    </row>
    <row r="218" spans="1:25" s="7" customFormat="1" ht="5.0999999999999996" customHeight="1" outlineLevel="1">
      <c r="A218" s="458" t="s">
        <v>187</v>
      </c>
      <c r="B218" s="458" t="s">
        <v>187</v>
      </c>
      <c r="C218" s="458"/>
      <c r="D218" s="460"/>
      <c r="E218" s="460"/>
      <c r="F218" s="460"/>
      <c r="G218" s="460"/>
      <c r="H218" s="456"/>
      <c r="I218" s="456"/>
      <c r="J218" s="487"/>
      <c r="K218" s="456"/>
      <c r="L218" s="487"/>
      <c r="M218" s="456"/>
      <c r="N218" s="488"/>
      <c r="O218" s="456"/>
      <c r="P218" s="487"/>
      <c r="Q218" s="456"/>
      <c r="R218" s="487"/>
      <c r="S218" s="487"/>
      <c r="T218" s="487"/>
      <c r="U218" s="456"/>
      <c r="V218" s="488"/>
      <c r="W218" s="456"/>
      <c r="X218" s="456"/>
      <c r="Y218" s="456"/>
    </row>
    <row r="219" spans="1:25" s="7" customFormat="1">
      <c r="A219" s="458" t="s">
        <v>894</v>
      </c>
      <c r="B219" s="458" t="s">
        <v>187</v>
      </c>
      <c r="C219" s="458"/>
      <c r="D219" s="456"/>
      <c r="E219" s="456"/>
      <c r="F219" s="459" t="s">
        <v>895</v>
      </c>
      <c r="G219" s="456"/>
      <c r="H219" s="456"/>
      <c r="I219" s="456"/>
      <c r="J219" s="485">
        <f>SUM(J217:J218)</f>
        <v>0</v>
      </c>
      <c r="K219" s="456"/>
      <c r="L219" s="485">
        <f>SUM(L217:L218)</f>
        <v>0</v>
      </c>
      <c r="M219" s="456"/>
      <c r="N219" s="486">
        <f>SUM(N217:N218)</f>
        <v>0</v>
      </c>
      <c r="O219" s="456"/>
      <c r="P219" s="485">
        <f>J219+L219+N219</f>
        <v>0</v>
      </c>
      <c r="Q219" s="456"/>
      <c r="R219" s="485">
        <f>SUM(R217:R218)</f>
        <v>0</v>
      </c>
      <c r="S219" s="485">
        <f>SUM(S217:S218)</f>
        <v>0</v>
      </c>
      <c r="T219" s="485">
        <f>SUM(T217:T218)</f>
        <v>0</v>
      </c>
      <c r="U219" s="456"/>
      <c r="V219" s="486">
        <f>SUM(V217:V218)</f>
        <v>0</v>
      </c>
      <c r="W219" s="456"/>
      <c r="X219" s="456"/>
      <c r="Y219" s="456"/>
    </row>
    <row r="220" spans="1:25" s="7" customFormat="1" outlineLevel="1">
      <c r="A220" s="456"/>
      <c r="B220" s="457" t="s">
        <v>896</v>
      </c>
      <c r="C220" s="458"/>
      <c r="D220" s="459"/>
      <c r="E220" s="459"/>
      <c r="F220" s="460"/>
      <c r="G220" s="460"/>
      <c r="H220" s="456"/>
      <c r="I220" s="456"/>
      <c r="J220" s="461"/>
      <c r="K220" s="456"/>
      <c r="L220" s="461"/>
      <c r="M220" s="456"/>
      <c r="N220" s="462"/>
      <c r="O220" s="456"/>
      <c r="P220" s="461">
        <f>J220+L220+N220</f>
        <v>0</v>
      </c>
      <c r="Q220" s="456"/>
      <c r="R220" s="461"/>
      <c r="S220" s="461"/>
      <c r="T220" s="461">
        <f>P220</f>
        <v>0</v>
      </c>
      <c r="U220" s="456"/>
      <c r="V220" s="462">
        <f>T220-S220</f>
        <v>0</v>
      </c>
      <c r="W220" s="456"/>
      <c r="X220" s="456"/>
    </row>
    <row r="221" spans="1:25" s="7" customFormat="1" ht="5.0999999999999996" customHeight="1" outlineLevel="1">
      <c r="A221" s="458" t="s">
        <v>187</v>
      </c>
      <c r="B221" s="458" t="s">
        <v>187</v>
      </c>
      <c r="C221" s="458"/>
      <c r="D221" s="460"/>
      <c r="E221" s="460"/>
      <c r="F221" s="460"/>
      <c r="G221" s="460"/>
      <c r="H221" s="456"/>
      <c r="I221" s="456"/>
      <c r="J221" s="487"/>
      <c r="K221" s="456"/>
      <c r="L221" s="487"/>
      <c r="M221" s="456"/>
      <c r="N221" s="488"/>
      <c r="O221" s="456"/>
      <c r="P221" s="487"/>
      <c r="Q221" s="456"/>
      <c r="R221" s="487"/>
      <c r="S221" s="487"/>
      <c r="T221" s="487"/>
      <c r="U221" s="456"/>
      <c r="V221" s="488"/>
      <c r="W221" s="456"/>
      <c r="X221" s="456"/>
      <c r="Y221" s="456"/>
    </row>
    <row r="222" spans="1:25" s="7" customFormat="1">
      <c r="A222" s="458" t="s">
        <v>896</v>
      </c>
      <c r="B222" s="458" t="s">
        <v>187</v>
      </c>
      <c r="C222" s="458"/>
      <c r="D222" s="456"/>
      <c r="E222" s="456"/>
      <c r="F222" s="459" t="s">
        <v>897</v>
      </c>
      <c r="G222" s="456"/>
      <c r="H222" s="456"/>
      <c r="I222" s="456"/>
      <c r="J222" s="485">
        <f>SUM(J220:J221)</f>
        <v>0</v>
      </c>
      <c r="K222" s="456"/>
      <c r="L222" s="485">
        <f>SUM(L220:L221)</f>
        <v>0</v>
      </c>
      <c r="M222" s="456"/>
      <c r="N222" s="486">
        <f>SUM(N220:N221)</f>
        <v>0</v>
      </c>
      <c r="O222" s="456"/>
      <c r="P222" s="485">
        <f>J222+L222+N222</f>
        <v>0</v>
      </c>
      <c r="Q222" s="456"/>
      <c r="R222" s="485">
        <f>SUM(R220:R221)</f>
        <v>0</v>
      </c>
      <c r="S222" s="485">
        <f>SUM(S220:S221)</f>
        <v>0</v>
      </c>
      <c r="T222" s="485">
        <f>SUM(T220:T221)</f>
        <v>0</v>
      </c>
      <c r="U222" s="456"/>
      <c r="V222" s="486">
        <f>SUM(V220:V221)</f>
        <v>0</v>
      </c>
      <c r="W222" s="456"/>
      <c r="X222" s="456"/>
      <c r="Y222" s="456"/>
    </row>
    <row r="223" spans="1:25" s="7" customFormat="1" outlineLevel="1">
      <c r="A223" s="456"/>
      <c r="B223" s="457" t="s">
        <v>898</v>
      </c>
      <c r="C223" s="458"/>
      <c r="D223" s="459"/>
      <c r="E223" s="459"/>
      <c r="F223" s="460"/>
      <c r="G223" s="460"/>
      <c r="H223" s="456"/>
      <c r="I223" s="456"/>
      <c r="J223" s="461"/>
      <c r="K223" s="456"/>
      <c r="L223" s="461"/>
      <c r="M223" s="456"/>
      <c r="N223" s="462"/>
      <c r="O223" s="456"/>
      <c r="P223" s="461">
        <f>J223+L223+N223</f>
        <v>0</v>
      </c>
      <c r="Q223" s="456"/>
      <c r="R223" s="461"/>
      <c r="S223" s="461"/>
      <c r="T223" s="461">
        <f>P223</f>
        <v>0</v>
      </c>
      <c r="U223" s="456"/>
      <c r="V223" s="462">
        <f>T223-S223</f>
        <v>0</v>
      </c>
      <c r="W223" s="456"/>
      <c r="X223" s="456"/>
    </row>
    <row r="224" spans="1:25" s="7" customFormat="1" ht="5.0999999999999996" customHeight="1" outlineLevel="1">
      <c r="A224" s="458" t="s">
        <v>187</v>
      </c>
      <c r="B224" s="458" t="s">
        <v>187</v>
      </c>
      <c r="C224" s="458"/>
      <c r="D224" s="460"/>
      <c r="E224" s="460"/>
      <c r="F224" s="460"/>
      <c r="G224" s="460"/>
      <c r="H224" s="456"/>
      <c r="I224" s="456"/>
      <c r="J224" s="487"/>
      <c r="K224" s="456"/>
      <c r="L224" s="487"/>
      <c r="M224" s="456"/>
      <c r="N224" s="488"/>
      <c r="O224" s="456"/>
      <c r="P224" s="487"/>
      <c r="Q224" s="456"/>
      <c r="R224" s="487"/>
      <c r="S224" s="487"/>
      <c r="T224" s="487"/>
      <c r="U224" s="456"/>
      <c r="V224" s="488"/>
      <c r="W224" s="456"/>
      <c r="X224" s="456"/>
      <c r="Y224" s="456"/>
    </row>
    <row r="225" spans="1:25" s="7" customFormat="1">
      <c r="A225" s="458" t="s">
        <v>898</v>
      </c>
      <c r="B225" s="458" t="s">
        <v>187</v>
      </c>
      <c r="C225" s="458"/>
      <c r="D225" s="456"/>
      <c r="E225" s="456"/>
      <c r="F225" s="459" t="s">
        <v>899</v>
      </c>
      <c r="G225" s="456"/>
      <c r="H225" s="456"/>
      <c r="I225" s="456"/>
      <c r="J225" s="485">
        <f>SUM(J223:J224)</f>
        <v>0</v>
      </c>
      <c r="K225" s="456"/>
      <c r="L225" s="485">
        <f>SUM(L223:L224)</f>
        <v>0</v>
      </c>
      <c r="M225" s="456"/>
      <c r="N225" s="486">
        <f>SUM(N223:N224)</f>
        <v>0</v>
      </c>
      <c r="O225" s="456"/>
      <c r="P225" s="485">
        <f>J225+L225+N225</f>
        <v>0</v>
      </c>
      <c r="Q225" s="456"/>
      <c r="R225" s="485">
        <f>SUM(R223:R224)</f>
        <v>0</v>
      </c>
      <c r="S225" s="485">
        <f>SUM(S223:S224)</f>
        <v>0</v>
      </c>
      <c r="T225" s="485">
        <f>SUM(T223:T224)</f>
        <v>0</v>
      </c>
      <c r="U225" s="456"/>
      <c r="V225" s="486">
        <f>SUM(V223:V224)</f>
        <v>0</v>
      </c>
      <c r="W225" s="456"/>
      <c r="X225" s="456"/>
      <c r="Y225" s="456"/>
    </row>
    <row r="226" spans="1:25" s="7" customFormat="1" outlineLevel="1">
      <c r="A226" s="456"/>
      <c r="B226" s="457" t="s">
        <v>900</v>
      </c>
      <c r="C226" s="458"/>
      <c r="D226" s="459"/>
      <c r="E226" s="459"/>
      <c r="F226" s="460"/>
      <c r="G226" s="460"/>
      <c r="H226" s="456"/>
      <c r="I226" s="456"/>
      <c r="J226" s="461"/>
      <c r="K226" s="456"/>
      <c r="L226" s="461"/>
      <c r="M226" s="456"/>
      <c r="N226" s="462"/>
      <c r="O226" s="456"/>
      <c r="P226" s="461">
        <f>J226+L226+N226</f>
        <v>0</v>
      </c>
      <c r="Q226" s="456"/>
      <c r="R226" s="461"/>
      <c r="S226" s="461"/>
      <c r="T226" s="461">
        <f>P226</f>
        <v>0</v>
      </c>
      <c r="U226" s="456"/>
      <c r="V226" s="462">
        <f>T226-S226</f>
        <v>0</v>
      </c>
      <c r="W226" s="456"/>
      <c r="X226" s="456"/>
    </row>
    <row r="227" spans="1:25" s="7" customFormat="1" ht="5.0999999999999996" customHeight="1" outlineLevel="1">
      <c r="A227" s="458" t="s">
        <v>187</v>
      </c>
      <c r="B227" s="483"/>
      <c r="C227" s="483"/>
      <c r="D227" s="460"/>
      <c r="E227" s="460"/>
      <c r="F227" s="460"/>
      <c r="G227" s="460"/>
      <c r="H227" s="456"/>
      <c r="I227" s="456"/>
      <c r="J227" s="487"/>
      <c r="K227" s="456"/>
      <c r="L227" s="487"/>
      <c r="M227" s="456"/>
      <c r="N227" s="488"/>
      <c r="O227" s="456"/>
      <c r="P227" s="487"/>
      <c r="Q227" s="456"/>
      <c r="R227" s="487"/>
      <c r="S227" s="487"/>
      <c r="T227" s="487"/>
      <c r="U227" s="456"/>
      <c r="V227" s="488"/>
      <c r="W227" s="456"/>
      <c r="X227" s="456"/>
      <c r="Y227" s="456"/>
    </row>
    <row r="228" spans="1:25" s="7" customFormat="1">
      <c r="A228" s="458" t="s">
        <v>900</v>
      </c>
      <c r="B228" s="483"/>
      <c r="C228" s="483"/>
      <c r="D228" s="456"/>
      <c r="E228" s="456"/>
      <c r="F228" s="459" t="s">
        <v>901</v>
      </c>
      <c r="G228" s="456"/>
      <c r="H228" s="456"/>
      <c r="I228" s="456"/>
      <c r="J228" s="485">
        <f>SUM(J226:J227)</f>
        <v>0</v>
      </c>
      <c r="K228" s="456"/>
      <c r="L228" s="485">
        <f>SUM(L226:L227)</f>
        <v>0</v>
      </c>
      <c r="M228" s="456"/>
      <c r="N228" s="486">
        <f>SUM(N226:N227)</f>
        <v>0</v>
      </c>
      <c r="O228" s="456"/>
      <c r="P228" s="485">
        <f>J228+L228+N228</f>
        <v>0</v>
      </c>
      <c r="Q228" s="456"/>
      <c r="R228" s="485">
        <f>SUM(R226:R227)</f>
        <v>0</v>
      </c>
      <c r="S228" s="485">
        <f>SUM(S226:S227)</f>
        <v>0</v>
      </c>
      <c r="T228" s="485">
        <f>SUM(T226:T227)</f>
        <v>0</v>
      </c>
      <c r="U228" s="456"/>
      <c r="V228" s="486">
        <f>SUM(V226:V227)</f>
        <v>0</v>
      </c>
      <c r="W228" s="456"/>
      <c r="X228" s="456"/>
      <c r="Y228" s="456"/>
    </row>
    <row r="229" spans="1:25" s="7" customFormat="1" ht="7.5" hidden="1" customHeight="1">
      <c r="A229" s="483"/>
      <c r="B229" s="458"/>
      <c r="C229" s="458"/>
      <c r="D229" s="456"/>
      <c r="E229" s="456"/>
      <c r="F229" s="456"/>
      <c r="G229" s="456"/>
      <c r="H229" s="456"/>
      <c r="I229" s="456"/>
      <c r="J229" s="490"/>
      <c r="K229" s="456"/>
      <c r="L229" s="490"/>
      <c r="M229" s="456"/>
      <c r="N229" s="462"/>
      <c r="O229" s="456"/>
      <c r="P229" s="490"/>
      <c r="Q229" s="456"/>
      <c r="R229" s="490"/>
      <c r="S229" s="490"/>
      <c r="T229" s="490"/>
      <c r="U229" s="456"/>
      <c r="V229" s="462"/>
      <c r="W229" s="456"/>
      <c r="X229" s="456"/>
      <c r="Y229" s="456"/>
    </row>
    <row r="230" spans="1:25" s="7" customFormat="1" outlineLevel="1">
      <c r="A230" s="456"/>
      <c r="B230" s="457" t="s">
        <v>902</v>
      </c>
      <c r="C230" s="458"/>
      <c r="D230" s="459">
        <v>29100</v>
      </c>
      <c r="E230" s="459" t="s">
        <v>903</v>
      </c>
      <c r="F230" s="460"/>
      <c r="G230" s="460"/>
      <c r="H230" s="456"/>
      <c r="I230" s="456"/>
      <c r="J230" s="461">
        <v>49752296.020000003</v>
      </c>
      <c r="K230" s="456"/>
      <c r="L230" s="461">
        <v>0</v>
      </c>
      <c r="M230" s="456"/>
      <c r="N230" s="462">
        <v>0</v>
      </c>
      <c r="O230" s="456"/>
      <c r="P230" s="461">
        <f>J230+L230+N230</f>
        <v>49752296.020000003</v>
      </c>
      <c r="Q230" s="456"/>
      <c r="R230" s="461">
        <v>48765749.799999997</v>
      </c>
      <c r="S230" s="461">
        <v>49189590.850000001</v>
      </c>
      <c r="T230" s="461">
        <f>P230</f>
        <v>49752296.020000003</v>
      </c>
      <c r="U230" s="456"/>
      <c r="V230" s="462">
        <f>T230-S230</f>
        <v>562705.17000000179</v>
      </c>
      <c r="W230" s="456"/>
      <c r="X230" s="456"/>
    </row>
    <row r="231" spans="1:25" s="7" customFormat="1" ht="5.0999999999999996" customHeight="1" outlineLevel="1">
      <c r="A231" s="458" t="s">
        <v>187</v>
      </c>
      <c r="B231" s="483"/>
      <c r="C231" s="483"/>
      <c r="D231" s="460"/>
      <c r="E231" s="460"/>
      <c r="F231" s="460"/>
      <c r="G231" s="460"/>
      <c r="H231" s="456"/>
      <c r="I231" s="456"/>
      <c r="J231" s="487"/>
      <c r="K231" s="456"/>
      <c r="L231" s="487"/>
      <c r="M231" s="456"/>
      <c r="N231" s="488"/>
      <c r="O231" s="456"/>
      <c r="P231" s="487"/>
      <c r="Q231" s="456"/>
      <c r="R231" s="487"/>
      <c r="S231" s="487"/>
      <c r="T231" s="487"/>
      <c r="U231" s="456"/>
      <c r="V231" s="488"/>
      <c r="W231" s="456"/>
      <c r="X231" s="456"/>
      <c r="Y231" s="456"/>
    </row>
    <row r="232" spans="1:25" s="7" customFormat="1">
      <c r="A232" s="458" t="s">
        <v>902</v>
      </c>
      <c r="B232" s="483"/>
      <c r="C232" s="483"/>
      <c r="D232" s="456"/>
      <c r="E232" s="456"/>
      <c r="F232" s="459" t="s">
        <v>903</v>
      </c>
      <c r="G232" s="456"/>
      <c r="H232" s="456"/>
      <c r="I232" s="456"/>
      <c r="J232" s="485">
        <f>SUM(J230:J231)</f>
        <v>49752296.020000003</v>
      </c>
      <c r="K232" s="456"/>
      <c r="L232" s="485">
        <f>SUM(L230:L231)</f>
        <v>0</v>
      </c>
      <c r="M232" s="456"/>
      <c r="N232" s="486">
        <f>SUM(N230:N231)</f>
        <v>0</v>
      </c>
      <c r="O232" s="456"/>
      <c r="P232" s="485">
        <f>J232+L232+N232</f>
        <v>49752296.020000003</v>
      </c>
      <c r="Q232" s="456"/>
      <c r="R232" s="485">
        <f>SUM(R230:R231)</f>
        <v>48765749.799999997</v>
      </c>
      <c r="S232" s="485">
        <f>SUM(S230:S231)</f>
        <v>49189590.850000001</v>
      </c>
      <c r="T232" s="485">
        <f>SUM(T230:T231)</f>
        <v>49752296.020000003</v>
      </c>
      <c r="U232" s="456"/>
      <c r="V232" s="486">
        <f>SUM(V230:V231)</f>
        <v>562705.17000000179</v>
      </c>
      <c r="W232" s="456"/>
      <c r="X232" s="456"/>
      <c r="Y232" s="456"/>
    </row>
    <row r="233" spans="1:25" s="7" customFormat="1" ht="7.5" customHeight="1">
      <c r="A233" s="483"/>
      <c r="B233" s="458"/>
      <c r="C233" s="458"/>
      <c r="D233" s="456"/>
      <c r="E233" s="456"/>
      <c r="F233" s="456"/>
      <c r="G233" s="456"/>
      <c r="H233" s="456"/>
      <c r="I233" s="456"/>
      <c r="J233" s="490"/>
      <c r="K233" s="456"/>
      <c r="L233" s="490"/>
      <c r="M233" s="456"/>
      <c r="N233" s="462"/>
      <c r="O233" s="456"/>
      <c r="P233" s="490"/>
      <c r="Q233" s="456"/>
      <c r="R233" s="490"/>
      <c r="S233" s="490"/>
      <c r="T233" s="490"/>
      <c r="U233" s="456"/>
      <c r="V233" s="462"/>
      <c r="W233" s="456"/>
      <c r="X233" s="456"/>
      <c r="Y233" s="456"/>
    </row>
    <row r="234" spans="1:25" s="7" customFormat="1">
      <c r="A234" s="483"/>
      <c r="B234" s="458"/>
      <c r="C234" s="458"/>
      <c r="D234" s="456"/>
      <c r="E234" s="491" t="s">
        <v>903</v>
      </c>
      <c r="F234" s="456"/>
      <c r="G234" s="456"/>
      <c r="H234" s="456"/>
      <c r="I234" s="456"/>
      <c r="J234" s="492">
        <f>SUM(J210,J216,J222,J228,J219,J213,J225,J232)</f>
        <v>49752296.020000003</v>
      </c>
      <c r="K234" s="456"/>
      <c r="L234" s="492">
        <f>SUM(L210,L216,L222,L228,L219,L213,L225,L232)</f>
        <v>0</v>
      </c>
      <c r="M234" s="456"/>
      <c r="N234" s="493">
        <f>SUM(N210,N216,N222,N228,N219,N213,N225,N232)</f>
        <v>0</v>
      </c>
      <c r="O234" s="456"/>
      <c r="P234" s="492">
        <f>SUM(P210,P216,P222,P228,P219,P213,P225,P232)</f>
        <v>49752296.020000003</v>
      </c>
      <c r="Q234" s="456"/>
      <c r="R234" s="492">
        <f>SUM(R210,R216,R222,R228,R219,R213,R225,R232)</f>
        <v>48765749.799999997</v>
      </c>
      <c r="S234" s="492">
        <f>SUM(S210,S216,S222,S228,S219,S213,S225,S232)</f>
        <v>49189590.850000001</v>
      </c>
      <c r="T234" s="492">
        <f>SUM(T210,T216,T222,T228,T219,T213,T225,T232)</f>
        <v>49752296.020000003</v>
      </c>
      <c r="U234" s="456"/>
      <c r="V234" s="493">
        <f>SUM(V210,V216,V222,V228,V219,V213,V225,V232)</f>
        <v>562705.17000000179</v>
      </c>
      <c r="W234" s="456"/>
      <c r="X234" s="456"/>
      <c r="Y234" s="456"/>
    </row>
    <row r="235" spans="1:25" s="7" customFormat="1" ht="7.5" customHeight="1">
      <c r="A235" s="458"/>
      <c r="B235" s="458"/>
      <c r="C235" s="458"/>
      <c r="D235" s="456"/>
      <c r="E235" s="456"/>
      <c r="F235" s="456"/>
      <c r="G235" s="456"/>
      <c r="H235" s="456"/>
      <c r="I235" s="456"/>
      <c r="J235" s="490"/>
      <c r="K235" s="456"/>
      <c r="L235" s="490"/>
      <c r="M235" s="456"/>
      <c r="N235" s="462"/>
      <c r="O235" s="456"/>
      <c r="P235" s="490"/>
      <c r="Q235" s="456"/>
      <c r="R235" s="490"/>
      <c r="S235" s="490"/>
      <c r="T235" s="490"/>
      <c r="U235" s="456"/>
      <c r="V235" s="462"/>
      <c r="W235" s="456"/>
      <c r="X235" s="456"/>
      <c r="Y235" s="456"/>
    </row>
    <row r="236" spans="1:25" s="7" customFormat="1" ht="13.5" thickBot="1">
      <c r="A236" s="458"/>
      <c r="B236" s="458"/>
      <c r="C236" s="458"/>
      <c r="D236" s="456"/>
      <c r="E236" s="491" t="s">
        <v>904</v>
      </c>
      <c r="F236" s="456"/>
      <c r="G236" s="456"/>
      <c r="H236" s="456"/>
      <c r="I236" s="456"/>
      <c r="J236" s="497">
        <f>+J206+J234</f>
        <v>53114391.870000005</v>
      </c>
      <c r="K236" s="456"/>
      <c r="L236" s="497">
        <f>+L206+L234</f>
        <v>0</v>
      </c>
      <c r="M236" s="456"/>
      <c r="N236" s="498">
        <f>+N206+N234</f>
        <v>0</v>
      </c>
      <c r="O236" s="456"/>
      <c r="P236" s="497">
        <f>+P206+P234</f>
        <v>53114391.870000005</v>
      </c>
      <c r="Q236" s="456"/>
      <c r="R236" s="497">
        <f>+R206+R234</f>
        <v>52085959.709999993</v>
      </c>
      <c r="S236" s="497">
        <f>+S206+S234</f>
        <v>52248805.800000004</v>
      </c>
      <c r="T236" s="497">
        <f>+T206+T234</f>
        <v>53114391.870000005</v>
      </c>
      <c r="U236" s="456"/>
      <c r="V236" s="498">
        <f>+V206+V234</f>
        <v>865586.07000000181</v>
      </c>
      <c r="W236" s="456"/>
      <c r="X236" s="456"/>
      <c r="Y236" s="456"/>
    </row>
    <row r="237" spans="1:25" s="7" customFormat="1" ht="7.5" customHeight="1" thickTop="1">
      <c r="A237" s="458"/>
      <c r="B237" s="458"/>
      <c r="C237" s="458"/>
      <c r="D237" s="456"/>
      <c r="E237" s="456"/>
      <c r="F237" s="456"/>
      <c r="G237" s="456"/>
      <c r="H237" s="456"/>
      <c r="I237" s="456"/>
      <c r="J237" s="490"/>
      <c r="K237" s="456"/>
      <c r="L237" s="490"/>
      <c r="M237" s="456"/>
      <c r="N237" s="462"/>
      <c r="O237" s="456"/>
      <c r="P237" s="490"/>
      <c r="Q237" s="456"/>
      <c r="R237" s="490"/>
      <c r="S237" s="490"/>
      <c r="T237" s="490"/>
      <c r="U237" s="456"/>
      <c r="V237" s="462"/>
      <c r="W237" s="456"/>
      <c r="X237" s="456"/>
      <c r="Y237" s="456"/>
    </row>
    <row r="238" spans="1:25" s="500" customFormat="1" ht="12">
      <c r="A238" s="458"/>
      <c r="B238" s="458"/>
      <c r="C238" s="458"/>
      <c r="D238" s="456"/>
      <c r="E238" s="456"/>
      <c r="F238" s="456" t="s">
        <v>905</v>
      </c>
      <c r="G238" s="456"/>
      <c r="H238" s="456"/>
      <c r="I238" s="456"/>
      <c r="J238" s="490">
        <f>J147-J236</f>
        <v>0</v>
      </c>
      <c r="K238" s="456"/>
      <c r="L238" s="490">
        <f>L147-L236</f>
        <v>0</v>
      </c>
      <c r="M238" s="456"/>
      <c r="N238" s="490">
        <f>N147-N236</f>
        <v>0</v>
      </c>
      <c r="O238" s="456"/>
      <c r="P238" s="490">
        <f>P147-P236</f>
        <v>0</v>
      </c>
      <c r="Q238" s="456"/>
      <c r="R238" s="490">
        <f>R147-R236</f>
        <v>0</v>
      </c>
      <c r="S238" s="490">
        <f>S147-S236</f>
        <v>0</v>
      </c>
      <c r="T238" s="490">
        <f>T147-T236</f>
        <v>0</v>
      </c>
      <c r="U238" s="456"/>
      <c r="V238" s="490">
        <f>V147-V236</f>
        <v>0</v>
      </c>
      <c r="W238" s="456"/>
      <c r="X238" s="456"/>
      <c r="Y238" s="456"/>
    </row>
    <row r="239" spans="1:25" s="502" customFormat="1" ht="9.75" customHeight="1">
      <c r="A239" s="458"/>
      <c r="B239" s="483"/>
      <c r="C239" s="483"/>
      <c r="D239" s="456"/>
      <c r="E239" s="456"/>
      <c r="F239" s="459"/>
      <c r="G239" s="456"/>
      <c r="H239" s="458"/>
      <c r="I239" s="458"/>
      <c r="J239" s="501"/>
      <c r="K239" s="458"/>
      <c r="L239" s="458"/>
      <c r="M239" s="458"/>
      <c r="N239" s="458"/>
      <c r="O239" s="458"/>
      <c r="P239" s="458"/>
      <c r="Q239" s="458"/>
      <c r="R239" s="458"/>
      <c r="S239" s="458"/>
      <c r="T239" s="458"/>
      <c r="U239" s="458"/>
      <c r="V239" s="458"/>
      <c r="W239" s="458"/>
      <c r="X239" s="458"/>
      <c r="Y239" s="458"/>
    </row>
    <row r="240" spans="1:25" s="7" customFormat="1" outlineLevel="1">
      <c r="A240" s="458"/>
      <c r="B240" s="457" t="s">
        <v>406</v>
      </c>
      <c r="C240" s="458"/>
      <c r="D240" s="459"/>
      <c r="E240" s="459"/>
      <c r="F240" s="460"/>
      <c r="G240" s="460"/>
      <c r="H240" s="456"/>
      <c r="I240" s="456"/>
      <c r="J240" s="461"/>
      <c r="K240" s="456"/>
      <c r="L240" s="461"/>
      <c r="M240" s="456"/>
      <c r="N240" s="462"/>
      <c r="O240" s="456"/>
      <c r="P240" s="461"/>
      <c r="Q240" s="456"/>
      <c r="R240" s="461"/>
      <c r="S240" s="461"/>
      <c r="T240" s="461"/>
      <c r="U240" s="456"/>
      <c r="V240" s="462"/>
      <c r="W240" s="456"/>
      <c r="X240" s="456"/>
      <c r="Y240" s="456"/>
    </row>
    <row r="241" spans="1:25" ht="6" customHeight="1" outlineLevel="1">
      <c r="A241" s="483"/>
      <c r="B241" s="458"/>
      <c r="C241" s="458"/>
      <c r="D241" s="458"/>
      <c r="E241" s="458"/>
      <c r="F241" s="458"/>
      <c r="G241" s="458"/>
      <c r="H241" s="458"/>
      <c r="I241" s="458"/>
      <c r="J241" s="487"/>
      <c r="K241" s="490"/>
      <c r="L241" s="487"/>
      <c r="M241" s="458"/>
      <c r="N241" s="487"/>
      <c r="O241" s="458"/>
      <c r="P241" s="487"/>
      <c r="Q241" s="458"/>
      <c r="R241" s="487"/>
      <c r="S241" s="487"/>
      <c r="T241" s="487"/>
      <c r="U241" s="458"/>
      <c r="V241" s="487"/>
      <c r="W241" s="458"/>
      <c r="X241" s="458"/>
      <c r="Y241" s="458"/>
    </row>
    <row r="242" spans="1:25" s="4" customFormat="1">
      <c r="A242" s="458" t="s">
        <v>406</v>
      </c>
      <c r="B242" s="503"/>
      <c r="C242" s="503"/>
      <c r="D242" s="503"/>
      <c r="E242" s="503" t="s">
        <v>291</v>
      </c>
      <c r="F242" s="503"/>
      <c r="G242" s="503"/>
      <c r="H242" s="503"/>
      <c r="I242" s="503"/>
      <c r="J242" s="504">
        <f>SUM(J240:J241)</f>
        <v>0</v>
      </c>
      <c r="K242" s="505"/>
      <c r="L242" s="504">
        <f>SUM(L240:L241)</f>
        <v>0</v>
      </c>
      <c r="M242" s="505"/>
      <c r="N242" s="504">
        <f>SUM(N240:N241)</f>
        <v>0</v>
      </c>
      <c r="O242" s="505"/>
      <c r="P242" s="504">
        <f>SUM(P240:P241)</f>
        <v>0</v>
      </c>
      <c r="Q242" s="505"/>
      <c r="R242" s="504">
        <f>SUM(R240:R241)</f>
        <v>0</v>
      </c>
      <c r="S242" s="504">
        <f>SUM(S240:S241)</f>
        <v>0</v>
      </c>
      <c r="T242" s="504">
        <f>SUM(T240:T241)</f>
        <v>0</v>
      </c>
      <c r="U242" s="505"/>
      <c r="V242" s="504">
        <f>SUM(V240:V241)</f>
        <v>0</v>
      </c>
      <c r="W242" s="458"/>
      <c r="X242" s="458"/>
      <c r="Y242" s="458"/>
    </row>
    <row r="243" spans="1:25">
      <c r="A243" s="506"/>
      <c r="B243" s="458"/>
      <c r="C243" s="458"/>
      <c r="D243" s="458"/>
      <c r="E243" s="458"/>
      <c r="F243" s="458"/>
      <c r="G243" s="458"/>
      <c r="H243" s="458"/>
      <c r="I243" s="458"/>
      <c r="J243" s="507"/>
      <c r="K243" s="507"/>
      <c r="L243" s="508"/>
      <c r="M243" s="508"/>
      <c r="N243" s="508"/>
      <c r="O243" s="508"/>
      <c r="P243" s="508"/>
      <c r="Q243" s="508"/>
      <c r="R243" s="508"/>
      <c r="S243" s="508"/>
      <c r="T243" s="508"/>
      <c r="U243" s="508"/>
      <c r="V243" s="508"/>
      <c r="W243" s="458"/>
      <c r="X243" s="458"/>
      <c r="Y243" s="458"/>
    </row>
    <row r="244" spans="1:25">
      <c r="B244" s="458"/>
      <c r="C244" s="458"/>
      <c r="D244" s="458"/>
      <c r="E244" s="458"/>
      <c r="F244" s="458"/>
      <c r="G244" s="458"/>
      <c r="H244" s="458"/>
      <c r="I244" s="458"/>
      <c r="J244" s="458"/>
      <c r="K244" s="458"/>
      <c r="L244" s="458"/>
      <c r="M244" s="458"/>
      <c r="N244" s="458"/>
      <c r="O244" s="458"/>
      <c r="P244" s="458"/>
      <c r="Q244" s="458"/>
      <c r="R244" s="458"/>
      <c r="S244" s="458"/>
      <c r="T244" s="458"/>
      <c r="U244" s="458"/>
      <c r="V244" s="458"/>
      <c r="W244" s="458"/>
      <c r="X244" s="458"/>
      <c r="Y244" s="458"/>
    </row>
    <row r="245" spans="1:25">
      <c r="B245" s="458"/>
      <c r="C245" s="458"/>
      <c r="D245" s="458"/>
      <c r="E245" s="458"/>
      <c r="F245" s="458"/>
      <c r="G245" s="458"/>
      <c r="H245" s="458"/>
      <c r="I245" s="458"/>
      <c r="J245" s="458"/>
      <c r="K245" s="458"/>
      <c r="L245" s="458"/>
      <c r="M245" s="458"/>
      <c r="N245" s="458"/>
      <c r="O245" s="458"/>
      <c r="P245" s="458"/>
      <c r="Q245" s="458"/>
      <c r="R245" s="458"/>
      <c r="S245" s="458"/>
      <c r="T245" s="458"/>
      <c r="U245" s="458"/>
      <c r="V245" s="458"/>
      <c r="W245" s="458"/>
      <c r="X245" s="458"/>
      <c r="Y245" s="458"/>
    </row>
  </sheetData>
  <customSheetViews>
    <customSheetView guid="{76FC386D-C488-46EF-BB9C-D1C49FEBAB90}" scale="75" showPageBreaks="1" showGridLines="0" fitToPage="1" printArea="1" hiddenRows="1" topLeftCell="D7">
      <pane xSplit="5" ySplit="7" topLeftCell="I14" activePane="bottomRight" state="frozen"/>
      <selection pane="bottomRight" activeCell="P39" sqref="P39"/>
      <pageMargins left="0.5" right="0.5" top="0.39" bottom="0.4" header="0.25" footer="0.25"/>
      <pageSetup scale="57" fitToHeight="0" orientation="landscape" errors="blank" horizontalDpi="4294967292" r:id="rId1"/>
      <headerFooter alignWithMargins="0">
        <oddHeader>&amp;R&amp;D - &amp;T</oddHeader>
        <oddFooter>&amp;L&amp;F - &amp;A&amp;RPage &amp;P of &amp;N</oddFooter>
      </headerFooter>
    </customSheetView>
    <customSheetView guid="{16F8EA47-9864-4C0F-89A1-62B7CCC013F9}" scale="75" showGridLines="0" fitToPage="1" hiddenRows="1" topLeftCell="D7">
      <pane xSplit="5" ySplit="7" topLeftCell="I14" activePane="bottomRight" state="frozen"/>
      <selection pane="bottomRight" activeCell="P39" sqref="P39"/>
      <pageMargins left="0.5" right="0.5" top="0.39" bottom="0.4" header="0.25" footer="0.25"/>
      <pageSetup scale="59" fitToHeight="0" orientation="landscape" errors="blank" horizontalDpi="4294967292" r:id="rId2"/>
      <headerFooter alignWithMargins="0">
        <oddHeader>&amp;R&amp;D - &amp;T</oddHeader>
        <oddFooter>&amp;L&amp;F - &amp;A&amp;RPage &amp;P of &amp;N</oddFooter>
      </headerFooter>
    </customSheetView>
  </customSheetViews>
  <dataValidations count="1">
    <dataValidation type="list" allowBlank="1" showInputMessage="1" showErrorMessage="1" sqref="N8">
      <formula1>"TRUE,FALSE"</formula1>
    </dataValidation>
  </dataValidations>
  <pageMargins left="0.5" right="0.5" top="0.39" bottom="0.4" header="0.25" footer="0.25"/>
  <pageSetup scale="57" fitToHeight="0" orientation="landscape" errors="blank" r:id="rId3"/>
  <headerFooter alignWithMargins="0">
    <oddHeader>&amp;R&amp;D - &amp;T</oddHeader>
    <oddFooter>&amp;L&amp;F - &amp;A&amp;RPage &amp;P of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00B0F0"/>
  </sheetPr>
  <dimension ref="A1:AA311"/>
  <sheetViews>
    <sheetView showGridLines="0" view="pageBreakPreview" topLeftCell="A115" zoomScale="60" zoomScaleNormal="100" workbookViewId="0">
      <selection activeCell="AP280" sqref="AP280"/>
    </sheetView>
  </sheetViews>
  <sheetFormatPr defaultRowHeight="12"/>
  <cols>
    <col min="1" max="1" width="7.5703125" style="107" customWidth="1"/>
    <col min="2" max="2" width="21.28515625" style="100" customWidth="1"/>
    <col min="3" max="3" width="9.85546875" style="97" bestFit="1" customWidth="1"/>
    <col min="4" max="4" width="10.7109375" style="98" customWidth="1"/>
    <col min="5" max="5" width="9.85546875" style="99" bestFit="1" customWidth="1"/>
    <col min="6" max="6" width="1.140625" style="99" customWidth="1"/>
    <col min="7" max="7" width="11.7109375" style="100" customWidth="1"/>
    <col min="8" max="8" width="15.42578125" style="100" customWidth="1"/>
    <col min="9" max="9" width="0.85546875" style="99" customWidth="1"/>
    <col min="10" max="10" width="11.7109375" style="99" customWidth="1"/>
    <col min="11" max="11" width="11.7109375" style="100" customWidth="1"/>
    <col min="12" max="12" width="0.85546875" style="100" customWidth="1"/>
    <col min="13" max="14" width="11.7109375" style="97" customWidth="1"/>
    <col min="15" max="15" width="11.7109375" style="100" customWidth="1"/>
    <col min="16" max="16" width="9.140625" style="100" customWidth="1"/>
    <col min="17" max="17" width="10.42578125" style="100" customWidth="1"/>
    <col min="18" max="18" width="1.42578125" style="81" customWidth="1"/>
    <col min="19" max="19" width="10.42578125" style="100" customWidth="1"/>
    <col min="20" max="20" width="12.85546875" style="100" customWidth="1"/>
    <col min="21" max="21" width="15.5703125" style="99" customWidth="1"/>
    <col min="22" max="22" width="11.140625" style="101" customWidth="1"/>
    <col min="23" max="23" width="19.5703125" style="81" customWidth="1"/>
    <col min="24" max="24" width="10.140625" style="185" customWidth="1"/>
    <col min="25" max="25" width="11.140625" style="431" customWidth="1"/>
    <col min="26" max="26" width="7" style="99" customWidth="1"/>
    <col min="27" max="27" width="23.85546875" style="100" bestFit="1" customWidth="1"/>
    <col min="28" max="16384" width="9.140625" style="100"/>
  </cols>
  <sheetData>
    <row r="1" spans="1:27" ht="12.75">
      <c r="A1" s="95" t="s">
        <v>0</v>
      </c>
      <c r="B1" s="96"/>
      <c r="G1" s="180"/>
      <c r="H1" s="98"/>
      <c r="M1" s="100"/>
      <c r="N1" s="100"/>
    </row>
    <row r="2" spans="1:27" ht="12.75">
      <c r="A2" s="95" t="s">
        <v>294</v>
      </c>
      <c r="B2" s="96"/>
      <c r="E2" s="97"/>
      <c r="G2" s="180"/>
      <c r="H2" s="1114"/>
      <c r="I2" s="180"/>
      <c r="J2" s="181"/>
      <c r="K2" s="3"/>
      <c r="M2" s="100"/>
      <c r="N2" s="100"/>
      <c r="T2" s="1038">
        <f>T26-'Restating Adj'!E20</f>
        <v>510187.45441114902</v>
      </c>
    </row>
    <row r="3" spans="1:27" ht="12.75">
      <c r="A3" s="95" t="s">
        <v>1</v>
      </c>
      <c r="B3" s="96"/>
      <c r="D3" s="152"/>
      <c r="G3" s="180"/>
      <c r="H3" s="99"/>
    </row>
    <row r="4" spans="1:27">
      <c r="A4" s="95" t="s">
        <v>940</v>
      </c>
      <c r="B4" s="96"/>
      <c r="H4" s="99"/>
      <c r="T4" s="1035">
        <f ca="1">'LG UTC'!J20</f>
        <v>1415012.2225662172</v>
      </c>
    </row>
    <row r="5" spans="1:27" ht="12.75" thickBot="1">
      <c r="A5" s="95"/>
      <c r="B5" s="96"/>
      <c r="C5" s="103"/>
      <c r="E5" s="104"/>
      <c r="F5" s="104"/>
      <c r="G5" s="104"/>
      <c r="H5" s="105"/>
      <c r="I5" s="104"/>
      <c r="J5" s="104"/>
      <c r="K5" s="104"/>
      <c r="L5" s="105"/>
      <c r="M5" s="103"/>
      <c r="N5" s="103"/>
      <c r="P5" s="105"/>
      <c r="Q5" s="105"/>
      <c r="R5" s="82"/>
      <c r="S5" s="105"/>
      <c r="T5" s="1036">
        <f>'LG UTC'!K21</f>
        <v>0</v>
      </c>
    </row>
    <row r="6" spans="1:27" ht="12.75" thickBot="1">
      <c r="A6" s="95"/>
      <c r="B6" s="96"/>
      <c r="C6" s="103"/>
      <c r="E6" s="104"/>
      <c r="F6" s="104"/>
      <c r="G6" s="163" t="s">
        <v>304</v>
      </c>
      <c r="H6" s="164" t="s">
        <v>304</v>
      </c>
      <c r="I6" s="98"/>
      <c r="J6" s="163" t="s">
        <v>305</v>
      </c>
      <c r="K6" s="164" t="s">
        <v>305</v>
      </c>
      <c r="L6" s="98"/>
      <c r="M6" s="169" t="s">
        <v>306</v>
      </c>
      <c r="N6" s="170" t="s">
        <v>306</v>
      </c>
      <c r="O6" s="175" t="s">
        <v>13</v>
      </c>
      <c r="P6" s="105"/>
      <c r="Q6" s="105"/>
      <c r="R6" s="82"/>
      <c r="S6" s="105"/>
      <c r="T6" s="106"/>
      <c r="U6" s="100"/>
      <c r="Y6" s="432"/>
    </row>
    <row r="7" spans="1:27">
      <c r="C7" s="108"/>
      <c r="E7" s="106"/>
      <c r="F7" s="106"/>
      <c r="G7" s="165" t="s">
        <v>307</v>
      </c>
      <c r="H7" s="166" t="s">
        <v>307</v>
      </c>
      <c r="I7" s="98"/>
      <c r="J7" s="165" t="s">
        <v>307</v>
      </c>
      <c r="K7" s="166" t="s">
        <v>307</v>
      </c>
      <c r="L7" s="98"/>
      <c r="M7" s="171" t="s">
        <v>308</v>
      </c>
      <c r="N7" s="172" t="s">
        <v>308</v>
      </c>
      <c r="O7" s="176" t="s">
        <v>306</v>
      </c>
      <c r="P7" s="106"/>
      <c r="Q7" s="210" t="s">
        <v>13</v>
      </c>
      <c r="R7" s="83"/>
      <c r="S7" s="443" t="s">
        <v>13</v>
      </c>
      <c r="T7" s="208" t="s">
        <v>295</v>
      </c>
      <c r="U7" s="212"/>
      <c r="V7" s="214"/>
      <c r="X7" s="186"/>
      <c r="Y7" s="109"/>
      <c r="Z7" s="183"/>
      <c r="AA7" s="105"/>
    </row>
    <row r="8" spans="1:27" ht="25.5" customHeight="1" thickBot="1">
      <c r="A8" s="156"/>
      <c r="B8" s="157" t="s">
        <v>2</v>
      </c>
      <c r="C8" s="173">
        <v>2180</v>
      </c>
      <c r="D8" s="173">
        <v>2182</v>
      </c>
      <c r="E8" s="174" t="s">
        <v>13</v>
      </c>
      <c r="F8" s="161"/>
      <c r="G8" s="167">
        <v>2180</v>
      </c>
      <c r="H8" s="168">
        <v>2182</v>
      </c>
      <c r="I8" s="160"/>
      <c r="J8" s="167">
        <v>2180</v>
      </c>
      <c r="K8" s="168">
        <v>2182</v>
      </c>
      <c r="L8" s="160"/>
      <c r="M8" s="167">
        <v>2180</v>
      </c>
      <c r="N8" s="168">
        <v>2182</v>
      </c>
      <c r="O8" s="177" t="s">
        <v>308</v>
      </c>
      <c r="P8" s="162" t="s">
        <v>292</v>
      </c>
      <c r="Q8" s="211">
        <v>2182</v>
      </c>
      <c r="R8" s="79"/>
      <c r="S8" s="444">
        <v>2180</v>
      </c>
      <c r="T8" s="209" t="s">
        <v>934</v>
      </c>
      <c r="U8" s="213" t="s">
        <v>708</v>
      </c>
      <c r="V8" s="568" t="s">
        <v>955</v>
      </c>
      <c r="Y8" s="109"/>
      <c r="Z8" s="98"/>
      <c r="AA8" s="105"/>
    </row>
    <row r="9" spans="1:27" s="1305" customFormat="1">
      <c r="A9" s="1304">
        <v>32000</v>
      </c>
      <c r="B9" s="1305" t="s">
        <v>3</v>
      </c>
      <c r="C9" s="1306">
        <f>+'2180 IS (C)'!AH19+'2180 IS (C)'!AH20</f>
        <v>24692826.280000001</v>
      </c>
      <c r="D9" s="1306"/>
      <c r="E9" s="1306">
        <f>SUM(C9:D9)</f>
        <v>24692826.280000001</v>
      </c>
      <c r="F9" s="1306"/>
      <c r="G9" s="1307">
        <f>'Restating Adj'!S12+'Restating Adj'!J11</f>
        <v>131882.87809999762</v>
      </c>
      <c r="H9" s="1306"/>
      <c r="I9" s="1306"/>
      <c r="J9" s="1306">
        <f>'Pro forma Adj'!D57</f>
        <v>226646.54880000005</v>
      </c>
      <c r="K9" s="1308"/>
      <c r="L9" s="1306"/>
      <c r="M9" s="1306">
        <f>C9+G9+J9</f>
        <v>25051355.706899997</v>
      </c>
      <c r="N9" s="1306">
        <f>D9+H9+K9</f>
        <v>0</v>
      </c>
      <c r="O9" s="1309">
        <f>M9+N9</f>
        <v>25051355.706899997</v>
      </c>
      <c r="P9" s="1306">
        <f>E9+G9+H9+J9+K9-O9</f>
        <v>0</v>
      </c>
      <c r="Q9" s="1309"/>
      <c r="R9" s="1310"/>
      <c r="S9" s="1311">
        <f>C9+G9+J9</f>
        <v>25051355.706899997</v>
      </c>
      <c r="T9" s="1312">
        <f>'Restating Adj'!E11+'Restating Adj'!S12+'Pro forma Adj'!D57</f>
        <v>17657264.426899999</v>
      </c>
      <c r="U9" s="1312">
        <v>0</v>
      </c>
      <c r="V9" s="1313">
        <f>'Restating Adj'!G11</f>
        <v>7394091.2799999993</v>
      </c>
      <c r="W9" s="1310" t="s">
        <v>310</v>
      </c>
      <c r="X9" s="1306">
        <f>S9-U9-V9-T9</f>
        <v>0</v>
      </c>
      <c r="Y9" s="1314"/>
      <c r="Z9" s="1315"/>
      <c r="AA9" s="1315"/>
    </row>
    <row r="10" spans="1:27" s="1305" customFormat="1">
      <c r="A10" s="1304">
        <v>32100</v>
      </c>
      <c r="B10" s="1305" t="s">
        <v>2348</v>
      </c>
      <c r="C10" s="1306">
        <f>+'2180 IS (C)'!AH21</f>
        <v>3541760.29</v>
      </c>
      <c r="D10" s="1306"/>
      <c r="E10" s="1306">
        <f t="shared" ref="E10:E24" si="0">SUM(C10:D10)</f>
        <v>3541760.29</v>
      </c>
      <c r="F10" s="1306"/>
      <c r="G10" s="1307">
        <f>'Restating Adj'!J12</f>
        <v>2836.1800000001676</v>
      </c>
      <c r="H10" s="1306"/>
      <c r="I10" s="1306"/>
      <c r="J10" s="1306"/>
      <c r="K10" s="1308"/>
      <c r="L10" s="1306"/>
      <c r="M10" s="1306">
        <f>C10+G10+J10</f>
        <v>3544596.47</v>
      </c>
      <c r="N10" s="1306">
        <f t="shared" ref="N10:N17" si="1">D10+H10+K10</f>
        <v>0</v>
      </c>
      <c r="O10" s="1316">
        <f t="shared" ref="O10:O23" si="2">M10+N10</f>
        <v>3544596.47</v>
      </c>
      <c r="P10" s="1306">
        <f t="shared" ref="P10:P22" si="3">E10+G10+H10+J10+K10-O10</f>
        <v>0</v>
      </c>
      <c r="Q10" s="1316"/>
      <c r="R10" s="1310"/>
      <c r="S10" s="1317">
        <f>C10+G10+J10</f>
        <v>3544596.47</v>
      </c>
      <c r="T10" s="1306">
        <f>'Restating Adj'!E12</f>
        <v>3530849.1500000004</v>
      </c>
      <c r="U10" s="1306">
        <v>0</v>
      </c>
      <c r="V10" s="1318">
        <f>'Restating Adj'!G12</f>
        <v>13747.320000000002</v>
      </c>
      <c r="W10" s="1310" t="s">
        <v>310</v>
      </c>
      <c r="X10" s="1306">
        <f t="shared" ref="X10:X26" si="4">S10-U10-V10-T10</f>
        <v>0</v>
      </c>
      <c r="Y10" s="1314"/>
      <c r="Z10" s="1315"/>
      <c r="AA10" s="1315"/>
    </row>
    <row r="11" spans="1:27" s="1305" customFormat="1">
      <c r="A11" s="1304">
        <v>32110</v>
      </c>
      <c r="B11" s="1305" t="s">
        <v>5</v>
      </c>
      <c r="C11" s="1306">
        <f>+'2180 IS (C)'!AH22</f>
        <v>2892045.56</v>
      </c>
      <c r="D11" s="1306"/>
      <c r="E11" s="1306">
        <f t="shared" si="0"/>
        <v>2892045.56</v>
      </c>
      <c r="F11" s="1306"/>
      <c r="G11" s="1307">
        <f>'Restating Adj'!J13</f>
        <v>42724.459999999497</v>
      </c>
      <c r="H11" s="1306"/>
      <c r="I11" s="1306"/>
      <c r="J11" s="1306"/>
      <c r="K11" s="1308"/>
      <c r="L11" s="1306"/>
      <c r="M11" s="1306">
        <f t="shared" ref="M11:M16" si="5">C11+G11+J11</f>
        <v>2934770.0199999996</v>
      </c>
      <c r="N11" s="1306">
        <f>D11+H11+K11</f>
        <v>0</v>
      </c>
      <c r="O11" s="1316">
        <f t="shared" si="2"/>
        <v>2934770.0199999996</v>
      </c>
      <c r="P11" s="1306">
        <f t="shared" si="3"/>
        <v>0</v>
      </c>
      <c r="Q11" s="1316"/>
      <c r="R11" s="1310"/>
      <c r="S11" s="1317">
        <f t="shared" ref="S11:S22" si="6">C11+G11+J11</f>
        <v>2934770.0199999996</v>
      </c>
      <c r="T11" s="1306">
        <f>'Restating Adj'!E13</f>
        <v>1812033.9699999997</v>
      </c>
      <c r="U11" s="1306">
        <v>0</v>
      </c>
      <c r="V11" s="1318">
        <f>'Restating Adj'!G13</f>
        <v>1122736.05</v>
      </c>
      <c r="W11" s="1310" t="s">
        <v>310</v>
      </c>
      <c r="X11" s="1306">
        <f t="shared" si="4"/>
        <v>0</v>
      </c>
      <c r="Y11" s="1314"/>
      <c r="Z11" s="1315"/>
      <c r="AA11" s="1315"/>
    </row>
    <row r="12" spans="1:27" s="1305" customFormat="1">
      <c r="A12" s="1304">
        <v>31110</v>
      </c>
      <c r="B12" s="1305" t="s">
        <v>411</v>
      </c>
      <c r="C12" s="1306">
        <f>+'2180 IS (C)'!AH23+'2180 IS (C)'!AH24+SUM('2180 IS (C)'!T25:AF25)</f>
        <v>19796056.349999998</v>
      </c>
      <c r="D12" s="1306"/>
      <c r="E12" s="1306">
        <f t="shared" si="0"/>
        <v>19796056.349999998</v>
      </c>
      <c r="F12" s="1306"/>
      <c r="G12" s="1307">
        <f>'Restating Adj'!J14</f>
        <v>-61951.05000000447</v>
      </c>
      <c r="H12" s="1306"/>
      <c r="I12" s="1306"/>
      <c r="J12" s="1306"/>
      <c r="K12" s="1308"/>
      <c r="L12" s="1306"/>
      <c r="M12" s="1306">
        <f t="shared" si="5"/>
        <v>19734105.299999993</v>
      </c>
      <c r="N12" s="1306">
        <f t="shared" si="1"/>
        <v>0</v>
      </c>
      <c r="O12" s="1316">
        <f t="shared" si="2"/>
        <v>19734105.299999993</v>
      </c>
      <c r="P12" s="1306">
        <f t="shared" si="3"/>
        <v>0</v>
      </c>
      <c r="Q12" s="1316"/>
      <c r="R12" s="1310"/>
      <c r="S12" s="1317">
        <f>C12+G12+J12</f>
        <v>19734105.299999993</v>
      </c>
      <c r="T12" s="1306">
        <f>'Restating Adj'!E14</f>
        <v>8134239.9899999956</v>
      </c>
      <c r="U12" s="1306">
        <f>'Restating Adj'!F14</f>
        <v>4316576.9099999992</v>
      </c>
      <c r="V12" s="1318">
        <f>'Restating Adj'!G14</f>
        <v>7283288.3999999966</v>
      </c>
      <c r="W12" s="1310" t="s">
        <v>310</v>
      </c>
      <c r="X12" s="1306">
        <f t="shared" si="4"/>
        <v>0</v>
      </c>
      <c r="Y12" s="1314"/>
      <c r="Z12" s="1315"/>
      <c r="AA12" s="1315"/>
    </row>
    <row r="13" spans="1:27" s="1305" customFormat="1">
      <c r="A13" s="1304"/>
      <c r="B13" s="1305" t="s">
        <v>697</v>
      </c>
      <c r="C13" s="1306"/>
      <c r="D13" s="1306"/>
      <c r="E13" s="1306">
        <f t="shared" si="0"/>
        <v>0</v>
      </c>
      <c r="F13" s="1306"/>
      <c r="G13" s="1307">
        <f>'Restating Adj'!J15</f>
        <v>1088082.4299999997</v>
      </c>
      <c r="H13" s="1306"/>
      <c r="I13" s="1306"/>
      <c r="J13" s="1306"/>
      <c r="K13" s="1308"/>
      <c r="L13" s="1306"/>
      <c r="M13" s="1306">
        <f t="shared" si="5"/>
        <v>1088082.4299999997</v>
      </c>
      <c r="N13" s="1306">
        <f t="shared" si="1"/>
        <v>0</v>
      </c>
      <c r="O13" s="1316">
        <f t="shared" si="2"/>
        <v>1088082.4299999997</v>
      </c>
      <c r="P13" s="1306">
        <f t="shared" si="3"/>
        <v>0</v>
      </c>
      <c r="Q13" s="1316"/>
      <c r="R13" s="1310"/>
      <c r="S13" s="1317">
        <f t="shared" si="6"/>
        <v>1088082.4299999997</v>
      </c>
      <c r="T13" s="1306">
        <f>'Restating Adj'!E15</f>
        <v>235231.36999999997</v>
      </c>
      <c r="U13" s="1306">
        <v>0</v>
      </c>
      <c r="V13" s="1318">
        <f>'Restating Adj'!G15</f>
        <v>852851.05999999971</v>
      </c>
      <c r="W13" s="1310" t="s">
        <v>310</v>
      </c>
      <c r="X13" s="1306">
        <f t="shared" si="4"/>
        <v>0</v>
      </c>
      <c r="Y13" s="1314"/>
      <c r="Z13" s="1315"/>
      <c r="AA13" s="1315"/>
    </row>
    <row r="14" spans="1:27" s="1305" customFormat="1">
      <c r="A14" s="1304">
        <v>31000</v>
      </c>
      <c r="B14" s="1305" t="s">
        <v>6</v>
      </c>
      <c r="C14" s="1306">
        <f>+'2180 IS (C)'!AH11+'2180 IS (C)'!AH12+'2180 IS (C)'!AH13+'2180 IS (C)'!AH14+'2180 IS (C)'!AH16+'2180 IS (C)'!AH17</f>
        <v>2876959.6999999997</v>
      </c>
      <c r="D14" s="1306">
        <f>+'2182 IS'!AH16+'2182 IS'!AH17</f>
        <v>5397395.4200000009</v>
      </c>
      <c r="E14" s="1306">
        <f t="shared" si="0"/>
        <v>8274355.120000001</v>
      </c>
      <c r="F14" s="1306"/>
      <c r="G14" s="1307">
        <f>'Restating Adj'!J17</f>
        <v>-12570.85999999987</v>
      </c>
      <c r="H14" s="1306"/>
      <c r="I14" s="1306"/>
      <c r="J14" s="1306"/>
      <c r="K14" s="1308"/>
      <c r="L14" s="1306"/>
      <c r="M14" s="1306">
        <f t="shared" si="5"/>
        <v>2864388.84</v>
      </c>
      <c r="N14" s="1306">
        <f t="shared" si="1"/>
        <v>5397395.4200000009</v>
      </c>
      <c r="O14" s="1316">
        <f t="shared" si="2"/>
        <v>8261784.2600000007</v>
      </c>
      <c r="P14" s="1306">
        <f t="shared" si="3"/>
        <v>0</v>
      </c>
      <c r="Q14" s="1316">
        <f>N14</f>
        <v>5397395.4200000009</v>
      </c>
      <c r="R14" s="1310"/>
      <c r="S14" s="1317">
        <f>C14+G14+J14</f>
        <v>2864388.84</v>
      </c>
      <c r="T14" s="1306">
        <f>'Restating Adj'!E17</f>
        <v>1742013.8299999998</v>
      </c>
      <c r="U14" s="1306">
        <v>0</v>
      </c>
      <c r="V14" s="1318">
        <f>'Restating Adj'!G17</f>
        <v>1122375.0099999998</v>
      </c>
      <c r="W14" s="1310" t="s">
        <v>310</v>
      </c>
      <c r="X14" s="1306">
        <f t="shared" si="4"/>
        <v>0</v>
      </c>
      <c r="Y14" s="1314"/>
      <c r="Z14" s="1315"/>
      <c r="AA14" s="1315"/>
    </row>
    <row r="15" spans="1:27" s="1305" customFormat="1">
      <c r="A15" s="1304">
        <v>31005</v>
      </c>
      <c r="B15" s="1305" t="s">
        <v>7</v>
      </c>
      <c r="C15" s="1306">
        <f>+'2180 IS (C)'!AH15</f>
        <v>5656209.0300000003</v>
      </c>
      <c r="D15" s="1306">
        <v>0</v>
      </c>
      <c r="E15" s="1306">
        <f t="shared" si="0"/>
        <v>5656209.0300000003</v>
      </c>
      <c r="F15" s="1306"/>
      <c r="G15" s="1307">
        <f>'Restating Adj'!S19+'Restating Adj'!J18</f>
        <v>20135.308849999888</v>
      </c>
      <c r="H15" s="1306"/>
      <c r="I15" s="1306"/>
      <c r="J15" s="1306">
        <f>'Pro forma Adj'!D63</f>
        <v>57896.198000000004</v>
      </c>
      <c r="K15" s="1306"/>
      <c r="L15" s="1306"/>
      <c r="M15" s="1306">
        <f t="shared" si="5"/>
        <v>5734240.5368499998</v>
      </c>
      <c r="N15" s="1306">
        <f t="shared" si="1"/>
        <v>0</v>
      </c>
      <c r="O15" s="1316">
        <f t="shared" si="2"/>
        <v>5734240.5368499998</v>
      </c>
      <c r="P15" s="1306">
        <f t="shared" si="3"/>
        <v>0</v>
      </c>
      <c r="Q15" s="1316">
        <f t="shared" ref="Q15:Q23" si="7">N15</f>
        <v>0</v>
      </c>
      <c r="R15" s="1310"/>
      <c r="S15" s="1317">
        <f t="shared" si="6"/>
        <v>5734240.5368499998</v>
      </c>
      <c r="T15" s="1306">
        <f>'Restating Adj'!E18+'Restating Adj'!S19+'Pro forma Adj'!D63</f>
        <v>3246811.7068499993</v>
      </c>
      <c r="U15" s="1306"/>
      <c r="V15" s="1318">
        <f>'Restating Adj'!G18</f>
        <v>2487428.83</v>
      </c>
      <c r="W15" s="1310" t="s">
        <v>310</v>
      </c>
      <c r="X15" s="1306">
        <f t="shared" si="4"/>
        <v>0</v>
      </c>
      <c r="Y15" s="1314"/>
      <c r="Z15" s="1315"/>
      <c r="AA15" s="1315"/>
    </row>
    <row r="16" spans="1:27" s="1305" customFormat="1">
      <c r="A16" s="1304">
        <v>35000</v>
      </c>
      <c r="B16" s="1305" t="s">
        <v>8</v>
      </c>
      <c r="C16" s="1306">
        <f>+'2180 IS (C)'!AH33</f>
        <v>0</v>
      </c>
      <c r="D16" s="1306">
        <f>+'2182 IS'!AH18+'2182 IS'!AH22+'2182 IS'!AH23</f>
        <v>5326990.9799999995</v>
      </c>
      <c r="E16" s="1306">
        <f t="shared" si="0"/>
        <v>5326990.9799999995</v>
      </c>
      <c r="F16" s="1306"/>
      <c r="G16" s="1308"/>
      <c r="H16" s="1306"/>
      <c r="I16" s="1306"/>
      <c r="J16" s="1306"/>
      <c r="K16" s="1306"/>
      <c r="L16" s="1306"/>
      <c r="M16" s="1306">
        <f t="shared" si="5"/>
        <v>0</v>
      </c>
      <c r="N16" s="1306">
        <f t="shared" si="1"/>
        <v>5326990.9799999995</v>
      </c>
      <c r="O16" s="1316">
        <f t="shared" si="2"/>
        <v>5326990.9799999995</v>
      </c>
      <c r="P16" s="1306">
        <f t="shared" si="3"/>
        <v>0</v>
      </c>
      <c r="Q16" s="1316">
        <f t="shared" si="7"/>
        <v>5326990.9799999995</v>
      </c>
      <c r="R16" s="1310"/>
      <c r="S16" s="1317">
        <f t="shared" si="6"/>
        <v>0</v>
      </c>
      <c r="T16" s="1306"/>
      <c r="U16" s="1306"/>
      <c r="V16" s="1318"/>
      <c r="W16" s="1310" t="s">
        <v>310</v>
      </c>
      <c r="X16" s="1306">
        <f t="shared" si="4"/>
        <v>0</v>
      </c>
      <c r="Y16" s="1314"/>
      <c r="Z16" s="1315"/>
      <c r="AA16" s="1315"/>
    </row>
    <row r="17" spans="1:27" s="1305" customFormat="1">
      <c r="A17" s="1304">
        <v>33020</v>
      </c>
      <c r="B17" s="1305" t="s">
        <v>9</v>
      </c>
      <c r="C17" s="1306">
        <f>+'2180 IS (C)'!AH26+'2180 IS (C)'!AH27+SUM('2180 IS (C)'!J25:N25)</f>
        <v>3072760.27</v>
      </c>
      <c r="D17" s="1306"/>
      <c r="E17" s="1306">
        <f t="shared" si="0"/>
        <v>3072760.27</v>
      </c>
      <c r="F17" s="1306"/>
      <c r="G17" s="1307">
        <f>'Restating Adj'!J16</f>
        <v>-1095413.3299999998</v>
      </c>
      <c r="H17" s="1306"/>
      <c r="I17" s="1306"/>
      <c r="J17" s="1306"/>
      <c r="K17" s="1308"/>
      <c r="L17" s="1306"/>
      <c r="M17" s="1306">
        <f>C17+G17+J17</f>
        <v>1977346.9400000002</v>
      </c>
      <c r="N17" s="1306">
        <f t="shared" si="1"/>
        <v>0</v>
      </c>
      <c r="O17" s="1316">
        <f t="shared" si="2"/>
        <v>1977346.9400000002</v>
      </c>
      <c r="P17" s="1306">
        <f t="shared" si="3"/>
        <v>0</v>
      </c>
      <c r="Q17" s="1316">
        <f t="shared" si="7"/>
        <v>0</v>
      </c>
      <c r="R17" s="1310"/>
      <c r="S17" s="1317">
        <f>C17+G17+J17</f>
        <v>1977346.9400000002</v>
      </c>
      <c r="T17" s="1306">
        <f>+'Restating Adj'!B16</f>
        <v>0</v>
      </c>
      <c r="U17" s="1306">
        <f>+'Restating Adj'!D16</f>
        <v>0</v>
      </c>
      <c r="V17" s="1318">
        <f>'Restating Adj'!H16</f>
        <v>1977346.9400000002</v>
      </c>
      <c r="W17" s="1310" t="s">
        <v>310</v>
      </c>
      <c r="X17" s="1306">
        <f t="shared" si="4"/>
        <v>0</v>
      </c>
      <c r="Y17" s="1314"/>
      <c r="Z17" s="1315"/>
      <c r="AA17" s="1315"/>
    </row>
    <row r="18" spans="1:27" s="1305" customFormat="1">
      <c r="A18" s="1304">
        <v>35510</v>
      </c>
      <c r="B18" s="1305" t="str">
        <f>'2180 IS (C)'!E36</f>
        <v>Proceeds - OCC</v>
      </c>
      <c r="C18" s="1306">
        <f>+'2180 IS (C)'!AH36</f>
        <v>8775.16</v>
      </c>
      <c r="D18" s="1306">
        <f>IFERROR(VLOOKUP($A18,'2182 IS'!$D:$AH,31,FALSE),0)</f>
        <v>0</v>
      </c>
      <c r="E18" s="1306">
        <f t="shared" si="0"/>
        <v>8775.16</v>
      </c>
      <c r="F18" s="1306"/>
      <c r="G18" s="1308"/>
      <c r="H18" s="1306"/>
      <c r="I18" s="1306"/>
      <c r="J18" s="1306"/>
      <c r="K18" s="1308"/>
      <c r="L18" s="1306"/>
      <c r="M18" s="1306">
        <f t="shared" ref="M18:M22" si="8">C18+G18+J18</f>
        <v>8775.16</v>
      </c>
      <c r="N18" s="1306">
        <f t="shared" ref="N18:N22" si="9">D18+H18+K18</f>
        <v>0</v>
      </c>
      <c r="O18" s="1316">
        <f t="shared" ref="O18:O22" si="10">M18+N18</f>
        <v>8775.16</v>
      </c>
      <c r="P18" s="1306">
        <f t="shared" si="3"/>
        <v>0</v>
      </c>
      <c r="Q18" s="1316">
        <f t="shared" si="7"/>
        <v>0</v>
      </c>
      <c r="R18" s="1310"/>
      <c r="S18" s="1317">
        <f t="shared" si="6"/>
        <v>8775.16</v>
      </c>
      <c r="T18" s="1306"/>
      <c r="U18" s="1306">
        <f>+[43]Summary!$G$4</f>
        <v>6628.0299999999988</v>
      </c>
      <c r="V18" s="1318">
        <f>S18-T18-U18</f>
        <v>2147.130000000001</v>
      </c>
      <c r="W18" s="1310" t="s">
        <v>310</v>
      </c>
      <c r="X18" s="1306">
        <f t="shared" si="4"/>
        <v>0</v>
      </c>
      <c r="Y18" s="1319"/>
      <c r="Z18" s="1320"/>
      <c r="AA18" s="1320"/>
    </row>
    <row r="19" spans="1:27" s="1305" customFormat="1" ht="12.75" customHeight="1">
      <c r="A19" s="1304">
        <v>35514</v>
      </c>
      <c r="B19" s="1305" t="s">
        <v>204</v>
      </c>
      <c r="C19" s="1306">
        <f>+'2180 IS (C)'!AH38</f>
        <v>6484.3</v>
      </c>
      <c r="D19" s="1306">
        <f>IFERROR(VLOOKUP($A19,'2182 IS'!$D:$AH,31,FALSE),0)</f>
        <v>0</v>
      </c>
      <c r="E19" s="1306">
        <f t="shared" si="0"/>
        <v>6484.3</v>
      </c>
      <c r="F19" s="1306"/>
      <c r="G19" s="1308"/>
      <c r="H19" s="1306"/>
      <c r="I19" s="1306"/>
      <c r="J19" s="1306"/>
      <c r="K19" s="1308"/>
      <c r="L19" s="1306"/>
      <c r="M19" s="1306">
        <f t="shared" si="8"/>
        <v>6484.3</v>
      </c>
      <c r="N19" s="1306">
        <f t="shared" si="9"/>
        <v>0</v>
      </c>
      <c r="O19" s="1316">
        <f t="shared" si="10"/>
        <v>6484.3</v>
      </c>
      <c r="P19" s="1306">
        <f t="shared" si="3"/>
        <v>0</v>
      </c>
      <c r="Q19" s="1316">
        <f t="shared" si="7"/>
        <v>0</v>
      </c>
      <c r="R19" s="1310"/>
      <c r="S19" s="1317">
        <f t="shared" si="6"/>
        <v>6484.3</v>
      </c>
      <c r="T19" s="1306"/>
      <c r="U19" s="1306">
        <f>+C19</f>
        <v>6484.3</v>
      </c>
      <c r="V19" s="1318">
        <f>S19-T19-U19</f>
        <v>0</v>
      </c>
      <c r="W19" s="1310" t="s">
        <v>310</v>
      </c>
      <c r="X19" s="1306">
        <f t="shared" si="4"/>
        <v>0</v>
      </c>
      <c r="Y19" s="1319"/>
      <c r="Z19" s="1320"/>
      <c r="AA19" s="1320"/>
    </row>
    <row r="20" spans="1:27" s="1305" customFormat="1">
      <c r="A20" s="1304">
        <v>35517</v>
      </c>
      <c r="B20" s="1305" t="s">
        <v>205</v>
      </c>
      <c r="C20" s="1306">
        <f>+'2180 IS (C)'!AH39</f>
        <v>259870.22999999998</v>
      </c>
      <c r="D20" s="1306">
        <f>IFERROR(VLOOKUP($A20,'2182 IS'!$D:$AH,31,FALSE),0)</f>
        <v>2025.5000000000002</v>
      </c>
      <c r="E20" s="1306">
        <f t="shared" si="0"/>
        <v>261895.72999999998</v>
      </c>
      <c r="F20" s="1306"/>
      <c r="G20" s="1308"/>
      <c r="H20" s="1306"/>
      <c r="I20" s="1306"/>
      <c r="J20" s="1306"/>
      <c r="K20" s="1308"/>
      <c r="L20" s="1306"/>
      <c r="M20" s="1306">
        <f t="shared" si="8"/>
        <v>259870.22999999998</v>
      </c>
      <c r="N20" s="1306">
        <f t="shared" si="9"/>
        <v>2025.5000000000002</v>
      </c>
      <c r="O20" s="1316">
        <f t="shared" si="10"/>
        <v>261895.72999999998</v>
      </c>
      <c r="P20" s="1306">
        <f t="shared" si="3"/>
        <v>0</v>
      </c>
      <c r="Q20" s="1316">
        <f t="shared" si="7"/>
        <v>2025.5000000000002</v>
      </c>
      <c r="R20" s="1310"/>
      <c r="S20" s="1317">
        <f>C20+G20+J20</f>
        <v>259870.22999999998</v>
      </c>
      <c r="T20" s="1306"/>
      <c r="U20" s="1306">
        <f>+[43]Summary!$G$5</f>
        <v>249778.16200280003</v>
      </c>
      <c r="V20" s="1318">
        <f>S20-T20-U20</f>
        <v>10092.067997199949</v>
      </c>
      <c r="W20" s="1310" t="s">
        <v>310</v>
      </c>
      <c r="X20" s="1306">
        <f t="shared" si="4"/>
        <v>0</v>
      </c>
      <c r="Y20" s="1319"/>
      <c r="Z20" s="1320"/>
      <c r="AA20" s="1320"/>
    </row>
    <row r="21" spans="1:27" s="1305" customFormat="1">
      <c r="A21" s="1304">
        <v>35564</v>
      </c>
      <c r="B21" s="1305" t="s">
        <v>653</v>
      </c>
      <c r="C21" s="1306">
        <f>VLOOKUP($A21,'2180 IS (C)'!$D:$AH,31,FALSE)</f>
        <v>245</v>
      </c>
      <c r="D21" s="1306">
        <f>IFERROR(VLOOKUP($A21,'2182 IS'!$D:$AH,31,FALSE),0)</f>
        <v>0</v>
      </c>
      <c r="E21" s="1306">
        <f t="shared" ref="E21" si="11">SUM(C21:D21)</f>
        <v>245</v>
      </c>
      <c r="F21" s="1306"/>
      <c r="G21" s="1308"/>
      <c r="H21" s="1306"/>
      <c r="I21" s="1306"/>
      <c r="J21" s="1306"/>
      <c r="K21" s="1308"/>
      <c r="L21" s="1306"/>
      <c r="M21" s="1306">
        <f t="shared" ref="M21" si="12">C21+G21+J21</f>
        <v>245</v>
      </c>
      <c r="N21" s="1306">
        <f t="shared" ref="N21" si="13">D21+H21+K21</f>
        <v>0</v>
      </c>
      <c r="O21" s="1316">
        <f t="shared" ref="O21" si="14">M21+N21</f>
        <v>245</v>
      </c>
      <c r="P21" s="1306">
        <f t="shared" ref="P21" si="15">E21+G21+H21+J21+K21-O21</f>
        <v>0</v>
      </c>
      <c r="Q21" s="1316">
        <f t="shared" ref="Q21" si="16">N21</f>
        <v>0</v>
      </c>
      <c r="R21" s="1310"/>
      <c r="S21" s="1317">
        <f>C21+G21+J21</f>
        <v>245</v>
      </c>
      <c r="T21" s="1306"/>
      <c r="U21" s="1306"/>
      <c r="V21" s="1318">
        <f>S21-T21-U21</f>
        <v>245</v>
      </c>
      <c r="W21" s="1310" t="s">
        <v>310</v>
      </c>
      <c r="X21" s="1306">
        <f t="shared" si="4"/>
        <v>0</v>
      </c>
      <c r="Y21" s="1319"/>
      <c r="Z21" s="1320"/>
      <c r="AA21" s="1320"/>
    </row>
    <row r="22" spans="1:27" s="1305" customFormat="1">
      <c r="A22" s="1304">
        <v>35527</v>
      </c>
      <c r="B22" s="1305" t="s">
        <v>10</v>
      </c>
      <c r="C22" s="1306">
        <f>VLOOKUP($A22,'2180 IS (C)'!$D:$AH,31,FALSE)</f>
        <v>-217679.39</v>
      </c>
      <c r="D22" s="1306">
        <f>IFERROR(VLOOKUP($A22,'2182 IS'!$D:$AH,31,FALSE),0)</f>
        <v>0</v>
      </c>
      <c r="E22" s="1306">
        <f t="shared" si="0"/>
        <v>-217679.39</v>
      </c>
      <c r="F22" s="1306"/>
      <c r="G22" s="1308"/>
      <c r="H22" s="1306"/>
      <c r="I22" s="1306"/>
      <c r="J22" s="1306"/>
      <c r="K22" s="1308"/>
      <c r="L22" s="1306"/>
      <c r="M22" s="1306">
        <f t="shared" si="8"/>
        <v>-217679.39</v>
      </c>
      <c r="N22" s="1306">
        <f t="shared" si="9"/>
        <v>0</v>
      </c>
      <c r="O22" s="1316">
        <f t="shared" si="10"/>
        <v>-217679.39</v>
      </c>
      <c r="P22" s="1306">
        <f t="shared" si="3"/>
        <v>0</v>
      </c>
      <c r="Q22" s="1316">
        <f t="shared" si="7"/>
        <v>0</v>
      </c>
      <c r="R22" s="1310"/>
      <c r="S22" s="1317">
        <f t="shared" si="6"/>
        <v>-217679.39</v>
      </c>
      <c r="T22" s="1306"/>
      <c r="U22" s="1306">
        <f>+S22</f>
        <v>-217679.39</v>
      </c>
      <c r="V22" s="1318"/>
      <c r="W22" s="1310" t="s">
        <v>310</v>
      </c>
      <c r="X22" s="1306">
        <f t="shared" si="4"/>
        <v>0</v>
      </c>
      <c r="Y22" s="1319"/>
      <c r="Z22" s="1320"/>
      <c r="AA22" s="1320"/>
    </row>
    <row r="23" spans="1:27" s="1305" customFormat="1">
      <c r="A23" s="1304">
        <v>38000</v>
      </c>
      <c r="B23" s="1305" t="s">
        <v>11</v>
      </c>
      <c r="C23" s="1306">
        <f>VLOOKUP($A23,'2180 IS (C)'!$D:$AH,31,FALSE)</f>
        <v>59749.880000000005</v>
      </c>
      <c r="D23" s="1306">
        <f>IFERROR(VLOOKUP($A23,'2182 IS'!$D:$AH,31,FALSE),0)</f>
        <v>965547.67999999993</v>
      </c>
      <c r="E23" s="1306">
        <f t="shared" si="0"/>
        <v>1025297.5599999999</v>
      </c>
      <c r="F23" s="1306"/>
      <c r="G23" s="1308"/>
      <c r="H23" s="1306"/>
      <c r="I23" s="1306"/>
      <c r="J23" s="1306"/>
      <c r="K23" s="1308"/>
      <c r="L23" s="1306"/>
      <c r="M23" s="1306">
        <f>C23+G23+J23</f>
        <v>59749.880000000005</v>
      </c>
      <c r="N23" s="1306">
        <f>D23+H23+K23</f>
        <v>965547.67999999993</v>
      </c>
      <c r="O23" s="1316">
        <f t="shared" si="2"/>
        <v>1025297.5599999999</v>
      </c>
      <c r="P23" s="1306">
        <f>E23+G23+H23+J23+K23-O23</f>
        <v>0</v>
      </c>
      <c r="Q23" s="1316">
        <f t="shared" si="7"/>
        <v>965547.67999999993</v>
      </c>
      <c r="R23" s="1310"/>
      <c r="S23" s="1317">
        <f>C23+G23+J23</f>
        <v>59749.880000000005</v>
      </c>
      <c r="T23" s="1306">
        <f>S23*T28</f>
        <v>37064.103380240231</v>
      </c>
      <c r="U23" s="1306">
        <f>+'Restating Adj'!D19</f>
        <v>0</v>
      </c>
      <c r="V23" s="1318">
        <f>S23*V28</f>
        <v>22685.776619759781</v>
      </c>
      <c r="W23" s="1310" t="s">
        <v>2349</v>
      </c>
      <c r="X23" s="1306">
        <f t="shared" si="4"/>
        <v>0</v>
      </c>
      <c r="Y23" s="1321"/>
      <c r="Z23" s="1322"/>
      <c r="AA23" s="1323"/>
    </row>
    <row r="24" spans="1:27" s="1305" customFormat="1">
      <c r="A24" s="1304">
        <v>38001</v>
      </c>
      <c r="B24" s="1305" t="s">
        <v>12</v>
      </c>
      <c r="C24" s="1306">
        <f>VLOOKUP($A24,'2180 IS (C)'!$D:$AH,31,FALSE)</f>
        <v>34341.17</v>
      </c>
      <c r="D24" s="1306">
        <f>IFERROR(VLOOKUP($A24,'2182 IS'!$D:$AH,31,FALSE),0)</f>
        <v>13347.06</v>
      </c>
      <c r="E24" s="1306">
        <f t="shared" si="0"/>
        <v>47688.229999999996</v>
      </c>
      <c r="F24" s="1306"/>
      <c r="G24" s="1308"/>
      <c r="H24" s="1306"/>
      <c r="I24" s="1306"/>
      <c r="J24" s="1306"/>
      <c r="K24" s="1308"/>
      <c r="L24" s="1306"/>
      <c r="M24" s="1306">
        <f>C24+G24+J24</f>
        <v>34341.17</v>
      </c>
      <c r="N24" s="1306">
        <f>D24+H24+K24</f>
        <v>13347.06</v>
      </c>
      <c r="O24" s="1316">
        <f t="shared" ref="O24" si="17">M24+N24</f>
        <v>47688.229999999996</v>
      </c>
      <c r="P24" s="1306">
        <f>E24+G24+H24+J24+K24-O24</f>
        <v>0</v>
      </c>
      <c r="Q24" s="1316"/>
      <c r="R24" s="1310"/>
      <c r="S24" s="1317">
        <f>O24-Q24</f>
        <v>47688.229999999996</v>
      </c>
      <c r="T24" s="1306">
        <f>$S24*SUM('Ratios (C)'!$C$53+'Ratios (C)'!$D$53)</f>
        <v>27284.737280923109</v>
      </c>
      <c r="U24" s="1306">
        <f>$S24*('Ratios (C)'!$E$53+'Ratios (C)'!$F$53)</f>
        <v>4158.473310675944</v>
      </c>
      <c r="V24" s="1318">
        <f>$S24*'Ratios (C)'!$G$53</f>
        <v>16245.019408400944</v>
      </c>
      <c r="W24" s="1324" t="s">
        <v>370</v>
      </c>
      <c r="X24" s="1306">
        <f t="shared" si="4"/>
        <v>0</v>
      </c>
      <c r="Y24" s="1321"/>
      <c r="Z24" s="1322"/>
      <c r="AA24" s="1323"/>
    </row>
    <row r="25" spans="1:27" s="1305" customFormat="1">
      <c r="A25" s="1304"/>
      <c r="C25" s="1306"/>
      <c r="D25" s="1306"/>
      <c r="E25" s="1306"/>
      <c r="F25" s="1306"/>
      <c r="G25" s="1307"/>
      <c r="H25" s="1306"/>
      <c r="I25" s="1306"/>
      <c r="J25" s="1306"/>
      <c r="K25" s="1308"/>
      <c r="L25" s="1306"/>
      <c r="M25" s="1306">
        <f t="shared" ref="M25" si="18">C25+G25+J25</f>
        <v>0</v>
      </c>
      <c r="N25" s="1306">
        <f t="shared" ref="N25" si="19">D25+H25+K25</f>
        <v>0</v>
      </c>
      <c r="O25" s="1316">
        <f t="shared" ref="O25" si="20">M25+N25</f>
        <v>0</v>
      </c>
      <c r="P25" s="1306">
        <f t="shared" ref="P25" si="21">E25+G25+H25+J25+K25-O25</f>
        <v>0</v>
      </c>
      <c r="Q25" s="1316"/>
      <c r="R25" s="1310"/>
      <c r="S25" s="1317"/>
      <c r="T25" s="1306"/>
      <c r="U25" s="1306"/>
      <c r="V25" s="1318"/>
      <c r="W25" s="1310" t="s">
        <v>310</v>
      </c>
      <c r="X25" s="1306">
        <f t="shared" si="4"/>
        <v>0</v>
      </c>
      <c r="Y25" s="1321"/>
      <c r="Z25" s="1322"/>
      <c r="AA25" s="1323"/>
    </row>
    <row r="26" spans="1:27" s="1305" customFormat="1">
      <c r="A26" s="1304"/>
      <c r="B26" s="1325" t="s">
        <v>13</v>
      </c>
      <c r="C26" s="1326">
        <f>SUM(C9:C25)</f>
        <v>62680403.829999998</v>
      </c>
      <c r="D26" s="1326">
        <f>SUM(D9:D25)</f>
        <v>11705306.640000001</v>
      </c>
      <c r="E26" s="1326">
        <f>SUM(E9:E25)</f>
        <v>74385710.469999999</v>
      </c>
      <c r="F26" s="1326"/>
      <c r="G26" s="1326">
        <f>SUM(G9:G25)</f>
        <v>115726.01694999263</v>
      </c>
      <c r="H26" s="1326">
        <f>SUM(H9:H25)</f>
        <v>0</v>
      </c>
      <c r="I26" s="1326"/>
      <c r="J26" s="1326">
        <f>SUM(J9:J25)</f>
        <v>284542.74680000008</v>
      </c>
      <c r="K26" s="1326">
        <f>SUM(K9:K25)</f>
        <v>0</v>
      </c>
      <c r="L26" s="1326"/>
      <c r="M26" s="1326">
        <f>SUM(M9:M25)</f>
        <v>63080672.593749978</v>
      </c>
      <c r="N26" s="1326">
        <f>SUM(N9:N25)</f>
        <v>11705306.640000001</v>
      </c>
      <c r="O26" s="1327">
        <f>SUM(O9:O25)</f>
        <v>74785979.233749986</v>
      </c>
      <c r="P26" s="1327">
        <f>SUM(P9:P25)</f>
        <v>0</v>
      </c>
      <c r="Q26" s="1327">
        <f>SUM(Q9:Q25)</f>
        <v>11691959.58</v>
      </c>
      <c r="R26" s="1328"/>
      <c r="S26" s="1329">
        <f>SUM(S9:S25)</f>
        <v>63094019.653749973</v>
      </c>
      <c r="T26" s="1326">
        <f>SUM(T9:T25)</f>
        <v>36422793.284411147</v>
      </c>
      <c r="U26" s="1326">
        <f>SUM(U9:U25)</f>
        <v>4365946.4853134761</v>
      </c>
      <c r="V26" s="1330">
        <f>SUM(V9:V25)</f>
        <v>22305279.884025354</v>
      </c>
      <c r="W26" s="1310"/>
      <c r="X26" s="1306">
        <f t="shared" si="4"/>
        <v>0</v>
      </c>
      <c r="Y26" s="1319"/>
      <c r="Z26" s="1331"/>
      <c r="AA26" s="1320"/>
    </row>
    <row r="27" spans="1:27" s="1324" customFormat="1" ht="11.25">
      <c r="A27" s="1332"/>
      <c r="B27" s="1333" t="s">
        <v>292</v>
      </c>
      <c r="C27" s="1334">
        <f>C26-'2180 IS (C)'!AH61</f>
        <v>0</v>
      </c>
      <c r="D27" s="1335">
        <f>D26-'2182 IS'!AH49</f>
        <v>0</v>
      </c>
      <c r="E27" s="1334"/>
      <c r="F27" s="1334"/>
      <c r="G27" s="1334"/>
      <c r="H27" s="1334"/>
      <c r="I27" s="1334"/>
      <c r="J27" s="1334"/>
      <c r="K27" s="1334"/>
      <c r="L27" s="1334"/>
      <c r="M27" s="1334"/>
      <c r="N27" s="1334"/>
      <c r="O27" s="1336"/>
      <c r="P27" s="1334"/>
      <c r="Q27" s="1336"/>
      <c r="R27" s="1337"/>
      <c r="S27" s="1338"/>
      <c r="T27" s="1339">
        <f>T26/$S$26</f>
        <v>0.57727806033430251</v>
      </c>
      <c r="U27" s="1339">
        <f>U26/$S$26</f>
        <v>6.9197469257357536E-2</v>
      </c>
      <c r="V27" s="1340">
        <f>V26/$S$26</f>
        <v>0.35352447040834001</v>
      </c>
      <c r="X27" s="1334"/>
      <c r="Y27" s="1341"/>
      <c r="Z27" s="1342"/>
      <c r="AA27" s="1342"/>
    </row>
    <row r="28" spans="1:27" s="1305" customFormat="1" ht="11.25" customHeight="1">
      <c r="A28" s="1304"/>
      <c r="E28" s="1343"/>
      <c r="F28" s="1343"/>
      <c r="G28" s="1306"/>
      <c r="H28" s="1343"/>
      <c r="I28" s="1343"/>
      <c r="J28" s="1343"/>
      <c r="K28" s="1306"/>
      <c r="L28" s="1343"/>
      <c r="M28" s="1306"/>
      <c r="N28" s="1306"/>
      <c r="O28" s="1316"/>
      <c r="P28" s="1306"/>
      <c r="Q28" s="1316"/>
      <c r="R28" s="1324"/>
      <c r="S28" s="1317"/>
      <c r="T28" s="1344">
        <f>SUM(T9:T17)/SUM($T$9:$T$17,$V$9:$V$17)</f>
        <v>0.62032096767793055</v>
      </c>
      <c r="U28" s="1306"/>
      <c r="V28" s="1345">
        <f>SUM(V9:V17)/SUM($T$9:$T$17,$V$9:$V$17)</f>
        <v>0.37967903232206957</v>
      </c>
      <c r="W28" s="1324"/>
      <c r="X28" s="1306"/>
      <c r="Y28" s="1319"/>
      <c r="Z28" s="1346"/>
      <c r="AA28" s="1320"/>
    </row>
    <row r="29" spans="1:27" s="1305" customFormat="1" ht="6.75" customHeight="1">
      <c r="A29" s="1304"/>
      <c r="C29" s="1306"/>
      <c r="D29" s="1343"/>
      <c r="E29" s="1343"/>
      <c r="F29" s="1343"/>
      <c r="G29" s="1306"/>
      <c r="H29" s="1343"/>
      <c r="I29" s="1343"/>
      <c r="J29" s="1343"/>
      <c r="K29" s="1306"/>
      <c r="L29" s="1343"/>
      <c r="M29" s="1306"/>
      <c r="N29" s="1306"/>
      <c r="O29" s="1316"/>
      <c r="P29" s="1343"/>
      <c r="Q29" s="1347"/>
      <c r="R29" s="1348"/>
      <c r="S29" s="1349"/>
      <c r="T29" s="1343"/>
      <c r="U29" s="1306"/>
      <c r="V29" s="1350"/>
      <c r="W29" s="1324"/>
      <c r="X29" s="1306"/>
      <c r="Y29" s="1319"/>
      <c r="Z29" s="1320"/>
      <c r="AA29" s="1320"/>
    </row>
    <row r="30" spans="1:27" s="1305" customFormat="1">
      <c r="A30" s="1304"/>
      <c r="B30" s="1325" t="s">
        <v>14</v>
      </c>
      <c r="C30" s="1306"/>
      <c r="D30" s="1343"/>
      <c r="E30" s="1343"/>
      <c r="F30" s="1343"/>
      <c r="G30" s="1306"/>
      <c r="H30" s="1343"/>
      <c r="I30" s="1343"/>
      <c r="J30" s="1343"/>
      <c r="K30" s="1306"/>
      <c r="L30" s="1343"/>
      <c r="M30" s="1306"/>
      <c r="N30" s="1306"/>
      <c r="O30" s="1316"/>
      <c r="P30" s="1343"/>
      <c r="Q30" s="1347"/>
      <c r="R30" s="1351"/>
      <c r="S30" s="1349"/>
      <c r="T30" s="1343"/>
      <c r="U30" s="1306"/>
      <c r="V30" s="1350"/>
      <c r="W30" s="1324"/>
      <c r="X30" s="1306"/>
      <c r="Y30" s="1352"/>
      <c r="Z30" s="1353"/>
      <c r="AA30" s="1353"/>
    </row>
    <row r="31" spans="1:27" s="1305" customFormat="1">
      <c r="A31" s="1354">
        <v>57125</v>
      </c>
      <c r="B31" s="1355" t="s">
        <v>15</v>
      </c>
      <c r="C31" s="1306">
        <f>IFERROR(VLOOKUP(A31,'2180 IS (C)'!D:AH,31,FALSE),0)</f>
        <v>44304.12</v>
      </c>
      <c r="D31" s="1306">
        <f>IFERROR(VLOOKUP(A31,'2182 IS'!D:AH,31,FALSE),0)</f>
        <v>22550.16</v>
      </c>
      <c r="E31" s="1306">
        <f t="shared" ref="E31:E32" si="22">SUM(C31:D31)</f>
        <v>66854.28</v>
      </c>
      <c r="F31" s="1306"/>
      <c r="G31" s="1306"/>
      <c r="H31" s="1306"/>
      <c r="I31" s="1306"/>
      <c r="J31" s="1306"/>
      <c r="K31" s="1306"/>
      <c r="L31" s="1306"/>
      <c r="M31" s="1306">
        <f t="shared" ref="M31:M32" si="23">C31+G31+J31</f>
        <v>44304.12</v>
      </c>
      <c r="N31" s="1306">
        <f t="shared" ref="N31:N32" si="24">D31+H31+K31</f>
        <v>22550.16</v>
      </c>
      <c r="O31" s="1316">
        <f t="shared" ref="O31:O32" si="25">M31+N31</f>
        <v>66854.28</v>
      </c>
      <c r="P31" s="1306"/>
      <c r="Q31" s="1316">
        <f t="shared" ref="Q31:Q32" si="26">N31</f>
        <v>22550.16</v>
      </c>
      <c r="R31" s="1310"/>
      <c r="S31" s="1317">
        <f>O31-Q31</f>
        <v>44304.119999999995</v>
      </c>
      <c r="T31" s="1306">
        <f>($S31-'57125 JE Query'!D84)*('Ratios (C)'!$C$53+'Ratios (C)'!$D$53)</f>
        <v>16593.065892668412</v>
      </c>
      <c r="U31" s="1306">
        <f>($S31-'57125 JE Query'!D84)*('Ratios (C)'!$E$53+'Ratios (C)'!$F$53)+'57125 JE Query'!D84</f>
        <v>17831.733126669591</v>
      </c>
      <c r="V31" s="1318">
        <f>+S31-SUM(T31:U31)</f>
        <v>9879.3209806619925</v>
      </c>
      <c r="W31" s="1324" t="s">
        <v>370</v>
      </c>
      <c r="X31" s="1306">
        <f>SUM(T31:V31)-S31</f>
        <v>0</v>
      </c>
      <c r="Y31" s="1352"/>
      <c r="Z31" s="1353"/>
      <c r="AA31" s="1353"/>
    </row>
    <row r="32" spans="1:27" s="1305" customFormat="1">
      <c r="A32" s="1354">
        <v>57147</v>
      </c>
      <c r="B32" s="1355" t="s">
        <v>16</v>
      </c>
      <c r="C32" s="1306">
        <f>IFERROR(VLOOKUP(A32,'2180 IS (C)'!D:AH,31,FALSE),0)</f>
        <v>235412.78</v>
      </c>
      <c r="D32" s="1306">
        <f>IFERROR(VLOOKUP(A32,'2182 IS'!D:AH,31,FALSE),0)</f>
        <v>65127.409999999996</v>
      </c>
      <c r="E32" s="1306">
        <f t="shared" si="22"/>
        <v>300540.19</v>
      </c>
      <c r="F32" s="1306"/>
      <c r="G32" s="1306"/>
      <c r="H32" s="1306"/>
      <c r="I32" s="1306"/>
      <c r="J32" s="1306"/>
      <c r="K32" s="1306"/>
      <c r="L32" s="1306"/>
      <c r="M32" s="1306">
        <f t="shared" si="23"/>
        <v>235412.78</v>
      </c>
      <c r="N32" s="1306">
        <f t="shared" si="24"/>
        <v>65127.409999999996</v>
      </c>
      <c r="O32" s="1316">
        <f t="shared" si="25"/>
        <v>300540.19</v>
      </c>
      <c r="P32" s="1306"/>
      <c r="Q32" s="1316">
        <f t="shared" si="26"/>
        <v>65127.409999999996</v>
      </c>
      <c r="R32" s="1310"/>
      <c r="S32" s="1317">
        <f>O32-Q32</f>
        <v>235412.78</v>
      </c>
      <c r="T32" s="1306">
        <f>$S32*SUM('Ratios (C)'!$C$53+'Ratios (C)'!$D$53)</f>
        <v>134691.00981252085</v>
      </c>
      <c r="U32" s="1306">
        <f>$S32*('Ratios (C)'!$E$53+'Ratios (C)'!$F$53)</f>
        <v>20528.2889010984</v>
      </c>
      <c r="V32" s="1318">
        <f>$S32*'Ratios (C)'!$G$53</f>
        <v>80193.48128638076</v>
      </c>
      <c r="W32" s="1324" t="s">
        <v>370</v>
      </c>
      <c r="X32" s="1306">
        <f>SUM(T32:V32)-S32</f>
        <v>0</v>
      </c>
      <c r="Y32" s="1356"/>
      <c r="Z32" s="1357"/>
      <c r="AA32" s="1357"/>
    </row>
    <row r="33" spans="1:27" s="1305" customFormat="1">
      <c r="A33" s="1354"/>
      <c r="B33" s="1355"/>
      <c r="C33" s="1306"/>
      <c r="D33" s="1306"/>
      <c r="E33" s="1306"/>
      <c r="F33" s="1306"/>
      <c r="G33" s="1306"/>
      <c r="H33" s="1306"/>
      <c r="I33" s="1306"/>
      <c r="J33" s="1306"/>
      <c r="K33" s="1306"/>
      <c r="L33" s="1306"/>
      <c r="M33" s="1306"/>
      <c r="N33" s="1306"/>
      <c r="O33" s="1316"/>
      <c r="P33" s="1306"/>
      <c r="Q33" s="1316"/>
      <c r="R33" s="1310"/>
      <c r="S33" s="1317"/>
      <c r="T33" s="1306"/>
      <c r="U33" s="1306"/>
      <c r="V33" s="1318"/>
      <c r="W33" s="1324"/>
      <c r="X33" s="1306"/>
      <c r="Y33" s="1356"/>
      <c r="Z33" s="1357"/>
      <c r="AA33" s="1357"/>
    </row>
    <row r="34" spans="1:27" s="1305" customFormat="1">
      <c r="A34" s="1358">
        <v>41200</v>
      </c>
      <c r="B34" s="1325" t="s">
        <v>13</v>
      </c>
      <c r="C34" s="1326">
        <f>SUM(C31:C33)</f>
        <v>279716.90000000002</v>
      </c>
      <c r="D34" s="1326">
        <f>SUM(D31:D33)</f>
        <v>87677.569999999992</v>
      </c>
      <c r="E34" s="1326">
        <f>SUM(E31:E33)</f>
        <v>367394.47</v>
      </c>
      <c r="F34" s="1326"/>
      <c r="G34" s="1326">
        <f>SUM(G31:G33)</f>
        <v>0</v>
      </c>
      <c r="H34" s="1326">
        <f>SUM(H31:H33)</f>
        <v>0</v>
      </c>
      <c r="I34" s="1326"/>
      <c r="J34" s="1326">
        <f>SUM(J31:J33)</f>
        <v>0</v>
      </c>
      <c r="K34" s="1326">
        <f>SUM(K31:K33)</f>
        <v>0</v>
      </c>
      <c r="L34" s="1326"/>
      <c r="M34" s="1326">
        <f>SUM(M31:M33)</f>
        <v>279716.90000000002</v>
      </c>
      <c r="N34" s="1326">
        <f>SUM(N31:N33)</f>
        <v>87677.569999999992</v>
      </c>
      <c r="O34" s="1327">
        <f>SUM(O31:O33)</f>
        <v>367394.47</v>
      </c>
      <c r="P34" s="1326">
        <f>SUM(P31:P33)</f>
        <v>0</v>
      </c>
      <c r="Q34" s="1327">
        <f>SUM(Q31:Q33)</f>
        <v>87677.569999999992</v>
      </c>
      <c r="R34" s="1328"/>
      <c r="S34" s="1329">
        <f>SUM(S31:S33)</f>
        <v>279716.90000000002</v>
      </c>
      <c r="T34" s="1326">
        <f>SUM(T31:T33)</f>
        <v>151284.07570518926</v>
      </c>
      <c r="U34" s="1326">
        <f>SUM(U31:U33)</f>
        <v>38360.022027767991</v>
      </c>
      <c r="V34" s="1330">
        <f>SUM(V31:V33)</f>
        <v>90072.802267042745</v>
      </c>
      <c r="W34" s="1324"/>
      <c r="X34" s="1306">
        <f t="shared" ref="X34:X70" si="27">SUM(T34:V34)-S34</f>
        <v>0</v>
      </c>
      <c r="Y34" s="1356"/>
      <c r="Z34" s="1357"/>
      <c r="AA34" s="1357"/>
    </row>
    <row r="35" spans="1:27" s="1305" customFormat="1" ht="10.5" customHeight="1">
      <c r="A35" s="1304"/>
      <c r="C35" s="1306"/>
      <c r="D35" s="1359"/>
      <c r="E35" s="1306"/>
      <c r="F35" s="1306"/>
      <c r="G35" s="1306"/>
      <c r="H35" s="1306"/>
      <c r="I35" s="1306"/>
      <c r="J35" s="1306"/>
      <c r="K35" s="1306"/>
      <c r="L35" s="1306"/>
      <c r="M35" s="1306"/>
      <c r="N35" s="1306"/>
      <c r="O35" s="1316"/>
      <c r="P35" s="1306"/>
      <c r="Q35" s="1316"/>
      <c r="R35" s="1324"/>
      <c r="S35" s="1317"/>
      <c r="T35" s="1306"/>
      <c r="U35" s="1306"/>
      <c r="V35" s="1318"/>
      <c r="W35" s="1324"/>
      <c r="X35" s="1306">
        <f t="shared" si="27"/>
        <v>0</v>
      </c>
      <c r="Y35" s="1356"/>
      <c r="Z35" s="1357"/>
      <c r="AA35" s="1360"/>
    </row>
    <row r="36" spans="1:27" s="1305" customFormat="1">
      <c r="A36" s="1392">
        <v>52010</v>
      </c>
      <c r="B36" s="1305" t="s">
        <v>17</v>
      </c>
      <c r="C36" s="1306">
        <f>IFERROR(VLOOKUP(A36,'2180 IS (C)'!D:AH,31,FALSE),0)</f>
        <v>96980.63</v>
      </c>
      <c r="D36" s="1306">
        <f>IFERROR(VLOOKUP(A36,'2182 IS'!D:AH,31,FALSE),0)</f>
        <v>70698.89</v>
      </c>
      <c r="E36" s="1306">
        <f t="shared" ref="E36:E42" si="28">SUM(C36:D36)</f>
        <v>167679.52000000002</v>
      </c>
      <c r="F36" s="1306"/>
      <c r="G36" s="1307"/>
      <c r="H36" s="1306"/>
      <c r="I36" s="1306"/>
      <c r="J36" s="1306">
        <f>'Pro forma Adj'!B19</f>
        <v>36083.756113385563</v>
      </c>
      <c r="K36" s="1306"/>
      <c r="L36" s="1306"/>
      <c r="M36" s="1306">
        <f t="shared" ref="M36:M42" si="29">C36+G36+J36</f>
        <v>133064.38611338555</v>
      </c>
      <c r="N36" s="1306">
        <f t="shared" ref="N36:N42" si="30">D36+H36+K36</f>
        <v>70698.89</v>
      </c>
      <c r="O36" s="1316">
        <f t="shared" ref="O36:O42" si="31">M36+N36</f>
        <v>203763.27611338557</v>
      </c>
      <c r="P36" s="1306"/>
      <c r="Q36" s="1316">
        <f t="shared" ref="Q36:Q42" si="32">N36</f>
        <v>70698.89</v>
      </c>
      <c r="R36" s="1310"/>
      <c r="S36" s="1317">
        <f t="shared" ref="S36:S42" si="33">O36-Q36</f>
        <v>133064.38611338555</v>
      </c>
      <c r="T36" s="1306">
        <f>$S36*SUM('Ratios (C)'!$C$53+'Ratios (C)'!$D$53)</f>
        <v>76132.555486983649</v>
      </c>
      <c r="U36" s="1306">
        <f>$S36*('Ratios (C)'!$E$53+'Ratios (C)'!$F$53)</f>
        <v>11603.380923426863</v>
      </c>
      <c r="V36" s="1318">
        <f>$S36*'Ratios (C)'!$G$53</f>
        <v>45328.449702975042</v>
      </c>
      <c r="W36" s="1324" t="s">
        <v>370</v>
      </c>
      <c r="X36" s="1306">
        <f t="shared" si="27"/>
        <v>0</v>
      </c>
      <c r="Y36" s="1356"/>
      <c r="Z36" s="1357"/>
      <c r="AA36" s="1361"/>
    </row>
    <row r="37" spans="1:27" s="1305" customFormat="1">
      <c r="A37" s="1392">
        <v>52020</v>
      </c>
      <c r="B37" s="1355" t="s">
        <v>18</v>
      </c>
      <c r="C37" s="1306">
        <f>IFERROR(VLOOKUP(A37,'2180 IS (C)'!D:AH,31,FALSE),0)</f>
        <v>960320.79999999993</v>
      </c>
      <c r="D37" s="1306">
        <f>IFERROR(VLOOKUP(A37,'2182 IS'!D:AH,31,FALSE),0)</f>
        <v>252473.35</v>
      </c>
      <c r="E37" s="1306">
        <f t="shared" si="28"/>
        <v>1212794.1499999999</v>
      </c>
      <c r="F37" s="1306"/>
      <c r="G37" s="1307"/>
      <c r="H37" s="1306"/>
      <c r="I37" s="1306"/>
      <c r="J37" s="1306"/>
      <c r="K37" s="1306"/>
      <c r="L37" s="1306"/>
      <c r="M37" s="1306">
        <f t="shared" si="29"/>
        <v>960320.79999999993</v>
      </c>
      <c r="N37" s="1306">
        <f t="shared" si="30"/>
        <v>252473.35</v>
      </c>
      <c r="O37" s="1316">
        <f t="shared" si="31"/>
        <v>1212794.1499999999</v>
      </c>
      <c r="P37" s="1306"/>
      <c r="Q37" s="1316">
        <f t="shared" si="32"/>
        <v>252473.35</v>
      </c>
      <c r="R37" s="1310"/>
      <c r="S37" s="1317">
        <f t="shared" si="33"/>
        <v>960320.79999999993</v>
      </c>
      <c r="T37" s="1306">
        <f>$S37*SUM('Ratios (C)'!$C$53+'Ratios (C)'!$D$53)</f>
        <v>549445.86396697687</v>
      </c>
      <c r="U37" s="1306">
        <f>($S37-$G$37)*('Ratios (C)'!$E$53+'Ratios (C)'!$F$53)+G37</f>
        <v>83741.175054871434</v>
      </c>
      <c r="V37" s="1318">
        <f>($S37-$G$37)*'Ratios (C)'!$G$53</f>
        <v>327133.76097815164</v>
      </c>
      <c r="W37" s="1324" t="s">
        <v>370</v>
      </c>
      <c r="X37" s="1306">
        <f t="shared" si="27"/>
        <v>0</v>
      </c>
      <c r="Y37" s="1314"/>
      <c r="Z37" s="1357"/>
      <c r="AA37" s="1361"/>
    </row>
    <row r="38" spans="1:27" s="1305" customFormat="1">
      <c r="A38" s="1392">
        <v>52025</v>
      </c>
      <c r="B38" s="1305" t="s">
        <v>19</v>
      </c>
      <c r="C38" s="1306">
        <f>IFERROR(VLOOKUP(A38,'2180 IS (C)'!D:AH,31,FALSE),0)</f>
        <v>194134.68</v>
      </c>
      <c r="D38" s="1306">
        <f>IFERROR(VLOOKUP(A38,'2182 IS'!D:AH,31,FALSE),0)</f>
        <v>57030.360000000008</v>
      </c>
      <c r="E38" s="1306">
        <f t="shared" si="28"/>
        <v>251165.04</v>
      </c>
      <c r="F38" s="1306"/>
      <c r="G38" s="1307"/>
      <c r="H38" s="1306"/>
      <c r="I38" s="1306"/>
      <c r="J38" s="1306"/>
      <c r="K38" s="1306"/>
      <c r="L38" s="1306"/>
      <c r="M38" s="1306">
        <f t="shared" si="29"/>
        <v>194134.68</v>
      </c>
      <c r="N38" s="1306">
        <f t="shared" si="30"/>
        <v>57030.360000000008</v>
      </c>
      <c r="O38" s="1316">
        <f t="shared" si="31"/>
        <v>251165.04</v>
      </c>
      <c r="P38" s="1306"/>
      <c r="Q38" s="1316">
        <f t="shared" si="32"/>
        <v>57030.360000000008</v>
      </c>
      <c r="R38" s="1310"/>
      <c r="S38" s="1317">
        <f t="shared" si="33"/>
        <v>194134.68</v>
      </c>
      <c r="T38" s="1306">
        <f>$S38*SUM('Ratios (C)'!$C$53+'Ratios (C)'!$D$53)</f>
        <v>111073.81718541615</v>
      </c>
      <c r="U38" s="1306">
        <f>$S38*('Ratios (C)'!$E$53+'Ratios (C)'!$F$53)</f>
        <v>16928.786945051539</v>
      </c>
      <c r="V38" s="1318">
        <f>$S38*'Ratios (C)'!$G$53</f>
        <v>66132.075869532302</v>
      </c>
      <c r="W38" s="1324" t="s">
        <v>370</v>
      </c>
      <c r="X38" s="1306">
        <f t="shared" si="27"/>
        <v>0</v>
      </c>
      <c r="Y38" s="1356"/>
      <c r="Z38" s="1357"/>
      <c r="AA38" s="1357"/>
    </row>
    <row r="39" spans="1:27" s="1305" customFormat="1">
      <c r="A39" s="1392">
        <v>52035</v>
      </c>
      <c r="B39" s="1305" t="s">
        <v>20</v>
      </c>
      <c r="C39" s="1306">
        <f>IFERROR(VLOOKUP(A39,'2180 IS (C)'!D:AH,31,FALSE),0)</f>
        <v>16977.619999999995</v>
      </c>
      <c r="D39" s="1306">
        <f>IFERROR(VLOOKUP(A39,'2182 IS'!D:AH,31,FALSE),0)</f>
        <v>8892.73</v>
      </c>
      <c r="E39" s="1306">
        <f t="shared" si="28"/>
        <v>25870.349999999995</v>
      </c>
      <c r="F39" s="1306"/>
      <c r="G39" s="1307"/>
      <c r="H39" s="1306"/>
      <c r="I39" s="1306"/>
      <c r="J39" s="1306"/>
      <c r="K39" s="1306"/>
      <c r="L39" s="1306"/>
      <c r="M39" s="1306">
        <f t="shared" si="29"/>
        <v>16977.619999999995</v>
      </c>
      <c r="N39" s="1306">
        <f t="shared" si="30"/>
        <v>8892.73</v>
      </c>
      <c r="O39" s="1316">
        <f t="shared" si="31"/>
        <v>25870.349999999995</v>
      </c>
      <c r="P39" s="1306"/>
      <c r="Q39" s="1316">
        <f t="shared" si="32"/>
        <v>8892.73</v>
      </c>
      <c r="R39" s="1310"/>
      <c r="S39" s="1317">
        <f t="shared" si="33"/>
        <v>16977.619999999995</v>
      </c>
      <c r="T39" s="1306">
        <f>$S39*SUM('Ratios (C)'!$C$53+'Ratios (C)'!$D$53)</f>
        <v>9713.7155510981574</v>
      </c>
      <c r="U39" s="1306">
        <f>$S39*('Ratios (C)'!$E$53+'Ratios (C)'!$F$53)</f>
        <v>1480.4697018278539</v>
      </c>
      <c r="V39" s="1318">
        <f>$S39*'Ratios (C)'!$G$53</f>
        <v>5783.434747073984</v>
      </c>
      <c r="W39" s="1324" t="s">
        <v>370</v>
      </c>
      <c r="X39" s="1306">
        <f t="shared" si="27"/>
        <v>0</v>
      </c>
      <c r="Y39" s="1356"/>
      <c r="Z39" s="1357"/>
      <c r="AA39" s="1357"/>
    </row>
    <row r="40" spans="1:27" s="1305" customFormat="1">
      <c r="A40" s="1392">
        <v>52036</v>
      </c>
      <c r="B40" s="1305" t="s">
        <v>21</v>
      </c>
      <c r="C40" s="1306">
        <f>IFERROR(VLOOKUP(A40,'2180 IS (C)'!D:AH,31,FALSE),0)</f>
        <v>5000</v>
      </c>
      <c r="D40" s="1306">
        <f>IFERROR(VLOOKUP(A40,'2182 IS'!D:AH,31,FALSE),0)</f>
        <v>0</v>
      </c>
      <c r="E40" s="1306">
        <f t="shared" si="28"/>
        <v>5000</v>
      </c>
      <c r="F40" s="1306"/>
      <c r="G40" s="1307"/>
      <c r="H40" s="1306"/>
      <c r="I40" s="1306"/>
      <c r="J40" s="1306"/>
      <c r="K40" s="1306"/>
      <c r="L40" s="1306"/>
      <c r="M40" s="1306">
        <f t="shared" si="29"/>
        <v>5000</v>
      </c>
      <c r="N40" s="1306">
        <f t="shared" si="30"/>
        <v>0</v>
      </c>
      <c r="O40" s="1316">
        <f t="shared" si="31"/>
        <v>5000</v>
      </c>
      <c r="P40" s="1306"/>
      <c r="Q40" s="1316">
        <f t="shared" si="32"/>
        <v>0</v>
      </c>
      <c r="R40" s="1310"/>
      <c r="S40" s="1317">
        <f t="shared" si="33"/>
        <v>5000</v>
      </c>
      <c r="T40" s="1306">
        <f>$S40*SUM('Ratios (C)'!$C$53+'Ratios (C)'!$D$53)</f>
        <v>2860.7412437957032</v>
      </c>
      <c r="U40" s="1306">
        <f>$S40*('Ratios (C)'!$E$53+'Ratios (C)'!$F$53)</f>
        <v>436.00625465402521</v>
      </c>
      <c r="V40" s="1318">
        <f>$S40*'Ratios (C)'!$G$53</f>
        <v>1703.252501550272</v>
      </c>
      <c r="W40" s="1324" t="s">
        <v>370</v>
      </c>
      <c r="X40" s="1306">
        <f t="shared" si="27"/>
        <v>0</v>
      </c>
      <c r="Y40" s="1356"/>
      <c r="Z40" s="1357"/>
      <c r="AA40" s="1357"/>
    </row>
    <row r="41" spans="1:27" s="1305" customFormat="1">
      <c r="A41" s="1304">
        <v>52065</v>
      </c>
      <c r="B41" s="1305" t="s">
        <v>22</v>
      </c>
      <c r="C41" s="1306">
        <f>IFERROR(VLOOKUP(A41,'2180 IS (C)'!D:AH,31,FALSE),0)</f>
        <v>37848.560000000005</v>
      </c>
      <c r="D41" s="1306">
        <f>IFERROR(VLOOKUP(A41,'2182 IS'!D:AH,31,FALSE),0)</f>
        <v>15781.220000000001</v>
      </c>
      <c r="E41" s="1306">
        <f t="shared" si="28"/>
        <v>53629.780000000006</v>
      </c>
      <c r="F41" s="1306"/>
      <c r="G41" s="1307"/>
      <c r="H41" s="1306"/>
      <c r="I41" s="1306"/>
      <c r="J41" s="1306"/>
      <c r="K41" s="1306"/>
      <c r="L41" s="1306"/>
      <c r="M41" s="1306">
        <f t="shared" si="29"/>
        <v>37848.560000000005</v>
      </c>
      <c r="N41" s="1306">
        <f t="shared" si="30"/>
        <v>15781.220000000001</v>
      </c>
      <c r="O41" s="1316">
        <f t="shared" si="31"/>
        <v>53629.780000000006</v>
      </c>
      <c r="P41" s="1306"/>
      <c r="Q41" s="1316">
        <f t="shared" si="32"/>
        <v>15781.220000000001</v>
      </c>
      <c r="R41" s="1310"/>
      <c r="S41" s="1317">
        <f t="shared" si="33"/>
        <v>37848.560000000005</v>
      </c>
      <c r="T41" s="1306">
        <f>$S41*SUM('Ratios (C)'!$C$53+'Ratios (C)'!$D$53)</f>
        <v>21654.987322055262</v>
      </c>
      <c r="U41" s="1306">
        <f>$S41*('Ratios (C)'!$E$53+'Ratios (C)'!$F$53)</f>
        <v>3300.4417779296309</v>
      </c>
      <c r="V41" s="1318">
        <f>$S41*'Ratios (C)'!$G$53</f>
        <v>12893.130900015114</v>
      </c>
      <c r="W41" s="1324" t="s">
        <v>370</v>
      </c>
      <c r="X41" s="1306">
        <f t="shared" si="27"/>
        <v>0</v>
      </c>
      <c r="Y41" s="1319"/>
      <c r="Z41" s="1320"/>
      <c r="AA41" s="1320"/>
    </row>
    <row r="42" spans="1:27" s="1305" customFormat="1">
      <c r="A42" s="1304">
        <v>52070</v>
      </c>
      <c r="B42" s="1305" t="s">
        <v>23</v>
      </c>
      <c r="C42" s="1306">
        <f>IFERROR(VLOOKUP(A42,'2180 IS (C)'!D:AH,31,FALSE),0)</f>
        <v>39828.94</v>
      </c>
      <c r="D42" s="1306">
        <f>IFERROR(VLOOKUP(A42,'2182 IS'!D:AH,31,FALSE),0)</f>
        <v>10803.599999999997</v>
      </c>
      <c r="E42" s="1306">
        <f t="shared" si="28"/>
        <v>50632.54</v>
      </c>
      <c r="F42" s="1306"/>
      <c r="G42" s="1307"/>
      <c r="H42" s="1306"/>
      <c r="I42" s="1306"/>
      <c r="J42" s="1306"/>
      <c r="K42" s="1306"/>
      <c r="L42" s="1306"/>
      <c r="M42" s="1306">
        <f t="shared" si="29"/>
        <v>39828.94</v>
      </c>
      <c r="N42" s="1306">
        <f t="shared" si="30"/>
        <v>10803.599999999997</v>
      </c>
      <c r="O42" s="1316">
        <f t="shared" si="31"/>
        <v>50632.54</v>
      </c>
      <c r="P42" s="1306"/>
      <c r="Q42" s="1316">
        <f t="shared" si="32"/>
        <v>10803.599999999997</v>
      </c>
      <c r="R42" s="1310"/>
      <c r="S42" s="1317">
        <f t="shared" si="33"/>
        <v>39828.94</v>
      </c>
      <c r="T42" s="1306">
        <f>$S42*SUM('Ratios (C)'!$C$53+'Ratios (C)'!$D$53)</f>
        <v>22788.058270932888</v>
      </c>
      <c r="U42" s="1306">
        <f>$S42*('Ratios (C)'!$E$53+'Ratios (C)'!$F$53)</f>
        <v>3473.1333912479781</v>
      </c>
      <c r="V42" s="1318">
        <f>$S42*'Ratios (C)'!$G$53</f>
        <v>13567.748337819139</v>
      </c>
      <c r="W42" s="1324" t="s">
        <v>370</v>
      </c>
      <c r="X42" s="1306">
        <f t="shared" si="27"/>
        <v>0</v>
      </c>
      <c r="Y42" s="1321"/>
      <c r="Z42" s="1331"/>
      <c r="AA42" s="1331"/>
    </row>
    <row r="43" spans="1:27" s="1305" customFormat="1">
      <c r="A43" s="1358">
        <v>41310</v>
      </c>
      <c r="B43" s="1325" t="s">
        <v>24</v>
      </c>
      <c r="C43" s="1326">
        <f>SUM(C36:C42)</f>
        <v>1351091.23</v>
      </c>
      <c r="D43" s="1326">
        <f t="shared" ref="D43:V43" si="34">SUM(D36:D42)</f>
        <v>415680.14999999991</v>
      </c>
      <c r="E43" s="1326">
        <f t="shared" si="34"/>
        <v>1766771.3800000001</v>
      </c>
      <c r="F43" s="1326"/>
      <c r="G43" s="1326">
        <f t="shared" si="34"/>
        <v>0</v>
      </c>
      <c r="H43" s="1326">
        <f t="shared" si="34"/>
        <v>0</v>
      </c>
      <c r="I43" s="1326"/>
      <c r="J43" s="1326">
        <f t="shared" si="34"/>
        <v>36083.756113385563</v>
      </c>
      <c r="K43" s="1326">
        <f t="shared" si="34"/>
        <v>0</v>
      </c>
      <c r="L43" s="1326"/>
      <c r="M43" s="1326">
        <f t="shared" si="34"/>
        <v>1387174.9861133853</v>
      </c>
      <c r="N43" s="1326">
        <f t="shared" si="34"/>
        <v>415680.14999999991</v>
      </c>
      <c r="O43" s="1327">
        <f t="shared" si="34"/>
        <v>1802855.1361133857</v>
      </c>
      <c r="P43" s="1326">
        <f t="shared" si="34"/>
        <v>0</v>
      </c>
      <c r="Q43" s="1327">
        <f t="shared" si="34"/>
        <v>415680.14999999991</v>
      </c>
      <c r="R43" s="1328"/>
      <c r="S43" s="1329">
        <f t="shared" si="34"/>
        <v>1387174.9861133853</v>
      </c>
      <c r="T43" s="1326">
        <f t="shared" si="34"/>
        <v>793669.73902725859</v>
      </c>
      <c r="U43" s="1326">
        <f t="shared" si="34"/>
        <v>120963.39404900934</v>
      </c>
      <c r="V43" s="1330">
        <f t="shared" si="34"/>
        <v>472541.85303711746</v>
      </c>
      <c r="W43" s="1324"/>
      <c r="X43" s="1306">
        <f t="shared" si="27"/>
        <v>0</v>
      </c>
      <c r="Y43" s="1356"/>
      <c r="Z43" s="1357"/>
      <c r="AA43" s="1357"/>
    </row>
    <row r="44" spans="1:27" s="1305" customFormat="1">
      <c r="A44" s="1362"/>
      <c r="B44" s="1325"/>
      <c r="C44" s="1326"/>
      <c r="D44" s="1343"/>
      <c r="E44" s="1326"/>
      <c r="F44" s="1326"/>
      <c r="G44" s="1306"/>
      <c r="H44" s="1326"/>
      <c r="I44" s="1326"/>
      <c r="J44" s="1326"/>
      <c r="K44" s="1306"/>
      <c r="L44" s="1326"/>
      <c r="M44" s="1326"/>
      <c r="N44" s="1326"/>
      <c r="O44" s="1316"/>
      <c r="P44" s="1326"/>
      <c r="Q44" s="1327"/>
      <c r="R44" s="1363"/>
      <c r="S44" s="1329"/>
      <c r="T44" s="1326"/>
      <c r="U44" s="1306"/>
      <c r="V44" s="1318"/>
      <c r="W44" s="1324"/>
      <c r="X44" s="1306">
        <f t="shared" si="27"/>
        <v>0</v>
      </c>
      <c r="Y44" s="1319"/>
      <c r="Z44" s="1320"/>
      <c r="AA44" s="1320"/>
    </row>
    <row r="45" spans="1:27" s="1305" customFormat="1">
      <c r="A45" s="1304">
        <v>55020</v>
      </c>
      <c r="B45" s="1305" t="s">
        <v>25</v>
      </c>
      <c r="C45" s="1306">
        <f>IFERROR(VLOOKUP(A45,'2180 IS (C)'!D:AH,31,FALSE),0)</f>
        <v>464474.64</v>
      </c>
      <c r="D45" s="1306">
        <f>IFERROR(VLOOKUP(A45,'2182 IS'!D:AH,31,FALSE),0)</f>
        <v>0</v>
      </c>
      <c r="E45" s="1306">
        <f t="shared" ref="E45:E51" si="35">SUM(C45:D45)</f>
        <v>464474.64</v>
      </c>
      <c r="F45" s="1326"/>
      <c r="G45" s="1306"/>
      <c r="H45" s="1326"/>
      <c r="I45" s="1326"/>
      <c r="J45" s="1306">
        <f>'Pro forma Adj'!B20</f>
        <v>39200.323398012115</v>
      </c>
      <c r="K45" s="1306"/>
      <c r="L45" s="1326"/>
      <c r="M45" s="1306">
        <f t="shared" ref="M45:M51" si="36">C45+G45+J45</f>
        <v>503674.9633980121</v>
      </c>
      <c r="N45" s="1306">
        <f t="shared" ref="N45:N51" si="37">D45+H45+K45</f>
        <v>0</v>
      </c>
      <c r="O45" s="1316">
        <f t="shared" ref="O45:O51" si="38">M45+N45</f>
        <v>503674.9633980121</v>
      </c>
      <c r="P45" s="1326"/>
      <c r="Q45" s="1316">
        <f t="shared" ref="Q45:Q51" si="39">N45</f>
        <v>0</v>
      </c>
      <c r="R45" s="1310"/>
      <c r="S45" s="1317">
        <f t="shared" ref="S45:S51" si="40">O45-Q45</f>
        <v>503674.9633980121</v>
      </c>
      <c r="T45" s="1306">
        <f>$S45*('Ratios (C)'!$C$32+'Ratios (C)'!$D$32)</f>
        <v>365400.6339921219</v>
      </c>
      <c r="U45" s="1306">
        <f>$S45*('Ratios (C)'!$E$32+'Ratios (C)'!$F$32)</f>
        <v>2832.1628272142793</v>
      </c>
      <c r="V45" s="1318">
        <f>$S45*'Ratios (C)'!$G$32</f>
        <v>135442.16657867585</v>
      </c>
      <c r="W45" s="1324" t="s">
        <v>2383</v>
      </c>
      <c r="X45" s="1306">
        <f t="shared" si="27"/>
        <v>0</v>
      </c>
      <c r="Y45" s="1319"/>
      <c r="Z45" s="1320"/>
      <c r="AA45" s="1320"/>
    </row>
    <row r="46" spans="1:27" s="1305" customFormat="1">
      <c r="A46" s="1304">
        <v>55025</v>
      </c>
      <c r="B46" s="1305" t="s">
        <v>26</v>
      </c>
      <c r="C46" s="1306">
        <f>IFERROR(VLOOKUP(A46,'2180 IS (C)'!D:AH,31,FALSE),0)</f>
        <v>74085.83</v>
      </c>
      <c r="D46" s="1306">
        <f>IFERROR(VLOOKUP(A46,'2182 IS'!D:AH,31,FALSE),0)</f>
        <v>0</v>
      </c>
      <c r="E46" s="1306">
        <f t="shared" si="35"/>
        <v>74085.83</v>
      </c>
      <c r="F46" s="1326"/>
      <c r="G46" s="1306"/>
      <c r="H46" s="1326"/>
      <c r="I46" s="1326"/>
      <c r="J46" s="1306"/>
      <c r="K46" s="1306"/>
      <c r="L46" s="1326"/>
      <c r="M46" s="1306">
        <f t="shared" si="36"/>
        <v>74085.83</v>
      </c>
      <c r="N46" s="1306">
        <f t="shared" si="37"/>
        <v>0</v>
      </c>
      <c r="O46" s="1316">
        <f t="shared" si="38"/>
        <v>74085.83</v>
      </c>
      <c r="P46" s="1326"/>
      <c r="Q46" s="1316">
        <f t="shared" si="39"/>
        <v>0</v>
      </c>
      <c r="R46" s="1310"/>
      <c r="S46" s="1317">
        <f t="shared" si="40"/>
        <v>74085.83</v>
      </c>
      <c r="T46" s="1306">
        <f>$S46*('Ratios (C)'!$C$32+'Ratios (C)'!$D$32)</f>
        <v>53746.982119579006</v>
      </c>
      <c r="U46" s="1306">
        <f>$S46*('Ratios (C)'!$E$32+'Ratios (C)'!$F$32)</f>
        <v>416.58440263490093</v>
      </c>
      <c r="V46" s="1318">
        <f>$S46*'Ratios (C)'!$G$32</f>
        <v>19922.263477786088</v>
      </c>
      <c r="W46" s="1324" t="s">
        <v>2383</v>
      </c>
      <c r="X46" s="1306">
        <f t="shared" si="27"/>
        <v>0</v>
      </c>
      <c r="Y46" s="1319"/>
      <c r="Z46" s="1320"/>
      <c r="AA46" s="1320"/>
    </row>
    <row r="47" spans="1:27" s="1305" customFormat="1">
      <c r="A47" s="1304">
        <v>55035</v>
      </c>
      <c r="B47" s="1305" t="s">
        <v>27</v>
      </c>
      <c r="C47" s="1306">
        <f>IFERROR(VLOOKUP(A47,'2180 IS (C)'!D:AH,31,FALSE),0)</f>
        <v>10105.869999999999</v>
      </c>
      <c r="D47" s="1306">
        <f>IFERROR(VLOOKUP(A47,'2182 IS'!D:AH,31,FALSE),0)</f>
        <v>0</v>
      </c>
      <c r="E47" s="1306">
        <f t="shared" si="35"/>
        <v>10105.869999999999</v>
      </c>
      <c r="F47" s="1326"/>
      <c r="G47" s="1306"/>
      <c r="H47" s="1326"/>
      <c r="I47" s="1326"/>
      <c r="J47" s="1326"/>
      <c r="K47" s="1306"/>
      <c r="L47" s="1326"/>
      <c r="M47" s="1306">
        <f t="shared" si="36"/>
        <v>10105.869999999999</v>
      </c>
      <c r="N47" s="1306">
        <f t="shared" si="37"/>
        <v>0</v>
      </c>
      <c r="O47" s="1316">
        <f t="shared" si="38"/>
        <v>10105.869999999999</v>
      </c>
      <c r="P47" s="1326"/>
      <c r="Q47" s="1316">
        <f t="shared" si="39"/>
        <v>0</v>
      </c>
      <c r="R47" s="1310"/>
      <c r="S47" s="1317">
        <f t="shared" si="40"/>
        <v>10105.869999999999</v>
      </c>
      <c r="T47" s="1306">
        <f>$S47*('Ratios (C)'!$C$32+'Ratios (C)'!$D$32)</f>
        <v>7331.4966464273912</v>
      </c>
      <c r="U47" s="1306">
        <f>$S47*('Ratios (C)'!$E$32+'Ratios (C)'!$F$32)</f>
        <v>56.825277074657407</v>
      </c>
      <c r="V47" s="1318">
        <f>$S47*'Ratios (C)'!$G$32</f>
        <v>2717.5480764979493</v>
      </c>
      <c r="W47" s="1324" t="s">
        <v>2383</v>
      </c>
      <c r="X47" s="1306">
        <f t="shared" si="27"/>
        <v>0</v>
      </c>
      <c r="Y47" s="1319"/>
      <c r="Z47" s="1320"/>
      <c r="AA47" s="1320"/>
    </row>
    <row r="48" spans="1:27" s="1305" customFormat="1">
      <c r="A48" s="1304">
        <v>55036</v>
      </c>
      <c r="B48" s="1305" t="s">
        <v>28</v>
      </c>
      <c r="C48" s="1306">
        <f>IFERROR(VLOOKUP(A48,'2180 IS (C)'!D:AH,31,FALSE),0)</f>
        <v>466.13</v>
      </c>
      <c r="D48" s="1306">
        <f>IFERROR(VLOOKUP(A48,'2182 IS'!D:AH,31,FALSE),0)</f>
        <v>0</v>
      </c>
      <c r="E48" s="1306">
        <f t="shared" si="35"/>
        <v>466.13</v>
      </c>
      <c r="F48" s="1326"/>
      <c r="G48" s="1306"/>
      <c r="H48" s="1326"/>
      <c r="I48" s="1326"/>
      <c r="J48" s="1326"/>
      <c r="K48" s="1306"/>
      <c r="L48" s="1326"/>
      <c r="M48" s="1306">
        <f t="shared" si="36"/>
        <v>466.13</v>
      </c>
      <c r="N48" s="1306">
        <f t="shared" si="37"/>
        <v>0</v>
      </c>
      <c r="O48" s="1316">
        <f t="shared" si="38"/>
        <v>466.13</v>
      </c>
      <c r="P48" s="1326"/>
      <c r="Q48" s="1316">
        <f t="shared" si="39"/>
        <v>0</v>
      </c>
      <c r="R48" s="1310"/>
      <c r="S48" s="1317">
        <f t="shared" si="40"/>
        <v>466.13</v>
      </c>
      <c r="T48" s="1306">
        <f>$S48*('Ratios (C)'!$C$32+'Ratios (C)'!$D$32)</f>
        <v>338.16292232130439</v>
      </c>
      <c r="U48" s="1306">
        <f>$S48*('Ratios (C)'!$E$32+'Ratios (C)'!$F$32)</f>
        <v>2.6210476092419612</v>
      </c>
      <c r="V48" s="1318">
        <f>$S48*'Ratios (C)'!$G$32</f>
        <v>125.34603006945362</v>
      </c>
      <c r="W48" s="1324" t="s">
        <v>2383</v>
      </c>
      <c r="X48" s="1306">
        <f t="shared" si="27"/>
        <v>0</v>
      </c>
      <c r="Y48" s="1319"/>
      <c r="Z48" s="1320"/>
      <c r="AA48" s="1320"/>
    </row>
    <row r="49" spans="1:27" s="1305" customFormat="1">
      <c r="A49" s="1304">
        <v>55045</v>
      </c>
      <c r="B49" s="1305" t="s">
        <v>29</v>
      </c>
      <c r="C49" s="1306">
        <f>IFERROR(VLOOKUP(A49,'2180 IS (C)'!D:AH,31,FALSE),0)</f>
        <v>1694.21</v>
      </c>
      <c r="D49" s="1306">
        <f>IFERROR(VLOOKUP(A49,'2182 IS'!D:AH,31,FALSE),0)</f>
        <v>0</v>
      </c>
      <c r="E49" s="1306">
        <f t="shared" si="35"/>
        <v>1694.21</v>
      </c>
      <c r="F49" s="1326"/>
      <c r="G49" s="1306"/>
      <c r="H49" s="1326"/>
      <c r="I49" s="1326"/>
      <c r="J49" s="1326"/>
      <c r="K49" s="1306"/>
      <c r="L49" s="1326"/>
      <c r="M49" s="1306">
        <f t="shared" si="36"/>
        <v>1694.21</v>
      </c>
      <c r="N49" s="1306">
        <f t="shared" si="37"/>
        <v>0</v>
      </c>
      <c r="O49" s="1316">
        <f t="shared" si="38"/>
        <v>1694.21</v>
      </c>
      <c r="P49" s="1326"/>
      <c r="Q49" s="1316">
        <f t="shared" si="39"/>
        <v>0</v>
      </c>
      <c r="R49" s="1310"/>
      <c r="S49" s="1317">
        <f t="shared" si="40"/>
        <v>1694.21</v>
      </c>
      <c r="T49" s="1306">
        <f>$S49*('Ratios (C)'!$C$32+'Ratios (C)'!$D$32)</f>
        <v>1229.0970429407614</v>
      </c>
      <c r="U49" s="1306">
        <f>$S49*('Ratios (C)'!$E$32+'Ratios (C)'!$F$32)</f>
        <v>9.5265378114556523</v>
      </c>
      <c r="V49" s="1318">
        <f>$S49*'Ratios (C)'!$G$32</f>
        <v>455.58641924778283</v>
      </c>
      <c r="W49" s="1324" t="s">
        <v>2383</v>
      </c>
      <c r="X49" s="1306">
        <f t="shared" si="27"/>
        <v>0</v>
      </c>
      <c r="Y49" s="1319"/>
      <c r="Z49" s="1320"/>
      <c r="AA49" s="1320"/>
    </row>
    <row r="50" spans="1:27" s="1305" customFormat="1">
      <c r="A50" s="1304">
        <v>55065</v>
      </c>
      <c r="B50" s="1305" t="s">
        <v>22</v>
      </c>
      <c r="C50" s="1306">
        <f>IFERROR(VLOOKUP(A50,'2180 IS (C)'!D:AH,31,FALSE),0)</f>
        <v>25559.420000000002</v>
      </c>
      <c r="D50" s="1306">
        <f>IFERROR(VLOOKUP(A50,'2182 IS'!D:AH,31,FALSE),0)</f>
        <v>0</v>
      </c>
      <c r="E50" s="1306">
        <f t="shared" si="35"/>
        <v>25559.420000000002</v>
      </c>
      <c r="F50" s="1326"/>
      <c r="G50" s="1306"/>
      <c r="H50" s="1326"/>
      <c r="I50" s="1326"/>
      <c r="J50" s="1326"/>
      <c r="K50" s="1306"/>
      <c r="L50" s="1326"/>
      <c r="M50" s="1306">
        <f t="shared" si="36"/>
        <v>25559.420000000002</v>
      </c>
      <c r="N50" s="1306">
        <f t="shared" si="37"/>
        <v>0</v>
      </c>
      <c r="O50" s="1316">
        <f t="shared" si="38"/>
        <v>25559.420000000002</v>
      </c>
      <c r="P50" s="1326"/>
      <c r="Q50" s="1316">
        <f t="shared" si="39"/>
        <v>0</v>
      </c>
      <c r="R50" s="1310"/>
      <c r="S50" s="1317">
        <f t="shared" si="40"/>
        <v>25559.420000000002</v>
      </c>
      <c r="T50" s="1306">
        <f>$S50*('Ratios (C)'!$C$32+'Ratios (C)'!$D$32)</f>
        <v>18542.570012738066</v>
      </c>
      <c r="U50" s="1306">
        <f>$S50*('Ratios (C)'!$E$32+'Ratios (C)'!$F$32)</f>
        <v>143.72054294855764</v>
      </c>
      <c r="V50" s="1318">
        <f>$S50*'Ratios (C)'!$G$32</f>
        <v>6873.1294443133775</v>
      </c>
      <c r="W50" s="1324" t="s">
        <v>2383</v>
      </c>
      <c r="X50" s="1306">
        <f t="shared" si="27"/>
        <v>0</v>
      </c>
      <c r="Y50" s="1319"/>
      <c r="Z50" s="1320"/>
      <c r="AA50" s="1320"/>
    </row>
    <row r="51" spans="1:27" s="1305" customFormat="1">
      <c r="A51" s="1304">
        <v>55070</v>
      </c>
      <c r="B51" s="1305" t="s">
        <v>23</v>
      </c>
      <c r="C51" s="1306">
        <f>IFERROR(VLOOKUP(A51,'2180 IS (C)'!D:AH,31,FALSE),0)</f>
        <v>20282.989999999998</v>
      </c>
      <c r="D51" s="1306">
        <f>IFERROR(VLOOKUP(A51,'2182 IS'!D:AH,31,FALSE),0)</f>
        <v>0</v>
      </c>
      <c r="E51" s="1306">
        <f t="shared" si="35"/>
        <v>20282.989999999998</v>
      </c>
      <c r="F51" s="1326"/>
      <c r="G51" s="1306"/>
      <c r="H51" s="1326"/>
      <c r="I51" s="1326"/>
      <c r="J51" s="1326"/>
      <c r="K51" s="1306"/>
      <c r="L51" s="1326"/>
      <c r="M51" s="1306">
        <f t="shared" si="36"/>
        <v>20282.989999999998</v>
      </c>
      <c r="N51" s="1306">
        <f t="shared" si="37"/>
        <v>0</v>
      </c>
      <c r="O51" s="1316">
        <f t="shared" si="38"/>
        <v>20282.989999999998</v>
      </c>
      <c r="P51" s="1326"/>
      <c r="Q51" s="1316">
        <f t="shared" si="39"/>
        <v>0</v>
      </c>
      <c r="R51" s="1310"/>
      <c r="S51" s="1317">
        <f t="shared" si="40"/>
        <v>20282.989999999998</v>
      </c>
      <c r="T51" s="1306">
        <f>$S51*('Ratios (C)'!$C$32+'Ratios (C)'!$D$32)</f>
        <v>14714.682967871178</v>
      </c>
      <c r="U51" s="1306">
        <f>$S51*('Ratios (C)'!$E$32+'Ratios (C)'!$F$32)</f>
        <v>114.05119268825993</v>
      </c>
      <c r="V51" s="1318">
        <f>$S51*'Ratios (C)'!$G$32</f>
        <v>5454.2558394405569</v>
      </c>
      <c r="W51" s="1324" t="s">
        <v>2383</v>
      </c>
      <c r="X51" s="1306">
        <f t="shared" si="27"/>
        <v>0</v>
      </c>
      <c r="Y51" s="1319"/>
      <c r="Z51" s="1320"/>
      <c r="AA51" s="1320"/>
    </row>
    <row r="52" spans="1:27" s="1305" customFormat="1">
      <c r="A52" s="1358">
        <v>41311</v>
      </c>
      <c r="B52" s="1325" t="s">
        <v>30</v>
      </c>
      <c r="C52" s="1326">
        <f>SUM(C45:C51)</f>
        <v>596669.09</v>
      </c>
      <c r="D52" s="1326">
        <f>SUM(D45:D51)</f>
        <v>0</v>
      </c>
      <c r="E52" s="1326">
        <f>SUM(E45:E51)</f>
        <v>596669.09</v>
      </c>
      <c r="F52" s="1326"/>
      <c r="G52" s="1326">
        <f>SUM(G45:G51)</f>
        <v>0</v>
      </c>
      <c r="H52" s="1326">
        <f>SUM(H45:H51)</f>
        <v>0</v>
      </c>
      <c r="I52" s="1326"/>
      <c r="J52" s="1326">
        <f>SUM(J45:J51)</f>
        <v>39200.323398012115</v>
      </c>
      <c r="K52" s="1326">
        <f>SUM(K45:K51)</f>
        <v>0</v>
      </c>
      <c r="L52" s="1326"/>
      <c r="M52" s="1326">
        <f>SUM(M45:M51)</f>
        <v>635869.41339801205</v>
      </c>
      <c r="N52" s="1326">
        <f>SUM(N45:N51)</f>
        <v>0</v>
      </c>
      <c r="O52" s="1327">
        <f>SUM(O45:O51)</f>
        <v>635869.41339801205</v>
      </c>
      <c r="P52" s="1326">
        <f>SUM(P45:P51)</f>
        <v>0</v>
      </c>
      <c r="Q52" s="1327">
        <f>SUM(Q45:Q51)</f>
        <v>0</v>
      </c>
      <c r="R52" s="1328"/>
      <c r="S52" s="1329">
        <f>SUM(S45:S51)</f>
        <v>635869.41339801205</v>
      </c>
      <c r="T52" s="1326">
        <f>SUM(T45:T51)</f>
        <v>461303.6257039996</v>
      </c>
      <c r="U52" s="1326">
        <f>SUM(U45:U51)</f>
        <v>3575.4918279813528</v>
      </c>
      <c r="V52" s="1330">
        <f>SUM(V45:V51)</f>
        <v>170990.29586603108</v>
      </c>
      <c r="W52" s="1324"/>
      <c r="X52" s="1306">
        <f t="shared" si="27"/>
        <v>0</v>
      </c>
      <c r="Y52" s="1356"/>
      <c r="Z52" s="1357"/>
      <c r="AA52" s="1357"/>
    </row>
    <row r="53" spans="1:27" s="1305" customFormat="1">
      <c r="A53" s="1304"/>
      <c r="C53" s="1326"/>
      <c r="D53" s="1343"/>
      <c r="E53" s="1326"/>
      <c r="F53" s="1326"/>
      <c r="G53" s="1306"/>
      <c r="H53" s="1326"/>
      <c r="I53" s="1326"/>
      <c r="J53" s="1326"/>
      <c r="K53" s="1306"/>
      <c r="L53" s="1326"/>
      <c r="M53" s="1326"/>
      <c r="N53" s="1326"/>
      <c r="O53" s="1316"/>
      <c r="P53" s="1326"/>
      <c r="Q53" s="1327"/>
      <c r="R53" s="1363"/>
      <c r="S53" s="1329"/>
      <c r="T53" s="1326"/>
      <c r="U53" s="1306"/>
      <c r="V53" s="1318"/>
      <c r="W53" s="1324"/>
      <c r="X53" s="1306">
        <f t="shared" si="27"/>
        <v>0</v>
      </c>
      <c r="Y53" s="1319"/>
      <c r="Z53" s="1320"/>
      <c r="AA53" s="1320"/>
    </row>
    <row r="54" spans="1:27" s="1305" customFormat="1">
      <c r="A54" s="1362"/>
      <c r="B54" s="1325"/>
      <c r="C54" s="1326"/>
      <c r="D54" s="1343"/>
      <c r="E54" s="1326"/>
      <c r="F54" s="1326"/>
      <c r="G54" s="1306"/>
      <c r="H54" s="1326"/>
      <c r="I54" s="1326"/>
      <c r="J54" s="1326"/>
      <c r="K54" s="1306"/>
      <c r="L54" s="1326"/>
      <c r="M54" s="1306">
        <f t="shared" ref="M54:M57" si="41">C54+G54+J54</f>
        <v>0</v>
      </c>
      <c r="N54" s="1306">
        <f t="shared" ref="N54:N58" si="42">D54+H54+K54</f>
        <v>0</v>
      </c>
      <c r="O54" s="1316">
        <f t="shared" ref="O54:O58" si="43">M54+N54</f>
        <v>0</v>
      </c>
      <c r="P54" s="1326"/>
      <c r="Q54" s="1316">
        <f t="shared" ref="Q54:Q58" si="44">N54</f>
        <v>0</v>
      </c>
      <c r="R54" s="1310"/>
      <c r="S54" s="1317"/>
      <c r="T54" s="1306"/>
      <c r="U54" s="1306"/>
      <c r="V54" s="1318"/>
      <c r="W54" s="1324"/>
      <c r="X54" s="1306">
        <f t="shared" si="27"/>
        <v>0</v>
      </c>
      <c r="Y54" s="1319"/>
      <c r="Z54" s="1320"/>
      <c r="AA54" s="1320"/>
    </row>
    <row r="55" spans="1:27" s="1305" customFormat="1">
      <c r="A55" s="1392">
        <v>52120</v>
      </c>
      <c r="B55" s="1305" t="s">
        <v>31</v>
      </c>
      <c r="C55" s="1306">
        <f>IFERROR(VLOOKUP(A55,'2180 IS (C)'!D:AH,31,FALSE),0)</f>
        <v>783422.44</v>
      </c>
      <c r="D55" s="1306">
        <f>IFERROR(VLOOKUP(A55,'2182 IS'!D:AH,31,FALSE),0)</f>
        <v>294948.77999999997</v>
      </c>
      <c r="E55" s="1306">
        <f t="shared" ref="E55:E58" si="45">SUM(C55:D55)</f>
        <v>1078371.22</v>
      </c>
      <c r="F55" s="1306"/>
      <c r="G55" s="1308"/>
      <c r="H55" s="1306"/>
      <c r="I55" s="1306"/>
      <c r="J55" s="1306"/>
      <c r="K55" s="1308"/>
      <c r="L55" s="1306"/>
      <c r="M55" s="1306">
        <f t="shared" si="41"/>
        <v>783422.44</v>
      </c>
      <c r="N55" s="1306">
        <f t="shared" si="42"/>
        <v>294948.77999999997</v>
      </c>
      <c r="O55" s="1316">
        <f t="shared" si="43"/>
        <v>1078371.22</v>
      </c>
      <c r="P55" s="1306"/>
      <c r="Q55" s="1316">
        <f t="shared" si="44"/>
        <v>294948.77999999997</v>
      </c>
      <c r="R55" s="1310"/>
      <c r="S55" s="1317">
        <f t="shared" ref="S55:S58" si="46">O55-Q55</f>
        <v>783422.44</v>
      </c>
      <c r="T55" s="1306">
        <f>$S55*SUM('Ratios (C)'!$C$53+'Ratios (C)'!$D$53)</f>
        <v>448233.77708461287</v>
      </c>
      <c r="U55" s="1306">
        <f>$S55*('Ratios (C)'!$E$53+'Ratios (C)'!$F$53)</f>
        <v>68315.416775263555</v>
      </c>
      <c r="V55" s="1318">
        <f>$S55*'Ratios (C)'!$G$53</f>
        <v>266873.24614012358</v>
      </c>
      <c r="W55" s="1324" t="s">
        <v>370</v>
      </c>
      <c r="X55" s="1306">
        <f t="shared" si="27"/>
        <v>0</v>
      </c>
      <c r="Y55" s="1319"/>
      <c r="Z55" s="1320"/>
      <c r="AA55" s="1320"/>
    </row>
    <row r="56" spans="1:27" s="1305" customFormat="1">
      <c r="A56" s="1392">
        <v>52125</v>
      </c>
      <c r="B56" s="1305" t="s">
        <v>32</v>
      </c>
      <c r="C56" s="1306">
        <f>IFERROR(VLOOKUP(A56,'2180 IS (C)'!D:AH,31,FALSE),0)</f>
        <v>98712.23</v>
      </c>
      <c r="D56" s="1306">
        <f>IFERROR(VLOOKUP(A56,'2182 IS'!D:AH,31,FALSE),0)</f>
        <v>54490.11</v>
      </c>
      <c r="E56" s="1306">
        <f t="shared" si="45"/>
        <v>153202.34</v>
      </c>
      <c r="F56" s="1306"/>
      <c r="G56" s="1306"/>
      <c r="H56" s="1306"/>
      <c r="I56" s="1306"/>
      <c r="J56" s="1306"/>
      <c r="K56" s="1306"/>
      <c r="L56" s="1306"/>
      <c r="M56" s="1306">
        <f t="shared" si="41"/>
        <v>98712.23</v>
      </c>
      <c r="N56" s="1306">
        <f t="shared" si="42"/>
        <v>54490.11</v>
      </c>
      <c r="O56" s="1316">
        <f t="shared" si="43"/>
        <v>153202.34</v>
      </c>
      <c r="P56" s="1306"/>
      <c r="Q56" s="1316">
        <f t="shared" si="44"/>
        <v>54490.11</v>
      </c>
      <c r="R56" s="1310"/>
      <c r="S56" s="1317">
        <f t="shared" si="46"/>
        <v>98712.23</v>
      </c>
      <c r="T56" s="1306">
        <f>$S56*SUM('Ratios (C)'!$C$53+'Ratios (C)'!$D$53)</f>
        <v>56478.029525609498</v>
      </c>
      <c r="U56" s="1306">
        <f>$S56*('Ratios (C)'!$E$53+'Ratios (C)'!$F$53)</f>
        <v>8607.8299381693414</v>
      </c>
      <c r="V56" s="1318">
        <f>$S56*'Ratios (C)'!$G$53</f>
        <v>33626.370536221162</v>
      </c>
      <c r="W56" s="1324" t="s">
        <v>370</v>
      </c>
      <c r="X56" s="1306">
        <f t="shared" si="27"/>
        <v>0</v>
      </c>
      <c r="Y56" s="1319"/>
      <c r="Z56" s="1320"/>
      <c r="AA56" s="1320"/>
    </row>
    <row r="57" spans="1:27" s="1305" customFormat="1">
      <c r="A57" s="1392">
        <v>55120</v>
      </c>
      <c r="B57" s="1305" t="s">
        <v>31</v>
      </c>
      <c r="C57" s="1306">
        <f>IFERROR(VLOOKUP(A57,'2180 IS (C)'!D:AH,31,FALSE),0)</f>
        <v>127154.75</v>
      </c>
      <c r="D57" s="1306">
        <f>IFERROR(VLOOKUP(A57,'2182 IS'!D:AH,31,FALSE),0)</f>
        <v>474.97</v>
      </c>
      <c r="E57" s="1306">
        <f t="shared" si="45"/>
        <v>127629.72</v>
      </c>
      <c r="F57" s="1306"/>
      <c r="G57" s="1306"/>
      <c r="H57" s="1306"/>
      <c r="I57" s="1306"/>
      <c r="J57" s="1306"/>
      <c r="K57" s="1306"/>
      <c r="L57" s="1306"/>
      <c r="M57" s="1306">
        <f t="shared" si="41"/>
        <v>127154.75</v>
      </c>
      <c r="N57" s="1306">
        <f t="shared" si="42"/>
        <v>474.97</v>
      </c>
      <c r="O57" s="1316">
        <f t="shared" si="43"/>
        <v>127629.72</v>
      </c>
      <c r="P57" s="1306"/>
      <c r="Q57" s="1316">
        <f t="shared" si="44"/>
        <v>474.97</v>
      </c>
      <c r="R57" s="1310"/>
      <c r="S57" s="1317">
        <f t="shared" si="46"/>
        <v>127154.75</v>
      </c>
      <c r="T57" s="1306">
        <f>$S57*SUM('Ratios (C)'!$C$53+'Ratios (C)'!$D$53)</f>
        <v>72751.367533906334</v>
      </c>
      <c r="U57" s="1306">
        <f>$S57*('Ratios (C)'!$E$53+'Ratios (C)'!$F$53)</f>
        <v>11088.053261793782</v>
      </c>
      <c r="V57" s="1318">
        <f>$S57*'Ratios (C)'!$G$53</f>
        <v>43315.329204299887</v>
      </c>
      <c r="W57" s="1324" t="s">
        <v>370</v>
      </c>
      <c r="X57" s="1306">
        <f t="shared" si="27"/>
        <v>0</v>
      </c>
      <c r="Y57" s="1364"/>
      <c r="Z57" s="1364"/>
      <c r="AA57" s="1364"/>
    </row>
    <row r="58" spans="1:27" s="1305" customFormat="1">
      <c r="A58" s="1392">
        <v>55125</v>
      </c>
      <c r="B58" s="1305" t="s">
        <v>32</v>
      </c>
      <c r="C58" s="1306">
        <f>IFERROR(VLOOKUP(A58,'2180 IS (C)'!D:AH,31,FALSE),0)</f>
        <v>48140.68</v>
      </c>
      <c r="D58" s="1306">
        <f>IFERROR(VLOOKUP(A58,'2182 IS'!D:AH,31,FALSE),0)</f>
        <v>0</v>
      </c>
      <c r="E58" s="1306">
        <f t="shared" si="45"/>
        <v>48140.68</v>
      </c>
      <c r="F58" s="1306"/>
      <c r="G58" s="1306"/>
      <c r="H58" s="1306"/>
      <c r="I58" s="1306"/>
      <c r="J58" s="1306"/>
      <c r="K58" s="1306"/>
      <c r="L58" s="1306"/>
      <c r="M58" s="1306">
        <f>C58+G58+J58</f>
        <v>48140.68</v>
      </c>
      <c r="N58" s="1306">
        <f t="shared" si="42"/>
        <v>0</v>
      </c>
      <c r="O58" s="1316">
        <f t="shared" si="43"/>
        <v>48140.68</v>
      </c>
      <c r="P58" s="1306"/>
      <c r="Q58" s="1316">
        <f t="shared" si="44"/>
        <v>0</v>
      </c>
      <c r="R58" s="1310"/>
      <c r="S58" s="1317">
        <f t="shared" si="46"/>
        <v>48140.68</v>
      </c>
      <c r="T58" s="1306">
        <f>$S58*('Ratios (C)'!$C$32+'Ratios (C)'!$D$32)</f>
        <v>34924.576902011824</v>
      </c>
      <c r="U58" s="1306">
        <f>$S58*('Ratios (C)'!$E$32+'Ratios (C)'!$F$32)</f>
        <v>270.69490103894259</v>
      </c>
      <c r="V58" s="1318">
        <f>$S58*'Ratios (C)'!$G$32</f>
        <v>12945.408196949229</v>
      </c>
      <c r="W58" s="1324" t="s">
        <v>371</v>
      </c>
      <c r="X58" s="1306">
        <f t="shared" si="27"/>
        <v>0</v>
      </c>
      <c r="Y58" s="1364"/>
      <c r="Z58" s="1364"/>
      <c r="AA58" s="1364"/>
    </row>
    <row r="59" spans="1:27" s="1305" customFormat="1">
      <c r="A59" s="1392"/>
      <c r="C59" s="1306"/>
      <c r="D59" s="1306"/>
      <c r="E59" s="1306"/>
      <c r="F59" s="1306"/>
      <c r="G59" s="1306"/>
      <c r="H59" s="1306"/>
      <c r="I59" s="1306"/>
      <c r="J59" s="1306"/>
      <c r="K59" s="1306"/>
      <c r="L59" s="1306"/>
      <c r="M59" s="1306"/>
      <c r="N59" s="1306"/>
      <c r="O59" s="1316"/>
      <c r="P59" s="1306"/>
      <c r="Q59" s="1316"/>
      <c r="R59" s="1310"/>
      <c r="S59" s="1317"/>
      <c r="T59" s="1306"/>
      <c r="U59" s="1306"/>
      <c r="V59" s="1318"/>
      <c r="W59" s="1324"/>
      <c r="X59" s="1306">
        <f t="shared" si="27"/>
        <v>0</v>
      </c>
      <c r="Y59" s="1364"/>
      <c r="Z59" s="1365"/>
      <c r="AA59" s="1365"/>
    </row>
    <row r="60" spans="1:27" s="1305" customFormat="1">
      <c r="A60" s="1358">
        <v>41320</v>
      </c>
      <c r="B60" s="1325" t="s">
        <v>33</v>
      </c>
      <c r="C60" s="1326">
        <f t="shared" ref="C60:O60" si="47">SUM(C54:C59)</f>
        <v>1057430.0999999999</v>
      </c>
      <c r="D60" s="1326">
        <f t="shared" si="47"/>
        <v>349913.85999999993</v>
      </c>
      <c r="E60" s="1326">
        <f t="shared" si="47"/>
        <v>1407343.96</v>
      </c>
      <c r="F60" s="1326">
        <f t="shared" si="47"/>
        <v>0</v>
      </c>
      <c r="G60" s="1326">
        <f t="shared" si="47"/>
        <v>0</v>
      </c>
      <c r="H60" s="1326">
        <f t="shared" si="47"/>
        <v>0</v>
      </c>
      <c r="I60" s="1326">
        <f t="shared" si="47"/>
        <v>0</v>
      </c>
      <c r="J60" s="1326">
        <f t="shared" si="47"/>
        <v>0</v>
      </c>
      <c r="K60" s="1326">
        <f t="shared" si="47"/>
        <v>0</v>
      </c>
      <c r="L60" s="1326">
        <f t="shared" si="47"/>
        <v>0</v>
      </c>
      <c r="M60" s="1326">
        <f t="shared" si="47"/>
        <v>1057430.0999999999</v>
      </c>
      <c r="N60" s="1326">
        <f t="shared" si="47"/>
        <v>349913.85999999993</v>
      </c>
      <c r="O60" s="1327">
        <f t="shared" si="47"/>
        <v>1407343.96</v>
      </c>
      <c r="P60" s="1326">
        <f>SUM(P55:P59)</f>
        <v>0</v>
      </c>
      <c r="Q60" s="1327">
        <f>SUM(Q54:Q59)</f>
        <v>349913.85999999993</v>
      </c>
      <c r="R60" s="1328"/>
      <c r="S60" s="1329">
        <f>SUM(S54:S59)</f>
        <v>1057430.0999999999</v>
      </c>
      <c r="T60" s="1326">
        <f>SUM(T54:T59)</f>
        <v>612387.75104614056</v>
      </c>
      <c r="U60" s="1326">
        <f>SUM(U54:U59)</f>
        <v>88281.994876265613</v>
      </c>
      <c r="V60" s="1330">
        <f>SUM(V54:V59)</f>
        <v>356760.35407759389</v>
      </c>
      <c r="W60" s="1324"/>
      <c r="X60" s="1306">
        <f t="shared" si="27"/>
        <v>0</v>
      </c>
      <c r="Y60" s="1356"/>
      <c r="Z60" s="1357"/>
      <c r="AA60" s="1357"/>
    </row>
    <row r="61" spans="1:27" s="1305" customFormat="1">
      <c r="A61" s="1304"/>
      <c r="C61" s="1306"/>
      <c r="D61" s="1343"/>
      <c r="E61" s="1306"/>
      <c r="F61" s="1306"/>
      <c r="G61" s="1306"/>
      <c r="H61" s="1306"/>
      <c r="I61" s="1306"/>
      <c r="J61" s="1306"/>
      <c r="K61" s="1306"/>
      <c r="L61" s="1306"/>
      <c r="M61" s="1306"/>
      <c r="N61" s="1306"/>
      <c r="O61" s="1316"/>
      <c r="P61" s="1306"/>
      <c r="Q61" s="1316"/>
      <c r="R61" s="1324"/>
      <c r="S61" s="1317"/>
      <c r="T61" s="1306"/>
      <c r="U61" s="1306"/>
      <c r="V61" s="1318"/>
      <c r="W61" s="1324"/>
      <c r="X61" s="1306">
        <f t="shared" si="27"/>
        <v>0</v>
      </c>
      <c r="Y61" s="1364"/>
      <c r="Z61" s="1365"/>
      <c r="AA61" s="1365"/>
    </row>
    <row r="62" spans="1:27" s="1305" customFormat="1">
      <c r="A62" s="1304">
        <v>52147</v>
      </c>
      <c r="B62" s="1305" t="s">
        <v>34</v>
      </c>
      <c r="C62" s="1306">
        <f>IFERROR(VLOOKUP(A62,'2180 IS (C)'!D:AH,31,FALSE),0)</f>
        <v>301861.39</v>
      </c>
      <c r="D62" s="1306">
        <f>IFERROR(VLOOKUP(A62,'2182 IS'!D:AH,31,FALSE),0)</f>
        <v>193953.03999999998</v>
      </c>
      <c r="E62" s="1306">
        <f t="shared" ref="E62:E63" si="48">SUM(C62:D62)</f>
        <v>495814.43</v>
      </c>
      <c r="F62" s="1306"/>
      <c r="G62" s="1306"/>
      <c r="H62" s="1306"/>
      <c r="I62" s="1306"/>
      <c r="J62" s="1306"/>
      <c r="K62" s="1306"/>
      <c r="L62" s="1306"/>
      <c r="M62" s="1306">
        <f t="shared" ref="M62:M63" si="49">C62+G62+J62</f>
        <v>301861.39</v>
      </c>
      <c r="N62" s="1306">
        <f t="shared" ref="N62:N63" si="50">D62+H62+K62</f>
        <v>193953.03999999998</v>
      </c>
      <c r="O62" s="1316">
        <f t="shared" ref="O62:O63" si="51">M62+N62</f>
        <v>495814.43</v>
      </c>
      <c r="P62" s="1306"/>
      <c r="Q62" s="1316">
        <f t="shared" ref="Q62:Q63" si="52">N62</f>
        <v>193953.03999999998</v>
      </c>
      <c r="R62" s="1310"/>
      <c r="S62" s="1317">
        <f t="shared" ref="S62:S63" si="53">O62-Q62</f>
        <v>301861.39</v>
      </c>
      <c r="T62" s="1306">
        <f>$S62*SUM('Ratios (C)'!$C$53+'Ratios (C)'!$D$53)</f>
        <v>172709.46565649996</v>
      </c>
      <c r="U62" s="1306">
        <f>$S62*('Ratios (C)'!$E$53+'Ratios (C)'!$F$53)</f>
        <v>26322.690815711605</v>
      </c>
      <c r="V62" s="1318">
        <f>$S62*'Ratios (C)'!$G$53</f>
        <v>102829.23352778846</v>
      </c>
      <c r="W62" s="1324" t="s">
        <v>370</v>
      </c>
      <c r="X62" s="1306">
        <f t="shared" si="27"/>
        <v>0</v>
      </c>
      <c r="Y62" s="1366"/>
      <c r="Z62" s="1367"/>
      <c r="AA62" s="1367"/>
    </row>
    <row r="63" spans="1:27" s="1305" customFormat="1">
      <c r="A63" s="1304">
        <v>55147</v>
      </c>
      <c r="B63" s="1305" t="s">
        <v>34</v>
      </c>
      <c r="C63" s="1306">
        <f>IFERROR(VLOOKUP(A63,'2180 IS (C)'!D:AH,31,FALSE),0)</f>
        <v>6217.0700000000006</v>
      </c>
      <c r="D63" s="1306">
        <f>IFERROR(VLOOKUP(A63,'2182 IS'!D:AH,31,FALSE),0)</f>
        <v>0</v>
      </c>
      <c r="E63" s="1306">
        <f t="shared" si="48"/>
        <v>6217.0700000000006</v>
      </c>
      <c r="F63" s="1306"/>
      <c r="G63" s="1306"/>
      <c r="H63" s="1306"/>
      <c r="I63" s="1306"/>
      <c r="J63" s="1306"/>
      <c r="K63" s="1306"/>
      <c r="L63" s="1306"/>
      <c r="M63" s="1306">
        <f t="shared" si="49"/>
        <v>6217.0700000000006</v>
      </c>
      <c r="N63" s="1306">
        <f t="shared" si="50"/>
        <v>0</v>
      </c>
      <c r="O63" s="1316">
        <f t="shared" si="51"/>
        <v>6217.0700000000006</v>
      </c>
      <c r="P63" s="1306"/>
      <c r="Q63" s="1316">
        <f t="shared" si="52"/>
        <v>0</v>
      </c>
      <c r="R63" s="1310"/>
      <c r="S63" s="1317">
        <f t="shared" si="53"/>
        <v>6217.0700000000006</v>
      </c>
      <c r="T63" s="1306">
        <f>$S63*SUM('Ratios (C)'!$C$53+'Ratios (C)'!$D$53)</f>
        <v>3557.0857129129909</v>
      </c>
      <c r="U63" s="1306">
        <f>$S63*('Ratios (C)'!$E$53+'Ratios (C)'!$F$53)</f>
        <v>542.13628112438016</v>
      </c>
      <c r="V63" s="1318">
        <f>$S63*'Ratios (C)'!$G$53</f>
        <v>2117.8480059626299</v>
      </c>
      <c r="W63" s="1324" t="s">
        <v>370</v>
      </c>
      <c r="X63" s="1306">
        <f t="shared" si="27"/>
        <v>0</v>
      </c>
      <c r="Y63" s="1366"/>
      <c r="Z63" s="1367"/>
      <c r="AA63" s="1367"/>
    </row>
    <row r="64" spans="1:27" s="1305" customFormat="1">
      <c r="A64" s="1358">
        <v>41330</v>
      </c>
      <c r="B64" s="1325" t="s">
        <v>13</v>
      </c>
      <c r="C64" s="1326">
        <f>SUM(C62:C63)</f>
        <v>308078.46000000002</v>
      </c>
      <c r="D64" s="1326">
        <f t="shared" ref="D64:V64" si="54">SUM(D62:D63)</f>
        <v>193953.03999999998</v>
      </c>
      <c r="E64" s="1326">
        <f t="shared" si="54"/>
        <v>502031.5</v>
      </c>
      <c r="F64" s="1326"/>
      <c r="G64" s="1326">
        <f t="shared" si="54"/>
        <v>0</v>
      </c>
      <c r="H64" s="1326">
        <f t="shared" si="54"/>
        <v>0</v>
      </c>
      <c r="I64" s="1326"/>
      <c r="J64" s="1326">
        <f t="shared" si="54"/>
        <v>0</v>
      </c>
      <c r="K64" s="1326">
        <f t="shared" si="54"/>
        <v>0</v>
      </c>
      <c r="L64" s="1326"/>
      <c r="M64" s="1326">
        <f t="shared" si="54"/>
        <v>308078.46000000002</v>
      </c>
      <c r="N64" s="1326">
        <f t="shared" si="54"/>
        <v>193953.03999999998</v>
      </c>
      <c r="O64" s="1327">
        <f t="shared" si="54"/>
        <v>502031.5</v>
      </c>
      <c r="P64" s="1326">
        <f t="shared" si="54"/>
        <v>0</v>
      </c>
      <c r="Q64" s="1327">
        <f t="shared" si="54"/>
        <v>193953.03999999998</v>
      </c>
      <c r="R64" s="1328"/>
      <c r="S64" s="1329">
        <f t="shared" si="54"/>
        <v>308078.46000000002</v>
      </c>
      <c r="T64" s="1326">
        <f t="shared" si="54"/>
        <v>176266.55136941295</v>
      </c>
      <c r="U64" s="1326">
        <f t="shared" si="54"/>
        <v>26864.827096835987</v>
      </c>
      <c r="V64" s="1330">
        <f t="shared" si="54"/>
        <v>104947.08153375109</v>
      </c>
      <c r="W64" s="1324"/>
      <c r="X64" s="1306">
        <f t="shared" si="27"/>
        <v>0</v>
      </c>
      <c r="Y64" s="1356"/>
      <c r="Z64" s="1357"/>
      <c r="AA64" s="1357"/>
    </row>
    <row r="65" spans="1:27" s="1305" customFormat="1">
      <c r="A65" s="1304"/>
      <c r="C65" s="1306"/>
      <c r="D65" s="1343"/>
      <c r="E65" s="1306"/>
      <c r="F65" s="1306"/>
      <c r="G65" s="1306"/>
      <c r="H65" s="1306"/>
      <c r="I65" s="1306"/>
      <c r="J65" s="1306"/>
      <c r="K65" s="1306"/>
      <c r="L65" s="1306"/>
      <c r="M65" s="1306"/>
      <c r="N65" s="1306"/>
      <c r="O65" s="1316"/>
      <c r="P65" s="1306"/>
      <c r="Q65" s="1316"/>
      <c r="R65" s="1324"/>
      <c r="S65" s="1317"/>
      <c r="T65" s="1306"/>
      <c r="U65" s="1306"/>
      <c r="V65" s="1318"/>
      <c r="W65" s="1324"/>
      <c r="X65" s="1306">
        <f t="shared" si="27"/>
        <v>0</v>
      </c>
      <c r="Y65" s="1319"/>
      <c r="Z65" s="1320"/>
      <c r="AA65" s="1320"/>
    </row>
    <row r="66" spans="1:27" s="1305" customFormat="1">
      <c r="A66" s="1304">
        <v>59400</v>
      </c>
      <c r="B66" s="1305" t="s">
        <v>35</v>
      </c>
      <c r="C66" s="1306">
        <f>IFERROR(VLOOKUP(A66,'2180 IS (C)'!D:AH,31,FALSE),0)</f>
        <v>14284.279999999999</v>
      </c>
      <c r="D66" s="1306">
        <f>IFERROR(VLOOKUP(A66,'2182 IS'!D:AH,31,FALSE),0)</f>
        <v>916.79</v>
      </c>
      <c r="E66" s="1306">
        <f t="shared" ref="E66:E67" si="55">SUM(C66:D66)</f>
        <v>15201.07</v>
      </c>
      <c r="F66" s="1306"/>
      <c r="G66" s="1306"/>
      <c r="H66" s="1306"/>
      <c r="I66" s="1306"/>
      <c r="J66" s="1306"/>
      <c r="K66" s="1306"/>
      <c r="L66" s="1306"/>
      <c r="M66" s="1306">
        <f t="shared" ref="M66:M67" si="56">C66+G66+J66</f>
        <v>14284.279999999999</v>
      </c>
      <c r="N66" s="1306">
        <f t="shared" ref="N66:N67" si="57">D66+H66+K66</f>
        <v>916.79</v>
      </c>
      <c r="O66" s="1316">
        <f t="shared" ref="O66:O67" si="58">M66+N66</f>
        <v>15201.07</v>
      </c>
      <c r="P66" s="1306"/>
      <c r="Q66" s="1316">
        <f t="shared" ref="Q66:Q67" si="59">N66</f>
        <v>916.79</v>
      </c>
      <c r="R66" s="1310"/>
      <c r="S66" s="1317">
        <f t="shared" ref="S66:S67" si="60">O66-Q66</f>
        <v>14284.279999999999</v>
      </c>
      <c r="T66" s="1306">
        <f>$S66*SUM('Ratios (C)'!$C$53+'Ratios (C)'!$D$53)</f>
        <v>8172.7257867852168</v>
      </c>
      <c r="U66" s="1306">
        <f>$S66*('Ratios (C)'!$E$53+'Ratios (C)'!$F$53)</f>
        <v>1245.6070846458797</v>
      </c>
      <c r="V66" s="1318">
        <f>$S66*'Ratios (C)'!$G$53</f>
        <v>4865.9471285689033</v>
      </c>
      <c r="W66" s="1324" t="s">
        <v>370</v>
      </c>
      <c r="X66" s="1306">
        <f t="shared" si="27"/>
        <v>0</v>
      </c>
      <c r="Y66" s="1364"/>
      <c r="Z66" s="1365"/>
      <c r="AA66" s="1365"/>
    </row>
    <row r="67" spans="1:27" s="1305" customFormat="1">
      <c r="A67" s="1304">
        <v>59401</v>
      </c>
      <c r="B67" s="1305" t="s">
        <v>36</v>
      </c>
      <c r="C67" s="1306">
        <f>IFERROR(VLOOKUP(A67,'2180 IS (C)'!D:AH,31,FALSE),0)</f>
        <v>0</v>
      </c>
      <c r="D67" s="1306">
        <f>IFERROR(VLOOKUP(A67,'2182 IS'!D:AH,31,FALSE),0)</f>
        <v>22179.16</v>
      </c>
      <c r="E67" s="1306">
        <f t="shared" si="55"/>
        <v>22179.16</v>
      </c>
      <c r="F67" s="1306"/>
      <c r="G67" s="1306"/>
      <c r="H67" s="1306"/>
      <c r="I67" s="1306"/>
      <c r="J67" s="1306"/>
      <c r="K67" s="1306"/>
      <c r="L67" s="1306"/>
      <c r="M67" s="1306">
        <f t="shared" si="56"/>
        <v>0</v>
      </c>
      <c r="N67" s="1306">
        <f t="shared" si="57"/>
        <v>22179.16</v>
      </c>
      <c r="O67" s="1316">
        <f t="shared" si="58"/>
        <v>22179.16</v>
      </c>
      <c r="P67" s="1306"/>
      <c r="Q67" s="1316">
        <f t="shared" si="59"/>
        <v>22179.16</v>
      </c>
      <c r="R67" s="1310"/>
      <c r="S67" s="1317">
        <f t="shared" si="60"/>
        <v>0</v>
      </c>
      <c r="T67" s="1306">
        <f>$S67*SUM('Ratios (C)'!$C$53+'Ratios (C)'!$D$53)</f>
        <v>0</v>
      </c>
      <c r="U67" s="1306">
        <f>$S67*('Ratios (C)'!$E$53+'Ratios (C)'!$F$53)</f>
        <v>0</v>
      </c>
      <c r="V67" s="1318">
        <f>$S67*'Ratios (C)'!$G$53</f>
        <v>0</v>
      </c>
      <c r="W67" s="1324" t="s">
        <v>370</v>
      </c>
      <c r="X67" s="1306">
        <f t="shared" si="27"/>
        <v>0</v>
      </c>
      <c r="Y67" s="1364"/>
      <c r="Z67" s="1365"/>
      <c r="AA67" s="1365"/>
    </row>
    <row r="68" spans="1:27" s="1305" customFormat="1">
      <c r="A68" s="1358">
        <v>41340</v>
      </c>
      <c r="B68" s="1325" t="s">
        <v>37</v>
      </c>
      <c r="C68" s="1326">
        <f>SUM(C66:C67)</f>
        <v>14284.279999999999</v>
      </c>
      <c r="D68" s="1326">
        <f t="shared" ref="D68:V68" si="61">SUM(D66:D67)</f>
        <v>23095.95</v>
      </c>
      <c r="E68" s="1326">
        <f t="shared" si="61"/>
        <v>37380.229999999996</v>
      </c>
      <c r="F68" s="1326"/>
      <c r="G68" s="1326">
        <f t="shared" si="61"/>
        <v>0</v>
      </c>
      <c r="H68" s="1326">
        <f t="shared" si="61"/>
        <v>0</v>
      </c>
      <c r="I68" s="1326"/>
      <c r="J68" s="1326">
        <f t="shared" si="61"/>
        <v>0</v>
      </c>
      <c r="K68" s="1326">
        <f t="shared" si="61"/>
        <v>0</v>
      </c>
      <c r="L68" s="1326"/>
      <c r="M68" s="1326">
        <f t="shared" si="61"/>
        <v>14284.279999999999</v>
      </c>
      <c r="N68" s="1326">
        <f t="shared" si="61"/>
        <v>23095.95</v>
      </c>
      <c r="O68" s="1327">
        <f t="shared" si="61"/>
        <v>37380.229999999996</v>
      </c>
      <c r="P68" s="1326">
        <f t="shared" si="61"/>
        <v>0</v>
      </c>
      <c r="Q68" s="1327">
        <f t="shared" si="61"/>
        <v>23095.95</v>
      </c>
      <c r="R68" s="1328"/>
      <c r="S68" s="1329">
        <f t="shared" si="61"/>
        <v>14284.279999999999</v>
      </c>
      <c r="T68" s="1326">
        <f t="shared" si="61"/>
        <v>8172.7257867852168</v>
      </c>
      <c r="U68" s="1326">
        <f t="shared" si="61"/>
        <v>1245.6070846458797</v>
      </c>
      <c r="V68" s="1330">
        <f t="shared" si="61"/>
        <v>4865.9471285689033</v>
      </c>
      <c r="W68" s="1324"/>
      <c r="X68" s="1306">
        <f t="shared" si="27"/>
        <v>0</v>
      </c>
      <c r="Y68" s="1356"/>
      <c r="Z68" s="1357"/>
      <c r="AA68" s="1357"/>
    </row>
    <row r="69" spans="1:27" s="1305" customFormat="1">
      <c r="A69" s="1304"/>
      <c r="C69" s="1306"/>
      <c r="D69" s="1343"/>
      <c r="E69" s="1306"/>
      <c r="F69" s="1306"/>
      <c r="G69" s="1306"/>
      <c r="H69" s="1306"/>
      <c r="I69" s="1306"/>
      <c r="J69" s="1306"/>
      <c r="K69" s="1306"/>
      <c r="L69" s="1306"/>
      <c r="M69" s="1306"/>
      <c r="N69" s="1306"/>
      <c r="O69" s="1316"/>
      <c r="P69" s="1306"/>
      <c r="Q69" s="1316"/>
      <c r="R69" s="1324"/>
      <c r="S69" s="1317"/>
      <c r="T69" s="1306"/>
      <c r="U69" s="1306"/>
      <c r="V69" s="1318"/>
      <c r="W69" s="1324"/>
      <c r="X69" s="1306">
        <f t="shared" si="27"/>
        <v>0</v>
      </c>
      <c r="Y69" s="1364"/>
      <c r="Z69" s="1365"/>
      <c r="AA69" s="1365"/>
    </row>
    <row r="70" spans="1:27" s="1305" customFormat="1">
      <c r="A70" s="1304">
        <v>52140</v>
      </c>
      <c r="B70" s="1305" t="s">
        <v>38</v>
      </c>
      <c r="C70" s="1306">
        <f>IFERROR(VLOOKUP(A70,'2180 IS (C)'!D:AH,31,FALSE),0)</f>
        <v>272453.58</v>
      </c>
      <c r="D70" s="1306">
        <f>IFERROR(VLOOKUP(A70,'2182 IS'!D:AH,31,FALSE),0)</f>
        <v>251049.07000000004</v>
      </c>
      <c r="E70" s="1306">
        <f t="shared" ref="E70" si="62">SUM(C70:D70)</f>
        <v>523502.65</v>
      </c>
      <c r="F70" s="1306"/>
      <c r="G70" s="1306"/>
      <c r="H70" s="1306"/>
      <c r="I70" s="1306"/>
      <c r="J70" s="1306"/>
      <c r="K70" s="1306"/>
      <c r="L70" s="1306"/>
      <c r="M70" s="1306">
        <f t="shared" ref="M70" si="63">C70+G70+J70</f>
        <v>272453.58</v>
      </c>
      <c r="N70" s="1306">
        <f t="shared" ref="N70" si="64">D70+H70+K70</f>
        <v>251049.07000000004</v>
      </c>
      <c r="O70" s="1316">
        <f t="shared" ref="O70" si="65">M70+N70</f>
        <v>523502.65</v>
      </c>
      <c r="P70" s="1306"/>
      <c r="Q70" s="1316">
        <f t="shared" ref="Q70" si="66">N70</f>
        <v>251049.07000000004</v>
      </c>
      <c r="R70" s="1310"/>
      <c r="S70" s="1317">
        <f t="shared" ref="S70" si="67">O70-Q70</f>
        <v>272453.57999999996</v>
      </c>
      <c r="T70" s="1306">
        <f>$S70*SUM('Ratios (C)'!$C$53+'Ratios (C)'!$D$53)</f>
        <v>155883.8386651584</v>
      </c>
      <c r="U70" s="1306">
        <f>$S70*('Ratios (C)'!$E$53+'Ratios (C)'!$F$53)</f>
        <v>23758.292996576161</v>
      </c>
      <c r="V70" s="1318">
        <f>$S70*'Ratios (C)'!$G$53</f>
        <v>92811.448338265414</v>
      </c>
      <c r="W70" s="1324" t="s">
        <v>370</v>
      </c>
      <c r="X70" s="1306">
        <f t="shared" si="27"/>
        <v>0</v>
      </c>
      <c r="Y70" s="1368"/>
      <c r="Z70" s="1369"/>
      <c r="AA70" s="1369"/>
    </row>
    <row r="71" spans="1:27" s="1305" customFormat="1">
      <c r="A71" s="1304"/>
      <c r="C71" s="1306"/>
      <c r="D71" s="1306"/>
      <c r="E71" s="1306"/>
      <c r="F71" s="1306"/>
      <c r="G71" s="1306"/>
      <c r="H71" s="1306"/>
      <c r="I71" s="1306"/>
      <c r="J71" s="1306"/>
      <c r="K71" s="1306"/>
      <c r="L71" s="1306"/>
      <c r="M71" s="1306"/>
      <c r="N71" s="1306"/>
      <c r="O71" s="1316"/>
      <c r="P71" s="1306"/>
      <c r="Q71" s="1316"/>
      <c r="R71" s="1310"/>
      <c r="S71" s="1317"/>
      <c r="T71" s="1306"/>
      <c r="U71" s="1306"/>
      <c r="V71" s="1318"/>
      <c r="W71" s="1324"/>
      <c r="X71" s="1306"/>
      <c r="Y71" s="1368"/>
      <c r="Z71" s="1369"/>
      <c r="AA71" s="1369"/>
    </row>
    <row r="72" spans="1:27" s="1305" customFormat="1">
      <c r="A72" s="1358">
        <v>41600</v>
      </c>
      <c r="B72" s="1325" t="s">
        <v>13</v>
      </c>
      <c r="C72" s="1326">
        <f>SUM(C70:C71)</f>
        <v>272453.58</v>
      </c>
      <c r="D72" s="1326">
        <f>SUM(D70:D71)</f>
        <v>251049.07000000004</v>
      </c>
      <c r="E72" s="1326">
        <f>SUM(E70:E71)</f>
        <v>523502.65</v>
      </c>
      <c r="F72" s="1326">
        <f t="shared" ref="F72:P72" si="68">SUM(F70:F71)</f>
        <v>0</v>
      </c>
      <c r="G72" s="1326">
        <f t="shared" si="68"/>
        <v>0</v>
      </c>
      <c r="H72" s="1326">
        <f t="shared" si="68"/>
        <v>0</v>
      </c>
      <c r="I72" s="1326">
        <f t="shared" si="68"/>
        <v>0</v>
      </c>
      <c r="J72" s="1326">
        <f t="shared" si="68"/>
        <v>0</v>
      </c>
      <c r="K72" s="1326">
        <f t="shared" si="68"/>
        <v>0</v>
      </c>
      <c r="L72" s="1326">
        <f t="shared" si="68"/>
        <v>0</v>
      </c>
      <c r="M72" s="1326">
        <f>SUM(M70:M71)</f>
        <v>272453.58</v>
      </c>
      <c r="N72" s="1326">
        <f>SUM(N70:N71)</f>
        <v>251049.07000000004</v>
      </c>
      <c r="O72" s="1327">
        <f>SUM(O70:O71)</f>
        <v>523502.65</v>
      </c>
      <c r="P72" s="1326">
        <f t="shared" si="68"/>
        <v>0</v>
      </c>
      <c r="Q72" s="1327">
        <f>SUM(Q70:Q71)</f>
        <v>251049.07000000004</v>
      </c>
      <c r="R72" s="1370"/>
      <c r="S72" s="1329">
        <f>SUM(S70:S71)</f>
        <v>272453.57999999996</v>
      </c>
      <c r="T72" s="1326">
        <f>SUM(T70:T71)</f>
        <v>155883.8386651584</v>
      </c>
      <c r="U72" s="1326">
        <f>SUM(U70:U71)</f>
        <v>23758.292996576161</v>
      </c>
      <c r="V72" s="1330">
        <f>SUM(V70:V71)</f>
        <v>92811.448338265414</v>
      </c>
      <c r="W72" s="1324"/>
      <c r="X72" s="1306">
        <f t="shared" ref="X72:X105" si="69">SUM(T72:V72)-S72</f>
        <v>0</v>
      </c>
      <c r="Y72" s="1356"/>
      <c r="Z72" s="1357"/>
      <c r="AA72" s="1357"/>
    </row>
    <row r="73" spans="1:27" s="1305" customFormat="1">
      <c r="A73" s="1362"/>
      <c r="B73" s="1325"/>
      <c r="C73" s="1326"/>
      <c r="D73" s="1343"/>
      <c r="E73" s="1326"/>
      <c r="F73" s="1326"/>
      <c r="G73" s="1306"/>
      <c r="H73" s="1326"/>
      <c r="I73" s="1326"/>
      <c r="J73" s="1326"/>
      <c r="K73" s="1306"/>
      <c r="L73" s="1326"/>
      <c r="M73" s="1326"/>
      <c r="N73" s="1326"/>
      <c r="O73" s="1316"/>
      <c r="P73" s="1326"/>
      <c r="Q73" s="1327"/>
      <c r="R73" s="1371"/>
      <c r="S73" s="1329"/>
      <c r="T73" s="1326"/>
      <c r="U73" s="1306"/>
      <c r="V73" s="1318"/>
      <c r="W73" s="1324"/>
      <c r="X73" s="1306">
        <f t="shared" si="69"/>
        <v>0</v>
      </c>
      <c r="Y73" s="1319"/>
      <c r="Z73" s="1320"/>
      <c r="AA73" s="1320"/>
    </row>
    <row r="74" spans="1:27" s="1305" customFormat="1">
      <c r="A74" s="1392">
        <v>52086</v>
      </c>
      <c r="B74" s="1305" t="s">
        <v>39</v>
      </c>
      <c r="C74" s="1306">
        <f>IFERROR(VLOOKUP(A74,'2180 IS (C)'!D:AH,31,FALSE),0)</f>
        <v>32118.95</v>
      </c>
      <c r="D74" s="1306">
        <f>IFERROR(VLOOKUP(A74,'2182 IS'!D:AH,31,FALSE),0)</f>
        <v>10546.169999999998</v>
      </c>
      <c r="E74" s="1306">
        <f t="shared" ref="E74:E77" si="70">SUM(C74:D74)</f>
        <v>42665.119999999995</v>
      </c>
      <c r="F74" s="1306"/>
      <c r="G74" s="1306"/>
      <c r="H74" s="1306"/>
      <c r="I74" s="1306"/>
      <c r="J74" s="1306"/>
      <c r="K74" s="1306"/>
      <c r="L74" s="1306"/>
      <c r="M74" s="1306">
        <f t="shared" ref="M74:M78" si="71">C74+G74+J74</f>
        <v>32118.95</v>
      </c>
      <c r="N74" s="1306">
        <f t="shared" ref="N74:N78" si="72">D74+H74+K74</f>
        <v>10546.169999999998</v>
      </c>
      <c r="O74" s="1316">
        <f t="shared" ref="O74:O78" si="73">M74+N74</f>
        <v>42665.119999999995</v>
      </c>
      <c r="P74" s="1306"/>
      <c r="Q74" s="1316">
        <f t="shared" ref="Q74:Q78" si="74">N74</f>
        <v>10546.169999999998</v>
      </c>
      <c r="R74" s="1310"/>
      <c r="S74" s="1317">
        <f t="shared" ref="S74:S78" si="75">O74-Q74</f>
        <v>32118.949999999997</v>
      </c>
      <c r="T74" s="1306">
        <f>$S74*SUM('Ratios (C)'!$C$53+'Ratios (C)'!$D$53)</f>
        <v>18376.800994482397</v>
      </c>
      <c r="U74" s="1306">
        <f>$S74*('Ratios (C)'!$E$53+'Ratios (C)'!$F$53)</f>
        <v>2800.8126185839801</v>
      </c>
      <c r="V74" s="1318">
        <f>$S74*'Ratios (C)'!$G$53</f>
        <v>10941.336386933621</v>
      </c>
      <c r="W74" s="1324" t="s">
        <v>370</v>
      </c>
      <c r="X74" s="1306">
        <f t="shared" si="69"/>
        <v>0</v>
      </c>
      <c r="Y74" s="1319"/>
      <c r="Z74" s="1320"/>
      <c r="AA74" s="1320"/>
    </row>
    <row r="75" spans="1:27" s="1305" customFormat="1">
      <c r="A75" s="1392">
        <v>52090</v>
      </c>
      <c r="B75" s="1305" t="s">
        <v>41</v>
      </c>
      <c r="C75" s="1306">
        <f>IFERROR(VLOOKUP(A75,'2180 IS (C)'!D:AH,31,FALSE),0)</f>
        <v>13962.809999999998</v>
      </c>
      <c r="D75" s="1306">
        <f>IFERROR(VLOOKUP(A75,'2182 IS'!D:AH,31,FALSE),0)</f>
        <v>5702.0000000000009</v>
      </c>
      <c r="E75" s="1306">
        <f t="shared" si="70"/>
        <v>19664.809999999998</v>
      </c>
      <c r="F75" s="1306"/>
      <c r="G75" s="1306"/>
      <c r="H75" s="1306"/>
      <c r="I75" s="1306"/>
      <c r="J75" s="1306"/>
      <c r="K75" s="1306"/>
      <c r="L75" s="1306"/>
      <c r="M75" s="1306">
        <f t="shared" si="71"/>
        <v>13962.809999999998</v>
      </c>
      <c r="N75" s="1306">
        <f t="shared" si="72"/>
        <v>5702.0000000000009</v>
      </c>
      <c r="O75" s="1316">
        <f t="shared" si="73"/>
        <v>19664.809999999998</v>
      </c>
      <c r="P75" s="1306"/>
      <c r="Q75" s="1316">
        <f t="shared" si="74"/>
        <v>5702.0000000000009</v>
      </c>
      <c r="R75" s="1310"/>
      <c r="S75" s="1317">
        <f t="shared" si="75"/>
        <v>13962.809999999998</v>
      </c>
      <c r="T75" s="1306">
        <f>$S75*SUM('Ratios (C)'!$C$53+'Ratios (C)'!$D$53)</f>
        <v>7988.7972892566149</v>
      </c>
      <c r="U75" s="1306">
        <f>$S75*('Ratios (C)'!$E$53+'Ratios (C)'!$F$53)</f>
        <v>1217.5744985091537</v>
      </c>
      <c r="V75" s="1318">
        <f>$S75*'Ratios (C)'!$G$53</f>
        <v>4756.4382122342295</v>
      </c>
      <c r="W75" s="1324" t="s">
        <v>370</v>
      </c>
      <c r="X75" s="1306">
        <f t="shared" si="69"/>
        <v>0</v>
      </c>
      <c r="Y75" s="1314"/>
      <c r="Z75" s="1315"/>
      <c r="AA75" s="1315"/>
    </row>
    <row r="76" spans="1:27" s="1305" customFormat="1">
      <c r="A76" s="1392">
        <v>52182</v>
      </c>
      <c r="B76" s="1305" t="s">
        <v>43</v>
      </c>
      <c r="C76" s="1306">
        <f>IFERROR(VLOOKUP(A76,'2180 IS (C)'!D:AH,31,FALSE),0)</f>
        <v>11349.83</v>
      </c>
      <c r="D76" s="1306">
        <f>IFERROR(VLOOKUP(A76,'2182 IS'!D:AH,31,FALSE),0)</f>
        <v>10859.53</v>
      </c>
      <c r="E76" s="1306">
        <f t="shared" si="70"/>
        <v>22209.360000000001</v>
      </c>
      <c r="F76" s="1306"/>
      <c r="G76" s="1306"/>
      <c r="H76" s="1306"/>
      <c r="I76" s="1306"/>
      <c r="J76" s="1306"/>
      <c r="K76" s="1306"/>
      <c r="L76" s="1306"/>
      <c r="M76" s="1306">
        <f t="shared" si="71"/>
        <v>11349.83</v>
      </c>
      <c r="N76" s="1306">
        <f t="shared" si="72"/>
        <v>10859.53</v>
      </c>
      <c r="O76" s="1316">
        <f t="shared" si="73"/>
        <v>22209.360000000001</v>
      </c>
      <c r="P76" s="1306"/>
      <c r="Q76" s="1316">
        <f t="shared" si="74"/>
        <v>10859.53</v>
      </c>
      <c r="R76" s="1310"/>
      <c r="S76" s="1317">
        <f t="shared" si="75"/>
        <v>11349.83</v>
      </c>
      <c r="T76" s="1306">
        <f>$S76*SUM('Ratios (C)'!$C$53+'Ratios (C)'!$D$53)</f>
        <v>6493.7853582139569</v>
      </c>
      <c r="U76" s="1306">
        <f>$S76*('Ratios (C)'!$E$53+'Ratios (C)'!$F$53)</f>
        <v>989.71937385197896</v>
      </c>
      <c r="V76" s="1318">
        <f>$S76*'Ratios (C)'!$G$53</f>
        <v>3866.3252679340644</v>
      </c>
      <c r="W76" s="1324" t="s">
        <v>370</v>
      </c>
      <c r="X76" s="1306">
        <f t="shared" si="69"/>
        <v>0</v>
      </c>
      <c r="Y76" s="1314"/>
      <c r="Z76" s="1315"/>
      <c r="AA76" s="1315"/>
    </row>
    <row r="77" spans="1:27" s="1305" customFormat="1">
      <c r="A77" s="1392">
        <v>57254</v>
      </c>
      <c r="B77" s="1305" t="s">
        <v>44</v>
      </c>
      <c r="C77" s="1306">
        <f>IFERROR(VLOOKUP(A77,'2180 IS (C)'!D:AH,31,FALSE),0)</f>
        <v>223037.28</v>
      </c>
      <c r="D77" s="1306">
        <f>IFERROR(VLOOKUP(A77,'2182 IS'!D:AH,31,FALSE),0)</f>
        <v>22389.039999999994</v>
      </c>
      <c r="E77" s="1306">
        <f t="shared" si="70"/>
        <v>245426.32</v>
      </c>
      <c r="F77" s="1306"/>
      <c r="G77" s="1306"/>
      <c r="H77" s="1306"/>
      <c r="I77" s="1306"/>
      <c r="J77" s="1306"/>
      <c r="K77" s="1306"/>
      <c r="L77" s="1306"/>
      <c r="M77" s="1306">
        <f t="shared" si="71"/>
        <v>223037.28</v>
      </c>
      <c r="N77" s="1306">
        <f t="shared" si="72"/>
        <v>22389.039999999994</v>
      </c>
      <c r="O77" s="1316">
        <f t="shared" si="73"/>
        <v>245426.32</v>
      </c>
      <c r="P77" s="1306"/>
      <c r="Q77" s="1316">
        <f t="shared" si="74"/>
        <v>22389.039999999994</v>
      </c>
      <c r="R77" s="1310"/>
      <c r="S77" s="1317">
        <f t="shared" si="75"/>
        <v>223037.28000000003</v>
      </c>
      <c r="T77" s="1306">
        <f>$S77*SUM('Ratios (C)'!$C$53+'Ratios (C)'!$D$53)</f>
        <v>127610.38916000212</v>
      </c>
      <c r="U77" s="1306">
        <f>$S77*('Ratios (C)'!$E$53+'Ratios (C)'!$F$53)</f>
        <v>19449.129820204227</v>
      </c>
      <c r="V77" s="1318">
        <f>$S77*'Ratios (C)'!$G$53</f>
        <v>75977.761019793703</v>
      </c>
      <c r="W77" s="1324" t="s">
        <v>370</v>
      </c>
      <c r="X77" s="1306">
        <f t="shared" si="69"/>
        <v>0</v>
      </c>
      <c r="Y77" s="1314"/>
      <c r="Z77" s="1315"/>
      <c r="AA77" s="1315"/>
    </row>
    <row r="78" spans="1:27" s="1305" customFormat="1">
      <c r="A78" s="1392"/>
      <c r="C78" s="1306"/>
      <c r="D78" s="1306"/>
      <c r="E78" s="1306"/>
      <c r="F78" s="1306"/>
      <c r="G78" s="1306"/>
      <c r="H78" s="1306"/>
      <c r="I78" s="1306"/>
      <c r="J78" s="1306"/>
      <c r="K78" s="1306"/>
      <c r="L78" s="1306"/>
      <c r="M78" s="1306">
        <f t="shared" si="71"/>
        <v>0</v>
      </c>
      <c r="N78" s="1306">
        <f t="shared" si="72"/>
        <v>0</v>
      </c>
      <c r="O78" s="1316">
        <f t="shared" si="73"/>
        <v>0</v>
      </c>
      <c r="P78" s="1306"/>
      <c r="Q78" s="1316">
        <f t="shared" si="74"/>
        <v>0</v>
      </c>
      <c r="R78" s="1310"/>
      <c r="S78" s="1317">
        <f t="shared" si="75"/>
        <v>0</v>
      </c>
      <c r="T78" s="1306">
        <f>$S78*'Ratios (C)'!$C$53</f>
        <v>0</v>
      </c>
      <c r="U78" s="1306">
        <f>$S78*('Ratios (C)'!$E$53+'Ratios (C)'!$F$53)</f>
        <v>0</v>
      </c>
      <c r="V78" s="1318">
        <f>$S78*'Ratios (C)'!$G$53</f>
        <v>0</v>
      </c>
      <c r="W78" s="1324" t="s">
        <v>370</v>
      </c>
      <c r="X78" s="1306">
        <f t="shared" si="69"/>
        <v>0</v>
      </c>
      <c r="Y78" s="1314"/>
      <c r="Z78" s="1315"/>
      <c r="AA78" s="1315"/>
    </row>
    <row r="79" spans="1:27" s="1305" customFormat="1">
      <c r="A79" s="1358">
        <v>41800</v>
      </c>
      <c r="B79" s="1325" t="s">
        <v>47</v>
      </c>
      <c r="C79" s="1326">
        <f>SUM(C74:C78)</f>
        <v>280468.87</v>
      </c>
      <c r="D79" s="1326">
        <f>SUM(D74:D78)</f>
        <v>49496.739999999991</v>
      </c>
      <c r="E79" s="1326">
        <f>SUM(E74:E78)</f>
        <v>329965.61</v>
      </c>
      <c r="F79" s="1326"/>
      <c r="G79" s="1326">
        <f>SUM(G74:G78)</f>
        <v>0</v>
      </c>
      <c r="H79" s="1326">
        <f>SUM(H74:H78)</f>
        <v>0</v>
      </c>
      <c r="I79" s="1326"/>
      <c r="J79" s="1326">
        <f>SUM(J74:J78)</f>
        <v>0</v>
      </c>
      <c r="K79" s="1326">
        <f>SUM(K74:K78)</f>
        <v>0</v>
      </c>
      <c r="L79" s="1326"/>
      <c r="M79" s="1326">
        <f>SUM(M74:M78)</f>
        <v>280468.87</v>
      </c>
      <c r="N79" s="1326">
        <f>SUM(N74:N78)</f>
        <v>49496.739999999991</v>
      </c>
      <c r="O79" s="1327">
        <f>SUM(O74:O78)</f>
        <v>329965.61</v>
      </c>
      <c r="P79" s="1326">
        <f>SUM(P74:P78)</f>
        <v>0</v>
      </c>
      <c r="Q79" s="1327">
        <f>SUM(Q74:Q78)</f>
        <v>49496.739999999991</v>
      </c>
      <c r="R79" s="1328"/>
      <c r="S79" s="1329">
        <f>SUM(S74:S78)</f>
        <v>280468.87</v>
      </c>
      <c r="T79" s="1326">
        <f>SUM(T74:T78)</f>
        <v>160469.77280195509</v>
      </c>
      <c r="U79" s="1326">
        <f>SUM(U74:U78)</f>
        <v>24457.23631114934</v>
      </c>
      <c r="V79" s="1330">
        <f>SUM(V74:V78)</f>
        <v>95541.860886895622</v>
      </c>
      <c r="W79" s="1324"/>
      <c r="X79" s="1306">
        <f t="shared" si="69"/>
        <v>0</v>
      </c>
      <c r="Y79" s="1356"/>
      <c r="Z79" s="1357"/>
      <c r="AA79" s="1357"/>
    </row>
    <row r="80" spans="1:27" s="1305" customFormat="1">
      <c r="A80" s="1304"/>
      <c r="C80" s="1306"/>
      <c r="D80" s="1343"/>
      <c r="E80" s="1306"/>
      <c r="F80" s="1306"/>
      <c r="G80" s="1306"/>
      <c r="H80" s="1306"/>
      <c r="I80" s="1306"/>
      <c r="J80" s="1306"/>
      <c r="K80" s="1306"/>
      <c r="L80" s="1306"/>
      <c r="M80" s="1306"/>
      <c r="N80" s="1306"/>
      <c r="O80" s="1316"/>
      <c r="P80" s="1306"/>
      <c r="Q80" s="1316"/>
      <c r="R80" s="1324"/>
      <c r="S80" s="1317"/>
      <c r="T80" s="1306"/>
      <c r="U80" s="1306"/>
      <c r="V80" s="1318"/>
      <c r="W80" s="1324"/>
      <c r="X80" s="1306">
        <f t="shared" si="69"/>
        <v>0</v>
      </c>
      <c r="Y80" s="1368"/>
      <c r="Z80" s="1372"/>
      <c r="AA80" s="1372"/>
    </row>
    <row r="81" spans="1:27" s="1305" customFormat="1">
      <c r="A81" s="1392">
        <v>56010</v>
      </c>
      <c r="B81" s="1305" t="s">
        <v>48</v>
      </c>
      <c r="C81" s="1306">
        <f>IFERROR(VLOOKUP(A81,'2180 IS (C)'!D:AH,31,FALSE),0)</f>
        <v>362121.13</v>
      </c>
      <c r="D81" s="1306">
        <f>IFERROR(VLOOKUP(A81,'2182 IS'!D:AH,31,FALSE),0)</f>
        <v>74791.23</v>
      </c>
      <c r="E81" s="1306">
        <f t="shared" ref="E81:E84" si="76">SUM(C81:D81)</f>
        <v>436912.36</v>
      </c>
      <c r="F81" s="1306"/>
      <c r="G81" s="1307"/>
      <c r="H81" s="1306"/>
      <c r="I81" s="1306"/>
      <c r="J81" s="1306">
        <f>'Pro forma Adj'!B25</f>
        <v>9053.7615144230294</v>
      </c>
      <c r="K81" s="1306"/>
      <c r="L81" s="1306"/>
      <c r="M81" s="1306">
        <f t="shared" ref="M81:M84" si="77">C81+G81+J81</f>
        <v>371174.89151442301</v>
      </c>
      <c r="N81" s="1306">
        <f t="shared" ref="N81:N84" si="78">D81+H81+K81</f>
        <v>74791.23</v>
      </c>
      <c r="O81" s="1316">
        <f t="shared" ref="O81:O84" si="79">M81+N81</f>
        <v>445966.12151442299</v>
      </c>
      <c r="P81" s="1306"/>
      <c r="Q81" s="1316">
        <f t="shared" ref="Q81:Q84" si="80">N81</f>
        <v>74791.23</v>
      </c>
      <c r="R81" s="1310"/>
      <c r="S81" s="1317">
        <f t="shared" ref="S81:S84" si="81">O81-Q81</f>
        <v>371174.89151442301</v>
      </c>
      <c r="T81" s="1306">
        <f>+($S81-$U81)*('Ratios (C)'!C$55+'Ratios (C)'!$D$55)</f>
        <v>232654.85889403048</v>
      </c>
      <c r="U81" s="1306"/>
      <c r="V81" s="1318">
        <f>+($S81-$U81)*'Ratios (C)'!G$55</f>
        <v>138520.03262039254</v>
      </c>
      <c r="W81" s="1373" t="s">
        <v>1733</v>
      </c>
      <c r="X81" s="1306">
        <f t="shared" si="69"/>
        <v>0</v>
      </c>
      <c r="Y81" s="1314"/>
      <c r="Z81" s="1315"/>
      <c r="AA81" s="1315"/>
    </row>
    <row r="82" spans="1:27" s="1305" customFormat="1">
      <c r="A82" s="1392">
        <v>56035</v>
      </c>
      <c r="B82" s="1305" t="s">
        <v>27</v>
      </c>
      <c r="C82" s="1306">
        <f>IFERROR(VLOOKUP(A82,'2180 IS (C)'!D:AH,31,FALSE),0)</f>
        <v>2400</v>
      </c>
      <c r="D82" s="1306">
        <f>IFERROR(VLOOKUP(A82,'2182 IS'!D:AH,31,FALSE),0)</f>
        <v>250</v>
      </c>
      <c r="E82" s="1306">
        <f t="shared" si="76"/>
        <v>2650</v>
      </c>
      <c r="F82" s="1306"/>
      <c r="G82" s="1307"/>
      <c r="H82" s="1306"/>
      <c r="I82" s="1306"/>
      <c r="J82" s="1306"/>
      <c r="K82" s="1307"/>
      <c r="L82" s="1306"/>
      <c r="M82" s="1306">
        <f t="shared" si="77"/>
        <v>2400</v>
      </c>
      <c r="N82" s="1306">
        <f t="shared" si="78"/>
        <v>250</v>
      </c>
      <c r="O82" s="1316">
        <f t="shared" si="79"/>
        <v>2650</v>
      </c>
      <c r="P82" s="1306"/>
      <c r="Q82" s="1316">
        <f t="shared" si="80"/>
        <v>250</v>
      </c>
      <c r="R82" s="1310"/>
      <c r="S82" s="1317">
        <f t="shared" si="81"/>
        <v>2400</v>
      </c>
      <c r="T82" s="1306">
        <f>+($S82-$U82)*('Ratios (C)'!C$55+'Ratios (C)'!$D$55)</f>
        <v>1504.3357568381643</v>
      </c>
      <c r="U82" s="1306"/>
      <c r="V82" s="1318">
        <f>+($S82-$U82)*'Ratios (C)'!G$55</f>
        <v>895.66424316183543</v>
      </c>
      <c r="W82" s="1373" t="s">
        <v>1733</v>
      </c>
      <c r="X82" s="1306">
        <f t="shared" si="69"/>
        <v>0</v>
      </c>
      <c r="Y82" s="1314"/>
      <c r="Z82" s="1315"/>
      <c r="AA82" s="1315"/>
    </row>
    <row r="83" spans="1:27" s="1305" customFormat="1">
      <c r="A83" s="1392">
        <v>56065</v>
      </c>
      <c r="B83" s="1305" t="s">
        <v>22</v>
      </c>
      <c r="C83" s="1306">
        <f>IFERROR(VLOOKUP(A83,'2180 IS (C)'!D:AH,31,FALSE),0)</f>
        <v>-26878.79</v>
      </c>
      <c r="D83" s="1306">
        <f>IFERROR(VLOOKUP(A83,'2182 IS'!D:AH,31,FALSE),0)</f>
        <v>0</v>
      </c>
      <c r="E83" s="1306">
        <f t="shared" si="76"/>
        <v>-26878.79</v>
      </c>
      <c r="F83" s="1306"/>
      <c r="G83" s="1306"/>
      <c r="H83" s="1306"/>
      <c r="I83" s="1306"/>
      <c r="J83" s="1306"/>
      <c r="K83" s="1306"/>
      <c r="L83" s="1306"/>
      <c r="M83" s="1306">
        <f t="shared" si="77"/>
        <v>-26878.79</v>
      </c>
      <c r="N83" s="1306">
        <f t="shared" si="78"/>
        <v>0</v>
      </c>
      <c r="O83" s="1316">
        <f t="shared" si="79"/>
        <v>-26878.79</v>
      </c>
      <c r="P83" s="1306"/>
      <c r="Q83" s="1316">
        <f t="shared" si="80"/>
        <v>0</v>
      </c>
      <c r="R83" s="1310"/>
      <c r="S83" s="1317">
        <f t="shared" si="81"/>
        <v>-26878.79</v>
      </c>
      <c r="T83" s="1306">
        <f>+($S83-$U83)*('Ratios (C)'!C$55+'Ratios (C)'!$D$55)</f>
        <v>-16847.802040643368</v>
      </c>
      <c r="U83" s="1306"/>
      <c r="V83" s="1318">
        <f>+($S83-$U83)*'Ratios (C)'!G$55</f>
        <v>-10030.987959356629</v>
      </c>
      <c r="W83" s="1373" t="s">
        <v>1733</v>
      </c>
      <c r="X83" s="1306">
        <f t="shared" si="69"/>
        <v>0</v>
      </c>
      <c r="Y83" s="1314"/>
      <c r="Z83" s="1315"/>
      <c r="AA83" s="1315"/>
    </row>
    <row r="84" spans="1:27" s="1305" customFormat="1">
      <c r="A84" s="1392">
        <v>56070</v>
      </c>
      <c r="B84" s="1305" t="s">
        <v>23</v>
      </c>
      <c r="C84" s="1306">
        <f>IFERROR(VLOOKUP(A84,'2180 IS (C)'!D:AH,31,FALSE),0)</f>
        <v>-3046.15</v>
      </c>
      <c r="D84" s="1306">
        <f>IFERROR(VLOOKUP(A84,'2182 IS'!D:AH,31,FALSE),0)</f>
        <v>0</v>
      </c>
      <c r="E84" s="1306">
        <f t="shared" si="76"/>
        <v>-3046.15</v>
      </c>
      <c r="F84" s="1306"/>
      <c r="G84" s="1306"/>
      <c r="H84" s="1306"/>
      <c r="I84" s="1306"/>
      <c r="J84" s="1306"/>
      <c r="K84" s="1306"/>
      <c r="L84" s="1306"/>
      <c r="M84" s="1306">
        <f t="shared" si="77"/>
        <v>-3046.15</v>
      </c>
      <c r="N84" s="1306">
        <f t="shared" si="78"/>
        <v>0</v>
      </c>
      <c r="O84" s="1316">
        <f t="shared" si="79"/>
        <v>-3046.15</v>
      </c>
      <c r="P84" s="1306"/>
      <c r="Q84" s="1316">
        <f t="shared" si="80"/>
        <v>0</v>
      </c>
      <c r="R84" s="1310"/>
      <c r="S84" s="1317">
        <f t="shared" si="81"/>
        <v>-3046.15</v>
      </c>
      <c r="T84" s="1306">
        <f>+($S84-$U84)*('Ratios (C)'!C$55+'Ratios (C)'!$D$55)</f>
        <v>-1909.3468190385729</v>
      </c>
      <c r="U84" s="1306"/>
      <c r="V84" s="1318">
        <f>+($S84-$U84)*'Ratios (C)'!G$55</f>
        <v>-1136.8031809614272</v>
      </c>
      <c r="W84" s="1373" t="s">
        <v>1733</v>
      </c>
      <c r="X84" s="1306">
        <f t="shared" si="69"/>
        <v>0</v>
      </c>
      <c r="Y84" s="1314"/>
      <c r="Z84" s="1315"/>
      <c r="AA84" s="1315"/>
    </row>
    <row r="85" spans="1:27" s="1305" customFormat="1">
      <c r="A85" s="1358">
        <v>42100</v>
      </c>
      <c r="B85" s="1325" t="s">
        <v>49</v>
      </c>
      <c r="C85" s="1326">
        <f>SUM(C81:C84)</f>
        <v>334596.19</v>
      </c>
      <c r="D85" s="1326">
        <f>SUM(D81:D84)</f>
        <v>75041.23</v>
      </c>
      <c r="E85" s="1326">
        <f>SUM(E81:E84)</f>
        <v>409637.42</v>
      </c>
      <c r="F85" s="1326"/>
      <c r="G85" s="1326">
        <f>SUM(G81:G84)</f>
        <v>0</v>
      </c>
      <c r="H85" s="1326">
        <f>SUM(H81:H84)</f>
        <v>0</v>
      </c>
      <c r="I85" s="1326"/>
      <c r="J85" s="1326">
        <f>SUM(J81:J84)</f>
        <v>9053.7615144230294</v>
      </c>
      <c r="K85" s="1326">
        <f>SUM(K81:K84)</f>
        <v>0</v>
      </c>
      <c r="L85" s="1326"/>
      <c r="M85" s="1326">
        <f>SUM(M81:M84)</f>
        <v>343649.95151442301</v>
      </c>
      <c r="N85" s="1326">
        <f>SUM(N81:N84)</f>
        <v>75041.23</v>
      </c>
      <c r="O85" s="1327">
        <f>SUM(O81:O84)</f>
        <v>418691.18151442299</v>
      </c>
      <c r="P85" s="1326">
        <f>SUM(P81:P84)</f>
        <v>0</v>
      </c>
      <c r="Q85" s="1327">
        <f>SUM(Q81:Q84)</f>
        <v>75041.23</v>
      </c>
      <c r="R85" s="1328"/>
      <c r="S85" s="1329">
        <f>SUM(S81:S84)</f>
        <v>343649.95151442301</v>
      </c>
      <c r="T85" s="1326">
        <f>SUM(T81:T84)</f>
        <v>215402.04579118671</v>
      </c>
      <c r="U85" s="1326">
        <f>SUM(U81:U84)</f>
        <v>0</v>
      </c>
      <c r="V85" s="1330">
        <f>SUM(V81:V84)</f>
        <v>128247.9057232363</v>
      </c>
      <c r="W85" s="1324"/>
      <c r="X85" s="1306">
        <f t="shared" si="69"/>
        <v>0</v>
      </c>
      <c r="Y85" s="1356"/>
      <c r="Z85" s="1357"/>
      <c r="AA85" s="1357"/>
    </row>
    <row r="86" spans="1:27" s="1305" customFormat="1" ht="12" customHeight="1">
      <c r="A86" s="1304"/>
      <c r="C86" s="1306"/>
      <c r="D86" s="1343"/>
      <c r="E86" s="1306"/>
      <c r="F86" s="1306"/>
      <c r="G86" s="1306"/>
      <c r="H86" s="1306"/>
      <c r="I86" s="1306"/>
      <c r="J86" s="1306"/>
      <c r="K86" s="1306"/>
      <c r="L86" s="1306"/>
      <c r="M86" s="1306"/>
      <c r="N86" s="1306"/>
      <c r="O86" s="1316"/>
      <c r="P86" s="1306"/>
      <c r="Q86" s="1316"/>
      <c r="R86" s="1324"/>
      <c r="S86" s="1317"/>
      <c r="T86" s="1306"/>
      <c r="U86" s="1306"/>
      <c r="V86" s="1318"/>
      <c r="W86" s="1324"/>
      <c r="X86" s="1306">
        <f t="shared" si="69"/>
        <v>0</v>
      </c>
      <c r="Y86" s="1314"/>
      <c r="Z86" s="1315"/>
      <c r="AA86" s="1315"/>
    </row>
    <row r="87" spans="1:27" s="1305" customFormat="1">
      <c r="A87" s="1392">
        <v>50020</v>
      </c>
      <c r="B87" s="1305" t="s">
        <v>25</v>
      </c>
      <c r="C87" s="1306">
        <f>IFERROR(VLOOKUP(A87,'2180 IS (C)'!D:AH,31,FALSE),0)</f>
        <v>4548845.93</v>
      </c>
      <c r="D87" s="1306">
        <f>IFERROR(VLOOKUP(A87,'2182 IS'!D:AH,31,FALSE),0)</f>
        <v>2033469.9100000001</v>
      </c>
      <c r="E87" s="1306">
        <f t="shared" ref="E87:E96" si="82">SUM(C87:D87)</f>
        <v>6582315.8399999999</v>
      </c>
      <c r="F87" s="1306"/>
      <c r="G87" s="1306">
        <f>-SUM(G89:G92)-H87</f>
        <v>-893364.41999999993</v>
      </c>
      <c r="H87" s="1306">
        <f>'Restating Adj'!C49</f>
        <v>-84897.014742559477</v>
      </c>
      <c r="I87" s="1306"/>
      <c r="J87" s="1306">
        <f>'Pro forma Adj'!B17-SUM(J89:J92)</f>
        <v>263136.75834911544</v>
      </c>
      <c r="K87" s="1306"/>
      <c r="L87" s="1306"/>
      <c r="M87" s="1306">
        <f t="shared" ref="M87:M96" si="83">C87+G87+J87</f>
        <v>3918618.2683491153</v>
      </c>
      <c r="N87" s="1306">
        <f t="shared" ref="N87:N96" si="84">D87+H87+K87</f>
        <v>1948572.8952574406</v>
      </c>
      <c r="O87" s="1316">
        <f t="shared" ref="O87:O96" si="85">M87+N87</f>
        <v>5867191.1636065561</v>
      </c>
      <c r="P87" s="1306"/>
      <c r="Q87" s="1316">
        <f t="shared" ref="Q87:Q96" si="86">N87</f>
        <v>1948572.8952574406</v>
      </c>
      <c r="R87" s="1310"/>
      <c r="S87" s="1317">
        <f t="shared" ref="S87:S96" si="87">O87-Q87</f>
        <v>3918618.2683491157</v>
      </c>
      <c r="T87" s="1306">
        <f>+($S87-$U87)*('Ratios (C)'!C$56+'Ratios (C)'!$D$56)</f>
        <v>2490501.7896678494</v>
      </c>
      <c r="U87" s="1306"/>
      <c r="V87" s="1318">
        <f>+($S87-$U87)*'Ratios (C)'!G$56</f>
        <v>1428116.4786812656</v>
      </c>
      <c r="W87" s="1373" t="s">
        <v>1732</v>
      </c>
      <c r="X87" s="1306">
        <f t="shared" si="69"/>
        <v>0</v>
      </c>
      <c r="Y87" s="1314"/>
      <c r="Z87" s="1315"/>
      <c r="AA87" s="1315"/>
    </row>
    <row r="88" spans="1:27" s="1305" customFormat="1">
      <c r="A88" s="1392">
        <v>50025</v>
      </c>
      <c r="B88" s="1305" t="s">
        <v>50</v>
      </c>
      <c r="C88" s="1306">
        <f>IFERROR(VLOOKUP(A88,'2180 IS (C)'!D:AH,31,FALSE),0)</f>
        <v>1230143.3500000001</v>
      </c>
      <c r="D88" s="1306">
        <f>IFERROR(VLOOKUP(A88,'2182 IS'!D:AH,31,FALSE),0)</f>
        <v>632793.34</v>
      </c>
      <c r="E88" s="1306">
        <f t="shared" si="82"/>
        <v>1862936.69</v>
      </c>
      <c r="F88" s="1306"/>
      <c r="G88" s="1306"/>
      <c r="H88" s="1306"/>
      <c r="I88" s="1306"/>
      <c r="J88" s="1306"/>
      <c r="K88" s="1306"/>
      <c r="L88" s="1306"/>
      <c r="M88" s="1306">
        <f t="shared" si="83"/>
        <v>1230143.3500000001</v>
      </c>
      <c r="N88" s="1306">
        <f t="shared" si="84"/>
        <v>632793.34</v>
      </c>
      <c r="O88" s="1316">
        <f t="shared" si="85"/>
        <v>1862936.69</v>
      </c>
      <c r="P88" s="1306"/>
      <c r="Q88" s="1316">
        <f t="shared" si="86"/>
        <v>632793.34</v>
      </c>
      <c r="R88" s="1310"/>
      <c r="S88" s="1317">
        <f t="shared" si="87"/>
        <v>1230143.3500000001</v>
      </c>
      <c r="T88" s="1306">
        <f>+($S88-$U88)*('Ratios (C)'!C$56+'Ratios (C)'!$D$56)</f>
        <v>781825.12429660745</v>
      </c>
      <c r="U88" s="1306"/>
      <c r="V88" s="1318">
        <f>+($S88-$U88)*'Ratios (C)'!G$56</f>
        <v>448318.22570339247</v>
      </c>
      <c r="W88" s="1373" t="s">
        <v>1732</v>
      </c>
      <c r="X88" s="1306">
        <f t="shared" si="69"/>
        <v>0</v>
      </c>
      <c r="Y88" s="1314"/>
      <c r="Z88" s="1315"/>
      <c r="AA88" s="1315"/>
    </row>
    <row r="89" spans="1:27" s="1305" customFormat="1">
      <c r="A89" s="1392"/>
      <c r="B89" s="1305" t="s">
        <v>938</v>
      </c>
      <c r="C89" s="1306">
        <v>0</v>
      </c>
      <c r="D89" s="1306"/>
      <c r="E89" s="1306"/>
      <c r="F89" s="1306"/>
      <c r="G89" s="1306">
        <f>+'[44]2018 Pierce Payroll'!$L$123</f>
        <v>214686.98</v>
      </c>
      <c r="H89" s="1306"/>
      <c r="I89" s="1306"/>
      <c r="J89" s="1306">
        <f>'Pro forma Adj'!B12</f>
        <v>9319.6442058542016</v>
      </c>
      <c r="K89" s="1306"/>
      <c r="L89" s="1306"/>
      <c r="M89" s="1306">
        <f t="shared" ref="M89" si="88">C89+G89+J89</f>
        <v>224006.6242058542</v>
      </c>
      <c r="N89" s="1306">
        <f t="shared" ref="N89" si="89">D89+H89+K89</f>
        <v>0</v>
      </c>
      <c r="O89" s="1316">
        <f t="shared" ref="O89" si="90">M89+N89</f>
        <v>224006.6242058542</v>
      </c>
      <c r="P89" s="1306"/>
      <c r="Q89" s="1316">
        <f t="shared" si="86"/>
        <v>0</v>
      </c>
      <c r="R89" s="1310"/>
      <c r="S89" s="1317">
        <f t="shared" si="87"/>
        <v>224006.6242058542</v>
      </c>
      <c r="T89" s="1306">
        <f>+$S$89*('Ratios (C)'!$D$64+'Ratios (C)'!$C$64)</f>
        <v>76417.352357875498</v>
      </c>
      <c r="U89" s="1306">
        <f>+$S$89*'Ratios (C)'!B64</f>
        <v>23926.348817734415</v>
      </c>
      <c r="V89" s="1318">
        <f>+$S$89*'Ratios (C)'!E64</f>
        <v>123662.92303024429</v>
      </c>
      <c r="W89" s="1324" t="s">
        <v>1723</v>
      </c>
      <c r="X89" s="1306">
        <f t="shared" si="69"/>
        <v>0</v>
      </c>
      <c r="Y89" s="1374">
        <f>T89/S89</f>
        <v>0.34113880617945763</v>
      </c>
      <c r="Z89" s="1315"/>
      <c r="AA89" s="1315"/>
    </row>
    <row r="90" spans="1:27" s="1305" customFormat="1">
      <c r="A90" s="1392"/>
      <c r="B90" s="1305" t="s">
        <v>939</v>
      </c>
      <c r="C90" s="1306">
        <v>0</v>
      </c>
      <c r="D90" s="1306"/>
      <c r="E90" s="1306"/>
      <c r="F90" s="1306"/>
      <c r="G90" s="1306">
        <f>Payroll!L132</f>
        <v>129283.4399999999</v>
      </c>
      <c r="H90" s="1306"/>
      <c r="I90" s="1306"/>
      <c r="J90" s="1306">
        <f>'Pro forma Adj'!B13</f>
        <v>1857.7913995011884</v>
      </c>
      <c r="K90" s="1306"/>
      <c r="L90" s="1306"/>
      <c r="M90" s="1306">
        <f t="shared" ref="M90" si="91">C90+G90+J90</f>
        <v>131141.23139950109</v>
      </c>
      <c r="N90" s="1306">
        <f t="shared" ref="N90" si="92">D90+H90+K90</f>
        <v>0</v>
      </c>
      <c r="O90" s="1316">
        <f t="shared" ref="O90" si="93">M90+N90</f>
        <v>131141.23139950109</v>
      </c>
      <c r="P90" s="1306"/>
      <c r="Q90" s="1316">
        <f t="shared" ref="Q90" si="94">N90</f>
        <v>0</v>
      </c>
      <c r="R90" s="1310"/>
      <c r="S90" s="1317">
        <f t="shared" ref="S90:S92" si="95">O90-Q90</f>
        <v>131141.23139950109</v>
      </c>
      <c r="T90" s="1306">
        <f>+$S$90*('Ratios (C)'!$D$65+'Ratios (C)'!$C$65)</f>
        <v>42919.518370818616</v>
      </c>
      <c r="U90" s="1306">
        <f>+$S$90*'Ratios (C)'!B65</f>
        <v>12524.148030257116</v>
      </c>
      <c r="V90" s="1318">
        <f>+$S$90*'Ratios (C)'!E65</f>
        <v>75697.564998425369</v>
      </c>
      <c r="W90" s="1324" t="s">
        <v>1723</v>
      </c>
      <c r="X90" s="1306">
        <f t="shared" si="69"/>
        <v>0</v>
      </c>
      <c r="Y90" s="1374">
        <f>T90/S90</f>
        <v>0.32727707306690651</v>
      </c>
      <c r="Z90" s="1315"/>
      <c r="AA90" s="1315"/>
    </row>
    <row r="91" spans="1:27" s="1305" customFormat="1" ht="14.25" customHeight="1">
      <c r="A91" s="1392"/>
      <c r="B91" s="1305" t="s">
        <v>296</v>
      </c>
      <c r="C91" s="1306">
        <v>0</v>
      </c>
      <c r="D91" s="1306"/>
      <c r="E91" s="1306"/>
      <c r="F91" s="1306"/>
      <c r="G91" s="1306">
        <f>Payroll!L145</f>
        <v>482260.88</v>
      </c>
      <c r="H91" s="1306"/>
      <c r="I91" s="1306"/>
      <c r="J91" s="1306">
        <f>'Pro forma Adj'!B14</f>
        <v>14699.221908743719</v>
      </c>
      <c r="K91" s="1306"/>
      <c r="L91" s="1306"/>
      <c r="M91" s="1306">
        <f t="shared" ref="M91:M92" si="96">C91+G91+J91</f>
        <v>496960.10190874373</v>
      </c>
      <c r="N91" s="1306">
        <f t="shared" ref="N91:N92" si="97">D91+H91+K91</f>
        <v>0</v>
      </c>
      <c r="O91" s="1316">
        <f t="shared" ref="O91:O92" si="98">M91+N91</f>
        <v>496960.10190874373</v>
      </c>
      <c r="P91" s="1306"/>
      <c r="Q91" s="1316"/>
      <c r="R91" s="1310"/>
      <c r="S91" s="1317">
        <f t="shared" si="95"/>
        <v>496960.10190874373</v>
      </c>
      <c r="T91" s="1306"/>
      <c r="U91" s="1306">
        <f>S91</f>
        <v>496960.10190874373</v>
      </c>
      <c r="V91" s="1318"/>
      <c r="W91" s="1324" t="s">
        <v>310</v>
      </c>
      <c r="X91" s="1306">
        <f t="shared" si="69"/>
        <v>0</v>
      </c>
      <c r="Y91" s="1374"/>
      <c r="Z91" s="1315"/>
      <c r="AA91" s="1315"/>
    </row>
    <row r="92" spans="1:27" s="1305" customFormat="1">
      <c r="A92" s="1392"/>
      <c r="B92" s="1305" t="s">
        <v>1242</v>
      </c>
      <c r="C92" s="1306">
        <v>0</v>
      </c>
      <c r="D92" s="1306"/>
      <c r="E92" s="1306"/>
      <c r="F92" s="1306"/>
      <c r="G92" s="1306">
        <f>'Restating Adj'!B48</f>
        <v>152030.13474255946</v>
      </c>
      <c r="H92" s="1306"/>
      <c r="I92" s="1306"/>
      <c r="J92" s="1306">
        <f>'Pro forma Adj'!B16</f>
        <v>3309.6393059375259</v>
      </c>
      <c r="K92" s="1306"/>
      <c r="L92" s="1306"/>
      <c r="M92" s="1306">
        <f t="shared" si="96"/>
        <v>155339.77404849697</v>
      </c>
      <c r="N92" s="1306">
        <f t="shared" si="97"/>
        <v>0</v>
      </c>
      <c r="O92" s="1316">
        <f t="shared" si="98"/>
        <v>155339.77404849697</v>
      </c>
      <c r="P92" s="1306"/>
      <c r="Q92" s="1316"/>
      <c r="R92" s="1310"/>
      <c r="S92" s="1317">
        <f t="shared" si="95"/>
        <v>155339.77404849697</v>
      </c>
      <c r="T92" s="1306">
        <f>+($S92-$U92)*('Ratios (C)'!C$55+'Ratios (C)'!$D$55)</f>
        <v>97367.990233464647</v>
      </c>
      <c r="U92" s="1306"/>
      <c r="V92" s="1318">
        <f>+($S92-$U92)*'Ratios (C)'!G$55</f>
        <v>57971.783815032315</v>
      </c>
      <c r="W92" s="1373" t="s">
        <v>1733</v>
      </c>
      <c r="X92" s="1306">
        <f t="shared" si="69"/>
        <v>0</v>
      </c>
      <c r="Y92" s="1374"/>
      <c r="Z92" s="1315"/>
      <c r="AA92" s="1315"/>
    </row>
    <row r="93" spans="1:27" s="1305" customFormat="1">
      <c r="A93" s="1393">
        <v>50035</v>
      </c>
      <c r="B93" s="1305" t="s">
        <v>20</v>
      </c>
      <c r="C93" s="1306">
        <f>IFERROR(VLOOKUP(A93,'2180 IS (C)'!D:AH,31,FALSE),0)</f>
        <v>105072.70999999999</v>
      </c>
      <c r="D93" s="1306">
        <f>IFERROR(VLOOKUP(A93,'2182 IS'!D:AH,31,FALSE),0)</f>
        <v>43114.87</v>
      </c>
      <c r="E93" s="1306">
        <f t="shared" si="82"/>
        <v>148187.57999999999</v>
      </c>
      <c r="F93" s="1306"/>
      <c r="G93" s="1306"/>
      <c r="H93" s="1306"/>
      <c r="I93" s="1306"/>
      <c r="J93" s="1306"/>
      <c r="K93" s="1306"/>
      <c r="L93" s="1306"/>
      <c r="M93" s="1306">
        <f t="shared" si="83"/>
        <v>105072.70999999999</v>
      </c>
      <c r="N93" s="1306">
        <f t="shared" si="84"/>
        <v>43114.87</v>
      </c>
      <c r="O93" s="1316">
        <f t="shared" si="85"/>
        <v>148187.57999999999</v>
      </c>
      <c r="P93" s="1306"/>
      <c r="Q93" s="1316">
        <f t="shared" si="86"/>
        <v>43114.87</v>
      </c>
      <c r="R93" s="1310"/>
      <c r="S93" s="1317">
        <f t="shared" si="87"/>
        <v>105072.70999999999</v>
      </c>
      <c r="T93" s="1306">
        <f>+($S93-$U93)*('Ratios (C)'!C$56+'Ratios (C)'!$D$56)</f>
        <v>66779.603008000151</v>
      </c>
      <c r="U93" s="1306"/>
      <c r="V93" s="1318">
        <f>+($S93-$U93)*'Ratios (C)'!G$56</f>
        <v>38293.106991999834</v>
      </c>
      <c r="W93" s="1373" t="s">
        <v>1732</v>
      </c>
      <c r="X93" s="1306">
        <f t="shared" si="69"/>
        <v>0</v>
      </c>
      <c r="Y93" s="1314"/>
      <c r="Z93" s="1315"/>
      <c r="AA93" s="1315"/>
    </row>
    <row r="94" spans="1:27" s="1305" customFormat="1">
      <c r="A94" s="1393">
        <v>50036</v>
      </c>
      <c r="B94" s="1305" t="s">
        <v>21</v>
      </c>
      <c r="C94" s="1306">
        <f>IFERROR(VLOOKUP(A94,'2180 IS (C)'!D:AH,31,FALSE),0)</f>
        <v>26997.52</v>
      </c>
      <c r="D94" s="1306">
        <f>IFERROR(VLOOKUP(A94,'2182 IS'!D:AH,31,FALSE),0)</f>
        <v>0</v>
      </c>
      <c r="E94" s="1306">
        <f t="shared" si="82"/>
        <v>26997.52</v>
      </c>
      <c r="F94" s="1306"/>
      <c r="G94" s="1306"/>
      <c r="H94" s="1306"/>
      <c r="I94" s="1306"/>
      <c r="J94" s="1306"/>
      <c r="K94" s="1306"/>
      <c r="L94" s="1306"/>
      <c r="M94" s="1306">
        <f t="shared" si="83"/>
        <v>26997.52</v>
      </c>
      <c r="N94" s="1306">
        <f t="shared" si="84"/>
        <v>0</v>
      </c>
      <c r="O94" s="1316">
        <f t="shared" si="85"/>
        <v>26997.52</v>
      </c>
      <c r="P94" s="1306"/>
      <c r="Q94" s="1316">
        <f t="shared" si="86"/>
        <v>0</v>
      </c>
      <c r="R94" s="1310"/>
      <c r="S94" s="1317">
        <f t="shared" si="87"/>
        <v>26997.52</v>
      </c>
      <c r="T94" s="1306">
        <f>+($S94-$U94)*('Ratios (C)'!C$56+'Ratios (C)'!$D$56)</f>
        <v>17158.438835360241</v>
      </c>
      <c r="U94" s="1306"/>
      <c r="V94" s="1318">
        <f>+($S94-$U94)*'Ratios (C)'!G$56</f>
        <v>9839.0811646397578</v>
      </c>
      <c r="W94" s="1373" t="s">
        <v>1732</v>
      </c>
      <c r="X94" s="1306">
        <f t="shared" si="69"/>
        <v>0</v>
      </c>
      <c r="Y94" s="1314"/>
      <c r="Z94" s="1315"/>
      <c r="AA94" s="1315"/>
    </row>
    <row r="95" spans="1:27" s="1305" customFormat="1">
      <c r="A95" s="1392">
        <v>50065</v>
      </c>
      <c r="B95" s="1305" t="s">
        <v>22</v>
      </c>
      <c r="C95" s="1306">
        <f>IFERROR(VLOOKUP(A95,'2180 IS (C)'!D:AH,31,FALSE),0)</f>
        <v>284932.15000000002</v>
      </c>
      <c r="D95" s="1306">
        <f>IFERROR(VLOOKUP(A95,'2182 IS'!D:AH,31,FALSE),0)</f>
        <v>99707.079999999987</v>
      </c>
      <c r="E95" s="1306">
        <f t="shared" si="82"/>
        <v>384639.23</v>
      </c>
      <c r="F95" s="1306"/>
      <c r="G95" s="1306"/>
      <c r="H95" s="1306"/>
      <c r="I95" s="1306"/>
      <c r="J95" s="1306"/>
      <c r="K95" s="1306"/>
      <c r="L95" s="1306"/>
      <c r="M95" s="1306">
        <f t="shared" si="83"/>
        <v>284932.15000000002</v>
      </c>
      <c r="N95" s="1306">
        <f t="shared" si="84"/>
        <v>99707.079999999987</v>
      </c>
      <c r="O95" s="1316">
        <f t="shared" si="85"/>
        <v>384639.23</v>
      </c>
      <c r="P95" s="1306"/>
      <c r="Q95" s="1316">
        <f t="shared" si="86"/>
        <v>99707.079999999987</v>
      </c>
      <c r="R95" s="1310"/>
      <c r="S95" s="1317">
        <f t="shared" si="87"/>
        <v>284932.15000000002</v>
      </c>
      <c r="T95" s="1306">
        <f>+($S95-$U95)*('Ratios (C)'!C$56+'Ratios (C)'!$D$56)</f>
        <v>181090.36933772766</v>
      </c>
      <c r="U95" s="1306"/>
      <c r="V95" s="1318">
        <f>+($S95-$U95)*'Ratios (C)'!G$56</f>
        <v>103841.78066227231</v>
      </c>
      <c r="W95" s="1373" t="s">
        <v>1732</v>
      </c>
      <c r="X95" s="1306">
        <f t="shared" si="69"/>
        <v>0</v>
      </c>
      <c r="Y95" s="1314"/>
      <c r="Z95" s="1315"/>
      <c r="AA95" s="1315"/>
    </row>
    <row r="96" spans="1:27" s="1305" customFormat="1">
      <c r="A96" s="1392">
        <v>50070</v>
      </c>
      <c r="B96" s="1305" t="s">
        <v>23</v>
      </c>
      <c r="C96" s="1306">
        <f>IFERROR(VLOOKUP(A96,'2180 IS (C)'!D:AH,31,FALSE),0)</f>
        <v>165516.32000000004</v>
      </c>
      <c r="D96" s="1306">
        <f>IFERROR(VLOOKUP(A96,'2182 IS'!D:AH,31,FALSE),0)</f>
        <v>89377.260000000009</v>
      </c>
      <c r="E96" s="1306">
        <f t="shared" si="82"/>
        <v>254893.58000000005</v>
      </c>
      <c r="F96" s="1306"/>
      <c r="G96" s="1306"/>
      <c r="H96" s="1306"/>
      <c r="I96" s="1306"/>
      <c r="J96" s="1306"/>
      <c r="K96" s="1306"/>
      <c r="L96" s="1306"/>
      <c r="M96" s="1306">
        <f t="shared" si="83"/>
        <v>165516.32000000004</v>
      </c>
      <c r="N96" s="1306">
        <f t="shared" si="84"/>
        <v>89377.260000000009</v>
      </c>
      <c r="O96" s="1316">
        <f t="shared" si="85"/>
        <v>254893.58000000005</v>
      </c>
      <c r="P96" s="1306"/>
      <c r="Q96" s="1316">
        <f t="shared" si="86"/>
        <v>89377.260000000009</v>
      </c>
      <c r="R96" s="1310"/>
      <c r="S96" s="1317">
        <f t="shared" si="87"/>
        <v>165516.32000000004</v>
      </c>
      <c r="T96" s="1306">
        <f>+($S96-$U96)*('Ratios (C)'!C$56+'Ratios (C)'!$D$56)</f>
        <v>105194.90875361564</v>
      </c>
      <c r="U96" s="1306"/>
      <c r="V96" s="1318">
        <f>+($S96-$U96)*'Ratios (C)'!G$56</f>
        <v>60321.41124638437</v>
      </c>
      <c r="W96" s="1373" t="s">
        <v>1732</v>
      </c>
      <c r="X96" s="1306">
        <f t="shared" si="69"/>
        <v>0</v>
      </c>
      <c r="Y96" s="1368"/>
      <c r="Z96" s="1315"/>
      <c r="AA96" s="1315"/>
    </row>
    <row r="97" spans="1:27" s="1305" customFormat="1">
      <c r="A97" s="1358">
        <v>42300</v>
      </c>
      <c r="B97" s="1325" t="s">
        <v>51</v>
      </c>
      <c r="C97" s="1326">
        <f>SUM(C87:C96)</f>
        <v>6361507.9799999995</v>
      </c>
      <c r="D97" s="1326">
        <f t="shared" ref="D97:V97" si="99">SUM(D87:D96)</f>
        <v>2898462.46</v>
      </c>
      <c r="E97" s="1326">
        <f t="shared" si="99"/>
        <v>9259970.4399999995</v>
      </c>
      <c r="F97" s="1326"/>
      <c r="G97" s="1326">
        <f t="shared" si="99"/>
        <v>84897.014742559462</v>
      </c>
      <c r="H97" s="1326">
        <f t="shared" si="99"/>
        <v>-84897.014742559477</v>
      </c>
      <c r="I97" s="1326"/>
      <c r="J97" s="1326">
        <f t="shared" si="99"/>
        <v>292323.0551691521</v>
      </c>
      <c r="K97" s="1326">
        <f t="shared" si="99"/>
        <v>0</v>
      </c>
      <c r="L97" s="1326"/>
      <c r="M97" s="1326">
        <f t="shared" si="99"/>
        <v>6738728.0499117104</v>
      </c>
      <c r="N97" s="1326">
        <f t="shared" si="99"/>
        <v>2813565.4452574411</v>
      </c>
      <c r="O97" s="1327">
        <f t="shared" si="99"/>
        <v>9552293.4951691516</v>
      </c>
      <c r="P97" s="1326">
        <f t="shared" si="99"/>
        <v>0</v>
      </c>
      <c r="Q97" s="1327">
        <f t="shared" si="99"/>
        <v>2813565.4452574411</v>
      </c>
      <c r="R97" s="1328"/>
      <c r="S97" s="1329">
        <f t="shared" si="99"/>
        <v>6738728.0499117114</v>
      </c>
      <c r="T97" s="1326">
        <f t="shared" si="99"/>
        <v>3859255.0948613198</v>
      </c>
      <c r="U97" s="1326">
        <f>SUM(U87:U96)</f>
        <v>533410.59875673521</v>
      </c>
      <c r="V97" s="1330">
        <f t="shared" si="99"/>
        <v>2346062.3562936559</v>
      </c>
      <c r="W97" s="1324"/>
      <c r="X97" s="1306">
        <f t="shared" si="69"/>
        <v>0</v>
      </c>
      <c r="Y97" s="1356"/>
      <c r="Z97" s="1357"/>
      <c r="AA97" s="1357"/>
    </row>
    <row r="98" spans="1:27" s="1305" customFormat="1">
      <c r="A98" s="1358"/>
      <c r="B98" s="1325"/>
      <c r="C98" s="1326"/>
      <c r="D98" s="1343"/>
      <c r="E98" s="1306"/>
      <c r="F98" s="1306"/>
      <c r="G98" s="1306"/>
      <c r="H98" s="1306"/>
      <c r="I98" s="1306"/>
      <c r="J98" s="1306">
        <f>J97-'Pro forma Adj'!B17</f>
        <v>0</v>
      </c>
      <c r="K98" s="1306"/>
      <c r="L98" s="1306"/>
      <c r="M98" s="1306"/>
      <c r="N98" s="1306"/>
      <c r="O98" s="1316"/>
      <c r="P98" s="1306"/>
      <c r="Q98" s="1316"/>
      <c r="R98" s="1310"/>
      <c r="S98" s="1317"/>
      <c r="T98" s="1306"/>
      <c r="U98" s="1306"/>
      <c r="V98" s="1318"/>
      <c r="W98" s="1324"/>
      <c r="X98" s="1306">
        <f t="shared" si="69"/>
        <v>0</v>
      </c>
      <c r="Y98" s="1319"/>
      <c r="Z98" s="1320"/>
      <c r="AA98" s="1320"/>
    </row>
    <row r="99" spans="1:27" s="1305" customFormat="1">
      <c r="A99" s="1354">
        <v>50045</v>
      </c>
      <c r="B99" s="1305" t="s">
        <v>29</v>
      </c>
      <c r="C99" s="1306">
        <f>IFERROR(VLOOKUP(A99,'2180 IS (C)'!D:AH,31,FALSE),0)</f>
        <v>9133.11</v>
      </c>
      <c r="D99" s="1306">
        <f>IFERROR(VLOOKUP(A99,'2182 IS'!D:AH,31,FALSE),0)</f>
        <v>0</v>
      </c>
      <c r="E99" s="1306">
        <f t="shared" ref="E99" si="100">SUM(C99:D99)</f>
        <v>9133.11</v>
      </c>
      <c r="F99" s="1306"/>
      <c r="G99" s="1306"/>
      <c r="H99" s="1306"/>
      <c r="I99" s="1306"/>
      <c r="J99" s="1306"/>
      <c r="K99" s="1306"/>
      <c r="L99" s="1306"/>
      <c r="M99" s="1306">
        <f t="shared" ref="M99" si="101">C99+G99+J99</f>
        <v>9133.11</v>
      </c>
      <c r="N99" s="1306">
        <f t="shared" ref="N99" si="102">D99+H99+K99</f>
        <v>0</v>
      </c>
      <c r="O99" s="1316">
        <f t="shared" ref="O99" si="103">M99+N99</f>
        <v>9133.11</v>
      </c>
      <c r="P99" s="1306"/>
      <c r="Q99" s="1316">
        <f t="shared" ref="Q99" si="104">N99</f>
        <v>0</v>
      </c>
      <c r="R99" s="1310"/>
      <c r="S99" s="1317">
        <f t="shared" ref="S99" si="105">O99-Q99</f>
        <v>9133.11</v>
      </c>
      <c r="T99" s="1306">
        <v>0</v>
      </c>
      <c r="U99" s="1306">
        <f>S99</f>
        <v>9133.11</v>
      </c>
      <c r="V99" s="1318"/>
      <c r="W99" s="1324" t="s">
        <v>182</v>
      </c>
      <c r="X99" s="1306">
        <f t="shared" si="69"/>
        <v>0</v>
      </c>
      <c r="Y99" s="1319"/>
      <c r="Z99" s="1353"/>
      <c r="AA99" s="1353"/>
    </row>
    <row r="100" spans="1:27" s="1305" customFormat="1">
      <c r="A100" s="1358">
        <v>42315</v>
      </c>
      <c r="B100" s="1325" t="s">
        <v>29</v>
      </c>
      <c r="C100" s="1326">
        <f>SUM(C99)</f>
        <v>9133.11</v>
      </c>
      <c r="D100" s="1326">
        <f t="shared" ref="D100:V100" si="106">SUM(D99)</f>
        <v>0</v>
      </c>
      <c r="E100" s="1326">
        <f t="shared" si="106"/>
        <v>9133.11</v>
      </c>
      <c r="F100" s="1326"/>
      <c r="G100" s="1326">
        <f t="shared" si="106"/>
        <v>0</v>
      </c>
      <c r="H100" s="1326">
        <f t="shared" si="106"/>
        <v>0</v>
      </c>
      <c r="I100" s="1326"/>
      <c r="J100" s="1326">
        <f t="shared" si="106"/>
        <v>0</v>
      </c>
      <c r="K100" s="1326">
        <f t="shared" si="106"/>
        <v>0</v>
      </c>
      <c r="L100" s="1326"/>
      <c r="M100" s="1326">
        <f t="shared" si="106"/>
        <v>9133.11</v>
      </c>
      <c r="N100" s="1326">
        <f t="shared" si="106"/>
        <v>0</v>
      </c>
      <c r="O100" s="1327">
        <f t="shared" si="106"/>
        <v>9133.11</v>
      </c>
      <c r="P100" s="1326">
        <f t="shared" si="106"/>
        <v>0</v>
      </c>
      <c r="Q100" s="1327">
        <f t="shared" si="106"/>
        <v>0</v>
      </c>
      <c r="R100" s="1328"/>
      <c r="S100" s="1329">
        <f t="shared" si="106"/>
        <v>9133.11</v>
      </c>
      <c r="T100" s="1326">
        <f t="shared" si="106"/>
        <v>0</v>
      </c>
      <c r="U100" s="1326">
        <f t="shared" si="106"/>
        <v>9133.11</v>
      </c>
      <c r="V100" s="1330">
        <f t="shared" si="106"/>
        <v>0</v>
      </c>
      <c r="W100" s="1324"/>
      <c r="X100" s="1306">
        <f t="shared" si="69"/>
        <v>0</v>
      </c>
      <c r="Y100" s="1356"/>
      <c r="Z100" s="1357"/>
      <c r="AA100" s="1357"/>
    </row>
    <row r="101" spans="1:27" s="1305" customFormat="1">
      <c r="A101" s="1304"/>
      <c r="C101" s="1306"/>
      <c r="D101" s="1343"/>
      <c r="E101" s="1306"/>
      <c r="F101" s="1306"/>
      <c r="G101" s="1306"/>
      <c r="H101" s="1306"/>
      <c r="I101" s="1306"/>
      <c r="J101" s="1306"/>
      <c r="K101" s="1306"/>
      <c r="L101" s="1306"/>
      <c r="M101" s="1306"/>
      <c r="N101" s="1306"/>
      <c r="O101" s="1316"/>
      <c r="P101" s="1306"/>
      <c r="Q101" s="1316"/>
      <c r="R101" s="1324"/>
      <c r="S101" s="1317"/>
      <c r="T101" s="1306"/>
      <c r="U101" s="1306"/>
      <c r="V101" s="1318"/>
      <c r="W101" s="1324"/>
      <c r="X101" s="1306">
        <f t="shared" si="69"/>
        <v>0</v>
      </c>
      <c r="Y101" s="1314"/>
      <c r="Z101" s="1375"/>
      <c r="AA101" s="1375"/>
    </row>
    <row r="102" spans="1:27" s="1305" customFormat="1">
      <c r="A102" s="1392">
        <v>52142</v>
      </c>
      <c r="B102" s="1305" t="s">
        <v>52</v>
      </c>
      <c r="C102" s="1306">
        <f>IFERROR(VLOOKUP(A102,'2180 IS (C)'!D:AH,31,FALSE),0)</f>
        <v>1497691.84</v>
      </c>
      <c r="D102" s="1306">
        <f>IFERROR(VLOOKUP(A102,'2182 IS'!D:AH,31,FALSE),0)</f>
        <v>790382.65</v>
      </c>
      <c r="E102" s="1306">
        <f t="shared" ref="E102:E105" si="107">SUM(C102:D102)</f>
        <v>2288074.4900000002</v>
      </c>
      <c r="F102" s="1306"/>
      <c r="G102" s="1308"/>
      <c r="H102" s="1306"/>
      <c r="I102" s="1306"/>
      <c r="J102" s="1306"/>
      <c r="K102" s="1308"/>
      <c r="L102" s="1306"/>
      <c r="M102" s="1306">
        <f t="shared" ref="M102:M105" si="108">C102+G102+J102</f>
        <v>1497691.84</v>
      </c>
      <c r="N102" s="1306">
        <f t="shared" ref="N102:N105" si="109">D102+H102+K102</f>
        <v>790382.65</v>
      </c>
      <c r="O102" s="1316">
        <f t="shared" ref="O102:O105" si="110">M102+N102</f>
        <v>2288074.4900000002</v>
      </c>
      <c r="P102" s="1306"/>
      <c r="Q102" s="1316">
        <f t="shared" ref="Q102:Q105" si="111">N102</f>
        <v>790382.65</v>
      </c>
      <c r="R102" s="1310"/>
      <c r="S102" s="1317">
        <f t="shared" ref="S102:S105" si="112">O102-Q102</f>
        <v>1497691.8400000003</v>
      </c>
      <c r="T102" s="1306">
        <f>$S102*SUM('Ratios (C)'!$C$53+'Ratios (C)'!$D$53)</f>
        <v>856901.76343685517</v>
      </c>
      <c r="U102" s="1306">
        <f>$S102*('Ratios (C)'!$E$53+'Ratios (C)'!$F$53)</f>
        <v>130600.60195685914</v>
      </c>
      <c r="V102" s="1318">
        <f>$S102*'Ratios (C)'!$G$53</f>
        <v>510189.47460628604</v>
      </c>
      <c r="W102" s="1324" t="s">
        <v>370</v>
      </c>
      <c r="X102" s="1306">
        <f t="shared" si="69"/>
        <v>0</v>
      </c>
      <c r="Y102" s="1314"/>
      <c r="Z102" s="1375"/>
      <c r="AA102" s="1375"/>
    </row>
    <row r="103" spans="1:27" s="1305" customFormat="1">
      <c r="A103" s="1392">
        <v>55142</v>
      </c>
      <c r="B103" s="1305" t="s">
        <v>52</v>
      </c>
      <c r="C103" s="1306">
        <f>IFERROR(VLOOKUP(A103,'2180 IS (C)'!D:AH,31,FALSE),0)</f>
        <v>4699.4800000000005</v>
      </c>
      <c r="D103" s="1306">
        <f>IFERROR(VLOOKUP(A103,'2182 IS'!D:AH,31,FALSE),0)</f>
        <v>564.68000000000006</v>
      </c>
      <c r="E103" s="1306">
        <f t="shared" si="107"/>
        <v>5264.1600000000008</v>
      </c>
      <c r="F103" s="1306"/>
      <c r="G103" s="1308"/>
      <c r="H103" s="1306"/>
      <c r="I103" s="1306"/>
      <c r="J103" s="1306"/>
      <c r="K103" s="1308"/>
      <c r="L103" s="1306"/>
      <c r="M103" s="1306">
        <f t="shared" si="108"/>
        <v>4699.4800000000005</v>
      </c>
      <c r="N103" s="1306">
        <f t="shared" si="109"/>
        <v>564.68000000000006</v>
      </c>
      <c r="O103" s="1316">
        <f t="shared" si="110"/>
        <v>5264.1600000000008</v>
      </c>
      <c r="P103" s="1306"/>
      <c r="Q103" s="1316">
        <f t="shared" si="111"/>
        <v>564.68000000000006</v>
      </c>
      <c r="R103" s="1310"/>
      <c r="S103" s="1317">
        <f t="shared" si="112"/>
        <v>4699.4800000000005</v>
      </c>
      <c r="T103" s="1306">
        <f>$S103*SUM('Ratios (C)'!$C$53+'Ratios (C)'!$D$53)</f>
        <v>2688.7992520786065</v>
      </c>
      <c r="U103" s="1306">
        <f>$S103*('Ratios (C)'!$E$53+'Ratios (C)'!$F$53)</f>
        <v>409.80053472429972</v>
      </c>
      <c r="V103" s="1318">
        <f>$S103*'Ratios (C)'!$G$53</f>
        <v>1600.8802131970947</v>
      </c>
      <c r="W103" s="1324" t="s">
        <v>370</v>
      </c>
      <c r="X103" s="1306">
        <f t="shared" si="69"/>
        <v>0</v>
      </c>
      <c r="Y103" s="1314"/>
      <c r="Z103" s="1375"/>
      <c r="AA103" s="1375"/>
    </row>
    <row r="104" spans="1:27" s="1305" customFormat="1">
      <c r="A104" s="1392">
        <v>52144</v>
      </c>
      <c r="B104" s="1305" t="s">
        <v>53</v>
      </c>
      <c r="C104" s="1306">
        <f>IFERROR(VLOOKUP(A104,'2180 IS (C)'!D:AH,31,FALSE),0)</f>
        <v>26269.999999999996</v>
      </c>
      <c r="D104" s="1306">
        <f>IFERROR(VLOOKUP(A104,'2182 IS'!D:AH,31,FALSE),0)</f>
        <v>7481.41</v>
      </c>
      <c r="E104" s="1306">
        <f t="shared" si="107"/>
        <v>33751.409999999996</v>
      </c>
      <c r="F104" s="1306"/>
      <c r="G104" s="1308"/>
      <c r="H104" s="1306"/>
      <c r="I104" s="1306"/>
      <c r="J104" s="1306"/>
      <c r="K104" s="1308"/>
      <c r="L104" s="1306"/>
      <c r="M104" s="1306">
        <f t="shared" si="108"/>
        <v>26269.999999999996</v>
      </c>
      <c r="N104" s="1306">
        <f t="shared" si="109"/>
        <v>7481.41</v>
      </c>
      <c r="O104" s="1316">
        <f t="shared" si="110"/>
        <v>33751.409999999996</v>
      </c>
      <c r="P104" s="1306"/>
      <c r="Q104" s="1316">
        <f t="shared" si="111"/>
        <v>7481.41</v>
      </c>
      <c r="R104" s="1310"/>
      <c r="S104" s="1317">
        <f t="shared" si="112"/>
        <v>26269.999999999996</v>
      </c>
      <c r="T104" s="1306">
        <f>$S104*SUM('Ratios (C)'!$C$53+'Ratios (C)'!$D$53)</f>
        <v>15030.334494902621</v>
      </c>
      <c r="U104" s="1306">
        <f>$S104*('Ratios (C)'!$E$53+'Ratios (C)'!$F$53)</f>
        <v>2290.7768619522481</v>
      </c>
      <c r="V104" s="1318">
        <f>$S104*'Ratios (C)'!$G$53</f>
        <v>8948.8886431451283</v>
      </c>
      <c r="W104" s="1324" t="s">
        <v>370</v>
      </c>
      <c r="X104" s="1306">
        <f t="shared" si="69"/>
        <v>0</v>
      </c>
      <c r="Y104" s="1314"/>
      <c r="Z104" s="1375"/>
      <c r="AA104" s="1375"/>
    </row>
    <row r="105" spans="1:27" s="1305" customFormat="1">
      <c r="A105" s="1392">
        <v>52146</v>
      </c>
      <c r="B105" s="1305" t="s">
        <v>54</v>
      </c>
      <c r="C105" s="1306">
        <f>IFERROR(VLOOKUP(A105,'2180 IS (C)'!D:AH,31,FALSE),0)</f>
        <v>101463.69999999998</v>
      </c>
      <c r="D105" s="1306">
        <f>IFERROR(VLOOKUP(A105,'2182 IS'!D:AH,31,FALSE),0)</f>
        <v>43333.909999999996</v>
      </c>
      <c r="E105" s="1306">
        <f t="shared" si="107"/>
        <v>144797.60999999999</v>
      </c>
      <c r="F105" s="1306"/>
      <c r="G105" s="1306"/>
      <c r="H105" s="1306"/>
      <c r="I105" s="1306"/>
      <c r="J105" s="1306"/>
      <c r="K105" s="1306"/>
      <c r="L105" s="1306"/>
      <c r="M105" s="1306">
        <f t="shared" si="108"/>
        <v>101463.69999999998</v>
      </c>
      <c r="N105" s="1306">
        <f t="shared" si="109"/>
        <v>43333.909999999996</v>
      </c>
      <c r="O105" s="1316">
        <f t="shared" si="110"/>
        <v>144797.60999999999</v>
      </c>
      <c r="P105" s="1306"/>
      <c r="Q105" s="1316">
        <f t="shared" si="111"/>
        <v>43333.909999999996</v>
      </c>
      <c r="R105" s="1310"/>
      <c r="S105" s="1317">
        <f t="shared" si="112"/>
        <v>101463.69999999998</v>
      </c>
      <c r="T105" s="1306">
        <f>$S105*SUM('Ratios (C)'!$C$53+'Ratios (C)'!$D$53)</f>
        <v>58052.278267622802</v>
      </c>
      <c r="U105" s="1306">
        <f>$S105*('Ratios (C)'!$E$53+'Ratios (C)'!$F$53)</f>
        <v>8847.7615640679214</v>
      </c>
      <c r="V105" s="1318">
        <f>$S105*'Ratios (C)'!$G$53</f>
        <v>34563.660168309259</v>
      </c>
      <c r="W105" s="1324" t="s">
        <v>370</v>
      </c>
      <c r="X105" s="1306">
        <f t="shared" si="69"/>
        <v>0</v>
      </c>
      <c r="Y105" s="1314"/>
    </row>
    <row r="106" spans="1:27" s="1305" customFormat="1">
      <c r="A106" s="1392"/>
      <c r="C106" s="1306"/>
      <c r="D106" s="1306"/>
      <c r="E106" s="1306"/>
      <c r="F106" s="1306"/>
      <c r="G106" s="1306"/>
      <c r="H106" s="1306"/>
      <c r="I106" s="1306"/>
      <c r="J106" s="1306"/>
      <c r="K106" s="1306"/>
      <c r="L106" s="1306"/>
      <c r="M106" s="1306"/>
      <c r="N106" s="1306"/>
      <c r="O106" s="1316"/>
      <c r="P106" s="1306"/>
      <c r="Q106" s="1316"/>
      <c r="R106" s="1310"/>
      <c r="S106" s="1317"/>
      <c r="T106" s="1306"/>
      <c r="U106" s="1306"/>
      <c r="V106" s="1318"/>
      <c r="W106" s="1324"/>
      <c r="X106" s="1306"/>
      <c r="Y106" s="1314"/>
    </row>
    <row r="107" spans="1:27" s="1305" customFormat="1">
      <c r="A107" s="1358">
        <v>42400</v>
      </c>
      <c r="B107" s="1325" t="s">
        <v>55</v>
      </c>
      <c r="C107" s="1326">
        <f>SUM(C102:C106)</f>
        <v>1630125.02</v>
      </c>
      <c r="D107" s="1326">
        <f>SUM(D102:D106)</f>
        <v>841762.65000000014</v>
      </c>
      <c r="E107" s="1326">
        <f>SUM(E102:E106)</f>
        <v>2471887.6700000004</v>
      </c>
      <c r="F107" s="1326"/>
      <c r="G107" s="1326">
        <f>SUM(G102:G106)</f>
        <v>0</v>
      </c>
      <c r="H107" s="1326">
        <f>SUM(H102:H106)</f>
        <v>0</v>
      </c>
      <c r="I107" s="1326"/>
      <c r="J107" s="1326">
        <f>SUM(J102:J106)</f>
        <v>0</v>
      </c>
      <c r="K107" s="1326">
        <f>SUM(K102:K106)</f>
        <v>0</v>
      </c>
      <c r="L107" s="1326"/>
      <c r="M107" s="1326">
        <f>SUM(M102:M106)</f>
        <v>1630125.02</v>
      </c>
      <c r="N107" s="1326">
        <f>SUM(N102:N106)</f>
        <v>841762.65000000014</v>
      </c>
      <c r="O107" s="1327">
        <f>SUM(O102:O106)</f>
        <v>2471887.6700000004</v>
      </c>
      <c r="P107" s="1326">
        <f>SUM(P102:P106)</f>
        <v>0</v>
      </c>
      <c r="Q107" s="1327">
        <f>SUM(Q102:Q106)</f>
        <v>841762.65000000014</v>
      </c>
      <c r="R107" s="1328"/>
      <c r="S107" s="1329">
        <f>SUM(S102:S106)</f>
        <v>1630125.0200000003</v>
      </c>
      <c r="T107" s="1326">
        <f>SUM(T102:T106)</f>
        <v>932673.17545145925</v>
      </c>
      <c r="U107" s="1326">
        <f>SUM(U102:U106)</f>
        <v>142148.94091760361</v>
      </c>
      <c r="V107" s="1330">
        <f>SUM(V102:V106)</f>
        <v>555302.90363093757</v>
      </c>
      <c r="W107" s="1324"/>
      <c r="X107" s="1306">
        <f t="shared" ref="X107:X122" si="113">SUM(T107:V107)-S107</f>
        <v>0</v>
      </c>
      <c r="Y107" s="1356"/>
      <c r="Z107" s="1357"/>
      <c r="AA107" s="1357"/>
    </row>
    <row r="108" spans="1:27" s="1305" customFormat="1">
      <c r="A108" s="1304"/>
      <c r="C108" s="1306"/>
      <c r="D108" s="1343"/>
      <c r="E108" s="1306"/>
      <c r="F108" s="1306"/>
      <c r="G108" s="1306"/>
      <c r="H108" s="1306"/>
      <c r="I108" s="1306"/>
      <c r="J108" s="1306"/>
      <c r="K108" s="1306"/>
      <c r="L108" s="1306"/>
      <c r="M108" s="1306"/>
      <c r="N108" s="1306"/>
      <c r="O108" s="1316"/>
      <c r="P108" s="1306"/>
      <c r="Q108" s="1316"/>
      <c r="R108" s="1324"/>
      <c r="S108" s="1317"/>
      <c r="T108" s="1306"/>
      <c r="U108" s="1306"/>
      <c r="V108" s="1318"/>
      <c r="W108" s="1324"/>
      <c r="X108" s="1306">
        <f t="shared" si="113"/>
        <v>0</v>
      </c>
      <c r="Y108" s="1314"/>
      <c r="Z108" s="1375"/>
      <c r="AA108" s="1375"/>
    </row>
    <row r="109" spans="1:27" s="1305" customFormat="1">
      <c r="A109" s="1304">
        <v>41121</v>
      </c>
      <c r="B109" s="1305" t="s">
        <v>56</v>
      </c>
      <c r="C109" s="1306">
        <f>IFERROR(VLOOKUP(A109,'2180 IS (C)'!D:AH,31,FALSE),0)</f>
        <v>226.69</v>
      </c>
      <c r="D109" s="1306">
        <f>IFERROR(VLOOKUP(A109,'2182 IS'!D:AH,31,FALSE),0)</f>
        <v>83335.48</v>
      </c>
      <c r="E109" s="1306">
        <f t="shared" ref="E109:E122" si="114">SUM(C109:D109)</f>
        <v>83562.17</v>
      </c>
      <c r="F109" s="1306"/>
      <c r="G109" s="1308"/>
      <c r="H109" s="1306"/>
      <c r="I109" s="1306"/>
      <c r="J109" s="1306"/>
      <c r="K109" s="1308"/>
      <c r="L109" s="1306"/>
      <c r="M109" s="1306">
        <f t="shared" ref="M109:M122" si="115">C109+G109+J109</f>
        <v>226.69</v>
      </c>
      <c r="N109" s="1306">
        <f t="shared" ref="N109:N122" si="116">D109+H109+K109</f>
        <v>83335.48</v>
      </c>
      <c r="O109" s="1316">
        <f t="shared" ref="O109:O122" si="117">M109+N109</f>
        <v>83562.17</v>
      </c>
      <c r="P109" s="1306"/>
      <c r="Q109" s="1316">
        <f t="shared" ref="Q109:Q122" si="118">N109</f>
        <v>83335.48</v>
      </c>
      <c r="R109" s="1310"/>
      <c r="S109" s="1317">
        <f t="shared" ref="S109:S113" si="119">O109-Q109</f>
        <v>226.69000000000233</v>
      </c>
      <c r="T109" s="1306"/>
      <c r="U109" s="1306"/>
      <c r="V109" s="1318">
        <f>S109</f>
        <v>226.69000000000233</v>
      </c>
      <c r="W109" s="1324" t="s">
        <v>310</v>
      </c>
      <c r="X109" s="1306">
        <f t="shared" si="113"/>
        <v>0</v>
      </c>
      <c r="Y109" s="1314"/>
      <c r="Z109" s="1375"/>
      <c r="AA109" s="1375"/>
    </row>
    <row r="110" spans="1:27" s="1305" customFormat="1">
      <c r="A110" s="1304">
        <v>41129</v>
      </c>
      <c r="B110" s="1305" t="s">
        <v>57</v>
      </c>
      <c r="C110" s="1306">
        <f>IFERROR(VLOOKUP(A110,'2180 IS (C)'!D:AH,31,FALSE),0)</f>
        <v>257272.99000000002</v>
      </c>
      <c r="D110" s="1306">
        <f>IFERROR(VLOOKUP(A110,'2182 IS'!D:AH,31,FALSE),0)</f>
        <v>0</v>
      </c>
      <c r="E110" s="1306">
        <f t="shared" si="114"/>
        <v>257272.99000000002</v>
      </c>
      <c r="F110" s="1306"/>
      <c r="G110" s="1307"/>
      <c r="H110" s="1307"/>
      <c r="I110" s="1306"/>
      <c r="J110" s="1306"/>
      <c r="K110" s="1307"/>
      <c r="L110" s="1306"/>
      <c r="M110" s="1306">
        <f t="shared" si="115"/>
        <v>257272.99000000002</v>
      </c>
      <c r="N110" s="1306">
        <f t="shared" si="116"/>
        <v>0</v>
      </c>
      <c r="O110" s="1316">
        <f t="shared" si="117"/>
        <v>257272.99000000002</v>
      </c>
      <c r="P110" s="1306"/>
      <c r="Q110" s="1316">
        <f>N110</f>
        <v>0</v>
      </c>
      <c r="R110" s="1310"/>
      <c r="S110" s="1317">
        <f t="shared" si="119"/>
        <v>257272.99000000002</v>
      </c>
      <c r="T110" s="1306">
        <f>+'JE Query - 41121, 41129'!H85+'JE Query - 41121, 41129'!G85</f>
        <v>52996.348744285824</v>
      </c>
      <c r="U110" s="1306">
        <f>'JE Query - 41121, 41129'!F85</f>
        <v>12459.375</v>
      </c>
      <c r="V110" s="1318">
        <f>+'JE Query - 41121, 41129'!I85</f>
        <v>191817.26625571417</v>
      </c>
      <c r="W110" s="1324" t="s">
        <v>310</v>
      </c>
      <c r="X110" s="1306">
        <f t="shared" si="113"/>
        <v>0</v>
      </c>
      <c r="Y110" s="1368"/>
      <c r="Z110" s="1375"/>
      <c r="AA110" s="1375"/>
    </row>
    <row r="111" spans="1:27" s="1305" customFormat="1">
      <c r="A111" s="1304">
        <v>44161</v>
      </c>
      <c r="B111" s="1305" t="s">
        <v>58</v>
      </c>
      <c r="C111" s="1306">
        <f>IFERROR(VLOOKUP(A111,'2180 IS (C)'!D:AH,31,FALSE),0)</f>
        <v>70.760000000000005</v>
      </c>
      <c r="D111" s="1306">
        <f>IFERROR(VLOOKUP(A111,'2182 IS'!D:AH,31,FALSE),0)</f>
        <v>0</v>
      </c>
      <c r="E111" s="1306">
        <f t="shared" si="114"/>
        <v>70.760000000000005</v>
      </c>
      <c r="F111" s="1306"/>
      <c r="G111" s="1307"/>
      <c r="H111" s="1306"/>
      <c r="I111" s="1306"/>
      <c r="J111" s="1306"/>
      <c r="K111" s="1308"/>
      <c r="L111" s="1306"/>
      <c r="M111" s="1306">
        <f t="shared" si="115"/>
        <v>70.760000000000005</v>
      </c>
      <c r="N111" s="1306">
        <f t="shared" si="116"/>
        <v>0</v>
      </c>
      <c r="O111" s="1316">
        <f t="shared" si="117"/>
        <v>70.760000000000005</v>
      </c>
      <c r="P111" s="1306"/>
      <c r="Q111" s="1316">
        <f t="shared" si="118"/>
        <v>0</v>
      </c>
      <c r="R111" s="1310"/>
      <c r="S111" s="1317">
        <f t="shared" si="119"/>
        <v>70.760000000000005</v>
      </c>
      <c r="T111" s="1306"/>
      <c r="U111" s="1306"/>
      <c r="V111" s="1318">
        <f>S111</f>
        <v>70.760000000000005</v>
      </c>
      <c r="W111" s="1324" t="s">
        <v>310</v>
      </c>
      <c r="X111" s="1306">
        <f t="shared" si="113"/>
        <v>0</v>
      </c>
      <c r="Y111" s="1314"/>
      <c r="Z111" s="1375"/>
      <c r="AA111" s="1375"/>
    </row>
    <row r="112" spans="1:27" s="1305" customFormat="1">
      <c r="A112" s="1304">
        <v>44168</v>
      </c>
      <c r="B112" s="1305" t="s">
        <v>59</v>
      </c>
      <c r="C112" s="1306">
        <f>IFERROR(VLOOKUP(A112,'2180 IS (C)'!D:AH,31,FALSE),0)</f>
        <v>891927.97</v>
      </c>
      <c r="D112" s="1306">
        <f>IFERROR(VLOOKUP(A112,'2182 IS'!D:AH,31,FALSE),0)</f>
        <v>0</v>
      </c>
      <c r="E112" s="1306">
        <f t="shared" si="114"/>
        <v>891927.97</v>
      </c>
      <c r="F112" s="1306"/>
      <c r="G112" s="1308"/>
      <c r="H112" s="1306"/>
      <c r="I112" s="1306"/>
      <c r="J112" s="1306"/>
      <c r="K112" s="1308"/>
      <c r="L112" s="1306"/>
      <c r="M112" s="1306">
        <f t="shared" si="115"/>
        <v>891927.97</v>
      </c>
      <c r="N112" s="1306">
        <f t="shared" si="116"/>
        <v>0</v>
      </c>
      <c r="O112" s="1316">
        <f t="shared" si="117"/>
        <v>891927.97</v>
      </c>
      <c r="P112" s="1306"/>
      <c r="Q112" s="1316">
        <f t="shared" si="118"/>
        <v>0</v>
      </c>
      <c r="R112" s="1310"/>
      <c r="S112" s="1317">
        <f t="shared" si="119"/>
        <v>891927.97</v>
      </c>
      <c r="T112" s="1306">
        <f>'MF Processing'!D19</f>
        <v>60776.512800000004</v>
      </c>
      <c r="U112" s="1306">
        <f>-[43]Summary!$G$8-[43]Summary!$G$9</f>
        <v>96419.784999999989</v>
      </c>
      <c r="V112" s="1318">
        <f>+S112-U112-T112</f>
        <v>734731.67219999991</v>
      </c>
      <c r="W112" s="1324" t="s">
        <v>310</v>
      </c>
      <c r="X112" s="1306">
        <f t="shared" si="113"/>
        <v>0</v>
      </c>
      <c r="Y112" s="1368"/>
      <c r="Z112" s="1375"/>
      <c r="AA112" s="1375"/>
    </row>
    <row r="113" spans="1:27" s="1305" customFormat="1">
      <c r="A113" s="1304">
        <v>44169</v>
      </c>
      <c r="B113" s="1305" t="s">
        <v>537</v>
      </c>
      <c r="C113" s="1306">
        <f>IFERROR(VLOOKUP(A113,'2180 IS (C)'!D:AH,31,FALSE),0)</f>
        <v>4832.4000000000005</v>
      </c>
      <c r="D113" s="1306">
        <f>IFERROR(VLOOKUP(A113,'2182 IS'!D:AH,31,FALSE),0)</f>
        <v>0</v>
      </c>
      <c r="E113" s="1306">
        <f t="shared" si="114"/>
        <v>4832.4000000000005</v>
      </c>
      <c r="F113" s="1306"/>
      <c r="G113" s="1308"/>
      <c r="H113" s="1306"/>
      <c r="I113" s="1306"/>
      <c r="J113" s="1306"/>
      <c r="K113" s="1308"/>
      <c r="L113" s="1306"/>
      <c r="M113" s="1306">
        <f t="shared" si="115"/>
        <v>4832.4000000000005</v>
      </c>
      <c r="N113" s="1306">
        <f t="shared" si="116"/>
        <v>0</v>
      </c>
      <c r="O113" s="1316">
        <f t="shared" si="117"/>
        <v>4832.4000000000005</v>
      </c>
      <c r="P113" s="1306"/>
      <c r="Q113" s="1316">
        <f t="shared" si="118"/>
        <v>0</v>
      </c>
      <c r="R113" s="1310"/>
      <c r="S113" s="1317">
        <f t="shared" si="119"/>
        <v>4832.4000000000005</v>
      </c>
      <c r="T113" s="1306">
        <f>$S113*('Ratios (C)'!$C$21+'Ratios (C)'!$D$21)</f>
        <v>3503.2704241118845</v>
      </c>
      <c r="U113" s="1306">
        <f>$S113*('Ratios (C)'!$E$21+'Ratios (C)'!$F$21)</f>
        <v>29.128866113700376</v>
      </c>
      <c r="V113" s="1318">
        <f>$S113*'Ratios (C)'!$G$21</f>
        <v>1300.0007097744153</v>
      </c>
      <c r="W113" s="1324" t="s">
        <v>371</v>
      </c>
      <c r="X113" s="1306">
        <f t="shared" si="113"/>
        <v>0</v>
      </c>
      <c r="Y113" s="1368"/>
      <c r="Z113" s="1375"/>
      <c r="AA113" s="1375"/>
    </row>
    <row r="114" spans="1:27" s="1305" customFormat="1">
      <c r="A114" s="1392">
        <v>50086</v>
      </c>
      <c r="B114" s="1305" t="s">
        <v>39</v>
      </c>
      <c r="C114" s="1306">
        <f>IFERROR(VLOOKUP(A114,'2180 IS (C)'!D:AH,31,FALSE),0)</f>
        <v>158768.84</v>
      </c>
      <c r="D114" s="1306">
        <f>IFERROR(VLOOKUP(A114,'2182 IS'!D:AH,31,FALSE),0)</f>
        <v>40409.67</v>
      </c>
      <c r="E114" s="1306">
        <f t="shared" si="114"/>
        <v>199178.51</v>
      </c>
      <c r="F114" s="1306"/>
      <c r="G114" s="1306"/>
      <c r="H114" s="1306"/>
      <c r="I114" s="1306"/>
      <c r="J114" s="1306"/>
      <c r="K114" s="1306"/>
      <c r="L114" s="1306"/>
      <c r="M114" s="1306">
        <f t="shared" si="115"/>
        <v>158768.84</v>
      </c>
      <c r="N114" s="1306">
        <f t="shared" si="116"/>
        <v>40409.67</v>
      </c>
      <c r="O114" s="1316">
        <f t="shared" si="117"/>
        <v>199178.51</v>
      </c>
      <c r="P114" s="1306"/>
      <c r="Q114" s="1316">
        <f t="shared" si="118"/>
        <v>40409.67</v>
      </c>
      <c r="R114" s="1310"/>
      <c r="S114" s="1317">
        <f t="shared" ref="S114:S115" si="120">O114-Q114</f>
        <v>158768.84000000003</v>
      </c>
      <c r="T114" s="1306">
        <f>$S114*SUM('Ratios (C)'!$C$53+'Ratios (C)'!$D$53)</f>
        <v>90839.313763520215</v>
      </c>
      <c r="U114" s="1306">
        <f>$S114*('Ratios (C)'!$E$53+'Ratios (C)'!$F$53)</f>
        <v>13844.841456832839</v>
      </c>
      <c r="V114" s="1318">
        <f>$S114*'Ratios (C)'!$G$53</f>
        <v>54084.684779646988</v>
      </c>
      <c r="W114" s="1324" t="s">
        <v>370</v>
      </c>
      <c r="X114" s="1306">
        <f t="shared" si="113"/>
        <v>0</v>
      </c>
      <c r="Y114" s="1368"/>
      <c r="Z114" s="1369"/>
      <c r="AA114" s="1369"/>
    </row>
    <row r="115" spans="1:27" s="1305" customFormat="1">
      <c r="A115" s="1392">
        <v>50090</v>
      </c>
      <c r="B115" s="1305" t="s">
        <v>41</v>
      </c>
      <c r="C115" s="1306">
        <f>IFERROR(VLOOKUP(A115,'2180 IS (C)'!D:AH,31,FALSE),0)</f>
        <v>57526.079999999994</v>
      </c>
      <c r="D115" s="1306">
        <f>IFERROR(VLOOKUP(A115,'2182 IS'!D:AH,31,FALSE),0)</f>
        <v>19079.640000000003</v>
      </c>
      <c r="E115" s="1306">
        <f t="shared" si="114"/>
        <v>76605.72</v>
      </c>
      <c r="F115" s="1306"/>
      <c r="G115" s="1306"/>
      <c r="H115" s="1306"/>
      <c r="I115" s="1306"/>
      <c r="J115" s="1306"/>
      <c r="K115" s="1306"/>
      <c r="L115" s="1306"/>
      <c r="M115" s="1306">
        <f t="shared" si="115"/>
        <v>57526.079999999994</v>
      </c>
      <c r="N115" s="1306">
        <f t="shared" si="116"/>
        <v>19079.640000000003</v>
      </c>
      <c r="O115" s="1316">
        <f t="shared" si="117"/>
        <v>76605.72</v>
      </c>
      <c r="P115" s="1306"/>
      <c r="Q115" s="1316">
        <f t="shared" si="118"/>
        <v>19079.640000000003</v>
      </c>
      <c r="R115" s="1310"/>
      <c r="S115" s="1317">
        <f t="shared" si="120"/>
        <v>57526.080000000002</v>
      </c>
      <c r="T115" s="1306">
        <f>$S115*SUM('Ratios (C)'!$C$53+'Ratios (C)'!$D$53)</f>
        <v>32913.445929978225</v>
      </c>
      <c r="U115" s="1306">
        <f>$S115*('Ratios (C)'!$E$53+'Ratios (C)'!$F$53)</f>
        <v>5016.3461371455651</v>
      </c>
      <c r="V115" s="1318">
        <f>$S115*'Ratios (C)'!$G$53</f>
        <v>19596.287932876214</v>
      </c>
      <c r="W115" s="1324" t="s">
        <v>370</v>
      </c>
      <c r="X115" s="1306">
        <f t="shared" si="113"/>
        <v>0</v>
      </c>
      <c r="Y115" s="1314"/>
      <c r="Z115" s="1375"/>
      <c r="AA115" s="1375"/>
    </row>
    <row r="116" spans="1:27" s="1305" customFormat="1">
      <c r="A116" s="1392">
        <v>52185</v>
      </c>
      <c r="B116" s="1305" t="s">
        <v>60</v>
      </c>
      <c r="C116" s="1306">
        <f>IFERROR(VLOOKUP(A116,'2180 IS (C)'!D:AH,31,FALSE),0)</f>
        <v>0</v>
      </c>
      <c r="D116" s="1306">
        <f>IFERROR(VLOOKUP(A116,'2182 IS'!D:AH,31,FALSE),0)</f>
        <v>51.83</v>
      </c>
      <c r="E116" s="1306">
        <f t="shared" si="114"/>
        <v>51.83</v>
      </c>
      <c r="F116" s="1306"/>
      <c r="G116" s="1306"/>
      <c r="H116" s="1306"/>
      <c r="I116" s="1306"/>
      <c r="J116" s="1306"/>
      <c r="K116" s="1306"/>
      <c r="L116" s="1306"/>
      <c r="M116" s="1306">
        <f t="shared" si="115"/>
        <v>0</v>
      </c>
      <c r="N116" s="1306">
        <f t="shared" si="116"/>
        <v>51.83</v>
      </c>
      <c r="O116" s="1316">
        <f t="shared" si="117"/>
        <v>51.83</v>
      </c>
      <c r="P116" s="1306"/>
      <c r="Q116" s="1316">
        <f t="shared" si="118"/>
        <v>51.83</v>
      </c>
      <c r="R116" s="1310"/>
      <c r="S116" s="1317">
        <f t="shared" ref="S116:S122" si="121">O116-Q116</f>
        <v>0</v>
      </c>
      <c r="T116" s="1306">
        <f>$S116*SUM('Ratios (C)'!$C$53+'Ratios (C)'!$D$53)</f>
        <v>0</v>
      </c>
      <c r="U116" s="1306">
        <f>$S116*('Ratios (C)'!$E$53+'Ratios (C)'!$F$53)</f>
        <v>0</v>
      </c>
      <c r="V116" s="1318">
        <f>$S116*'Ratios (C)'!$G$53</f>
        <v>0</v>
      </c>
      <c r="W116" s="1324" t="s">
        <v>370</v>
      </c>
      <c r="X116" s="1306">
        <f t="shared" si="113"/>
        <v>0</v>
      </c>
      <c r="Y116" s="1314"/>
      <c r="Z116" s="1375"/>
      <c r="AA116" s="1375"/>
    </row>
    <row r="117" spans="1:27" s="1305" customFormat="1">
      <c r="A117" s="1392">
        <v>55086</v>
      </c>
      <c r="B117" s="1305" t="s">
        <v>61</v>
      </c>
      <c r="C117" s="1306">
        <f>IFERROR(VLOOKUP(A117,'2180 IS (C)'!D:AH,31,FALSE),0)</f>
        <v>4466.7299999999996</v>
      </c>
      <c r="D117" s="1306">
        <f>IFERROR(VLOOKUP(A117,'2182 IS'!D:AH,31,FALSE),0)</f>
        <v>0</v>
      </c>
      <c r="E117" s="1306">
        <f t="shared" si="114"/>
        <v>4466.7299999999996</v>
      </c>
      <c r="F117" s="1306"/>
      <c r="G117" s="1306"/>
      <c r="H117" s="1306"/>
      <c r="I117" s="1306"/>
      <c r="J117" s="1306"/>
      <c r="K117" s="1306"/>
      <c r="L117" s="1306"/>
      <c r="M117" s="1306">
        <f t="shared" si="115"/>
        <v>4466.7299999999996</v>
      </c>
      <c r="N117" s="1306">
        <f t="shared" si="116"/>
        <v>0</v>
      </c>
      <c r="O117" s="1316">
        <f t="shared" si="117"/>
        <v>4466.7299999999996</v>
      </c>
      <c r="P117" s="1306"/>
      <c r="Q117" s="1316">
        <f t="shared" si="118"/>
        <v>0</v>
      </c>
      <c r="R117" s="1310"/>
      <c r="S117" s="1317">
        <f t="shared" si="121"/>
        <v>4466.7299999999996</v>
      </c>
      <c r="T117" s="1306">
        <f>$S117*SUM('Ratios (C)'!$C$53+'Ratios (C)'!$D$53)</f>
        <v>2555.6317471799157</v>
      </c>
      <c r="U117" s="1306">
        <f>$S117*('Ratios (C)'!$E$53+'Ratios (C)'!$F$53)</f>
        <v>389.50444357015476</v>
      </c>
      <c r="V117" s="1318">
        <f>$S117*'Ratios (C)'!$G$53</f>
        <v>1521.5938092499291</v>
      </c>
      <c r="W117" s="1324" t="s">
        <v>370</v>
      </c>
      <c r="X117" s="1306">
        <f t="shared" si="113"/>
        <v>0</v>
      </c>
      <c r="Y117" s="1314"/>
      <c r="Z117" s="1375"/>
      <c r="AA117" s="1375"/>
    </row>
    <row r="118" spans="1:27" s="1305" customFormat="1">
      <c r="A118" s="1392">
        <v>55090</v>
      </c>
      <c r="B118" s="1305" t="s">
        <v>41</v>
      </c>
      <c r="C118" s="1306">
        <f>IFERROR(VLOOKUP(A118,'2180 IS (C)'!D:AH,31,FALSE),0)</f>
        <v>7228.31</v>
      </c>
      <c r="D118" s="1306">
        <f>IFERROR(VLOOKUP(A118,'2182 IS'!D:AH,31,FALSE),0)</f>
        <v>0</v>
      </c>
      <c r="E118" s="1306">
        <f t="shared" si="114"/>
        <v>7228.31</v>
      </c>
      <c r="F118" s="1306"/>
      <c r="G118" s="1306"/>
      <c r="H118" s="1306"/>
      <c r="I118" s="1306"/>
      <c r="J118" s="1306"/>
      <c r="K118" s="1306"/>
      <c r="L118" s="1306"/>
      <c r="M118" s="1306">
        <f t="shared" si="115"/>
        <v>7228.31</v>
      </c>
      <c r="N118" s="1306">
        <f t="shared" si="116"/>
        <v>0</v>
      </c>
      <c r="O118" s="1316">
        <f t="shared" si="117"/>
        <v>7228.31</v>
      </c>
      <c r="P118" s="1306"/>
      <c r="Q118" s="1316">
        <f t="shared" si="118"/>
        <v>0</v>
      </c>
      <c r="R118" s="1310"/>
      <c r="S118" s="1317">
        <f t="shared" si="121"/>
        <v>7228.31</v>
      </c>
      <c r="T118" s="1306">
        <f>$S118*SUM('Ratios (C)'!$C$53+'Ratios (C)'!$D$53)</f>
        <v>4135.6649079881836</v>
      </c>
      <c r="U118" s="1306">
        <f>$S118*('Ratios (C)'!$E$53+'Ratios (C)'!$F$53)</f>
        <v>630.31767411564738</v>
      </c>
      <c r="V118" s="1318">
        <f>$S118*'Ratios (C)'!$G$53</f>
        <v>2462.3274178961692</v>
      </c>
      <c r="W118" s="1324" t="s">
        <v>370</v>
      </c>
      <c r="X118" s="1306">
        <f t="shared" si="113"/>
        <v>0</v>
      </c>
      <c r="Y118" s="1314"/>
      <c r="Z118" s="1375"/>
      <c r="AA118" s="1375"/>
    </row>
    <row r="119" spans="1:27" s="1305" customFormat="1">
      <c r="A119" s="1392">
        <v>56090</v>
      </c>
      <c r="B119" s="1305" t="s">
        <v>40</v>
      </c>
      <c r="C119" s="1306">
        <f>IFERROR(VLOOKUP(A119,'2180 IS (C)'!D:AH,31,FALSE),0)</f>
        <v>1585.6399999999999</v>
      </c>
      <c r="D119" s="1306">
        <f>IFERROR(VLOOKUP(A119,'2182 IS'!D:AH,31,FALSE),0)</f>
        <v>298.62</v>
      </c>
      <c r="E119" s="1306">
        <f t="shared" si="114"/>
        <v>1884.2599999999998</v>
      </c>
      <c r="F119" s="1306"/>
      <c r="G119" s="1306"/>
      <c r="H119" s="1306"/>
      <c r="I119" s="1306"/>
      <c r="J119" s="1306"/>
      <c r="K119" s="1306"/>
      <c r="L119" s="1306"/>
      <c r="M119" s="1306">
        <f t="shared" si="115"/>
        <v>1585.6399999999999</v>
      </c>
      <c r="N119" s="1306">
        <f t="shared" si="116"/>
        <v>298.62</v>
      </c>
      <c r="O119" s="1316">
        <f t="shared" si="117"/>
        <v>1884.2599999999998</v>
      </c>
      <c r="P119" s="1306"/>
      <c r="Q119" s="1316">
        <f t="shared" si="118"/>
        <v>298.62</v>
      </c>
      <c r="R119" s="1310"/>
      <c r="S119" s="1317">
        <f t="shared" si="121"/>
        <v>1585.6399999999999</v>
      </c>
      <c r="T119" s="1306">
        <f>$S119*SUM('Ratios (C)'!$C$53+'Ratios (C)'!$D$53)</f>
        <v>907.22114916244368</v>
      </c>
      <c r="U119" s="1306">
        <f>$S119*('Ratios (C)'!$E$53+'Ratios (C)'!$F$53)</f>
        <v>138.26979152592168</v>
      </c>
      <c r="V119" s="1318">
        <f>$S119*'Ratios (C)'!$G$53</f>
        <v>540.14905931163457</v>
      </c>
      <c r="W119" s="1324" t="s">
        <v>370</v>
      </c>
      <c r="X119" s="1306">
        <f t="shared" si="113"/>
        <v>0</v>
      </c>
      <c r="Y119" s="1314"/>
      <c r="Z119" s="1375"/>
      <c r="AA119" s="1375"/>
    </row>
    <row r="120" spans="1:27" s="1305" customFormat="1">
      <c r="A120" s="1392">
        <v>56200</v>
      </c>
      <c r="B120" s="1305" t="s">
        <v>60</v>
      </c>
      <c r="C120" s="1306">
        <f>IFERROR(VLOOKUP(A120,'2180 IS (C)'!D:AH,31,FALSE),0)</f>
        <v>126.17</v>
      </c>
      <c r="D120" s="1306">
        <f>IFERROR(VLOOKUP(A120,'2182 IS'!D:AH,31,FALSE),0)</f>
        <v>0</v>
      </c>
      <c r="E120" s="1306">
        <f t="shared" si="114"/>
        <v>126.17</v>
      </c>
      <c r="F120" s="1306"/>
      <c r="G120" s="1306"/>
      <c r="H120" s="1306"/>
      <c r="I120" s="1306"/>
      <c r="J120" s="1306"/>
      <c r="K120" s="1306"/>
      <c r="L120" s="1306"/>
      <c r="M120" s="1306">
        <f t="shared" si="115"/>
        <v>126.17</v>
      </c>
      <c r="N120" s="1306">
        <f t="shared" si="116"/>
        <v>0</v>
      </c>
      <c r="O120" s="1316">
        <f t="shared" si="117"/>
        <v>126.17</v>
      </c>
      <c r="P120" s="1306"/>
      <c r="Q120" s="1316">
        <f t="shared" si="118"/>
        <v>0</v>
      </c>
      <c r="R120" s="1310"/>
      <c r="S120" s="1317">
        <f t="shared" si="121"/>
        <v>126.17</v>
      </c>
      <c r="T120" s="1306">
        <f>$S120*SUM('Ratios (C)'!$C$53+'Ratios (C)'!$D$53)</f>
        <v>72.187944545940766</v>
      </c>
      <c r="U120" s="1306">
        <f>$S120*('Ratios (C)'!$E$53+'Ratios (C)'!$F$53)</f>
        <v>11.002181829939671</v>
      </c>
      <c r="V120" s="1318">
        <f>$S120*'Ratios (C)'!$G$53</f>
        <v>42.979873624119563</v>
      </c>
      <c r="W120" s="1324" t="s">
        <v>370</v>
      </c>
      <c r="X120" s="1306">
        <f t="shared" si="113"/>
        <v>0</v>
      </c>
      <c r="Y120" s="1314"/>
      <c r="Z120" s="1375"/>
      <c r="AA120" s="1375"/>
    </row>
    <row r="121" spans="1:27" s="1305" customFormat="1">
      <c r="A121" s="1392">
        <v>56201</v>
      </c>
      <c r="B121" s="1305" t="s">
        <v>64</v>
      </c>
      <c r="C121" s="1306">
        <f>IFERROR(VLOOKUP(A121,'2180 IS (C)'!D:AH,31,FALSE),0)</f>
        <v>358.26</v>
      </c>
      <c r="D121" s="1306">
        <f>IFERROR(VLOOKUP(A121,'2182 IS'!D:AH,31,FALSE),0)</f>
        <v>0</v>
      </c>
      <c r="E121" s="1306">
        <f t="shared" si="114"/>
        <v>358.26</v>
      </c>
      <c r="F121" s="1306"/>
      <c r="G121" s="1306"/>
      <c r="H121" s="1306"/>
      <c r="I121" s="1306"/>
      <c r="J121" s="1306"/>
      <c r="K121" s="1306"/>
      <c r="L121" s="1306"/>
      <c r="M121" s="1306">
        <f t="shared" si="115"/>
        <v>358.26</v>
      </c>
      <c r="N121" s="1306">
        <f t="shared" si="116"/>
        <v>0</v>
      </c>
      <c r="O121" s="1316">
        <f t="shared" si="117"/>
        <v>358.26</v>
      </c>
      <c r="P121" s="1306"/>
      <c r="Q121" s="1316">
        <f t="shared" si="118"/>
        <v>0</v>
      </c>
      <c r="R121" s="1310"/>
      <c r="S121" s="1317">
        <f t="shared" si="121"/>
        <v>358.26</v>
      </c>
      <c r="T121" s="1306">
        <f>$S121*SUM('Ratios (C)'!$C$53+'Ratios (C)'!$D$53)</f>
        <v>204.97783160044972</v>
      </c>
      <c r="U121" s="1306">
        <f>$S121*('Ratios (C)'!$E$53+'Ratios (C)'!$F$53)</f>
        <v>31.240720158470211</v>
      </c>
      <c r="V121" s="1318">
        <f>$S121*'Ratios (C)'!$G$53</f>
        <v>122.04144824108009</v>
      </c>
      <c r="W121" s="1324" t="s">
        <v>370</v>
      </c>
      <c r="X121" s="1306">
        <f t="shared" si="113"/>
        <v>0</v>
      </c>
      <c r="Y121" s="1314"/>
      <c r="Z121" s="1375"/>
      <c r="AA121" s="1375"/>
    </row>
    <row r="122" spans="1:27" s="1305" customFormat="1">
      <c r="A122" s="1392">
        <v>57255</v>
      </c>
      <c r="B122" s="1305" t="s">
        <v>65</v>
      </c>
      <c r="C122" s="1306">
        <f>IFERROR(VLOOKUP(A122,'2180 IS (C)'!D:AH,31,FALSE),0)</f>
        <v>5268.2199999999993</v>
      </c>
      <c r="D122" s="1306">
        <f>IFERROR(VLOOKUP(A122,'2182 IS'!D:AH,31,FALSE),0)</f>
        <v>2380.8900000000003</v>
      </c>
      <c r="E122" s="1306">
        <f t="shared" si="114"/>
        <v>7649.11</v>
      </c>
      <c r="F122" s="1306"/>
      <c r="G122" s="1306"/>
      <c r="H122" s="1306"/>
      <c r="I122" s="1306"/>
      <c r="J122" s="1306"/>
      <c r="K122" s="1306"/>
      <c r="L122" s="1306"/>
      <c r="M122" s="1306">
        <f t="shared" si="115"/>
        <v>5268.2199999999993</v>
      </c>
      <c r="N122" s="1306">
        <f t="shared" si="116"/>
        <v>2380.8900000000003</v>
      </c>
      <c r="O122" s="1316">
        <f t="shared" si="117"/>
        <v>7649.11</v>
      </c>
      <c r="P122" s="1306"/>
      <c r="Q122" s="1316">
        <f t="shared" si="118"/>
        <v>2380.8900000000003</v>
      </c>
      <c r="R122" s="1310"/>
      <c r="S122" s="1317">
        <f t="shared" si="121"/>
        <v>5268.2199999999993</v>
      </c>
      <c r="T122" s="1306">
        <f>$S122*SUM('Ratios (C)'!$C$53+'Ratios (C)'!$D$53)</f>
        <v>3014.2028470778791</v>
      </c>
      <c r="U122" s="1306">
        <f>$S122*('Ratios (C)'!$E$53+'Ratios (C)'!$F$53)</f>
        <v>459.39537417868564</v>
      </c>
      <c r="V122" s="1318">
        <f>$S122*'Ratios (C)'!$G$53</f>
        <v>1794.6217787434346</v>
      </c>
      <c r="W122" s="1324" t="s">
        <v>370</v>
      </c>
      <c r="X122" s="1306">
        <f t="shared" si="113"/>
        <v>0</v>
      </c>
      <c r="Y122" s="1314"/>
      <c r="Z122" s="1375"/>
      <c r="AA122" s="1375"/>
    </row>
    <row r="123" spans="1:27" s="1305" customFormat="1">
      <c r="A123" s="1392"/>
      <c r="C123" s="1306"/>
      <c r="D123" s="1306"/>
      <c r="E123" s="1306"/>
      <c r="F123" s="1306"/>
      <c r="G123" s="1306"/>
      <c r="H123" s="1306"/>
      <c r="I123" s="1306"/>
      <c r="J123" s="1306"/>
      <c r="K123" s="1306"/>
      <c r="L123" s="1306"/>
      <c r="M123" s="1306"/>
      <c r="N123" s="1306"/>
      <c r="O123" s="1316"/>
      <c r="P123" s="1306"/>
      <c r="Q123" s="1316"/>
      <c r="R123" s="1310"/>
      <c r="S123" s="1317"/>
      <c r="T123" s="1306"/>
      <c r="U123" s="1306"/>
      <c r="V123" s="1318"/>
      <c r="W123" s="1324"/>
      <c r="X123" s="1306"/>
      <c r="Y123" s="1314"/>
      <c r="Z123" s="1375"/>
      <c r="AA123" s="1375"/>
    </row>
    <row r="124" spans="1:27" s="1305" customFormat="1">
      <c r="A124" s="1358">
        <v>42800</v>
      </c>
      <c r="B124" s="1325" t="s">
        <v>66</v>
      </c>
      <c r="C124" s="1326">
        <f>SUM(C109:C123)</f>
        <v>1389659.0599999998</v>
      </c>
      <c r="D124" s="1326">
        <f>SUM(D109:D123)</f>
        <v>145556.13</v>
      </c>
      <c r="E124" s="1326">
        <f>SUM(E109:E123)</f>
        <v>1535215.1900000002</v>
      </c>
      <c r="F124" s="1326"/>
      <c r="G124" s="1326">
        <f>SUM(G109:G123)</f>
        <v>0</v>
      </c>
      <c r="H124" s="1326">
        <f>SUM(H109:H123)</f>
        <v>0</v>
      </c>
      <c r="I124" s="1326"/>
      <c r="J124" s="1326">
        <f>SUM(J109:J123)</f>
        <v>0</v>
      </c>
      <c r="K124" s="1326">
        <f>SUM(K109:K123)</f>
        <v>0</v>
      </c>
      <c r="L124" s="1326"/>
      <c r="M124" s="1326">
        <f>SUM(M109:M123)</f>
        <v>1389659.0599999998</v>
      </c>
      <c r="N124" s="1326">
        <f>SUM(N109:N123)</f>
        <v>145556.13</v>
      </c>
      <c r="O124" s="1327">
        <f>SUM(O109:O123)</f>
        <v>1535215.1900000002</v>
      </c>
      <c r="P124" s="1326">
        <f>SUM(P109:P123)</f>
        <v>0</v>
      </c>
      <c r="Q124" s="1327">
        <f>SUM(Q109:Q123)</f>
        <v>145556.13</v>
      </c>
      <c r="R124" s="1328"/>
      <c r="S124" s="1329">
        <f>SUM(S109:S123)</f>
        <v>1389659.0599999998</v>
      </c>
      <c r="T124" s="1326">
        <f>SUM(T109:T123)</f>
        <v>251918.77808945096</v>
      </c>
      <c r="U124" s="1326">
        <f>SUM(U109:U123)</f>
        <v>129429.20664547091</v>
      </c>
      <c r="V124" s="1330">
        <f>SUM(V109:V123)</f>
        <v>1008311.0752650782</v>
      </c>
      <c r="W124" s="1324"/>
      <c r="X124" s="1306">
        <f t="shared" ref="X124:X148" si="122">SUM(T124:V124)-S124</f>
        <v>0</v>
      </c>
      <c r="Y124" s="1356"/>
      <c r="Z124" s="1357"/>
      <c r="AA124" s="1357"/>
    </row>
    <row r="125" spans="1:27" s="1305" customFormat="1">
      <c r="A125" s="1304"/>
      <c r="C125" s="1306"/>
      <c r="D125" s="1343"/>
      <c r="E125" s="1306"/>
      <c r="F125" s="1306"/>
      <c r="G125" s="1306"/>
      <c r="H125" s="1306"/>
      <c r="I125" s="1306"/>
      <c r="J125" s="1306"/>
      <c r="K125" s="1306"/>
      <c r="L125" s="1306"/>
      <c r="M125" s="1306"/>
      <c r="N125" s="1306"/>
      <c r="O125" s="1316"/>
      <c r="P125" s="1306"/>
      <c r="Q125" s="1316"/>
      <c r="R125" s="1324"/>
      <c r="S125" s="1317"/>
      <c r="T125" s="1306"/>
      <c r="U125" s="1306"/>
      <c r="V125" s="1318"/>
      <c r="W125" s="1324"/>
      <c r="X125" s="1306">
        <f t="shared" si="122"/>
        <v>0</v>
      </c>
      <c r="Y125" s="1368"/>
      <c r="Z125" s="1369"/>
      <c r="AA125" s="1369"/>
    </row>
    <row r="126" spans="1:27" s="1305" customFormat="1">
      <c r="A126" s="1392">
        <v>40109</v>
      </c>
      <c r="B126" s="1305" t="s">
        <v>67</v>
      </c>
      <c r="C126" s="1306">
        <f>IFERROR(VLOOKUP(A126,'2180 IS (C)'!D:AH,31,FALSE),0)</f>
        <v>25854847.329999998</v>
      </c>
      <c r="D126" s="1306">
        <f>IFERROR(VLOOKUP(A126,'2182 IS'!D:AH,31,FALSE),0)</f>
        <v>299685.27</v>
      </c>
      <c r="E126" s="1306">
        <f>SUM(C126:D126)</f>
        <v>26154532.599999998</v>
      </c>
      <c r="F126" s="1306"/>
      <c r="G126" s="1306">
        <f>-'Disposal (C)'!N85+'Restating Adj'!D31</f>
        <v>-5420631.3118999992</v>
      </c>
      <c r="H126" s="1306"/>
      <c r="I126" s="1306"/>
      <c r="J126" s="1306">
        <f>J9</f>
        <v>226646.54880000005</v>
      </c>
      <c r="K126" s="1306"/>
      <c r="L126" s="1306"/>
      <c r="M126" s="1306">
        <f t="shared" ref="M126:M128" si="123">C126+G126+J126</f>
        <v>20660862.5669</v>
      </c>
      <c r="N126" s="1306">
        <f>D126+H126+K126</f>
        <v>299685.27</v>
      </c>
      <c r="O126" s="1316">
        <f t="shared" ref="O126:O128" si="124">M126+N126</f>
        <v>20960547.8369</v>
      </c>
      <c r="P126" s="1306"/>
      <c r="Q126" s="1316">
        <f>N126</f>
        <v>299685.27</v>
      </c>
      <c r="R126" s="1310"/>
      <c r="S126" s="1317">
        <f>O126-Q126</f>
        <v>20660862.5669</v>
      </c>
      <c r="T126" s="1306">
        <f>'Restating Adj'!B31+'Disposal (C)'!N16+'Disposal (C)'!N21+'Pro forma Adj'!B57+'Disposal (C)'!N34+'Restating Adj'!C31+'Restating Adj'!C37+'Pro forma Adj'!C57+'Pro forma Adj'!C63</f>
        <v>13205213.086950002</v>
      </c>
      <c r="U126" s="1306">
        <f>'Disposal (C)'!N39</f>
        <v>1077813.7200000002</v>
      </c>
      <c r="V126" s="1306">
        <f>'Disposal (C)'!N52+'Disposal (C)'!N57+'Disposal (C)'!N82</f>
        <v>6378585.8500000006</v>
      </c>
      <c r="W126" s="1324"/>
      <c r="X126" s="1306">
        <f t="shared" si="122"/>
        <v>750.09005000442266</v>
      </c>
      <c r="Y126" s="1394" t="s">
        <v>645</v>
      </c>
      <c r="Z126" s="1369" t="s">
        <v>933</v>
      </c>
    </row>
    <row r="127" spans="1:27" s="1305" customFormat="1">
      <c r="A127" s="1392"/>
      <c r="B127" s="1305" t="s">
        <v>7</v>
      </c>
      <c r="C127" s="1306">
        <f>IFERROR(VLOOKUP(A127,'2180 IS (C)'!D:AH,31,FALSE),0)</f>
        <v>0</v>
      </c>
      <c r="D127" s="1306">
        <f>IFERROR(VLOOKUP(A127,'2182 IS'!D:AH,31,FALSE),0)</f>
        <v>0</v>
      </c>
      <c r="E127" s="1306">
        <f t="shared" ref="E127:E128" si="125">SUM(C127:D127)</f>
        <v>0</v>
      </c>
      <c r="F127" s="1306"/>
      <c r="G127" s="1306">
        <f>'Disposal (C)'!N85+'Restating Adj'!D37</f>
        <v>5581927.1788499989</v>
      </c>
      <c r="H127" s="1306"/>
      <c r="I127" s="1306"/>
      <c r="J127" s="1306">
        <f>+J15</f>
        <v>57896.198000000004</v>
      </c>
      <c r="K127" s="1306"/>
      <c r="L127" s="1306"/>
      <c r="M127" s="1306">
        <f>C127+G127+J127</f>
        <v>5639823.3768499987</v>
      </c>
      <c r="N127" s="1306">
        <f t="shared" ref="N127:N128" si="126">D127+H127+K127</f>
        <v>0</v>
      </c>
      <c r="O127" s="1316">
        <f>M127+N127</f>
        <v>5639823.3768499987</v>
      </c>
      <c r="P127" s="1306"/>
      <c r="Q127" s="1316">
        <f t="shared" ref="Q127:Q128" si="127">N127</f>
        <v>0</v>
      </c>
      <c r="R127" s="1310"/>
      <c r="S127" s="1317">
        <f t="shared" ref="S127:S128" si="128">O127-Q127</f>
        <v>5639823.3768499987</v>
      </c>
      <c r="T127" s="1306">
        <f>'Restating Adj'!B37+T15+'Pro forma Adj'!D63</f>
        <v>3335814.5460499991</v>
      </c>
      <c r="U127" s="1306"/>
      <c r="V127" s="1318">
        <f>S127-T127</f>
        <v>2304008.8307999996</v>
      </c>
      <c r="W127" s="1324"/>
      <c r="X127" s="1306">
        <f t="shared" si="122"/>
        <v>0</v>
      </c>
      <c r="Y127" s="1314"/>
      <c r="Z127" s="1375"/>
      <c r="AA127" s="1375"/>
    </row>
    <row r="128" spans="1:27" s="1305" customFormat="1">
      <c r="A128" s="1392">
        <v>40122</v>
      </c>
      <c r="B128" s="1305" t="s">
        <v>68</v>
      </c>
      <c r="C128" s="1306">
        <f>IFERROR(VLOOKUP(A128,'2180 IS (C)'!D:AH,31,FALSE),0)</f>
        <v>33914.86</v>
      </c>
      <c r="D128" s="1306">
        <f>IFERROR(VLOOKUP(A128,'2182 IS'!D:AH,31,FALSE),0)</f>
        <v>700.24</v>
      </c>
      <c r="E128" s="1306">
        <f t="shared" si="125"/>
        <v>34615.1</v>
      </c>
      <c r="F128" s="1306"/>
      <c r="G128" s="1306"/>
      <c r="H128" s="1306"/>
      <c r="I128" s="1306"/>
      <c r="J128" s="1306"/>
      <c r="K128" s="1306"/>
      <c r="L128" s="1306"/>
      <c r="M128" s="1306">
        <f t="shared" si="123"/>
        <v>33914.86</v>
      </c>
      <c r="N128" s="1306">
        <f t="shared" si="126"/>
        <v>700.24</v>
      </c>
      <c r="O128" s="1316">
        <f t="shared" si="124"/>
        <v>34615.1</v>
      </c>
      <c r="P128" s="1306"/>
      <c r="Q128" s="1316">
        <f t="shared" si="127"/>
        <v>700.24</v>
      </c>
      <c r="R128" s="1310"/>
      <c r="S128" s="1317">
        <f t="shared" si="128"/>
        <v>33914.86</v>
      </c>
      <c r="T128" s="1306"/>
      <c r="U128" s="1306">
        <f>-[43]Summary!$G$7</f>
        <v>13066.21</v>
      </c>
      <c r="V128" s="1318">
        <f>+S128-U128</f>
        <v>20848.650000000001</v>
      </c>
      <c r="W128" s="1324"/>
      <c r="X128" s="1306">
        <f t="shared" si="122"/>
        <v>0</v>
      </c>
      <c r="Y128" s="1395"/>
      <c r="Z128" s="1375"/>
      <c r="AA128" s="1375"/>
    </row>
    <row r="129" spans="1:27" s="1305" customFormat="1">
      <c r="A129" s="1358">
        <v>43600</v>
      </c>
      <c r="B129" s="1325" t="s">
        <v>69</v>
      </c>
      <c r="C129" s="1326">
        <f>SUM(C126:C128)</f>
        <v>25888762.189999998</v>
      </c>
      <c r="D129" s="1326">
        <f>SUM(D126:D128)</f>
        <v>300385.51</v>
      </c>
      <c r="E129" s="1326">
        <f>SUM(E126:E128)</f>
        <v>26189147.699999999</v>
      </c>
      <c r="F129" s="1326"/>
      <c r="G129" s="1326">
        <f>SUM(G126:G128)</f>
        <v>161295.8669499997</v>
      </c>
      <c r="H129" s="1326">
        <f>SUM(H126:H128)</f>
        <v>0</v>
      </c>
      <c r="I129" s="1326"/>
      <c r="J129" s="1326">
        <f>SUM(J126:J128)</f>
        <v>284542.74680000008</v>
      </c>
      <c r="K129" s="1326">
        <f>SUM(K126:K128)</f>
        <v>0</v>
      </c>
      <c r="L129" s="1326"/>
      <c r="M129" s="1326">
        <f>SUM(M126:M128)</f>
        <v>26334600.803749997</v>
      </c>
      <c r="N129" s="1326">
        <f>SUM(N126:N128)</f>
        <v>300385.51</v>
      </c>
      <c r="O129" s="1327">
        <f>SUM(O126:O128)</f>
        <v>26634986.313749999</v>
      </c>
      <c r="P129" s="1326">
        <f>SUM(P126:P128)</f>
        <v>0</v>
      </c>
      <c r="Q129" s="1327">
        <f>SUM(Q126:Q128)</f>
        <v>300385.51</v>
      </c>
      <c r="R129" s="1328"/>
      <c r="S129" s="1329">
        <f>SUM(S126:S128)</f>
        <v>26334600.803749997</v>
      </c>
      <c r="T129" s="1326">
        <f>SUM(T126:T128)</f>
        <v>16541027.633000001</v>
      </c>
      <c r="U129" s="1326">
        <f>SUM(U126:U128)</f>
        <v>1090879.9300000002</v>
      </c>
      <c r="V129" s="1330">
        <f>SUM(V126:V128)</f>
        <v>8703443.3308000006</v>
      </c>
      <c r="W129" s="1324"/>
      <c r="X129" s="1306">
        <f t="shared" si="122"/>
        <v>750.09005000442266</v>
      </c>
      <c r="Y129" s="1356"/>
      <c r="Z129" s="1357"/>
      <c r="AA129" s="1357"/>
    </row>
    <row r="130" spans="1:27" s="1305" customFormat="1">
      <c r="A130" s="1362"/>
      <c r="B130" s="1325"/>
      <c r="C130" s="1326"/>
      <c r="D130" s="1343"/>
      <c r="E130" s="1326"/>
      <c r="F130" s="1326"/>
      <c r="G130" s="1326"/>
      <c r="H130" s="1326"/>
      <c r="I130" s="1326"/>
      <c r="J130" s="1326"/>
      <c r="K130" s="1326"/>
      <c r="L130" s="1326"/>
      <c r="M130" s="1326"/>
      <c r="N130" s="1326"/>
      <c r="O130" s="1327"/>
      <c r="P130" s="1326"/>
      <c r="Q130" s="1327"/>
      <c r="R130" s="1371"/>
      <c r="S130" s="1329"/>
      <c r="T130" s="1326"/>
      <c r="U130" s="1306"/>
      <c r="V130" s="1318"/>
      <c r="W130" s="1324"/>
      <c r="X130" s="1306">
        <f t="shared" si="122"/>
        <v>0</v>
      </c>
      <c r="Y130" s="1314"/>
      <c r="Z130" s="1375"/>
      <c r="AA130" s="1375"/>
    </row>
    <row r="131" spans="1:27" s="1305" customFormat="1">
      <c r="A131" s="1362"/>
      <c r="B131" s="1325"/>
      <c r="C131" s="1326"/>
      <c r="D131" s="1343"/>
      <c r="E131" s="1326"/>
      <c r="F131" s="1326"/>
      <c r="G131" s="1326"/>
      <c r="H131" s="1326"/>
      <c r="I131" s="1326"/>
      <c r="J131" s="1326"/>
      <c r="K131" s="1326"/>
      <c r="L131" s="1326"/>
      <c r="M131" s="1326"/>
      <c r="N131" s="1326"/>
      <c r="O131" s="1327"/>
      <c r="P131" s="1326"/>
      <c r="Q131" s="1327"/>
      <c r="R131" s="1371"/>
      <c r="S131" s="1329"/>
      <c r="T131" s="1326"/>
      <c r="U131" s="1306"/>
      <c r="V131" s="1318"/>
      <c r="W131" s="1324"/>
      <c r="X131" s="1306">
        <f t="shared" si="122"/>
        <v>0</v>
      </c>
      <c r="Y131" s="1314"/>
    </row>
    <row r="132" spans="1:27" s="1305" customFormat="1">
      <c r="A132" s="1304">
        <v>60010</v>
      </c>
      <c r="B132" s="1305" t="s">
        <v>17</v>
      </c>
      <c r="C132" s="1306">
        <f>IFERROR(VLOOKUP(A132,'2180 IS (C)'!D:AH,31,FALSE),0)</f>
        <v>87680.719999999972</v>
      </c>
      <c r="D132" s="1306">
        <f>IFERROR(VLOOKUP(A132,'2182 IS'!D:AH,31,FALSE),0)</f>
        <v>0</v>
      </c>
      <c r="E132" s="1306">
        <f t="shared" ref="E132:E135" si="129">SUM(C132:D132)</f>
        <v>87680.719999999972</v>
      </c>
      <c r="F132" s="1306"/>
      <c r="G132" s="1306"/>
      <c r="H132" s="1306"/>
      <c r="I132" s="1306"/>
      <c r="J132" s="1306">
        <f>'Pro forma Adj'!B21</f>
        <v>2867.9524951923013</v>
      </c>
      <c r="K132" s="1306"/>
      <c r="L132" s="1306"/>
      <c r="M132" s="1306">
        <f t="shared" ref="M132:M135" si="130">C132+G132+J132</f>
        <v>90548.672495192266</v>
      </c>
      <c r="N132" s="1306">
        <f t="shared" ref="N132:N135" si="131">D132+H132+K132</f>
        <v>0</v>
      </c>
      <c r="O132" s="1316">
        <f t="shared" ref="O132:O135" si="132">M132+N132</f>
        <v>90548.672495192266</v>
      </c>
      <c r="P132" s="1326"/>
      <c r="Q132" s="1316">
        <f t="shared" ref="Q132:Q135" si="133">N132</f>
        <v>0</v>
      </c>
      <c r="R132" s="1310"/>
      <c r="S132" s="1317">
        <f t="shared" ref="S132" si="134">O132-Q132</f>
        <v>90548.672495192266</v>
      </c>
      <c r="T132" s="1306">
        <f>$S132*('Ratios (C)'!$C$21+'Ratios (C)'!$D$21)</f>
        <v>65643.673184132174</v>
      </c>
      <c r="U132" s="1306">
        <f>$S132*('Ratios (C)'!$E$21+'Ratios (C)'!$F$21)</f>
        <v>545.81163767191435</v>
      </c>
      <c r="V132" s="1318">
        <f>$S132*'Ratios (C)'!$G$21</f>
        <v>24359.187673388176</v>
      </c>
      <c r="W132" s="1324" t="s">
        <v>371</v>
      </c>
      <c r="X132" s="1306">
        <f t="shared" si="122"/>
        <v>0</v>
      </c>
      <c r="Y132" s="1368"/>
      <c r="Z132" s="1375"/>
      <c r="AA132" s="1375"/>
    </row>
    <row r="133" spans="1:27" s="1305" customFormat="1">
      <c r="A133" s="1304">
        <v>60060</v>
      </c>
      <c r="B133" s="1305" t="s">
        <v>70</v>
      </c>
      <c r="C133" s="1306">
        <f>IFERROR(VLOOKUP(A133,'2180 IS (C)'!D:AH,31,FALSE),0)</f>
        <v>12185.829999999998</v>
      </c>
      <c r="D133" s="1306">
        <f>IFERROR(VLOOKUP(A133,'2182 IS'!D:AH,31,FALSE),0)</f>
        <v>0</v>
      </c>
      <c r="E133" s="1306">
        <f t="shared" si="129"/>
        <v>12185.829999999998</v>
      </c>
      <c r="F133" s="1306"/>
      <c r="G133" s="1306"/>
      <c r="H133" s="1306"/>
      <c r="I133" s="1306"/>
      <c r="J133" s="1306"/>
      <c r="K133" s="1306"/>
      <c r="L133" s="1306"/>
      <c r="M133" s="1306">
        <f t="shared" si="130"/>
        <v>12185.829999999998</v>
      </c>
      <c r="N133" s="1306">
        <f t="shared" si="131"/>
        <v>0</v>
      </c>
      <c r="O133" s="1316">
        <f t="shared" si="132"/>
        <v>12185.829999999998</v>
      </c>
      <c r="P133" s="1326"/>
      <c r="Q133" s="1316">
        <f t="shared" si="133"/>
        <v>0</v>
      </c>
      <c r="R133" s="1310"/>
      <c r="S133" s="1317">
        <f t="shared" ref="S133:S136" si="135">O133-Q133</f>
        <v>12185.829999999998</v>
      </c>
      <c r="T133" s="1306">
        <f>$S133*('Ratios (C)'!$C$21+'Ratios (C)'!$D$21)</f>
        <v>8834.173046986034</v>
      </c>
      <c r="U133" s="1306">
        <f>$S133*('Ratios (C)'!$E$21+'Ratios (C)'!$F$21)</f>
        <v>73.454062278435842</v>
      </c>
      <c r="V133" s="1318">
        <f>$S133*'Ratios (C)'!$G$21</f>
        <v>3278.202890735527</v>
      </c>
      <c r="W133" s="1324" t="s">
        <v>371</v>
      </c>
      <c r="X133" s="1306">
        <f t="shared" si="122"/>
        <v>0</v>
      </c>
      <c r="Y133" s="1314"/>
      <c r="Z133" s="1375"/>
      <c r="AA133" s="1375"/>
    </row>
    <row r="134" spans="1:27" s="1305" customFormat="1">
      <c r="A134" s="1304">
        <v>60070</v>
      </c>
      <c r="B134" s="1305" t="s">
        <v>23</v>
      </c>
      <c r="C134" s="1306">
        <f>IFERROR(VLOOKUP(A134,'2180 IS (C)'!D:AH,31,FALSE),0)</f>
        <v>121.57</v>
      </c>
      <c r="D134" s="1306">
        <f>IFERROR(VLOOKUP(A134,'2182 IS'!D:AH,31,FALSE),0)</f>
        <v>0</v>
      </c>
      <c r="E134" s="1306">
        <f t="shared" si="129"/>
        <v>121.57</v>
      </c>
      <c r="F134" s="1306"/>
      <c r="G134" s="1306"/>
      <c r="H134" s="1306"/>
      <c r="I134" s="1306"/>
      <c r="J134" s="1306"/>
      <c r="K134" s="1306"/>
      <c r="L134" s="1306"/>
      <c r="M134" s="1306">
        <f t="shared" si="130"/>
        <v>121.57</v>
      </c>
      <c r="N134" s="1306">
        <f t="shared" si="131"/>
        <v>0</v>
      </c>
      <c r="O134" s="1316">
        <f t="shared" si="132"/>
        <v>121.57</v>
      </c>
      <c r="P134" s="1326"/>
      <c r="Q134" s="1316">
        <f t="shared" si="133"/>
        <v>0</v>
      </c>
      <c r="R134" s="1310"/>
      <c r="S134" s="1317">
        <f t="shared" si="135"/>
        <v>121.57</v>
      </c>
      <c r="T134" s="1306">
        <f>$S134*('Ratios (C)'!$C$21+'Ratios (C)'!$D$21)</f>
        <v>88.132726069713129</v>
      </c>
      <c r="U134" s="1306">
        <f>$S134*('Ratios (C)'!$E$21+'Ratios (C)'!$F$21)</f>
        <v>0.73280280056339586</v>
      </c>
      <c r="V134" s="1318">
        <f>$S134*'Ratios (C)'!$G$21</f>
        <v>32.704471129723458</v>
      </c>
      <c r="W134" s="1324" t="s">
        <v>371</v>
      </c>
      <c r="X134" s="1306">
        <f t="shared" si="122"/>
        <v>0</v>
      </c>
      <c r="Y134" s="1314"/>
      <c r="Z134" s="1375"/>
      <c r="AA134" s="1375"/>
    </row>
    <row r="135" spans="1:27" s="1305" customFormat="1">
      <c r="A135" s="1392">
        <v>60201</v>
      </c>
      <c r="B135" s="1305" t="s">
        <v>72</v>
      </c>
      <c r="C135" s="1306">
        <f>IFERROR(VLOOKUP(A135,'2180 IS (C)'!D:AH,31,FALSE),0)</f>
        <v>40.099999999999994</v>
      </c>
      <c r="D135" s="1306">
        <f>IFERROR(VLOOKUP(A135,'2182 IS'!D:AH,31,FALSE),0)</f>
        <v>0</v>
      </c>
      <c r="E135" s="1306">
        <f t="shared" si="129"/>
        <v>40.099999999999994</v>
      </c>
      <c r="F135" s="1306"/>
      <c r="G135" s="1306"/>
      <c r="H135" s="1306"/>
      <c r="I135" s="1306"/>
      <c r="J135" s="1306"/>
      <c r="K135" s="1306"/>
      <c r="L135" s="1306"/>
      <c r="M135" s="1306">
        <f t="shared" si="130"/>
        <v>40.099999999999994</v>
      </c>
      <c r="N135" s="1306">
        <f t="shared" si="131"/>
        <v>0</v>
      </c>
      <c r="O135" s="1316">
        <f t="shared" si="132"/>
        <v>40.099999999999994</v>
      </c>
      <c r="P135" s="1326"/>
      <c r="Q135" s="1316">
        <f t="shared" si="133"/>
        <v>0</v>
      </c>
      <c r="R135" s="1310"/>
      <c r="S135" s="1317">
        <f t="shared" si="135"/>
        <v>40.099999999999994</v>
      </c>
      <c r="T135" s="1306">
        <f>$S135*('Ratios (C)'!$C$21+'Ratios (C)'!$D$21)</f>
        <v>29.070677925437987</v>
      </c>
      <c r="U135" s="1306">
        <f>$S135*('Ratios (C)'!$E$21+'Ratios (C)'!$F$21)</f>
        <v>0.24171582053625212</v>
      </c>
      <c r="V135" s="1318">
        <f>$S135*'Ratios (C)'!$G$21</f>
        <v>10.787606254025752</v>
      </c>
      <c r="W135" s="1324" t="s">
        <v>371</v>
      </c>
      <c r="X135" s="1306">
        <f t="shared" si="122"/>
        <v>0</v>
      </c>
      <c r="Y135" s="1368"/>
      <c r="Z135" s="1369"/>
      <c r="AA135" s="1369"/>
    </row>
    <row r="136" spans="1:27" s="1305" customFormat="1">
      <c r="A136" s="1392">
        <v>60196</v>
      </c>
      <c r="B136" s="1305" t="s">
        <v>128</v>
      </c>
      <c r="C136" s="1306">
        <f>IFERROR(VLOOKUP(A136,'2180 IS (C)'!D:AH,31,FALSE),0)</f>
        <v>6333.18</v>
      </c>
      <c r="D136" s="1306">
        <f>IFERROR(VLOOKUP(A136,'2182 IS'!D:AH,31,FALSE),0)</f>
        <v>0</v>
      </c>
      <c r="E136" s="1306">
        <f t="shared" ref="E136" si="136">SUM(C136:D136)</f>
        <v>6333.18</v>
      </c>
      <c r="F136" s="1306"/>
      <c r="G136" s="1306"/>
      <c r="H136" s="1306"/>
      <c r="I136" s="1306"/>
      <c r="J136" s="1306"/>
      <c r="K136" s="1306"/>
      <c r="L136" s="1306"/>
      <c r="M136" s="1306">
        <f t="shared" ref="M136" si="137">C136+G136+J136</f>
        <v>6333.18</v>
      </c>
      <c r="N136" s="1306">
        <f t="shared" ref="N136" si="138">D136+H136+K136</f>
        <v>0</v>
      </c>
      <c r="O136" s="1316">
        <f t="shared" ref="O136" si="139">M136+N136</f>
        <v>6333.18</v>
      </c>
      <c r="P136" s="1326"/>
      <c r="Q136" s="1316">
        <f t="shared" ref="Q136" si="140">N136</f>
        <v>0</v>
      </c>
      <c r="R136" s="1310"/>
      <c r="S136" s="1317">
        <f t="shared" si="135"/>
        <v>6333.18</v>
      </c>
      <c r="T136" s="1306">
        <f>$S136*('Ratios (C)'!$C$21+'Ratios (C)'!$D$21)</f>
        <v>4591.2677312674659</v>
      </c>
      <c r="U136" s="1306">
        <f>$S136*('Ratios (C)'!$E$21+'Ratios (C)'!$F$21)</f>
        <v>38.175306740742677</v>
      </c>
      <c r="V136" s="1318">
        <f>$S136*'Ratios (C)'!$G$21</f>
        <v>1703.7369619917911</v>
      </c>
      <c r="W136" s="1324" t="s">
        <v>371</v>
      </c>
      <c r="X136" s="1306">
        <f t="shared" si="122"/>
        <v>0</v>
      </c>
      <c r="Y136" s="1368"/>
      <c r="Z136" s="1369"/>
      <c r="AA136" s="1369"/>
    </row>
    <row r="137" spans="1:27" s="1305" customFormat="1">
      <c r="A137" s="1358">
        <v>44000</v>
      </c>
      <c r="B137" s="1325" t="s">
        <v>73</v>
      </c>
      <c r="C137" s="1326">
        <f>SUM(C132:C136)</f>
        <v>106361.4</v>
      </c>
      <c r="D137" s="1326">
        <f>SUM(D132:D136)</f>
        <v>0</v>
      </c>
      <c r="E137" s="1326">
        <f>SUM(E132:E136)</f>
        <v>106361.4</v>
      </c>
      <c r="F137" s="1326"/>
      <c r="G137" s="1326">
        <f>SUM(G132:G136)</f>
        <v>0</v>
      </c>
      <c r="H137" s="1326">
        <f>SUM(H132:H136)</f>
        <v>0</v>
      </c>
      <c r="I137" s="1326"/>
      <c r="J137" s="1326">
        <f>SUM(J132:J136)</f>
        <v>2867.9524951923013</v>
      </c>
      <c r="K137" s="1326">
        <f>SUM(K132:K136)</f>
        <v>0</v>
      </c>
      <c r="L137" s="1326"/>
      <c r="M137" s="1326">
        <f>SUM(M132:M136)</f>
        <v>109229.35249519229</v>
      </c>
      <c r="N137" s="1326">
        <f>SUM(N132:N136)</f>
        <v>0</v>
      </c>
      <c r="O137" s="1327">
        <f>SUM(O132:O136)</f>
        <v>109229.35249519229</v>
      </c>
      <c r="P137" s="1326">
        <f>SUM(P132:P136)</f>
        <v>0</v>
      </c>
      <c r="Q137" s="1327">
        <f>SUM(Q132:Q136)</f>
        <v>0</v>
      </c>
      <c r="R137" s="1328"/>
      <c r="S137" s="1329">
        <f>SUM(S132:S136)</f>
        <v>109229.35249519229</v>
      </c>
      <c r="T137" s="1326">
        <f>SUM(T132:T136)</f>
        <v>79186.317366380827</v>
      </c>
      <c r="U137" s="1326">
        <f>SUM(U132:U136)</f>
        <v>658.41552531219247</v>
      </c>
      <c r="V137" s="1330">
        <f>SUM(V132:V136)</f>
        <v>29384.619603499246</v>
      </c>
      <c r="W137" s="1324"/>
      <c r="X137" s="1306">
        <f t="shared" si="122"/>
        <v>0</v>
      </c>
      <c r="Y137" s="1356"/>
      <c r="Z137" s="1357"/>
      <c r="AA137" s="1357"/>
    </row>
    <row r="138" spans="1:27" s="1305" customFormat="1">
      <c r="A138" s="1362"/>
      <c r="B138" s="1325"/>
      <c r="C138" s="1326"/>
      <c r="D138" s="1343"/>
      <c r="E138" s="1326"/>
      <c r="F138" s="1326"/>
      <c r="G138" s="1326"/>
      <c r="H138" s="1326"/>
      <c r="I138" s="1326"/>
      <c r="J138" s="1326"/>
      <c r="K138" s="1326"/>
      <c r="L138" s="1326"/>
      <c r="M138" s="1326"/>
      <c r="N138" s="1326"/>
      <c r="O138" s="1327"/>
      <c r="P138" s="1326"/>
      <c r="Q138" s="1327"/>
      <c r="R138" s="1371"/>
      <c r="S138" s="1329"/>
      <c r="T138" s="1326"/>
      <c r="U138" s="1306"/>
      <c r="V138" s="1318"/>
      <c r="W138" s="1324"/>
      <c r="X138" s="1306">
        <f t="shared" si="122"/>
        <v>0</v>
      </c>
      <c r="Y138" s="1314"/>
    </row>
    <row r="139" spans="1:27" s="1305" customFormat="1">
      <c r="A139" s="1392">
        <v>43002</v>
      </c>
      <c r="B139" s="1305" t="s">
        <v>74</v>
      </c>
      <c r="C139" s="1306">
        <f>IFERROR(VLOOKUP(A139,'2180 IS (C)'!D:AH,31,FALSE),0)</f>
        <v>208613.93</v>
      </c>
      <c r="D139" s="1306">
        <f>IFERROR(VLOOKUP(A139,'2182 IS'!D:AH,31,FALSE),0)</f>
        <v>0</v>
      </c>
      <c r="E139" s="1306">
        <f t="shared" ref="E139" si="141">SUM(C139:D139)</f>
        <v>208613.93</v>
      </c>
      <c r="F139" s="1306"/>
      <c r="G139" s="1307"/>
      <c r="H139" s="1306"/>
      <c r="I139" s="1306"/>
      <c r="J139" s="1306"/>
      <c r="K139" s="1308"/>
      <c r="L139" s="1306"/>
      <c r="M139" s="1306">
        <f t="shared" ref="M139" si="142">C139+G139+J139</f>
        <v>208613.93</v>
      </c>
      <c r="N139" s="1306">
        <f t="shared" ref="N139" si="143">D139+H139+K139</f>
        <v>0</v>
      </c>
      <c r="O139" s="1316">
        <f t="shared" ref="O139" si="144">M139+N139</f>
        <v>208613.93</v>
      </c>
      <c r="P139" s="1306"/>
      <c r="Q139" s="1316"/>
      <c r="R139" s="1310"/>
      <c r="S139" s="1317">
        <f>O139-Q139</f>
        <v>208613.93</v>
      </c>
      <c r="T139" s="1306">
        <f>$S$139*(T26/SUM($T$26:$U$26))</f>
        <v>186284.30521598132</v>
      </c>
      <c r="U139" s="1306">
        <f>$S$139*(U26/SUM($T$26:$U$26))</f>
        <v>22329.624784018684</v>
      </c>
      <c r="V139" s="1318"/>
      <c r="W139" s="1324" t="s">
        <v>646</v>
      </c>
      <c r="X139" s="1306">
        <f t="shared" si="122"/>
        <v>0</v>
      </c>
      <c r="Y139" s="1376"/>
    </row>
    <row r="140" spans="1:27" s="1305" customFormat="1">
      <c r="A140" s="1358">
        <v>44300</v>
      </c>
      <c r="B140" s="1325" t="s">
        <v>75</v>
      </c>
      <c r="C140" s="1326">
        <f>SUM(C139)</f>
        <v>208613.93</v>
      </c>
      <c r="D140" s="1326">
        <f t="shared" ref="D140:V140" si="145">SUM(D139)</f>
        <v>0</v>
      </c>
      <c r="E140" s="1326">
        <f t="shared" si="145"/>
        <v>208613.93</v>
      </c>
      <c r="F140" s="1326"/>
      <c r="G140" s="1326">
        <f t="shared" si="145"/>
        <v>0</v>
      </c>
      <c r="H140" s="1326">
        <f t="shared" si="145"/>
        <v>0</v>
      </c>
      <c r="I140" s="1326"/>
      <c r="J140" s="1326">
        <f t="shared" si="145"/>
        <v>0</v>
      </c>
      <c r="K140" s="1326">
        <f t="shared" si="145"/>
        <v>0</v>
      </c>
      <c r="L140" s="1326"/>
      <c r="M140" s="1326">
        <f t="shared" si="145"/>
        <v>208613.93</v>
      </c>
      <c r="N140" s="1326">
        <f t="shared" si="145"/>
        <v>0</v>
      </c>
      <c r="O140" s="1327">
        <f t="shared" si="145"/>
        <v>208613.93</v>
      </c>
      <c r="P140" s="1326">
        <f t="shared" si="145"/>
        <v>0</v>
      </c>
      <c r="Q140" s="1327">
        <f t="shared" si="145"/>
        <v>0</v>
      </c>
      <c r="R140" s="1328"/>
      <c r="S140" s="1329">
        <f t="shared" si="145"/>
        <v>208613.93</v>
      </c>
      <c r="T140" s="1326">
        <f t="shared" si="145"/>
        <v>186284.30521598132</v>
      </c>
      <c r="U140" s="1326">
        <f t="shared" si="145"/>
        <v>22329.624784018684</v>
      </c>
      <c r="V140" s="1330">
        <f t="shared" si="145"/>
        <v>0</v>
      </c>
      <c r="W140" s="1324"/>
      <c r="X140" s="1306">
        <f t="shared" si="122"/>
        <v>0</v>
      </c>
      <c r="Y140" s="1356"/>
      <c r="Z140" s="1357"/>
      <c r="AA140" s="1357"/>
    </row>
    <row r="141" spans="1:27" s="1305" customFormat="1">
      <c r="A141" s="1304"/>
      <c r="C141" s="1306"/>
      <c r="D141" s="1343"/>
      <c r="E141" s="1306"/>
      <c r="F141" s="1306"/>
      <c r="G141" s="1306"/>
      <c r="H141" s="1306"/>
      <c r="I141" s="1306"/>
      <c r="J141" s="1306"/>
      <c r="K141" s="1306"/>
      <c r="L141" s="1306"/>
      <c r="M141" s="1306"/>
      <c r="N141" s="1306"/>
      <c r="O141" s="1316"/>
      <c r="P141" s="1306"/>
      <c r="Q141" s="1316"/>
      <c r="R141" s="1324"/>
      <c r="S141" s="1317"/>
      <c r="T141" s="1306"/>
      <c r="U141" s="1306"/>
      <c r="V141" s="1318"/>
      <c r="W141" s="1324"/>
      <c r="X141" s="1306">
        <f t="shared" si="122"/>
        <v>0</v>
      </c>
      <c r="Y141" s="1314"/>
      <c r="Z141" s="1353"/>
      <c r="AA141" s="1353"/>
    </row>
    <row r="142" spans="1:27" s="1305" customFormat="1">
      <c r="A142" s="1392">
        <v>60225</v>
      </c>
      <c r="B142" s="1305" t="s">
        <v>77</v>
      </c>
      <c r="C142" s="1306">
        <f>IFERROR(VLOOKUP(A142,'2180 IS (C)'!D:AH,31,FALSE),0)</f>
        <v>3344.42</v>
      </c>
      <c r="D142" s="1306">
        <f>IFERROR(VLOOKUP(A142,'2182 IS'!D:AH,31,FALSE),0)</f>
        <v>0</v>
      </c>
      <c r="E142" s="1306">
        <f t="shared" ref="E142:E143" si="146">SUM(C142:D142)</f>
        <v>3344.42</v>
      </c>
      <c r="F142" s="1306"/>
      <c r="G142" s="1306"/>
      <c r="H142" s="1306"/>
      <c r="I142" s="1306"/>
      <c r="J142" s="1306"/>
      <c r="K142" s="1306"/>
      <c r="L142" s="1306"/>
      <c r="M142" s="1306">
        <f t="shared" ref="M142:M143" si="147">C142+G142+J142</f>
        <v>3344.42</v>
      </c>
      <c r="N142" s="1306">
        <f t="shared" ref="N142:N143" si="148">D142+H142+K142</f>
        <v>0</v>
      </c>
      <c r="O142" s="1316">
        <f t="shared" ref="O142:O143" si="149">M142+N142</f>
        <v>3344.42</v>
      </c>
      <c r="P142" s="1306"/>
      <c r="Q142" s="1316">
        <f t="shared" ref="Q142" si="150">N142</f>
        <v>0</v>
      </c>
      <c r="R142" s="1310"/>
      <c r="S142" s="1317">
        <f t="shared" ref="S142:S143" si="151">O142-Q142</f>
        <v>3344.42</v>
      </c>
      <c r="T142" s="1306">
        <f>$S142*'Ratios (C)'!$C$22</f>
        <v>2470.4814135092297</v>
      </c>
      <c r="U142" s="1306"/>
      <c r="V142" s="1318">
        <f>S142-T142</f>
        <v>873.93858649077038</v>
      </c>
      <c r="W142" s="1324" t="s">
        <v>375</v>
      </c>
      <c r="X142" s="1306">
        <f t="shared" si="122"/>
        <v>0</v>
      </c>
      <c r="Y142" s="1314"/>
      <c r="Z142" s="1375"/>
      <c r="AA142" s="1375"/>
    </row>
    <row r="143" spans="1:27" s="1305" customFormat="1">
      <c r="A143" s="1392">
        <v>70225</v>
      </c>
      <c r="B143" s="1305" t="s">
        <v>78</v>
      </c>
      <c r="C143" s="1306">
        <f>IFERROR(VLOOKUP(A143,'2180 IS (C)'!D:AH,31,FALSE),0)</f>
        <v>120.47</v>
      </c>
      <c r="D143" s="1306">
        <f>IFERROR(VLOOKUP(A143,'2182 IS'!D:AH,31,FALSE),0)</f>
        <v>120.47</v>
      </c>
      <c r="E143" s="1306">
        <f t="shared" si="146"/>
        <v>240.94</v>
      </c>
      <c r="F143" s="1306"/>
      <c r="G143" s="1306"/>
      <c r="H143" s="1306"/>
      <c r="I143" s="1306"/>
      <c r="J143" s="1306"/>
      <c r="K143" s="1306"/>
      <c r="L143" s="1306"/>
      <c r="M143" s="1306">
        <f t="shared" si="147"/>
        <v>120.47</v>
      </c>
      <c r="N143" s="1306">
        <f t="shared" si="148"/>
        <v>120.47</v>
      </c>
      <c r="O143" s="1316">
        <f t="shared" si="149"/>
        <v>240.94</v>
      </c>
      <c r="P143" s="1306"/>
      <c r="Q143" s="1316">
        <f t="shared" ref="Q143" si="152">N143</f>
        <v>120.47</v>
      </c>
      <c r="R143" s="1310"/>
      <c r="S143" s="1317">
        <f t="shared" si="151"/>
        <v>120.47</v>
      </c>
      <c r="T143" s="1306">
        <f>$S143*'Ratios (C)'!$C$22</f>
        <v>88.989689059824087</v>
      </c>
      <c r="U143" s="1306"/>
      <c r="V143" s="1318">
        <f>S143-T143</f>
        <v>31.480310940175912</v>
      </c>
      <c r="W143" s="1324" t="s">
        <v>375</v>
      </c>
      <c r="X143" s="1306">
        <f t="shared" si="122"/>
        <v>0</v>
      </c>
      <c r="Y143" s="1314"/>
      <c r="Z143" s="1375"/>
      <c r="AA143" s="1375"/>
    </row>
    <row r="144" spans="1:27" s="1305" customFormat="1">
      <c r="A144" s="1358">
        <v>44500</v>
      </c>
      <c r="B144" s="1325" t="s">
        <v>79</v>
      </c>
      <c r="C144" s="1326">
        <f>SUM(C142:C143)</f>
        <v>3464.89</v>
      </c>
      <c r="D144" s="1326">
        <f>SUM(D142:D143)</f>
        <v>120.47</v>
      </c>
      <c r="E144" s="1326">
        <f>SUM(E142:E143)</f>
        <v>3585.36</v>
      </c>
      <c r="F144" s="1326"/>
      <c r="G144" s="1326">
        <f>SUM(G142:G143)</f>
        <v>0</v>
      </c>
      <c r="H144" s="1326">
        <f>SUM(H142:H143)</f>
        <v>0</v>
      </c>
      <c r="I144" s="1326"/>
      <c r="J144" s="1326">
        <f>SUM(J142:J143)</f>
        <v>0</v>
      </c>
      <c r="K144" s="1326">
        <f>SUM(K142:K143)</f>
        <v>0</v>
      </c>
      <c r="L144" s="1326"/>
      <c r="M144" s="1326">
        <f>SUM(M142:M143)</f>
        <v>3464.89</v>
      </c>
      <c r="N144" s="1326">
        <f>SUM(N142:N143)</f>
        <v>120.47</v>
      </c>
      <c r="O144" s="1327">
        <f>SUM(O142:O143)</f>
        <v>3585.36</v>
      </c>
      <c r="P144" s="1326">
        <f>SUM(P142:P143)</f>
        <v>0</v>
      </c>
      <c r="Q144" s="1327">
        <f>SUM(Q142:Q143)</f>
        <v>120.47</v>
      </c>
      <c r="R144" s="1328"/>
      <c r="S144" s="1329">
        <f>SUM(S142:S143)</f>
        <v>3464.89</v>
      </c>
      <c r="T144" s="1326">
        <f>SUM(T142:T143)</f>
        <v>2559.471102569054</v>
      </c>
      <c r="U144" s="1326">
        <f>SUM(U142:U143)</f>
        <v>0</v>
      </c>
      <c r="V144" s="1330">
        <f>SUM(V142:V143)</f>
        <v>905.41889743094634</v>
      </c>
      <c r="W144" s="1324"/>
      <c r="X144" s="1306">
        <f t="shared" si="122"/>
        <v>0</v>
      </c>
      <c r="Y144" s="1356"/>
      <c r="Z144" s="1357"/>
      <c r="AA144" s="1357"/>
    </row>
    <row r="145" spans="1:27" s="1305" customFormat="1">
      <c r="A145" s="1304"/>
      <c r="C145" s="1306"/>
      <c r="D145" s="1343"/>
      <c r="E145" s="1306"/>
      <c r="F145" s="1306"/>
      <c r="G145" s="1306"/>
      <c r="H145" s="1306"/>
      <c r="I145" s="1306"/>
      <c r="J145" s="1306"/>
      <c r="K145" s="1306"/>
      <c r="L145" s="1306"/>
      <c r="M145" s="1306"/>
      <c r="N145" s="1306"/>
      <c r="O145" s="1316"/>
      <c r="P145" s="1306"/>
      <c r="Q145" s="1316"/>
      <c r="R145" s="1324"/>
      <c r="S145" s="1317"/>
      <c r="T145" s="1306"/>
      <c r="U145" s="1306"/>
      <c r="V145" s="1318"/>
      <c r="W145" s="1324"/>
      <c r="X145" s="1306">
        <f t="shared" si="122"/>
        <v>0</v>
      </c>
      <c r="Y145" s="1314"/>
      <c r="Z145" s="1375"/>
      <c r="AA145" s="1375"/>
    </row>
    <row r="146" spans="1:27" s="1305" customFormat="1">
      <c r="A146" s="1392">
        <v>59340</v>
      </c>
      <c r="B146" s="1305" t="s">
        <v>80</v>
      </c>
      <c r="C146" s="1306">
        <f>IFERROR(VLOOKUP(A146,'2180 IS (C)'!D:AH,31,FALSE),0)</f>
        <v>156604.62</v>
      </c>
      <c r="D146" s="1306">
        <f>IFERROR(VLOOKUP(A146,'2182 IS'!D:AH,31,FALSE),0)</f>
        <v>80736.210000000006</v>
      </c>
      <c r="E146" s="1306">
        <f t="shared" ref="E146:E148" si="153">SUM(C146:D146)</f>
        <v>237340.83000000002</v>
      </c>
      <c r="F146" s="1306"/>
      <c r="G146" s="1306"/>
      <c r="H146" s="1306"/>
      <c r="I146" s="1306"/>
      <c r="J146" s="1306"/>
      <c r="K146" s="1306"/>
      <c r="L146" s="1306"/>
      <c r="M146" s="1306">
        <f t="shared" ref="M146:M148" si="154">C146+G146+J146</f>
        <v>156604.62</v>
      </c>
      <c r="N146" s="1306">
        <f t="shared" ref="N146:N148" si="155">D146+H146+K146</f>
        <v>80736.210000000006</v>
      </c>
      <c r="O146" s="1316">
        <f t="shared" ref="O146:O148" si="156">M146+N146</f>
        <v>237340.83000000002</v>
      </c>
      <c r="P146" s="1306"/>
      <c r="Q146" s="1316">
        <f t="shared" ref="Q146:Q148" si="157">N146</f>
        <v>80736.210000000006</v>
      </c>
      <c r="R146" s="1310"/>
      <c r="S146" s="1317">
        <f t="shared" ref="S146:S148" si="158">O146-Q146</f>
        <v>156604.62</v>
      </c>
      <c r="T146" s="1306">
        <f>$S146*SUM('Ratios (C)'!$C$53+'Ratios (C)'!$D$53)</f>
        <v>89601.059080590683</v>
      </c>
      <c r="U146" s="1306">
        <f>$S146*('Ratios (C)'!$E$53+'Ratios (C)'!$F$53)</f>
        <v>13656.11876554337</v>
      </c>
      <c r="V146" s="1318">
        <f>$S146*'Ratios (C)'!$G$53</f>
        <v>53347.442153865952</v>
      </c>
      <c r="W146" s="1324" t="s">
        <v>370</v>
      </c>
      <c r="X146" s="1306">
        <f t="shared" si="122"/>
        <v>0</v>
      </c>
      <c r="Y146" s="1368"/>
      <c r="Z146" s="1369"/>
      <c r="AA146" s="1369"/>
    </row>
    <row r="147" spans="1:27" s="1305" customFormat="1">
      <c r="A147" s="1392">
        <v>59341</v>
      </c>
      <c r="B147" s="1305" t="s">
        <v>81</v>
      </c>
      <c r="C147" s="1306">
        <f>IFERROR(VLOOKUP(A147,'2180 IS (C)'!D:AH,31,FALSE),0)</f>
        <v>169448.31</v>
      </c>
      <c r="D147" s="1306">
        <f>IFERROR(VLOOKUP(A147,'2182 IS'!D:AH,31,FALSE),0)</f>
        <v>1250</v>
      </c>
      <c r="E147" s="1306">
        <f t="shared" si="153"/>
        <v>170698.31</v>
      </c>
      <c r="F147" s="1306"/>
      <c r="G147" s="1307"/>
      <c r="H147" s="1306"/>
      <c r="I147" s="1306"/>
      <c r="J147" s="1306"/>
      <c r="K147" s="1307"/>
      <c r="L147" s="1306"/>
      <c r="M147" s="1306">
        <f t="shared" si="154"/>
        <v>169448.31</v>
      </c>
      <c r="N147" s="1306">
        <f t="shared" si="155"/>
        <v>1250</v>
      </c>
      <c r="O147" s="1316">
        <f t="shared" si="156"/>
        <v>170698.31</v>
      </c>
      <c r="P147" s="1306"/>
      <c r="Q147" s="1316">
        <f t="shared" si="157"/>
        <v>1250</v>
      </c>
      <c r="R147" s="1310"/>
      <c r="S147" s="1317">
        <f t="shared" si="158"/>
        <v>169448.31</v>
      </c>
      <c r="T147" s="1306">
        <f>$S147*SUM('Ratios (C)'!$C$53+'Ratios (C)'!$D$53)</f>
        <v>96949.553821695969</v>
      </c>
      <c r="U147" s="1306">
        <f>$S147*('Ratios (C)'!$E$53+'Ratios (C)'!$F$53)</f>
        <v>14776.104600110841</v>
      </c>
      <c r="V147" s="1318">
        <f>$S147*'Ratios (C)'!$G$53</f>
        <v>57722.651578193196</v>
      </c>
      <c r="W147" s="1324" t="s">
        <v>370</v>
      </c>
      <c r="X147" s="1306">
        <f t="shared" si="122"/>
        <v>0</v>
      </c>
      <c r="Y147" s="1314"/>
      <c r="Z147" s="1375"/>
      <c r="AA147" s="1375"/>
    </row>
    <row r="148" spans="1:27" s="1305" customFormat="1">
      <c r="A148" s="1392">
        <v>59342</v>
      </c>
      <c r="B148" s="1305" t="s">
        <v>82</v>
      </c>
      <c r="C148" s="1306">
        <f>IFERROR(VLOOKUP(A148,'2180 IS (C)'!D:AH,31,FALSE),0)</f>
        <v>47550.64</v>
      </c>
      <c r="D148" s="1306">
        <f>IFERROR(VLOOKUP(A148,'2182 IS'!D:AH,31,FALSE),0)</f>
        <v>0</v>
      </c>
      <c r="E148" s="1306">
        <f t="shared" si="153"/>
        <v>47550.64</v>
      </c>
      <c r="F148" s="1306"/>
      <c r="G148" s="1306"/>
      <c r="H148" s="1306"/>
      <c r="I148" s="1306"/>
      <c r="J148" s="1306"/>
      <c r="K148" s="1306"/>
      <c r="L148" s="1306"/>
      <c r="M148" s="1306">
        <f t="shared" si="154"/>
        <v>47550.64</v>
      </c>
      <c r="N148" s="1306">
        <f t="shared" si="155"/>
        <v>0</v>
      </c>
      <c r="O148" s="1316">
        <f t="shared" si="156"/>
        <v>47550.64</v>
      </c>
      <c r="P148" s="1306"/>
      <c r="Q148" s="1316">
        <f t="shared" si="157"/>
        <v>0</v>
      </c>
      <c r="R148" s="1310"/>
      <c r="S148" s="1317">
        <f t="shared" si="158"/>
        <v>47550.64</v>
      </c>
      <c r="T148" s="1306">
        <f>$S148*SUM('Ratios (C)'!$C$53+'Ratios (C)'!$D$53)</f>
        <v>27206.015403376343</v>
      </c>
      <c r="U148" s="1306">
        <f>$S148*('Ratios (C)'!$E$53+'Ratios (C)'!$F$53)</f>
        <v>4146.4752905603755</v>
      </c>
      <c r="V148" s="1318">
        <f>$S148*'Ratios (C)'!$G$53</f>
        <v>16198.149306063284</v>
      </c>
      <c r="W148" s="1324" t="s">
        <v>370</v>
      </c>
      <c r="X148" s="1306">
        <f t="shared" si="122"/>
        <v>0</v>
      </c>
      <c r="Y148" s="1314"/>
      <c r="Z148" s="1375"/>
      <c r="AA148" s="1375"/>
    </row>
    <row r="149" spans="1:27" s="1305" customFormat="1">
      <c r="A149" s="1392"/>
      <c r="C149" s="1306"/>
      <c r="D149" s="1306"/>
      <c r="E149" s="1306"/>
      <c r="F149" s="1306"/>
      <c r="G149" s="1306"/>
      <c r="H149" s="1306"/>
      <c r="I149" s="1306"/>
      <c r="J149" s="1306"/>
      <c r="K149" s="1306"/>
      <c r="L149" s="1306"/>
      <c r="M149" s="1306"/>
      <c r="N149" s="1306"/>
      <c r="O149" s="1316"/>
      <c r="P149" s="1306"/>
      <c r="Q149" s="1316"/>
      <c r="R149" s="1310"/>
      <c r="S149" s="1317"/>
      <c r="T149" s="1306"/>
      <c r="U149" s="1306"/>
      <c r="V149" s="1318"/>
      <c r="W149" s="1324"/>
      <c r="X149" s="1306"/>
      <c r="Y149" s="1314"/>
      <c r="Z149" s="1375"/>
      <c r="AA149" s="1375"/>
    </row>
    <row r="150" spans="1:27" s="1305" customFormat="1">
      <c r="A150" s="1358">
        <v>45300</v>
      </c>
      <c r="B150" s="1325" t="s">
        <v>83</v>
      </c>
      <c r="C150" s="1326">
        <f>SUM(C146:C149)</f>
        <v>373603.57</v>
      </c>
      <c r="D150" s="1326">
        <f>SUM(D146:D149)</f>
        <v>81986.210000000006</v>
      </c>
      <c r="E150" s="1326">
        <f>SUM(E146:E149)</f>
        <v>455589.78</v>
      </c>
      <c r="F150" s="1326"/>
      <c r="G150" s="1326">
        <f>SUM(G146:G149)</f>
        <v>0</v>
      </c>
      <c r="H150" s="1326">
        <f>SUM(H146:H149)</f>
        <v>0</v>
      </c>
      <c r="I150" s="1326"/>
      <c r="J150" s="1326">
        <f>SUM(J146:J149)</f>
        <v>0</v>
      </c>
      <c r="K150" s="1326">
        <f>SUM(K146:K149)</f>
        <v>0</v>
      </c>
      <c r="L150" s="1326"/>
      <c r="M150" s="1326">
        <f>SUM(M146:M149)</f>
        <v>373603.57</v>
      </c>
      <c r="N150" s="1326">
        <f>SUM(N146:N149)</f>
        <v>81986.210000000006</v>
      </c>
      <c r="O150" s="1327">
        <f>SUM(O146:O149)</f>
        <v>455589.78</v>
      </c>
      <c r="P150" s="1326">
        <f>SUM(P146:P149)</f>
        <v>0</v>
      </c>
      <c r="Q150" s="1327">
        <f>SUM(Q146:Q149)</f>
        <v>81986.210000000006</v>
      </c>
      <c r="R150" s="1328"/>
      <c r="S150" s="1329">
        <f>SUM(S146:S149)</f>
        <v>373603.57</v>
      </c>
      <c r="T150" s="1326">
        <f>SUM(T146:T149)</f>
        <v>213756.62830566298</v>
      </c>
      <c r="U150" s="1326">
        <f>SUM(U146:U149)</f>
        <v>32578.698656214583</v>
      </c>
      <c r="V150" s="1330">
        <f>SUM(V146:V149)</f>
        <v>127268.24303812243</v>
      </c>
      <c r="W150" s="1324"/>
      <c r="X150" s="1306">
        <f t="shared" ref="X150:X181" si="159">SUM(T150:V150)-S150</f>
        <v>0</v>
      </c>
      <c r="Y150" s="1356"/>
      <c r="Z150" s="1357"/>
      <c r="AA150" s="1357"/>
    </row>
    <row r="151" spans="1:27" s="1305" customFormat="1">
      <c r="A151" s="1392"/>
      <c r="C151" s="1306"/>
      <c r="D151" s="1343"/>
      <c r="E151" s="1306"/>
      <c r="F151" s="1306"/>
      <c r="G151" s="1306"/>
      <c r="H151" s="1306"/>
      <c r="I151" s="1306"/>
      <c r="J151" s="1306"/>
      <c r="K151" s="1306"/>
      <c r="L151" s="1306"/>
      <c r="M151" s="1306"/>
      <c r="N151" s="1306"/>
      <c r="O151" s="1316"/>
      <c r="P151" s="1306"/>
      <c r="Q151" s="1316"/>
      <c r="R151" s="1324"/>
      <c r="S151" s="1317"/>
      <c r="T151" s="1306"/>
      <c r="U151" s="1306"/>
      <c r="V151" s="1318"/>
      <c r="W151" s="1324"/>
      <c r="X151" s="1306">
        <f t="shared" si="159"/>
        <v>0</v>
      </c>
      <c r="Y151" s="1314"/>
      <c r="Z151" s="1375"/>
      <c r="AA151" s="1375"/>
    </row>
    <row r="152" spans="1:27" s="1305" customFormat="1" ht="12" customHeight="1">
      <c r="A152" s="1392">
        <v>59343</v>
      </c>
      <c r="B152" s="1305" t="s">
        <v>84</v>
      </c>
      <c r="C152" s="1306">
        <f>IFERROR(VLOOKUP(A152,'2180 IS (C)'!D:AH,31,FALSE),0)</f>
        <v>55753.72</v>
      </c>
      <c r="D152" s="1306">
        <f>IFERROR(VLOOKUP(A152,'2182 IS'!D:AH,31,FALSE),0)</f>
        <v>48910</v>
      </c>
      <c r="E152" s="1306">
        <f t="shared" ref="E152:E155" si="160">SUM(C152:D152)</f>
        <v>104663.72</v>
      </c>
      <c r="F152" s="1306"/>
      <c r="G152" s="1307"/>
      <c r="H152" s="1306"/>
      <c r="I152" s="1306"/>
      <c r="J152" s="1306"/>
      <c r="K152" s="1307"/>
      <c r="L152" s="1306"/>
      <c r="M152" s="1306">
        <f t="shared" ref="M152:M155" si="161">C152+G152+J152</f>
        <v>55753.72</v>
      </c>
      <c r="N152" s="1306">
        <f t="shared" ref="N152:N155" si="162">D152+H152+K152</f>
        <v>48910</v>
      </c>
      <c r="O152" s="1316">
        <f t="shared" ref="O152:O155" si="163">M152+N152</f>
        <v>104663.72</v>
      </c>
      <c r="P152" s="1306"/>
      <c r="Q152" s="1316">
        <f t="shared" ref="Q152:Q155" si="164">N152</f>
        <v>48910</v>
      </c>
      <c r="R152" s="1310"/>
      <c r="S152" s="1317">
        <f t="shared" ref="S152:S155" si="165">O152-Q152</f>
        <v>55753.72</v>
      </c>
      <c r="T152" s="1306">
        <f>$S152*SUM('Ratios (C)'!$C$53+'Ratios (C)'!$D$53)</f>
        <v>31899.393259807475</v>
      </c>
      <c r="U152" s="1306">
        <f>$S152*('Ratios (C)'!$E$53+'Ratios (C)'!$F$53)</f>
        <v>4861.7941280458435</v>
      </c>
      <c r="V152" s="1318">
        <f>$S152*'Ratios (C)'!$G$53</f>
        <v>18992.532612146686</v>
      </c>
      <c r="W152" s="1324" t="s">
        <v>370</v>
      </c>
      <c r="X152" s="1306">
        <f t="shared" si="159"/>
        <v>0</v>
      </c>
      <c r="Y152" s="1314"/>
      <c r="Z152" s="1375"/>
      <c r="AA152" s="1375"/>
    </row>
    <row r="153" spans="1:27" s="1305" customFormat="1">
      <c r="A153" s="1392">
        <v>59344</v>
      </c>
      <c r="B153" s="1305" t="s">
        <v>85</v>
      </c>
      <c r="C153" s="1306">
        <f>IFERROR(VLOOKUP(A153,'2180 IS (C)'!D:AH,31,FALSE),0)</f>
        <v>-26333.78</v>
      </c>
      <c r="D153" s="1306">
        <f>IFERROR(VLOOKUP(A153,'2182 IS'!D:AH,31,FALSE),0)</f>
        <v>32870.83</v>
      </c>
      <c r="E153" s="1306">
        <f t="shared" si="160"/>
        <v>6537.0500000000029</v>
      </c>
      <c r="F153" s="1306"/>
      <c r="G153" s="1306"/>
      <c r="H153" s="1306"/>
      <c r="I153" s="1306"/>
      <c r="J153" s="1306"/>
      <c r="K153" s="1306"/>
      <c r="L153" s="1306"/>
      <c r="M153" s="1306">
        <f t="shared" si="161"/>
        <v>-26333.78</v>
      </c>
      <c r="N153" s="1306">
        <f t="shared" si="162"/>
        <v>32870.83</v>
      </c>
      <c r="O153" s="1316">
        <f t="shared" si="163"/>
        <v>6537.0500000000029</v>
      </c>
      <c r="P153" s="1306"/>
      <c r="Q153" s="1316">
        <f t="shared" si="164"/>
        <v>32870.83</v>
      </c>
      <c r="R153" s="1310"/>
      <c r="S153" s="1317">
        <f t="shared" si="165"/>
        <v>-26333.78</v>
      </c>
      <c r="T153" s="1306">
        <f>$S153*SUM('Ratios (C)'!$C$53+'Ratios (C)'!$D$53)</f>
        <v>-15066.826110208482</v>
      </c>
      <c r="U153" s="1306">
        <f>$S153*('Ratios (C)'!$E$53+'Ratios (C)'!$F$53)</f>
        <v>-2296.3385577366148</v>
      </c>
      <c r="V153" s="1318">
        <f>$S153*'Ratios (C)'!$G$53</f>
        <v>-8970.6153320549038</v>
      </c>
      <c r="W153" s="1324" t="s">
        <v>370</v>
      </c>
      <c r="X153" s="1306">
        <f t="shared" si="159"/>
        <v>0</v>
      </c>
      <c r="Y153" s="1314"/>
      <c r="Z153" s="1375"/>
      <c r="AA153" s="1375"/>
    </row>
    <row r="154" spans="1:27" s="1305" customFormat="1">
      <c r="A154" s="1392">
        <v>59500</v>
      </c>
      <c r="B154" s="1305" t="s">
        <v>86</v>
      </c>
      <c r="C154" s="1306">
        <f>IFERROR(VLOOKUP(A154,'2180 IS (C)'!D:AH,31,FALSE),0)</f>
        <v>37789.549999999996</v>
      </c>
      <c r="D154" s="1306">
        <f>IFERROR(VLOOKUP(A154,'2182 IS'!D:AH,31,FALSE),0)</f>
        <v>17409.2</v>
      </c>
      <c r="E154" s="1306">
        <f t="shared" si="160"/>
        <v>55198.75</v>
      </c>
      <c r="F154" s="1306"/>
      <c r="G154" s="1306"/>
      <c r="H154" s="1306"/>
      <c r="I154" s="1306"/>
      <c r="J154" s="1306"/>
      <c r="K154" s="1306"/>
      <c r="L154" s="1306"/>
      <c r="M154" s="1306">
        <f t="shared" si="161"/>
        <v>37789.549999999996</v>
      </c>
      <c r="N154" s="1306">
        <f t="shared" si="162"/>
        <v>17409.2</v>
      </c>
      <c r="O154" s="1316">
        <f t="shared" si="163"/>
        <v>55198.75</v>
      </c>
      <c r="P154" s="1306"/>
      <c r="Q154" s="1316">
        <f t="shared" si="164"/>
        <v>17409.2</v>
      </c>
      <c r="R154" s="1310"/>
      <c r="S154" s="1317">
        <f t="shared" si="165"/>
        <v>37789.550000000003</v>
      </c>
      <c r="T154" s="1306">
        <f>$S154*SUM('Ratios (C)'!$C$53+'Ratios (C)'!$D$53)</f>
        <v>21621.224853895983</v>
      </c>
      <c r="U154" s="1306">
        <f>$S154*('Ratios (C)'!$E$53+'Ratios (C)'!$F$53)</f>
        <v>3295.2960321122036</v>
      </c>
      <c r="V154" s="1318">
        <f>$S154*'Ratios (C)'!$G$53</f>
        <v>12873.029113991817</v>
      </c>
      <c r="W154" s="1324" t="s">
        <v>370</v>
      </c>
      <c r="X154" s="1306">
        <f t="shared" si="159"/>
        <v>0</v>
      </c>
      <c r="Y154" s="1368"/>
      <c r="Z154" s="1369"/>
      <c r="AA154" s="1369"/>
    </row>
    <row r="155" spans="1:27" s="1305" customFormat="1">
      <c r="A155" s="1304">
        <v>57370</v>
      </c>
      <c r="B155" s="1305" t="s">
        <v>87</v>
      </c>
      <c r="C155" s="1306">
        <f>IFERROR(VLOOKUP(A155,'2180 IS (C)'!D:AH,31,FALSE),0)</f>
        <v>1548</v>
      </c>
      <c r="D155" s="1306">
        <f>IFERROR(VLOOKUP(A155,'2182 IS'!D:AH,31,FALSE),0)</f>
        <v>565.11000000000013</v>
      </c>
      <c r="E155" s="1306">
        <f t="shared" si="160"/>
        <v>2113.11</v>
      </c>
      <c r="F155" s="1306"/>
      <c r="G155" s="1306"/>
      <c r="H155" s="1306"/>
      <c r="I155" s="1306"/>
      <c r="J155" s="1306"/>
      <c r="K155" s="1306"/>
      <c r="L155" s="1306"/>
      <c r="M155" s="1306">
        <f t="shared" si="161"/>
        <v>1548</v>
      </c>
      <c r="N155" s="1306">
        <f t="shared" si="162"/>
        <v>565.11000000000013</v>
      </c>
      <c r="O155" s="1316">
        <f t="shared" si="163"/>
        <v>2113.11</v>
      </c>
      <c r="P155" s="1306"/>
      <c r="Q155" s="1316">
        <f t="shared" si="164"/>
        <v>565.11000000000013</v>
      </c>
      <c r="R155" s="1310"/>
      <c r="S155" s="1317">
        <f t="shared" si="165"/>
        <v>1548</v>
      </c>
      <c r="T155" s="1306">
        <f>$S155*SUM('Ratios (C)'!$C$53+'Ratios (C)'!$D$53)</f>
        <v>885.68548907914965</v>
      </c>
      <c r="U155" s="1306">
        <f>$S155*('Ratios (C)'!$E$53+'Ratios (C)'!$F$53)</f>
        <v>134.9875364408862</v>
      </c>
      <c r="V155" s="1318">
        <f>$S155*'Ratios (C)'!$G$53</f>
        <v>527.32697447996418</v>
      </c>
      <c r="W155" s="1324" t="s">
        <v>370</v>
      </c>
      <c r="X155" s="1306">
        <f t="shared" si="159"/>
        <v>0</v>
      </c>
      <c r="Y155" s="1314"/>
      <c r="Z155" s="1375"/>
      <c r="AA155" s="1375"/>
    </row>
    <row r="156" spans="1:27" s="1305" customFormat="1">
      <c r="A156" s="1358">
        <v>45400</v>
      </c>
      <c r="B156" s="1325" t="s">
        <v>88</v>
      </c>
      <c r="C156" s="1326">
        <f>SUM(C152:C155)</f>
        <v>68757.489999999991</v>
      </c>
      <c r="D156" s="1326">
        <f t="shared" ref="D156:V156" si="166">SUM(D152:D155)</f>
        <v>99755.14</v>
      </c>
      <c r="E156" s="1326">
        <f t="shared" si="166"/>
        <v>168512.63</v>
      </c>
      <c r="F156" s="1326"/>
      <c r="G156" s="1326">
        <f t="shared" si="166"/>
        <v>0</v>
      </c>
      <c r="H156" s="1326">
        <f t="shared" si="166"/>
        <v>0</v>
      </c>
      <c r="I156" s="1326"/>
      <c r="J156" s="1326">
        <f t="shared" si="166"/>
        <v>0</v>
      </c>
      <c r="K156" s="1326">
        <f t="shared" si="166"/>
        <v>0</v>
      </c>
      <c r="L156" s="1326"/>
      <c r="M156" s="1326">
        <f t="shared" si="166"/>
        <v>68757.489999999991</v>
      </c>
      <c r="N156" s="1326">
        <f t="shared" si="166"/>
        <v>99755.14</v>
      </c>
      <c r="O156" s="1327">
        <f t="shared" si="166"/>
        <v>168512.63</v>
      </c>
      <c r="P156" s="1326">
        <f t="shared" si="166"/>
        <v>0</v>
      </c>
      <c r="Q156" s="1327">
        <f t="shared" si="166"/>
        <v>99755.14</v>
      </c>
      <c r="R156" s="1328"/>
      <c r="S156" s="1329">
        <f t="shared" si="166"/>
        <v>68757.490000000005</v>
      </c>
      <c r="T156" s="1326">
        <f t="shared" si="166"/>
        <v>39339.477492574129</v>
      </c>
      <c r="U156" s="1326">
        <f t="shared" si="166"/>
        <v>5995.7391388623191</v>
      </c>
      <c r="V156" s="1330">
        <f t="shared" si="166"/>
        <v>23422.273368563565</v>
      </c>
      <c r="W156" s="1324"/>
      <c r="X156" s="1306">
        <f t="shared" si="159"/>
        <v>0</v>
      </c>
      <c r="Y156" s="1356"/>
      <c r="Z156" s="1357"/>
      <c r="AA156" s="1357"/>
    </row>
    <row r="157" spans="1:27" s="1305" customFormat="1">
      <c r="A157" s="1304"/>
      <c r="C157" s="1306"/>
      <c r="D157" s="1343"/>
      <c r="E157" s="1306"/>
      <c r="F157" s="1306"/>
      <c r="G157" s="1306"/>
      <c r="H157" s="1306"/>
      <c r="I157" s="1306"/>
      <c r="J157" s="1306"/>
      <c r="K157" s="1306"/>
      <c r="L157" s="1306"/>
      <c r="M157" s="1306"/>
      <c r="N157" s="1306"/>
      <c r="O157" s="1316"/>
      <c r="P157" s="1306"/>
      <c r="Q157" s="1316"/>
      <c r="R157" s="1324"/>
      <c r="S157" s="1317"/>
      <c r="T157" s="1306"/>
      <c r="U157" s="1306"/>
      <c r="V157" s="1318"/>
      <c r="W157" s="1324"/>
      <c r="X157" s="1306">
        <f t="shared" si="159"/>
        <v>0</v>
      </c>
      <c r="Y157" s="1314"/>
      <c r="Z157" s="1375"/>
      <c r="AA157" s="1375"/>
    </row>
    <row r="158" spans="1:27" s="1305" customFormat="1">
      <c r="A158" s="1392">
        <v>70010</v>
      </c>
      <c r="B158" s="1305" t="s">
        <v>17</v>
      </c>
      <c r="C158" s="1306">
        <f>IFERROR(VLOOKUP(A158,'2180 IS (C)'!D:AH,31,FALSE),0)</f>
        <v>900283.37999999989</v>
      </c>
      <c r="D158" s="1306">
        <f>IFERROR(VLOOKUP(A158,'2182 IS'!D:AH,31,FALSE),0)</f>
        <v>10282.310000000001</v>
      </c>
      <c r="E158" s="1306">
        <f t="shared" ref="E158:E166" si="167">SUM(C158:D158)</f>
        <v>910565.69</v>
      </c>
      <c r="F158" s="1306"/>
      <c r="G158" s="1307">
        <f>'DVP-DivCon Allocs  (C)'!G31+'DVP-DivCon Allocs  (C)'!Q31</f>
        <v>-181931.3846962495</v>
      </c>
      <c r="H158" s="1306"/>
      <c r="I158" s="1306"/>
      <c r="J158" s="1307">
        <f>'Pro forma Adj'!B22</f>
        <v>91435.429615384521</v>
      </c>
      <c r="K158" s="1306"/>
      <c r="L158" s="1306"/>
      <c r="M158" s="1306">
        <f t="shared" ref="M158:M166" si="168">C158+G158+J158</f>
        <v>809787.42491913494</v>
      </c>
      <c r="N158" s="1306">
        <f t="shared" ref="N158:N166" si="169">D158+H158+K158</f>
        <v>10282.310000000001</v>
      </c>
      <c r="O158" s="1316">
        <f t="shared" ref="O158:O166" si="170">M158+N158</f>
        <v>820069.73491913499</v>
      </c>
      <c r="P158" s="1306"/>
      <c r="Q158" s="1316">
        <f t="shared" ref="Q158:Q166" si="171">N158</f>
        <v>10282.310000000001</v>
      </c>
      <c r="R158" s="1310"/>
      <c r="S158" s="1317">
        <f t="shared" ref="S158:S166" si="172">O158-Q158</f>
        <v>809787.42491913494</v>
      </c>
      <c r="T158" s="1306">
        <f>$S158*('Ratios (C)'!$C$21+'Ratios (C)'!$D$21)</f>
        <v>587059.08772802923</v>
      </c>
      <c r="U158" s="1306">
        <f>$S158*('Ratios (C)'!$E$21+'Ratios (C)'!$F$21)</f>
        <v>4881.2576527248721</v>
      </c>
      <c r="V158" s="1318">
        <f>$S158*'Ratios (C)'!$G$21</f>
        <v>217847.07953838081</v>
      </c>
      <c r="W158" s="1324" t="s">
        <v>371</v>
      </c>
      <c r="X158" s="1306">
        <f t="shared" si="159"/>
        <v>0</v>
      </c>
      <c r="Y158" s="1368"/>
      <c r="Z158" s="1369"/>
      <c r="AA158" s="1369"/>
    </row>
    <row r="159" spans="1:27" s="1305" customFormat="1">
      <c r="A159" s="1392">
        <v>70020</v>
      </c>
      <c r="B159" s="1305" t="s">
        <v>25</v>
      </c>
      <c r="C159" s="1306">
        <f>IFERROR(VLOOKUP(A159,'2180 IS (C)'!D:AH,31,FALSE),0)</f>
        <v>913791.09000000008</v>
      </c>
      <c r="D159" s="1306">
        <f>IFERROR(VLOOKUP(A159,'2182 IS'!D:AH,31,FALSE),0)</f>
        <v>37208.119999999995</v>
      </c>
      <c r="E159" s="1306">
        <f t="shared" si="167"/>
        <v>950999.21000000008</v>
      </c>
      <c r="F159" s="1306"/>
      <c r="G159" s="1307">
        <f>(D159/2)-G160</f>
        <v>-33900.119999999981</v>
      </c>
      <c r="H159" s="1306">
        <f>-D159/2</f>
        <v>-18604.059999999998</v>
      </c>
      <c r="I159" s="1306"/>
      <c r="J159" s="1307">
        <f>'Pro forma Adj'!B23</f>
        <v>18830.742320401245</v>
      </c>
      <c r="K159" s="1306"/>
      <c r="L159" s="1306"/>
      <c r="M159" s="1306">
        <f t="shared" si="168"/>
        <v>898721.71232040133</v>
      </c>
      <c r="N159" s="1306">
        <f t="shared" si="169"/>
        <v>18604.059999999998</v>
      </c>
      <c r="O159" s="1316">
        <f t="shared" si="170"/>
        <v>917325.77232040139</v>
      </c>
      <c r="P159" s="1306"/>
      <c r="Q159" s="1316">
        <f t="shared" si="171"/>
        <v>18604.059999999998</v>
      </c>
      <c r="R159" s="1310"/>
      <c r="S159" s="1317">
        <f t="shared" si="172"/>
        <v>898721.71232040133</v>
      </c>
      <c r="T159" s="1306">
        <f>$S159*('Ratios (C)'!$C$31+'Ratios (C)'!$D$31)</f>
        <v>655483.54580014013</v>
      </c>
      <c r="U159" s="1306"/>
      <c r="V159" s="1318">
        <f>$S159*'Ratios (C)'!$G$31</f>
        <v>243238.16652026121</v>
      </c>
      <c r="W159" s="1324" t="s">
        <v>1738</v>
      </c>
      <c r="X159" s="1306">
        <f t="shared" si="159"/>
        <v>0</v>
      </c>
      <c r="Y159" s="1314"/>
      <c r="Z159" s="1375"/>
      <c r="AA159" s="1375"/>
    </row>
    <row r="160" spans="1:27" s="1305" customFormat="1">
      <c r="A160" s="1392"/>
      <c r="B160" s="1305" t="s">
        <v>1737</v>
      </c>
      <c r="C160" s="1306">
        <v>0</v>
      </c>
      <c r="D160" s="1306">
        <v>0</v>
      </c>
      <c r="E160" s="1306">
        <f t="shared" si="167"/>
        <v>0</v>
      </c>
      <c r="F160" s="1306"/>
      <c r="G160" s="1307">
        <f>Payroll!L253</f>
        <v>52504.179999999978</v>
      </c>
      <c r="H160" s="1306"/>
      <c r="I160" s="1306"/>
      <c r="J160" s="1307">
        <f>'Pro forma Adj'!B24</f>
        <v>999.31111595002585</v>
      </c>
      <c r="K160" s="1306"/>
      <c r="L160" s="1306"/>
      <c r="M160" s="1306">
        <f>C160+G160+J160</f>
        <v>53503.491115950004</v>
      </c>
      <c r="N160" s="1306">
        <f t="shared" ref="N160" si="173">D160+H160+K160</f>
        <v>0</v>
      </c>
      <c r="O160" s="1316">
        <f t="shared" ref="O160" si="174">M160+N160</f>
        <v>53503.491115950004</v>
      </c>
      <c r="P160" s="1306"/>
      <c r="Q160" s="1316">
        <f t="shared" si="171"/>
        <v>0</v>
      </c>
      <c r="R160" s="1310"/>
      <c r="S160" s="1317">
        <f t="shared" si="172"/>
        <v>53503.491115950004</v>
      </c>
      <c r="T160" s="1306"/>
      <c r="U160" s="1306">
        <f>S160</f>
        <v>53503.491115950004</v>
      </c>
      <c r="V160" s="1318"/>
      <c r="W160" s="1324" t="s">
        <v>310</v>
      </c>
      <c r="X160" s="1306">
        <f t="shared" si="159"/>
        <v>0</v>
      </c>
      <c r="Y160" s="1314"/>
      <c r="Z160" s="1375"/>
      <c r="AA160" s="1375"/>
    </row>
    <row r="161" spans="1:27" s="1305" customFormat="1">
      <c r="A161" s="1392">
        <v>70025</v>
      </c>
      <c r="B161" s="1305" t="s">
        <v>50</v>
      </c>
      <c r="C161" s="1306">
        <f>IFERROR(VLOOKUP(A161,'2180 IS (C)'!D:AH,31,FALSE),0)</f>
        <v>106213.51999999999</v>
      </c>
      <c r="D161" s="1306">
        <f>IFERROR(VLOOKUP(A161,'2182 IS'!D:AH,31,FALSE),0)</f>
        <v>1776.03</v>
      </c>
      <c r="E161" s="1306">
        <f t="shared" si="167"/>
        <v>107989.54999999999</v>
      </c>
      <c r="F161" s="1306"/>
      <c r="G161" s="1307">
        <f>+D161/2</f>
        <v>888.01499999999999</v>
      </c>
      <c r="H161" s="1306">
        <f>-G161</f>
        <v>-888.01499999999999</v>
      </c>
      <c r="I161" s="1306"/>
      <c r="J161" s="1306"/>
      <c r="K161" s="1306"/>
      <c r="L161" s="1306"/>
      <c r="M161" s="1306">
        <f t="shared" si="168"/>
        <v>107101.53499999999</v>
      </c>
      <c r="N161" s="1306">
        <f t="shared" si="169"/>
        <v>888.01499999999999</v>
      </c>
      <c r="O161" s="1316">
        <f t="shared" si="170"/>
        <v>107989.54999999999</v>
      </c>
      <c r="P161" s="1306"/>
      <c r="Q161" s="1316">
        <f t="shared" si="171"/>
        <v>888.01499999999999</v>
      </c>
      <c r="R161" s="1310"/>
      <c r="S161" s="1317">
        <f t="shared" si="172"/>
        <v>107101.53499999999</v>
      </c>
      <c r="T161" s="1306">
        <f>$S161*('Ratios (C)'!$C$31+'Ratios (C)'!$D$31)</f>
        <v>78114.607625513527</v>
      </c>
      <c r="U161" s="1306"/>
      <c r="V161" s="1318">
        <f>$S161*'Ratios (C)'!$G$31</f>
        <v>28986.927374486455</v>
      </c>
      <c r="W161" s="1324" t="s">
        <v>1738</v>
      </c>
      <c r="X161" s="1306">
        <f t="shared" si="159"/>
        <v>0</v>
      </c>
      <c r="Y161" s="1314"/>
      <c r="Z161" s="1375"/>
      <c r="AA161" s="1375"/>
    </row>
    <row r="162" spans="1:27" s="1305" customFormat="1">
      <c r="A162" s="1392">
        <v>70035</v>
      </c>
      <c r="B162" s="1305" t="s">
        <v>27</v>
      </c>
      <c r="C162" s="1306">
        <f>IFERROR(VLOOKUP(A162,'2180 IS (C)'!D:AH,31,FALSE),0)</f>
        <v>5010.4600000000009</v>
      </c>
      <c r="D162" s="1306">
        <f>IFERROR(VLOOKUP(A162,'2182 IS'!D:AH,31,FALSE),0)</f>
        <v>232.23</v>
      </c>
      <c r="E162" s="1306">
        <f t="shared" si="167"/>
        <v>5242.6900000000005</v>
      </c>
      <c r="F162" s="1306"/>
      <c r="G162" s="1306"/>
      <c r="H162" s="1306"/>
      <c r="I162" s="1306"/>
      <c r="J162" s="1306"/>
      <c r="K162" s="1306"/>
      <c r="L162" s="1306"/>
      <c r="M162" s="1306">
        <f t="shared" si="168"/>
        <v>5010.4600000000009</v>
      </c>
      <c r="N162" s="1306">
        <f t="shared" si="169"/>
        <v>232.23</v>
      </c>
      <c r="O162" s="1316">
        <f t="shared" si="170"/>
        <v>5242.6900000000005</v>
      </c>
      <c r="P162" s="1306"/>
      <c r="Q162" s="1316">
        <f t="shared" si="171"/>
        <v>232.23</v>
      </c>
      <c r="R162" s="1310"/>
      <c r="S162" s="1317">
        <f t="shared" si="172"/>
        <v>5010.4600000000009</v>
      </c>
      <c r="T162" s="1306">
        <f>$S162*('Ratios (C)'!$C$31+'Ratios (C)'!$D$31)</f>
        <v>3654.3838230080519</v>
      </c>
      <c r="U162" s="1306"/>
      <c r="V162" s="1318">
        <f>$S162*'Ratios (C)'!$G$31</f>
        <v>1356.0761769919493</v>
      </c>
      <c r="W162" s="1324" t="s">
        <v>1738</v>
      </c>
      <c r="X162" s="1306">
        <f t="shared" si="159"/>
        <v>0</v>
      </c>
      <c r="Y162" s="1314"/>
      <c r="Z162" s="1375"/>
      <c r="AA162" s="1375"/>
    </row>
    <row r="163" spans="1:27" s="1305" customFormat="1">
      <c r="A163" s="1392">
        <v>70036</v>
      </c>
      <c r="B163" s="1305" t="s">
        <v>90</v>
      </c>
      <c r="C163" s="1306">
        <f>IFERROR(VLOOKUP(A163,'2180 IS (C)'!D:AH,31,FALSE),0)</f>
        <v>45309.479999999996</v>
      </c>
      <c r="D163" s="1306">
        <f>IFERROR(VLOOKUP(A163,'2182 IS'!D:AH,31,FALSE),0)</f>
        <v>2720.93</v>
      </c>
      <c r="E163" s="1306">
        <f t="shared" si="167"/>
        <v>48030.409999999996</v>
      </c>
      <c r="F163" s="1306"/>
      <c r="G163" s="1306"/>
      <c r="H163" s="1306"/>
      <c r="I163" s="1306"/>
      <c r="J163" s="1306"/>
      <c r="K163" s="1306"/>
      <c r="L163" s="1306"/>
      <c r="M163" s="1306">
        <f t="shared" si="168"/>
        <v>45309.479999999996</v>
      </c>
      <c r="N163" s="1306">
        <f t="shared" si="169"/>
        <v>2720.93</v>
      </c>
      <c r="O163" s="1316">
        <f t="shared" si="170"/>
        <v>48030.409999999996</v>
      </c>
      <c r="P163" s="1306"/>
      <c r="Q163" s="1316">
        <f t="shared" si="171"/>
        <v>2720.93</v>
      </c>
      <c r="R163" s="1310"/>
      <c r="S163" s="1317">
        <f t="shared" si="172"/>
        <v>45309.479999999996</v>
      </c>
      <c r="T163" s="1306">
        <f>$S163*('Ratios (C)'!$C$31+'Ratios (C)'!$D$31)</f>
        <v>33046.512843313154</v>
      </c>
      <c r="U163" s="1306"/>
      <c r="V163" s="1318">
        <f>$S163*'Ratios (C)'!$G$31</f>
        <v>12262.967156686846</v>
      </c>
      <c r="W163" s="1324" t="s">
        <v>1738</v>
      </c>
      <c r="X163" s="1306">
        <f t="shared" si="159"/>
        <v>0</v>
      </c>
      <c r="Y163" s="1368"/>
      <c r="Z163" s="1369"/>
      <c r="AA163" s="1369"/>
    </row>
    <row r="164" spans="1:27" s="1305" customFormat="1">
      <c r="A164" s="1392">
        <v>70045</v>
      </c>
      <c r="B164" s="1305" t="s">
        <v>29</v>
      </c>
      <c r="C164" s="1306">
        <f>IFERROR(VLOOKUP(A164,'2180 IS (C)'!D:AH,31,FALSE),0)</f>
        <v>46438.439999999995</v>
      </c>
      <c r="D164" s="1306">
        <f>IFERROR(VLOOKUP(A164,'2182 IS'!D:AH,31,FALSE),0)</f>
        <v>0</v>
      </c>
      <c r="E164" s="1306">
        <f t="shared" si="167"/>
        <v>46438.439999999995</v>
      </c>
      <c r="F164" s="1306"/>
      <c r="G164" s="1306"/>
      <c r="H164" s="1306"/>
      <c r="I164" s="1306"/>
      <c r="J164" s="1306"/>
      <c r="K164" s="1306"/>
      <c r="L164" s="1306"/>
      <c r="M164" s="1306">
        <f t="shared" si="168"/>
        <v>46438.439999999995</v>
      </c>
      <c r="N164" s="1306">
        <f t="shared" si="169"/>
        <v>0</v>
      </c>
      <c r="O164" s="1316">
        <f t="shared" si="170"/>
        <v>46438.439999999995</v>
      </c>
      <c r="P164" s="1306"/>
      <c r="Q164" s="1316">
        <f t="shared" si="171"/>
        <v>0</v>
      </c>
      <c r="R164" s="1310"/>
      <c r="S164" s="1317">
        <f t="shared" si="172"/>
        <v>46438.439999999995</v>
      </c>
      <c r="T164" s="1306">
        <f>$S164*('Ratios (C)'!$C$31+'Ratios (C)'!$D$31)</f>
        <v>33869.920905811035</v>
      </c>
      <c r="U164" s="1306"/>
      <c r="V164" s="1318">
        <f>$S164*'Ratios (C)'!$G$31</f>
        <v>12568.519094188956</v>
      </c>
      <c r="W164" s="1324" t="s">
        <v>1738</v>
      </c>
      <c r="X164" s="1306">
        <f t="shared" si="159"/>
        <v>0</v>
      </c>
      <c r="Y164" s="1368"/>
      <c r="Z164" s="1369"/>
      <c r="AA164" s="1369"/>
    </row>
    <row r="165" spans="1:27" s="1305" customFormat="1">
      <c r="A165" s="1392">
        <v>70065</v>
      </c>
      <c r="B165" s="1305" t="s">
        <v>91</v>
      </c>
      <c r="C165" s="1306">
        <f>IFERROR(VLOOKUP(A165,'2180 IS (C)'!D:AH,31,FALSE),0)</f>
        <v>6313.8100000000013</v>
      </c>
      <c r="D165" s="1306">
        <f>IFERROR(VLOOKUP(A165,'2182 IS'!D:AH,31,FALSE),0)</f>
        <v>1466.27</v>
      </c>
      <c r="E165" s="1306">
        <f t="shared" si="167"/>
        <v>7780.0800000000017</v>
      </c>
      <c r="F165" s="1306"/>
      <c r="G165" s="1306"/>
      <c r="H165" s="1306"/>
      <c r="I165" s="1306"/>
      <c r="J165" s="1306"/>
      <c r="K165" s="1306"/>
      <c r="L165" s="1306"/>
      <c r="M165" s="1306">
        <f t="shared" si="168"/>
        <v>6313.8100000000013</v>
      </c>
      <c r="N165" s="1306">
        <f t="shared" si="169"/>
        <v>1466.27</v>
      </c>
      <c r="O165" s="1316">
        <f t="shared" si="170"/>
        <v>7780.0800000000017</v>
      </c>
      <c r="P165" s="1306"/>
      <c r="Q165" s="1316">
        <f t="shared" si="171"/>
        <v>1466.27</v>
      </c>
      <c r="R165" s="1310"/>
      <c r="S165" s="1317">
        <f t="shared" si="172"/>
        <v>6313.8100000000013</v>
      </c>
      <c r="T165" s="1306">
        <f>$S165*('Ratios (C)'!$C$31+'Ratios (C)'!$D$31)</f>
        <v>4604.9833998368349</v>
      </c>
      <c r="U165" s="1306"/>
      <c r="V165" s="1318">
        <f>$S165*'Ratios (C)'!$G$31</f>
        <v>1708.8266001631666</v>
      </c>
      <c r="W165" s="1324" t="s">
        <v>1738</v>
      </c>
      <c r="X165" s="1306">
        <f t="shared" si="159"/>
        <v>0</v>
      </c>
      <c r="Y165" s="1314"/>
      <c r="Z165" s="1369"/>
      <c r="AA165" s="1369"/>
    </row>
    <row r="166" spans="1:27" s="1305" customFormat="1">
      <c r="A166" s="1304">
        <v>70070</v>
      </c>
      <c r="B166" s="1305" t="s">
        <v>92</v>
      </c>
      <c r="C166" s="1306">
        <f>IFERROR(VLOOKUP(A166,'2180 IS (C)'!D:AH,31,FALSE),0)</f>
        <v>38181.550000000003</v>
      </c>
      <c r="D166" s="1306">
        <f>IFERROR(VLOOKUP(A166,'2182 IS'!D:AH,31,FALSE),0)</f>
        <v>1462.7599999999998</v>
      </c>
      <c r="E166" s="1306">
        <f t="shared" si="167"/>
        <v>39644.310000000005</v>
      </c>
      <c r="F166" s="1306"/>
      <c r="G166" s="1306"/>
      <c r="H166" s="1306"/>
      <c r="I166" s="1306"/>
      <c r="J166" s="1306"/>
      <c r="K166" s="1306"/>
      <c r="L166" s="1306"/>
      <c r="M166" s="1306">
        <f t="shared" si="168"/>
        <v>38181.550000000003</v>
      </c>
      <c r="N166" s="1306">
        <f t="shared" si="169"/>
        <v>1462.7599999999998</v>
      </c>
      <c r="O166" s="1316">
        <f t="shared" si="170"/>
        <v>39644.310000000005</v>
      </c>
      <c r="P166" s="1306"/>
      <c r="Q166" s="1316">
        <f t="shared" si="171"/>
        <v>1462.7599999999998</v>
      </c>
      <c r="R166" s="1310"/>
      <c r="S166" s="1317">
        <f t="shared" si="172"/>
        <v>38181.550000000003</v>
      </c>
      <c r="T166" s="1306">
        <f>$S166*('Ratios (C)'!$C$31+'Ratios (C)'!$D$31)</f>
        <v>27847.750237976765</v>
      </c>
      <c r="U166" s="1306"/>
      <c r="V166" s="1318">
        <f>$S166*'Ratios (C)'!$G$31</f>
        <v>10333.799762023238</v>
      </c>
      <c r="W166" s="1324" t="s">
        <v>1738</v>
      </c>
      <c r="X166" s="1306">
        <f t="shared" si="159"/>
        <v>0</v>
      </c>
      <c r="Y166" s="1314"/>
      <c r="Z166" s="1375"/>
      <c r="AA166" s="1375"/>
    </row>
    <row r="167" spans="1:27" s="1305" customFormat="1">
      <c r="A167" s="1358">
        <v>46130</v>
      </c>
      <c r="B167" s="1325" t="s">
        <v>93</v>
      </c>
      <c r="C167" s="1326">
        <f>SUM(C158:C166)</f>
        <v>2061541.73</v>
      </c>
      <c r="D167" s="1326">
        <f>SUM(D158:D166)</f>
        <v>55148.649999999994</v>
      </c>
      <c r="E167" s="1326">
        <f>SUM(E158:E166)</f>
        <v>2116690.38</v>
      </c>
      <c r="F167" s="1326"/>
      <c r="G167" s="1326">
        <f>SUM(G158:G166)</f>
        <v>-162439.30969624949</v>
      </c>
      <c r="H167" s="1326">
        <f>SUM(H158:H166)</f>
        <v>-19492.074999999997</v>
      </c>
      <c r="I167" s="1326"/>
      <c r="J167" s="1326">
        <f>SUM(J158:J166)</f>
        <v>111265.48305173579</v>
      </c>
      <c r="K167" s="1326">
        <f>SUM(K158:K166)</f>
        <v>0</v>
      </c>
      <c r="L167" s="1326"/>
      <c r="M167" s="1326">
        <f>SUM(M158:M166)</f>
        <v>2010367.9033554862</v>
      </c>
      <c r="N167" s="1326">
        <f>SUM(N158:N166)</f>
        <v>35656.574999999997</v>
      </c>
      <c r="O167" s="1327">
        <f>SUM(O158:O166)</f>
        <v>2046024.4783554864</v>
      </c>
      <c r="P167" s="1326">
        <f>SUM(P158:P166)</f>
        <v>0</v>
      </c>
      <c r="Q167" s="1327">
        <f>SUM(Q158:Q166)</f>
        <v>35656.574999999997</v>
      </c>
      <c r="R167" s="1328"/>
      <c r="S167" s="1329">
        <f>SUM(S158:S166)</f>
        <v>2010367.9033554862</v>
      </c>
      <c r="T167" s="1326">
        <f>SUM(T158:T166)</f>
        <v>1423680.7923636285</v>
      </c>
      <c r="U167" s="1326">
        <f>SUM(U158:U166)</f>
        <v>58384.748768674879</v>
      </c>
      <c r="V167" s="1330">
        <f>SUM(V158:V166)</f>
        <v>528302.36222318269</v>
      </c>
      <c r="W167" s="1324"/>
      <c r="X167" s="1306">
        <f t="shared" si="159"/>
        <v>0</v>
      </c>
      <c r="Y167" s="1356"/>
      <c r="Z167" s="1357"/>
      <c r="AA167" s="1357"/>
    </row>
    <row r="168" spans="1:27" s="1305" customFormat="1">
      <c r="A168" s="1304"/>
      <c r="C168" s="1306"/>
      <c r="D168" s="1343"/>
      <c r="E168" s="1306"/>
      <c r="F168" s="1306"/>
      <c r="G168" s="1306"/>
      <c r="H168" s="1306"/>
      <c r="I168" s="1306"/>
      <c r="J168" s="1306"/>
      <c r="K168" s="1306"/>
      <c r="L168" s="1306"/>
      <c r="M168" s="1306"/>
      <c r="N168" s="1306"/>
      <c r="O168" s="1316"/>
      <c r="P168" s="1306"/>
      <c r="Q168" s="1316"/>
      <c r="R168" s="1310"/>
      <c r="S168" s="1317"/>
      <c r="T168" s="1306"/>
      <c r="U168" s="1306"/>
      <c r="V168" s="1318"/>
      <c r="W168" s="1324"/>
      <c r="X168" s="1306">
        <f t="shared" si="159"/>
        <v>0</v>
      </c>
      <c r="Y168" s="1368"/>
    </row>
    <row r="169" spans="1:27" s="1305" customFormat="1">
      <c r="A169" s="1304">
        <v>70149</v>
      </c>
      <c r="B169" s="1305" t="s">
        <v>94</v>
      </c>
      <c r="C169" s="1306">
        <f>IFERROR(VLOOKUP(A169,'2180 IS (C)'!D:AH,31,FALSE),0)</f>
        <v>1483563.5200000003</v>
      </c>
      <c r="D169" s="1306">
        <f>IFERROR(VLOOKUP(A169,'2182 IS'!D:AH,31,FALSE),0)</f>
        <v>355601.52</v>
      </c>
      <c r="E169" s="1306">
        <f t="shared" ref="E169" si="175">SUM(C169:D169)</f>
        <v>1839165.0400000003</v>
      </c>
      <c r="F169" s="1306"/>
      <c r="G169" s="1307">
        <f>'Restating Adj'!T59</f>
        <v>-326585.00301694637</v>
      </c>
      <c r="H169" s="1307">
        <f>'Restating Adj'!C78</f>
        <v>-139540.55852455297</v>
      </c>
      <c r="I169" s="1306"/>
      <c r="J169" s="1306"/>
      <c r="K169" s="1308"/>
      <c r="L169" s="1306"/>
      <c r="M169" s="1306">
        <f>C169+G169+J169</f>
        <v>1156978.5169830539</v>
      </c>
      <c r="N169" s="1306">
        <f t="shared" ref="N169" si="176">D169+H169+K169</f>
        <v>216060.96147544705</v>
      </c>
      <c r="O169" s="1316">
        <f t="shared" ref="O169" si="177">M169+N169</f>
        <v>1373039.4784585009</v>
      </c>
      <c r="P169" s="1306"/>
      <c r="Q169" s="1316">
        <f t="shared" ref="Q169" si="178">N169</f>
        <v>216060.96147544705</v>
      </c>
      <c r="R169" s="1310"/>
      <c r="S169" s="1317">
        <f t="shared" ref="S169" si="179">O169-Q169</f>
        <v>1156978.5169830539</v>
      </c>
      <c r="T169" s="1306">
        <f>$S$169*T$26/(SUM($T$26:$V$26))</f>
        <v>667898.31413243525</v>
      </c>
      <c r="U169" s="1306">
        <f>$S$169*U$26/(SUM($T$26:$V$26))</f>
        <v>80059.985360357998</v>
      </c>
      <c r="V169" s="1318">
        <f>$S$169*V$26/(SUM($T$26:$V$26))</f>
        <v>409020.21749026072</v>
      </c>
      <c r="W169" s="1334" t="s">
        <v>166</v>
      </c>
      <c r="X169" s="1306">
        <f t="shared" si="159"/>
        <v>0</v>
      </c>
      <c r="Y169" s="1377"/>
    </row>
    <row r="170" spans="1:27" s="1305" customFormat="1">
      <c r="A170" s="1358">
        <v>46100</v>
      </c>
      <c r="B170" s="1325" t="s">
        <v>95</v>
      </c>
      <c r="C170" s="1326">
        <f>SUM(C169)</f>
        <v>1483563.5200000003</v>
      </c>
      <c r="D170" s="1326">
        <f t="shared" ref="D170:V170" si="180">SUM(D169)</f>
        <v>355601.52</v>
      </c>
      <c r="E170" s="1326">
        <f t="shared" si="180"/>
        <v>1839165.0400000003</v>
      </c>
      <c r="F170" s="1326"/>
      <c r="G170" s="1326">
        <f t="shared" si="180"/>
        <v>-326585.00301694637</v>
      </c>
      <c r="H170" s="1326">
        <f t="shared" si="180"/>
        <v>-139540.55852455297</v>
      </c>
      <c r="I170" s="1326"/>
      <c r="J170" s="1326">
        <f t="shared" si="180"/>
        <v>0</v>
      </c>
      <c r="K170" s="1326">
        <f t="shared" si="180"/>
        <v>0</v>
      </c>
      <c r="L170" s="1326"/>
      <c r="M170" s="1326">
        <f t="shared" si="180"/>
        <v>1156978.5169830539</v>
      </c>
      <c r="N170" s="1326">
        <f t="shared" si="180"/>
        <v>216060.96147544705</v>
      </c>
      <c r="O170" s="1327">
        <f t="shared" si="180"/>
        <v>1373039.4784585009</v>
      </c>
      <c r="P170" s="1326">
        <f t="shared" si="180"/>
        <v>0</v>
      </c>
      <c r="Q170" s="1327">
        <f t="shared" si="180"/>
        <v>216060.96147544705</v>
      </c>
      <c r="R170" s="1328"/>
      <c r="S170" s="1329">
        <f t="shared" si="180"/>
        <v>1156978.5169830539</v>
      </c>
      <c r="T170" s="1326">
        <f t="shared" si="180"/>
        <v>667898.31413243525</v>
      </c>
      <c r="U170" s="1326">
        <f t="shared" si="180"/>
        <v>80059.985360357998</v>
      </c>
      <c r="V170" s="1330">
        <f t="shared" si="180"/>
        <v>409020.21749026072</v>
      </c>
      <c r="W170" s="1324"/>
      <c r="X170" s="1306">
        <f t="shared" si="159"/>
        <v>0</v>
      </c>
      <c r="Y170" s="1356"/>
      <c r="Z170" s="1357"/>
      <c r="AA170" s="1357"/>
    </row>
    <row r="171" spans="1:27" s="1305" customFormat="1">
      <c r="A171" s="1304"/>
      <c r="C171" s="1306"/>
      <c r="D171" s="1343"/>
      <c r="E171" s="1306"/>
      <c r="F171" s="1306"/>
      <c r="G171" s="1306"/>
      <c r="H171" s="1306"/>
      <c r="I171" s="1306"/>
      <c r="J171" s="1306"/>
      <c r="K171" s="1306"/>
      <c r="L171" s="1306"/>
      <c r="M171" s="1306"/>
      <c r="N171" s="1306"/>
      <c r="O171" s="1316"/>
      <c r="P171" s="1306"/>
      <c r="Q171" s="1316"/>
      <c r="R171" s="1324"/>
      <c r="S171" s="1317"/>
      <c r="T171" s="1306"/>
      <c r="U171" s="1306"/>
      <c r="V171" s="1318"/>
      <c r="W171" s="1324"/>
      <c r="X171" s="1306">
        <f t="shared" si="159"/>
        <v>0</v>
      </c>
      <c r="Y171" s="1377"/>
    </row>
    <row r="172" spans="1:27" s="1305" customFormat="1">
      <c r="A172" s="1304">
        <v>52200</v>
      </c>
      <c r="B172" s="1305" t="s">
        <v>96</v>
      </c>
      <c r="C172" s="1306">
        <f>IFERROR(VLOOKUP(A172,'2180 IS (C)'!D:AH,31,FALSE),0)</f>
        <v>10138.700000000001</v>
      </c>
      <c r="D172" s="1306">
        <f>IFERROR(VLOOKUP(A172,'2182 IS'!D:AH,31,FALSE),0)</f>
        <v>0</v>
      </c>
      <c r="E172" s="1306">
        <f t="shared" ref="E172:E183" si="181">SUM(C172:D172)</f>
        <v>10138.700000000001</v>
      </c>
      <c r="F172" s="1306"/>
      <c r="G172" s="1306"/>
      <c r="H172" s="1306"/>
      <c r="I172" s="1306"/>
      <c r="J172" s="1306"/>
      <c r="K172" s="1306"/>
      <c r="L172" s="1306"/>
      <c r="M172" s="1306">
        <f t="shared" ref="M172:M183" si="182">C172+G172+J172</f>
        <v>10138.700000000001</v>
      </c>
      <c r="N172" s="1306">
        <f t="shared" ref="N172:N183" si="183">D172+H172+K172</f>
        <v>0</v>
      </c>
      <c r="O172" s="1316">
        <f t="shared" ref="O172:O183" si="184">M172+N172</f>
        <v>10138.700000000001</v>
      </c>
      <c r="P172" s="1306"/>
      <c r="Q172" s="1316">
        <f t="shared" ref="Q172:Q183" si="185">N172</f>
        <v>0</v>
      </c>
      <c r="R172" s="1310"/>
      <c r="S172" s="1317">
        <f t="shared" ref="S172:S183" si="186">O172-Q172</f>
        <v>10138.700000000001</v>
      </c>
      <c r="T172" s="1306">
        <f>$S172*SUM('Ratios (C)'!$C$53+'Ratios (C)'!$D$53)</f>
        <v>5800.8394496942992</v>
      </c>
      <c r="U172" s="1306">
        <f>$S172*('Ratios (C)'!$E$53+'Ratios (C)'!$F$53)</f>
        <v>884.10732281215314</v>
      </c>
      <c r="V172" s="1318">
        <f>$S172*'Ratios (C)'!$G$53</f>
        <v>3453.7532274935488</v>
      </c>
      <c r="W172" s="1324" t="s">
        <v>370</v>
      </c>
      <c r="X172" s="1306">
        <f t="shared" si="159"/>
        <v>0</v>
      </c>
      <c r="Y172" s="1377"/>
    </row>
    <row r="173" spans="1:27" s="1305" customFormat="1">
      <c r="A173" s="1304">
        <v>57345</v>
      </c>
      <c r="B173" s="1305" t="s">
        <v>97</v>
      </c>
      <c r="C173" s="1306">
        <f>IFERROR(VLOOKUP(A173,'2180 IS (C)'!D:AH,31,FALSE),0)</f>
        <v>297.86</v>
      </c>
      <c r="D173" s="1306">
        <f>IFERROR(VLOOKUP(A173,'2182 IS'!D:AH,31,FALSE),0)</f>
        <v>652.65</v>
      </c>
      <c r="E173" s="1306">
        <f t="shared" si="181"/>
        <v>950.51</v>
      </c>
      <c r="F173" s="1306"/>
      <c r="G173" s="1306"/>
      <c r="H173" s="1306"/>
      <c r="I173" s="1306"/>
      <c r="J173" s="1306"/>
      <c r="K173" s="1306"/>
      <c r="L173" s="1306"/>
      <c r="M173" s="1306">
        <f t="shared" si="182"/>
        <v>297.86</v>
      </c>
      <c r="N173" s="1306">
        <f t="shared" si="183"/>
        <v>652.65</v>
      </c>
      <c r="O173" s="1316">
        <f t="shared" si="184"/>
        <v>950.51</v>
      </c>
      <c r="P173" s="1306"/>
      <c r="Q173" s="1316">
        <f t="shared" si="185"/>
        <v>652.65</v>
      </c>
      <c r="R173" s="1310"/>
      <c r="S173" s="1317">
        <f t="shared" si="186"/>
        <v>297.86</v>
      </c>
      <c r="T173" s="1306">
        <f>$S173*SUM('Ratios (C)'!$C$53+'Ratios (C)'!$D$53)</f>
        <v>170.42007737539763</v>
      </c>
      <c r="U173" s="1306">
        <f>$S173*('Ratios (C)'!$E$53+'Ratios (C)'!$F$53)</f>
        <v>25.973764602249592</v>
      </c>
      <c r="V173" s="1318">
        <f>$S173*'Ratios (C)'!$G$53</f>
        <v>101.4661580223528</v>
      </c>
      <c r="W173" s="1324" t="s">
        <v>370</v>
      </c>
      <c r="X173" s="1306">
        <f t="shared" si="159"/>
        <v>0</v>
      </c>
      <c r="Y173" s="1377"/>
    </row>
    <row r="174" spans="1:27" s="1305" customFormat="1">
      <c r="A174" s="1304">
        <v>70185</v>
      </c>
      <c r="B174" s="1305" t="s">
        <v>71</v>
      </c>
      <c r="C174" s="1306">
        <f>IFERROR(VLOOKUP(A174,'2180 IS (C)'!D:AH,31,FALSE),0)</f>
        <v>9187.33</v>
      </c>
      <c r="D174" s="1306">
        <f>IFERROR(VLOOKUP(A174,'2182 IS'!D:AH,31,FALSE),0)</f>
        <v>30.79</v>
      </c>
      <c r="E174" s="1306">
        <f t="shared" si="181"/>
        <v>9218.1200000000008</v>
      </c>
      <c r="F174" s="1306"/>
      <c r="G174" s="1308"/>
      <c r="H174" s="1306"/>
      <c r="I174" s="1306"/>
      <c r="J174" s="1306"/>
      <c r="K174" s="1308"/>
      <c r="L174" s="1306"/>
      <c r="M174" s="1306">
        <f t="shared" si="182"/>
        <v>9187.33</v>
      </c>
      <c r="N174" s="1306">
        <f t="shared" si="183"/>
        <v>30.79</v>
      </c>
      <c r="O174" s="1316">
        <f t="shared" si="184"/>
        <v>9218.1200000000008</v>
      </c>
      <c r="P174" s="1306"/>
      <c r="Q174" s="1316">
        <f t="shared" si="185"/>
        <v>30.79</v>
      </c>
      <c r="R174" s="1310"/>
      <c r="S174" s="1317">
        <f t="shared" si="186"/>
        <v>9187.33</v>
      </c>
      <c r="T174" s="1306">
        <f>$S174*('Ratios (C)'!$C$21+'Ratios (C)'!$D$21)</f>
        <v>6660.3967936337713</v>
      </c>
      <c r="U174" s="1306">
        <f>$S174*('Ratios (C)'!$E$21+'Ratios (C)'!$F$21)</f>
        <v>55.379626171753749</v>
      </c>
      <c r="V174" s="1318">
        <f>$S174*'Ratios (C)'!$G$21</f>
        <v>2471.5535801944743</v>
      </c>
      <c r="W174" s="1324" t="s">
        <v>371</v>
      </c>
      <c r="X174" s="1306">
        <f t="shared" si="159"/>
        <v>0</v>
      </c>
      <c r="Y174" s="1377"/>
    </row>
    <row r="175" spans="1:27" s="1305" customFormat="1">
      <c r="A175" s="1392">
        <v>70210</v>
      </c>
      <c r="B175" s="1305" t="s">
        <v>96</v>
      </c>
      <c r="C175" s="1306">
        <f>IFERROR(VLOOKUP(A175,'2180 IS (C)'!D:AH,31,FALSE),0)</f>
        <v>106102.68000000001</v>
      </c>
      <c r="D175" s="1306">
        <f>IFERROR(VLOOKUP(A175,'2182 IS'!D:AH,31,FALSE),0)</f>
        <v>23601.359999999997</v>
      </c>
      <c r="E175" s="1306">
        <f t="shared" si="181"/>
        <v>129704.04000000001</v>
      </c>
      <c r="F175" s="1306"/>
      <c r="G175" s="1306"/>
      <c r="H175" s="1306"/>
      <c r="I175" s="1306"/>
      <c r="J175" s="1306"/>
      <c r="K175" s="1306"/>
      <c r="L175" s="1306"/>
      <c r="M175" s="1306">
        <f t="shared" si="182"/>
        <v>106102.68000000001</v>
      </c>
      <c r="N175" s="1306">
        <f t="shared" si="183"/>
        <v>23601.359999999997</v>
      </c>
      <c r="O175" s="1316">
        <f t="shared" si="184"/>
        <v>129704.04000000001</v>
      </c>
      <c r="P175" s="1306"/>
      <c r="Q175" s="1316">
        <f t="shared" si="185"/>
        <v>23601.359999999997</v>
      </c>
      <c r="R175" s="1310"/>
      <c r="S175" s="1317">
        <f t="shared" si="186"/>
        <v>106102.68000000001</v>
      </c>
      <c r="T175" s="1306">
        <f>$S175*('Ratios (C)'!$C$21+'Ratios (C)'!$D$21)</f>
        <v>76919.621877950412</v>
      </c>
      <c r="U175" s="1306">
        <f>$S175*('Ratios (C)'!$E$21+'Ratios (C)'!$F$21)</f>
        <v>639.56848771310206</v>
      </c>
      <c r="V175" s="1318">
        <f>$S175*'Ratios (C)'!$G$21</f>
        <v>28543.489634336493</v>
      </c>
      <c r="W175" s="1324" t="s">
        <v>371</v>
      </c>
      <c r="X175" s="1306">
        <f t="shared" si="159"/>
        <v>0</v>
      </c>
      <c r="Y175" s="1377"/>
    </row>
    <row r="176" spans="1:27" s="1305" customFormat="1">
      <c r="A176" s="1392"/>
      <c r="B176" s="1305" t="s">
        <v>98</v>
      </c>
      <c r="C176" s="1306">
        <f>IFERROR(VLOOKUP(A176,'2180 IS (C)'!D:AH,31,FALSE),0)</f>
        <v>0</v>
      </c>
      <c r="D176" s="1306">
        <f>IFERROR(VLOOKUP(A176,'2182 IS'!D:AH,31,FALSE),0)</f>
        <v>0</v>
      </c>
      <c r="E176" s="1306">
        <f t="shared" si="181"/>
        <v>0</v>
      </c>
      <c r="F176" s="1306"/>
      <c r="G176" s="1306"/>
      <c r="H176" s="1306"/>
      <c r="I176" s="1306"/>
      <c r="J176" s="1306">
        <f>'Pro forma Adj'!D47</f>
        <v>17216.661890572315</v>
      </c>
      <c r="K176" s="1306"/>
      <c r="L176" s="1306"/>
      <c r="M176" s="1306">
        <f t="shared" si="182"/>
        <v>17216.661890572315</v>
      </c>
      <c r="N176" s="1306">
        <f t="shared" si="183"/>
        <v>0</v>
      </c>
      <c r="O176" s="1316">
        <f t="shared" si="184"/>
        <v>17216.661890572315</v>
      </c>
      <c r="P176" s="1306"/>
      <c r="Q176" s="1316">
        <f t="shared" si="185"/>
        <v>0</v>
      </c>
      <c r="R176" s="1310"/>
      <c r="S176" s="1317">
        <f t="shared" si="186"/>
        <v>17216.661890572315</v>
      </c>
      <c r="T176" s="1306">
        <f>J176</f>
        <v>17216.661890572315</v>
      </c>
      <c r="U176" s="1306"/>
      <c r="V176" s="1318"/>
      <c r="W176" s="1324" t="s">
        <v>310</v>
      </c>
      <c r="X176" s="1306">
        <f t="shared" si="159"/>
        <v>0</v>
      </c>
      <c r="Y176" s="1377"/>
    </row>
    <row r="177" spans="1:27" s="1305" customFormat="1">
      <c r="A177" s="1392">
        <v>70214</v>
      </c>
      <c r="B177" s="1305" t="s">
        <v>99</v>
      </c>
      <c r="C177" s="1306">
        <f>IFERROR(VLOOKUP(A177,'2180 IS (C)'!D:AH,31,FALSE),0)</f>
        <v>302196.77999999997</v>
      </c>
      <c r="D177" s="1306">
        <f>IFERROR(VLOOKUP(A177,'2182 IS'!D:AH,31,FALSE),0)</f>
        <v>0</v>
      </c>
      <c r="E177" s="1306">
        <f t="shared" si="181"/>
        <v>302196.77999999997</v>
      </c>
      <c r="F177" s="1306"/>
      <c r="G177" s="1306"/>
      <c r="H177" s="1306"/>
      <c r="I177" s="1306"/>
      <c r="J177" s="1306"/>
      <c r="K177" s="1306"/>
      <c r="L177" s="1306"/>
      <c r="M177" s="1306">
        <f t="shared" si="182"/>
        <v>302196.77999999997</v>
      </c>
      <c r="N177" s="1306">
        <f t="shared" si="183"/>
        <v>0</v>
      </c>
      <c r="O177" s="1316">
        <f t="shared" si="184"/>
        <v>302196.77999999997</v>
      </c>
      <c r="P177" s="1306"/>
      <c r="Q177" s="1316">
        <f t="shared" si="185"/>
        <v>0</v>
      </c>
      <c r="R177" s="1310"/>
      <c r="S177" s="1317">
        <f t="shared" si="186"/>
        <v>302196.77999999997</v>
      </c>
      <c r="T177" s="1306">
        <f>$S177*('Ratios (C)'!$C$21+'Ratios (C)'!$D$21)</f>
        <v>219078.93420160699</v>
      </c>
      <c r="U177" s="1306">
        <f>$S177*('Ratios (C)'!$E$21+'Ratios (C)'!$F$21)</f>
        <v>1821.5895920477124</v>
      </c>
      <c r="V177" s="1318">
        <f>$S177*'Ratios (C)'!$G$21</f>
        <v>81296.25620634525</v>
      </c>
      <c r="W177" s="1324" t="s">
        <v>371</v>
      </c>
      <c r="X177" s="1306">
        <f t="shared" si="159"/>
        <v>0</v>
      </c>
      <c r="Y177" s="1377"/>
    </row>
    <row r="178" spans="1:27" s="1305" customFormat="1">
      <c r="A178" s="1392">
        <v>70215</v>
      </c>
      <c r="B178" s="1305" t="s">
        <v>100</v>
      </c>
      <c r="C178" s="1306">
        <f>IFERROR(VLOOKUP(A178,'2180 IS (C)'!D:AH,31,FALSE),0)</f>
        <v>727.65000000000009</v>
      </c>
      <c r="D178" s="1306">
        <f>IFERROR(VLOOKUP(A178,'2182 IS'!D:AH,31,FALSE),0)</f>
        <v>0</v>
      </c>
      <c r="E178" s="1306">
        <f t="shared" si="181"/>
        <v>727.65000000000009</v>
      </c>
      <c r="F178" s="1306"/>
      <c r="G178" s="1306"/>
      <c r="H178" s="1306"/>
      <c r="I178" s="1306"/>
      <c r="J178" s="1306"/>
      <c r="K178" s="1306"/>
      <c r="L178" s="1306"/>
      <c r="M178" s="1306">
        <f t="shared" si="182"/>
        <v>727.65000000000009</v>
      </c>
      <c r="N178" s="1306">
        <f t="shared" si="183"/>
        <v>0</v>
      </c>
      <c r="O178" s="1316">
        <f t="shared" si="184"/>
        <v>727.65000000000009</v>
      </c>
      <c r="P178" s="1306"/>
      <c r="Q178" s="1316">
        <f t="shared" si="185"/>
        <v>0</v>
      </c>
      <c r="R178" s="1310"/>
      <c r="S178" s="1317">
        <f t="shared" si="186"/>
        <v>727.65000000000009</v>
      </c>
      <c r="T178" s="1306">
        <f>$S178*('Ratios (C)'!$C$21+'Ratios (C)'!$D$21)</f>
        <v>527.51318684401394</v>
      </c>
      <c r="U178" s="1306">
        <f>$S178*('Ratios (C)'!$E$21+'Ratios (C)'!$F$21)</f>
        <v>4.3861475514514687</v>
      </c>
      <c r="V178" s="1318">
        <f>$S178*'Ratios (C)'!$G$21</f>
        <v>195.75066560453467</v>
      </c>
      <c r="W178" s="1324" t="s">
        <v>371</v>
      </c>
      <c r="X178" s="1306">
        <f t="shared" si="159"/>
        <v>0</v>
      </c>
      <c r="Y178" s="1377"/>
    </row>
    <row r="179" spans="1:27" s="1305" customFormat="1">
      <c r="A179" s="1392">
        <v>70217</v>
      </c>
      <c r="B179" s="1305" t="s">
        <v>101</v>
      </c>
      <c r="C179" s="1306">
        <f>IFERROR(VLOOKUP(A179,'2180 IS (C)'!D:AH,31,FALSE),0)</f>
        <v>15917.830000000004</v>
      </c>
      <c r="D179" s="1306">
        <f>IFERROR(VLOOKUP(A179,'2182 IS'!D:AH,31,FALSE),0)</f>
        <v>0</v>
      </c>
      <c r="E179" s="1306">
        <f t="shared" si="181"/>
        <v>15917.830000000004</v>
      </c>
      <c r="F179" s="1306"/>
      <c r="G179" s="1306"/>
      <c r="H179" s="1306"/>
      <c r="I179" s="1306"/>
      <c r="J179" s="1306"/>
      <c r="K179" s="1306"/>
      <c r="L179" s="1306"/>
      <c r="M179" s="1306">
        <f t="shared" si="182"/>
        <v>15917.830000000004</v>
      </c>
      <c r="N179" s="1306">
        <f t="shared" si="183"/>
        <v>0</v>
      </c>
      <c r="O179" s="1316">
        <f t="shared" si="184"/>
        <v>15917.830000000004</v>
      </c>
      <c r="P179" s="1306"/>
      <c r="Q179" s="1316">
        <f t="shared" si="185"/>
        <v>0</v>
      </c>
      <c r="R179" s="1310"/>
      <c r="S179" s="1317">
        <f t="shared" si="186"/>
        <v>15917.830000000004</v>
      </c>
      <c r="T179" s="1306">
        <f>$S179*('Ratios (C)'!$C$21+'Ratios (C)'!$D$21)</f>
        <v>11539.703471368448</v>
      </c>
      <c r="U179" s="1306">
        <f>$S179*('Ratios (C)'!$E$21+'Ratios (C)'!$F$21)</f>
        <v>95.949908718368363</v>
      </c>
      <c r="V179" s="1318">
        <f>$S179*'Ratios (C)'!$G$21</f>
        <v>4282.1766199131871</v>
      </c>
      <c r="W179" s="1324" t="s">
        <v>371</v>
      </c>
      <c r="X179" s="1306">
        <f t="shared" si="159"/>
        <v>0</v>
      </c>
      <c r="Y179" s="1377"/>
    </row>
    <row r="180" spans="1:27" s="1305" customFormat="1">
      <c r="A180" s="1304">
        <v>70300</v>
      </c>
      <c r="B180" s="1305" t="s">
        <v>102</v>
      </c>
      <c r="C180" s="1306">
        <f>IFERROR(VLOOKUP(A180,'2180 IS (C)'!D:AH,31,FALSE),0)</f>
        <v>212529.56999999995</v>
      </c>
      <c r="D180" s="1306">
        <f>IFERROR(VLOOKUP(A180,'2182 IS'!D:AH,31,FALSE),0)</f>
        <v>8.02</v>
      </c>
      <c r="E180" s="1306">
        <f t="shared" si="181"/>
        <v>212537.58999999994</v>
      </c>
      <c r="F180" s="1306"/>
      <c r="G180" s="1306"/>
      <c r="H180" s="1306"/>
      <c r="I180" s="1306"/>
      <c r="J180" s="1306"/>
      <c r="K180" s="1306"/>
      <c r="L180" s="1306"/>
      <c r="M180" s="1306">
        <f t="shared" si="182"/>
        <v>212529.56999999995</v>
      </c>
      <c r="N180" s="1306">
        <f t="shared" si="183"/>
        <v>8.02</v>
      </c>
      <c r="O180" s="1316">
        <f t="shared" si="184"/>
        <v>212537.58999999994</v>
      </c>
      <c r="P180" s="1306"/>
      <c r="Q180" s="1316">
        <f t="shared" si="185"/>
        <v>8.02</v>
      </c>
      <c r="R180" s="1310"/>
      <c r="S180" s="1317">
        <f t="shared" si="186"/>
        <v>212529.56999999995</v>
      </c>
      <c r="T180" s="1306">
        <f>$S180*('Ratios (C)'!$C$21+'Ratios (C)'!$D$21)</f>
        <v>154074.28127435979</v>
      </c>
      <c r="U180" s="1306">
        <f>$S180*('Ratios (C)'!$E$21+'Ratios (C)'!$F$21)</f>
        <v>1281.0912568769782</v>
      </c>
      <c r="V180" s="1318">
        <f>$S180*'Ratios (C)'!$G$21</f>
        <v>57174.197468763181</v>
      </c>
      <c r="W180" s="1324" t="s">
        <v>371</v>
      </c>
      <c r="X180" s="1306">
        <f t="shared" si="159"/>
        <v>0</v>
      </c>
      <c r="Y180" s="1377"/>
    </row>
    <row r="181" spans="1:27" s="1305" customFormat="1">
      <c r="A181" s="1304">
        <v>70302</v>
      </c>
      <c r="B181" s="1305" t="s">
        <v>104</v>
      </c>
      <c r="C181" s="1306">
        <f>IFERROR(VLOOKUP(A181,'2180 IS (C)'!D:AH,31,FALSE),0)</f>
        <v>2484.21</v>
      </c>
      <c r="D181" s="1306">
        <f>IFERROR(VLOOKUP(A181,'2182 IS'!D:AH,31,FALSE),0)</f>
        <v>460.85</v>
      </c>
      <c r="E181" s="1306">
        <f t="shared" si="181"/>
        <v>2945.06</v>
      </c>
      <c r="F181" s="1306"/>
      <c r="G181" s="1306"/>
      <c r="H181" s="1306"/>
      <c r="I181" s="1306"/>
      <c r="J181" s="1306"/>
      <c r="K181" s="1306"/>
      <c r="L181" s="1306"/>
      <c r="M181" s="1306">
        <f t="shared" si="182"/>
        <v>2484.21</v>
      </c>
      <c r="N181" s="1306">
        <f t="shared" si="183"/>
        <v>460.85</v>
      </c>
      <c r="O181" s="1316">
        <f t="shared" si="184"/>
        <v>2945.06</v>
      </c>
      <c r="P181" s="1306"/>
      <c r="Q181" s="1316">
        <f t="shared" si="185"/>
        <v>460.85</v>
      </c>
      <c r="R181" s="1310"/>
      <c r="S181" s="1317">
        <f t="shared" si="186"/>
        <v>2484.21</v>
      </c>
      <c r="T181" s="1306">
        <f>$S181*('Ratios (C)'!$C$21+'Ratios (C)'!$D$21)</f>
        <v>1800.9393717993096</v>
      </c>
      <c r="U181" s="1306">
        <f>$S181*('Ratios (C)'!$E$21+'Ratios (C)'!$F$21)</f>
        <v>14.974385499610049</v>
      </c>
      <c r="V181" s="1318">
        <f>$S181*'Ratios (C)'!$G$21</f>
        <v>668.29624270108025</v>
      </c>
      <c r="W181" s="1324" t="s">
        <v>371</v>
      </c>
      <c r="X181" s="1306">
        <f t="shared" si="159"/>
        <v>0</v>
      </c>
      <c r="Y181" s="1377"/>
    </row>
    <row r="182" spans="1:27" s="1305" customFormat="1">
      <c r="A182" s="1304">
        <v>70320</v>
      </c>
      <c r="B182" s="1305" t="s">
        <v>105</v>
      </c>
      <c r="C182" s="1306">
        <f>IFERROR(VLOOKUP(A182,'2180 IS (C)'!D:AH,31,FALSE),0)</f>
        <v>125860.47000000002</v>
      </c>
      <c r="D182" s="1306">
        <f>IFERROR(VLOOKUP(A182,'2182 IS'!D:AH,31,FALSE),0)</f>
        <v>0</v>
      </c>
      <c r="E182" s="1306">
        <f t="shared" si="181"/>
        <v>125860.47000000002</v>
      </c>
      <c r="F182" s="1306"/>
      <c r="G182" s="1308"/>
      <c r="H182" s="1306"/>
      <c r="I182" s="1306"/>
      <c r="J182" s="1306"/>
      <c r="K182" s="1308"/>
      <c r="L182" s="1306"/>
      <c r="M182" s="1306">
        <f t="shared" si="182"/>
        <v>125860.47000000002</v>
      </c>
      <c r="N182" s="1306">
        <f t="shared" si="183"/>
        <v>0</v>
      </c>
      <c r="O182" s="1316">
        <f t="shared" si="184"/>
        <v>125860.47000000002</v>
      </c>
      <c r="P182" s="1306"/>
      <c r="Q182" s="1316">
        <f t="shared" si="185"/>
        <v>0</v>
      </c>
      <c r="R182" s="1310"/>
      <c r="S182" s="1317">
        <f t="shared" si="186"/>
        <v>125860.47000000002</v>
      </c>
      <c r="T182" s="1306">
        <f>$S182*('Ratios (C)'!$C$21+'Ratios (C)'!$D$21)</f>
        <v>91243.121868185815</v>
      </c>
      <c r="U182" s="1306">
        <f>$S182*('Ratios (C)'!$E$21+'Ratios (C)'!$F$21)</f>
        <v>758.66500696080675</v>
      </c>
      <c r="V182" s="1318">
        <f>$S182*'Ratios (C)'!$G$21</f>
        <v>33858.683124853385</v>
      </c>
      <c r="W182" s="1324" t="s">
        <v>371</v>
      </c>
      <c r="X182" s="1306">
        <f t="shared" ref="X182:X213" si="187">SUM(T182:V182)-S182</f>
        <v>0</v>
      </c>
      <c r="Y182" s="1377"/>
    </row>
    <row r="183" spans="1:27" s="1305" customFormat="1">
      <c r="A183" s="1304">
        <v>70345</v>
      </c>
      <c r="B183" s="1305" t="s">
        <v>97</v>
      </c>
      <c r="C183" s="1306">
        <f>IFERROR(VLOOKUP(A183,'2180 IS (C)'!D:AH,31,FALSE),0)</f>
        <v>8182.14</v>
      </c>
      <c r="D183" s="1306">
        <f>IFERROR(VLOOKUP(A183,'2182 IS'!D:AH,31,FALSE),0)</f>
        <v>28.25</v>
      </c>
      <c r="E183" s="1306">
        <f t="shared" si="181"/>
        <v>8210.39</v>
      </c>
      <c r="F183" s="1306"/>
      <c r="G183" s="1308"/>
      <c r="H183" s="1306"/>
      <c r="I183" s="1306"/>
      <c r="J183" s="1306"/>
      <c r="K183" s="1308"/>
      <c r="L183" s="1306"/>
      <c r="M183" s="1306">
        <f t="shared" si="182"/>
        <v>8182.14</v>
      </c>
      <c r="N183" s="1306">
        <f t="shared" si="183"/>
        <v>28.25</v>
      </c>
      <c r="O183" s="1316">
        <f t="shared" si="184"/>
        <v>8210.39</v>
      </c>
      <c r="P183" s="1306"/>
      <c r="Q183" s="1316">
        <f t="shared" si="185"/>
        <v>28.25</v>
      </c>
      <c r="R183" s="1310"/>
      <c r="S183" s="1317">
        <f t="shared" si="186"/>
        <v>8182.1399999999994</v>
      </c>
      <c r="T183" s="1306">
        <f>$S183*SUM('Ratios (C)'!$C$53+'Ratios (C)'!$D$53)</f>
        <v>4681.3970721021142</v>
      </c>
      <c r="U183" s="1306">
        <f>$S183*('Ratios (C)'!$E$53+'Ratios (C)'!$F$53)</f>
        <v>713.49284329097713</v>
      </c>
      <c r="V183" s="1318">
        <f>$S183*'Ratios (C)'!$G$53</f>
        <v>2787.2500846069083</v>
      </c>
      <c r="W183" s="1324" t="s">
        <v>370</v>
      </c>
      <c r="X183" s="1306">
        <f t="shared" si="187"/>
        <v>0</v>
      </c>
      <c r="Y183" s="1377"/>
    </row>
    <row r="184" spans="1:27" s="1305" customFormat="1">
      <c r="A184" s="1358">
        <v>46200</v>
      </c>
      <c r="B184" s="1325" t="s">
        <v>106</v>
      </c>
      <c r="C184" s="1326">
        <f>SUM(C172:C183)</f>
        <v>793625.21999999986</v>
      </c>
      <c r="D184" s="1326">
        <f>SUM(D172:D183)</f>
        <v>24781.919999999995</v>
      </c>
      <c r="E184" s="1326">
        <f>SUM(E172:E183)</f>
        <v>818407.14</v>
      </c>
      <c r="F184" s="1326"/>
      <c r="G184" s="1326">
        <f>SUM(G172:G183)</f>
        <v>0</v>
      </c>
      <c r="H184" s="1326">
        <f>SUM(H172:H183)</f>
        <v>0</v>
      </c>
      <c r="I184" s="1326"/>
      <c r="J184" s="1326">
        <f>SUM(J172:J183)</f>
        <v>17216.661890572315</v>
      </c>
      <c r="K184" s="1326">
        <f>SUM(K172:K183)</f>
        <v>0</v>
      </c>
      <c r="L184" s="1326"/>
      <c r="M184" s="1326">
        <f>SUM(M172:M183)</f>
        <v>810841.88189057226</v>
      </c>
      <c r="N184" s="1326">
        <f>SUM(N172:N183)</f>
        <v>24781.919999999995</v>
      </c>
      <c r="O184" s="1327">
        <f>SUM(O172:O183)</f>
        <v>835623.8018905723</v>
      </c>
      <c r="P184" s="1326">
        <f>SUM(P172:P183)</f>
        <v>0</v>
      </c>
      <c r="Q184" s="1327">
        <f>SUM(Q172:Q183)</f>
        <v>24781.919999999995</v>
      </c>
      <c r="R184" s="1328"/>
      <c r="S184" s="1329">
        <f>SUM(S172:S183)</f>
        <v>810841.88189057226</v>
      </c>
      <c r="T184" s="1326">
        <f>SUM(T172:T183)</f>
        <v>589713.83053549263</v>
      </c>
      <c r="U184" s="1326">
        <f>SUM(U172:U183)</f>
        <v>6295.1783422451635</v>
      </c>
      <c r="V184" s="1330">
        <f>SUM(V172:V183)</f>
        <v>214832.8730128344</v>
      </c>
      <c r="W184" s="1324"/>
      <c r="X184" s="1306">
        <f t="shared" si="187"/>
        <v>0</v>
      </c>
      <c r="Y184" s="1356"/>
      <c r="Z184" s="1357"/>
      <c r="AA184" s="1357"/>
    </row>
    <row r="185" spans="1:27" s="1305" customFormat="1">
      <c r="A185" s="1304"/>
      <c r="C185" s="1306"/>
      <c r="D185" s="1343"/>
      <c r="E185" s="1306"/>
      <c r="F185" s="1306"/>
      <c r="G185" s="1306"/>
      <c r="H185" s="1306"/>
      <c r="I185" s="1306"/>
      <c r="J185" s="1306"/>
      <c r="K185" s="1306"/>
      <c r="L185" s="1306"/>
      <c r="M185" s="1306"/>
      <c r="N185" s="1306"/>
      <c r="O185" s="1316"/>
      <c r="P185" s="1306"/>
      <c r="Q185" s="1316"/>
      <c r="R185" s="1324"/>
      <c r="S185" s="1317"/>
      <c r="T185" s="1378"/>
      <c r="U185" s="1306"/>
      <c r="V185" s="1318"/>
      <c r="W185" s="1324"/>
      <c r="X185" s="1306">
        <f t="shared" si="187"/>
        <v>0</v>
      </c>
      <c r="Y185" s="1377"/>
    </row>
    <row r="186" spans="1:27" s="1305" customFormat="1">
      <c r="A186" s="1304">
        <v>70235</v>
      </c>
      <c r="B186" s="1305" t="s">
        <v>107</v>
      </c>
      <c r="C186" s="1306">
        <f>IFERROR(VLOOKUP(A186,'2180 IS (C)'!D:AH,31,FALSE),0)</f>
        <v>36252.160000000003</v>
      </c>
      <c r="D186" s="1306">
        <f>IFERROR(VLOOKUP(A186,'2182 IS'!D:AH,31,FALSE),0)</f>
        <v>610.5</v>
      </c>
      <c r="E186" s="1306">
        <f t="shared" ref="E186" si="188">SUM(C186:D186)</f>
        <v>36862.660000000003</v>
      </c>
      <c r="F186" s="1306"/>
      <c r="G186" s="1306"/>
      <c r="H186" s="1306"/>
      <c r="I186" s="1306"/>
      <c r="J186" s="1306"/>
      <c r="K186" s="1306"/>
      <c r="L186" s="1306"/>
      <c r="M186" s="1306">
        <f t="shared" ref="M186" si="189">C186+G186+J186</f>
        <v>36252.160000000003</v>
      </c>
      <c r="N186" s="1306">
        <f t="shared" ref="N186" si="190">D186+H186+K186</f>
        <v>610.5</v>
      </c>
      <c r="O186" s="1316">
        <f t="shared" ref="O186" si="191">M186+N186</f>
        <v>36862.660000000003</v>
      </c>
      <c r="P186" s="1306"/>
      <c r="Q186" s="1316">
        <f t="shared" ref="Q186" si="192">N186</f>
        <v>610.5</v>
      </c>
      <c r="R186" s="1310"/>
      <c r="S186" s="1317">
        <f t="shared" ref="S186" si="193">O186-Q186</f>
        <v>36252.160000000003</v>
      </c>
      <c r="T186" s="1306">
        <f>$S186*('Ratios (C)'!$C$21+'Ratios (C)'!$D$21)</f>
        <v>26281.168764624595</v>
      </c>
      <c r="U186" s="1306">
        <f>$S186*('Ratios (C)'!$E$21+'Ratios (C)'!$F$21)</f>
        <v>218.52171073844139</v>
      </c>
      <c r="V186" s="1318">
        <f>$S186*'Ratios (C)'!$G$21</f>
        <v>9752.4695246369647</v>
      </c>
      <c r="W186" s="1324" t="s">
        <v>371</v>
      </c>
      <c r="X186" s="1306">
        <f t="shared" si="187"/>
        <v>0</v>
      </c>
      <c r="Y186" s="1377"/>
    </row>
    <row r="187" spans="1:27" s="1305" customFormat="1">
      <c r="A187" s="1358">
        <v>46300</v>
      </c>
      <c r="B187" s="1325" t="s">
        <v>108</v>
      </c>
      <c r="C187" s="1326">
        <f>SUM(C186)</f>
        <v>36252.160000000003</v>
      </c>
      <c r="D187" s="1326">
        <f t="shared" ref="D187:V187" si="194">SUM(D186)</f>
        <v>610.5</v>
      </c>
      <c r="E187" s="1326">
        <f t="shared" si="194"/>
        <v>36862.660000000003</v>
      </c>
      <c r="F187" s="1326"/>
      <c r="G187" s="1326">
        <f t="shared" si="194"/>
        <v>0</v>
      </c>
      <c r="H187" s="1326">
        <f t="shared" si="194"/>
        <v>0</v>
      </c>
      <c r="I187" s="1326"/>
      <c r="J187" s="1326">
        <f t="shared" si="194"/>
        <v>0</v>
      </c>
      <c r="K187" s="1326">
        <f t="shared" si="194"/>
        <v>0</v>
      </c>
      <c r="L187" s="1326"/>
      <c r="M187" s="1326">
        <f t="shared" si="194"/>
        <v>36252.160000000003</v>
      </c>
      <c r="N187" s="1326">
        <f t="shared" si="194"/>
        <v>610.5</v>
      </c>
      <c r="O187" s="1327">
        <f t="shared" si="194"/>
        <v>36862.660000000003</v>
      </c>
      <c r="P187" s="1326">
        <f t="shared" si="194"/>
        <v>0</v>
      </c>
      <c r="Q187" s="1327">
        <f t="shared" si="194"/>
        <v>610.5</v>
      </c>
      <c r="R187" s="1328"/>
      <c r="S187" s="1329">
        <f t="shared" si="194"/>
        <v>36252.160000000003</v>
      </c>
      <c r="T187" s="1326">
        <f t="shared" si="194"/>
        <v>26281.168764624595</v>
      </c>
      <c r="U187" s="1326">
        <f t="shared" si="194"/>
        <v>218.52171073844139</v>
      </c>
      <c r="V187" s="1330">
        <f t="shared" si="194"/>
        <v>9752.4695246369647</v>
      </c>
      <c r="W187" s="1324"/>
      <c r="X187" s="1306">
        <f t="shared" si="187"/>
        <v>0</v>
      </c>
      <c r="Y187" s="1356"/>
      <c r="Z187" s="1357"/>
      <c r="AA187" s="1357"/>
    </row>
    <row r="188" spans="1:27" s="1305" customFormat="1">
      <c r="A188" s="1304"/>
      <c r="C188" s="1306"/>
      <c r="D188" s="1343"/>
      <c r="E188" s="1306"/>
      <c r="F188" s="1306"/>
      <c r="G188" s="1306"/>
      <c r="H188" s="1306"/>
      <c r="I188" s="1306"/>
      <c r="J188" s="1306"/>
      <c r="K188" s="1306"/>
      <c r="L188" s="1306"/>
      <c r="M188" s="1306"/>
      <c r="N188" s="1306"/>
      <c r="O188" s="1316"/>
      <c r="P188" s="1306"/>
      <c r="Q188" s="1316"/>
      <c r="R188" s="1324"/>
      <c r="S188" s="1317"/>
      <c r="T188" s="1306"/>
      <c r="U188" s="1306"/>
      <c r="V188" s="1318"/>
      <c r="W188" s="1324"/>
      <c r="X188" s="1306">
        <f t="shared" si="187"/>
        <v>0</v>
      </c>
      <c r="Y188" s="1377"/>
    </row>
    <row r="189" spans="1:27" s="1305" customFormat="1">
      <c r="A189" s="1304">
        <v>57150</v>
      </c>
      <c r="B189" s="1305" t="s">
        <v>46</v>
      </c>
      <c r="C189" s="1306">
        <f>IFERROR(VLOOKUP(A189,'2180 IS (C)'!D:AH,31,FALSE),0)</f>
        <v>81124.929999999993</v>
      </c>
      <c r="D189" s="1306">
        <f>IFERROR(VLOOKUP(A189,'2182 IS'!D:AH,31,FALSE),0)</f>
        <v>20056.899999999998</v>
      </c>
      <c r="E189" s="1306">
        <f t="shared" ref="E189:E190" si="195">SUM(C189:D189)</f>
        <v>101181.82999999999</v>
      </c>
      <c r="F189" s="1306"/>
      <c r="G189" s="1306"/>
      <c r="H189" s="1306"/>
      <c r="I189" s="1306"/>
      <c r="J189" s="1306"/>
      <c r="K189" s="1306"/>
      <c r="L189" s="1306"/>
      <c r="M189" s="1306">
        <f t="shared" ref="M189:M190" si="196">C189+G189+J189</f>
        <v>81124.929999999993</v>
      </c>
      <c r="N189" s="1306">
        <f t="shared" ref="N189:N190" si="197">D189+H189+K189</f>
        <v>20056.899999999998</v>
      </c>
      <c r="O189" s="1316">
        <f t="shared" ref="O189:O190" si="198">M189+N189</f>
        <v>101181.82999999999</v>
      </c>
      <c r="P189" s="1306"/>
      <c r="Q189" s="1316">
        <f t="shared" ref="Q189:Q190" si="199">N189</f>
        <v>20056.899999999998</v>
      </c>
      <c r="R189" s="1310"/>
      <c r="S189" s="1317">
        <f t="shared" ref="S189:S190" si="200">O189-Q189</f>
        <v>81124.929999999993</v>
      </c>
      <c r="T189" s="1306">
        <f>$S189*SUM('Ratios (C)'!$C$53+'Ratios (C)'!$D$53)</f>
        <v>46415.486630207866</v>
      </c>
      <c r="U189" s="1306">
        <f>$S189*('Ratios (C)'!$E$53+'Ratios (C)'!$F$53)</f>
        <v>7074.1953776739929</v>
      </c>
      <c r="V189" s="1318">
        <f>$S189*'Ratios (C)'!$G$53</f>
        <v>27635.24799211814</v>
      </c>
      <c r="W189" s="1324" t="s">
        <v>370</v>
      </c>
      <c r="X189" s="1306">
        <f t="shared" si="187"/>
        <v>0</v>
      </c>
      <c r="Y189" s="1377"/>
    </row>
    <row r="190" spans="1:27" s="1305" customFormat="1">
      <c r="A190" s="1304">
        <v>70150</v>
      </c>
      <c r="B190" s="1305" t="s">
        <v>46</v>
      </c>
      <c r="C190" s="1306">
        <f>IFERROR(VLOOKUP(A190,'2180 IS (C)'!D:AH,31,FALSE),0)</f>
        <v>4695.26</v>
      </c>
      <c r="D190" s="1306">
        <f>IFERROR(VLOOKUP(A190,'2182 IS'!D:AH,31,FALSE),0)</f>
        <v>0</v>
      </c>
      <c r="E190" s="1306">
        <f t="shared" si="195"/>
        <v>4695.26</v>
      </c>
      <c r="F190" s="1306"/>
      <c r="G190" s="1308"/>
      <c r="H190" s="1306"/>
      <c r="I190" s="1306"/>
      <c r="J190" s="1306"/>
      <c r="K190" s="1308"/>
      <c r="L190" s="1306"/>
      <c r="M190" s="1306">
        <f t="shared" si="196"/>
        <v>4695.26</v>
      </c>
      <c r="N190" s="1306">
        <f t="shared" si="197"/>
        <v>0</v>
      </c>
      <c r="O190" s="1316">
        <f t="shared" si="198"/>
        <v>4695.26</v>
      </c>
      <c r="P190" s="1306"/>
      <c r="Q190" s="1316">
        <f t="shared" si="199"/>
        <v>0</v>
      </c>
      <c r="R190" s="1310"/>
      <c r="S190" s="1317">
        <f t="shared" si="200"/>
        <v>4695.26</v>
      </c>
      <c r="T190" s="1306">
        <f>$S190*SUM('Ratios (C)'!$C$53+'Ratios (C)'!$D$53)</f>
        <v>2686.3847864688428</v>
      </c>
      <c r="U190" s="1306">
        <f>$S190*('Ratios (C)'!$E$53+'Ratios (C)'!$F$53)</f>
        <v>409.43254544537166</v>
      </c>
      <c r="V190" s="1318">
        <f>$S190*'Ratios (C)'!$G$53</f>
        <v>1599.442668085786</v>
      </c>
      <c r="W190" s="1324" t="s">
        <v>370</v>
      </c>
      <c r="X190" s="1306">
        <f t="shared" si="187"/>
        <v>0</v>
      </c>
      <c r="Y190" s="1377"/>
    </row>
    <row r="191" spans="1:27" s="1305" customFormat="1">
      <c r="A191" s="1358">
        <v>46400</v>
      </c>
      <c r="B191" s="1325" t="s">
        <v>46</v>
      </c>
      <c r="C191" s="1326">
        <f>SUM(C189:C190)</f>
        <v>85820.189999999988</v>
      </c>
      <c r="D191" s="1326">
        <f>SUM(D189:D190)</f>
        <v>20056.899999999998</v>
      </c>
      <c r="E191" s="1326">
        <f>SUM(E189:E190)</f>
        <v>105877.08999999998</v>
      </c>
      <c r="F191" s="1326"/>
      <c r="G191" s="1326">
        <f>SUM(G189:G190)</f>
        <v>0</v>
      </c>
      <c r="H191" s="1326">
        <f>SUM(H189:H190)</f>
        <v>0</v>
      </c>
      <c r="I191" s="1326"/>
      <c r="J191" s="1326">
        <f>SUM(J189:J190)</f>
        <v>0</v>
      </c>
      <c r="K191" s="1326">
        <f>SUM(K189:K190)</f>
        <v>0</v>
      </c>
      <c r="L191" s="1326"/>
      <c r="M191" s="1326">
        <f>SUM(M189:M190)</f>
        <v>85820.189999999988</v>
      </c>
      <c r="N191" s="1326">
        <f>SUM(N189:N190)</f>
        <v>20056.899999999998</v>
      </c>
      <c r="O191" s="1327">
        <f>SUM(O189:O190)</f>
        <v>105877.08999999998</v>
      </c>
      <c r="P191" s="1326">
        <f>SUM(P189:P190)</f>
        <v>0</v>
      </c>
      <c r="Q191" s="1327">
        <f>SUM(Q189:Q190)</f>
        <v>20056.899999999998</v>
      </c>
      <c r="R191" s="1328"/>
      <c r="S191" s="1329">
        <f>SUM(S189:S190)</f>
        <v>85820.189999999988</v>
      </c>
      <c r="T191" s="1326">
        <f>SUM(T189:T190)</f>
        <v>49101.871416676709</v>
      </c>
      <c r="U191" s="1326">
        <f>SUM(U189:U190)</f>
        <v>7483.6279231193648</v>
      </c>
      <c r="V191" s="1330">
        <f>SUM(V189:V190)</f>
        <v>29234.690660203927</v>
      </c>
      <c r="W191" s="1324"/>
      <c r="X191" s="1306">
        <f t="shared" si="187"/>
        <v>0</v>
      </c>
      <c r="Y191" s="1356"/>
      <c r="Z191" s="1357"/>
      <c r="AA191" s="1357"/>
    </row>
    <row r="192" spans="1:27" s="1305" customFormat="1">
      <c r="A192" s="1304"/>
      <c r="C192" s="1306"/>
      <c r="D192" s="1343"/>
      <c r="E192" s="1306"/>
      <c r="F192" s="1306"/>
      <c r="G192" s="1306"/>
      <c r="H192" s="1306"/>
      <c r="I192" s="1306"/>
      <c r="J192" s="1306"/>
      <c r="K192" s="1306"/>
      <c r="L192" s="1306"/>
      <c r="M192" s="1306"/>
      <c r="N192" s="1306"/>
      <c r="O192" s="1316"/>
      <c r="P192" s="1306"/>
      <c r="Q192" s="1316"/>
      <c r="R192" s="1324"/>
      <c r="S192" s="1317"/>
      <c r="T192" s="1378"/>
      <c r="U192" s="1306"/>
      <c r="V192" s="1318"/>
      <c r="W192" s="1324"/>
      <c r="X192" s="1306">
        <f t="shared" si="187"/>
        <v>0</v>
      </c>
      <c r="Y192" s="1377"/>
    </row>
    <row r="193" spans="1:27" s="1305" customFormat="1">
      <c r="A193" s="1304">
        <v>52165</v>
      </c>
      <c r="B193" s="1305" t="s">
        <v>109</v>
      </c>
      <c r="C193" s="1306">
        <f>IFERROR(VLOOKUP(A193,'2180 IS (C)'!D:AH,31,FALSE),0)</f>
        <v>4919.9699999999993</v>
      </c>
      <c r="D193" s="1306">
        <f>IFERROR(VLOOKUP(A193,'2182 IS'!D:AH,31,FALSE),0)</f>
        <v>0</v>
      </c>
      <c r="E193" s="1306">
        <f t="shared" ref="E193:E197" si="201">SUM(C193:D193)</f>
        <v>4919.9699999999993</v>
      </c>
      <c r="F193" s="1306"/>
      <c r="G193" s="1306"/>
      <c r="H193" s="1306"/>
      <c r="I193" s="1306"/>
      <c r="J193" s="1306"/>
      <c r="K193" s="1306"/>
      <c r="L193" s="1306"/>
      <c r="M193" s="1306">
        <f t="shared" ref="M193:M197" si="202">C193+G193+J193</f>
        <v>4919.9699999999993</v>
      </c>
      <c r="N193" s="1306">
        <f t="shared" ref="N193:N197" si="203">D193+H193+K193</f>
        <v>0</v>
      </c>
      <c r="O193" s="1316">
        <f t="shared" ref="O193:O197" si="204">M193+N193</f>
        <v>4919.9699999999993</v>
      </c>
      <c r="P193" s="1306"/>
      <c r="Q193" s="1316">
        <f t="shared" ref="Q193:Q197" si="205">N193</f>
        <v>0</v>
      </c>
      <c r="R193" s="1310"/>
      <c r="S193" s="1317">
        <f t="shared" ref="S193:S197" si="206">O193-Q193</f>
        <v>4919.9699999999993</v>
      </c>
      <c r="T193" s="1306">
        <f>$S193*SUM('Ratios (C)'!$C$53+'Ratios (C)'!$D$53)</f>
        <v>2814.9522194475085</v>
      </c>
      <c r="U193" s="1306">
        <f>$S193*('Ratios (C)'!$E$53+'Ratios (C)'!$F$53)</f>
        <v>429.0275385420328</v>
      </c>
      <c r="V193" s="1318">
        <f>$S193*'Ratios (C)'!$G$53</f>
        <v>1675.9902420104581</v>
      </c>
      <c r="W193" s="1324" t="s">
        <v>370</v>
      </c>
      <c r="X193" s="1306">
        <f t="shared" si="187"/>
        <v>0</v>
      </c>
      <c r="Y193" s="1377"/>
    </row>
    <row r="194" spans="1:27" s="1305" customFormat="1">
      <c r="A194" s="1304">
        <v>56165</v>
      </c>
      <c r="B194" s="1305" t="s">
        <v>109</v>
      </c>
      <c r="C194" s="1306">
        <f>IFERROR(VLOOKUP(A194,'2180 IS (C)'!D:AH,31,FALSE),0)</f>
        <v>240</v>
      </c>
      <c r="D194" s="1306">
        <f>IFERROR(VLOOKUP(A194,'2182 IS'!D:AH,31,FALSE),0)</f>
        <v>0</v>
      </c>
      <c r="E194" s="1306">
        <f t="shared" si="201"/>
        <v>240</v>
      </c>
      <c r="F194" s="1306"/>
      <c r="G194" s="1306"/>
      <c r="H194" s="1306"/>
      <c r="I194" s="1306"/>
      <c r="J194" s="1306"/>
      <c r="K194" s="1306"/>
      <c r="L194" s="1306"/>
      <c r="M194" s="1306">
        <f t="shared" si="202"/>
        <v>240</v>
      </c>
      <c r="N194" s="1306">
        <f t="shared" si="203"/>
        <v>0</v>
      </c>
      <c r="O194" s="1316">
        <f t="shared" si="204"/>
        <v>240</v>
      </c>
      <c r="P194" s="1306"/>
      <c r="Q194" s="1316">
        <f t="shared" si="205"/>
        <v>0</v>
      </c>
      <c r="R194" s="1310"/>
      <c r="S194" s="1317">
        <f t="shared" si="206"/>
        <v>240</v>
      </c>
      <c r="T194" s="1306">
        <f>$S194*SUM('Ratios (C)'!$C$53+'Ratios (C)'!$D$53)</f>
        <v>137.31557970219376</v>
      </c>
      <c r="U194" s="1306">
        <f>$S194*('Ratios (C)'!$E$53+'Ratios (C)'!$F$53)</f>
        <v>20.928300223393208</v>
      </c>
      <c r="V194" s="1318">
        <f>$S194*'Ratios (C)'!$G$53</f>
        <v>81.756120074413047</v>
      </c>
      <c r="W194" s="1324" t="s">
        <v>370</v>
      </c>
      <c r="X194" s="1306">
        <f t="shared" si="187"/>
        <v>0</v>
      </c>
      <c r="Y194" s="1377"/>
    </row>
    <row r="195" spans="1:27" s="1305" customFormat="1">
      <c r="A195" s="1304">
        <v>70165</v>
      </c>
      <c r="B195" s="1305" t="s">
        <v>109</v>
      </c>
      <c r="C195" s="1306">
        <f>IFERROR(VLOOKUP(A195,'2180 IS (C)'!D:AH,31,FALSE),0)</f>
        <v>46586.82</v>
      </c>
      <c r="D195" s="1306">
        <f>IFERROR(VLOOKUP(A195,'2182 IS'!D:AH,31,FALSE),0)</f>
        <v>17801.37</v>
      </c>
      <c r="E195" s="1306">
        <f t="shared" si="201"/>
        <v>64388.19</v>
      </c>
      <c r="F195" s="1306"/>
      <c r="G195" s="1306"/>
      <c r="H195" s="1306"/>
      <c r="I195" s="1306"/>
      <c r="J195" s="1306"/>
      <c r="K195" s="1306"/>
      <c r="L195" s="1306"/>
      <c r="M195" s="1306">
        <f t="shared" si="202"/>
        <v>46586.82</v>
      </c>
      <c r="N195" s="1306">
        <f t="shared" si="203"/>
        <v>17801.37</v>
      </c>
      <c r="O195" s="1316">
        <f t="shared" si="204"/>
        <v>64388.19</v>
      </c>
      <c r="P195" s="1306"/>
      <c r="Q195" s="1316">
        <f t="shared" si="205"/>
        <v>17801.37</v>
      </c>
      <c r="R195" s="1310"/>
      <c r="S195" s="1317">
        <f t="shared" si="206"/>
        <v>46586.820000000007</v>
      </c>
      <c r="T195" s="1306">
        <f>$S195*SUM('Ratios (C)'!$C$53+'Ratios (C)'!$D$53)</f>
        <v>26654.567478257311</v>
      </c>
      <c r="U195" s="1306">
        <f>$S195*('Ratios (C)'!$E$53+'Ratios (C)'!$F$53)</f>
        <v>4062.4289808882472</v>
      </c>
      <c r="V195" s="1318">
        <f>$S195*'Ratios (C)'!$G$53</f>
        <v>15869.823540854451</v>
      </c>
      <c r="W195" s="1324" t="s">
        <v>370</v>
      </c>
      <c r="X195" s="1306">
        <f t="shared" si="187"/>
        <v>0</v>
      </c>
      <c r="Y195" s="1377"/>
    </row>
    <row r="196" spans="1:27" s="1305" customFormat="1">
      <c r="A196" s="1304">
        <v>70166</v>
      </c>
      <c r="B196" s="1305" t="s">
        <v>110</v>
      </c>
      <c r="C196" s="1306">
        <f>IFERROR(VLOOKUP(A196,'2180 IS (C)'!D:AH,31,FALSE),0)</f>
        <v>686</v>
      </c>
      <c r="D196" s="1306">
        <f>IFERROR(VLOOKUP(A196,'2182 IS'!D:AH,31,FALSE),0)</f>
        <v>0</v>
      </c>
      <c r="E196" s="1306">
        <f t="shared" si="201"/>
        <v>686</v>
      </c>
      <c r="F196" s="1306"/>
      <c r="G196" s="1306"/>
      <c r="H196" s="1306"/>
      <c r="I196" s="1306"/>
      <c r="J196" s="1306"/>
      <c r="K196" s="1306"/>
      <c r="L196" s="1306"/>
      <c r="M196" s="1306">
        <f t="shared" si="202"/>
        <v>686</v>
      </c>
      <c r="N196" s="1306">
        <f t="shared" si="203"/>
        <v>0</v>
      </c>
      <c r="O196" s="1316">
        <f t="shared" si="204"/>
        <v>686</v>
      </c>
      <c r="P196" s="1306"/>
      <c r="Q196" s="1316">
        <f t="shared" si="205"/>
        <v>0</v>
      </c>
      <c r="R196" s="1310"/>
      <c r="S196" s="1317">
        <f t="shared" si="206"/>
        <v>686</v>
      </c>
      <c r="T196" s="1306">
        <f>$S196*SUM('Ratios (C)'!$C$53+'Ratios (C)'!$D$53)</f>
        <v>392.49369864877048</v>
      </c>
      <c r="U196" s="1306">
        <f>$S196*('Ratios (C)'!$E$53+'Ratios (C)'!$F$53)</f>
        <v>59.820058138532254</v>
      </c>
      <c r="V196" s="1318">
        <f>$S196*'Ratios (C)'!$G$53</f>
        <v>233.68624321269732</v>
      </c>
      <c r="W196" s="1324" t="s">
        <v>370</v>
      </c>
      <c r="X196" s="1306">
        <f t="shared" si="187"/>
        <v>0</v>
      </c>
      <c r="Y196" s="1377"/>
    </row>
    <row r="197" spans="1:27" s="1305" customFormat="1">
      <c r="A197" s="1304">
        <v>70167</v>
      </c>
      <c r="B197" s="1305" t="s">
        <v>111</v>
      </c>
      <c r="C197" s="1306">
        <f>IFERROR(VLOOKUP(A197,'2180 IS (C)'!D:AH,31,FALSE),0)</f>
        <v>57514.33</v>
      </c>
      <c r="D197" s="1306">
        <f>IFERROR(VLOOKUP(A197,'2182 IS'!D:AH,31,FALSE),0)</f>
        <v>4583.7999999999993</v>
      </c>
      <c r="E197" s="1306">
        <f t="shared" si="201"/>
        <v>62098.130000000005</v>
      </c>
      <c r="F197" s="1306"/>
      <c r="G197" s="1306"/>
      <c r="H197" s="1306"/>
      <c r="I197" s="1306"/>
      <c r="J197" s="1306"/>
      <c r="K197" s="1306"/>
      <c r="L197" s="1306"/>
      <c r="M197" s="1306">
        <f t="shared" si="202"/>
        <v>57514.33</v>
      </c>
      <c r="N197" s="1306">
        <f t="shared" si="203"/>
        <v>4583.7999999999993</v>
      </c>
      <c r="O197" s="1316">
        <f t="shared" si="204"/>
        <v>62098.130000000005</v>
      </c>
      <c r="P197" s="1306"/>
      <c r="Q197" s="1316">
        <f t="shared" si="205"/>
        <v>4583.7999999999993</v>
      </c>
      <c r="R197" s="1310"/>
      <c r="S197" s="1317">
        <f t="shared" si="206"/>
        <v>57514.33</v>
      </c>
      <c r="T197" s="1306">
        <f>$S197*SUM('Ratios (C)'!$C$53+'Ratios (C)'!$D$53)</f>
        <v>32906.723188055308</v>
      </c>
      <c r="U197" s="1306">
        <f>$S197*('Ratios (C)'!$E$53+'Ratios (C)'!$F$53)</f>
        <v>5015.3215224471287</v>
      </c>
      <c r="V197" s="1318">
        <f>$S197*'Ratios (C)'!$G$53</f>
        <v>19592.285289497573</v>
      </c>
      <c r="W197" s="1324" t="s">
        <v>370</v>
      </c>
      <c r="X197" s="1306">
        <f t="shared" si="187"/>
        <v>0</v>
      </c>
      <c r="Y197" s="1377"/>
    </row>
    <row r="198" spans="1:27" s="1305" customFormat="1">
      <c r="A198" s="1358">
        <v>46410</v>
      </c>
      <c r="B198" s="1325" t="s">
        <v>109</v>
      </c>
      <c r="C198" s="1326">
        <f>SUM(C193:C197)</f>
        <v>109947.12</v>
      </c>
      <c r="D198" s="1326">
        <f>SUM(D193:D197)</f>
        <v>22385.17</v>
      </c>
      <c r="E198" s="1326">
        <f>SUM(E193:E197)</f>
        <v>132332.29</v>
      </c>
      <c r="F198" s="1326"/>
      <c r="G198" s="1326">
        <f>SUM(G193:G197)</f>
        <v>0</v>
      </c>
      <c r="H198" s="1326">
        <f>SUM(H193:H197)</f>
        <v>0</v>
      </c>
      <c r="I198" s="1326"/>
      <c r="J198" s="1326">
        <f>SUM(J193:J197)</f>
        <v>0</v>
      </c>
      <c r="K198" s="1326">
        <f>SUM(K193:K197)</f>
        <v>0</v>
      </c>
      <c r="L198" s="1326"/>
      <c r="M198" s="1326">
        <f>SUM(M193:M197)</f>
        <v>109947.12</v>
      </c>
      <c r="N198" s="1326">
        <f>SUM(N193:N197)</f>
        <v>22385.17</v>
      </c>
      <c r="O198" s="1327">
        <f>SUM(O193:O197)</f>
        <v>132332.29</v>
      </c>
      <c r="P198" s="1326">
        <f>SUM(P193:P197)</f>
        <v>0</v>
      </c>
      <c r="Q198" s="1327">
        <f>SUM(Q193:Q197)</f>
        <v>22385.17</v>
      </c>
      <c r="R198" s="1328"/>
      <c r="S198" s="1329">
        <f>SUM(S193:S197)</f>
        <v>109947.12000000001</v>
      </c>
      <c r="T198" s="1326">
        <f>SUM(T193:T197)</f>
        <v>62906.052164111097</v>
      </c>
      <c r="U198" s="1326">
        <f>SUM(U193:U197)</f>
        <v>9587.5264002393342</v>
      </c>
      <c r="V198" s="1330">
        <f>SUM(V193:V197)</f>
        <v>37453.541435649589</v>
      </c>
      <c r="W198" s="1324"/>
      <c r="X198" s="1306">
        <f t="shared" si="187"/>
        <v>0</v>
      </c>
      <c r="Y198" s="1356"/>
      <c r="Z198" s="1357"/>
      <c r="AA198" s="1357"/>
    </row>
    <row r="199" spans="1:27" s="1305" customFormat="1">
      <c r="A199" s="1304"/>
      <c r="C199" s="1306"/>
      <c r="D199" s="1343"/>
      <c r="E199" s="1306"/>
      <c r="F199" s="1306"/>
      <c r="G199" s="1306"/>
      <c r="H199" s="1306"/>
      <c r="I199" s="1306"/>
      <c r="J199" s="1306"/>
      <c r="K199" s="1306"/>
      <c r="L199" s="1306"/>
      <c r="M199" s="1306"/>
      <c r="N199" s="1306"/>
      <c r="O199" s="1316"/>
      <c r="P199" s="1306"/>
      <c r="Q199" s="1316"/>
      <c r="R199" s="1324"/>
      <c r="S199" s="1317"/>
      <c r="T199" s="1306"/>
      <c r="U199" s="1306"/>
      <c r="V199" s="1318"/>
      <c r="W199" s="1324"/>
      <c r="X199" s="1306">
        <f t="shared" si="187"/>
        <v>0</v>
      </c>
      <c r="Y199" s="1377"/>
    </row>
    <row r="200" spans="1:27" s="1305" customFormat="1">
      <c r="A200" s="1304">
        <v>50060</v>
      </c>
      <c r="B200" s="1305" t="s">
        <v>70</v>
      </c>
      <c r="C200" s="1306">
        <f>IFERROR(VLOOKUP(A200,'2180 IS (C)'!D:AH,31,FALSE),0)</f>
        <v>464325.25</v>
      </c>
      <c r="D200" s="1306">
        <f>IFERROR(VLOOKUP(A200,'2182 IS'!D:AH,31,FALSE),0)</f>
        <v>485123.00999999995</v>
      </c>
      <c r="E200" s="1306">
        <f t="shared" ref="E200:E205" si="207">SUM(C200:D200)</f>
        <v>949448.26</v>
      </c>
      <c r="F200" s="1306"/>
      <c r="G200" s="1306"/>
      <c r="H200" s="1306"/>
      <c r="I200" s="1306"/>
      <c r="J200" s="1306"/>
      <c r="K200" s="1306"/>
      <c r="L200" s="1306"/>
      <c r="M200" s="1306">
        <f t="shared" ref="M200:M205" si="208">C200+G200+J200</f>
        <v>464325.25</v>
      </c>
      <c r="N200" s="1306">
        <f t="shared" ref="N200:N205" si="209">D200+H200+K200</f>
        <v>485123.00999999995</v>
      </c>
      <c r="O200" s="1316">
        <f t="shared" ref="O200:O205" si="210">M200+N200</f>
        <v>949448.26</v>
      </c>
      <c r="P200" s="1306"/>
      <c r="Q200" s="1316">
        <f t="shared" ref="Q200:Q205" si="211">N200</f>
        <v>485123.00999999995</v>
      </c>
      <c r="R200" s="1310"/>
      <c r="S200" s="1317">
        <f t="shared" ref="S200:S205" si="212">O200-Q200</f>
        <v>464325.25000000006</v>
      </c>
      <c r="T200" s="1306">
        <f>$S200*SUM('Ratios (C)'!$C$53+'Ratios (C)'!$D$53)</f>
        <v>265662.8786421502</v>
      </c>
      <c r="U200" s="1306">
        <f>$S200*('Ratios (C)'!$E$53+'Ratios (C)'!$F$53)</f>
        <v>40489.742638758784</v>
      </c>
      <c r="V200" s="1318">
        <f>$S200*'Ratios (C)'!$G$53</f>
        <v>158172.6287190911</v>
      </c>
      <c r="W200" s="1324" t="s">
        <v>370</v>
      </c>
      <c r="X200" s="1306">
        <f t="shared" si="187"/>
        <v>0</v>
      </c>
      <c r="Y200" s="1377"/>
    </row>
    <row r="201" spans="1:27" s="1305" customFormat="1">
      <c r="A201" s="1304">
        <v>50116</v>
      </c>
      <c r="B201" s="1305" t="s">
        <v>112</v>
      </c>
      <c r="C201" s="1306">
        <f>IFERROR(VLOOKUP(A201,'2180 IS (C)'!D:AH,31,FALSE),0)</f>
        <v>715087.54999999993</v>
      </c>
      <c r="D201" s="1306">
        <f>IFERROR(VLOOKUP(A201,'2182 IS'!D:AH,31,FALSE),0)</f>
        <v>0</v>
      </c>
      <c r="E201" s="1306">
        <f t="shared" si="207"/>
        <v>715087.54999999993</v>
      </c>
      <c r="F201" s="1306"/>
      <c r="G201" s="1306"/>
      <c r="H201" s="1306"/>
      <c r="I201" s="1306"/>
      <c r="J201" s="1306"/>
      <c r="K201" s="1306"/>
      <c r="L201" s="1306"/>
      <c r="M201" s="1306">
        <f t="shared" si="208"/>
        <v>715087.54999999993</v>
      </c>
      <c r="N201" s="1306">
        <f t="shared" si="209"/>
        <v>0</v>
      </c>
      <c r="O201" s="1316">
        <f t="shared" si="210"/>
        <v>715087.54999999993</v>
      </c>
      <c r="P201" s="1306"/>
      <c r="Q201" s="1316">
        <f t="shared" si="211"/>
        <v>0</v>
      </c>
      <c r="R201" s="1310"/>
      <c r="S201" s="1317">
        <f t="shared" si="212"/>
        <v>715087.54999999993</v>
      </c>
      <c r="T201" s="1306">
        <f>$S201*SUM('Ratios (C)'!$C$53+'Ratios (C)'!$D$53)</f>
        <v>409136.08944196434</v>
      </c>
      <c r="U201" s="1306">
        <f>$S201*('Ratios (C)'!$E$53+'Ratios (C)'!$F$53)</f>
        <v>62356.528885044587</v>
      </c>
      <c r="V201" s="1318">
        <f>$S201*'Ratios (C)'!$G$53</f>
        <v>243594.93167299102</v>
      </c>
      <c r="W201" s="1324" t="s">
        <v>370</v>
      </c>
      <c r="X201" s="1306">
        <f t="shared" si="187"/>
        <v>0</v>
      </c>
      <c r="Y201" s="1377"/>
    </row>
    <row r="202" spans="1:27" s="1305" customFormat="1">
      <c r="A202" s="1304">
        <v>52060</v>
      </c>
      <c r="B202" s="1305" t="s">
        <v>70</v>
      </c>
      <c r="C202" s="1306">
        <f>IFERROR(VLOOKUP(A202,'2180 IS (C)'!D:AH,31,FALSE),0)</f>
        <v>262988.52</v>
      </c>
      <c r="D202" s="1306">
        <f>IFERROR(VLOOKUP(A202,'2182 IS'!D:AH,31,FALSE),0)</f>
        <v>75206.98000000001</v>
      </c>
      <c r="E202" s="1306">
        <f t="shared" si="207"/>
        <v>338195.5</v>
      </c>
      <c r="F202" s="1306"/>
      <c r="G202" s="1306"/>
      <c r="H202" s="1306"/>
      <c r="I202" s="1306"/>
      <c r="J202" s="1306"/>
      <c r="K202" s="1306"/>
      <c r="L202" s="1306"/>
      <c r="M202" s="1306">
        <f t="shared" si="208"/>
        <v>262988.52</v>
      </c>
      <c r="N202" s="1306">
        <f t="shared" si="209"/>
        <v>75206.98000000001</v>
      </c>
      <c r="O202" s="1316">
        <f t="shared" si="210"/>
        <v>338195.5</v>
      </c>
      <c r="P202" s="1306"/>
      <c r="Q202" s="1316">
        <f t="shared" si="211"/>
        <v>75206.98000000001</v>
      </c>
      <c r="R202" s="1310"/>
      <c r="S202" s="1317">
        <f t="shared" si="212"/>
        <v>262988.52</v>
      </c>
      <c r="T202" s="1306">
        <f>$S202*SUM('Ratios (C)'!$C$53+'Ratios (C)'!$D$53)</f>
        <v>150468.42116175825</v>
      </c>
      <c r="U202" s="1306">
        <f>$S202*('Ratios (C)'!$E$53+'Ratios (C)'!$F$53)</f>
        <v>22932.927924441043</v>
      </c>
      <c r="V202" s="1318">
        <f>$S202*'Ratios (C)'!$G$53</f>
        <v>89587.170913800757</v>
      </c>
      <c r="W202" s="1324" t="s">
        <v>370</v>
      </c>
      <c r="X202" s="1306">
        <f t="shared" si="187"/>
        <v>0</v>
      </c>
      <c r="Y202" s="1377"/>
    </row>
    <row r="203" spans="1:27" s="1305" customFormat="1">
      <c r="A203" s="1304">
        <v>55060</v>
      </c>
      <c r="B203" s="1305" t="s">
        <v>70</v>
      </c>
      <c r="C203" s="1306">
        <f>IFERROR(VLOOKUP(A203,'2180 IS (C)'!D:AH,31,FALSE),0)</f>
        <v>159395.9</v>
      </c>
      <c r="D203" s="1306">
        <f>IFERROR(VLOOKUP(A203,'2182 IS'!D:AH,31,FALSE),0)</f>
        <v>0</v>
      </c>
      <c r="E203" s="1306">
        <f t="shared" si="207"/>
        <v>159395.9</v>
      </c>
      <c r="F203" s="1306"/>
      <c r="G203" s="1306"/>
      <c r="H203" s="1306"/>
      <c r="I203" s="1306"/>
      <c r="J203" s="1306"/>
      <c r="K203" s="1306"/>
      <c r="L203" s="1306"/>
      <c r="M203" s="1306">
        <f t="shared" si="208"/>
        <v>159395.9</v>
      </c>
      <c r="N203" s="1306">
        <f t="shared" si="209"/>
        <v>0</v>
      </c>
      <c r="O203" s="1316">
        <f t="shared" si="210"/>
        <v>159395.9</v>
      </c>
      <c r="P203" s="1306"/>
      <c r="Q203" s="1316">
        <f t="shared" si="211"/>
        <v>0</v>
      </c>
      <c r="R203" s="1310"/>
      <c r="S203" s="1317">
        <f t="shared" si="212"/>
        <v>159395.9</v>
      </c>
      <c r="T203" s="1306">
        <f>$S203*SUM('Ratios (C)'!$C$53+'Ratios (C)'!$D$53)</f>
        <v>91198.085044387102</v>
      </c>
      <c r="U203" s="1306">
        <f>$S203*('Ratios (C)'!$E$53+'Ratios (C)'!$F$53)</f>
        <v>13899.521873241507</v>
      </c>
      <c r="V203" s="1318">
        <f>$S203*'Ratios (C)'!$G$53</f>
        <v>54298.293082371398</v>
      </c>
      <c r="W203" s="1324" t="s">
        <v>370</v>
      </c>
      <c r="X203" s="1306">
        <f t="shared" si="187"/>
        <v>0</v>
      </c>
      <c r="Y203" s="1377"/>
    </row>
    <row r="204" spans="1:27" s="1305" customFormat="1">
      <c r="A204" s="1304">
        <v>56060</v>
      </c>
      <c r="B204" s="1305" t="s">
        <v>70</v>
      </c>
      <c r="C204" s="1306">
        <f>IFERROR(VLOOKUP(A204,'2180 IS (C)'!D:AH,31,FALSE),0)</f>
        <v>53750.680000000008</v>
      </c>
      <c r="D204" s="1306">
        <f>IFERROR(VLOOKUP(A204,'2182 IS'!D:AH,31,FALSE),0)</f>
        <v>11958.72</v>
      </c>
      <c r="E204" s="1306">
        <f t="shared" si="207"/>
        <v>65709.400000000009</v>
      </c>
      <c r="F204" s="1306"/>
      <c r="G204" s="1306"/>
      <c r="H204" s="1306"/>
      <c r="I204" s="1306"/>
      <c r="J204" s="1306"/>
      <c r="K204" s="1306"/>
      <c r="L204" s="1306"/>
      <c r="M204" s="1306">
        <f t="shared" si="208"/>
        <v>53750.680000000008</v>
      </c>
      <c r="N204" s="1306">
        <f t="shared" si="209"/>
        <v>11958.72</v>
      </c>
      <c r="O204" s="1316">
        <f t="shared" si="210"/>
        <v>65709.400000000009</v>
      </c>
      <c r="P204" s="1306"/>
      <c r="Q204" s="1316">
        <f t="shared" si="211"/>
        <v>11958.72</v>
      </c>
      <c r="R204" s="1310"/>
      <c r="S204" s="1317">
        <f t="shared" si="212"/>
        <v>53750.680000000008</v>
      </c>
      <c r="T204" s="1306">
        <f>$S204*SUM('Ratios (C)'!$C$53+'Ratios (C)'!$D$53)</f>
        <v>30753.357431612967</v>
      </c>
      <c r="U204" s="1306">
        <f>$S204*('Ratios (C)'!$E$53+'Ratios (C)'!$F$53)</f>
        <v>4687.1265343814048</v>
      </c>
      <c r="V204" s="1318">
        <f>$S204*'Ratios (C)'!$G$53</f>
        <v>18310.196034005636</v>
      </c>
      <c r="W204" s="1324" t="s">
        <v>370</v>
      </c>
      <c r="X204" s="1306">
        <f t="shared" si="187"/>
        <v>0</v>
      </c>
      <c r="Y204" s="1377"/>
    </row>
    <row r="205" spans="1:27" s="1305" customFormat="1">
      <c r="A205" s="1304">
        <v>70060</v>
      </c>
      <c r="B205" s="1305" t="s">
        <v>70</v>
      </c>
      <c r="C205" s="1306">
        <f>IFERROR(VLOOKUP(A205,'2180 IS (C)'!D:AH,31,FALSE),0)</f>
        <v>393288.31</v>
      </c>
      <c r="D205" s="1306">
        <f>IFERROR(VLOOKUP(A205,'2182 IS'!D:AH,31,FALSE),0)</f>
        <v>12976.25</v>
      </c>
      <c r="E205" s="1306">
        <f t="shared" si="207"/>
        <v>406264.56</v>
      </c>
      <c r="F205" s="1306"/>
      <c r="G205" s="1306"/>
      <c r="H205" s="1306"/>
      <c r="I205" s="1306"/>
      <c r="J205" s="1306"/>
      <c r="K205" s="1306"/>
      <c r="L205" s="1306"/>
      <c r="M205" s="1306">
        <f t="shared" si="208"/>
        <v>393288.31</v>
      </c>
      <c r="N205" s="1306">
        <f t="shared" si="209"/>
        <v>12976.25</v>
      </c>
      <c r="O205" s="1316">
        <f t="shared" si="210"/>
        <v>406264.56</v>
      </c>
      <c r="P205" s="1306"/>
      <c r="Q205" s="1316">
        <f t="shared" si="211"/>
        <v>12976.25</v>
      </c>
      <c r="R205" s="1310"/>
      <c r="S205" s="1317">
        <f t="shared" si="212"/>
        <v>393288.31</v>
      </c>
      <c r="T205" s="1306">
        <f>$S205*('Ratios (C)'!$C$21+'Ratios (C)'!$D$21)</f>
        <v>285116.15441021981</v>
      </c>
      <c r="U205" s="1306">
        <f>$S205*('Ratios (C)'!$E$21+'Ratios (C)'!$F$21)</f>
        <v>2370.6734802734641</v>
      </c>
      <c r="V205" s="1318">
        <f>$S205*'Ratios (C)'!$G$21</f>
        <v>105801.48210950672</v>
      </c>
      <c r="W205" s="1324" t="s">
        <v>371</v>
      </c>
      <c r="X205" s="1306">
        <f t="shared" si="187"/>
        <v>0</v>
      </c>
      <c r="Y205" s="1377"/>
    </row>
    <row r="206" spans="1:27" s="1305" customFormat="1">
      <c r="A206" s="1358">
        <v>46500</v>
      </c>
      <c r="B206" s="1325" t="s">
        <v>113</v>
      </c>
      <c r="C206" s="1326">
        <f>SUM(C200:C205)</f>
        <v>2048836.2099999997</v>
      </c>
      <c r="D206" s="1326">
        <f>SUM(D200:D205)</f>
        <v>585264.96</v>
      </c>
      <c r="E206" s="1326">
        <f>SUM(E200:E205)</f>
        <v>2634101.17</v>
      </c>
      <c r="F206" s="1326"/>
      <c r="G206" s="1326">
        <f>SUM(G200:G205)</f>
        <v>0</v>
      </c>
      <c r="H206" s="1326">
        <f>SUM(H200:H205)</f>
        <v>0</v>
      </c>
      <c r="I206" s="1326"/>
      <c r="J206" s="1326">
        <f>SUM(J200:J205)</f>
        <v>0</v>
      </c>
      <c r="K206" s="1326">
        <f>SUM(K200:K205)</f>
        <v>0</v>
      </c>
      <c r="L206" s="1326"/>
      <c r="M206" s="1326">
        <f>SUM(M200:M205)</f>
        <v>2048836.2099999997</v>
      </c>
      <c r="N206" s="1326">
        <f>SUM(N200:N205)</f>
        <v>585264.96</v>
      </c>
      <c r="O206" s="1327">
        <f>SUM(O200:O205)</f>
        <v>2634101.17</v>
      </c>
      <c r="P206" s="1326">
        <f>SUM(P200:P205)</f>
        <v>0</v>
      </c>
      <c r="Q206" s="1327">
        <f>SUM(Q200:Q205)</f>
        <v>585264.96</v>
      </c>
      <c r="R206" s="1328"/>
      <c r="S206" s="1329">
        <f>SUM(S200:S205)</f>
        <v>2048836.21</v>
      </c>
      <c r="T206" s="1326">
        <f>SUM(T200:T205)</f>
        <v>1232334.9861320928</v>
      </c>
      <c r="U206" s="1326">
        <f>SUM(U200:U205)</f>
        <v>146736.52133614078</v>
      </c>
      <c r="V206" s="1330">
        <f>SUM(V200:V205)</f>
        <v>669764.70253176661</v>
      </c>
      <c r="W206" s="1324"/>
      <c r="X206" s="1306">
        <f t="shared" si="187"/>
        <v>0</v>
      </c>
      <c r="Y206" s="1356"/>
      <c r="Z206" s="1357"/>
      <c r="AA206" s="1357"/>
    </row>
    <row r="207" spans="1:27" s="1305" customFormat="1">
      <c r="A207" s="1304"/>
      <c r="C207" s="1306"/>
      <c r="D207" s="1343"/>
      <c r="E207" s="1306"/>
      <c r="F207" s="1306"/>
      <c r="G207" s="1306"/>
      <c r="H207" s="1306"/>
      <c r="I207" s="1306"/>
      <c r="J207" s="1306"/>
      <c r="K207" s="1306"/>
      <c r="L207" s="1306"/>
      <c r="M207" s="1306"/>
      <c r="N207" s="1306"/>
      <c r="O207" s="1316"/>
      <c r="P207" s="1306"/>
      <c r="Q207" s="1316"/>
      <c r="R207" s="1324"/>
      <c r="S207" s="1317"/>
      <c r="T207" s="1306"/>
      <c r="U207" s="1306"/>
      <c r="V207" s="1318"/>
      <c r="W207" s="1324"/>
      <c r="X207" s="1306">
        <f t="shared" si="187"/>
        <v>0</v>
      </c>
      <c r="Y207" s="1377"/>
    </row>
    <row r="208" spans="1:27" s="1305" customFormat="1">
      <c r="A208" s="1304">
        <v>50115</v>
      </c>
      <c r="B208" s="1305" t="s">
        <v>114</v>
      </c>
      <c r="C208" s="1306">
        <f>IFERROR(VLOOKUP(A208,'2180 IS (C)'!D:AH,31,FALSE),0)</f>
        <v>103311.17</v>
      </c>
      <c r="D208" s="1306">
        <f>IFERROR(VLOOKUP(A208,'2182 IS'!D:AH,31,FALSE),0)</f>
        <v>92451.939999999988</v>
      </c>
      <c r="E208" s="1306">
        <f t="shared" ref="E208:E214" si="213">SUM(C208:D208)</f>
        <v>195763.11</v>
      </c>
      <c r="F208" s="1306"/>
      <c r="G208" s="1306"/>
      <c r="H208" s="1306"/>
      <c r="I208" s="1306"/>
      <c r="J208" s="1306"/>
      <c r="K208" s="1306"/>
      <c r="L208" s="1306"/>
      <c r="M208" s="1306">
        <f t="shared" ref="M208:M214" si="214">C208+G208+J208</f>
        <v>103311.17</v>
      </c>
      <c r="N208" s="1306">
        <f t="shared" ref="N208:N214" si="215">D208+H208+K208</f>
        <v>92451.939999999988</v>
      </c>
      <c r="O208" s="1316">
        <f t="shared" ref="O208:O214" si="216">M208+N208</f>
        <v>195763.11</v>
      </c>
      <c r="P208" s="1306"/>
      <c r="Q208" s="1316">
        <f t="shared" ref="Q208:Q214" si="217">N208</f>
        <v>92451.939999999988</v>
      </c>
      <c r="R208" s="1310"/>
      <c r="S208" s="1317">
        <f t="shared" ref="S208:S214" si="218">O208-Q208</f>
        <v>103311.17</v>
      </c>
      <c r="T208" s="1306">
        <f>$S208*SUM('Ratios (C)'!$C$53+'Ratios (C)'!$D$53)</f>
        <v>59109.304992757861</v>
      </c>
      <c r="U208" s="1306">
        <f>$S208*('Ratios (C)'!$E$53+'Ratios (C)'!$F$53)</f>
        <v>9008.8632591250571</v>
      </c>
      <c r="V208" s="1318">
        <f>$S208*'Ratios (C)'!$G$53</f>
        <v>35193.00174811708</v>
      </c>
      <c r="W208" s="1324" t="s">
        <v>370</v>
      </c>
      <c r="X208" s="1306">
        <f t="shared" si="187"/>
        <v>0</v>
      </c>
      <c r="Y208" s="1377"/>
    </row>
    <row r="209" spans="1:27" s="1305" customFormat="1">
      <c r="A209" s="1304">
        <v>50117</v>
      </c>
      <c r="B209" s="1305" t="s">
        <v>115</v>
      </c>
      <c r="C209" s="1306">
        <f>IFERROR(VLOOKUP(A209,'2180 IS (C)'!D:AH,31,FALSE),0)</f>
        <v>487259.46</v>
      </c>
      <c r="D209" s="1306">
        <f>IFERROR(VLOOKUP(A209,'2182 IS'!D:AH,31,FALSE),0)</f>
        <v>0</v>
      </c>
      <c r="E209" s="1306">
        <f t="shared" si="213"/>
        <v>487259.46</v>
      </c>
      <c r="F209" s="1306"/>
      <c r="G209" s="1306"/>
      <c r="H209" s="1306"/>
      <c r="I209" s="1306"/>
      <c r="J209" s="1306"/>
      <c r="K209" s="1306"/>
      <c r="L209" s="1306"/>
      <c r="M209" s="1306">
        <f t="shared" si="214"/>
        <v>487259.46</v>
      </c>
      <c r="N209" s="1306">
        <f t="shared" si="215"/>
        <v>0</v>
      </c>
      <c r="O209" s="1316">
        <f t="shared" si="216"/>
        <v>487259.46</v>
      </c>
      <c r="P209" s="1306"/>
      <c r="Q209" s="1316">
        <f t="shared" si="217"/>
        <v>0</v>
      </c>
      <c r="R209" s="1310"/>
      <c r="S209" s="1317">
        <f t="shared" si="218"/>
        <v>487259.46</v>
      </c>
      <c r="T209" s="1306">
        <f>$S209*SUM('Ratios (C)'!$C$53+'Ratios (C)'!$D$53)</f>
        <v>278784.64673032454</v>
      </c>
      <c r="U209" s="1306">
        <f>$S209*('Ratios (C)'!$E$53+'Ratios (C)'!$F$53)</f>
        <v>42489.634439868561</v>
      </c>
      <c r="V209" s="1318">
        <f>$S209*'Ratios (C)'!$G$53</f>
        <v>165985.17882980694</v>
      </c>
      <c r="W209" s="1324" t="s">
        <v>370</v>
      </c>
      <c r="X209" s="1306">
        <f t="shared" si="187"/>
        <v>0</v>
      </c>
      <c r="Y209" s="1377"/>
    </row>
    <row r="210" spans="1:27" s="1305" customFormat="1">
      <c r="A210" s="1304">
        <v>52115</v>
      </c>
      <c r="B210" s="1305" t="s">
        <v>114</v>
      </c>
      <c r="C210" s="1306">
        <f>IFERROR(VLOOKUP(A210,'2180 IS (C)'!D:AH,31,FALSE),0)</f>
        <v>48031.410000000011</v>
      </c>
      <c r="D210" s="1306">
        <f>IFERROR(VLOOKUP(A210,'2182 IS'!D:AH,31,FALSE),0)</f>
        <v>12862.16</v>
      </c>
      <c r="E210" s="1306">
        <f t="shared" si="213"/>
        <v>60893.570000000007</v>
      </c>
      <c r="F210" s="1306"/>
      <c r="G210" s="1306"/>
      <c r="H210" s="1306"/>
      <c r="I210" s="1306"/>
      <c r="J210" s="1306"/>
      <c r="K210" s="1306"/>
      <c r="L210" s="1306"/>
      <c r="M210" s="1306">
        <f t="shared" si="214"/>
        <v>48031.410000000011</v>
      </c>
      <c r="N210" s="1306">
        <f t="shared" si="215"/>
        <v>12862.16</v>
      </c>
      <c r="O210" s="1316">
        <f t="shared" si="216"/>
        <v>60893.570000000007</v>
      </c>
      <c r="P210" s="1306"/>
      <c r="Q210" s="1316">
        <f t="shared" si="217"/>
        <v>12862.16</v>
      </c>
      <c r="R210" s="1310"/>
      <c r="S210" s="1317">
        <f t="shared" si="218"/>
        <v>48031.41</v>
      </c>
      <c r="T210" s="1306">
        <f>$S210*SUM('Ratios (C)'!$C$53+'Ratios (C)'!$D$53)</f>
        <v>27481.087116932275</v>
      </c>
      <c r="U210" s="1306">
        <f>$S210*('Ratios (C)'!$E$53+'Ratios (C)'!$F$53)</f>
        <v>4188.3990359703785</v>
      </c>
      <c r="V210" s="1318">
        <f>$S210*'Ratios (C)'!$G$53</f>
        <v>16361.923847097351</v>
      </c>
      <c r="W210" s="1324" t="s">
        <v>370</v>
      </c>
      <c r="X210" s="1306">
        <f t="shared" si="187"/>
        <v>0</v>
      </c>
      <c r="Y210" s="1377"/>
    </row>
    <row r="211" spans="1:27" s="1305" customFormat="1">
      <c r="A211" s="1304">
        <v>55115</v>
      </c>
      <c r="B211" s="1305" t="s">
        <v>116</v>
      </c>
      <c r="C211" s="1306">
        <f>IFERROR(VLOOKUP(A211,'2180 IS (C)'!D:AH,31,FALSE),0)</f>
        <v>16371.640000000001</v>
      </c>
      <c r="D211" s="1306">
        <f>IFERROR(VLOOKUP(A211,'2182 IS'!D:AH,31,FALSE),0)</f>
        <v>0</v>
      </c>
      <c r="E211" s="1306">
        <f t="shared" si="213"/>
        <v>16371.640000000001</v>
      </c>
      <c r="F211" s="1306"/>
      <c r="G211" s="1306"/>
      <c r="H211" s="1306"/>
      <c r="I211" s="1306"/>
      <c r="J211" s="1306"/>
      <c r="K211" s="1306"/>
      <c r="L211" s="1306"/>
      <c r="M211" s="1306">
        <f t="shared" si="214"/>
        <v>16371.640000000001</v>
      </c>
      <c r="N211" s="1306">
        <f t="shared" si="215"/>
        <v>0</v>
      </c>
      <c r="O211" s="1316">
        <f t="shared" si="216"/>
        <v>16371.640000000001</v>
      </c>
      <c r="P211" s="1306"/>
      <c r="Q211" s="1316">
        <f t="shared" si="217"/>
        <v>0</v>
      </c>
      <c r="R211" s="1310"/>
      <c r="S211" s="1317">
        <f t="shared" si="218"/>
        <v>16371.640000000001</v>
      </c>
      <c r="T211" s="1306">
        <f>$S211*('Ratios (C)'!$C$32+'Ratios (C)'!$D$32)</f>
        <v>11877.119313479845</v>
      </c>
      <c r="U211" s="1306">
        <f>$S211*('Ratios (C)'!$E$32+'Ratios (C)'!$F$32)</f>
        <v>92.057683224358158</v>
      </c>
      <c r="V211" s="1318">
        <f>$S211*'Ratios (C)'!$G$32</f>
        <v>4402.4630032957966</v>
      </c>
      <c r="W211" s="1324" t="s">
        <v>2383</v>
      </c>
      <c r="X211" s="1306">
        <f t="shared" si="187"/>
        <v>0</v>
      </c>
      <c r="Y211" s="1377"/>
    </row>
    <row r="212" spans="1:27" s="1305" customFormat="1">
      <c r="A212" s="1304">
        <v>56115</v>
      </c>
      <c r="B212" s="1305" t="s">
        <v>114</v>
      </c>
      <c r="C212" s="1306">
        <f>IFERROR(VLOOKUP(A212,'2180 IS (C)'!D:AH,31,FALSE),0)</f>
        <v>7269.9999999999991</v>
      </c>
      <c r="D212" s="1306">
        <f>IFERROR(VLOOKUP(A212,'2182 IS'!D:AH,31,FALSE),0)</f>
        <v>3627.4799999999996</v>
      </c>
      <c r="E212" s="1306">
        <f t="shared" si="213"/>
        <v>10897.48</v>
      </c>
      <c r="F212" s="1306"/>
      <c r="G212" s="1306"/>
      <c r="H212" s="1306"/>
      <c r="I212" s="1306"/>
      <c r="J212" s="1306"/>
      <c r="K212" s="1306"/>
      <c r="L212" s="1306"/>
      <c r="M212" s="1306">
        <f t="shared" si="214"/>
        <v>7269.9999999999991</v>
      </c>
      <c r="N212" s="1306">
        <f t="shared" si="215"/>
        <v>3627.4799999999996</v>
      </c>
      <c r="O212" s="1316">
        <f t="shared" si="216"/>
        <v>10897.48</v>
      </c>
      <c r="P212" s="1306"/>
      <c r="Q212" s="1316">
        <f t="shared" si="217"/>
        <v>3627.4799999999996</v>
      </c>
      <c r="R212" s="1310"/>
      <c r="S212" s="1317">
        <f t="shared" si="218"/>
        <v>7270</v>
      </c>
      <c r="T212" s="1306">
        <f>$S212*SUM('Ratios (C)'!$C$53+'Ratios (C)'!$D$53)</f>
        <v>4159.5177684789523</v>
      </c>
      <c r="U212" s="1306">
        <f>$S212*('Ratios (C)'!$E$53+'Ratios (C)'!$F$53)</f>
        <v>633.95309426695258</v>
      </c>
      <c r="V212" s="1318">
        <f>$S212*'Ratios (C)'!$G$53</f>
        <v>2476.5291372540955</v>
      </c>
      <c r="W212" s="1324" t="s">
        <v>370</v>
      </c>
      <c r="X212" s="1306">
        <f t="shared" si="187"/>
        <v>0</v>
      </c>
      <c r="Y212" s="1377"/>
    </row>
    <row r="213" spans="1:27" s="1305" customFormat="1">
      <c r="A213" s="1304">
        <v>60116</v>
      </c>
      <c r="B213" s="1305" t="s">
        <v>114</v>
      </c>
      <c r="C213" s="1306">
        <f>IFERROR(VLOOKUP(A213,'2180 IS (C)'!D:AH,31,FALSE),0)</f>
        <v>5025.05</v>
      </c>
      <c r="D213" s="1306">
        <f>IFERROR(VLOOKUP(A213,'2182 IS'!D:AH,31,FALSE),0)</f>
        <v>0</v>
      </c>
      <c r="E213" s="1306">
        <f t="shared" si="213"/>
        <v>5025.05</v>
      </c>
      <c r="F213" s="1306"/>
      <c r="G213" s="1306"/>
      <c r="H213" s="1306"/>
      <c r="I213" s="1306"/>
      <c r="J213" s="1306"/>
      <c r="K213" s="1306"/>
      <c r="L213" s="1306"/>
      <c r="M213" s="1306">
        <f t="shared" si="214"/>
        <v>5025.05</v>
      </c>
      <c r="N213" s="1306">
        <f t="shared" si="215"/>
        <v>0</v>
      </c>
      <c r="O213" s="1316">
        <f t="shared" si="216"/>
        <v>5025.05</v>
      </c>
      <c r="P213" s="1306"/>
      <c r="Q213" s="1316">
        <f t="shared" si="217"/>
        <v>0</v>
      </c>
      <c r="R213" s="1310"/>
      <c r="S213" s="1317">
        <f t="shared" si="218"/>
        <v>5025.05</v>
      </c>
      <c r="T213" s="1306">
        <f>$S213*SUM('Ratios (C)'!$C$53+'Ratios (C)'!$D$53)</f>
        <v>2875.0735574271198</v>
      </c>
      <c r="U213" s="1306">
        <f>$S213*('Ratios (C)'!$E$53+'Ratios (C)'!$F$53)</f>
        <v>438.19064598984187</v>
      </c>
      <c r="V213" s="1318">
        <f>$S213*'Ratios (C)'!$G$53</f>
        <v>1711.785796583039</v>
      </c>
      <c r="W213" s="1324" t="s">
        <v>370</v>
      </c>
      <c r="X213" s="1306">
        <f t="shared" si="187"/>
        <v>0</v>
      </c>
      <c r="Y213" s="1377"/>
    </row>
    <row r="214" spans="1:27" s="1305" customFormat="1">
      <c r="A214" s="1304">
        <v>70116</v>
      </c>
      <c r="B214" s="1305" t="s">
        <v>114</v>
      </c>
      <c r="C214" s="1306">
        <f>IFERROR(VLOOKUP(A214,'2180 IS (C)'!D:AH,31,FALSE),0)</f>
        <v>61220.259999999995</v>
      </c>
      <c r="D214" s="1306">
        <f>IFERROR(VLOOKUP(A214,'2182 IS'!D:AH,31,FALSE),0)</f>
        <v>2096.62</v>
      </c>
      <c r="E214" s="1306">
        <f t="shared" si="213"/>
        <v>63316.88</v>
      </c>
      <c r="F214" s="1306"/>
      <c r="G214" s="1306"/>
      <c r="H214" s="1306"/>
      <c r="I214" s="1306"/>
      <c r="J214" s="1306"/>
      <c r="K214" s="1306"/>
      <c r="L214" s="1306"/>
      <c r="M214" s="1306">
        <f t="shared" si="214"/>
        <v>61220.259999999995</v>
      </c>
      <c r="N214" s="1306">
        <f t="shared" si="215"/>
        <v>2096.62</v>
      </c>
      <c r="O214" s="1316">
        <f t="shared" si="216"/>
        <v>63316.88</v>
      </c>
      <c r="P214" s="1306"/>
      <c r="Q214" s="1316">
        <f t="shared" si="217"/>
        <v>2096.62</v>
      </c>
      <c r="R214" s="1310"/>
      <c r="S214" s="1317">
        <f t="shared" si="218"/>
        <v>61220.259999999995</v>
      </c>
      <c r="T214" s="1306">
        <f>$S214*('Ratios (C)'!$C$21+'Ratios (C)'!$D$21)</f>
        <v>44381.906757395867</v>
      </c>
      <c r="U214" s="1306">
        <f>$S214*('Ratios (C)'!$E$21+'Ratios (C)'!$F$21)</f>
        <v>369.02507180405723</v>
      </c>
      <c r="V214" s="1318">
        <f>$S214*'Ratios (C)'!$G$21</f>
        <v>16469.328170800065</v>
      </c>
      <c r="W214" s="1324" t="s">
        <v>371</v>
      </c>
      <c r="X214" s="1306">
        <f t="shared" ref="X214:X236" si="219">SUM(T214:V214)-S214</f>
        <v>0</v>
      </c>
      <c r="Y214" s="1377"/>
    </row>
    <row r="215" spans="1:27" s="1305" customFormat="1">
      <c r="A215" s="1358">
        <v>46510</v>
      </c>
      <c r="B215" s="1325" t="s">
        <v>114</v>
      </c>
      <c r="C215" s="1326">
        <f>SUM(C208:C214)</f>
        <v>728488.99000000011</v>
      </c>
      <c r="D215" s="1326">
        <f>SUM(D208:D214)</f>
        <v>111038.19999999998</v>
      </c>
      <c r="E215" s="1326">
        <f>SUM(E208:E214)</f>
        <v>839527.19000000018</v>
      </c>
      <c r="F215" s="1326"/>
      <c r="G215" s="1326">
        <f>SUM(G208:G214)</f>
        <v>0</v>
      </c>
      <c r="H215" s="1326">
        <f>SUM(H208:H214)</f>
        <v>0</v>
      </c>
      <c r="I215" s="1326"/>
      <c r="J215" s="1326">
        <f>SUM(J208:J214)</f>
        <v>0</v>
      </c>
      <c r="K215" s="1326">
        <f>SUM(K208:K214)</f>
        <v>0</v>
      </c>
      <c r="L215" s="1326"/>
      <c r="M215" s="1326">
        <f>SUM(M208:M214)</f>
        <v>728488.99000000011</v>
      </c>
      <c r="N215" s="1326">
        <f>SUM(N208:N214)</f>
        <v>111038.19999999998</v>
      </c>
      <c r="O215" s="1327">
        <f>SUM(O208:O214)</f>
        <v>839527.19000000018</v>
      </c>
      <c r="P215" s="1326">
        <f>SUM(P208:P214)</f>
        <v>0</v>
      </c>
      <c r="Q215" s="1327">
        <f>SUM(Q208:Q214)</f>
        <v>111038.19999999998</v>
      </c>
      <c r="R215" s="1328"/>
      <c r="S215" s="1329">
        <f>SUM(S208:S214)</f>
        <v>728488.99000000011</v>
      </c>
      <c r="T215" s="1326">
        <f>SUM(T208:T214)</f>
        <v>428668.65623679647</v>
      </c>
      <c r="U215" s="1326">
        <f>SUM(U208:U214)</f>
        <v>57220.123230249206</v>
      </c>
      <c r="V215" s="1330">
        <f>SUM(V208:V214)</f>
        <v>242600.21053295434</v>
      </c>
      <c r="W215" s="1324"/>
      <c r="X215" s="1306">
        <f t="shared" si="219"/>
        <v>0</v>
      </c>
      <c r="Y215" s="1356"/>
      <c r="Z215" s="1357"/>
      <c r="AA215" s="1357"/>
    </row>
    <row r="216" spans="1:27" s="1305" customFormat="1">
      <c r="A216" s="1304"/>
      <c r="C216" s="1306"/>
      <c r="D216" s="1343"/>
      <c r="E216" s="1306"/>
      <c r="F216" s="1306"/>
      <c r="G216" s="1306"/>
      <c r="H216" s="1306"/>
      <c r="I216" s="1306"/>
      <c r="J216" s="1306"/>
      <c r="K216" s="1306"/>
      <c r="L216" s="1306"/>
      <c r="M216" s="1306"/>
      <c r="N216" s="1306"/>
      <c r="O216" s="1316"/>
      <c r="P216" s="1306"/>
      <c r="Q216" s="1316"/>
      <c r="R216" s="1324"/>
      <c r="S216" s="1317"/>
      <c r="T216" s="1306"/>
      <c r="U216" s="1306"/>
      <c r="V216" s="1318"/>
      <c r="W216" s="1324"/>
      <c r="X216" s="1306">
        <f t="shared" si="219"/>
        <v>0</v>
      </c>
      <c r="Y216" s="1377"/>
    </row>
    <row r="217" spans="1:27" s="1305" customFormat="1">
      <c r="A217" s="1304">
        <v>70310</v>
      </c>
      <c r="B217" s="1305" t="s">
        <v>117</v>
      </c>
      <c r="C217" s="1306">
        <f>IFERROR(VLOOKUP(A217,'2180 IS (C)'!D:AH,31,FALSE),0)</f>
        <v>106892.07</v>
      </c>
      <c r="D217" s="1306">
        <f>IFERROR(VLOOKUP(A217,'2182 IS'!D:AH,31,FALSE),0)</f>
        <v>0</v>
      </c>
      <c r="E217" s="1306">
        <f t="shared" ref="E217" si="220">SUM(C217:D217)</f>
        <v>106892.07</v>
      </c>
      <c r="F217" s="1306"/>
      <c r="G217" s="1307">
        <f>'Restating Adj'!V42</f>
        <v>-7988.6799999998766</v>
      </c>
      <c r="H217" s="1306"/>
      <c r="I217" s="1306"/>
      <c r="J217" s="1306"/>
      <c r="K217" s="1308"/>
      <c r="L217" s="1306"/>
      <c r="M217" s="1306">
        <f t="shared" ref="M217" si="221">C217+G217+J217</f>
        <v>98903.39000000013</v>
      </c>
      <c r="N217" s="1306">
        <f t="shared" ref="N217" si="222">D217+H217+K217</f>
        <v>0</v>
      </c>
      <c r="O217" s="1316">
        <f t="shared" ref="O217" si="223">M217+N217</f>
        <v>98903.39000000013</v>
      </c>
      <c r="P217" s="1306"/>
      <c r="Q217" s="1316">
        <f t="shared" ref="Q217" si="224">N217</f>
        <v>0</v>
      </c>
      <c r="R217" s="1310"/>
      <c r="S217" s="1317">
        <f t="shared" ref="S217" si="225">O217-Q217</f>
        <v>98903.39000000013</v>
      </c>
      <c r="T217" s="1306">
        <f>$S217*'Ratios (C)'!$C$22</f>
        <v>73058.702772993507</v>
      </c>
      <c r="U217" s="1306"/>
      <c r="V217" s="1318">
        <f>S217-T217</f>
        <v>25844.687227006623</v>
      </c>
      <c r="W217" s="1324" t="s">
        <v>375</v>
      </c>
      <c r="X217" s="1306">
        <f t="shared" si="219"/>
        <v>0</v>
      </c>
      <c r="Y217" s="1377"/>
    </row>
    <row r="218" spans="1:27" s="1305" customFormat="1">
      <c r="A218" s="1358">
        <v>46700</v>
      </c>
      <c r="B218" s="1325" t="s">
        <v>118</v>
      </c>
      <c r="C218" s="1326">
        <f>SUM(C217:C217)</f>
        <v>106892.07</v>
      </c>
      <c r="D218" s="1326">
        <f t="shared" ref="D218:V218" si="226">SUM(D217:D217)</f>
        <v>0</v>
      </c>
      <c r="E218" s="1326">
        <f t="shared" si="226"/>
        <v>106892.07</v>
      </c>
      <c r="F218" s="1326"/>
      <c r="G218" s="1326">
        <f t="shared" si="226"/>
        <v>-7988.6799999998766</v>
      </c>
      <c r="H218" s="1326">
        <f t="shared" si="226"/>
        <v>0</v>
      </c>
      <c r="I218" s="1326"/>
      <c r="J218" s="1326">
        <f t="shared" si="226"/>
        <v>0</v>
      </c>
      <c r="K218" s="1326">
        <f t="shared" si="226"/>
        <v>0</v>
      </c>
      <c r="L218" s="1326"/>
      <c r="M218" s="1326">
        <f t="shared" si="226"/>
        <v>98903.39000000013</v>
      </c>
      <c r="N218" s="1326">
        <f t="shared" si="226"/>
        <v>0</v>
      </c>
      <c r="O218" s="1327">
        <f t="shared" si="226"/>
        <v>98903.39000000013</v>
      </c>
      <c r="P218" s="1326">
        <f t="shared" si="226"/>
        <v>0</v>
      </c>
      <c r="Q218" s="1327">
        <f t="shared" si="226"/>
        <v>0</v>
      </c>
      <c r="R218" s="1328"/>
      <c r="S218" s="1329">
        <f t="shared" si="226"/>
        <v>98903.39000000013</v>
      </c>
      <c r="T218" s="1326">
        <f t="shared" si="226"/>
        <v>73058.702772993507</v>
      </c>
      <c r="U218" s="1326">
        <f t="shared" si="226"/>
        <v>0</v>
      </c>
      <c r="V218" s="1330">
        <f t="shared" si="226"/>
        <v>25844.687227006623</v>
      </c>
      <c r="W218" s="1324"/>
      <c r="X218" s="1306">
        <f t="shared" si="219"/>
        <v>0</v>
      </c>
      <c r="Y218" s="1356"/>
      <c r="Z218" s="1357"/>
      <c r="AA218" s="1357"/>
    </row>
    <row r="219" spans="1:27" s="1305" customFormat="1">
      <c r="A219" s="1304"/>
      <c r="C219" s="1306"/>
      <c r="D219" s="1343"/>
      <c r="E219" s="1306"/>
      <c r="F219" s="1306"/>
      <c r="G219" s="1306"/>
      <c r="H219" s="1306"/>
      <c r="I219" s="1306"/>
      <c r="J219" s="1306"/>
      <c r="K219" s="1306"/>
      <c r="L219" s="1306"/>
      <c r="M219" s="1306"/>
      <c r="N219" s="1306"/>
      <c r="O219" s="1316"/>
      <c r="P219" s="1306"/>
      <c r="Q219" s="1316"/>
      <c r="R219" s="1324"/>
      <c r="S219" s="1317"/>
      <c r="T219" s="1306"/>
      <c r="U219" s="1306"/>
      <c r="V219" s="1318"/>
      <c r="W219" s="1324"/>
      <c r="X219" s="1306">
        <f t="shared" si="219"/>
        <v>0</v>
      </c>
      <c r="Y219" s="1377"/>
    </row>
    <row r="220" spans="1:27" s="1305" customFormat="1">
      <c r="A220" s="1304">
        <v>70086</v>
      </c>
      <c r="B220" s="1305" t="s">
        <v>120</v>
      </c>
      <c r="C220" s="1306">
        <f>IFERROR(VLOOKUP(A220,'2180 IS (C)'!D:AH,31,FALSE),0)</f>
        <v>4236.1500000000005</v>
      </c>
      <c r="D220" s="1306">
        <f>IFERROR(VLOOKUP(A220,'2182 IS'!D:AH,31,FALSE),0)</f>
        <v>0</v>
      </c>
      <c r="E220" s="1306">
        <f t="shared" ref="E220:E240" si="227">SUM(C220:D220)</f>
        <v>4236.1500000000005</v>
      </c>
      <c r="F220" s="1306"/>
      <c r="G220" s="1306"/>
      <c r="H220" s="1306"/>
      <c r="I220" s="1306"/>
      <c r="J220" s="1306"/>
      <c r="K220" s="1306"/>
      <c r="L220" s="1306"/>
      <c r="M220" s="1306">
        <f t="shared" ref="M220:M240" si="228">C220+G220+J220</f>
        <v>4236.1500000000005</v>
      </c>
      <c r="N220" s="1306">
        <f t="shared" ref="N220:N240" si="229">D220+H220+K220</f>
        <v>0</v>
      </c>
      <c r="O220" s="1316">
        <f t="shared" ref="O220:O240" si="230">M220+N220</f>
        <v>4236.1500000000005</v>
      </c>
      <c r="P220" s="1306"/>
      <c r="Q220" s="1316">
        <f t="shared" ref="Q220:Q240" si="231">N220</f>
        <v>0</v>
      </c>
      <c r="R220" s="1310"/>
      <c r="S220" s="1317">
        <f t="shared" ref="S220:S240" si="232">O220-Q220</f>
        <v>4236.1500000000005</v>
      </c>
      <c r="T220" s="1306">
        <f>$S220*('Ratios (C)'!$C$21+'Ratios (C)'!$D$21)</f>
        <v>3071.0162666794058</v>
      </c>
      <c r="U220" s="1306">
        <f>$S220*('Ratios (C)'!$E$21+'Ratios (C)'!$F$21)</f>
        <v>25.5347748918864</v>
      </c>
      <c r="V220" s="1318">
        <f>$S220*'Ratios (C)'!$G$21</f>
        <v>1139.5989584287083</v>
      </c>
      <c r="W220" s="1324" t="s">
        <v>371</v>
      </c>
      <c r="X220" s="1306">
        <f t="shared" si="219"/>
        <v>0</v>
      </c>
      <c r="Y220" s="1377"/>
    </row>
    <row r="221" spans="1:27" s="1305" customFormat="1">
      <c r="A221" s="1392">
        <v>70090</v>
      </c>
      <c r="B221" s="1305" t="s">
        <v>121</v>
      </c>
      <c r="C221" s="1306">
        <f>IFERROR(VLOOKUP(A221,'2180 IS (C)'!D:AH,31,FALSE),0)</f>
        <v>5058.9399999999996</v>
      </c>
      <c r="D221" s="1306">
        <f>IFERROR(VLOOKUP(A221,'2182 IS'!D:AH,31,FALSE),0)</f>
        <v>545.54999999999995</v>
      </c>
      <c r="E221" s="1306">
        <f t="shared" si="227"/>
        <v>5604.49</v>
      </c>
      <c r="F221" s="1306"/>
      <c r="G221" s="1306"/>
      <c r="H221" s="1306"/>
      <c r="I221" s="1306"/>
      <c r="J221" s="1306"/>
      <c r="K221" s="1306"/>
      <c r="L221" s="1306"/>
      <c r="M221" s="1306">
        <f t="shared" si="228"/>
        <v>5058.9399999999996</v>
      </c>
      <c r="N221" s="1306">
        <f t="shared" si="229"/>
        <v>545.54999999999995</v>
      </c>
      <c r="O221" s="1316">
        <f t="shared" si="230"/>
        <v>5604.49</v>
      </c>
      <c r="P221" s="1306"/>
      <c r="Q221" s="1316">
        <f t="shared" si="231"/>
        <v>545.54999999999995</v>
      </c>
      <c r="R221" s="1310"/>
      <c r="S221" s="1317">
        <f t="shared" si="232"/>
        <v>5058.9399999999996</v>
      </c>
      <c r="T221" s="1306">
        <f>$S221*('Ratios (C)'!$C$21+'Ratios (C)'!$D$21)</f>
        <v>3667.5016305265654</v>
      </c>
      <c r="U221" s="1306">
        <f>$S221*('Ratios (C)'!$E$21+'Ratios (C)'!$F$21)</f>
        <v>30.494409804081481</v>
      </c>
      <c r="V221" s="1318">
        <f>$S221*'Ratios (C)'!$G$21</f>
        <v>1360.9439596693526</v>
      </c>
      <c r="W221" s="1324" t="s">
        <v>371</v>
      </c>
      <c r="X221" s="1306">
        <f t="shared" si="219"/>
        <v>0</v>
      </c>
      <c r="Y221" s="1377"/>
    </row>
    <row r="222" spans="1:27" s="1305" customFormat="1">
      <c r="A222" s="1392">
        <v>70095</v>
      </c>
      <c r="B222" s="1305" t="s">
        <v>62</v>
      </c>
      <c r="C222" s="1306">
        <f>IFERROR(VLOOKUP(A222,'2180 IS (C)'!D:AH,31,FALSE),0)</f>
        <v>110896.77999999998</v>
      </c>
      <c r="D222" s="1306">
        <f>IFERROR(VLOOKUP(A222,'2182 IS'!D:AH,31,FALSE),0)</f>
        <v>14415.259999999998</v>
      </c>
      <c r="E222" s="1306">
        <f t="shared" si="227"/>
        <v>125312.03999999998</v>
      </c>
      <c r="F222" s="1306"/>
      <c r="G222" s="1307">
        <f>-'70095 JE Query (C)'!D505</f>
        <v>-33816.18</v>
      </c>
      <c r="H222" s="1306"/>
      <c r="I222" s="1306"/>
      <c r="J222" s="1306"/>
      <c r="K222" s="1307"/>
      <c r="L222" s="1306"/>
      <c r="M222" s="1306">
        <f t="shared" si="228"/>
        <v>77080.599999999977</v>
      </c>
      <c r="N222" s="1306">
        <f t="shared" si="229"/>
        <v>14415.259999999998</v>
      </c>
      <c r="O222" s="1316">
        <f t="shared" si="230"/>
        <v>91495.859999999971</v>
      </c>
      <c r="P222" s="1306"/>
      <c r="Q222" s="1316">
        <f t="shared" si="231"/>
        <v>14415.259999999998</v>
      </c>
      <c r="R222" s="1310"/>
      <c r="S222" s="1317">
        <f t="shared" si="232"/>
        <v>77080.599999999977</v>
      </c>
      <c r="T222" s="1306">
        <f>$S222*('Ratios (C)'!$C$21+'Ratios (C)'!$D$21)</f>
        <v>55879.932591010351</v>
      </c>
      <c r="U222" s="1306">
        <f>$S222*('Ratios (C)'!$E$21+'Ratios (C)'!$F$21)</f>
        <v>464.6284408086442</v>
      </c>
      <c r="V222" s="1318">
        <f>$S222*'Ratios (C)'!$G$21</f>
        <v>20736.038968180979</v>
      </c>
      <c r="W222" s="1324" t="s">
        <v>371</v>
      </c>
      <c r="X222" s="1306">
        <f t="shared" si="219"/>
        <v>0</v>
      </c>
      <c r="Y222" s="1377"/>
    </row>
    <row r="223" spans="1:27" s="1305" customFormat="1">
      <c r="A223" s="1392">
        <v>70105</v>
      </c>
      <c r="B223" s="1305" t="s">
        <v>122</v>
      </c>
      <c r="C223" s="1306">
        <f>IFERROR(VLOOKUP(A223,'2180 IS (C)'!D:AH,31,FALSE),0)</f>
        <v>41525.72</v>
      </c>
      <c r="D223" s="1306">
        <f>IFERROR(VLOOKUP(A223,'2182 IS'!D:AH,31,FALSE),0)</f>
        <v>0</v>
      </c>
      <c r="E223" s="1306">
        <f t="shared" si="227"/>
        <v>41525.72</v>
      </c>
      <c r="F223" s="1306"/>
      <c r="G223" s="1307"/>
      <c r="H223" s="1306"/>
      <c r="I223" s="1306"/>
      <c r="J223" s="1306"/>
      <c r="K223" s="1307"/>
      <c r="L223" s="1306"/>
      <c r="M223" s="1306">
        <f t="shared" si="228"/>
        <v>41525.72</v>
      </c>
      <c r="N223" s="1306">
        <f t="shared" si="229"/>
        <v>0</v>
      </c>
      <c r="O223" s="1316">
        <f t="shared" si="230"/>
        <v>41525.72</v>
      </c>
      <c r="P223" s="1306"/>
      <c r="Q223" s="1316">
        <f t="shared" si="231"/>
        <v>0</v>
      </c>
      <c r="R223" s="1310"/>
      <c r="S223" s="1317">
        <f t="shared" si="232"/>
        <v>41525.72</v>
      </c>
      <c r="T223" s="1306">
        <f>$S223*('Ratios (C)'!$C$21+'Ratios (C)'!$D$21)</f>
        <v>30104.26014319</v>
      </c>
      <c r="U223" s="1306">
        <f>$S223*('Ratios (C)'!$E$21+'Ratios (C)'!$F$21)</f>
        <v>250.30981254759743</v>
      </c>
      <c r="V223" s="1318">
        <f>$S223*'Ratios (C)'!$G$21</f>
        <v>11171.150044262402</v>
      </c>
      <c r="W223" s="1324" t="s">
        <v>371</v>
      </c>
      <c r="X223" s="1306">
        <f t="shared" si="219"/>
        <v>0</v>
      </c>
      <c r="Y223" s="1377"/>
    </row>
    <row r="224" spans="1:27" s="1305" customFormat="1">
      <c r="A224" s="1392">
        <v>70110</v>
      </c>
      <c r="B224" s="1305" t="s">
        <v>123</v>
      </c>
      <c r="C224" s="1306">
        <f>IFERROR(VLOOKUP(A224,'2180 IS (C)'!D:AH,31,FALSE),0)</f>
        <v>53617.64</v>
      </c>
      <c r="D224" s="1306">
        <f>IFERROR(VLOOKUP(A224,'2182 IS'!D:AH,31,FALSE),0)</f>
        <v>0</v>
      </c>
      <c r="E224" s="1306">
        <f t="shared" si="227"/>
        <v>53617.64</v>
      </c>
      <c r="F224" s="1306"/>
      <c r="G224" s="1307">
        <f>-C224</f>
        <v>-53617.64</v>
      </c>
      <c r="H224" s="1306"/>
      <c r="I224" s="1306"/>
      <c r="J224" s="1306"/>
      <c r="K224" s="1307"/>
      <c r="L224" s="1306"/>
      <c r="M224" s="1306">
        <f t="shared" si="228"/>
        <v>0</v>
      </c>
      <c r="N224" s="1306">
        <f t="shared" si="229"/>
        <v>0</v>
      </c>
      <c r="O224" s="1316">
        <f t="shared" si="230"/>
        <v>0</v>
      </c>
      <c r="P224" s="1306"/>
      <c r="Q224" s="1316">
        <f t="shared" si="231"/>
        <v>0</v>
      </c>
      <c r="R224" s="1310"/>
      <c r="S224" s="1317">
        <f t="shared" si="232"/>
        <v>0</v>
      </c>
      <c r="T224" s="1306">
        <f>$S224*('Ratios (C)'!$C$21+'Ratios (C)'!$D$21)</f>
        <v>0</v>
      </c>
      <c r="U224" s="1306">
        <f>$S224*('Ratios (C)'!$E$21+'Ratios (C)'!$F$21)</f>
        <v>0</v>
      </c>
      <c r="V224" s="1318">
        <f>$S224*'Ratios (C)'!$G$21</f>
        <v>0</v>
      </c>
      <c r="W224" s="1324" t="s">
        <v>371</v>
      </c>
      <c r="X224" s="1306">
        <f t="shared" si="219"/>
        <v>0</v>
      </c>
      <c r="Y224" s="1377"/>
    </row>
    <row r="225" spans="1:25" s="1305" customFormat="1">
      <c r="A225" s="1392">
        <v>70112</v>
      </c>
      <c r="B225" s="1305" t="s">
        <v>124</v>
      </c>
      <c r="C225" s="1306">
        <f>IFERROR(VLOOKUP(A225,'2180 IS (C)'!D:AH,31,FALSE),0)</f>
        <v>1175</v>
      </c>
      <c r="D225" s="1306">
        <f>IFERROR(VLOOKUP(A225,'2182 IS'!D:AH,31,FALSE),0)</f>
        <v>-75</v>
      </c>
      <c r="E225" s="1306">
        <f t="shared" si="227"/>
        <v>1100</v>
      </c>
      <c r="F225" s="1306"/>
      <c r="G225" s="1307">
        <f>-C225</f>
        <v>-1175</v>
      </c>
      <c r="H225" s="1306"/>
      <c r="I225" s="1306"/>
      <c r="J225" s="1306"/>
      <c r="K225" s="1308"/>
      <c r="L225" s="1306"/>
      <c r="M225" s="1306">
        <f t="shared" si="228"/>
        <v>0</v>
      </c>
      <c r="N225" s="1306">
        <f t="shared" si="229"/>
        <v>-75</v>
      </c>
      <c r="O225" s="1316">
        <f t="shared" si="230"/>
        <v>-75</v>
      </c>
      <c r="P225" s="1306"/>
      <c r="Q225" s="1316">
        <f t="shared" si="231"/>
        <v>-75</v>
      </c>
      <c r="R225" s="1310"/>
      <c r="S225" s="1317">
        <f t="shared" si="232"/>
        <v>0</v>
      </c>
      <c r="T225" s="1306">
        <f>$S225*('Ratios (C)'!$C$21+'Ratios (C)'!$D$21)</f>
        <v>0</v>
      </c>
      <c r="U225" s="1306">
        <f>$S225*('Ratios (C)'!$E$21+'Ratios (C)'!$F$21)</f>
        <v>0</v>
      </c>
      <c r="V225" s="1318">
        <f>$S225*'Ratios (C)'!$G$21</f>
        <v>0</v>
      </c>
      <c r="W225" s="1324" t="s">
        <v>371</v>
      </c>
      <c r="X225" s="1306">
        <f t="shared" si="219"/>
        <v>0</v>
      </c>
      <c r="Y225" s="1377"/>
    </row>
    <row r="226" spans="1:25" s="1305" customFormat="1">
      <c r="A226" s="1304">
        <v>70148</v>
      </c>
      <c r="B226" s="1305" t="s">
        <v>125</v>
      </c>
      <c r="C226" s="1306">
        <f>IFERROR(VLOOKUP(A226,'2180 IS (C)'!D:AH,31,FALSE),0)</f>
        <v>167995.83000000002</v>
      </c>
      <c r="D226" s="1306">
        <f>IFERROR(VLOOKUP(A226,'2182 IS'!D:AH,31,FALSE),0)</f>
        <v>4.0999999999999996</v>
      </c>
      <c r="E226" s="1306">
        <f t="shared" si="227"/>
        <v>167999.93000000002</v>
      </c>
      <c r="F226" s="1306"/>
      <c r="G226" s="1307">
        <f>'RegionOH (C)'!AI48</f>
        <v>-11466.733276932606</v>
      </c>
      <c r="H226" s="1306"/>
      <c r="I226" s="1306"/>
      <c r="J226" s="1306"/>
      <c r="K226" s="1306"/>
      <c r="L226" s="1306"/>
      <c r="M226" s="1306">
        <f t="shared" si="228"/>
        <v>156529.0967230674</v>
      </c>
      <c r="N226" s="1306">
        <f t="shared" si="229"/>
        <v>4.0999999999999996</v>
      </c>
      <c r="O226" s="1316">
        <f t="shared" si="230"/>
        <v>156533.19672306741</v>
      </c>
      <c r="P226" s="1306"/>
      <c r="Q226" s="1316">
        <f t="shared" si="231"/>
        <v>4.0999999999999996</v>
      </c>
      <c r="R226" s="1310"/>
      <c r="S226" s="1317">
        <f t="shared" si="232"/>
        <v>156529.0967230674</v>
      </c>
      <c r="T226" s="1306">
        <f>$S226*('Ratios (C)'!$C$21+'Ratios (C)'!$D$21)</f>
        <v>113476.4827131178</v>
      </c>
      <c r="U226" s="1306">
        <f>$S226*('Ratios (C)'!$E$21+'Ratios (C)'!$F$21)</f>
        <v>943.53015092804526</v>
      </c>
      <c r="V226" s="1318">
        <f>$S226*'Ratios (C)'!$G$21</f>
        <v>42109.083859021543</v>
      </c>
      <c r="W226" s="1324" t="s">
        <v>371</v>
      </c>
      <c r="X226" s="1306">
        <f t="shared" si="219"/>
        <v>0</v>
      </c>
      <c r="Y226" s="1377"/>
    </row>
    <row r="227" spans="1:25" s="1305" customFormat="1">
      <c r="A227" s="1304">
        <v>70190</v>
      </c>
      <c r="B227" s="1305" t="s">
        <v>126</v>
      </c>
      <c r="C227" s="1306">
        <f>IFERROR(VLOOKUP(A227,'2180 IS (C)'!D:AH,31,FALSE),0)</f>
        <v>3365</v>
      </c>
      <c r="D227" s="1306">
        <f>IFERROR(VLOOKUP(A227,'2182 IS'!D:AH,31,FALSE),0)</f>
        <v>0</v>
      </c>
      <c r="E227" s="1306">
        <f t="shared" si="227"/>
        <v>3365</v>
      </c>
      <c r="F227" s="1306"/>
      <c r="G227" s="1306"/>
      <c r="H227" s="1306"/>
      <c r="I227" s="1306"/>
      <c r="J227" s="1306"/>
      <c r="K227" s="1306"/>
      <c r="L227" s="1306"/>
      <c r="M227" s="1306">
        <f t="shared" si="228"/>
        <v>3365</v>
      </c>
      <c r="N227" s="1306">
        <f t="shared" si="229"/>
        <v>0</v>
      </c>
      <c r="O227" s="1316">
        <f t="shared" si="230"/>
        <v>3365</v>
      </c>
      <c r="P227" s="1306"/>
      <c r="Q227" s="1316">
        <f t="shared" si="231"/>
        <v>0</v>
      </c>
      <c r="R227" s="1310"/>
      <c r="S227" s="1317">
        <f t="shared" si="232"/>
        <v>3365</v>
      </c>
      <c r="T227" s="1306">
        <f>$S227*('Ratios (C)'!$C$21+'Ratios (C)'!$D$21)</f>
        <v>2439.4721002269039</v>
      </c>
      <c r="U227" s="1306">
        <f>$S227*('Ratios (C)'!$E$21+'Ratios (C)'!$F$21)</f>
        <v>20.283634316820162</v>
      </c>
      <c r="V227" s="1318">
        <f>$S227*'Ratios (C)'!$G$21</f>
        <v>905.2442654562758</v>
      </c>
      <c r="W227" s="1324" t="s">
        <v>371</v>
      </c>
      <c r="X227" s="1306">
        <f t="shared" si="219"/>
        <v>0</v>
      </c>
      <c r="Y227" s="1377"/>
    </row>
    <row r="228" spans="1:25" s="1305" customFormat="1">
      <c r="A228" s="1304">
        <v>70195</v>
      </c>
      <c r="B228" s="1305" t="s">
        <v>127</v>
      </c>
      <c r="C228" s="1306">
        <f>IFERROR(VLOOKUP(A228,'2180 IS (C)'!D:AH,31,FALSE),0)</f>
        <v>27689.46</v>
      </c>
      <c r="D228" s="1306">
        <f>IFERROR(VLOOKUP(A228,'2182 IS'!D:AH,31,FALSE),0)</f>
        <v>0</v>
      </c>
      <c r="E228" s="1306">
        <f t="shared" si="227"/>
        <v>27689.46</v>
      </c>
      <c r="F228" s="1306"/>
      <c r="G228" s="1306">
        <f>-'70195 JE Query'!D110</f>
        <v>-7662.9887999999992</v>
      </c>
      <c r="H228" s="1306"/>
      <c r="I228" s="1306"/>
      <c r="J228" s="1306"/>
      <c r="K228" s="1306"/>
      <c r="L228" s="1306"/>
      <c r="M228" s="1306">
        <f t="shared" si="228"/>
        <v>20026.4712</v>
      </c>
      <c r="N228" s="1306">
        <f t="shared" si="229"/>
        <v>0</v>
      </c>
      <c r="O228" s="1316">
        <f t="shared" si="230"/>
        <v>20026.4712</v>
      </c>
      <c r="P228" s="1306"/>
      <c r="Q228" s="1316">
        <f t="shared" si="231"/>
        <v>0</v>
      </c>
      <c r="R228" s="1310"/>
      <c r="S228" s="1317">
        <f t="shared" si="232"/>
        <v>20026.4712</v>
      </c>
      <c r="T228" s="1306">
        <f>$S228*('Ratios (C)'!$C$21+'Ratios (C)'!$D$21)</f>
        <v>14518.281651826925</v>
      </c>
      <c r="U228" s="1306">
        <f>$S228*('Ratios (C)'!$E$21+'Ratios (C)'!$F$21)</f>
        <v>120.71608275694818</v>
      </c>
      <c r="V228" s="1318">
        <f>$S228*'Ratios (C)'!$G$21</f>
        <v>5387.4734654161257</v>
      </c>
      <c r="W228" s="1324" t="s">
        <v>371</v>
      </c>
      <c r="X228" s="1306">
        <f t="shared" si="219"/>
        <v>0</v>
      </c>
      <c r="Y228" s="1377"/>
    </row>
    <row r="229" spans="1:25" s="1305" customFormat="1">
      <c r="A229" s="1392">
        <v>70200</v>
      </c>
      <c r="B229" s="1305" t="s">
        <v>60</v>
      </c>
      <c r="C229" s="1306">
        <f>IFERROR(VLOOKUP(A229,'2180 IS (C)'!D:AH,31,FALSE),0)</f>
        <v>845.52</v>
      </c>
      <c r="D229" s="1306">
        <f>IFERROR(VLOOKUP(A229,'2182 IS'!D:AH,31,FALSE),0)</f>
        <v>25</v>
      </c>
      <c r="E229" s="1306">
        <f t="shared" si="227"/>
        <v>870.52</v>
      </c>
      <c r="F229" s="1306"/>
      <c r="G229" s="1306"/>
      <c r="H229" s="1306"/>
      <c r="I229" s="1306"/>
      <c r="J229" s="1306"/>
      <c r="K229" s="1306"/>
      <c r="L229" s="1306"/>
      <c r="M229" s="1306">
        <f t="shared" si="228"/>
        <v>845.52</v>
      </c>
      <c r="N229" s="1306">
        <f t="shared" si="229"/>
        <v>25</v>
      </c>
      <c r="O229" s="1316">
        <f t="shared" si="230"/>
        <v>870.52</v>
      </c>
      <c r="P229" s="1306"/>
      <c r="Q229" s="1316">
        <f t="shared" si="231"/>
        <v>25</v>
      </c>
      <c r="R229" s="1310"/>
      <c r="S229" s="1317">
        <f t="shared" si="232"/>
        <v>845.52</v>
      </c>
      <c r="T229" s="1306">
        <f>$S229*('Ratios (C)'!$C$21+'Ratios (C)'!$D$21)</f>
        <v>612.96358103531998</v>
      </c>
      <c r="U229" s="1306">
        <f>$S229*('Ratios (C)'!$E$21+'Ratios (C)'!$F$21)</f>
        <v>5.0966473960052845</v>
      </c>
      <c r="V229" s="1318">
        <f>$S229*'Ratios (C)'!$G$21</f>
        <v>227.45977156867468</v>
      </c>
      <c r="W229" s="1324" t="s">
        <v>371</v>
      </c>
      <c r="X229" s="1306">
        <f t="shared" si="219"/>
        <v>0</v>
      </c>
      <c r="Y229" s="1377"/>
    </row>
    <row r="230" spans="1:25" s="1305" customFormat="1">
      <c r="A230" s="1392">
        <v>70201</v>
      </c>
      <c r="B230" s="1305" t="s">
        <v>72</v>
      </c>
      <c r="C230" s="1306">
        <f>IFERROR(VLOOKUP(A230,'2180 IS (C)'!D:AH,31,FALSE),0)</f>
        <v>14787.470000000001</v>
      </c>
      <c r="D230" s="1306">
        <f>IFERROR(VLOOKUP(A230,'2182 IS'!D:AH,31,FALSE),0)</f>
        <v>788.00999999999988</v>
      </c>
      <c r="E230" s="1306">
        <f t="shared" si="227"/>
        <v>15575.480000000001</v>
      </c>
      <c r="F230" s="1306"/>
      <c r="G230" s="1307">
        <f>-C230</f>
        <v>-14787.470000000001</v>
      </c>
      <c r="H230" s="1306"/>
      <c r="I230" s="1306"/>
      <c r="J230" s="1306"/>
      <c r="K230" s="1306"/>
      <c r="L230" s="1306"/>
      <c r="M230" s="1306">
        <f t="shared" si="228"/>
        <v>0</v>
      </c>
      <c r="N230" s="1306">
        <f t="shared" si="229"/>
        <v>788.00999999999988</v>
      </c>
      <c r="O230" s="1316">
        <f t="shared" si="230"/>
        <v>788.00999999999988</v>
      </c>
      <c r="P230" s="1306"/>
      <c r="Q230" s="1316">
        <f t="shared" si="231"/>
        <v>788.00999999999988</v>
      </c>
      <c r="R230" s="1310"/>
      <c r="S230" s="1317">
        <f t="shared" si="232"/>
        <v>0</v>
      </c>
      <c r="T230" s="1306">
        <f>$S230*('Ratios (C)'!$C$21+'Ratios (C)'!$D$21)</f>
        <v>0</v>
      </c>
      <c r="U230" s="1306">
        <f>$S230*('Ratios (C)'!$E$21+'Ratios (C)'!$F$21)</f>
        <v>0</v>
      </c>
      <c r="V230" s="1318">
        <f>$S230*'Ratios (C)'!$G$21</f>
        <v>0</v>
      </c>
      <c r="W230" s="1324" t="s">
        <v>371</v>
      </c>
      <c r="X230" s="1306">
        <f t="shared" si="219"/>
        <v>0</v>
      </c>
      <c r="Y230" s="1377"/>
    </row>
    <row r="231" spans="1:25" s="1305" customFormat="1">
      <c r="A231" s="1392">
        <v>70202</v>
      </c>
      <c r="B231" s="1305" t="s">
        <v>129</v>
      </c>
      <c r="C231" s="1306">
        <f>IFERROR(VLOOKUP(A231,'2180 IS (C)'!D:AH,31,FALSE),0)</f>
        <v>11428.15</v>
      </c>
      <c r="D231" s="1306">
        <f>IFERROR(VLOOKUP(A231,'2182 IS'!D:AH,31,FALSE),0)</f>
        <v>567.09999999999991</v>
      </c>
      <c r="E231" s="1306">
        <f t="shared" si="227"/>
        <v>11995.25</v>
      </c>
      <c r="F231" s="1306"/>
      <c r="G231" s="1306"/>
      <c r="H231" s="1306"/>
      <c r="I231" s="1306"/>
      <c r="J231" s="1306"/>
      <c r="K231" s="1306"/>
      <c r="L231" s="1306"/>
      <c r="M231" s="1306">
        <f t="shared" si="228"/>
        <v>11428.15</v>
      </c>
      <c r="N231" s="1306">
        <f t="shared" si="229"/>
        <v>567.09999999999991</v>
      </c>
      <c r="O231" s="1316">
        <f t="shared" si="230"/>
        <v>11995.25</v>
      </c>
      <c r="P231" s="1306"/>
      <c r="Q231" s="1316">
        <f t="shared" si="231"/>
        <v>567.09999999999991</v>
      </c>
      <c r="R231" s="1310"/>
      <c r="S231" s="1317">
        <f t="shared" si="232"/>
        <v>11428.15</v>
      </c>
      <c r="T231" s="1306">
        <f>$S231*('Ratios (C)'!$C$21+'Ratios (C)'!$D$21)</f>
        <v>8284.8894746532224</v>
      </c>
      <c r="U231" s="1306">
        <f>$S231*('Ratios (C)'!$E$21+'Ratios (C)'!$F$21)</f>
        <v>68.886899113749877</v>
      </c>
      <c r="V231" s="1318">
        <f>$S231*'Ratios (C)'!$G$21</f>
        <v>3074.3736262330276</v>
      </c>
      <c r="W231" s="1324" t="s">
        <v>371</v>
      </c>
      <c r="X231" s="1306">
        <f t="shared" si="219"/>
        <v>0</v>
      </c>
      <c r="Y231" s="1377"/>
    </row>
    <row r="232" spans="1:25" s="1305" customFormat="1">
      <c r="A232" s="1392">
        <v>70203</v>
      </c>
      <c r="B232" s="1305" t="s">
        <v>130</v>
      </c>
      <c r="C232" s="1306">
        <f>IFERROR(VLOOKUP(A232,'2180 IS (C)'!D:AH,31,FALSE),0)</f>
        <v>5677.41</v>
      </c>
      <c r="D232" s="1306">
        <f>IFERROR(VLOOKUP(A232,'2182 IS'!D:AH,31,FALSE),0)</f>
        <v>0</v>
      </c>
      <c r="E232" s="1306">
        <f t="shared" si="227"/>
        <v>5677.41</v>
      </c>
      <c r="F232" s="1306"/>
      <c r="G232" s="1306"/>
      <c r="H232" s="1306"/>
      <c r="I232" s="1306"/>
      <c r="J232" s="1306"/>
      <c r="K232" s="1306"/>
      <c r="L232" s="1306"/>
      <c r="M232" s="1306">
        <f t="shared" si="228"/>
        <v>5677.41</v>
      </c>
      <c r="N232" s="1306">
        <f t="shared" si="229"/>
        <v>0</v>
      </c>
      <c r="O232" s="1316">
        <f t="shared" si="230"/>
        <v>5677.41</v>
      </c>
      <c r="P232" s="1306"/>
      <c r="Q232" s="1316">
        <f t="shared" si="231"/>
        <v>0</v>
      </c>
      <c r="R232" s="1310"/>
      <c r="S232" s="1317">
        <f t="shared" si="232"/>
        <v>5677.41</v>
      </c>
      <c r="T232" s="1306">
        <f>$S232*('Ratios (C)'!$C$21+'Ratios (C)'!$D$21)</f>
        <v>4115.8642783207206</v>
      </c>
      <c r="U232" s="1306">
        <f>$S232*('Ratios (C)'!$E$21+'Ratios (C)'!$F$21)</f>
        <v>34.222439318471899</v>
      </c>
      <c r="V232" s="1318">
        <f>$S232*'Ratios (C)'!$G$21</f>
        <v>1527.3232823608068</v>
      </c>
      <c r="W232" s="1324" t="s">
        <v>371</v>
      </c>
      <c r="X232" s="1306">
        <f t="shared" si="219"/>
        <v>0</v>
      </c>
      <c r="Y232" s="1377"/>
    </row>
    <row r="233" spans="1:25" s="1305" customFormat="1">
      <c r="A233" s="1392">
        <v>70205</v>
      </c>
      <c r="B233" s="1305" t="s">
        <v>131</v>
      </c>
      <c r="C233" s="1306">
        <f>IFERROR(VLOOKUP(A233,'2180 IS (C)'!D:AH,31,FALSE),0)</f>
        <v>5776.4600000000009</v>
      </c>
      <c r="D233" s="1306">
        <f>IFERROR(VLOOKUP(A233,'2182 IS'!D:AH,31,FALSE),0)</f>
        <v>1842.4600000000003</v>
      </c>
      <c r="E233" s="1306">
        <f t="shared" si="227"/>
        <v>7618.920000000001</v>
      </c>
      <c r="F233" s="1306"/>
      <c r="G233" s="1306"/>
      <c r="H233" s="1306"/>
      <c r="I233" s="1306"/>
      <c r="J233" s="1306"/>
      <c r="K233" s="1306"/>
      <c r="L233" s="1306"/>
      <c r="M233" s="1306">
        <f t="shared" si="228"/>
        <v>5776.4600000000009</v>
      </c>
      <c r="N233" s="1306">
        <f t="shared" si="229"/>
        <v>1842.4600000000003</v>
      </c>
      <c r="O233" s="1316">
        <f t="shared" si="230"/>
        <v>7618.920000000001</v>
      </c>
      <c r="P233" s="1306"/>
      <c r="Q233" s="1316">
        <f t="shared" si="231"/>
        <v>1842.4600000000003</v>
      </c>
      <c r="R233" s="1310"/>
      <c r="S233" s="1317">
        <f t="shared" si="232"/>
        <v>5776.4600000000009</v>
      </c>
      <c r="T233" s="1306">
        <f>$S233*('Ratios (C)'!$C$21+'Ratios (C)'!$D$21)</f>
        <v>4187.6710276602389</v>
      </c>
      <c r="U233" s="1306">
        <f>$S233*('Ratios (C)'!$E$21+'Ratios (C)'!$F$21)</f>
        <v>34.819495478674298</v>
      </c>
      <c r="V233" s="1318">
        <f>$S233*'Ratios (C)'!$G$21</f>
        <v>1553.9694768610875</v>
      </c>
      <c r="W233" s="1324" t="s">
        <v>371</v>
      </c>
      <c r="X233" s="1306">
        <f t="shared" si="219"/>
        <v>0</v>
      </c>
      <c r="Y233" s="1377"/>
    </row>
    <row r="234" spans="1:25" s="1305" customFormat="1">
      <c r="A234" s="1392">
        <v>70206</v>
      </c>
      <c r="B234" s="1305" t="s">
        <v>132</v>
      </c>
      <c r="C234" s="1306">
        <f>IFERROR(VLOOKUP(A234,'2180 IS (C)'!D:AH,31,FALSE),0)</f>
        <v>7356.2900000000009</v>
      </c>
      <c r="D234" s="1306">
        <f>IFERROR(VLOOKUP(A234,'2182 IS'!D:AH,31,FALSE),0)</f>
        <v>42.58</v>
      </c>
      <c r="E234" s="1306">
        <f t="shared" si="227"/>
        <v>7398.8700000000008</v>
      </c>
      <c r="F234" s="1306"/>
      <c r="G234" s="1306"/>
      <c r="H234" s="1306"/>
      <c r="I234" s="1306"/>
      <c r="J234" s="1306"/>
      <c r="K234" s="1306"/>
      <c r="L234" s="1306"/>
      <c r="M234" s="1306">
        <f t="shared" si="228"/>
        <v>7356.2900000000009</v>
      </c>
      <c r="N234" s="1306">
        <f t="shared" si="229"/>
        <v>42.58</v>
      </c>
      <c r="O234" s="1316">
        <f t="shared" si="230"/>
        <v>7398.8700000000008</v>
      </c>
      <c r="P234" s="1306"/>
      <c r="Q234" s="1316">
        <f t="shared" si="231"/>
        <v>42.58</v>
      </c>
      <c r="R234" s="1310"/>
      <c r="S234" s="1317">
        <f t="shared" si="232"/>
        <v>7356.2900000000009</v>
      </c>
      <c r="T234" s="1306">
        <f>$S234*('Ratios (C)'!$C$21+'Ratios (C)'!$D$21)</f>
        <v>5332.9759929207048</v>
      </c>
      <c r="U234" s="1306">
        <f>$S234*('Ratios (C)'!$E$21+'Ratios (C)'!$F$21)</f>
        <v>44.34243574694829</v>
      </c>
      <c r="V234" s="1318">
        <f>$S234*'Ratios (C)'!$G$21</f>
        <v>1978.9715713323471</v>
      </c>
      <c r="W234" s="1324" t="s">
        <v>371</v>
      </c>
      <c r="X234" s="1306">
        <f t="shared" si="219"/>
        <v>0</v>
      </c>
      <c r="Y234" s="1377"/>
    </row>
    <row r="235" spans="1:25" s="1305" customFormat="1">
      <c r="A235" s="1392">
        <v>70232</v>
      </c>
      <c r="B235" s="1305" t="s">
        <v>136</v>
      </c>
      <c r="C235" s="1306">
        <f>IFERROR(VLOOKUP(A235,'2180 IS (C)'!D:AH,31,FALSE),0)</f>
        <v>162.4</v>
      </c>
      <c r="D235" s="1306">
        <f>IFERROR(VLOOKUP(A235,'2182 IS'!D:AH,31,FALSE),0)</f>
        <v>0</v>
      </c>
      <c r="E235" s="1306">
        <f t="shared" si="227"/>
        <v>162.4</v>
      </c>
      <c r="F235" s="1306"/>
      <c r="G235" s="1306"/>
      <c r="H235" s="1306"/>
      <c r="I235" s="1306"/>
      <c r="J235" s="1306"/>
      <c r="K235" s="1306"/>
      <c r="L235" s="1306"/>
      <c r="M235" s="1306">
        <f t="shared" si="228"/>
        <v>162.4</v>
      </c>
      <c r="N235" s="1306">
        <f t="shared" si="229"/>
        <v>0</v>
      </c>
      <c r="O235" s="1316">
        <f t="shared" si="230"/>
        <v>162.4</v>
      </c>
      <c r="P235" s="1326"/>
      <c r="Q235" s="1316">
        <f t="shared" si="231"/>
        <v>0</v>
      </c>
      <c r="R235" s="1310"/>
      <c r="S235" s="1317">
        <f t="shared" si="232"/>
        <v>162.4</v>
      </c>
      <c r="T235" s="1306">
        <f>$S235*('Ratios (C)'!$C$21+'Ratios (C)'!$D$21)</f>
        <v>117.73262082521522</v>
      </c>
      <c r="U235" s="1306">
        <f>$S235*('Ratios (C)'!$E$21+'Ratios (C)'!$F$21)</f>
        <v>0.97891893404207853</v>
      </c>
      <c r="V235" s="1318">
        <f>$S235*'Ratios (C)'!$G$21</f>
        <v>43.688460240742707</v>
      </c>
      <c r="W235" s="1324" t="s">
        <v>371</v>
      </c>
      <c r="X235" s="1306">
        <f t="shared" si="219"/>
        <v>0</v>
      </c>
      <c r="Y235" s="1377"/>
    </row>
    <row r="236" spans="1:25" s="1305" customFormat="1">
      <c r="A236" s="1392">
        <v>70255</v>
      </c>
      <c r="B236" s="1305" t="s">
        <v>137</v>
      </c>
      <c r="C236" s="1306">
        <f>IFERROR(VLOOKUP(A236,'2180 IS (C)'!D:AH,31,FALSE),0)</f>
        <v>19002.75</v>
      </c>
      <c r="D236" s="1306">
        <f>IFERROR(VLOOKUP(A236,'2182 IS'!D:AH,31,FALSE),0)</f>
        <v>191.23999999999998</v>
      </c>
      <c r="E236" s="1306">
        <f t="shared" si="227"/>
        <v>19193.990000000002</v>
      </c>
      <c r="F236" s="1306"/>
      <c r="G236" s="1306"/>
      <c r="H236" s="1306"/>
      <c r="I236" s="1306"/>
      <c r="J236" s="1306"/>
      <c r="K236" s="1306"/>
      <c r="L236" s="1306"/>
      <c r="M236" s="1306">
        <f t="shared" si="228"/>
        <v>19002.75</v>
      </c>
      <c r="N236" s="1306">
        <f t="shared" si="229"/>
        <v>191.23999999999998</v>
      </c>
      <c r="O236" s="1316">
        <f t="shared" si="230"/>
        <v>19193.990000000002</v>
      </c>
      <c r="P236" s="1306"/>
      <c r="Q236" s="1316">
        <f t="shared" si="231"/>
        <v>191.23999999999998</v>
      </c>
      <c r="R236" s="1310"/>
      <c r="S236" s="1317">
        <f t="shared" si="232"/>
        <v>19002.75</v>
      </c>
      <c r="T236" s="1306">
        <f>$S236*('Ratios (C)'!$C$21+'Ratios (C)'!$D$21)</f>
        <v>13776.130297945556</v>
      </c>
      <c r="U236" s="1306">
        <f>$S236*('Ratios (C)'!$E$21+'Ratios (C)'!$F$21)</f>
        <v>114.54526954352283</v>
      </c>
      <c r="V236" s="1318">
        <f>$S236*'Ratios (C)'!$G$21</f>
        <v>5112.0744325109199</v>
      </c>
      <c r="W236" s="1324" t="s">
        <v>371</v>
      </c>
      <c r="X236" s="1306">
        <f t="shared" si="219"/>
        <v>0</v>
      </c>
      <c r="Y236" s="1377"/>
    </row>
    <row r="237" spans="1:25" s="1305" customFormat="1">
      <c r="A237" s="1392">
        <v>70330</v>
      </c>
      <c r="B237" s="1305" t="s">
        <v>538</v>
      </c>
      <c r="C237" s="1306">
        <f>IFERROR(VLOOKUP(A237,'2180 IS (C)'!D:AH,31,FALSE),0)</f>
        <v>14741.11</v>
      </c>
      <c r="D237" s="1306">
        <f>IFERROR(VLOOKUP(A237,'2182 IS'!D:AH,31,FALSE),0)</f>
        <v>0</v>
      </c>
      <c r="E237" s="1306">
        <f t="shared" ref="E237" si="233">SUM(C237:D237)</f>
        <v>14741.11</v>
      </c>
      <c r="F237" s="1306"/>
      <c r="G237" s="1306"/>
      <c r="H237" s="1306"/>
      <c r="I237" s="1306"/>
      <c r="J237" s="1306"/>
      <c r="K237" s="1306"/>
      <c r="L237" s="1306"/>
      <c r="M237" s="1306">
        <f t="shared" ref="M237" si="234">C237+G237+J237</f>
        <v>14741.11</v>
      </c>
      <c r="N237" s="1306">
        <f t="shared" ref="N237" si="235">D237+H237+K237</f>
        <v>0</v>
      </c>
      <c r="O237" s="1316">
        <f t="shared" ref="O237" si="236">M237+N237</f>
        <v>14741.11</v>
      </c>
      <c r="P237" s="1306"/>
      <c r="Q237" s="1316">
        <f t="shared" ref="Q237" si="237">N237</f>
        <v>0</v>
      </c>
      <c r="R237" s="1310"/>
      <c r="S237" s="1317">
        <f t="shared" ref="S237" si="238">O237-Q237</f>
        <v>14741.11</v>
      </c>
      <c r="T237" s="1306">
        <f>$S237*('Ratios (C)'!$C$21+'Ratios (C)'!$D$21)</f>
        <v>10686.634939487612</v>
      </c>
      <c r="U237" s="1306">
        <f>$S237*('Ratios (C)'!$E$21+'Ratios (C)'!$F$21)</f>
        <v>88.856845368208283</v>
      </c>
      <c r="V237" s="1318">
        <f>$S237*'Ratios (C)'!$G$21</f>
        <v>3965.618215144179</v>
      </c>
      <c r="W237" s="1324" t="s">
        <v>371</v>
      </c>
      <c r="X237" s="1306"/>
      <c r="Y237" s="1377"/>
    </row>
    <row r="238" spans="1:25" s="1305" customFormat="1">
      <c r="A238" s="1392">
        <v>70324</v>
      </c>
      <c r="B238" s="1305" t="s">
        <v>138</v>
      </c>
      <c r="C238" s="1306">
        <f>IFERROR(VLOOKUP(A238,'2180 IS (C)'!D:AH,31,FALSE),0)</f>
        <v>199</v>
      </c>
      <c r="D238" s="1306">
        <f>IFERROR(VLOOKUP(A238,'2182 IS'!D:AH,31,FALSE),0)</f>
        <v>0</v>
      </c>
      <c r="E238" s="1306">
        <f t="shared" si="227"/>
        <v>199</v>
      </c>
      <c r="F238" s="1306"/>
      <c r="G238" s="1306">
        <f>-C238</f>
        <v>-199</v>
      </c>
      <c r="H238" s="1306"/>
      <c r="I238" s="1306"/>
      <c r="J238" s="1306"/>
      <c r="K238" s="1306"/>
      <c r="L238" s="1306"/>
      <c r="M238" s="1306">
        <f t="shared" si="228"/>
        <v>0</v>
      </c>
      <c r="N238" s="1306">
        <f t="shared" si="229"/>
        <v>0</v>
      </c>
      <c r="O238" s="1316">
        <f t="shared" si="230"/>
        <v>0</v>
      </c>
      <c r="P238" s="1306"/>
      <c r="Q238" s="1316">
        <f t="shared" si="231"/>
        <v>0</v>
      </c>
      <c r="R238" s="1310"/>
      <c r="S238" s="1317">
        <f t="shared" si="232"/>
        <v>0</v>
      </c>
      <c r="T238" s="1306">
        <f>$S238*('Ratios (C)'!$C$21+'Ratios (C)'!$D$21)</f>
        <v>0</v>
      </c>
      <c r="U238" s="1306">
        <f>$S238*('Ratios (C)'!$E$21+'Ratios (C)'!$F$21)</f>
        <v>0</v>
      </c>
      <c r="V238" s="1318">
        <f>$S238*'Ratios (C)'!$G$21</f>
        <v>0</v>
      </c>
      <c r="W238" s="1324" t="s">
        <v>371</v>
      </c>
      <c r="X238" s="1306">
        <f>SUM(T238:V238)-S238</f>
        <v>0</v>
      </c>
      <c r="Y238" s="1377"/>
    </row>
    <row r="239" spans="1:25" s="1305" customFormat="1">
      <c r="A239" s="1392">
        <v>70335</v>
      </c>
      <c r="B239" s="1305" t="s">
        <v>45</v>
      </c>
      <c r="C239" s="1306">
        <f>IFERROR(VLOOKUP(A239,'2180 IS (C)'!D:AH,31,FALSE),0)</f>
        <v>416</v>
      </c>
      <c r="D239" s="1306">
        <f>IFERROR(VLOOKUP(A239,'2182 IS'!D:AH,31,FALSE),0)</f>
        <v>-0.01</v>
      </c>
      <c r="E239" s="1306">
        <f t="shared" si="227"/>
        <v>415.99</v>
      </c>
      <c r="F239" s="1306"/>
      <c r="G239" s="1306"/>
      <c r="H239" s="1306"/>
      <c r="I239" s="1306"/>
      <c r="J239" s="1306"/>
      <c r="K239" s="1306"/>
      <c r="L239" s="1306"/>
      <c r="M239" s="1306">
        <f t="shared" si="228"/>
        <v>416</v>
      </c>
      <c r="N239" s="1306">
        <f t="shared" si="229"/>
        <v>-0.01</v>
      </c>
      <c r="O239" s="1316">
        <f t="shared" si="230"/>
        <v>415.99</v>
      </c>
      <c r="P239" s="1306"/>
      <c r="Q239" s="1316">
        <f t="shared" si="231"/>
        <v>-0.01</v>
      </c>
      <c r="R239" s="1310"/>
      <c r="S239" s="1317">
        <f t="shared" si="232"/>
        <v>416</v>
      </c>
      <c r="T239" s="1306">
        <f>$S239*('Ratios (C)'!$C$21+'Ratios (C)'!$D$21)</f>
        <v>301.58109768035422</v>
      </c>
      <c r="U239" s="1306">
        <f>$S239*('Ratios (C)'!$E$21+'Ratios (C)'!$F$21)</f>
        <v>2.5075755945905458</v>
      </c>
      <c r="V239" s="1318">
        <f>$S239*'Ratios (C)'!$G$21</f>
        <v>111.9113267250552</v>
      </c>
      <c r="W239" s="1324" t="s">
        <v>371</v>
      </c>
      <c r="X239" s="1306">
        <f>SUM(T239:V239)-S239</f>
        <v>0</v>
      </c>
      <c r="Y239" s="1377"/>
    </row>
    <row r="240" spans="1:25" s="1305" customFormat="1">
      <c r="A240" s="1392">
        <v>70336</v>
      </c>
      <c r="B240" s="1305" t="s">
        <v>139</v>
      </c>
      <c r="C240" s="1306">
        <f>IFERROR(VLOOKUP(A240,'2180 IS (C)'!D:AH,31,FALSE),0)</f>
        <v>12022.79</v>
      </c>
      <c r="D240" s="1306">
        <f>IFERROR(VLOOKUP(A240,'2182 IS'!D:AH,31,FALSE),0)</f>
        <v>3039.3500000000004</v>
      </c>
      <c r="E240" s="1306">
        <f t="shared" si="227"/>
        <v>15062.140000000001</v>
      </c>
      <c r="F240" s="1306"/>
      <c r="G240" s="1306"/>
      <c r="H240" s="1306"/>
      <c r="I240" s="1306"/>
      <c r="J240" s="1306"/>
      <c r="K240" s="1306"/>
      <c r="L240" s="1306"/>
      <c r="M240" s="1306">
        <f t="shared" si="228"/>
        <v>12022.79</v>
      </c>
      <c r="N240" s="1306">
        <f t="shared" si="229"/>
        <v>3039.3500000000004</v>
      </c>
      <c r="O240" s="1316">
        <f t="shared" si="230"/>
        <v>15062.140000000001</v>
      </c>
      <c r="P240" s="1306"/>
      <c r="Q240" s="1316">
        <f t="shared" si="231"/>
        <v>3039.3500000000004</v>
      </c>
      <c r="R240" s="1310"/>
      <c r="S240" s="1317">
        <f t="shared" si="232"/>
        <v>12022.79</v>
      </c>
      <c r="T240" s="1306">
        <f>$S240*('Ratios (C)'!$C$21+'Ratios (C)'!$D$21)</f>
        <v>8715.9764552413126</v>
      </c>
      <c r="U240" s="1306">
        <f>$S240*('Ratios (C)'!$E$21+'Ratios (C)'!$F$21)</f>
        <v>72.47128553578672</v>
      </c>
      <c r="V240" s="1318">
        <f>$S240*'Ratios (C)'!$G$21</f>
        <v>3234.3422592229003</v>
      </c>
      <c r="W240" s="1324" t="s">
        <v>371</v>
      </c>
      <c r="X240" s="1306">
        <f>SUM(T240:V240)-S240</f>
        <v>0</v>
      </c>
      <c r="Y240" s="1377"/>
    </row>
    <row r="241" spans="1:27" s="1305" customFormat="1">
      <c r="A241" s="1392"/>
      <c r="C241" s="1306"/>
      <c r="D241" s="1306"/>
      <c r="E241" s="1306"/>
      <c r="F241" s="1306"/>
      <c r="G241" s="1306"/>
      <c r="H241" s="1306"/>
      <c r="I241" s="1306"/>
      <c r="J241" s="1306"/>
      <c r="K241" s="1306"/>
      <c r="L241" s="1306"/>
      <c r="M241" s="1306"/>
      <c r="N241" s="1306"/>
      <c r="O241" s="1316"/>
      <c r="P241" s="1306"/>
      <c r="Q241" s="1316"/>
      <c r="R241" s="1310"/>
      <c r="S241" s="1317"/>
      <c r="T241" s="1306"/>
      <c r="U241" s="1306"/>
      <c r="V241" s="1318"/>
      <c r="W241" s="1324"/>
      <c r="X241" s="1306"/>
      <c r="Y241" s="1377"/>
    </row>
    <row r="242" spans="1:27" s="1305" customFormat="1">
      <c r="A242" s="1358">
        <v>46900</v>
      </c>
      <c r="B242" s="1325" t="s">
        <v>142</v>
      </c>
      <c r="C242" s="1326">
        <f>SUM(C220:C241)</f>
        <v>507975.87</v>
      </c>
      <c r="D242" s="1326">
        <f>SUM(D220:D241)</f>
        <v>21385.640000000007</v>
      </c>
      <c r="E242" s="1326">
        <f>SUM(E220:E241)</f>
        <v>529361.50999999989</v>
      </c>
      <c r="F242" s="1326"/>
      <c r="G242" s="1326">
        <f>SUM(G220:G241)</f>
        <v>-122725.01207693262</v>
      </c>
      <c r="H242" s="1326">
        <f>SUM(H220:H241)</f>
        <v>0</v>
      </c>
      <c r="I242" s="1326"/>
      <c r="J242" s="1326">
        <f>SUM(J220:J241)</f>
        <v>0</v>
      </c>
      <c r="K242" s="1326">
        <f>SUM(K220:K241)</f>
        <v>0</v>
      </c>
      <c r="L242" s="1326"/>
      <c r="M242" s="1326">
        <f>SUM(M220:M241)</f>
        <v>385250.85792306741</v>
      </c>
      <c r="N242" s="1326">
        <f>SUM(N220:N241)</f>
        <v>21385.640000000007</v>
      </c>
      <c r="O242" s="1327">
        <f>SUM(O220:O241)</f>
        <v>406636.49792306742</v>
      </c>
      <c r="P242" s="1326">
        <f>SUM(P220:P241)</f>
        <v>0</v>
      </c>
      <c r="Q242" s="1327">
        <f>SUM(Q220:Q241)</f>
        <v>21385.640000000007</v>
      </c>
      <c r="R242" s="1328"/>
      <c r="S242" s="1329">
        <f>SUM(S220:S241)</f>
        <v>385250.85792306741</v>
      </c>
      <c r="T242" s="1326">
        <f>SUM(T220:T241)</f>
        <v>279289.36686234822</v>
      </c>
      <c r="U242" s="1326">
        <f>SUM(U220:U241)</f>
        <v>2322.2251180840226</v>
      </c>
      <c r="V242" s="1330">
        <f>SUM(V220:V241)</f>
        <v>103639.26594263515</v>
      </c>
      <c r="W242" s="1324"/>
      <c r="X242" s="1306">
        <f t="shared" ref="X242:X253" si="239">SUM(T242:V242)-S242</f>
        <v>0</v>
      </c>
      <c r="Y242" s="1356"/>
      <c r="Z242" s="1357"/>
      <c r="AA242" s="1357"/>
    </row>
    <row r="243" spans="1:27" s="1305" customFormat="1">
      <c r="A243" s="1304"/>
      <c r="C243" s="1306"/>
      <c r="D243" s="1343"/>
      <c r="E243" s="1306"/>
      <c r="F243" s="1306"/>
      <c r="G243" s="1306"/>
      <c r="H243" s="1306"/>
      <c r="I243" s="1306"/>
      <c r="J243" s="1306"/>
      <c r="K243" s="1306"/>
      <c r="L243" s="1306"/>
      <c r="M243" s="1306"/>
      <c r="N243" s="1306"/>
      <c r="O243" s="1316"/>
      <c r="P243" s="1306"/>
      <c r="Q243" s="1316"/>
      <c r="R243" s="1324"/>
      <c r="S243" s="1317"/>
      <c r="T243" s="1306"/>
      <c r="U243" s="1306"/>
      <c r="V243" s="1318"/>
      <c r="W243" s="1324"/>
      <c r="X243" s="1306">
        <f t="shared" si="239"/>
        <v>0</v>
      </c>
      <c r="Y243" s="1377"/>
    </row>
    <row r="244" spans="1:27" s="1305" customFormat="1">
      <c r="A244" s="1304">
        <v>51260</v>
      </c>
      <c r="B244" s="1305" t="s">
        <v>143</v>
      </c>
      <c r="C244" s="1306">
        <f>IFERROR(VLOOKUP(A244,'2180 IS (C)'!D:AH,31,FALSE),0)</f>
        <v>1896743.0999999999</v>
      </c>
      <c r="D244" s="1306">
        <f>IFERROR(VLOOKUP(A244,'2182 IS'!D:AH,31,FALSE),0)</f>
        <v>452578.47</v>
      </c>
      <c r="E244" s="1306">
        <f t="shared" ref="E244:E253" si="240">SUM(C244:D244)</f>
        <v>2349321.5699999998</v>
      </c>
      <c r="F244" s="1306"/>
      <c r="G244" s="1307">
        <f>Deprec!E34-'Converted IS (C)'!C244</f>
        <v>1125863.1638626975</v>
      </c>
      <c r="H244" s="1306"/>
      <c r="I244" s="1306"/>
      <c r="J244" s="1306"/>
      <c r="K244" s="1307"/>
      <c r="L244" s="1306"/>
      <c r="M244" s="1306">
        <f>C244+G244+J244</f>
        <v>3022606.2638626974</v>
      </c>
      <c r="N244" s="1306">
        <f t="shared" ref="N244:N253" si="241">D244+H244+K244</f>
        <v>452578.47</v>
      </c>
      <c r="O244" s="1316">
        <f t="shared" ref="O244:O253" si="242">M244+N244</f>
        <v>3475184.7338626971</v>
      </c>
      <c r="P244" s="1306"/>
      <c r="Q244" s="1316">
        <f t="shared" ref="Q244:Q253" si="243">N244</f>
        <v>452578.47</v>
      </c>
      <c r="R244" s="1310"/>
      <c r="S244" s="1317">
        <f t="shared" ref="S244:S252" si="244">O244-Q244</f>
        <v>3022606.2638626974</v>
      </c>
      <c r="T244" s="1306">
        <f>Deprec!J34</f>
        <v>1912878.8158378536</v>
      </c>
      <c r="U244" s="1306">
        <f>Deprec!K34</f>
        <v>138163.07944259403</v>
      </c>
      <c r="V244" s="1318">
        <f>Deprec!L34</f>
        <v>971564.36858224997</v>
      </c>
      <c r="W244" s="1324" t="s">
        <v>372</v>
      </c>
      <c r="X244" s="1306">
        <f t="shared" si="239"/>
        <v>0</v>
      </c>
      <c r="Y244" s="1377"/>
    </row>
    <row r="245" spans="1:27" s="1305" customFormat="1">
      <c r="A245" s="1304">
        <v>54260</v>
      </c>
      <c r="B245" s="1305" t="s">
        <v>144</v>
      </c>
      <c r="C245" s="1306">
        <f>IFERROR(VLOOKUP(A245,'2180 IS (C)'!D:AH,31,FALSE),0)</f>
        <v>923859.78</v>
      </c>
      <c r="D245" s="1306">
        <f>IFERROR(VLOOKUP(A245,'2182 IS'!D:AH,31,FALSE),0)</f>
        <v>25989.07</v>
      </c>
      <c r="E245" s="1306">
        <f t="shared" si="240"/>
        <v>949848.85</v>
      </c>
      <c r="F245" s="1306"/>
      <c r="G245" s="1307">
        <f>Deprec!E55-'Converted IS (C)'!C245</f>
        <v>79991.980392680853</v>
      </c>
      <c r="H245" s="1306"/>
      <c r="I245" s="1306"/>
      <c r="J245" s="1306"/>
      <c r="K245" s="1307"/>
      <c r="L245" s="1306"/>
      <c r="M245" s="1306">
        <f t="shared" ref="M245:M253" si="245">C245+G245+J245</f>
        <v>1003851.7603926809</v>
      </c>
      <c r="N245" s="1306">
        <f t="shared" si="241"/>
        <v>25989.07</v>
      </c>
      <c r="O245" s="1316">
        <f t="shared" si="242"/>
        <v>1029840.8303926808</v>
      </c>
      <c r="P245" s="1306"/>
      <c r="Q245" s="1316">
        <f t="shared" si="243"/>
        <v>25989.07</v>
      </c>
      <c r="R245" s="1310"/>
      <c r="S245" s="1317">
        <f t="shared" si="244"/>
        <v>1003851.7603926809</v>
      </c>
      <c r="T245" s="1306">
        <f>Deprec!J55</f>
        <v>638450.48062266468</v>
      </c>
      <c r="U245" s="1306">
        <f>Deprec!K55</f>
        <v>89919.692136571553</v>
      </c>
      <c r="V245" s="1318">
        <f>Deprec!L55</f>
        <v>275481.58763344469</v>
      </c>
      <c r="W245" s="1324" t="s">
        <v>372</v>
      </c>
      <c r="X245" s="1306">
        <f t="shared" si="239"/>
        <v>0</v>
      </c>
      <c r="Y245" s="1377"/>
    </row>
    <row r="246" spans="1:27" s="1305" customFormat="1">
      <c r="A246" s="1304"/>
      <c r="B246" s="1305" t="s">
        <v>145</v>
      </c>
      <c r="C246" s="1306">
        <f>IFERROR(VLOOKUP(A246,'2180 IS (C)'!D:AH,31,FALSE),0)</f>
        <v>0</v>
      </c>
      <c r="D246" s="1306">
        <f>IFERROR(VLOOKUP(A246,'2182 IS'!D:AH,31,FALSE),0)</f>
        <v>0</v>
      </c>
      <c r="E246" s="1306">
        <f t="shared" si="240"/>
        <v>0</v>
      </c>
      <c r="F246" s="1306"/>
      <c r="G246" s="1307">
        <f>Deprec!E62</f>
        <v>30074.705809523806</v>
      </c>
      <c r="H246" s="1306"/>
      <c r="I246" s="1306"/>
      <c r="J246" s="1306"/>
      <c r="K246" s="1307"/>
      <c r="L246" s="1306"/>
      <c r="M246" s="1306">
        <f t="shared" si="245"/>
        <v>30074.705809523806</v>
      </c>
      <c r="N246" s="1306">
        <f t="shared" si="241"/>
        <v>0</v>
      </c>
      <c r="O246" s="1316">
        <f t="shared" si="242"/>
        <v>30074.705809523806</v>
      </c>
      <c r="P246" s="1306"/>
      <c r="Q246" s="1316">
        <f t="shared" si="243"/>
        <v>0</v>
      </c>
      <c r="R246" s="1310"/>
      <c r="S246" s="1317">
        <f t="shared" si="244"/>
        <v>30074.705809523806</v>
      </c>
      <c r="T246" s="1306">
        <f>Deprec!J62</f>
        <v>17207.190260865398</v>
      </c>
      <c r="U246" s="1306">
        <f>Deprec!K62</f>
        <v>2622.5519679664253</v>
      </c>
      <c r="V246" s="1318">
        <f>Deprec!L62</f>
        <v>10244.963580691983</v>
      </c>
      <c r="W246" s="1324" t="s">
        <v>372</v>
      </c>
      <c r="X246" s="1306">
        <f t="shared" si="239"/>
        <v>0</v>
      </c>
      <c r="Y246" s="1377"/>
    </row>
    <row r="247" spans="1:27" s="1305" customFormat="1">
      <c r="A247" s="1304">
        <v>57260</v>
      </c>
      <c r="B247" s="1305" t="s">
        <v>146</v>
      </c>
      <c r="C247" s="1306">
        <f>IFERROR(VLOOKUP(A247,'2180 IS (C)'!D:AH,31,FALSE),0)</f>
        <v>599314.59999999986</v>
      </c>
      <c r="D247" s="1306">
        <f>IFERROR(VLOOKUP(A247,'2182 IS'!D:AH,31,FALSE),0)</f>
        <v>133589.06</v>
      </c>
      <c r="E247" s="1306">
        <f t="shared" si="240"/>
        <v>732903.65999999992</v>
      </c>
      <c r="F247" s="1306"/>
      <c r="G247" s="1307">
        <f>Deprec!E60-'Converted IS (C)'!C247</f>
        <v>-572533.52749999985</v>
      </c>
      <c r="H247" s="1306"/>
      <c r="I247" s="1306"/>
      <c r="J247" s="1306"/>
      <c r="K247" s="1307"/>
      <c r="L247" s="1306"/>
      <c r="M247" s="1306">
        <f t="shared" si="245"/>
        <v>26781.072500000009</v>
      </c>
      <c r="N247" s="1306">
        <f t="shared" si="241"/>
        <v>133589.06</v>
      </c>
      <c r="O247" s="1316">
        <f t="shared" si="242"/>
        <v>160370.13250000001</v>
      </c>
      <c r="P247" s="1306"/>
      <c r="Q247" s="1316">
        <f t="shared" si="243"/>
        <v>133589.06</v>
      </c>
      <c r="R247" s="1310"/>
      <c r="S247" s="1317">
        <f t="shared" si="244"/>
        <v>26781.072500000009</v>
      </c>
      <c r="T247" s="1306">
        <f>Deprec!J60</f>
        <v>15322.743730766577</v>
      </c>
      <c r="U247" s="1306">
        <f>Deprec!K60</f>
        <v>2335.3430232685819</v>
      </c>
      <c r="V247" s="1318">
        <f>Deprec!L60</f>
        <v>9122.9857459648374</v>
      </c>
      <c r="W247" s="1324" t="s">
        <v>372</v>
      </c>
      <c r="X247" s="1306">
        <f t="shared" si="239"/>
        <v>0</v>
      </c>
      <c r="Y247" s="1377"/>
    </row>
    <row r="248" spans="1:27" s="1305" customFormat="1">
      <c r="A248" s="1304"/>
      <c r="B248" s="1305" t="s">
        <v>354</v>
      </c>
      <c r="C248" s="1306">
        <f>IFERROR(VLOOKUP(A248,'2180 IS (C)'!D:AH,31,FALSE),0)</f>
        <v>0</v>
      </c>
      <c r="D248" s="1306">
        <f>IFERROR(VLOOKUP(A248,'2182 IS'!D:AH,31,FALSE),0)</f>
        <v>0</v>
      </c>
      <c r="E248" s="1306"/>
      <c r="F248" s="1306"/>
      <c r="G248" s="1307">
        <f>Deprec!E74</f>
        <v>0</v>
      </c>
      <c r="H248" s="1306"/>
      <c r="I248" s="1306"/>
      <c r="J248" s="1306"/>
      <c r="K248" s="1307"/>
      <c r="L248" s="1306"/>
      <c r="M248" s="1306">
        <f t="shared" si="245"/>
        <v>0</v>
      </c>
      <c r="N248" s="1306"/>
      <c r="O248" s="1316">
        <f t="shared" si="242"/>
        <v>0</v>
      </c>
      <c r="P248" s="1306"/>
      <c r="Q248" s="1316"/>
      <c r="R248" s="1310"/>
      <c r="S248" s="1317">
        <f t="shared" si="244"/>
        <v>0</v>
      </c>
      <c r="T248" s="1306">
        <f>Deprec!J74</f>
        <v>0</v>
      </c>
      <c r="U248" s="1306">
        <f>Deprec!K74</f>
        <v>0</v>
      </c>
      <c r="V248" s="1318">
        <f>Deprec!L74</f>
        <v>0</v>
      </c>
      <c r="W248" s="1324" t="s">
        <v>372</v>
      </c>
      <c r="X248" s="1306">
        <f t="shared" si="239"/>
        <v>0</v>
      </c>
      <c r="Y248" s="1377"/>
    </row>
    <row r="249" spans="1:27" s="1305" customFormat="1">
      <c r="A249" s="1304">
        <v>70260</v>
      </c>
      <c r="B249" s="1305" t="s">
        <v>147</v>
      </c>
      <c r="C249" s="1306">
        <f>IFERROR(VLOOKUP(A249,'2180 IS (C)'!D:AH,31,FALSE),0)</f>
        <v>33755.64</v>
      </c>
      <c r="D249" s="1306">
        <f>IFERROR(VLOOKUP(A249,'2182 IS'!D:AH,31,FALSE),0)</f>
        <v>4046.06</v>
      </c>
      <c r="E249" s="1306">
        <f t="shared" si="240"/>
        <v>37801.699999999997</v>
      </c>
      <c r="F249" s="1306"/>
      <c r="G249" s="1307">
        <f>Deprec!E64-'Converted IS (C)'!C249</f>
        <v>4268.2615000000005</v>
      </c>
      <c r="H249" s="1306"/>
      <c r="I249" s="1306"/>
      <c r="J249" s="1306"/>
      <c r="K249" s="1307"/>
      <c r="L249" s="1306"/>
      <c r="M249" s="1306">
        <f t="shared" si="245"/>
        <v>38023.9015</v>
      </c>
      <c r="N249" s="1306">
        <f t="shared" si="241"/>
        <v>4046.06</v>
      </c>
      <c r="O249" s="1316">
        <f t="shared" si="242"/>
        <v>42069.961499999998</v>
      </c>
      <c r="P249" s="1306"/>
      <c r="Q249" s="1316">
        <f t="shared" si="243"/>
        <v>4046.06</v>
      </c>
      <c r="R249" s="1310"/>
      <c r="S249" s="1317">
        <f t="shared" si="244"/>
        <v>38023.9015</v>
      </c>
      <c r="T249" s="1306">
        <f>Deprec!J64</f>
        <v>21755.30865421506</v>
      </c>
      <c r="U249" s="1306">
        <f>Deprec!K64</f>
        <v>3315.7317760697142</v>
      </c>
      <c r="V249" s="1318">
        <f>Deprec!L64</f>
        <v>12952.861069715227</v>
      </c>
      <c r="W249" s="1324" t="s">
        <v>372</v>
      </c>
      <c r="X249" s="1306">
        <f t="shared" si="239"/>
        <v>0</v>
      </c>
      <c r="Y249" s="1377"/>
    </row>
    <row r="250" spans="1:27" s="1305" customFormat="1">
      <c r="A250" s="1304"/>
      <c r="B250" s="1305" t="s">
        <v>344</v>
      </c>
      <c r="C250" s="1306">
        <f>IFERROR(VLOOKUP(A250,'2180 IS (C)'!D:AH,31,FALSE),0)</f>
        <v>0</v>
      </c>
      <c r="D250" s="1306">
        <f>IFERROR(VLOOKUP(A250,'2182 IS'!D:AH,31,FALSE),0)</f>
        <v>0</v>
      </c>
      <c r="E250" s="1306">
        <f t="shared" si="240"/>
        <v>0</v>
      </c>
      <c r="F250" s="1306"/>
      <c r="G250" s="1307">
        <f>Deprec!E70</f>
        <v>29718.06615751921</v>
      </c>
      <c r="H250" s="1306"/>
      <c r="I250" s="1306"/>
      <c r="J250" s="1306"/>
      <c r="K250" s="1307"/>
      <c r="L250" s="1306"/>
      <c r="M250" s="1306">
        <f t="shared" si="245"/>
        <v>29718.06615751921</v>
      </c>
      <c r="N250" s="1306">
        <f t="shared" si="241"/>
        <v>0</v>
      </c>
      <c r="O250" s="1316">
        <f t="shared" si="242"/>
        <v>29718.06615751921</v>
      </c>
      <c r="P250" s="1306"/>
      <c r="Q250" s="1316">
        <f t="shared" si="243"/>
        <v>0</v>
      </c>
      <c r="R250" s="1310"/>
      <c r="S250" s="1317">
        <f t="shared" si="244"/>
        <v>29718.06615751921</v>
      </c>
      <c r="T250" s="1306">
        <f>Deprec!J70</f>
        <v>17003.139508532899</v>
      </c>
      <c r="U250" s="1306">
        <f>Deprec!K70</f>
        <v>2591.4525441800979</v>
      </c>
      <c r="V250" s="1318">
        <f>Deprec!L70</f>
        <v>10123.474104806215</v>
      </c>
      <c r="W250" s="1324" t="s">
        <v>372</v>
      </c>
      <c r="X250" s="1306">
        <f t="shared" si="239"/>
        <v>0</v>
      </c>
      <c r="Y250" s="1377"/>
    </row>
    <row r="251" spans="1:27" s="1305" customFormat="1">
      <c r="A251" s="1304"/>
      <c r="B251" s="1305" t="s">
        <v>345</v>
      </c>
      <c r="C251" s="1306">
        <f>IFERROR(VLOOKUP(A251,'2180 IS (C)'!D:AH,31,FALSE),0)</f>
        <v>0</v>
      </c>
      <c r="D251" s="1306">
        <f>IFERROR(VLOOKUP(A251,'2182 IS'!D:AH,31,FALSE),0)</f>
        <v>0</v>
      </c>
      <c r="E251" s="1306">
        <f t="shared" si="240"/>
        <v>0</v>
      </c>
      <c r="F251" s="1306"/>
      <c r="G251" s="1307">
        <f>Deprec!E72</f>
        <v>405873.98331503826</v>
      </c>
      <c r="H251" s="1306"/>
      <c r="I251" s="1306"/>
      <c r="J251" s="1306"/>
      <c r="K251" s="1307"/>
      <c r="L251" s="1306"/>
      <c r="M251" s="1306">
        <f t="shared" si="245"/>
        <v>405873.98331503826</v>
      </c>
      <c r="N251" s="1306">
        <f t="shared" si="241"/>
        <v>0</v>
      </c>
      <c r="O251" s="1316">
        <f t="shared" si="242"/>
        <v>405873.98331503826</v>
      </c>
      <c r="P251" s="1306"/>
      <c r="Q251" s="1316">
        <f t="shared" si="243"/>
        <v>0</v>
      </c>
      <c r="R251" s="1310"/>
      <c r="S251" s="1317">
        <f t="shared" si="244"/>
        <v>405873.98331503826</v>
      </c>
      <c r="T251" s="1306">
        <f>Deprec!J72</f>
        <v>263230.14223150827</v>
      </c>
      <c r="U251" s="1306">
        <f>Deprec!K72</f>
        <v>18919.628396900833</v>
      </c>
      <c r="V251" s="1318">
        <f>Deprec!L72</f>
        <v>123724.21268662917</v>
      </c>
      <c r="W251" s="1324" t="s">
        <v>372</v>
      </c>
      <c r="X251" s="1306">
        <f t="shared" si="239"/>
        <v>0</v>
      </c>
      <c r="Y251" s="1377"/>
    </row>
    <row r="252" spans="1:27" s="1305" customFormat="1">
      <c r="A252" s="1304">
        <v>70264</v>
      </c>
      <c r="B252" s="1305" t="s">
        <v>148</v>
      </c>
      <c r="C252" s="1306">
        <f>IFERROR(VLOOKUP(A252,'2180 IS (C)'!D:AH,31,FALSE),0)</f>
        <v>0</v>
      </c>
      <c r="D252" s="1306">
        <f>IFERROR(VLOOKUP(A252,'2182 IS'!D:AH,31,FALSE),0)</f>
        <v>0</v>
      </c>
      <c r="E252" s="1306">
        <f t="shared" si="240"/>
        <v>0</v>
      </c>
      <c r="F252" s="1306"/>
      <c r="G252" s="1307"/>
      <c r="H252" s="1306"/>
      <c r="I252" s="1306"/>
      <c r="J252" s="1306"/>
      <c r="K252" s="1307"/>
      <c r="L252" s="1306"/>
      <c r="M252" s="1306">
        <f t="shared" si="245"/>
        <v>0</v>
      </c>
      <c r="N252" s="1306">
        <f t="shared" si="241"/>
        <v>0</v>
      </c>
      <c r="O252" s="1316">
        <f t="shared" si="242"/>
        <v>0</v>
      </c>
      <c r="P252" s="1306"/>
      <c r="Q252" s="1316">
        <f t="shared" si="243"/>
        <v>0</v>
      </c>
      <c r="R252" s="1310"/>
      <c r="S252" s="1317">
        <f t="shared" si="244"/>
        <v>0</v>
      </c>
      <c r="T252" s="1306"/>
      <c r="U252" s="1306"/>
      <c r="V252" s="1318"/>
      <c r="W252" s="1324"/>
      <c r="X252" s="1306">
        <f t="shared" si="239"/>
        <v>0</v>
      </c>
      <c r="Y252" s="1377"/>
    </row>
    <row r="253" spans="1:27" s="1305" customFormat="1">
      <c r="A253" s="1304">
        <v>91010</v>
      </c>
      <c r="B253" s="1305" t="s">
        <v>149</v>
      </c>
      <c r="C253" s="1306">
        <f>IFERROR(VLOOKUP(A253,'2180 IS (C)'!D:AH,31,FALSE),0)</f>
        <v>-28860.499999999996</v>
      </c>
      <c r="D253" s="1306">
        <f>IFERROR(VLOOKUP(A253,'2182 IS'!D:AH,31,FALSE),0)</f>
        <v>-5862.4</v>
      </c>
      <c r="E253" s="1306">
        <f t="shared" si="240"/>
        <v>-34722.899999999994</v>
      </c>
      <c r="F253" s="1306"/>
      <c r="G253" s="1307"/>
      <c r="H253" s="1306"/>
      <c r="I253" s="1306"/>
      <c r="J253" s="1306"/>
      <c r="K253" s="1307"/>
      <c r="L253" s="1306"/>
      <c r="M253" s="1306">
        <f t="shared" si="245"/>
        <v>-28860.499999999996</v>
      </c>
      <c r="N253" s="1306">
        <f t="shared" si="241"/>
        <v>-5862.4</v>
      </c>
      <c r="O253" s="1316">
        <f t="shared" si="242"/>
        <v>-34722.899999999994</v>
      </c>
      <c r="P253" s="1306"/>
      <c r="Q253" s="1316">
        <f t="shared" si="243"/>
        <v>-5862.4</v>
      </c>
      <c r="R253" s="1379"/>
      <c r="S253" s="1317">
        <f>O253-Q253</f>
        <v>-28860.499999999993</v>
      </c>
      <c r="T253" s="1306">
        <f>$S253*SUM('Ratios (C)'!$C$53+'Ratios (C)'!$D$53)</f>
        <v>-16512.484533313174</v>
      </c>
      <c r="U253" s="1306">
        <f>$S253*('Ratios (C)'!$E$53+'Ratios (C)'!$F$53)</f>
        <v>-2516.6717024884983</v>
      </c>
      <c r="V253" s="1318">
        <f>$S253*'Ratios (C)'!$G$53</f>
        <v>-9831.3437641983219</v>
      </c>
      <c r="W253" s="1324" t="s">
        <v>370</v>
      </c>
      <c r="X253" s="1306">
        <f t="shared" si="239"/>
        <v>0</v>
      </c>
      <c r="Y253" s="1352"/>
    </row>
    <row r="254" spans="1:27" s="1305" customFormat="1">
      <c r="A254" s="1358"/>
      <c r="B254" s="1325" t="s">
        <v>13</v>
      </c>
      <c r="C254" s="1326">
        <f>SUM(C244:C253)</f>
        <v>3424812.6199999996</v>
      </c>
      <c r="D254" s="1326">
        <f t="shared" ref="D254:V254" si="246">SUM(D244:D253)</f>
        <v>610340.26</v>
      </c>
      <c r="E254" s="1326">
        <f t="shared" si="246"/>
        <v>4035152.8800000004</v>
      </c>
      <c r="F254" s="1326"/>
      <c r="G254" s="1326">
        <f>SUM(G244:G253)</f>
        <v>1103256.6335374597</v>
      </c>
      <c r="H254" s="1326">
        <f t="shared" si="246"/>
        <v>0</v>
      </c>
      <c r="I254" s="1326"/>
      <c r="J254" s="1326">
        <f t="shared" si="246"/>
        <v>0</v>
      </c>
      <c r="K254" s="1326">
        <f t="shared" si="246"/>
        <v>0</v>
      </c>
      <c r="L254" s="1326"/>
      <c r="M254" s="1326">
        <f t="shared" si="246"/>
        <v>4528069.2535374602</v>
      </c>
      <c r="N254" s="1326">
        <f t="shared" si="246"/>
        <v>610340.26</v>
      </c>
      <c r="O254" s="1327">
        <f t="shared" si="246"/>
        <v>5138409.5135374591</v>
      </c>
      <c r="P254" s="1326">
        <f t="shared" si="246"/>
        <v>0</v>
      </c>
      <c r="Q254" s="1327">
        <f t="shared" si="246"/>
        <v>610340.26</v>
      </c>
      <c r="R254" s="1328"/>
      <c r="S254" s="1329">
        <f t="shared" si="246"/>
        <v>4528069.2535374602</v>
      </c>
      <c r="T254" s="1326">
        <f t="shared" si="246"/>
        <v>2869335.3363130931</v>
      </c>
      <c r="U254" s="1326">
        <f t="shared" si="246"/>
        <v>255350.80758506275</v>
      </c>
      <c r="V254" s="1330">
        <f t="shared" si="246"/>
        <v>1403383.1096393038</v>
      </c>
      <c r="W254" s="1324"/>
      <c r="X254" s="1306"/>
      <c r="Y254" s="1356"/>
      <c r="Z254" s="1357"/>
      <c r="AA254" s="1357"/>
    </row>
    <row r="255" spans="1:27" s="1305" customFormat="1">
      <c r="A255" s="1304"/>
      <c r="C255" s="1306"/>
      <c r="D255" s="1343"/>
      <c r="E255" s="1306"/>
      <c r="F255" s="1306"/>
      <c r="G255" s="1306">
        <f>C254+G254-Deprec!E81</f>
        <v>-28860.5</v>
      </c>
      <c r="H255" s="1306"/>
      <c r="I255" s="1306"/>
      <c r="J255" s="1306"/>
      <c r="K255" s="1306"/>
      <c r="L255" s="1306"/>
      <c r="M255" s="1306"/>
      <c r="N255" s="1306"/>
      <c r="O255" s="1316"/>
      <c r="P255" s="1306"/>
      <c r="Q255" s="1316"/>
      <c r="R255" s="1324"/>
      <c r="S255" s="1317"/>
      <c r="T255" s="1306">
        <f>SUM(T244:T251)-Deprec!J81</f>
        <v>0</v>
      </c>
      <c r="U255" s="1306">
        <f>SUM(U244:U251)-Deprec!K81</f>
        <v>0</v>
      </c>
      <c r="V255" s="1318"/>
      <c r="W255" s="1324"/>
      <c r="X255" s="1306">
        <f t="shared" ref="X255:X267" si="247">SUM(T255:V255)-S255</f>
        <v>0</v>
      </c>
      <c r="Y255" s="1377"/>
    </row>
    <row r="256" spans="1:27" s="1305" customFormat="1">
      <c r="A256" s="1304">
        <v>41201</v>
      </c>
      <c r="B256" s="1305" t="s">
        <v>150</v>
      </c>
      <c r="C256" s="1306">
        <f>IFERROR(VLOOKUP(A256,'2180 IS (C)'!D:AH,31,FALSE),0)</f>
        <v>742990.80999999994</v>
      </c>
      <c r="D256" s="1306">
        <f>IFERROR(VLOOKUP(A256,'2182 IS'!D:AH,31,FALSE),0)</f>
        <v>0</v>
      </c>
      <c r="E256" s="1306">
        <f t="shared" ref="E256:E257" si="248">SUM(C256:D256)</f>
        <v>742990.80999999994</v>
      </c>
      <c r="F256" s="1306"/>
      <c r="G256" s="1308"/>
      <c r="H256" s="1306"/>
      <c r="I256" s="1306"/>
      <c r="J256" s="1306"/>
      <c r="K256" s="1308"/>
      <c r="L256" s="1306"/>
      <c r="M256" s="1306">
        <f t="shared" ref="M256:M257" si="249">C256+G256+J256</f>
        <v>742990.80999999994</v>
      </c>
      <c r="N256" s="1306">
        <f t="shared" ref="N256:N257" si="250">D256+H256+K256</f>
        <v>0</v>
      </c>
      <c r="O256" s="1316">
        <f t="shared" ref="O256:O257" si="251">M256+N256</f>
        <v>742990.80999999994</v>
      </c>
      <c r="P256" s="1306"/>
      <c r="Q256" s="1316">
        <f t="shared" ref="Q256:Q257" si="252">N256</f>
        <v>0</v>
      </c>
      <c r="R256" s="1310"/>
      <c r="S256" s="1317">
        <f t="shared" ref="S256:S257" si="253">O256-Q256</f>
        <v>742990.80999999994</v>
      </c>
      <c r="T256" s="1306"/>
      <c r="U256" s="1306"/>
      <c r="V256" s="1318">
        <f>S256</f>
        <v>742990.80999999994</v>
      </c>
      <c r="W256" s="1324" t="s">
        <v>310</v>
      </c>
      <c r="X256" s="1306">
        <f t="shared" si="247"/>
        <v>0</v>
      </c>
      <c r="Y256" s="1377"/>
    </row>
    <row r="257" spans="1:27" s="1305" customFormat="1">
      <c r="A257" s="1304">
        <v>57280</v>
      </c>
      <c r="B257" s="1305" t="s">
        <v>151</v>
      </c>
      <c r="C257" s="1306">
        <f>IFERROR(VLOOKUP(A257,'2180 IS (C)'!D:AH,31,FALSE),0)</f>
        <v>19669.45</v>
      </c>
      <c r="D257" s="1306">
        <f>IFERROR(VLOOKUP(A257,'2182 IS'!D:AH,31,FALSE),0)</f>
        <v>1216.5</v>
      </c>
      <c r="E257" s="1306">
        <f t="shared" si="248"/>
        <v>20885.95</v>
      </c>
      <c r="F257" s="1306"/>
      <c r="G257" s="1308"/>
      <c r="H257" s="1306"/>
      <c r="I257" s="1306"/>
      <c r="J257" s="1306"/>
      <c r="K257" s="1308"/>
      <c r="L257" s="1306"/>
      <c r="M257" s="1306">
        <f t="shared" si="249"/>
        <v>19669.45</v>
      </c>
      <c r="N257" s="1306">
        <f t="shared" si="250"/>
        <v>1216.5</v>
      </c>
      <c r="O257" s="1316">
        <f t="shared" si="251"/>
        <v>20885.95</v>
      </c>
      <c r="P257" s="1306"/>
      <c r="Q257" s="1316">
        <f t="shared" si="252"/>
        <v>1216.5</v>
      </c>
      <c r="R257" s="1310"/>
      <c r="S257" s="1317">
        <f t="shared" si="253"/>
        <v>19669.45</v>
      </c>
      <c r="T257" s="1306">
        <f>$S257*SUM('Ratios (C)'!$C$53+'Ratios (C)'!$D$53)</f>
        <v>11253.841371555478</v>
      </c>
      <c r="U257" s="1306">
        <f>$S257*('Ratios (C)'!$E$53+'Ratios (C)'!$F$53)</f>
        <v>1715.2006451209231</v>
      </c>
      <c r="V257" s="1318">
        <f>$S257*'Ratios (C)'!$G$53</f>
        <v>6700.4079833236001</v>
      </c>
      <c r="W257" s="1324" t="s">
        <v>370</v>
      </c>
      <c r="X257" s="1306">
        <f t="shared" si="247"/>
        <v>0</v>
      </c>
      <c r="Y257" s="1377"/>
    </row>
    <row r="258" spans="1:27" s="1305" customFormat="1">
      <c r="A258" s="1358">
        <v>52000</v>
      </c>
      <c r="B258" s="1325" t="s">
        <v>152</v>
      </c>
      <c r="C258" s="1326">
        <f>SUM(C256:C257)</f>
        <v>762660.25999999989</v>
      </c>
      <c r="D258" s="1326">
        <f t="shared" ref="D258:V258" si="254">SUM(D256:D257)</f>
        <v>1216.5</v>
      </c>
      <c r="E258" s="1326">
        <f t="shared" si="254"/>
        <v>763876.75999999989</v>
      </c>
      <c r="F258" s="1326"/>
      <c r="G258" s="1326">
        <f t="shared" si="254"/>
        <v>0</v>
      </c>
      <c r="H258" s="1326">
        <f t="shared" si="254"/>
        <v>0</v>
      </c>
      <c r="I258" s="1326"/>
      <c r="J258" s="1326">
        <f t="shared" si="254"/>
        <v>0</v>
      </c>
      <c r="K258" s="1326">
        <f t="shared" si="254"/>
        <v>0</v>
      </c>
      <c r="L258" s="1326"/>
      <c r="M258" s="1326">
        <f t="shared" si="254"/>
        <v>762660.25999999989</v>
      </c>
      <c r="N258" s="1326">
        <f t="shared" si="254"/>
        <v>1216.5</v>
      </c>
      <c r="O258" s="1327">
        <f t="shared" si="254"/>
        <v>763876.75999999989</v>
      </c>
      <c r="P258" s="1326">
        <f t="shared" si="254"/>
        <v>0</v>
      </c>
      <c r="Q258" s="1327">
        <f t="shared" si="254"/>
        <v>1216.5</v>
      </c>
      <c r="R258" s="1328"/>
      <c r="S258" s="1329">
        <f t="shared" si="254"/>
        <v>762660.25999999989</v>
      </c>
      <c r="T258" s="1326">
        <f t="shared" si="254"/>
        <v>11253.841371555478</v>
      </c>
      <c r="U258" s="1326">
        <f t="shared" si="254"/>
        <v>1715.2006451209231</v>
      </c>
      <c r="V258" s="1330">
        <f t="shared" si="254"/>
        <v>749691.2179833235</v>
      </c>
      <c r="W258" s="1324"/>
      <c r="X258" s="1306">
        <f t="shared" si="247"/>
        <v>0</v>
      </c>
      <c r="Y258" s="1356"/>
      <c r="Z258" s="1357"/>
      <c r="AA258" s="1357"/>
    </row>
    <row r="259" spans="1:27" s="1305" customFormat="1">
      <c r="A259" s="1304"/>
      <c r="C259" s="1306"/>
      <c r="D259" s="1343"/>
      <c r="E259" s="1306"/>
      <c r="F259" s="1306"/>
      <c r="G259" s="1306"/>
      <c r="H259" s="1306"/>
      <c r="I259" s="1306"/>
      <c r="J259" s="1306"/>
      <c r="K259" s="1306"/>
      <c r="L259" s="1306"/>
      <c r="M259" s="1306"/>
      <c r="N259" s="1306"/>
      <c r="O259" s="1316"/>
      <c r="P259" s="1306"/>
      <c r="Q259" s="1316"/>
      <c r="R259" s="1324"/>
      <c r="S259" s="1317"/>
      <c r="T259" s="1306"/>
      <c r="U259" s="1306"/>
      <c r="V259" s="1318"/>
      <c r="W259" s="1324"/>
      <c r="X259" s="1306">
        <f t="shared" si="247"/>
        <v>0</v>
      </c>
      <c r="Y259" s="1377"/>
    </row>
    <row r="260" spans="1:27" s="1305" customFormat="1" ht="12.75" customHeight="1">
      <c r="A260" s="1304">
        <v>43001</v>
      </c>
      <c r="B260" s="1305" t="s">
        <v>153</v>
      </c>
      <c r="C260" s="1306">
        <f>IFERROR(VLOOKUP(A260,'2180 IS (C)'!D:AH,31,FALSE),0)</f>
        <v>997847.61999999988</v>
      </c>
      <c r="D260" s="1306">
        <f>IFERROR(VLOOKUP(A260,'2182 IS'!D:AH,31,FALSE),0)</f>
        <v>190925.24999999994</v>
      </c>
      <c r="E260" s="1306">
        <f t="shared" ref="E260:E264" si="255">SUM(C260:D260)</f>
        <v>1188772.8699999999</v>
      </c>
      <c r="F260" s="1306"/>
      <c r="G260" s="1308"/>
      <c r="H260" s="1306"/>
      <c r="I260" s="1306"/>
      <c r="J260" s="1306"/>
      <c r="K260" s="1308"/>
      <c r="L260" s="1306"/>
      <c r="M260" s="1306">
        <f t="shared" ref="M260" si="256">C260+G260+J260</f>
        <v>997847.61999999988</v>
      </c>
      <c r="N260" s="1306">
        <f t="shared" ref="N260" si="257">D260+H260+K260</f>
        <v>190925.24999999994</v>
      </c>
      <c r="O260" s="1316">
        <f t="shared" ref="O260" si="258">M260+N260</f>
        <v>1188772.8699999999</v>
      </c>
      <c r="P260" s="1306"/>
      <c r="Q260" s="1316">
        <f t="shared" ref="Q260" si="259">N260</f>
        <v>190925.24999999994</v>
      </c>
      <c r="R260" s="1310"/>
      <c r="S260" s="1317">
        <f t="shared" ref="S260" si="260">O260-Q260</f>
        <v>997847.61999999988</v>
      </c>
      <c r="T260" s="1306">
        <f>$S260*T$26/(SUM($T$26:$V$26))</f>
        <v>576035.53858280007</v>
      </c>
      <c r="U260" s="1306">
        <f>$S$260*U$26/(SUM($T$26:$V$26))</f>
        <v>69048.530008477377</v>
      </c>
      <c r="V260" s="1318">
        <f>$S$260*V$26/(SUM($T$26:$V$26))</f>
        <v>352763.55140872247</v>
      </c>
      <c r="W260" s="1324" t="s">
        <v>166</v>
      </c>
      <c r="X260" s="1306">
        <f t="shared" si="247"/>
        <v>0</v>
      </c>
      <c r="Y260" s="1377"/>
    </row>
    <row r="261" spans="1:27" s="1305" customFormat="1">
      <c r="A261" s="1358">
        <v>52030</v>
      </c>
      <c r="B261" s="1325" t="s">
        <v>154</v>
      </c>
      <c r="C261" s="1326">
        <f>SUM(C260)</f>
        <v>997847.61999999988</v>
      </c>
      <c r="D261" s="1326">
        <f t="shared" ref="D261:V261" si="261">SUM(D260)</f>
        <v>190925.24999999994</v>
      </c>
      <c r="E261" s="1326">
        <f>SUM(E260)</f>
        <v>1188772.8699999999</v>
      </c>
      <c r="F261" s="1326"/>
      <c r="G261" s="1326">
        <f t="shared" si="261"/>
        <v>0</v>
      </c>
      <c r="H261" s="1326">
        <f t="shared" si="261"/>
        <v>0</v>
      </c>
      <c r="I261" s="1326"/>
      <c r="J261" s="1326">
        <f t="shared" si="261"/>
        <v>0</v>
      </c>
      <c r="K261" s="1326">
        <f t="shared" si="261"/>
        <v>0</v>
      </c>
      <c r="L261" s="1326"/>
      <c r="M261" s="1326">
        <f t="shared" si="261"/>
        <v>997847.61999999988</v>
      </c>
      <c r="N261" s="1326">
        <f t="shared" si="261"/>
        <v>190925.24999999994</v>
      </c>
      <c r="O261" s="1327">
        <f t="shared" si="261"/>
        <v>1188772.8699999999</v>
      </c>
      <c r="P261" s="1326">
        <f t="shared" si="261"/>
        <v>0</v>
      </c>
      <c r="Q261" s="1327">
        <f t="shared" si="261"/>
        <v>190925.24999999994</v>
      </c>
      <c r="R261" s="1328"/>
      <c r="S261" s="1329">
        <f t="shared" si="261"/>
        <v>997847.61999999988</v>
      </c>
      <c r="T261" s="1326">
        <f t="shared" si="261"/>
        <v>576035.53858280007</v>
      </c>
      <c r="U261" s="1326">
        <f t="shared" si="261"/>
        <v>69048.530008477377</v>
      </c>
      <c r="V261" s="1330">
        <f t="shared" si="261"/>
        <v>352763.55140872247</v>
      </c>
      <c r="W261" s="1324"/>
      <c r="X261" s="1306">
        <f t="shared" si="247"/>
        <v>0</v>
      </c>
      <c r="Y261" s="1356"/>
      <c r="Z261" s="1357"/>
      <c r="AA261" s="1357"/>
    </row>
    <row r="262" spans="1:27" s="1305" customFormat="1">
      <c r="A262" s="1304"/>
      <c r="C262" s="1306"/>
      <c r="D262" s="1343"/>
      <c r="E262" s="1306"/>
      <c r="F262" s="1306"/>
      <c r="G262" s="1306"/>
      <c r="H262" s="1306"/>
      <c r="I262" s="1306"/>
      <c r="J262" s="1306"/>
      <c r="K262" s="1306"/>
      <c r="L262" s="1306"/>
      <c r="M262" s="1306"/>
      <c r="N262" s="1306"/>
      <c r="O262" s="1316"/>
      <c r="P262" s="1306"/>
      <c r="Q262" s="1316"/>
      <c r="R262" s="1324"/>
      <c r="S262" s="1317"/>
      <c r="T262" s="1306"/>
      <c r="U262" s="1306"/>
      <c r="V262" s="1318"/>
      <c r="W262" s="1324"/>
      <c r="X262" s="1306">
        <f t="shared" si="247"/>
        <v>0</v>
      </c>
      <c r="Y262" s="1377"/>
    </row>
    <row r="263" spans="1:27" s="1305" customFormat="1">
      <c r="A263" s="1304">
        <v>51295</v>
      </c>
      <c r="B263" s="1305" t="s">
        <v>155</v>
      </c>
      <c r="C263" s="1306">
        <f>IFERROR(VLOOKUP(A263,'2180 IS (C)'!D:AH,31,FALSE),0)</f>
        <v>140918.42000000001</v>
      </c>
      <c r="D263" s="1306">
        <f>IFERROR(VLOOKUP(A263,'2182 IS'!D:AH,31,FALSE),0)</f>
        <v>226039.82</v>
      </c>
      <c r="E263" s="1306">
        <f t="shared" si="255"/>
        <v>366958.24</v>
      </c>
      <c r="F263" s="1306"/>
      <c r="G263" s="1306"/>
      <c r="H263" s="1306"/>
      <c r="I263" s="1306"/>
      <c r="J263" s="1306"/>
      <c r="K263" s="1306"/>
      <c r="L263" s="1306"/>
      <c r="M263" s="1306">
        <f t="shared" ref="M263:M264" si="262">C263+G263+J263</f>
        <v>140918.42000000001</v>
      </c>
      <c r="N263" s="1306">
        <f t="shared" ref="N263:N264" si="263">D263+H263+K263</f>
        <v>226039.82</v>
      </c>
      <c r="O263" s="1316">
        <f t="shared" ref="O263:O264" si="264">M263+N263</f>
        <v>366958.24</v>
      </c>
      <c r="P263" s="1306"/>
      <c r="Q263" s="1316">
        <f t="shared" ref="Q263:Q264" si="265">N263</f>
        <v>226039.82</v>
      </c>
      <c r="R263" s="1310"/>
      <c r="S263" s="1317">
        <f t="shared" ref="S263:S264" si="266">O263-Q263</f>
        <v>140918.41999999998</v>
      </c>
      <c r="T263" s="1306">
        <f>$S263*SUM('Ratios (C)'!$C$53+'Ratios (C)'!$D$53)</f>
        <v>80626.227220905042</v>
      </c>
      <c r="U263" s="1306">
        <f>$S263*('Ratios (C)'!$E$53+'Ratios (C)'!$F$53)</f>
        <v>12288.262503192575</v>
      </c>
      <c r="V263" s="1318">
        <f>$S263*'Ratios (C)'!$G$53</f>
        <v>48003.93027590237</v>
      </c>
      <c r="W263" s="1324" t="s">
        <v>370</v>
      </c>
      <c r="X263" s="1306">
        <f t="shared" si="247"/>
        <v>0</v>
      </c>
      <c r="Y263" s="1377"/>
    </row>
    <row r="264" spans="1:27" s="1305" customFormat="1">
      <c r="A264" s="1304">
        <v>57357</v>
      </c>
      <c r="B264" s="1305" t="s">
        <v>140</v>
      </c>
      <c r="C264" s="1306">
        <f>IFERROR(VLOOKUP(A264,'2180 IS (C)'!D:AH,31,FALSE),0)</f>
        <v>10951.09</v>
      </c>
      <c r="D264" s="1306">
        <f>IFERROR(VLOOKUP(A264,'2182 IS'!D:AH,31,FALSE),0)</f>
        <v>367.03999999999996</v>
      </c>
      <c r="E264" s="1306">
        <f t="shared" si="255"/>
        <v>11318.130000000001</v>
      </c>
      <c r="F264" s="1306"/>
      <c r="G264" s="1306"/>
      <c r="H264" s="1306"/>
      <c r="I264" s="1306"/>
      <c r="J264" s="1306"/>
      <c r="K264" s="1306"/>
      <c r="L264" s="1306"/>
      <c r="M264" s="1306">
        <f t="shared" si="262"/>
        <v>10951.09</v>
      </c>
      <c r="N264" s="1306">
        <f t="shared" si="263"/>
        <v>367.03999999999996</v>
      </c>
      <c r="O264" s="1316">
        <f t="shared" si="264"/>
        <v>11318.130000000001</v>
      </c>
      <c r="P264" s="1306"/>
      <c r="Q264" s="1316">
        <f t="shared" si="265"/>
        <v>367.03999999999996</v>
      </c>
      <c r="R264" s="1310"/>
      <c r="S264" s="1317">
        <f t="shared" si="266"/>
        <v>10951.09</v>
      </c>
      <c r="T264" s="1306">
        <f>$S264*SUM('Ratios (C)'!$C$53+'Ratios (C)'!$D$53)</f>
        <v>6265.6469655037372</v>
      </c>
      <c r="U264" s="1306">
        <f>$S264*('Ratios (C)'!$E$53+'Ratios (C)'!$F$53)</f>
        <v>954.94874705582981</v>
      </c>
      <c r="V264" s="1318">
        <f>$S264*'Ratios (C)'!$G$53</f>
        <v>3730.4942874404337</v>
      </c>
      <c r="W264" s="1324" t="s">
        <v>370</v>
      </c>
      <c r="X264" s="1306">
        <f t="shared" si="247"/>
        <v>0</v>
      </c>
      <c r="Y264" s="1377"/>
    </row>
    <row r="265" spans="1:27" s="1305" customFormat="1">
      <c r="A265" s="1358">
        <v>52200</v>
      </c>
      <c r="B265" s="1325" t="s">
        <v>156</v>
      </c>
      <c r="C265" s="1326">
        <f>SUM(C263:C264)</f>
        <v>151869.51</v>
      </c>
      <c r="D265" s="1326">
        <f t="shared" ref="D265:V265" si="267">SUM(D263:D264)</f>
        <v>226406.86000000002</v>
      </c>
      <c r="E265" s="1326">
        <f t="shared" si="267"/>
        <v>378276.37</v>
      </c>
      <c r="F265" s="1326"/>
      <c r="G265" s="1326">
        <f t="shared" si="267"/>
        <v>0</v>
      </c>
      <c r="H265" s="1326">
        <f t="shared" si="267"/>
        <v>0</v>
      </c>
      <c r="I265" s="1326"/>
      <c r="J265" s="1326">
        <f t="shared" si="267"/>
        <v>0</v>
      </c>
      <c r="K265" s="1326">
        <f t="shared" si="267"/>
        <v>0</v>
      </c>
      <c r="L265" s="1326"/>
      <c r="M265" s="1326">
        <f t="shared" si="267"/>
        <v>151869.51</v>
      </c>
      <c r="N265" s="1326">
        <f t="shared" si="267"/>
        <v>226406.86000000002</v>
      </c>
      <c r="O265" s="1327">
        <f t="shared" si="267"/>
        <v>378276.37</v>
      </c>
      <c r="P265" s="1326">
        <f t="shared" si="267"/>
        <v>0</v>
      </c>
      <c r="Q265" s="1327">
        <f t="shared" si="267"/>
        <v>226406.86000000002</v>
      </c>
      <c r="R265" s="1328"/>
      <c r="S265" s="1329">
        <f t="shared" si="267"/>
        <v>151869.50999999998</v>
      </c>
      <c r="T265" s="1326">
        <f t="shared" si="267"/>
        <v>86891.874186408779</v>
      </c>
      <c r="U265" s="1326">
        <f t="shared" si="267"/>
        <v>13243.211250248405</v>
      </c>
      <c r="V265" s="1330">
        <f t="shared" si="267"/>
        <v>51734.424563342807</v>
      </c>
      <c r="W265" s="1324"/>
      <c r="X265" s="1306">
        <f t="shared" si="247"/>
        <v>0</v>
      </c>
      <c r="Y265" s="1356"/>
      <c r="Z265" s="1357"/>
      <c r="AA265" s="1357"/>
    </row>
    <row r="266" spans="1:27" s="1305" customFormat="1">
      <c r="A266" s="1304"/>
      <c r="C266" s="1306"/>
      <c r="D266" s="1343"/>
      <c r="E266" s="1306"/>
      <c r="F266" s="1306"/>
      <c r="G266" s="1306"/>
      <c r="H266" s="1306"/>
      <c r="I266" s="1306"/>
      <c r="J266" s="1306"/>
      <c r="K266" s="1306"/>
      <c r="L266" s="1306"/>
      <c r="M266" s="1306"/>
      <c r="N266" s="1306"/>
      <c r="O266" s="1316"/>
      <c r="P266" s="1306"/>
      <c r="Q266" s="1316"/>
      <c r="R266" s="1324"/>
      <c r="S266" s="1317"/>
      <c r="T266" s="1306"/>
      <c r="U266" s="1306"/>
      <c r="V266" s="1318"/>
      <c r="W266" s="1324"/>
      <c r="X266" s="1306">
        <f t="shared" si="247"/>
        <v>0</v>
      </c>
      <c r="Y266" s="1377"/>
    </row>
    <row r="267" spans="1:27" s="1305" customFormat="1">
      <c r="A267" s="1304">
        <v>57275</v>
      </c>
      <c r="B267" s="1305" t="s">
        <v>157</v>
      </c>
      <c r="C267" s="1306">
        <f>IFERROR(VLOOKUP(A267,'2180 IS (C)'!D:AH,31,FALSE),0)</f>
        <v>190755.63999999998</v>
      </c>
      <c r="D267" s="1306">
        <f>IFERROR(VLOOKUP(A267,'2182 IS'!D:AH,31,FALSE),0)</f>
        <v>27613.460000000003</v>
      </c>
      <c r="E267" s="1306">
        <f t="shared" ref="E267" si="268">SUM(C267:D267)</f>
        <v>218369.09999999998</v>
      </c>
      <c r="F267" s="1306"/>
      <c r="G267" s="1306"/>
      <c r="H267" s="1306"/>
      <c r="I267" s="1306"/>
      <c r="J267" s="1306"/>
      <c r="K267" s="1306"/>
      <c r="L267" s="1306"/>
      <c r="M267" s="1306">
        <f t="shared" ref="M267" si="269">C267+G267+J267</f>
        <v>190755.63999999998</v>
      </c>
      <c r="N267" s="1306">
        <f t="shared" ref="N267" si="270">D267+H267+K267</f>
        <v>27613.460000000003</v>
      </c>
      <c r="O267" s="1316">
        <f t="shared" ref="O267" si="271">M267+N267</f>
        <v>218369.09999999998</v>
      </c>
      <c r="P267" s="1306"/>
      <c r="Q267" s="1316">
        <f t="shared" ref="Q267" si="272">N267</f>
        <v>27613.460000000003</v>
      </c>
      <c r="R267" s="1310"/>
      <c r="S267" s="1317">
        <f t="shared" ref="S267" si="273">O267-Q267</f>
        <v>190755.63999999998</v>
      </c>
      <c r="T267" s="1306">
        <f>$S267*('Ratios (C)'!$C$21+'Ratios (C)'!$D$21)</f>
        <v>138289.17139403481</v>
      </c>
      <c r="U267" s="1306">
        <f>$S267*('Ratios (C)'!$E$21+'Ratios (C)'!$F$21)</f>
        <v>1149.8417966213945</v>
      </c>
      <c r="V267" s="1318">
        <f>$S267*'Ratios (C)'!$G$21</f>
        <v>51316.626809343768</v>
      </c>
      <c r="W267" s="1324" t="s">
        <v>371</v>
      </c>
      <c r="X267" s="1306">
        <f t="shared" si="247"/>
        <v>0</v>
      </c>
      <c r="Y267" s="1377"/>
    </row>
    <row r="268" spans="1:27" s="1305" customFormat="1">
      <c r="A268" s="1304"/>
      <c r="C268" s="1306"/>
      <c r="D268" s="1306"/>
      <c r="E268" s="1306"/>
      <c r="F268" s="1306"/>
      <c r="G268" s="1306"/>
      <c r="H268" s="1306"/>
      <c r="I268" s="1306"/>
      <c r="J268" s="1306"/>
      <c r="K268" s="1306"/>
      <c r="L268" s="1306"/>
      <c r="M268" s="1306"/>
      <c r="N268" s="1306"/>
      <c r="O268" s="1316"/>
      <c r="P268" s="1306"/>
      <c r="Q268" s="1316"/>
      <c r="R268" s="1310"/>
      <c r="S268" s="1317"/>
      <c r="T268" s="1306"/>
      <c r="U268" s="1306"/>
      <c r="V268" s="1318"/>
      <c r="W268" s="1324"/>
      <c r="X268" s="1306"/>
      <c r="Y268" s="1377"/>
    </row>
    <row r="269" spans="1:27" s="1305" customFormat="1">
      <c r="A269" s="1358">
        <v>52300</v>
      </c>
      <c r="B269" s="1325" t="s">
        <v>157</v>
      </c>
      <c r="C269" s="1326">
        <f>SUM(C267:C268)</f>
        <v>190755.63999999998</v>
      </c>
      <c r="D269" s="1326">
        <f>SUM(D267:D268)</f>
        <v>27613.460000000003</v>
      </c>
      <c r="E269" s="1326">
        <f>SUM(E267:E268)</f>
        <v>218369.09999999998</v>
      </c>
      <c r="F269" s="1326"/>
      <c r="G269" s="1326">
        <f>SUM(G267:G268)</f>
        <v>0</v>
      </c>
      <c r="H269" s="1326">
        <f>SUM(H267:H268)</f>
        <v>0</v>
      </c>
      <c r="I269" s="1326"/>
      <c r="J269" s="1326">
        <f>SUM(J267:J268)</f>
        <v>0</v>
      </c>
      <c r="K269" s="1326">
        <f>SUM(K267:K268)</f>
        <v>0</v>
      </c>
      <c r="L269" s="1326"/>
      <c r="M269" s="1326">
        <f>SUM(M267:M268)</f>
        <v>190755.63999999998</v>
      </c>
      <c r="N269" s="1326">
        <f>SUM(N267:N268)</f>
        <v>27613.460000000003</v>
      </c>
      <c r="O269" s="1327">
        <f>SUM(O267:O268)</f>
        <v>218369.09999999998</v>
      </c>
      <c r="P269" s="1326">
        <f>SUM(P267:P268)</f>
        <v>0</v>
      </c>
      <c r="Q269" s="1327">
        <f>SUM(Q267:Q268)</f>
        <v>27613.460000000003</v>
      </c>
      <c r="R269" s="1328"/>
      <c r="S269" s="1329">
        <f>SUM(S267:S268)</f>
        <v>190755.63999999998</v>
      </c>
      <c r="T269" s="1326">
        <f>SUM(T267:T268)</f>
        <v>138289.17139403481</v>
      </c>
      <c r="U269" s="1326">
        <f>SUM(U267:U268)</f>
        <v>1149.8417966213945</v>
      </c>
      <c r="V269" s="1330">
        <f>SUM(V267:V268)</f>
        <v>51316.626809343768</v>
      </c>
      <c r="W269" s="1324"/>
      <c r="X269" s="1306">
        <f t="shared" ref="X269:X291" si="274">SUM(T269:V269)-S269</f>
        <v>0</v>
      </c>
      <c r="Y269" s="1356"/>
      <c r="Z269" s="1357"/>
      <c r="AA269" s="1357"/>
    </row>
    <row r="270" spans="1:27" s="1305" customFormat="1">
      <c r="A270" s="1304"/>
      <c r="C270" s="1306"/>
      <c r="D270" s="1343"/>
      <c r="E270" s="1306"/>
      <c r="F270" s="1306"/>
      <c r="G270" s="1306"/>
      <c r="H270" s="1306"/>
      <c r="I270" s="1306"/>
      <c r="J270" s="1306"/>
      <c r="K270" s="1306"/>
      <c r="L270" s="1306"/>
      <c r="M270" s="1306"/>
      <c r="N270" s="1306"/>
      <c r="O270" s="1316"/>
      <c r="P270" s="1306"/>
      <c r="Q270" s="1316"/>
      <c r="R270" s="1324"/>
      <c r="S270" s="1317"/>
      <c r="T270" s="1306"/>
      <c r="U270" s="1306"/>
      <c r="V270" s="1318"/>
      <c r="W270" s="1324"/>
      <c r="X270" s="1306">
        <f t="shared" si="274"/>
        <v>0</v>
      </c>
      <c r="Y270" s="1377"/>
    </row>
    <row r="271" spans="1:27" s="1305" customFormat="1">
      <c r="A271" s="1304">
        <v>50050</v>
      </c>
      <c r="B271" s="1305" t="s">
        <v>158</v>
      </c>
      <c r="C271" s="1306">
        <f>IFERROR(VLOOKUP(A271,'2180 IS (C)'!D:AH,31,FALSE),0)</f>
        <v>509063.27</v>
      </c>
      <c r="D271" s="1306">
        <f>IFERROR(VLOOKUP(A271,'2182 IS'!D:AH,31,FALSE),0)</f>
        <v>227504.72999999998</v>
      </c>
      <c r="E271" s="1306">
        <f t="shared" ref="E271:E276" si="275">SUM(C271:D271)</f>
        <v>736568</v>
      </c>
      <c r="F271" s="1306"/>
      <c r="G271" s="1307"/>
      <c r="H271" s="1306"/>
      <c r="I271" s="1306"/>
      <c r="J271" s="1306">
        <f>'Pro forma Adj'!B31</f>
        <v>22362.713720440133</v>
      </c>
      <c r="K271" s="1307"/>
      <c r="L271" s="1306"/>
      <c r="M271" s="1306">
        <f t="shared" ref="M271:M276" si="276">C271+G271+J271</f>
        <v>531425.98372044018</v>
      </c>
      <c r="N271" s="1306">
        <f t="shared" ref="N271:N276" si="277">D271+H271+K271</f>
        <v>227504.72999999998</v>
      </c>
      <c r="O271" s="1316">
        <f t="shared" ref="O271:O276" si="278">M271+N271</f>
        <v>758930.71372044017</v>
      </c>
      <c r="P271" s="1306"/>
      <c r="Q271" s="1316">
        <f t="shared" ref="Q271:Q276" si="279">N271</f>
        <v>227504.72999999998</v>
      </c>
      <c r="R271" s="1310"/>
      <c r="S271" s="1317">
        <f t="shared" ref="S271:S276" si="280">O271-Q271</f>
        <v>531425.98372044018</v>
      </c>
      <c r="T271" s="1306">
        <f>$S271*SUM('Ratios (C)'!$C$53+'Ratios (C)'!$D$53)</f>
        <v>304054.44593075343</v>
      </c>
      <c r="U271" s="1306">
        <f>$S271*('Ratios (C)'!$E$53+'Ratios (C)'!$F$53)</f>
        <v>46341.010557556016</v>
      </c>
      <c r="V271" s="1318">
        <f>$S271*'Ratios (C)'!$G$53</f>
        <v>181030.52723213076</v>
      </c>
      <c r="W271" s="1324" t="s">
        <v>370</v>
      </c>
      <c r="X271" s="1306">
        <f t="shared" si="274"/>
        <v>0</v>
      </c>
      <c r="Y271" s="1376"/>
    </row>
    <row r="272" spans="1:27" s="1305" customFormat="1">
      <c r="A272" s="1304">
        <v>52050</v>
      </c>
      <c r="B272" s="1305" t="s">
        <v>158</v>
      </c>
      <c r="C272" s="1306">
        <f>IFERROR(VLOOKUP(A272,'2180 IS (C)'!D:AH,31,FALSE),0)</f>
        <v>104902.15999999999</v>
      </c>
      <c r="D272" s="1306">
        <f>IFERROR(VLOOKUP(A272,'2182 IS'!D:AH,31,FALSE),0)</f>
        <v>32581.95</v>
      </c>
      <c r="E272" s="1306">
        <f t="shared" si="275"/>
        <v>137484.10999999999</v>
      </c>
      <c r="F272" s="1306"/>
      <c r="G272" s="1307"/>
      <c r="H272" s="1306"/>
      <c r="I272" s="1306"/>
      <c r="J272" s="1306">
        <f>'Pro forma Adj'!B32</f>
        <v>2760.4073426739956</v>
      </c>
      <c r="K272" s="1307"/>
      <c r="L272" s="1306"/>
      <c r="M272" s="1306">
        <f t="shared" si="276"/>
        <v>107662.56734267398</v>
      </c>
      <c r="N272" s="1306">
        <f t="shared" si="277"/>
        <v>32581.95</v>
      </c>
      <c r="O272" s="1316">
        <f t="shared" si="278"/>
        <v>140244.51734267399</v>
      </c>
      <c r="P272" s="1306"/>
      <c r="Q272" s="1316">
        <f t="shared" si="279"/>
        <v>32581.95</v>
      </c>
      <c r="R272" s="1310"/>
      <c r="S272" s="1317">
        <f t="shared" si="280"/>
        <v>107662.567342674</v>
      </c>
      <c r="T272" s="1306">
        <f>$S272*SUM('Ratios (C)'!$C$53+'Ratios (C)'!$D$53)</f>
        <v>61598.949362023966</v>
      </c>
      <c r="U272" s="1306">
        <f>$S272*('Ratios (C)'!$E$53+'Ratios (C)'!$F$53)</f>
        <v>9388.3105507032105</v>
      </c>
      <c r="V272" s="1318">
        <f>$S272*'Ratios (C)'!$G$53</f>
        <v>36675.307429946821</v>
      </c>
      <c r="W272" s="1324" t="s">
        <v>370</v>
      </c>
      <c r="X272" s="1306">
        <f t="shared" si="274"/>
        <v>0</v>
      </c>
      <c r="Y272" s="1364"/>
    </row>
    <row r="273" spans="1:27" s="1305" customFormat="1">
      <c r="A273" s="1304">
        <v>55050</v>
      </c>
      <c r="B273" s="1305" t="s">
        <v>158</v>
      </c>
      <c r="C273" s="1306">
        <f>IFERROR(VLOOKUP(A273,'2180 IS (C)'!D:AH,31,FALSE),0)</f>
        <v>47449.91</v>
      </c>
      <c r="D273" s="1306">
        <f>IFERROR(VLOOKUP(A273,'2182 IS'!D:AH,31,FALSE),0)</f>
        <v>0</v>
      </c>
      <c r="E273" s="1306">
        <f t="shared" si="275"/>
        <v>47449.91</v>
      </c>
      <c r="F273" s="1306"/>
      <c r="G273" s="1307"/>
      <c r="H273" s="1306"/>
      <c r="I273" s="1306"/>
      <c r="J273" s="1306">
        <f>'Pro forma Adj'!B33</f>
        <v>2998.8247399479269</v>
      </c>
      <c r="K273" s="1307"/>
      <c r="L273" s="1306"/>
      <c r="M273" s="1306">
        <f t="shared" si="276"/>
        <v>50448.734739947933</v>
      </c>
      <c r="N273" s="1306">
        <f t="shared" si="277"/>
        <v>0</v>
      </c>
      <c r="O273" s="1316">
        <f t="shared" si="278"/>
        <v>50448.734739947933</v>
      </c>
      <c r="P273" s="1306"/>
      <c r="Q273" s="1316">
        <f t="shared" si="279"/>
        <v>0</v>
      </c>
      <c r="R273" s="1310"/>
      <c r="S273" s="1317">
        <f t="shared" si="280"/>
        <v>50448.734739947933</v>
      </c>
      <c r="T273" s="1306">
        <f>$S273*SUM('Ratios (C)'!$C$53+'Ratios (C)'!$D$53)</f>
        <v>28864.155233575628</v>
      </c>
      <c r="U273" s="1306">
        <f>$S273*('Ratios (C)'!$E$53+'Ratios (C)'!$F$53)</f>
        <v>4399.1927771998207</v>
      </c>
      <c r="V273" s="1318">
        <f>$S273*'Ratios (C)'!$G$53</f>
        <v>17185.386729172486</v>
      </c>
      <c r="W273" s="1324" t="s">
        <v>370</v>
      </c>
      <c r="X273" s="1306">
        <f t="shared" si="274"/>
        <v>0</v>
      </c>
      <c r="Y273" s="1377"/>
    </row>
    <row r="274" spans="1:27" s="1305" customFormat="1">
      <c r="A274" s="1304">
        <v>56050</v>
      </c>
      <c r="B274" s="1305" t="s">
        <v>158</v>
      </c>
      <c r="C274" s="1306">
        <f>IFERROR(VLOOKUP(A274,'2180 IS (C)'!D:AH,31,FALSE),0)</f>
        <v>23283.010000000002</v>
      </c>
      <c r="D274" s="1306">
        <f>IFERROR(VLOOKUP(A274,'2182 IS'!D:AH,31,FALSE),0)</f>
        <v>5605.83</v>
      </c>
      <c r="E274" s="1306">
        <f t="shared" si="275"/>
        <v>28888.840000000004</v>
      </c>
      <c r="F274" s="1306"/>
      <c r="G274" s="1307"/>
      <c r="H274" s="1306"/>
      <c r="I274" s="1306"/>
      <c r="J274" s="1306">
        <f>'Pro forma Adj'!B34</f>
        <v>219.39836588221104</v>
      </c>
      <c r="K274" s="1307"/>
      <c r="L274" s="1306"/>
      <c r="M274" s="1306">
        <f t="shared" si="276"/>
        <v>23502.408365882213</v>
      </c>
      <c r="N274" s="1306">
        <f t="shared" si="277"/>
        <v>5605.83</v>
      </c>
      <c r="O274" s="1316">
        <f t="shared" si="278"/>
        <v>29108.238365882215</v>
      </c>
      <c r="P274" s="1306"/>
      <c r="Q274" s="1316">
        <f t="shared" si="279"/>
        <v>5605.83</v>
      </c>
      <c r="R274" s="1310"/>
      <c r="S274" s="1317">
        <f t="shared" si="280"/>
        <v>23502.408365882213</v>
      </c>
      <c r="T274" s="1306">
        <f>$S274*SUM('Ratios (C)'!$C$53+'Ratios (C)'!$D$53)</f>
        <v>13446.861788161683</v>
      </c>
      <c r="U274" s="1306">
        <f>$S274*('Ratios (C)'!$E$53+'Ratios (C)'!$F$53)</f>
        <v>2049.4394093915466</v>
      </c>
      <c r="V274" s="1318">
        <f>$S274*'Ratios (C)'!$G$53</f>
        <v>8006.1071683289838</v>
      </c>
      <c r="W274" s="1324" t="s">
        <v>370</v>
      </c>
      <c r="X274" s="1306">
        <f t="shared" si="274"/>
        <v>0</v>
      </c>
      <c r="Y274" s="1377"/>
    </row>
    <row r="275" spans="1:27" s="1305" customFormat="1">
      <c r="A275" s="1304">
        <v>60050</v>
      </c>
      <c r="B275" s="1305" t="s">
        <v>158</v>
      </c>
      <c r="C275" s="1306">
        <f>IFERROR(VLOOKUP(A275,'2180 IS (C)'!D:AH,31,FALSE),0)</f>
        <v>6948.5199999999986</v>
      </c>
      <c r="D275" s="1306">
        <f>IFERROR(VLOOKUP(A275,'2182 IS'!D:AH,31,FALSE),0)</f>
        <v>0</v>
      </c>
      <c r="E275" s="1306">
        <f t="shared" si="275"/>
        <v>6948.5199999999986</v>
      </c>
      <c r="F275" s="1306"/>
      <c r="G275" s="1307"/>
      <c r="H275" s="1306"/>
      <c r="I275" s="1306"/>
      <c r="J275" s="1306">
        <f>'Pro forma Adj'!B35</f>
        <v>6994.8103655769155</v>
      </c>
      <c r="K275" s="1307"/>
      <c r="L275" s="1306"/>
      <c r="M275" s="1306">
        <f t="shared" si="276"/>
        <v>13943.330365576914</v>
      </c>
      <c r="N275" s="1306">
        <f t="shared" si="277"/>
        <v>0</v>
      </c>
      <c r="O275" s="1316">
        <f t="shared" si="278"/>
        <v>13943.330365576914</v>
      </c>
      <c r="P275" s="1306"/>
      <c r="Q275" s="1316">
        <f t="shared" si="279"/>
        <v>0</v>
      </c>
      <c r="R275" s="1310"/>
      <c r="S275" s="1317">
        <f t="shared" si="280"/>
        <v>13943.330365576914</v>
      </c>
      <c r="T275" s="1306">
        <f>$S275*SUM('Ratios (C)'!$C$53+'Ratios (C)'!$D$53)</f>
        <v>7977.652050534979</v>
      </c>
      <c r="U275" s="1306">
        <f>$S275*('Ratios (C)'!$E$53+'Ratios (C)'!$F$53)</f>
        <v>1215.875850019786</v>
      </c>
      <c r="V275" s="1318">
        <f>$S275*'Ratios (C)'!$G$53</f>
        <v>4749.8024650221496</v>
      </c>
      <c r="W275" s="1324" t="s">
        <v>370</v>
      </c>
      <c r="X275" s="1306">
        <f t="shared" si="274"/>
        <v>0</v>
      </c>
      <c r="Y275" s="1377"/>
    </row>
    <row r="276" spans="1:27" s="1305" customFormat="1">
      <c r="A276" s="1304">
        <v>70050</v>
      </c>
      <c r="B276" s="1305" t="s">
        <v>158</v>
      </c>
      <c r="C276" s="1306">
        <f>IFERROR(VLOOKUP(A276,'2180 IS (C)'!D:AH,31,FALSE),0)</f>
        <v>114133.51999999999</v>
      </c>
      <c r="D276" s="1306">
        <f>IFERROR(VLOOKUP(A276,'2182 IS'!D:AH,31,FALSE),0)</f>
        <v>4154.5200000000004</v>
      </c>
      <c r="E276" s="1306">
        <f t="shared" si="275"/>
        <v>118288.04</v>
      </c>
      <c r="F276" s="1306"/>
      <c r="G276" s="1308"/>
      <c r="H276" s="1306"/>
      <c r="I276" s="1306"/>
      <c r="J276" s="1306">
        <f>'Pro forma Adj'!B36</f>
        <v>692.6127558533617</v>
      </c>
      <c r="K276" s="1308"/>
      <c r="L276" s="1306"/>
      <c r="M276" s="1306">
        <f t="shared" si="276"/>
        <v>114826.13275585335</v>
      </c>
      <c r="N276" s="1306">
        <f t="shared" si="277"/>
        <v>4154.5200000000004</v>
      </c>
      <c r="O276" s="1316">
        <f t="shared" si="278"/>
        <v>118980.65275585336</v>
      </c>
      <c r="P276" s="1306"/>
      <c r="Q276" s="1316">
        <f t="shared" si="279"/>
        <v>4154.5200000000004</v>
      </c>
      <c r="R276" s="1310"/>
      <c r="S276" s="1317">
        <f t="shared" si="280"/>
        <v>114826.13275585335</v>
      </c>
      <c r="T276" s="1306">
        <f>$S276*('Ratios (C)'!$C$21+'Ratios (C)'!$D$21)</f>
        <v>83243.728747356567</v>
      </c>
      <c r="U276" s="1306">
        <f>$S276*('Ratios (C)'!$E$21+'Ratios (C)'!$F$21)</f>
        <v>692.15194259565374</v>
      </c>
      <c r="V276" s="1318">
        <f>$S276*'Ratios (C)'!$G$21</f>
        <v>30890.252065901124</v>
      </c>
      <c r="W276" s="1324" t="s">
        <v>371</v>
      </c>
      <c r="X276" s="1306">
        <f t="shared" si="274"/>
        <v>0</v>
      </c>
      <c r="Y276" s="1377"/>
    </row>
    <row r="277" spans="1:27" s="1305" customFormat="1">
      <c r="A277" s="1358">
        <v>52400</v>
      </c>
      <c r="B277" s="1325" t="s">
        <v>158</v>
      </c>
      <c r="C277" s="1326">
        <f>SUM(C271:C276)</f>
        <v>805780.39000000013</v>
      </c>
      <c r="D277" s="1326">
        <f t="shared" ref="D277:V277" si="281">SUM(D271:D276)</f>
        <v>269847.03000000003</v>
      </c>
      <c r="E277" s="1326">
        <f>SUM(E271:E276)</f>
        <v>1075627.42</v>
      </c>
      <c r="F277" s="1326"/>
      <c r="G277" s="1326">
        <f t="shared" si="281"/>
        <v>0</v>
      </c>
      <c r="H277" s="1326">
        <f t="shared" si="281"/>
        <v>0</v>
      </c>
      <c r="I277" s="1326"/>
      <c r="J277" s="1326">
        <f t="shared" si="281"/>
        <v>36028.767290374541</v>
      </c>
      <c r="K277" s="1326">
        <f t="shared" si="281"/>
        <v>0</v>
      </c>
      <c r="L277" s="1326"/>
      <c r="M277" s="1326">
        <f t="shared" si="281"/>
        <v>841809.15729037463</v>
      </c>
      <c r="N277" s="1326">
        <f t="shared" si="281"/>
        <v>269847.03000000003</v>
      </c>
      <c r="O277" s="1327">
        <f t="shared" si="281"/>
        <v>1111656.1872903744</v>
      </c>
      <c r="P277" s="1326">
        <f t="shared" si="281"/>
        <v>0</v>
      </c>
      <c r="Q277" s="1327">
        <f t="shared" si="281"/>
        <v>269847.03000000003</v>
      </c>
      <c r="R277" s="1328"/>
      <c r="S277" s="1329">
        <f t="shared" si="281"/>
        <v>841809.15729037463</v>
      </c>
      <c r="T277" s="1326">
        <f t="shared" si="281"/>
        <v>499185.79311240622</v>
      </c>
      <c r="U277" s="1326">
        <f t="shared" si="281"/>
        <v>64085.981087466032</v>
      </c>
      <c r="V277" s="1330">
        <f t="shared" si="281"/>
        <v>278537.38309050235</v>
      </c>
      <c r="W277" s="1324"/>
      <c r="X277" s="1306">
        <f t="shared" si="274"/>
        <v>0</v>
      </c>
      <c r="Y277" s="1356"/>
      <c r="Z277" s="1357"/>
      <c r="AA277" s="1357"/>
    </row>
    <row r="278" spans="1:27" s="1305" customFormat="1">
      <c r="A278" s="1304"/>
      <c r="C278" s="1306"/>
      <c r="D278" s="1343"/>
      <c r="E278" s="1306"/>
      <c r="F278" s="1306"/>
      <c r="G278" s="1306"/>
      <c r="H278" s="1306"/>
      <c r="I278" s="1306"/>
      <c r="J278" s="1306"/>
      <c r="K278" s="1306"/>
      <c r="L278" s="1306"/>
      <c r="M278" s="1306"/>
      <c r="N278" s="1306"/>
      <c r="O278" s="1316"/>
      <c r="P278" s="1306"/>
      <c r="Q278" s="1316"/>
      <c r="R278" s="1324"/>
      <c r="S278" s="1317"/>
      <c r="T278" s="1306"/>
      <c r="U278" s="1306"/>
      <c r="V278" s="1318"/>
      <c r="W278" s="1324"/>
      <c r="X278" s="1306">
        <f t="shared" si="274"/>
        <v>0</v>
      </c>
      <c r="Y278" s="1377"/>
    </row>
    <row r="279" spans="1:27" s="1305" customFormat="1">
      <c r="A279" s="1304">
        <v>52170</v>
      </c>
      <c r="B279" s="1305" t="s">
        <v>159</v>
      </c>
      <c r="C279" s="1306">
        <f>IFERROR(VLOOKUP(A279,'2180 IS (C)'!D:AH,31,FALSE),0)</f>
        <v>0</v>
      </c>
      <c r="D279" s="1306">
        <f>IFERROR(VLOOKUP(A279,'2182 IS'!D:AH,31,FALSE),0)</f>
        <v>0</v>
      </c>
      <c r="E279" s="1306">
        <f t="shared" ref="E279:E283" si="282">SUM(C279:D279)</f>
        <v>0</v>
      </c>
      <c r="F279" s="1306"/>
      <c r="G279" s="1306"/>
      <c r="H279" s="1306"/>
      <c r="I279" s="1306"/>
      <c r="J279" s="1306"/>
      <c r="K279" s="1306"/>
      <c r="L279" s="1306"/>
      <c r="M279" s="1306">
        <f t="shared" ref="M279:M283" si="283">C279+G279+J279</f>
        <v>0</v>
      </c>
      <c r="N279" s="1306">
        <f t="shared" ref="N279:N283" si="284">D279+H279+K279</f>
        <v>0</v>
      </c>
      <c r="O279" s="1316">
        <f t="shared" ref="O279:O283" si="285">M279+N279</f>
        <v>0</v>
      </c>
      <c r="P279" s="1306"/>
      <c r="Q279" s="1316">
        <f t="shared" ref="Q279:Q283" si="286">N279</f>
        <v>0</v>
      </c>
      <c r="R279" s="1310"/>
      <c r="S279" s="1317">
        <f t="shared" ref="S279:S283" si="287">O279-Q279</f>
        <v>0</v>
      </c>
      <c r="T279" s="1306"/>
      <c r="U279" s="1306"/>
      <c r="V279" s="1318"/>
      <c r="W279" s="1324"/>
      <c r="X279" s="1306">
        <f t="shared" si="274"/>
        <v>0</v>
      </c>
      <c r="Y279" s="1377"/>
    </row>
    <row r="280" spans="1:27" s="1305" customFormat="1">
      <c r="A280" s="1304">
        <v>57170</v>
      </c>
      <c r="B280" s="1305" t="s">
        <v>159</v>
      </c>
      <c r="C280" s="1306">
        <f>IFERROR(VLOOKUP(A280,'2180 IS (C)'!D:AH,31,FALSE),0)</f>
        <v>21048</v>
      </c>
      <c r="D280" s="1306">
        <f>IFERROR(VLOOKUP(A280,'2182 IS'!D:AH,31,FALSE),0)</f>
        <v>176365.53000000003</v>
      </c>
      <c r="E280" s="1306">
        <f t="shared" si="282"/>
        <v>197413.53000000003</v>
      </c>
      <c r="F280" s="1306"/>
      <c r="G280" s="1306"/>
      <c r="H280" s="1306"/>
      <c r="I280" s="1306"/>
      <c r="J280" s="1306"/>
      <c r="K280" s="1306"/>
      <c r="L280" s="1306"/>
      <c r="M280" s="1306">
        <f t="shared" si="283"/>
        <v>21048</v>
      </c>
      <c r="N280" s="1306">
        <f t="shared" si="284"/>
        <v>176365.53000000003</v>
      </c>
      <c r="O280" s="1316">
        <f t="shared" si="285"/>
        <v>197413.53000000003</v>
      </c>
      <c r="P280" s="1306"/>
      <c r="Q280" s="1316">
        <f t="shared" si="286"/>
        <v>176365.53000000003</v>
      </c>
      <c r="R280" s="1310"/>
      <c r="S280" s="1317">
        <f t="shared" si="287"/>
        <v>21048</v>
      </c>
      <c r="T280" s="1306">
        <f>+S280*('Ratios (C)'!$C$65+'Ratios (C)'!$D$65)</f>
        <v>6888.5278339122478</v>
      </c>
      <c r="U280" s="1306">
        <f>+S280*'Ratios (C)'!B65</f>
        <v>2010.1097490674822</v>
      </c>
      <c r="V280" s="1318">
        <f>+S280*'Ratios (C)'!E65</f>
        <v>12149.362417020271</v>
      </c>
      <c r="W280" s="1324" t="s">
        <v>937</v>
      </c>
      <c r="X280" s="1306">
        <f t="shared" si="274"/>
        <v>0</v>
      </c>
      <c r="Y280" s="1380"/>
    </row>
    <row r="281" spans="1:27" s="1305" customFormat="1">
      <c r="A281" s="1304">
        <v>57148</v>
      </c>
      <c r="B281" s="1305" t="s">
        <v>649</v>
      </c>
      <c r="C281" s="1306">
        <f>IFERROR(VLOOKUP(A281,'2180 IS (C)'!D:AH,31,FALSE),0)</f>
        <v>80050.700000000012</v>
      </c>
      <c r="D281" s="1306">
        <f>IFERROR(VLOOKUP(A281,'2182 IS'!D:AH,31,FALSE),0)</f>
        <v>0</v>
      </c>
      <c r="E281" s="1306">
        <f t="shared" ref="E281" si="288">SUM(C281:D281)</f>
        <v>80050.700000000012</v>
      </c>
      <c r="F281" s="1306"/>
      <c r="G281" s="1306"/>
      <c r="H281" s="1306"/>
      <c r="I281" s="1306"/>
      <c r="J281" s="1306"/>
      <c r="K281" s="1306"/>
      <c r="L281" s="1306"/>
      <c r="M281" s="1306">
        <f t="shared" ref="M281" si="289">C281+G281+J281</f>
        <v>80050.700000000012</v>
      </c>
      <c r="N281" s="1306">
        <f t="shared" ref="N281" si="290">D281+H281+K281</f>
        <v>0</v>
      </c>
      <c r="O281" s="1316">
        <f t="shared" ref="O281" si="291">M281+N281</f>
        <v>80050.700000000012</v>
      </c>
      <c r="P281" s="1306"/>
      <c r="Q281" s="1316">
        <f t="shared" ref="Q281" si="292">N281</f>
        <v>0</v>
      </c>
      <c r="R281" s="1310"/>
      <c r="S281" s="1317">
        <f t="shared" ref="S281" si="293">O281-Q281</f>
        <v>80050.700000000012</v>
      </c>
      <c r="T281" s="1306">
        <f>+S281*('Ratios (C)'!$C$65+'Ratios (C)'!$D$65)</f>
        <v>26198.758792957018</v>
      </c>
      <c r="U281" s="1306">
        <f>+S281*'Ratios (C)'!B65</f>
        <v>7644.9397800112283</v>
      </c>
      <c r="V281" s="1318">
        <f>+S281*'Ratios (C)'!E65</f>
        <v>46207.001427031777</v>
      </c>
      <c r="W281" s="1324" t="s">
        <v>937</v>
      </c>
      <c r="X281" s="1306">
        <f t="shared" si="274"/>
        <v>0</v>
      </c>
      <c r="Y281" s="1380"/>
    </row>
    <row r="282" spans="1:27" s="1305" customFormat="1">
      <c r="A282" s="1304">
        <v>57149</v>
      </c>
      <c r="B282" s="1305" t="s">
        <v>656</v>
      </c>
      <c r="C282" s="1306">
        <f>IFERROR(VLOOKUP(A282,'2180 IS (C)'!D:AH,31,FALSE),0)</f>
        <v>0</v>
      </c>
      <c r="D282" s="1306">
        <f>IFERROR(VLOOKUP(A282,'2182 IS'!D:AH,31,FALSE),0)</f>
        <v>-80050.700000000012</v>
      </c>
      <c r="E282" s="1306">
        <f t="shared" ref="E282" si="294">SUM(C282:D282)</f>
        <v>-80050.700000000012</v>
      </c>
      <c r="F282" s="1306"/>
      <c r="G282" s="1306"/>
      <c r="H282" s="1306"/>
      <c r="I282" s="1306"/>
      <c r="J282" s="1306"/>
      <c r="K282" s="1306"/>
      <c r="L282" s="1306"/>
      <c r="M282" s="1306">
        <f t="shared" ref="M282" si="295">C282+G282+J282</f>
        <v>0</v>
      </c>
      <c r="N282" s="1306">
        <f t="shared" ref="N282" si="296">D282+H282+K282</f>
        <v>-80050.700000000012</v>
      </c>
      <c r="O282" s="1316">
        <f t="shared" ref="O282" si="297">M282+N282</f>
        <v>-80050.700000000012</v>
      </c>
      <c r="P282" s="1306"/>
      <c r="Q282" s="1316">
        <f t="shared" ref="Q282" si="298">N282</f>
        <v>-80050.700000000012</v>
      </c>
      <c r="R282" s="1310"/>
      <c r="S282" s="1317">
        <f t="shared" ref="S282" si="299">O282-Q282</f>
        <v>0</v>
      </c>
      <c r="T282" s="1306"/>
      <c r="U282" s="1306"/>
      <c r="V282" s="1318"/>
      <c r="W282" s="1324"/>
      <c r="X282" s="1306">
        <f t="shared" si="274"/>
        <v>0</v>
      </c>
      <c r="Y282" s="1377"/>
    </row>
    <row r="283" spans="1:27" s="1305" customFormat="1">
      <c r="A283" s="1304">
        <v>70170</v>
      </c>
      <c r="B283" s="1305" t="s">
        <v>159</v>
      </c>
      <c r="C283" s="1306">
        <f>IFERROR(VLOOKUP(A283,'2180 IS (C)'!D:AH,31,FALSE),0)</f>
        <v>285</v>
      </c>
      <c r="D283" s="1306">
        <f>IFERROR(VLOOKUP(A283,'2182 IS'!D:AH,31,FALSE),0)</f>
        <v>0</v>
      </c>
      <c r="E283" s="1306">
        <f t="shared" si="282"/>
        <v>285</v>
      </c>
      <c r="F283" s="1306"/>
      <c r="G283" s="1306"/>
      <c r="H283" s="1306"/>
      <c r="I283" s="1306"/>
      <c r="J283" s="1306"/>
      <c r="K283" s="1306"/>
      <c r="L283" s="1306"/>
      <c r="M283" s="1306">
        <f t="shared" si="283"/>
        <v>285</v>
      </c>
      <c r="N283" s="1306">
        <f t="shared" si="284"/>
        <v>0</v>
      </c>
      <c r="O283" s="1316">
        <f t="shared" si="285"/>
        <v>285</v>
      </c>
      <c r="P283" s="1306"/>
      <c r="Q283" s="1316">
        <f t="shared" si="286"/>
        <v>0</v>
      </c>
      <c r="R283" s="1310"/>
      <c r="S283" s="1317">
        <f t="shared" si="287"/>
        <v>285</v>
      </c>
      <c r="T283" s="1306">
        <f>$S283*SUM('Ratios (C)'!$C$53+'Ratios (C)'!$D$53)</f>
        <v>163.06225089635507</v>
      </c>
      <c r="U283" s="1306">
        <f>$S283*('Ratios (C)'!$E$53+'Ratios (C)'!$F$53)</f>
        <v>24.852356515279435</v>
      </c>
      <c r="V283" s="1318">
        <f>$S283*'Ratios (C)'!$G$53</f>
        <v>97.085392588365508</v>
      </c>
      <c r="W283" s="1324" t="s">
        <v>370</v>
      </c>
      <c r="X283" s="1306">
        <f t="shared" si="274"/>
        <v>0</v>
      </c>
      <c r="Y283" s="1377"/>
    </row>
    <row r="284" spans="1:27" s="1305" customFormat="1">
      <c r="A284" s="1358">
        <v>53200</v>
      </c>
      <c r="B284" s="1325" t="s">
        <v>160</v>
      </c>
      <c r="C284" s="1326">
        <f>SUM(C279:C283)</f>
        <v>101383.70000000001</v>
      </c>
      <c r="D284" s="1326">
        <f t="shared" ref="D284:V284" si="300">SUM(D279:D283)</f>
        <v>96314.830000000016</v>
      </c>
      <c r="E284" s="1326">
        <f>SUM(E279:E283)</f>
        <v>197698.53000000003</v>
      </c>
      <c r="F284" s="1326"/>
      <c r="G284" s="1326">
        <f>SUM(G279:G283)</f>
        <v>0</v>
      </c>
      <c r="H284" s="1326">
        <f>SUM(H279:H283)</f>
        <v>0</v>
      </c>
      <c r="I284" s="1326"/>
      <c r="J284" s="1326">
        <f t="shared" si="300"/>
        <v>0</v>
      </c>
      <c r="K284" s="1326">
        <f t="shared" si="300"/>
        <v>0</v>
      </c>
      <c r="L284" s="1326"/>
      <c r="M284" s="1326">
        <f t="shared" si="300"/>
        <v>101383.70000000001</v>
      </c>
      <c r="N284" s="1326">
        <f t="shared" si="300"/>
        <v>96314.830000000016</v>
      </c>
      <c r="O284" s="1327">
        <f t="shared" si="300"/>
        <v>197698.53000000003</v>
      </c>
      <c r="P284" s="1326">
        <f t="shared" si="300"/>
        <v>0</v>
      </c>
      <c r="Q284" s="1327">
        <f t="shared" si="300"/>
        <v>96314.830000000016</v>
      </c>
      <c r="R284" s="1328"/>
      <c r="S284" s="1329">
        <f t="shared" si="300"/>
        <v>101383.70000000001</v>
      </c>
      <c r="T284" s="1326">
        <f t="shared" si="300"/>
        <v>33250.348877765624</v>
      </c>
      <c r="U284" s="1326">
        <f t="shared" si="300"/>
        <v>9679.9018855939903</v>
      </c>
      <c r="V284" s="1330">
        <f t="shared" si="300"/>
        <v>58453.449236640408</v>
      </c>
      <c r="W284" s="1324"/>
      <c r="X284" s="1306">
        <f t="shared" si="274"/>
        <v>0</v>
      </c>
      <c r="Y284" s="1356"/>
      <c r="Z284" s="1357"/>
      <c r="AA284" s="1357"/>
    </row>
    <row r="285" spans="1:27" s="1305" customFormat="1">
      <c r="A285" s="1362"/>
      <c r="B285" s="1325"/>
      <c r="C285" s="1326"/>
      <c r="D285" s="1343"/>
      <c r="E285" s="1326"/>
      <c r="F285" s="1326"/>
      <c r="G285" s="1306"/>
      <c r="H285" s="1326"/>
      <c r="I285" s="1326"/>
      <c r="J285" s="1326"/>
      <c r="K285" s="1306"/>
      <c r="L285" s="1326"/>
      <c r="M285" s="1326"/>
      <c r="N285" s="1326"/>
      <c r="O285" s="1316"/>
      <c r="P285" s="1326"/>
      <c r="Q285" s="1327"/>
      <c r="R285" s="1371"/>
      <c r="S285" s="1329"/>
      <c r="T285" s="1326"/>
      <c r="U285" s="1306"/>
      <c r="V285" s="1318"/>
      <c r="W285" s="1324"/>
      <c r="X285" s="1306">
        <f t="shared" si="274"/>
        <v>0</v>
      </c>
      <c r="Y285" s="1377"/>
    </row>
    <row r="286" spans="1:27" s="1305" customFormat="1">
      <c r="A286" s="1304">
        <v>70269</v>
      </c>
      <c r="B286" s="1305" t="s">
        <v>161</v>
      </c>
      <c r="C286" s="1306">
        <f>IFERROR(VLOOKUP(A286,'2180 IS (C)'!D:AH,31,FALSE),0)</f>
        <v>614598.52</v>
      </c>
      <c r="D286" s="1306">
        <f>IFERROR(VLOOKUP(A286,'2182 IS'!D:AH,31,FALSE),0)</f>
        <v>0</v>
      </c>
      <c r="E286" s="1306">
        <f t="shared" ref="E286:E289" si="301">SUM(C286:D286)</f>
        <v>614598.52</v>
      </c>
      <c r="F286" s="1326"/>
      <c r="G286" s="1306">
        <f>-C286</f>
        <v>-614598.52</v>
      </c>
      <c r="H286" s="1306">
        <f>-D286</f>
        <v>0</v>
      </c>
      <c r="I286" s="1326"/>
      <c r="J286" s="1326"/>
      <c r="K286" s="1306"/>
      <c r="L286" s="1306"/>
      <c r="M286" s="1306">
        <f t="shared" ref="M286" si="302">C286+G286+J286</f>
        <v>0</v>
      </c>
      <c r="N286" s="1306">
        <f t="shared" ref="N286" si="303">D286+H286+K286</f>
        <v>0</v>
      </c>
      <c r="O286" s="1316">
        <f t="shared" ref="O286" si="304">M286+N286</f>
        <v>0</v>
      </c>
      <c r="P286" s="1326"/>
      <c r="Q286" s="1316">
        <f t="shared" ref="Q286" si="305">N286</f>
        <v>0</v>
      </c>
      <c r="R286" s="1310"/>
      <c r="S286" s="1317">
        <f t="shared" ref="S286" si="306">O286-Q286</f>
        <v>0</v>
      </c>
      <c r="T286" s="1326"/>
      <c r="U286" s="1306"/>
      <c r="V286" s="1318">
        <f>S286</f>
        <v>0</v>
      </c>
      <c r="W286" s="1324"/>
      <c r="X286" s="1306">
        <f t="shared" si="274"/>
        <v>0</v>
      </c>
      <c r="Y286" s="1377"/>
    </row>
    <row r="287" spans="1:27" s="1305" customFormat="1">
      <c r="A287" s="1358"/>
      <c r="B287" s="1325" t="s">
        <v>162</v>
      </c>
      <c r="C287" s="1326">
        <f>C286</f>
        <v>614598.52</v>
      </c>
      <c r="D287" s="1326">
        <f t="shared" ref="D287:V287" si="307">D286</f>
        <v>0</v>
      </c>
      <c r="E287" s="1326">
        <f t="shared" si="301"/>
        <v>614598.52</v>
      </c>
      <c r="F287" s="1326"/>
      <c r="G287" s="1326">
        <f>G286</f>
        <v>-614598.52</v>
      </c>
      <c r="H287" s="1326">
        <f>H286</f>
        <v>0</v>
      </c>
      <c r="I287" s="1326"/>
      <c r="J287" s="1326">
        <f t="shared" si="307"/>
        <v>0</v>
      </c>
      <c r="K287" s="1326">
        <f t="shared" si="307"/>
        <v>0</v>
      </c>
      <c r="L287" s="1326"/>
      <c r="M287" s="1326">
        <f t="shared" si="307"/>
        <v>0</v>
      </c>
      <c r="N287" s="1326">
        <f t="shared" si="307"/>
        <v>0</v>
      </c>
      <c r="O287" s="1327">
        <f t="shared" si="307"/>
        <v>0</v>
      </c>
      <c r="P287" s="1326">
        <f t="shared" si="307"/>
        <v>0</v>
      </c>
      <c r="Q287" s="1327">
        <f t="shared" si="307"/>
        <v>0</v>
      </c>
      <c r="R287" s="1328"/>
      <c r="S287" s="1329">
        <f t="shared" si="307"/>
        <v>0</v>
      </c>
      <c r="T287" s="1326">
        <f t="shared" si="307"/>
        <v>0</v>
      </c>
      <c r="U287" s="1326">
        <f t="shared" si="307"/>
        <v>0</v>
      </c>
      <c r="V287" s="1330">
        <f t="shared" si="307"/>
        <v>0</v>
      </c>
      <c r="W287" s="1324"/>
      <c r="X287" s="1306">
        <f t="shared" si="274"/>
        <v>0</v>
      </c>
      <c r="Y287" s="1356"/>
      <c r="Z287" s="1357"/>
      <c r="AA287" s="1357"/>
    </row>
    <row r="288" spans="1:27" s="1305" customFormat="1">
      <c r="A288" s="1362"/>
      <c r="B288" s="1325"/>
      <c r="C288" s="1326"/>
      <c r="D288" s="1343"/>
      <c r="E288" s="1326"/>
      <c r="F288" s="1326"/>
      <c r="G288" s="1326"/>
      <c r="H288" s="1326"/>
      <c r="I288" s="1326"/>
      <c r="J288" s="1326"/>
      <c r="K288" s="1326"/>
      <c r="L288" s="1326"/>
      <c r="M288" s="1326"/>
      <c r="N288" s="1326"/>
      <c r="O288" s="1327"/>
      <c r="P288" s="1326"/>
      <c r="Q288" s="1327"/>
      <c r="R288" s="1371"/>
      <c r="S288" s="1329"/>
      <c r="T288" s="1326"/>
      <c r="U288" s="1306"/>
      <c r="V288" s="1318"/>
      <c r="W288" s="1324"/>
      <c r="X288" s="1306">
        <f t="shared" si="274"/>
        <v>0</v>
      </c>
      <c r="Y288" s="1377"/>
    </row>
    <row r="289" spans="1:27" s="1305" customFormat="1">
      <c r="A289" s="1358">
        <v>91000</v>
      </c>
      <c r="B289" s="1325" t="s">
        <v>163</v>
      </c>
      <c r="C289" s="1326">
        <f>IFERROR(VLOOKUP(A289,'2180 IS (C)'!D:AH,31,FALSE),0)</f>
        <v>0</v>
      </c>
      <c r="D289" s="1326">
        <f>IFERROR(VLOOKUP(A289,#REF!,31,FALSE),0)</f>
        <v>0</v>
      </c>
      <c r="E289" s="1326">
        <f t="shared" si="301"/>
        <v>0</v>
      </c>
      <c r="F289" s="1326"/>
      <c r="G289" s="1326"/>
      <c r="H289" s="1326"/>
      <c r="I289" s="1326"/>
      <c r="J289" s="1326"/>
      <c r="K289" s="1326"/>
      <c r="L289" s="1326"/>
      <c r="M289" s="1326">
        <f t="shared" ref="M289" si="308">C289+G289+J289</f>
        <v>0</v>
      </c>
      <c r="N289" s="1326">
        <f t="shared" ref="N289" si="309">D289+H289+K289</f>
        <v>0</v>
      </c>
      <c r="O289" s="1327">
        <f t="shared" ref="O289" si="310">M289+N289</f>
        <v>0</v>
      </c>
      <c r="P289" s="1326"/>
      <c r="Q289" s="1327">
        <f t="shared" ref="Q289" si="311">N289</f>
        <v>0</v>
      </c>
      <c r="R289" s="1328"/>
      <c r="S289" s="1329">
        <f t="shared" ref="S289" si="312">O289-Q289</f>
        <v>0</v>
      </c>
      <c r="T289" s="1326"/>
      <c r="U289" s="1326"/>
      <c r="V289" s="1330"/>
      <c r="W289" s="1324"/>
      <c r="X289" s="1306">
        <f t="shared" si="274"/>
        <v>0</v>
      </c>
      <c r="Y289" s="1356"/>
      <c r="Z289" s="1357"/>
      <c r="AA289" s="1357"/>
    </row>
    <row r="290" spans="1:27" s="1305" customFormat="1">
      <c r="A290" s="1304"/>
      <c r="C290" s="1306"/>
      <c r="D290" s="1343"/>
      <c r="E290" s="1306"/>
      <c r="F290" s="1306"/>
      <c r="G290" s="1306"/>
      <c r="H290" s="1306"/>
      <c r="I290" s="1306"/>
      <c r="J290" s="1306"/>
      <c r="K290" s="1306"/>
      <c r="L290" s="1306"/>
      <c r="M290" s="1306"/>
      <c r="N290" s="1306"/>
      <c r="O290" s="1316"/>
      <c r="P290" s="1306"/>
      <c r="Q290" s="1316"/>
      <c r="R290" s="1324"/>
      <c r="S290" s="1317"/>
      <c r="T290" s="1306"/>
      <c r="U290" s="1306"/>
      <c r="V290" s="1318"/>
      <c r="W290" s="1324"/>
      <c r="X290" s="1306">
        <f t="shared" si="274"/>
        <v>0</v>
      </c>
      <c r="Y290" s="1377"/>
    </row>
    <row r="291" spans="1:27" s="1305" customFormat="1">
      <c r="A291" s="1358"/>
      <c r="B291" s="1325" t="s">
        <v>13</v>
      </c>
      <c r="C291" s="1326">
        <f>C34+C43+C60+C64+C68+C72+C79+C85+C97+C100+C107+C124+C129+C140+C144+C150+C156+C167+C170+C184+C187+C191+C198+C206+C215+C218+C242+C254+C258+C261+C265+C269+C277+C284+C287+C52+C137+C289</f>
        <v>55547428.679999992</v>
      </c>
      <c r="D291" s="1326">
        <f>D34+D43+D60+D64+D68+D72+D79+D85+D97+D100+D107+D124+D129+D140+D144+D150+D156+D167+D170+D184+D187+D191+D198+D206+D215+D218+D242+D254+D258+D261+D265+D269+D277+D284+D287+D52+D137+D289</f>
        <v>8432873.8300000001</v>
      </c>
      <c r="E291" s="1326">
        <f>E34+E43+E60+E64+E68+E72+E79+E85+E97+E100+E107+E124+E129+E140+E144+E150+E156+E167+E170+E184+E187+E191+E198+E206+E215+E218+E242+E254+E258+E261+E265+E269+E277+E284+E287+E52+E137+E289</f>
        <v>63980302.510000005</v>
      </c>
      <c r="F291" s="1326"/>
      <c r="G291" s="1326">
        <f t="shared" ref="G291:Q291" si="313">G34+G43+G60+G64+G68+G72+G79+G85+G97+G100+G107+G124+G129+G140+G144+G150+G156+G167+G170+G184+G187+G191+G198+G206+G215+G218+G242+G254+G258+G261+G265+G269+G277+G284+G287+G52+G137+G289</f>
        <v>115112.99043989042</v>
      </c>
      <c r="H291" s="1326">
        <f t="shared" si="313"/>
        <v>-243929.64826711244</v>
      </c>
      <c r="I291" s="1326">
        <f t="shared" si="313"/>
        <v>0</v>
      </c>
      <c r="J291" s="1326">
        <f t="shared" si="313"/>
        <v>828582.50772284775</v>
      </c>
      <c r="K291" s="1326">
        <f t="shared" si="313"/>
        <v>0</v>
      </c>
      <c r="L291" s="1326">
        <f t="shared" si="313"/>
        <v>0</v>
      </c>
      <c r="M291" s="1326">
        <f t="shared" si="313"/>
        <v>56491124.178162739</v>
      </c>
      <c r="N291" s="1326">
        <f t="shared" si="313"/>
        <v>8188944.1817328883</v>
      </c>
      <c r="O291" s="1327">
        <f t="shared" si="313"/>
        <v>64680068.359895639</v>
      </c>
      <c r="P291" s="1326">
        <f t="shared" si="313"/>
        <v>0</v>
      </c>
      <c r="Q291" s="1327">
        <f t="shared" si="313"/>
        <v>8188944.1817328883</v>
      </c>
      <c r="R291" s="1328"/>
      <c r="S291" s="1329">
        <f>S34+S43+S60+S64+S68+S72+S79+S85+S97+S100+S107+S124+S129+S140+S144+S150+S156+S167+S170+S184+S187+S191+S198+S206+S215+S218+S242+S254+S258+S261+S265+S269+S277+S284+S287+S52+S137+S289</f>
        <v>56491124.178162739</v>
      </c>
      <c r="T291" s="1326">
        <f>T34+T43+T60+T64+T68+T72+T79+T85+T97+T100+T107+T124+T129+T140+T144+T150+T156+T167+T170+T184+T187+T191+T198+T206+T215+T218+T242+T254+T258+T261+T265+T269+T277+T284+T287+T52+T137+T289</f>
        <v>33888016.652001753</v>
      </c>
      <c r="U291" s="1326">
        <f>U34+U43+U60+U64+U68+U72+U79+U85+U97+U100+U107+U124+U129+U140+U144+U150+U156+U167+U170+U184+U187+U191+U198+U206+U215+U218+U242+U254+U258+U261+U265+U269+U277+U284+U287+U52+U137+U289</f>
        <v>3076653.0631428878</v>
      </c>
      <c r="V291" s="1330">
        <f>V34+V43+V60+V64+V68+V72+V79+V85+V97+V100+V107+V124+V129+V140+V144+V150+V156+V167+V170+V184+V187+V191+V198+V206+V215+V218+V242+V254+V258+V261+V265+V269+V277+V284+V287+V52+V137+V289</f>
        <v>19527204.553068105</v>
      </c>
      <c r="W291" s="1324"/>
      <c r="X291" s="1306">
        <f t="shared" si="274"/>
        <v>750.09005001187325</v>
      </c>
      <c r="Y291" s="1356"/>
      <c r="Z291" s="1357"/>
      <c r="AA291" s="1357"/>
    </row>
    <row r="292" spans="1:27" s="1305" customFormat="1">
      <c r="A292" s="1304"/>
      <c r="B292" s="1325"/>
      <c r="C292" s="1369"/>
      <c r="D292" s="1353"/>
      <c r="E292" s="1381"/>
      <c r="F292" s="1381"/>
      <c r="I292" s="1381"/>
      <c r="J292" s="1381"/>
      <c r="M292" s="1375"/>
      <c r="N292" s="1375"/>
      <c r="O292" s="1382"/>
      <c r="Q292" s="1382"/>
      <c r="R292" s="1324"/>
      <c r="S292" s="1383"/>
      <c r="T292" s="1344">
        <f>T291/$S$291</f>
        <v>0.59988214334565393</v>
      </c>
      <c r="U292" s="1344">
        <f t="shared" ref="U292:V292" si="314">U291/$S$291</f>
        <v>5.4462592272720281E-2</v>
      </c>
      <c r="V292" s="1345">
        <f t="shared" si="314"/>
        <v>0.34566854239761369</v>
      </c>
      <c r="W292" s="1324"/>
      <c r="X292" s="1306"/>
      <c r="Y292" s="1377"/>
    </row>
    <row r="293" spans="1:27" s="1305" customFormat="1">
      <c r="A293" s="1358"/>
      <c r="B293" s="1325" t="s">
        <v>164</v>
      </c>
      <c r="C293" s="1384">
        <f>C291/C26</f>
        <v>0.88620087436982919</v>
      </c>
      <c r="D293" s="1384">
        <f>D291/D26</f>
        <v>0.72043168875070152</v>
      </c>
      <c r="E293" s="1384">
        <f>E291/E26</f>
        <v>0.86011549941172472</v>
      </c>
      <c r="F293" s="1326"/>
      <c r="G293" s="1326"/>
      <c r="H293" s="1326"/>
      <c r="I293" s="1326"/>
      <c r="J293" s="1326"/>
      <c r="K293" s="1326"/>
      <c r="L293" s="1326"/>
      <c r="M293" s="1326"/>
      <c r="N293" s="1326"/>
      <c r="O293" s="1327"/>
      <c r="P293" s="1326"/>
      <c r="Q293" s="1385">
        <f>Q291/Q26</f>
        <v>0.70039107864696259</v>
      </c>
      <c r="R293" s="1386"/>
      <c r="S293" s="1387">
        <f>S291/S26</f>
        <v>0.89534831491442635</v>
      </c>
      <c r="T293" s="1388">
        <f>T291/T26</f>
        <v>0.93040685779873256</v>
      </c>
      <c r="U293" s="1388">
        <f>U291/U26</f>
        <v>0.70469326032565494</v>
      </c>
      <c r="V293" s="1389">
        <f>V291/V26</f>
        <v>0.87545211961465419</v>
      </c>
      <c r="W293" s="1390"/>
      <c r="X293" s="1306"/>
      <c r="Y293" s="1356"/>
      <c r="Z293" s="1357"/>
      <c r="AA293" s="1357"/>
    </row>
    <row r="294" spans="1:27" s="1305" customFormat="1">
      <c r="A294" s="1304"/>
      <c r="C294" s="1375"/>
      <c r="D294" s="1353"/>
      <c r="E294" s="1381"/>
      <c r="F294" s="1381"/>
      <c r="I294" s="1381"/>
      <c r="J294" s="1381"/>
      <c r="M294" s="1375"/>
      <c r="N294" s="1375"/>
      <c r="O294" s="1382"/>
      <c r="Q294" s="1382"/>
      <c r="R294" s="1324"/>
      <c r="S294" s="1383"/>
      <c r="V294" s="1391"/>
      <c r="W294" s="1324"/>
      <c r="X294" s="1306">
        <f>SUM(T294:V294)-S294</f>
        <v>0</v>
      </c>
      <c r="Y294" s="1377"/>
    </row>
    <row r="295" spans="1:27" s="1305" customFormat="1">
      <c r="A295" s="1358"/>
      <c r="B295" s="1325" t="s">
        <v>165</v>
      </c>
      <c r="C295" s="1326">
        <f>C26-C291</f>
        <v>7132975.150000006</v>
      </c>
      <c r="D295" s="1326">
        <f>D26-D291</f>
        <v>3272432.8100000005</v>
      </c>
      <c r="E295" s="1326">
        <f>SUM(C295:D295)</f>
        <v>10405407.960000006</v>
      </c>
      <c r="F295" s="1326"/>
      <c r="G295" s="1326">
        <f>G26-G291</f>
        <v>613.0265101022087</v>
      </c>
      <c r="H295" s="1326">
        <f>H26-H291</f>
        <v>243929.64826711244</v>
      </c>
      <c r="I295" s="1326"/>
      <c r="J295" s="1326">
        <f>J26-J291</f>
        <v>-544039.76092284766</v>
      </c>
      <c r="K295" s="1326">
        <f>K26-K291</f>
        <v>0</v>
      </c>
      <c r="L295" s="1326"/>
      <c r="M295" s="1326">
        <f>M26-M291</f>
        <v>6589548.415587239</v>
      </c>
      <c r="N295" s="1326">
        <f>N26-N291</f>
        <v>3516362.4582671123</v>
      </c>
      <c r="O295" s="1327">
        <f>O26-O291</f>
        <v>10105910.873854347</v>
      </c>
      <c r="P295" s="1326">
        <f>P26-P291</f>
        <v>0</v>
      </c>
      <c r="Q295" s="1327">
        <f>Q26-Q291</f>
        <v>3503015.3982671117</v>
      </c>
      <c r="R295" s="1328"/>
      <c r="S295" s="1329">
        <f>S26-S291</f>
        <v>6602895.4755872339</v>
      </c>
      <c r="T295" s="1326">
        <f>T26-T291</f>
        <v>2534776.6324093938</v>
      </c>
      <c r="U295" s="1326">
        <f>U26-U291</f>
        <v>1289293.4221705883</v>
      </c>
      <c r="V295" s="1330">
        <f>V26-V291</f>
        <v>2778075.3309572488</v>
      </c>
      <c r="W295" s="1324"/>
      <c r="X295" s="1306">
        <f>SUM(T295:V295)-S295</f>
        <v>-750.09005000256002</v>
      </c>
      <c r="Y295" s="1356"/>
      <c r="Z295" s="1357"/>
      <c r="AA295" s="1357"/>
    </row>
    <row r="296" spans="1:27" s="99" customFormat="1">
      <c r="A296" s="111"/>
      <c r="C296" s="97"/>
      <c r="D296" s="98"/>
      <c r="E296" s="149"/>
      <c r="F296" s="149"/>
      <c r="I296" s="149"/>
      <c r="J296" s="149"/>
      <c r="L296" s="97"/>
      <c r="M296" s="97"/>
      <c r="N296" s="97"/>
      <c r="R296" s="80"/>
      <c r="S296" s="150"/>
      <c r="T296" s="151"/>
      <c r="U296" s="97"/>
      <c r="V296" s="149"/>
      <c r="W296" s="80"/>
      <c r="X296" s="112">
        <f>SUM(T296:V296)-S296</f>
        <v>0</v>
      </c>
      <c r="Y296" s="440"/>
      <c r="AA296" s="100"/>
    </row>
    <row r="297" spans="1:27" s="99" customFormat="1">
      <c r="A297" s="111"/>
      <c r="C297" s="97">
        <f>C295-'2180 IS (C)'!AH349</f>
        <v>22.479999991133809</v>
      </c>
      <c r="D297" s="152">
        <f>D295-'2182 IS'!AH279</f>
        <v>0</v>
      </c>
      <c r="F297" s="149"/>
      <c r="J297" s="149"/>
      <c r="L297" s="97"/>
      <c r="M297" s="97"/>
      <c r="N297" s="97"/>
      <c r="P297" s="97"/>
      <c r="Q297" s="97"/>
      <c r="R297" s="78"/>
      <c r="S297" s="97"/>
      <c r="T297" s="1087"/>
      <c r="U297" s="1087"/>
      <c r="V297" s="1087"/>
      <c r="W297" s="80"/>
      <c r="X297" s="112"/>
      <c r="Y297" s="440"/>
      <c r="AA297" s="100"/>
    </row>
    <row r="298" spans="1:27" s="99" customFormat="1">
      <c r="A298" s="111"/>
      <c r="C298" s="97"/>
      <c r="D298" s="98"/>
      <c r="H298" s="97"/>
      <c r="L298" s="97"/>
      <c r="M298" s="97"/>
      <c r="N298" s="97"/>
      <c r="P298" s="144"/>
      <c r="Q298" s="151"/>
      <c r="R298" s="78"/>
      <c r="T298" s="151"/>
      <c r="U298" s="151"/>
      <c r="V298" s="151"/>
      <c r="W298" s="78"/>
      <c r="X298" s="112"/>
      <c r="Y298" s="440"/>
      <c r="AA298" s="100"/>
    </row>
    <row r="299" spans="1:27" s="99" customFormat="1">
      <c r="A299" s="111"/>
      <c r="C299" s="153"/>
      <c r="D299" s="98"/>
      <c r="E299" s="97"/>
      <c r="F299" s="97"/>
      <c r="J299" s="97"/>
      <c r="M299" s="97"/>
      <c r="N299" s="97"/>
      <c r="P299" s="144"/>
      <c r="Q299" s="1080"/>
      <c r="R299" s="78"/>
      <c r="T299" s="1080"/>
      <c r="V299" s="1080"/>
      <c r="W299" s="80"/>
      <c r="X299" s="112"/>
      <c r="Y299" s="440"/>
      <c r="AA299" s="100"/>
    </row>
    <row r="300" spans="1:27" s="99" customFormat="1">
      <c r="A300" s="111"/>
      <c r="C300" s="123"/>
      <c r="D300" s="98"/>
      <c r="H300" s="97"/>
      <c r="L300" s="97"/>
      <c r="M300" s="97"/>
      <c r="N300" s="97"/>
      <c r="R300" s="80"/>
      <c r="T300" s="97"/>
      <c r="V300" s="149"/>
      <c r="W300" s="80"/>
      <c r="X300" s="112"/>
      <c r="Y300" s="440"/>
      <c r="AA300" s="100"/>
    </row>
    <row r="301" spans="1:27">
      <c r="A301" s="111"/>
      <c r="B301" s="99"/>
      <c r="E301" s="154"/>
      <c r="G301" s="99"/>
      <c r="H301" s="99"/>
      <c r="K301" s="99"/>
      <c r="L301" s="153"/>
      <c r="O301" s="99"/>
      <c r="P301" s="99"/>
      <c r="Q301" s="99"/>
      <c r="R301" s="80"/>
      <c r="S301" s="99"/>
      <c r="T301" s="123"/>
      <c r="U301" s="123"/>
      <c r="V301" s="123"/>
      <c r="W301" s="80"/>
      <c r="X301" s="112"/>
      <c r="Y301" s="440"/>
    </row>
    <row r="302" spans="1:27" s="99" customFormat="1">
      <c r="A302" s="111"/>
      <c r="C302" s="97"/>
      <c r="D302" s="98"/>
      <c r="L302" s="153"/>
      <c r="M302" s="97"/>
      <c r="N302" s="97"/>
      <c r="R302" s="80"/>
      <c r="V302" s="149"/>
      <c r="W302" s="80"/>
      <c r="X302" s="112"/>
      <c r="Y302" s="440"/>
      <c r="AA302" s="100"/>
    </row>
    <row r="303" spans="1:27" s="99" customFormat="1">
      <c r="A303" s="111"/>
      <c r="C303" s="97"/>
      <c r="D303" s="98"/>
      <c r="M303" s="97"/>
      <c r="N303" s="97"/>
      <c r="R303" s="80"/>
      <c r="V303" s="149"/>
      <c r="W303" s="80"/>
      <c r="X303" s="112"/>
      <c r="Y303" s="440"/>
      <c r="AA303" s="100"/>
    </row>
    <row r="304" spans="1:27" s="99" customFormat="1">
      <c r="A304" s="111"/>
      <c r="C304" s="97"/>
      <c r="D304" s="98"/>
      <c r="M304" s="97"/>
      <c r="N304" s="97"/>
      <c r="R304" s="80"/>
      <c r="V304" s="149"/>
      <c r="W304" s="80"/>
      <c r="X304" s="112"/>
      <c r="Y304" s="440"/>
      <c r="AA304" s="100"/>
    </row>
    <row r="305" spans="1:27">
      <c r="A305" s="111"/>
      <c r="B305" s="99"/>
      <c r="G305" s="99"/>
      <c r="H305" s="99"/>
      <c r="K305" s="155"/>
      <c r="L305" s="99"/>
      <c r="O305" s="99"/>
      <c r="P305" s="99"/>
      <c r="Q305" s="99"/>
      <c r="R305" s="80"/>
      <c r="S305" s="99"/>
      <c r="T305" s="99"/>
      <c r="V305" s="149"/>
      <c r="W305" s="80"/>
      <c r="X305" s="112"/>
      <c r="Y305" s="440"/>
    </row>
    <row r="306" spans="1:27">
      <c r="A306" s="111"/>
      <c r="B306" s="99"/>
      <c r="G306" s="99"/>
      <c r="H306" s="99"/>
      <c r="K306" s="99"/>
      <c r="L306" s="99"/>
      <c r="O306" s="99"/>
      <c r="P306" s="99"/>
      <c r="Q306" s="99"/>
      <c r="R306" s="80"/>
      <c r="S306" s="99"/>
      <c r="T306" s="99"/>
      <c r="V306" s="149"/>
      <c r="W306" s="80"/>
      <c r="X306" s="112"/>
      <c r="Y306" s="440"/>
    </row>
    <row r="307" spans="1:27" s="99" customFormat="1">
      <c r="A307" s="111"/>
      <c r="C307" s="97"/>
      <c r="D307" s="98"/>
      <c r="J307" s="151"/>
      <c r="M307" s="97"/>
      <c r="N307" s="97"/>
      <c r="R307" s="80"/>
      <c r="V307" s="149"/>
      <c r="W307" s="80"/>
      <c r="X307" s="112"/>
      <c r="Y307" s="440"/>
      <c r="AA307" s="100"/>
    </row>
    <row r="308" spans="1:27" s="99" customFormat="1">
      <c r="A308" s="111"/>
      <c r="C308" s="97"/>
      <c r="D308" s="98"/>
      <c r="M308" s="97"/>
      <c r="N308" s="97"/>
      <c r="R308" s="80"/>
      <c r="V308" s="149"/>
      <c r="W308" s="80"/>
      <c r="X308" s="112"/>
      <c r="Y308" s="440"/>
      <c r="AA308" s="100"/>
    </row>
    <row r="309" spans="1:27" s="99" customFormat="1">
      <c r="A309" s="111"/>
      <c r="C309" s="97"/>
      <c r="D309" s="98"/>
      <c r="M309" s="97"/>
      <c r="N309" s="97"/>
      <c r="R309" s="80"/>
      <c r="V309" s="149"/>
      <c r="W309" s="80"/>
      <c r="X309" s="112"/>
      <c r="Y309" s="440"/>
      <c r="AA309" s="100"/>
    </row>
    <row r="310" spans="1:27" s="99" customFormat="1">
      <c r="A310" s="111"/>
      <c r="C310" s="97"/>
      <c r="D310" s="98"/>
      <c r="M310" s="97"/>
      <c r="N310" s="97"/>
      <c r="R310" s="80"/>
      <c r="V310" s="149"/>
      <c r="W310" s="80"/>
      <c r="X310" s="112"/>
      <c r="Y310" s="440"/>
      <c r="AA310" s="100"/>
    </row>
    <row r="311" spans="1:27">
      <c r="A311" s="111"/>
      <c r="B311" s="99"/>
      <c r="G311" s="99"/>
      <c r="H311" s="99"/>
      <c r="K311" s="99"/>
      <c r="L311" s="99"/>
      <c r="O311" s="99"/>
      <c r="P311" s="99"/>
      <c r="Q311" s="99"/>
      <c r="R311" s="80"/>
      <c r="S311" s="99"/>
      <c r="T311" s="99"/>
      <c r="V311" s="149"/>
      <c r="W311" s="80"/>
      <c r="X311" s="112"/>
      <c r="Y311" s="440"/>
    </row>
  </sheetData>
  <customSheetViews>
    <customSheetView guid="{76FC386D-C488-46EF-BB9C-D1C49FEBAB90}" showGridLines="0" hiddenColumns="1">
      <pane xSplit="6" ySplit="8" topLeftCell="G261" activePane="bottomRight" state="frozen"/>
      <selection pane="bottomRight" activeCell="T281" sqref="T281:W281"/>
      <pageMargins left="0.7" right="0.7" top="0.75" bottom="0.75" header="0.3" footer="0.3"/>
      <pageSetup orientation="portrait" r:id="rId1"/>
    </customSheetView>
    <customSheetView guid="{16F8EA47-9864-4C0F-89A1-62B7CCC013F9}" showGridLines="0" hiddenColumns="1">
      <pane xSplit="6" ySplit="8" topLeftCell="G15" activePane="bottomRight" state="frozen"/>
      <selection pane="bottomRight" activeCell="O34" sqref="O34"/>
      <pageMargins left="0.7" right="0.7" top="0.75" bottom="0.75" header="0.3" footer="0.3"/>
      <pageSetup orientation="portrait" r:id="rId2"/>
    </customSheetView>
  </customSheetViews>
  <conditionalFormatting sqref="C297">
    <cfRule type="cellIs" dxfId="49" priority="15" operator="notBetween">
      <formula>1</formula>
      <formula>-1</formula>
    </cfRule>
    <cfRule type="cellIs" dxfId="48" priority="16" operator="between">
      <formula>1</formula>
      <formula>-1</formula>
    </cfRule>
  </conditionalFormatting>
  <conditionalFormatting sqref="C297:D297">
    <cfRule type="cellIs" dxfId="47" priority="11" operator="between">
      <formula>1</formula>
      <formula>-1</formula>
    </cfRule>
    <cfRule type="cellIs" dxfId="46" priority="12" operator="equal">
      <formula>0</formula>
    </cfRule>
    <cfRule type="cellIs" dxfId="45" priority="13" operator="lessThan">
      <formula>-1</formula>
    </cfRule>
    <cfRule type="cellIs" dxfId="44" priority="14" operator="greaterThan">
      <formula>1</formula>
    </cfRule>
  </conditionalFormatting>
  <conditionalFormatting sqref="X61:X124 X1:X59 X131:X288 X296:X1048576">
    <cfRule type="cellIs" dxfId="43" priority="9" operator="lessThan">
      <formula>-5</formula>
    </cfRule>
    <cfRule type="cellIs" dxfId="42" priority="10" operator="greaterThan">
      <formula>5</formula>
    </cfRule>
  </conditionalFormatting>
  <conditionalFormatting sqref="X60">
    <cfRule type="cellIs" dxfId="41" priority="3" operator="lessThan">
      <formula>-5</formula>
    </cfRule>
    <cfRule type="cellIs" dxfId="40" priority="4" operator="greaterThan">
      <formula>5</formula>
    </cfRule>
  </conditionalFormatting>
  <pageMargins left="0.7" right="0.7" top="0.75" bottom="0.75" header="0.3" footer="0.3"/>
  <pageSetup scale="56" orientation="landscape" r:id="rId3"/>
  <headerFooter>
    <oddHeader>&amp;C&amp;"-,Bold"CONFIDENTIAL PER WAC 480-07-160</oddHeader>
  </headerFooter>
  <rowBreaks count="3" manualBreakCount="3">
    <brk id="58" max="26" man="1"/>
    <brk id="174" max="26" man="1"/>
    <brk id="242" max="26" man="1"/>
  </rowBreaks>
  <colBreaks count="1" manualBreakCount="1">
    <brk id="16" max="294" man="1"/>
  </colBreaks>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O15"/>
  <sheetViews>
    <sheetView view="pageBreakPreview" zoomScale="60" zoomScaleNormal="100" workbookViewId="0">
      <selection activeCell="AP280" sqref="AP280"/>
    </sheetView>
  </sheetViews>
  <sheetFormatPr defaultRowHeight="15"/>
  <cols>
    <col min="1" max="16384" width="9.140625" style="551"/>
  </cols>
  <sheetData>
    <row r="15" spans="15:15">
      <c r="O15" s="551" t="s">
        <v>141</v>
      </c>
    </row>
  </sheetData>
  <pageMargins left="0.7" right="0.7" top="0.75" bottom="0.75" header="0.3" footer="0.3"/>
  <pageSetup scale="61"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5:O57"/>
  <sheetViews>
    <sheetView view="pageBreakPreview" zoomScale="60" zoomScaleNormal="100" workbookViewId="0">
      <selection activeCell="AP280" sqref="AP280"/>
    </sheetView>
  </sheetViews>
  <sheetFormatPr defaultRowHeight="15"/>
  <cols>
    <col min="1" max="1" width="15" style="551" bestFit="1" customWidth="1"/>
    <col min="2" max="2" width="17.42578125" style="551" bestFit="1" customWidth="1"/>
    <col min="3" max="12" width="9.140625" style="551"/>
    <col min="13" max="14" width="2.28515625" style="551" customWidth="1"/>
    <col min="15" max="16384" width="9.140625" style="551"/>
  </cols>
  <sheetData>
    <row r="25" spans="15:15">
      <c r="O25" s="551" t="s">
        <v>575</v>
      </c>
    </row>
    <row r="27" spans="15:15">
      <c r="O27" s="551" t="s">
        <v>575</v>
      </c>
    </row>
    <row r="39" spans="1:15">
      <c r="O39" s="551" t="s">
        <v>573</v>
      </c>
    </row>
    <row r="46" spans="1:15" ht="15.75" thickBot="1"/>
    <row r="47" spans="1:15">
      <c r="A47" s="1043"/>
      <c r="B47" s="1044" t="s">
        <v>2389</v>
      </c>
      <c r="C47" s="1044"/>
      <c r="D47" s="1045" t="s">
        <v>2390</v>
      </c>
    </row>
    <row r="48" spans="1:15">
      <c r="A48" s="1046" t="s">
        <v>575</v>
      </c>
      <c r="B48" s="1047">
        <f>1786000+4153465000</f>
        <v>4155251000</v>
      </c>
      <c r="C48" s="1048">
        <f>+B48/$B$50</f>
        <v>0.39143468301216744</v>
      </c>
      <c r="D48" s="1049">
        <v>0.4</v>
      </c>
    </row>
    <row r="49" spans="1:4">
      <c r="A49" s="1046" t="s">
        <v>573</v>
      </c>
      <c r="B49" s="1050">
        <v>6460188000</v>
      </c>
      <c r="C49" s="1048">
        <f>+B49/$B$50</f>
        <v>0.60856531698783256</v>
      </c>
      <c r="D49" s="1049">
        <v>0.6</v>
      </c>
    </row>
    <row r="50" spans="1:4">
      <c r="A50" s="1046" t="s">
        <v>2391</v>
      </c>
      <c r="B50" s="1051">
        <f>+B48+B49</f>
        <v>10615439000</v>
      </c>
      <c r="C50" s="1052"/>
      <c r="D50" s="1053"/>
    </row>
    <row r="51" spans="1:4" ht="15.75" thickBot="1">
      <c r="A51" s="1054"/>
      <c r="B51" s="1055"/>
      <c r="C51" s="1055"/>
      <c r="D51" s="1056"/>
    </row>
    <row r="52" spans="1:4" ht="15.75" thickBot="1"/>
    <row r="53" spans="1:4">
      <c r="A53" s="1057"/>
      <c r="B53" s="1058" t="s">
        <v>2392</v>
      </c>
      <c r="C53" s="1059"/>
    </row>
    <row r="54" spans="1:4">
      <c r="A54" s="1046" t="s">
        <v>141</v>
      </c>
      <c r="B54" s="1060">
        <v>132104000</v>
      </c>
      <c r="C54" s="1061"/>
    </row>
    <row r="55" spans="1:4">
      <c r="A55" s="1046" t="s">
        <v>575</v>
      </c>
      <c r="B55" s="1062">
        <f>+B48</f>
        <v>4155251000</v>
      </c>
      <c r="C55" s="1061"/>
    </row>
    <row r="56" spans="1:4">
      <c r="A56" s="1063"/>
      <c r="B56" s="1052"/>
      <c r="C56" s="1053"/>
    </row>
    <row r="57" spans="1:4" ht="15.75" thickBot="1">
      <c r="A57" s="1064" t="s">
        <v>2392</v>
      </c>
      <c r="B57" s="1065">
        <f>+B54/B55</f>
        <v>3.179206262148785E-2</v>
      </c>
      <c r="C57" s="1066"/>
    </row>
  </sheetData>
  <pageMargins left="0.7" right="0.7" top="0.75" bottom="0.75" header="0.3" footer="0.3"/>
  <pageSetup scale="65"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O311"/>
  <sheetViews>
    <sheetView showGridLines="0" view="pageBreakPreview" zoomScale="85" zoomScaleNormal="100" zoomScaleSheetLayoutView="85" workbookViewId="0">
      <pane xSplit="2" ySplit="8" topLeftCell="C228" activePane="bottomRight" state="frozen"/>
      <selection activeCell="AP280" sqref="AP280"/>
      <selection pane="topRight" activeCell="AP280" sqref="AP280"/>
      <selection pane="bottomLeft" activeCell="AP280" sqref="AP280"/>
      <selection pane="bottomRight" activeCell="AP280" sqref="AP280"/>
    </sheetView>
  </sheetViews>
  <sheetFormatPr defaultRowHeight="12"/>
  <cols>
    <col min="1" max="1" width="7.5703125" style="107" customWidth="1"/>
    <col min="2" max="2" width="21.28515625" style="100" customWidth="1"/>
    <col min="3" max="3" width="1.42578125" style="81" customWidth="1"/>
    <col min="4" max="6" width="14.85546875" style="100" customWidth="1"/>
    <col min="7" max="7" width="14.85546875" style="99" customWidth="1"/>
    <col min="8" max="8" width="3" style="101" customWidth="1"/>
    <col min="9" max="9" width="12.140625" style="81" customWidth="1"/>
    <col min="10" max="10" width="10.140625" style="185" customWidth="1"/>
    <col min="11" max="11" width="11.140625" style="431" customWidth="1"/>
    <col min="12" max="12" width="12.42578125" style="99" customWidth="1"/>
    <col min="13" max="13" width="15" style="100" customWidth="1"/>
    <col min="14" max="14" width="10.85546875" style="100" customWidth="1"/>
    <col min="15" max="16384" width="9.140625" style="100"/>
  </cols>
  <sheetData>
    <row r="1" spans="1:13">
      <c r="A1" s="95" t="s">
        <v>0</v>
      </c>
      <c r="B1" s="96"/>
    </row>
    <row r="2" spans="1:13">
      <c r="A2" s="95" t="s">
        <v>312</v>
      </c>
      <c r="B2" s="96"/>
    </row>
    <row r="3" spans="1:13">
      <c r="A3" s="95" t="s">
        <v>2384</v>
      </c>
      <c r="B3" s="96"/>
    </row>
    <row r="4" spans="1:13">
      <c r="A4" s="95" t="s">
        <v>2394</v>
      </c>
      <c r="B4" s="96"/>
      <c r="E4" s="1126">
        <f ca="1">'LG MSW'!J20</f>
        <v>-87709.341611053795</v>
      </c>
      <c r="F4" s="1236">
        <f ca="1">'LG Recycle'!J20</f>
        <v>1229650.6410167068</v>
      </c>
      <c r="G4" s="1237">
        <f ca="1">'LG YW'!J20</f>
        <v>255469.56631146674</v>
      </c>
      <c r="I4" s="1135">
        <f ca="1">SUM(E4:H4)</f>
        <v>1397410.8657171198</v>
      </c>
    </row>
    <row r="5" spans="1:13">
      <c r="A5" s="95"/>
      <c r="B5" s="96"/>
      <c r="C5" s="82"/>
      <c r="D5" s="105"/>
      <c r="E5" s="116">
        <f ca="1">'LG MSW'!K22</f>
        <v>-2.8449160478212221E-3</v>
      </c>
      <c r="F5" s="129">
        <f ca="1">'LG Recycle'!K22</f>
        <v>0.32565588961321712</v>
      </c>
      <c r="G5" s="123">
        <f ca="1">'LG YW'!K22</f>
        <v>0.14062524584753344</v>
      </c>
    </row>
    <row r="6" spans="1:13" ht="12.75" thickBot="1">
      <c r="A6" s="95"/>
      <c r="B6" s="96"/>
      <c r="C6" s="82"/>
      <c r="D6" s="105"/>
      <c r="E6" s="106"/>
      <c r="G6" s="100"/>
      <c r="K6" s="432"/>
    </row>
    <row r="7" spans="1:13">
      <c r="C7" s="83"/>
      <c r="D7" s="443" t="s">
        <v>13</v>
      </c>
      <c r="E7" s="1542" t="s">
        <v>2385</v>
      </c>
      <c r="F7" s="1542" t="s">
        <v>4</v>
      </c>
      <c r="G7" s="1542" t="s">
        <v>5</v>
      </c>
      <c r="H7" s="214"/>
      <c r="J7" s="186"/>
      <c r="K7" s="109"/>
      <c r="L7" s="183"/>
      <c r="M7" s="105"/>
    </row>
    <row r="8" spans="1:13" ht="25.5" customHeight="1" thickBot="1">
      <c r="A8" s="156"/>
      <c r="B8" s="157" t="s">
        <v>2</v>
      </c>
      <c r="C8" s="79"/>
      <c r="D8" s="444" t="s">
        <v>295</v>
      </c>
      <c r="E8" s="1543"/>
      <c r="F8" s="1543"/>
      <c r="G8" s="1543"/>
      <c r="H8" s="568"/>
      <c r="K8" s="109"/>
      <c r="L8" s="98"/>
      <c r="M8" s="105"/>
    </row>
    <row r="9" spans="1:13">
      <c r="A9" s="111">
        <v>32000</v>
      </c>
      <c r="B9" s="99" t="s">
        <v>3</v>
      </c>
      <c r="C9" s="78"/>
      <c r="D9" s="196">
        <f>VLOOKUP(A9,'Converted IS (C)'!$A$9:$T$295,20,FALSE)</f>
        <v>17657264.426899999</v>
      </c>
      <c r="E9" s="112">
        <f>D9</f>
        <v>17657264.426899999</v>
      </c>
      <c r="F9" s="112"/>
      <c r="G9" s="112"/>
      <c r="H9" s="203"/>
      <c r="I9" s="78" t="s">
        <v>310</v>
      </c>
      <c r="J9" s="112">
        <f>D9-E9-F9-G9-H9</f>
        <v>0</v>
      </c>
      <c r="K9" s="148"/>
      <c r="L9" s="113"/>
      <c r="M9" s="114"/>
    </row>
    <row r="10" spans="1:13">
      <c r="A10" s="111">
        <v>32100</v>
      </c>
      <c r="B10" s="99" t="s">
        <v>2348</v>
      </c>
      <c r="C10" s="78"/>
      <c r="D10" s="196">
        <f>VLOOKUP(A10,'Converted IS (C)'!$A$9:$T$295,20,FALSE)</f>
        <v>3530849.1500000004</v>
      </c>
      <c r="E10" s="112"/>
      <c r="F10" s="112">
        <f>D10</f>
        <v>3530849.1500000004</v>
      </c>
      <c r="G10" s="112"/>
      <c r="H10" s="203"/>
      <c r="I10" s="78" t="s">
        <v>310</v>
      </c>
      <c r="J10" s="112">
        <f t="shared" ref="J10:J25" si="0">D10-E10-F10-G10-H10</f>
        <v>0</v>
      </c>
      <c r="K10" s="148"/>
      <c r="L10" s="113"/>
      <c r="M10" s="114"/>
    </row>
    <row r="11" spans="1:13">
      <c r="A11" s="111">
        <v>32110</v>
      </c>
      <c r="B11" s="99" t="s">
        <v>5</v>
      </c>
      <c r="C11" s="78"/>
      <c r="D11" s="196">
        <f>VLOOKUP(A11,'Converted IS (C)'!$A$9:$T$295,20,FALSE)</f>
        <v>1812033.9699999997</v>
      </c>
      <c r="E11" s="112"/>
      <c r="F11" s="112"/>
      <c r="G11" s="112">
        <f>D11</f>
        <v>1812033.9699999997</v>
      </c>
      <c r="H11" s="203"/>
      <c r="I11" s="78" t="s">
        <v>310</v>
      </c>
      <c r="J11" s="112">
        <f t="shared" si="0"/>
        <v>0</v>
      </c>
      <c r="K11" s="148"/>
      <c r="L11" s="113"/>
      <c r="M11" s="114"/>
    </row>
    <row r="12" spans="1:13">
      <c r="A12" s="111">
        <v>31110</v>
      </c>
      <c r="B12" s="99" t="s">
        <v>411</v>
      </c>
      <c r="C12" s="78"/>
      <c r="D12" s="196">
        <f>VLOOKUP(A12,'Converted IS (C)'!$A$9:$T$295,20,FALSE)</f>
        <v>8134239.9899999956</v>
      </c>
      <c r="E12" s="112">
        <f>D12</f>
        <v>8134239.9899999956</v>
      </c>
      <c r="F12" s="112"/>
      <c r="G12" s="112"/>
      <c r="H12" s="203"/>
      <c r="I12" s="78" t="s">
        <v>310</v>
      </c>
      <c r="J12" s="112">
        <f t="shared" si="0"/>
        <v>0</v>
      </c>
      <c r="K12" s="148"/>
      <c r="L12" s="113"/>
      <c r="M12" s="114"/>
    </row>
    <row r="13" spans="1:13">
      <c r="A13" s="111"/>
      <c r="B13" s="99" t="s">
        <v>697</v>
      </c>
      <c r="C13" s="78"/>
      <c r="D13" s="196">
        <f>'Converted IS (C)'!T13</f>
        <v>235231.36999999997</v>
      </c>
      <c r="E13" s="112"/>
      <c r="F13" s="112">
        <f>D13</f>
        <v>235231.36999999997</v>
      </c>
      <c r="G13" s="112"/>
      <c r="H13" s="203"/>
      <c r="I13" s="78" t="s">
        <v>310</v>
      </c>
      <c r="J13" s="112">
        <f t="shared" si="0"/>
        <v>0</v>
      </c>
      <c r="K13" s="148"/>
      <c r="L13" s="113"/>
      <c r="M13" s="114"/>
    </row>
    <row r="14" spans="1:13">
      <c r="A14" s="111">
        <v>31000</v>
      </c>
      <c r="B14" s="99" t="s">
        <v>6</v>
      </c>
      <c r="C14" s="78"/>
      <c r="D14" s="196">
        <f>VLOOKUP(A14,'Converted IS (C)'!$A$9:$T$295,20,FALSE)</f>
        <v>1742013.8299999998</v>
      </c>
      <c r="E14" s="112">
        <f>D14</f>
        <v>1742013.8299999998</v>
      </c>
      <c r="F14" s="112"/>
      <c r="G14" s="112"/>
      <c r="H14" s="203"/>
      <c r="I14" s="78" t="s">
        <v>310</v>
      </c>
      <c r="J14" s="112">
        <f t="shared" si="0"/>
        <v>0</v>
      </c>
      <c r="K14" s="148"/>
      <c r="L14" s="113"/>
      <c r="M14" s="114"/>
    </row>
    <row r="15" spans="1:13">
      <c r="A15" s="111">
        <v>31005</v>
      </c>
      <c r="B15" s="99" t="s">
        <v>7</v>
      </c>
      <c r="C15" s="78"/>
      <c r="D15" s="196">
        <f>VLOOKUP(A15,'Converted IS (C)'!$A$9:$T$295,20,FALSE)</f>
        <v>3246811.7068499993</v>
      </c>
      <c r="E15" s="112">
        <f>D15</f>
        <v>3246811.7068499993</v>
      </c>
      <c r="F15" s="112"/>
      <c r="G15" s="112"/>
      <c r="H15" s="203"/>
      <c r="I15" s="78" t="s">
        <v>310</v>
      </c>
      <c r="J15" s="112">
        <f>D15-E15-F15-G15-H15</f>
        <v>0</v>
      </c>
      <c r="K15" s="148"/>
      <c r="L15" s="113"/>
      <c r="M15" s="114"/>
    </row>
    <row r="16" spans="1:13">
      <c r="A16" s="111">
        <v>35000</v>
      </c>
      <c r="B16" s="99" t="s">
        <v>8</v>
      </c>
      <c r="C16" s="78"/>
      <c r="D16" s="196">
        <f>VLOOKUP(A16,'Converted IS (C)'!$A$9:$T$295,20,FALSE)</f>
        <v>0</v>
      </c>
      <c r="E16" s="112"/>
      <c r="F16" s="112"/>
      <c r="G16" s="112"/>
      <c r="H16" s="203"/>
      <c r="I16" s="78" t="s">
        <v>310</v>
      </c>
      <c r="J16" s="112">
        <f t="shared" si="0"/>
        <v>0</v>
      </c>
      <c r="K16" s="148"/>
      <c r="L16" s="113"/>
      <c r="M16" s="114"/>
    </row>
    <row r="17" spans="1:13">
      <c r="A17" s="111">
        <v>33020</v>
      </c>
      <c r="B17" s="99" t="s">
        <v>9</v>
      </c>
      <c r="C17" s="78"/>
      <c r="D17" s="196">
        <f>VLOOKUP(A17,'Converted IS (C)'!$A$9:$T$295,20,FALSE)</f>
        <v>0</v>
      </c>
      <c r="E17" s="112"/>
      <c r="F17" s="112"/>
      <c r="G17" s="112"/>
      <c r="H17" s="203"/>
      <c r="I17" s="78" t="s">
        <v>310</v>
      </c>
      <c r="J17" s="112">
        <f t="shared" si="0"/>
        <v>0</v>
      </c>
      <c r="K17" s="148"/>
      <c r="L17" s="113"/>
      <c r="M17" s="114"/>
    </row>
    <row r="18" spans="1:13">
      <c r="A18" s="111">
        <v>35510</v>
      </c>
      <c r="B18" s="99" t="str">
        <f>'2180 IS (C)'!E36</f>
        <v>Proceeds - OCC</v>
      </c>
      <c r="C18" s="78"/>
      <c r="D18" s="196">
        <f>VLOOKUP(A18,'Converted IS (C)'!$A$9:$T$295,20,FALSE)</f>
        <v>0</v>
      </c>
      <c r="E18" s="112"/>
      <c r="F18" s="112"/>
      <c r="G18" s="112"/>
      <c r="H18" s="203"/>
      <c r="I18" s="78" t="s">
        <v>310</v>
      </c>
      <c r="J18" s="112">
        <f t="shared" si="0"/>
        <v>0</v>
      </c>
      <c r="K18" s="117"/>
      <c r="L18" s="184"/>
      <c r="M18" s="115"/>
    </row>
    <row r="19" spans="1:13" ht="12.75" customHeight="1">
      <c r="A19" s="111">
        <v>35514</v>
      </c>
      <c r="B19" s="99" t="s">
        <v>204</v>
      </c>
      <c r="C19" s="78"/>
      <c r="D19" s="196">
        <f>VLOOKUP(A19,'Converted IS (C)'!$A$9:$T$295,20,FALSE)</f>
        <v>0</v>
      </c>
      <c r="E19" s="112"/>
      <c r="F19" s="112"/>
      <c r="G19" s="112"/>
      <c r="H19" s="203"/>
      <c r="I19" s="78" t="s">
        <v>310</v>
      </c>
      <c r="J19" s="112">
        <f t="shared" si="0"/>
        <v>0</v>
      </c>
      <c r="K19" s="117"/>
      <c r="L19" s="184"/>
      <c r="M19" s="115"/>
    </row>
    <row r="20" spans="1:13">
      <c r="A20" s="111">
        <v>35517</v>
      </c>
      <c r="B20" s="99" t="s">
        <v>205</v>
      </c>
      <c r="C20" s="78"/>
      <c r="D20" s="196">
        <f>VLOOKUP(A20,'Converted IS (C)'!$A$9:$T$295,20,FALSE)</f>
        <v>0</v>
      </c>
      <c r="E20" s="112"/>
      <c r="F20" s="112"/>
      <c r="G20" s="112"/>
      <c r="H20" s="203"/>
      <c r="I20" s="78" t="s">
        <v>310</v>
      </c>
      <c r="J20" s="112">
        <f t="shared" si="0"/>
        <v>0</v>
      </c>
      <c r="K20" s="429"/>
      <c r="L20" s="184"/>
      <c r="M20" s="115"/>
    </row>
    <row r="21" spans="1:13">
      <c r="A21" s="111">
        <v>35564</v>
      </c>
      <c r="B21" s="99" t="s">
        <v>653</v>
      </c>
      <c r="C21" s="78"/>
      <c r="D21" s="196">
        <f>VLOOKUP(A21,'Converted IS (C)'!$A$9:$T$295,20,FALSE)</f>
        <v>0</v>
      </c>
      <c r="E21" s="112"/>
      <c r="F21" s="112"/>
      <c r="G21" s="112"/>
      <c r="H21" s="203"/>
      <c r="I21" s="78" t="s">
        <v>310</v>
      </c>
      <c r="J21" s="112">
        <f t="shared" si="0"/>
        <v>0</v>
      </c>
      <c r="K21" s="429"/>
      <c r="L21" s="184"/>
      <c r="M21" s="115"/>
    </row>
    <row r="22" spans="1:13">
      <c r="A22" s="111">
        <v>35527</v>
      </c>
      <c r="B22" s="99" t="s">
        <v>10</v>
      </c>
      <c r="C22" s="78"/>
      <c r="D22" s="196">
        <f>VLOOKUP(A22,'Converted IS (C)'!$A$9:$T$295,20,FALSE)</f>
        <v>0</v>
      </c>
      <c r="E22" s="112"/>
      <c r="F22" s="112"/>
      <c r="G22" s="112"/>
      <c r="H22" s="203"/>
      <c r="I22" s="78" t="s">
        <v>310</v>
      </c>
      <c r="J22" s="112">
        <f t="shared" si="0"/>
        <v>0</v>
      </c>
      <c r="K22" s="117"/>
      <c r="L22" s="184"/>
      <c r="M22" s="115"/>
    </row>
    <row r="23" spans="1:13">
      <c r="A23" s="111">
        <v>38000</v>
      </c>
      <c r="B23" s="99" t="s">
        <v>11</v>
      </c>
      <c r="C23" s="78"/>
      <c r="D23" s="196">
        <f>VLOOKUP(A23,'Converted IS (C)'!$A$9:$T$295,20,FALSE)</f>
        <v>37064.103380240231</v>
      </c>
      <c r="E23" s="112">
        <f>$D$23*SUM($E$9:$E$15)/SUM($D$9:$D$15)</f>
        <v>31377.726658484862</v>
      </c>
      <c r="F23" s="112">
        <f>$D$23*SUM($F$9:$F$15)/SUM($D$9:$D$15)</f>
        <v>3839.174086436577</v>
      </c>
      <c r="G23" s="112">
        <f>$D$23*SUM($G$9:$G$15)/SUM($D$9:$D$15)</f>
        <v>1847.2026353187987</v>
      </c>
      <c r="H23" s="203"/>
      <c r="I23" s="78" t="s">
        <v>2349</v>
      </c>
      <c r="J23" s="112">
        <f t="shared" si="0"/>
        <v>-7.0485839387401938E-12</v>
      </c>
      <c r="K23" s="433"/>
      <c r="L23" s="119"/>
      <c r="M23" s="120"/>
    </row>
    <row r="24" spans="1:13">
      <c r="A24" s="111">
        <v>38001</v>
      </c>
      <c r="B24" s="99" t="s">
        <v>12</v>
      </c>
      <c r="C24" s="78"/>
      <c r="D24" s="196">
        <f>VLOOKUP(A24,'Converted IS (C)'!$A$9:$T$295,20,FALSE)</f>
        <v>27284.737280923109</v>
      </c>
      <c r="E24" s="112">
        <f>D24*'Ratios (C)'!$P$36</f>
        <v>18496.141678865395</v>
      </c>
      <c r="F24" s="1032">
        <f>D24*'Ratios (C)'!$Q$36</f>
        <v>6000.4726796784298</v>
      </c>
      <c r="G24" s="1032">
        <f>D24*'Ratios (C)'!$R$36</f>
        <v>2788.1229223792875</v>
      </c>
      <c r="H24" s="203"/>
      <c r="I24" s="80" t="s">
        <v>370</v>
      </c>
      <c r="J24" s="112">
        <f t="shared" si="0"/>
        <v>-3.1832314562052488E-12</v>
      </c>
      <c r="K24" s="433"/>
      <c r="L24" s="119"/>
      <c r="M24" s="120"/>
    </row>
    <row r="25" spans="1:13">
      <c r="A25" s="111"/>
      <c r="B25" s="99"/>
      <c r="C25" s="78"/>
      <c r="D25" s="196"/>
      <c r="E25" s="112"/>
      <c r="F25" s="112"/>
      <c r="G25" s="112"/>
      <c r="H25" s="112"/>
      <c r="I25" s="1231" t="s">
        <v>310</v>
      </c>
      <c r="J25" s="112">
        <f t="shared" si="0"/>
        <v>0</v>
      </c>
      <c r="K25" s="433"/>
      <c r="L25" s="119"/>
      <c r="M25" s="120"/>
    </row>
    <row r="26" spans="1:13">
      <c r="A26" s="178"/>
      <c r="B26" s="131" t="s">
        <v>13</v>
      </c>
      <c r="C26" s="91"/>
      <c r="D26" s="197">
        <f>SUM(D9:D25)</f>
        <v>36422793.284411147</v>
      </c>
      <c r="E26" s="132">
        <f>SUM(E9:E25)</f>
        <v>30830203.822087344</v>
      </c>
      <c r="F26" s="132">
        <f>SUM(F9:F25)</f>
        <v>3775920.1667661155</v>
      </c>
      <c r="G26" s="132">
        <f>SUM(G9:G25)</f>
        <v>1816669.2955576978</v>
      </c>
      <c r="H26" s="132"/>
      <c r="I26" s="1232"/>
      <c r="J26" s="112">
        <f>D26-E26-F26-G26-H26</f>
        <v>-9.7788870334625244E-9</v>
      </c>
      <c r="K26" s="117"/>
      <c r="L26" s="137"/>
      <c r="M26" s="115"/>
    </row>
    <row r="27" spans="1:13" s="81" customFormat="1" ht="11.25">
      <c r="A27" s="84"/>
      <c r="B27" s="179" t="s">
        <v>292</v>
      </c>
      <c r="C27" s="87"/>
      <c r="D27" s="217">
        <f>D26-'Converted IS (C)'!T26</f>
        <v>0</v>
      </c>
      <c r="E27" s="88">
        <f>E26/$D$26</f>
        <v>0.84645358145232052</v>
      </c>
      <c r="F27" s="88">
        <f>F26/$D$26</f>
        <v>0.10366915401796487</v>
      </c>
      <c r="G27" s="88">
        <f>G26/$D$26</f>
        <v>4.9877264529714888E-2</v>
      </c>
      <c r="H27" s="88"/>
      <c r="I27" s="1230"/>
      <c r="J27" s="85"/>
      <c r="K27" s="434"/>
      <c r="L27" s="218"/>
      <c r="M27" s="86"/>
    </row>
    <row r="28" spans="1:13" ht="11.25" customHeight="1">
      <c r="A28" s="111"/>
      <c r="B28" s="99"/>
      <c r="C28" s="80"/>
      <c r="D28" s="196"/>
      <c r="E28" s="442">
        <f>SUM(E9:E17)/SUM($E$9:$E$17,$H$9:$H$17)</f>
        <v>1</v>
      </c>
      <c r="F28" s="112"/>
      <c r="G28" s="112"/>
      <c r="H28" s="442"/>
      <c r="I28" s="1230"/>
      <c r="J28" s="112"/>
      <c r="K28" s="117"/>
      <c r="L28" s="118"/>
      <c r="M28" s="115"/>
    </row>
    <row r="29" spans="1:13" ht="6.75" customHeight="1">
      <c r="A29" s="111"/>
      <c r="B29" s="99"/>
      <c r="C29" s="79"/>
      <c r="D29" s="198"/>
      <c r="E29" s="122"/>
      <c r="F29" s="112"/>
      <c r="G29" s="112"/>
      <c r="H29" s="205"/>
      <c r="I29" s="80"/>
      <c r="J29" s="112"/>
      <c r="K29" s="117"/>
      <c r="L29" s="184"/>
      <c r="M29" s="115"/>
    </row>
    <row r="30" spans="1:13">
      <c r="A30" s="156"/>
      <c r="B30" s="157" t="s">
        <v>14</v>
      </c>
      <c r="C30" s="187"/>
      <c r="D30" s="199"/>
      <c r="E30" s="159"/>
      <c r="F30" s="158"/>
      <c r="G30" s="158"/>
      <c r="H30" s="206"/>
      <c r="I30" s="189"/>
      <c r="J30" s="158"/>
      <c r="K30" s="435"/>
      <c r="L30" s="98"/>
      <c r="M30" s="105"/>
    </row>
    <row r="31" spans="1:13">
      <c r="A31" s="124">
        <v>57125</v>
      </c>
      <c r="B31" s="125" t="s">
        <v>15</v>
      </c>
      <c r="C31" s="78"/>
      <c r="D31" s="196">
        <f>VLOOKUP(A31,'Converted IS (C)'!$A$9:$T$295,20,FALSE)</f>
        <v>16593.065892668412</v>
      </c>
      <c r="E31" s="112">
        <f>D31*'Ratios (C)'!$P$36</f>
        <v>11248.328854246553</v>
      </c>
      <c r="F31" s="112">
        <f>D31*'Ratios (C)'!$Q$36</f>
        <v>3649.1551132022564</v>
      </c>
      <c r="G31" s="112">
        <f>D31*'Ratios (C)'!$R$36</f>
        <v>1695.581925219605</v>
      </c>
      <c r="H31" s="203"/>
      <c r="I31" s="80" t="s">
        <v>370</v>
      </c>
      <c r="J31" s="112">
        <f t="shared" ref="J31:J79" si="1">SUM(E31:H31)-D31</f>
        <v>0</v>
      </c>
      <c r="K31" s="435"/>
      <c r="L31" s="98"/>
      <c r="M31" s="105"/>
    </row>
    <row r="32" spans="1:13">
      <c r="A32" s="124">
        <v>57147</v>
      </c>
      <c r="B32" s="125" t="s">
        <v>16</v>
      </c>
      <c r="C32" s="78"/>
      <c r="D32" s="196">
        <f>VLOOKUP(A32,'Converted IS (C)'!$A$9:$T$295,20,FALSE)</f>
        <v>134691.00981252085</v>
      </c>
      <c r="E32" s="112">
        <f>D32*'Ratios (C)'!$P$36</f>
        <v>91306.138472649764</v>
      </c>
      <c r="F32" s="112">
        <f>D32*'Ratios (C)'!$Q$36</f>
        <v>29621.312320401677</v>
      </c>
      <c r="G32" s="112">
        <f>D32*'Ratios (C)'!$R$36</f>
        <v>13763.559019469425</v>
      </c>
      <c r="H32" s="203"/>
      <c r="I32" s="80" t="s">
        <v>370</v>
      </c>
      <c r="J32" s="112">
        <f t="shared" si="1"/>
        <v>0</v>
      </c>
      <c r="K32" s="135"/>
      <c r="L32" s="127"/>
      <c r="M32" s="128"/>
    </row>
    <row r="33" spans="1:15">
      <c r="A33" s="124"/>
      <c r="B33" s="125"/>
      <c r="C33" s="78"/>
      <c r="D33" s="196"/>
      <c r="E33" s="112"/>
      <c r="F33" s="112"/>
      <c r="G33" s="112"/>
      <c r="H33" s="203"/>
      <c r="I33" s="80"/>
      <c r="J33" s="112"/>
      <c r="K33" s="135"/>
      <c r="L33" s="127"/>
      <c r="M33" s="128"/>
    </row>
    <row r="34" spans="1:15">
      <c r="A34" s="130">
        <v>41200</v>
      </c>
      <c r="B34" s="131" t="s">
        <v>13</v>
      </c>
      <c r="C34" s="91"/>
      <c r="D34" s="197">
        <f>SUM(D31:D33)</f>
        <v>151284.07570518926</v>
      </c>
      <c r="E34" s="132">
        <f>SUM(E31:E33)</f>
        <v>102554.46732689632</v>
      </c>
      <c r="F34" s="132">
        <f>SUM(F31:F33)</f>
        <v>33270.467433603932</v>
      </c>
      <c r="G34" s="132">
        <f>SUM(G31:G33)</f>
        <v>15459.14094468903</v>
      </c>
      <c r="H34" s="204"/>
      <c r="I34" s="92"/>
      <c r="J34" s="112">
        <f t="shared" si="1"/>
        <v>0</v>
      </c>
      <c r="K34" s="135"/>
      <c r="L34" s="127"/>
      <c r="M34" s="128"/>
    </row>
    <row r="35" spans="1:15" ht="10.5" customHeight="1">
      <c r="A35" s="111"/>
      <c r="B35" s="99"/>
      <c r="C35" s="80"/>
      <c r="D35" s="196"/>
      <c r="E35" s="112"/>
      <c r="F35" s="112"/>
      <c r="G35" s="112"/>
      <c r="H35" s="203"/>
      <c r="I35" s="80"/>
      <c r="J35" s="112">
        <f t="shared" si="1"/>
        <v>0</v>
      </c>
      <c r="K35" s="135"/>
      <c r="L35" s="127"/>
      <c r="M35" s="133"/>
    </row>
    <row r="36" spans="1:15">
      <c r="A36" s="134">
        <v>52010</v>
      </c>
      <c r="B36" s="99" t="s">
        <v>17</v>
      </c>
      <c r="C36" s="78"/>
      <c r="D36" s="196">
        <f>VLOOKUP(A36,'Converted IS (C)'!$A$9:$T$295,20,FALSE)</f>
        <v>76132.555486983649</v>
      </c>
      <c r="E36" s="112">
        <f>D36*'Ratios (C)'!$P$36</f>
        <v>51609.752300817796</v>
      </c>
      <c r="F36" s="112">
        <f>D36*'Ratios (C)'!$Q$36</f>
        <v>16743.108593285007</v>
      </c>
      <c r="G36" s="112">
        <f>D36*'Ratios (C)'!$R$36</f>
        <v>7779.6945928808518</v>
      </c>
      <c r="H36" s="203"/>
      <c r="I36" s="80" t="s">
        <v>370</v>
      </c>
      <c r="J36" s="112">
        <f t="shared" si="1"/>
        <v>0</v>
      </c>
      <c r="K36" s="135"/>
      <c r="L36" s="127"/>
      <c r="M36" s="136"/>
    </row>
    <row r="37" spans="1:15">
      <c r="A37" s="134">
        <v>52020</v>
      </c>
      <c r="B37" s="125" t="s">
        <v>18</v>
      </c>
      <c r="C37" s="78"/>
      <c r="D37" s="196">
        <f>VLOOKUP(A37,'Converted IS (C)'!$A$9:$T$295,20,FALSE)</f>
        <v>549445.86396697687</v>
      </c>
      <c r="E37" s="112">
        <f>D37*'Ratios (C)'!$P$36</f>
        <v>372465.69172228366</v>
      </c>
      <c r="F37" s="112">
        <f>D37*'Ratios (C)'!$Q$36</f>
        <v>120834.40136333292</v>
      </c>
      <c r="G37" s="112">
        <f>D37*'Ratios (C)'!$R$36</f>
        <v>56145.770881360353</v>
      </c>
      <c r="H37" s="203"/>
      <c r="I37" s="80" t="s">
        <v>370</v>
      </c>
      <c r="J37" s="112">
        <f t="shared" si="1"/>
        <v>0</v>
      </c>
      <c r="K37" s="148"/>
      <c r="L37" s="127"/>
      <c r="M37" s="136"/>
    </row>
    <row r="38" spans="1:15">
      <c r="A38" s="134">
        <v>52025</v>
      </c>
      <c r="B38" s="99" t="s">
        <v>19</v>
      </c>
      <c r="C38" s="78"/>
      <c r="D38" s="196">
        <f>VLOOKUP(A38,'Converted IS (C)'!$A$9:$T$295,20,FALSE)</f>
        <v>111073.81718541615</v>
      </c>
      <c r="E38" s="112">
        <f>D38*'Ratios (C)'!$P$36</f>
        <v>75296.200887749364</v>
      </c>
      <c r="F38" s="112">
        <f>D38*'Ratios (C)'!$Q$36</f>
        <v>24427.40784294394</v>
      </c>
      <c r="G38" s="112">
        <f>D38*'Ratios (C)'!$R$36</f>
        <v>11350.20845472285</v>
      </c>
      <c r="H38" s="203"/>
      <c r="I38" s="80" t="s">
        <v>370</v>
      </c>
      <c r="J38" s="112">
        <f t="shared" si="1"/>
        <v>0</v>
      </c>
      <c r="K38" s="135"/>
      <c r="L38" s="127"/>
      <c r="M38" s="128"/>
    </row>
    <row r="39" spans="1:15">
      <c r="A39" s="134">
        <v>52035</v>
      </c>
      <c r="B39" s="99" t="s">
        <v>20</v>
      </c>
      <c r="C39" s="78"/>
      <c r="D39" s="196">
        <f>VLOOKUP(A39,'Converted IS (C)'!$A$9:$T$295,20,FALSE)</f>
        <v>9713.7155510981574</v>
      </c>
      <c r="E39" s="112">
        <f>D39*'Ratios (C)'!$P$36</f>
        <v>6584.8630760659098</v>
      </c>
      <c r="F39" s="112">
        <f>D39*'Ratios (C)'!$Q$36</f>
        <v>2136.2450436084982</v>
      </c>
      <c r="G39" s="112">
        <f>D39*'Ratios (C)'!$R$36</f>
        <v>992.6074314237502</v>
      </c>
      <c r="H39" s="203"/>
      <c r="I39" s="80" t="s">
        <v>370</v>
      </c>
      <c r="J39" s="112">
        <f t="shared" si="1"/>
        <v>0</v>
      </c>
      <c r="K39" s="135"/>
      <c r="L39" s="127"/>
      <c r="M39" s="128"/>
    </row>
    <row r="40" spans="1:15">
      <c r="A40" s="134">
        <v>52036</v>
      </c>
      <c r="B40" s="99" t="s">
        <v>21</v>
      </c>
      <c r="C40" s="78"/>
      <c r="D40" s="196">
        <f>VLOOKUP(A40,'Converted IS (C)'!$A$9:$T$295,20,FALSE)</f>
        <v>2860.7412437957032</v>
      </c>
      <c r="E40" s="112">
        <f>D40*'Ratios (C)'!$P$36</f>
        <v>1939.2774358437498</v>
      </c>
      <c r="F40" s="112">
        <f>D40*'Ratios (C)'!$Q$36</f>
        <v>629.1356042862601</v>
      </c>
      <c r="G40" s="112">
        <f>D40*'Ratios (C)'!$R$36</f>
        <v>292.32820366569359</v>
      </c>
      <c r="H40" s="203"/>
      <c r="I40" s="80" t="s">
        <v>370</v>
      </c>
      <c r="J40" s="112">
        <f t="shared" si="1"/>
        <v>0</v>
      </c>
      <c r="K40" s="135"/>
      <c r="L40" s="127"/>
      <c r="M40" s="128"/>
    </row>
    <row r="41" spans="1:15">
      <c r="A41" s="111">
        <v>52065</v>
      </c>
      <c r="B41" s="99" t="s">
        <v>22</v>
      </c>
      <c r="C41" s="78"/>
      <c r="D41" s="196">
        <f>VLOOKUP(A41,'Converted IS (C)'!$A$9:$T$295,20,FALSE)</f>
        <v>21654.987322055262</v>
      </c>
      <c r="E41" s="112">
        <f>D41*'Ratios (C)'!$P$36</f>
        <v>14679.771677435665</v>
      </c>
      <c r="F41" s="112">
        <f>D41*'Ratios (C)'!$Q$36</f>
        <v>4762.3753333929544</v>
      </c>
      <c r="G41" s="112">
        <f>D41*'Ratios (C)'!$R$36</f>
        <v>2212.8403112266451</v>
      </c>
      <c r="H41" s="203"/>
      <c r="I41" s="80" t="s">
        <v>370</v>
      </c>
      <c r="J41" s="112">
        <f t="shared" si="1"/>
        <v>0</v>
      </c>
      <c r="K41" s="117"/>
      <c r="L41" s="184"/>
      <c r="M41" s="115"/>
    </row>
    <row r="42" spans="1:15" ht="15">
      <c r="A42" s="111">
        <v>52070</v>
      </c>
      <c r="B42" s="99" t="s">
        <v>23</v>
      </c>
      <c r="C42" s="78"/>
      <c r="D42" s="196">
        <f>VLOOKUP(A42,'Converted IS (C)'!$A$9:$T$295,20,FALSE)</f>
        <v>22788.058270932888</v>
      </c>
      <c r="E42" s="112">
        <f>D42*'Ratios (C)'!$P$36</f>
        <v>15447.872927114913</v>
      </c>
      <c r="F42" s="112">
        <f>D42*'Ratios (C)'!$Q$36</f>
        <v>5011.560846996239</v>
      </c>
      <c r="G42" s="112">
        <f>D42*'Ratios (C)'!$R$36</f>
        <v>2328.6244968217384</v>
      </c>
      <c r="H42" s="203"/>
      <c r="I42" s="80" t="s">
        <v>370</v>
      </c>
      <c r="J42" s="112">
        <f t="shared" si="1"/>
        <v>0</v>
      </c>
      <c r="K42" s="1235" t="s">
        <v>30</v>
      </c>
      <c r="L42" s="137"/>
      <c r="M42" s="116"/>
    </row>
    <row r="43" spans="1:15">
      <c r="A43" s="130">
        <v>41310</v>
      </c>
      <c r="B43" s="131" t="s">
        <v>24</v>
      </c>
      <c r="C43" s="91"/>
      <c r="D43" s="197">
        <f t="shared" ref="D43:G43" si="2">SUM(D36:D42)</f>
        <v>793669.73902725859</v>
      </c>
      <c r="E43" s="132">
        <f t="shared" si="2"/>
        <v>538023.43002731109</v>
      </c>
      <c r="F43" s="132">
        <f t="shared" si="2"/>
        <v>174544.23462784581</v>
      </c>
      <c r="G43" s="132">
        <f t="shared" si="2"/>
        <v>81102.074372101866</v>
      </c>
      <c r="H43" s="204"/>
      <c r="I43" s="92"/>
      <c r="J43" s="112">
        <f t="shared" si="1"/>
        <v>0</v>
      </c>
    </row>
    <row r="44" spans="1:15">
      <c r="A44" s="138"/>
      <c r="B44" s="110"/>
      <c r="C44" s="93"/>
      <c r="D44" s="200"/>
      <c r="E44" s="121"/>
      <c r="F44" s="112"/>
      <c r="G44" s="112"/>
      <c r="H44" s="203"/>
      <c r="I44" s="80"/>
      <c r="J44" s="112">
        <f t="shared" si="1"/>
        <v>0</v>
      </c>
      <c r="K44" s="1133" t="s">
        <v>2780</v>
      </c>
      <c r="M44" s="81"/>
      <c r="N44" s="81"/>
      <c r="O44" s="81"/>
    </row>
    <row r="45" spans="1:15" ht="22.5">
      <c r="A45" s="111">
        <v>55020</v>
      </c>
      <c r="B45" s="99" t="s">
        <v>25</v>
      </c>
      <c r="C45" s="78"/>
      <c r="D45" s="196">
        <f>VLOOKUP(A45,'Converted IS (C)'!$A$9:$T$295,20,FALSE)</f>
        <v>365400.6339921219</v>
      </c>
      <c r="E45" s="1032">
        <f>K45+($D45-$K45)*'Ratios (C)'!$P$6</f>
        <v>265975.51446120144</v>
      </c>
      <c r="F45" s="112">
        <f>($D45-$K45)*'Ratios (C)'!$Q$6</f>
        <v>68416.406808906046</v>
      </c>
      <c r="G45" s="112">
        <f>($D45-$K45)*'Ratios (C)'!$R$6</f>
        <v>31008.712722014418</v>
      </c>
      <c r="H45" s="203"/>
      <c r="I45" s="80" t="s">
        <v>371</v>
      </c>
      <c r="J45" s="112">
        <f t="shared" si="1"/>
        <v>0</v>
      </c>
      <c r="K45" s="186">
        <f>D45*$O$46</f>
        <v>193058.44174289104</v>
      </c>
      <c r="M45" s="1127" t="s">
        <v>2778</v>
      </c>
      <c r="N45" s="1128">
        <f>SUM(Payroll!U196:U197,Payroll!U199,Payroll!U201,Payroll!U207,Payroll!U208,Payroll!U210,Payroll!U211)</f>
        <v>321916.28727493691</v>
      </c>
      <c r="O45" s="1129">
        <f>N45/N47</f>
        <v>0.47165269081866618</v>
      </c>
    </row>
    <row r="46" spans="1:15" ht="22.5">
      <c r="A46" s="111">
        <v>55025</v>
      </c>
      <c r="B46" s="99" t="s">
        <v>26</v>
      </c>
      <c r="C46" s="78"/>
      <c r="D46" s="196">
        <f>VLOOKUP(A46,'Converted IS (C)'!$A$9:$T$295,20,FALSE)</f>
        <v>53746.982119579006</v>
      </c>
      <c r="E46" s="1032">
        <f>K46+($D46-$K46)*'Ratios (C)'!$P$6</f>
        <v>39122.486088243168</v>
      </c>
      <c r="F46" s="112">
        <f>($D46-$K46)*'Ratios (C)'!$Q$6</f>
        <v>10063.407261420889</v>
      </c>
      <c r="G46" s="112">
        <f>($D46-$K46)*'Ratios (C)'!$R$6</f>
        <v>4561.0887699149516</v>
      </c>
      <c r="H46" s="203"/>
      <c r="I46" s="80" t="s">
        <v>371</v>
      </c>
      <c r="J46" s="112">
        <f t="shared" si="1"/>
        <v>0</v>
      </c>
      <c r="K46" s="186">
        <f>D46*$O$46</f>
        <v>28397.073379496833</v>
      </c>
      <c r="M46" s="1127" t="s">
        <v>2779</v>
      </c>
      <c r="N46" s="1130">
        <f>Payroll!U213-'Reg by LOB'!N45</f>
        <v>360611.96612307534</v>
      </c>
      <c r="O46" s="1131">
        <f>N46/N47</f>
        <v>0.52834730918133388</v>
      </c>
    </row>
    <row r="47" spans="1:15">
      <c r="A47" s="111">
        <v>55035</v>
      </c>
      <c r="B47" s="99" t="s">
        <v>27</v>
      </c>
      <c r="C47" s="78"/>
      <c r="D47" s="196">
        <f>VLOOKUP(A47,'Converted IS (C)'!$A$9:$T$295,20,FALSE)</f>
        <v>7331.4966464273912</v>
      </c>
      <c r="E47" s="1032">
        <f>K47+($D47-$K47)*'Ratios (C)'!$P$6</f>
        <v>5336.6042937575767</v>
      </c>
      <c r="F47" s="112">
        <f>($D47-$K47)*'Ratios (C)'!$Q$6</f>
        <v>1372.7251964508666</v>
      </c>
      <c r="G47" s="112">
        <f>($D47-$K47)*'Ratios (C)'!$R$6</f>
        <v>622.16715621894775</v>
      </c>
      <c r="H47" s="203"/>
      <c r="I47" s="80" t="s">
        <v>371</v>
      </c>
      <c r="J47" s="112">
        <f t="shared" si="1"/>
        <v>0</v>
      </c>
      <c r="K47" s="186">
        <f t="shared" ref="K47:K51" si="3">D47*$O$46</f>
        <v>3873.5765254118855</v>
      </c>
      <c r="M47" s="218"/>
      <c r="N47" s="1128">
        <f>SUM(N45:N46)</f>
        <v>682528.25339801225</v>
      </c>
      <c r="O47" s="1132">
        <f>SUM(O45:O46)</f>
        <v>1</v>
      </c>
    </row>
    <row r="48" spans="1:15">
      <c r="A48" s="111">
        <v>55036</v>
      </c>
      <c r="B48" s="99" t="s">
        <v>28</v>
      </c>
      <c r="C48" s="78"/>
      <c r="D48" s="196">
        <f>VLOOKUP(A48,'Converted IS (C)'!$A$9:$T$295,20,FALSE)</f>
        <v>338.16292232130439</v>
      </c>
      <c r="E48" s="1032">
        <f>K48+($D48-$K48)*'Ratios (C)'!$P$6</f>
        <v>246.14915484260331</v>
      </c>
      <c r="F48" s="112">
        <f>($D48-$K48)*'Ratios (C)'!$Q$6</f>
        <v>63.316507714985704</v>
      </c>
      <c r="G48" s="112">
        <f>($D48-$K48)*'Ratios (C)'!$R$6</f>
        <v>28.697259763715362</v>
      </c>
      <c r="H48" s="203"/>
      <c r="I48" s="80" t="s">
        <v>371</v>
      </c>
      <c r="J48" s="112">
        <f t="shared" si="1"/>
        <v>0</v>
      </c>
      <c r="K48" s="186">
        <f t="shared" si="3"/>
        <v>178.66747007335761</v>
      </c>
    </row>
    <row r="49" spans="1:13">
      <c r="A49" s="111">
        <v>55045</v>
      </c>
      <c r="B49" s="99" t="s">
        <v>29</v>
      </c>
      <c r="C49" s="78"/>
      <c r="D49" s="196">
        <f>VLOOKUP(A49,'Converted IS (C)'!$A$9:$T$295,20,FALSE)</f>
        <v>1229.0970429407614</v>
      </c>
      <c r="E49" s="1032">
        <f>K49+($D49-$K49)*'Ratios (C)'!$P$6</f>
        <v>894.66105941665842</v>
      </c>
      <c r="F49" s="112">
        <f>($D49-$K49)*'Ratios (C)'!$Q$6</f>
        <v>230.13206731127784</v>
      </c>
      <c r="G49" s="112">
        <f>($D49-$K49)*'Ratios (C)'!$R$6</f>
        <v>104.30391621282519</v>
      </c>
      <c r="H49" s="203"/>
      <c r="I49" s="80" t="s">
        <v>371</v>
      </c>
      <c r="J49" s="112">
        <f t="shared" si="1"/>
        <v>0</v>
      </c>
      <c r="K49" s="186">
        <f t="shared" si="3"/>
        <v>649.39011536048565</v>
      </c>
      <c r="L49" s="184"/>
      <c r="M49" s="115"/>
    </row>
    <row r="50" spans="1:13">
      <c r="A50" s="111">
        <v>55065</v>
      </c>
      <c r="B50" s="99" t="s">
        <v>22</v>
      </c>
      <c r="C50" s="78"/>
      <c r="D50" s="196">
        <f>VLOOKUP(A50,'Converted IS (C)'!$A$9:$T$295,20,FALSE)</f>
        <v>18542.570012738066</v>
      </c>
      <c r="E50" s="1032">
        <f>K50+($D50-$K50)*'Ratios (C)'!$P$6</f>
        <v>13497.156654296297</v>
      </c>
      <c r="F50" s="112">
        <f>($D50-$K50)*'Ratios (C)'!$Q$6</f>
        <v>3471.8495132700318</v>
      </c>
      <c r="G50" s="112">
        <f>($D50-$K50)*'Ratios (C)'!$R$6</f>
        <v>1573.5638451717368</v>
      </c>
      <c r="H50" s="203"/>
      <c r="I50" s="80" t="s">
        <v>371</v>
      </c>
      <c r="J50" s="112">
        <f t="shared" si="1"/>
        <v>0</v>
      </c>
      <c r="K50" s="186">
        <f t="shared" si="3"/>
        <v>9796.9169715366497</v>
      </c>
      <c r="L50" s="184"/>
      <c r="M50" s="115"/>
    </row>
    <row r="51" spans="1:13">
      <c r="A51" s="111">
        <v>55070</v>
      </c>
      <c r="B51" s="99" t="s">
        <v>23</v>
      </c>
      <c r="C51" s="78"/>
      <c r="D51" s="196">
        <f>VLOOKUP(A51,'Converted IS (C)'!$A$9:$T$295,20,FALSE)</f>
        <v>14714.682967871178</v>
      </c>
      <c r="E51" s="1032">
        <f>K51+($D51-$K51)*'Ratios (C)'!$P$6</f>
        <v>10710.833557550412</v>
      </c>
      <c r="F51" s="112">
        <f>($D51-$K51)*'Ratios (C)'!$Q$6</f>
        <v>2755.1285967819654</v>
      </c>
      <c r="G51" s="112">
        <f>($D51-$K51)*'Ratios (C)'!$R$6</f>
        <v>1248.7208135388003</v>
      </c>
      <c r="H51" s="203"/>
      <c r="I51" s="80" t="s">
        <v>371</v>
      </c>
      <c r="J51" s="112">
        <f t="shared" si="1"/>
        <v>0</v>
      </c>
      <c r="K51" s="1134">
        <f t="shared" si="3"/>
        <v>7774.4631515311412</v>
      </c>
      <c r="L51" s="184"/>
      <c r="M51" s="115"/>
    </row>
    <row r="52" spans="1:13">
      <c r="A52" s="130">
        <v>41311</v>
      </c>
      <c r="B52" s="131" t="s">
        <v>30</v>
      </c>
      <c r="C52" s="91"/>
      <c r="D52" s="197">
        <f t="shared" ref="D52:G52" si="4">SUM(D45:D51)</f>
        <v>461303.6257039996</v>
      </c>
      <c r="E52" s="132">
        <f>SUM(E45:E51)</f>
        <v>335783.40526930807</v>
      </c>
      <c r="F52" s="132">
        <f t="shared" si="4"/>
        <v>86372.965951856066</v>
      </c>
      <c r="G52" s="132">
        <f t="shared" si="4"/>
        <v>39147.2544828354</v>
      </c>
      <c r="H52" s="204"/>
      <c r="I52" s="92"/>
      <c r="J52" s="112">
        <f t="shared" si="1"/>
        <v>0</v>
      </c>
      <c r="K52" s="441">
        <f>SUM(K45:K51)</f>
        <v>243728.52935630141</v>
      </c>
      <c r="L52" s="127"/>
      <c r="M52" s="128"/>
    </row>
    <row r="53" spans="1:13">
      <c r="A53" s="111"/>
      <c r="B53" s="99"/>
      <c r="C53" s="93"/>
      <c r="D53" s="200"/>
      <c r="E53" s="121"/>
      <c r="F53" s="112"/>
      <c r="G53" s="112"/>
      <c r="H53" s="203"/>
      <c r="I53" s="80"/>
      <c r="J53" s="112">
        <f t="shared" si="1"/>
        <v>0</v>
      </c>
      <c r="K53" s="117"/>
      <c r="L53" s="184"/>
      <c r="M53" s="115"/>
    </row>
    <row r="54" spans="1:13">
      <c r="A54" s="138"/>
      <c r="B54" s="110"/>
      <c r="C54" s="78"/>
      <c r="D54" s="196"/>
      <c r="E54" s="112"/>
      <c r="F54" s="112"/>
      <c r="G54" s="112"/>
      <c r="H54" s="203"/>
      <c r="I54" s="80"/>
      <c r="J54" s="112">
        <f t="shared" si="1"/>
        <v>0</v>
      </c>
      <c r="K54" s="117"/>
      <c r="L54" s="184"/>
      <c r="M54" s="115"/>
    </row>
    <row r="55" spans="1:13">
      <c r="A55" s="134">
        <v>52120</v>
      </c>
      <c r="B55" s="99" t="s">
        <v>31</v>
      </c>
      <c r="C55" s="78"/>
      <c r="D55" s="196">
        <f>VLOOKUP(A55,'Converted IS (C)'!$A$9:$T$295,20,FALSE)</f>
        <v>448233.77708461287</v>
      </c>
      <c r="E55" s="112">
        <f>D55*'Ratios (C)'!$P$36</f>
        <v>303854.69212513074</v>
      </c>
      <c r="F55" s="112">
        <f>D55*'Ratios (C)'!$Q$36</f>
        <v>98575.790040163251</v>
      </c>
      <c r="G55" s="112">
        <f>D55*'Ratios (C)'!$R$36</f>
        <v>45803.29491931892</v>
      </c>
      <c r="H55" s="203"/>
      <c r="I55" s="80" t="s">
        <v>370</v>
      </c>
      <c r="J55" s="112">
        <f t="shared" si="1"/>
        <v>0</v>
      </c>
      <c r="K55" s="117"/>
      <c r="L55" s="184"/>
      <c r="M55" s="115"/>
    </row>
    <row r="56" spans="1:13">
      <c r="A56" s="134">
        <v>52125</v>
      </c>
      <c r="B56" s="99" t="s">
        <v>32</v>
      </c>
      <c r="C56" s="78"/>
      <c r="D56" s="196">
        <f>VLOOKUP(A56,'Converted IS (C)'!$A$9:$T$295,20,FALSE)</f>
        <v>56478.029525609498</v>
      </c>
      <c r="E56" s="112">
        <f>D56*'Ratios (C)'!$P$36</f>
        <v>38286.080056163693</v>
      </c>
      <c r="F56" s="112">
        <f>D56*'Ratios (C)'!$Q$36</f>
        <v>12420.675694298856</v>
      </c>
      <c r="G56" s="112">
        <f>D56*'Ratios (C)'!$R$36</f>
        <v>5771.2737751469576</v>
      </c>
      <c r="H56" s="203"/>
      <c r="I56" s="80" t="s">
        <v>370</v>
      </c>
      <c r="J56" s="112">
        <f t="shared" si="1"/>
        <v>0</v>
      </c>
      <c r="K56" s="117"/>
      <c r="L56" s="184"/>
      <c r="M56" s="115"/>
    </row>
    <row r="57" spans="1:13">
      <c r="A57" s="134">
        <v>55120</v>
      </c>
      <c r="B57" s="99" t="s">
        <v>31</v>
      </c>
      <c r="C57" s="78"/>
      <c r="D57" s="196">
        <f>VLOOKUP(A57,'Converted IS (C)'!$A$9:$T$295,20,FALSE)</f>
        <v>72751.367533906334</v>
      </c>
      <c r="E57" s="112">
        <f>D57</f>
        <v>72751.367533906334</v>
      </c>
      <c r="F57" s="112"/>
      <c r="G57" s="112"/>
      <c r="H57" s="203"/>
      <c r="I57" s="80" t="s">
        <v>310</v>
      </c>
      <c r="J57" s="112">
        <f t="shared" si="1"/>
        <v>0</v>
      </c>
      <c r="K57" s="436"/>
      <c r="L57" s="436"/>
      <c r="M57" s="436"/>
    </row>
    <row r="58" spans="1:13">
      <c r="A58" s="134">
        <v>55125</v>
      </c>
      <c r="B58" s="99" t="s">
        <v>32</v>
      </c>
      <c r="C58" s="78"/>
      <c r="D58" s="196">
        <f>VLOOKUP(A58,'Converted IS (C)'!$A$9:$T$295,20,FALSE)</f>
        <v>34924.576902011824</v>
      </c>
      <c r="E58" s="112">
        <f>D58</f>
        <v>34924.576902011824</v>
      </c>
      <c r="F58" s="112"/>
      <c r="G58" s="112"/>
      <c r="H58" s="203"/>
      <c r="I58" s="80" t="s">
        <v>310</v>
      </c>
      <c r="J58" s="112">
        <f t="shared" si="1"/>
        <v>0</v>
      </c>
      <c r="K58" s="436"/>
      <c r="L58" s="436"/>
      <c r="M58" s="436"/>
    </row>
    <row r="59" spans="1:13">
      <c r="A59" s="134"/>
      <c r="B59" s="99"/>
      <c r="C59" s="78"/>
      <c r="D59" s="196"/>
      <c r="E59" s="112"/>
      <c r="F59" s="112"/>
      <c r="G59" s="112"/>
      <c r="H59" s="203"/>
      <c r="I59" s="80"/>
      <c r="J59" s="112">
        <f t="shared" si="1"/>
        <v>0</v>
      </c>
      <c r="K59" s="436"/>
      <c r="L59" s="139"/>
      <c r="M59" s="140"/>
    </row>
    <row r="60" spans="1:13">
      <c r="A60" s="130">
        <v>41320</v>
      </c>
      <c r="B60" s="131" t="s">
        <v>33</v>
      </c>
      <c r="C60" s="91"/>
      <c r="D60" s="197">
        <f>SUM(D54:D59)</f>
        <v>612387.75104614056</v>
      </c>
      <c r="E60" s="132">
        <f>SUM(E54:E59)</f>
        <v>449816.71661721257</v>
      </c>
      <c r="F60" s="132">
        <f>SUM(F54:F59)</f>
        <v>110996.46573446211</v>
      </c>
      <c r="G60" s="132">
        <f>SUM(G54:G59)</f>
        <v>51574.568694465881</v>
      </c>
      <c r="H60" s="204"/>
      <c r="I60" s="92"/>
      <c r="J60" s="112">
        <f t="shared" si="1"/>
        <v>0</v>
      </c>
      <c r="K60" s="135"/>
      <c r="L60" s="127"/>
      <c r="M60" s="128"/>
    </row>
    <row r="61" spans="1:13">
      <c r="A61" s="111"/>
      <c r="B61" s="99"/>
      <c r="C61" s="80"/>
      <c r="D61" s="196"/>
      <c r="E61" s="112"/>
      <c r="F61" s="112"/>
      <c r="G61" s="112"/>
      <c r="H61" s="203"/>
      <c r="I61" s="80"/>
      <c r="J61" s="112">
        <f t="shared" si="1"/>
        <v>0</v>
      </c>
      <c r="K61" s="436"/>
      <c r="L61" s="139"/>
      <c r="M61" s="140"/>
    </row>
    <row r="62" spans="1:13">
      <c r="A62" s="111">
        <v>52147</v>
      </c>
      <c r="B62" s="99" t="s">
        <v>34</v>
      </c>
      <c r="C62" s="78"/>
      <c r="D62" s="196">
        <f>VLOOKUP(A62,'Converted IS (C)'!$A$9:$T$295,20,FALSE)</f>
        <v>172709.46565649996</v>
      </c>
      <c r="E62" s="112">
        <f>D62*'Ratios (C)'!$P$36</f>
        <v>117078.59647588602</v>
      </c>
      <c r="F62" s="112">
        <f>D62*'Ratios (C)'!$Q$36</f>
        <v>37982.34960166808</v>
      </c>
      <c r="G62" s="112">
        <f>D62*'Ratios (C)'!$R$36</f>
        <v>17648.519578945874</v>
      </c>
      <c r="H62" s="203"/>
      <c r="I62" s="80" t="s">
        <v>370</v>
      </c>
      <c r="J62" s="112">
        <f t="shared" si="1"/>
        <v>0</v>
      </c>
      <c r="K62" s="437"/>
      <c r="L62" s="141"/>
      <c r="M62" s="142"/>
    </row>
    <row r="63" spans="1:13">
      <c r="A63" s="111">
        <v>55147</v>
      </c>
      <c r="B63" s="99" t="s">
        <v>34</v>
      </c>
      <c r="C63" s="78"/>
      <c r="D63" s="196">
        <f>VLOOKUP(A63,'Converted IS (C)'!$A$9:$T$295,20,FALSE)</f>
        <v>3557.0857129129909</v>
      </c>
      <c r="E63" s="112">
        <f>D63</f>
        <v>3557.0857129129909</v>
      </c>
      <c r="F63" s="112"/>
      <c r="G63" s="112"/>
      <c r="H63" s="203"/>
      <c r="I63" s="80" t="s">
        <v>370</v>
      </c>
      <c r="J63" s="112">
        <f t="shared" si="1"/>
        <v>0</v>
      </c>
      <c r="K63" s="437"/>
      <c r="L63" s="141"/>
      <c r="M63" s="142"/>
    </row>
    <row r="64" spans="1:13">
      <c r="A64" s="130">
        <v>41330</v>
      </c>
      <c r="B64" s="131" t="s">
        <v>13</v>
      </c>
      <c r="C64" s="91"/>
      <c r="D64" s="197">
        <f t="shared" ref="D64:G64" si="5">SUM(D62:D63)</f>
        <v>176266.55136941295</v>
      </c>
      <c r="E64" s="132">
        <f t="shared" si="5"/>
        <v>120635.68218879901</v>
      </c>
      <c r="F64" s="132">
        <f t="shared" si="5"/>
        <v>37982.34960166808</v>
      </c>
      <c r="G64" s="132">
        <f t="shared" si="5"/>
        <v>17648.519578945874</v>
      </c>
      <c r="H64" s="204"/>
      <c r="I64" s="92"/>
      <c r="J64" s="112">
        <f t="shared" si="1"/>
        <v>0</v>
      </c>
      <c r="K64" s="135"/>
      <c r="L64" s="127"/>
      <c r="M64" s="128"/>
    </row>
    <row r="65" spans="1:13">
      <c r="A65" s="111"/>
      <c r="B65" s="99"/>
      <c r="C65" s="80"/>
      <c r="D65" s="196"/>
      <c r="E65" s="112"/>
      <c r="F65" s="112"/>
      <c r="G65" s="112"/>
      <c r="H65" s="203"/>
      <c r="I65" s="80"/>
      <c r="J65" s="112">
        <f t="shared" si="1"/>
        <v>0</v>
      </c>
      <c r="K65" s="117"/>
      <c r="L65" s="184"/>
      <c r="M65" s="115"/>
    </row>
    <row r="66" spans="1:13">
      <c r="A66" s="111">
        <v>59400</v>
      </c>
      <c r="B66" s="99" t="s">
        <v>35</v>
      </c>
      <c r="C66" s="78"/>
      <c r="D66" s="196">
        <f>VLOOKUP(A66,'Converted IS (C)'!$A$9:$T$295,20,FALSE)</f>
        <v>8172.7257867852168</v>
      </c>
      <c r="E66" s="112">
        <f>D66*'Ratios (C)'!$P$36</f>
        <v>5540.2363782548309</v>
      </c>
      <c r="F66" s="112">
        <f>D66*'Ratios (C)'!$Q$36</f>
        <v>1797.3498259188277</v>
      </c>
      <c r="G66" s="112">
        <f>D66*'Ratios (C)'!$R$36</f>
        <v>835.13958261155869</v>
      </c>
      <c r="H66" s="203"/>
      <c r="I66" s="80" t="s">
        <v>370</v>
      </c>
      <c r="J66" s="112">
        <f t="shared" si="1"/>
        <v>0</v>
      </c>
      <c r="K66" s="436"/>
      <c r="L66" s="139"/>
      <c r="M66" s="140"/>
    </row>
    <row r="67" spans="1:13">
      <c r="A67" s="111">
        <v>59401</v>
      </c>
      <c r="B67" s="99" t="s">
        <v>36</v>
      </c>
      <c r="C67" s="78"/>
      <c r="D67" s="196">
        <f>VLOOKUP(A67,'Converted IS (C)'!$A$9:$T$295,20,FALSE)</f>
        <v>0</v>
      </c>
      <c r="E67" s="112">
        <f>D67*'Ratios (C)'!$P$36</f>
        <v>0</v>
      </c>
      <c r="F67" s="112">
        <f>D67*'Ratios (C)'!$Q$36</f>
        <v>0</v>
      </c>
      <c r="G67" s="112">
        <f>D67*'Ratios (C)'!$R$36</f>
        <v>0</v>
      </c>
      <c r="H67" s="203"/>
      <c r="I67" s="80" t="s">
        <v>370</v>
      </c>
      <c r="J67" s="112">
        <f t="shared" si="1"/>
        <v>0</v>
      </c>
      <c r="K67" s="436"/>
      <c r="L67" s="139"/>
      <c r="M67" s="140"/>
    </row>
    <row r="68" spans="1:13">
      <c r="A68" s="130">
        <v>41340</v>
      </c>
      <c r="B68" s="131" t="s">
        <v>37</v>
      </c>
      <c r="C68" s="91"/>
      <c r="D68" s="197">
        <f t="shared" ref="D68:G68" si="6">SUM(D66:D67)</f>
        <v>8172.7257867852168</v>
      </c>
      <c r="E68" s="132">
        <f t="shared" si="6"/>
        <v>5540.2363782548309</v>
      </c>
      <c r="F68" s="132">
        <f t="shared" si="6"/>
        <v>1797.3498259188277</v>
      </c>
      <c r="G68" s="132">
        <f t="shared" si="6"/>
        <v>835.13958261155869</v>
      </c>
      <c r="H68" s="204"/>
      <c r="I68" s="92"/>
      <c r="J68" s="112">
        <f t="shared" si="1"/>
        <v>0</v>
      </c>
      <c r="K68" s="135"/>
      <c r="L68" s="127"/>
      <c r="M68" s="128"/>
    </row>
    <row r="69" spans="1:13">
      <c r="A69" s="111"/>
      <c r="B69" s="99"/>
      <c r="C69" s="80"/>
      <c r="D69" s="196"/>
      <c r="E69" s="112"/>
      <c r="F69" s="112"/>
      <c r="G69" s="112"/>
      <c r="H69" s="203"/>
      <c r="I69" s="80"/>
      <c r="J69" s="112">
        <f t="shared" si="1"/>
        <v>0</v>
      </c>
      <c r="K69" s="436"/>
      <c r="L69" s="139"/>
      <c r="M69" s="140"/>
    </row>
    <row r="70" spans="1:13">
      <c r="A70" s="111">
        <v>52140</v>
      </c>
      <c r="B70" s="99" t="s">
        <v>38</v>
      </c>
      <c r="C70" s="78"/>
      <c r="D70" s="196">
        <f>VLOOKUP(A70,'Converted IS (C)'!$A$9:$T$295,20,FALSE)</f>
        <v>155883.8386651584</v>
      </c>
      <c r="E70" s="112">
        <f>D70*'Ratios (C)'!$P$36</f>
        <v>105672.61600176997</v>
      </c>
      <c r="F70" s="112">
        <f>D70*'Ratios (C)'!$Q$36</f>
        <v>34282.049538650972</v>
      </c>
      <c r="G70" s="112">
        <f>D70*'Ratios (C)'!$R$36</f>
        <v>15929.173124737466</v>
      </c>
      <c r="H70" s="203"/>
      <c r="I70" s="80" t="s">
        <v>370</v>
      </c>
      <c r="J70" s="112">
        <f t="shared" si="1"/>
        <v>0</v>
      </c>
      <c r="K70" s="438"/>
      <c r="L70" s="126"/>
      <c r="M70" s="143"/>
    </row>
    <row r="71" spans="1:13">
      <c r="A71" s="111"/>
      <c r="B71" s="99"/>
      <c r="C71" s="78"/>
      <c r="D71" s="196"/>
      <c r="E71" s="112"/>
      <c r="F71" s="112"/>
      <c r="G71" s="112"/>
      <c r="H71" s="203"/>
      <c r="I71" s="80"/>
      <c r="J71" s="112"/>
      <c r="K71" s="438"/>
      <c r="L71" s="126"/>
      <c r="M71" s="143"/>
    </row>
    <row r="72" spans="1:13">
      <c r="A72" s="130">
        <v>41600</v>
      </c>
      <c r="B72" s="131" t="s">
        <v>13</v>
      </c>
      <c r="C72" s="90"/>
      <c r="D72" s="197">
        <f>SUM(D70:D71)</f>
        <v>155883.8386651584</v>
      </c>
      <c r="E72" s="132">
        <f>SUM(E70:E71)</f>
        <v>105672.61600176997</v>
      </c>
      <c r="F72" s="132">
        <f>SUM(F70:F71)</f>
        <v>34282.049538650972</v>
      </c>
      <c r="G72" s="132">
        <f>SUM(G70:G71)</f>
        <v>15929.173124737466</v>
      </c>
      <c r="H72" s="204"/>
      <c r="I72" s="92"/>
      <c r="J72" s="112">
        <f t="shared" si="1"/>
        <v>0</v>
      </c>
      <c r="K72" s="135"/>
      <c r="L72" s="127"/>
      <c r="M72" s="128"/>
    </row>
    <row r="73" spans="1:13">
      <c r="A73" s="138"/>
      <c r="B73" s="110"/>
      <c r="C73" s="89"/>
      <c r="D73" s="200"/>
      <c r="E73" s="121"/>
      <c r="F73" s="112"/>
      <c r="G73" s="112"/>
      <c r="H73" s="203"/>
      <c r="I73" s="80"/>
      <c r="J73" s="112">
        <f t="shared" si="1"/>
        <v>0</v>
      </c>
      <c r="K73" s="117"/>
      <c r="L73" s="184"/>
      <c r="M73" s="115"/>
    </row>
    <row r="74" spans="1:13">
      <c r="A74" s="134">
        <v>52086</v>
      </c>
      <c r="B74" s="99" t="s">
        <v>39</v>
      </c>
      <c r="C74" s="78"/>
      <c r="D74" s="196">
        <f>VLOOKUP(A74,'Converted IS (C)'!$A$9:$T$295,20,FALSE)</f>
        <v>18376.800994482397</v>
      </c>
      <c r="E74" s="112">
        <f>D74*'Ratios (C)'!$P$36</f>
        <v>12457.51099959872</v>
      </c>
      <c r="F74" s="112">
        <f>D74*'Ratios (C)'!$Q$36</f>
        <v>4041.4350034580339</v>
      </c>
      <c r="G74" s="112">
        <f>D74*'Ratios (C)'!$R$36</f>
        <v>1877.8549914256455</v>
      </c>
      <c r="H74" s="203"/>
      <c r="I74" s="80" t="s">
        <v>370</v>
      </c>
      <c r="J74" s="112">
        <f t="shared" si="1"/>
        <v>0</v>
      </c>
      <c r="K74" s="117"/>
      <c r="L74" s="184"/>
      <c r="M74" s="115"/>
    </row>
    <row r="75" spans="1:13">
      <c r="A75" s="134">
        <v>52090</v>
      </c>
      <c r="B75" s="99" t="s">
        <v>41</v>
      </c>
      <c r="C75" s="78"/>
      <c r="D75" s="196">
        <f>VLOOKUP(A75,'Converted IS (C)'!$A$9:$T$295,20,FALSE)</f>
        <v>7988.7972892566149</v>
      </c>
      <c r="E75" s="112">
        <f>D75*'Ratios (C)'!$P$36</f>
        <v>5415.5524747946929</v>
      </c>
      <c r="F75" s="112">
        <f>D75*'Ratios (C)'!$Q$36</f>
        <v>1756.9001813768466</v>
      </c>
      <c r="G75" s="112">
        <f>D75*'Ratios (C)'!$R$36</f>
        <v>816.34463308507645</v>
      </c>
      <c r="H75" s="203"/>
      <c r="I75" s="80" t="s">
        <v>370</v>
      </c>
      <c r="J75" s="112">
        <f t="shared" si="1"/>
        <v>0</v>
      </c>
      <c r="K75" s="148"/>
      <c r="L75" s="113"/>
      <c r="M75" s="114"/>
    </row>
    <row r="76" spans="1:13">
      <c r="A76" s="134">
        <v>52182</v>
      </c>
      <c r="B76" s="99" t="s">
        <v>43</v>
      </c>
      <c r="C76" s="78"/>
      <c r="D76" s="196">
        <f>VLOOKUP(A76,'Converted IS (C)'!$A$9:$T$295,20,FALSE)</f>
        <v>6493.7853582139569</v>
      </c>
      <c r="E76" s="112">
        <f>D76*'Ratios (C)'!$P$36</f>
        <v>4402.0938439324937</v>
      </c>
      <c r="F76" s="112">
        <f>D76*'Ratios (C)'!$Q$36</f>
        <v>1428.1164311192645</v>
      </c>
      <c r="G76" s="112">
        <f>D76*'Ratios (C)'!$R$36</f>
        <v>663.5750831621998</v>
      </c>
      <c r="H76" s="203"/>
      <c r="I76" s="80" t="s">
        <v>370</v>
      </c>
      <c r="J76" s="112">
        <f t="shared" si="1"/>
        <v>0</v>
      </c>
      <c r="K76" s="148"/>
      <c r="L76" s="113"/>
      <c r="M76" s="114"/>
    </row>
    <row r="77" spans="1:13">
      <c r="A77" s="134">
        <v>57254</v>
      </c>
      <c r="B77" s="99" t="s">
        <v>44</v>
      </c>
      <c r="C77" s="78"/>
      <c r="D77" s="196">
        <f>VLOOKUP(A77,'Converted IS (C)'!$A$9:$T$295,20,FALSE)</f>
        <v>127610.38916000212</v>
      </c>
      <c r="E77" s="112">
        <f>D77*'Ratios (C)'!$P$36</f>
        <v>86506.232891192907</v>
      </c>
      <c r="F77" s="112">
        <f>D77*'Ratios (C)'!$Q$36</f>
        <v>28064.138786232761</v>
      </c>
      <c r="G77" s="112">
        <f>D77*'Ratios (C)'!$R$36</f>
        <v>13040.017482576468</v>
      </c>
      <c r="H77" s="203"/>
      <c r="I77" s="80" t="s">
        <v>370</v>
      </c>
      <c r="J77" s="112">
        <f t="shared" si="1"/>
        <v>0</v>
      </c>
      <c r="K77" s="148"/>
      <c r="L77" s="113"/>
      <c r="M77" s="114"/>
    </row>
    <row r="78" spans="1:13">
      <c r="A78" s="134"/>
      <c r="B78" s="99"/>
      <c r="C78" s="78"/>
      <c r="D78" s="196"/>
      <c r="E78" s="112"/>
      <c r="F78" s="112"/>
      <c r="G78" s="112"/>
      <c r="H78" s="203"/>
      <c r="I78" s="80"/>
      <c r="J78" s="112"/>
      <c r="K78" s="148"/>
      <c r="L78" s="113"/>
      <c r="M78" s="114"/>
    </row>
    <row r="79" spans="1:13">
      <c r="A79" s="130">
        <v>41800</v>
      </c>
      <c r="B79" s="131" t="s">
        <v>47</v>
      </c>
      <c r="C79" s="91"/>
      <c r="D79" s="197">
        <f>SUM(D74:D78)</f>
        <v>160469.77280195509</v>
      </c>
      <c r="E79" s="132">
        <f>SUM(E74:E78)</f>
        <v>108781.39020951881</v>
      </c>
      <c r="F79" s="132">
        <f>SUM(F74:F78)</f>
        <v>35290.590402186906</v>
      </c>
      <c r="G79" s="132">
        <f>SUM(G74:G78)</f>
        <v>16397.792190249391</v>
      </c>
      <c r="H79" s="204"/>
      <c r="I79" s="92"/>
      <c r="J79" s="112">
        <f t="shared" si="1"/>
        <v>0</v>
      </c>
      <c r="K79" s="135"/>
      <c r="L79" s="127"/>
      <c r="M79" s="128"/>
    </row>
    <row r="80" spans="1:13">
      <c r="A80" s="111"/>
      <c r="B80" s="99"/>
      <c r="C80" s="80"/>
      <c r="D80" s="196"/>
      <c r="E80" s="112"/>
      <c r="F80" s="112"/>
      <c r="G80" s="112"/>
      <c r="H80" s="203"/>
      <c r="I80" s="80"/>
      <c r="J80" s="112">
        <f t="shared" ref="J80:J143" si="7">SUM(E80:H80)-D80</f>
        <v>0</v>
      </c>
      <c r="K80" s="438"/>
      <c r="L80" s="103"/>
      <c r="M80" s="145"/>
    </row>
    <row r="81" spans="1:13">
      <c r="A81" s="134">
        <v>56010</v>
      </c>
      <c r="B81" s="99" t="s">
        <v>48</v>
      </c>
      <c r="C81" s="78"/>
      <c r="D81" s="196">
        <f>VLOOKUP(A81,'Converted IS (C)'!$A$9:$T$295,20,FALSE)</f>
        <v>232654.85889403048</v>
      </c>
      <c r="E81" s="112">
        <f>D81*'Ratios (C)'!$P$36</f>
        <v>157715.17929876273</v>
      </c>
      <c r="F81" s="112">
        <f>D81*'Ratios (C)'!$Q$36</f>
        <v>51165.569608183476</v>
      </c>
      <c r="G81" s="112">
        <f>D81*'Ratios (C)'!$R$36</f>
        <v>23774.109987084285</v>
      </c>
      <c r="H81" s="203"/>
      <c r="I81" s="80" t="s">
        <v>370</v>
      </c>
      <c r="J81" s="112">
        <f t="shared" si="7"/>
        <v>0</v>
      </c>
      <c r="K81" s="148"/>
      <c r="L81" s="113"/>
      <c r="M81" s="114"/>
    </row>
    <row r="82" spans="1:13">
      <c r="A82" s="134">
        <v>56035</v>
      </c>
      <c r="B82" s="99" t="s">
        <v>27</v>
      </c>
      <c r="C82" s="78"/>
      <c r="D82" s="196">
        <f>VLOOKUP(A82,'Converted IS (C)'!$A$9:$T$295,20,FALSE)</f>
        <v>1504.3357568381643</v>
      </c>
      <c r="E82" s="112">
        <f>D82*'Ratios (C)'!$P$36</f>
        <v>1019.7791902697229</v>
      </c>
      <c r="F82" s="112">
        <f>D82*'Ratios (C)'!$Q$36</f>
        <v>330.83425055670477</v>
      </c>
      <c r="G82" s="112">
        <f>D82*'Ratios (C)'!$R$36</f>
        <v>153.72231601173686</v>
      </c>
      <c r="H82" s="203"/>
      <c r="I82" s="80" t="s">
        <v>370</v>
      </c>
      <c r="J82" s="112">
        <f t="shared" si="7"/>
        <v>0</v>
      </c>
      <c r="K82" s="148"/>
      <c r="L82" s="113"/>
      <c r="M82" s="114"/>
    </row>
    <row r="83" spans="1:13">
      <c r="A83" s="134">
        <v>56065</v>
      </c>
      <c r="B83" s="99" t="s">
        <v>22</v>
      </c>
      <c r="C83" s="78"/>
      <c r="D83" s="196">
        <f>VLOOKUP(A83,'Converted IS (C)'!$A$9:$T$295,20,FALSE)</f>
        <v>-16847.802040643368</v>
      </c>
      <c r="E83" s="112">
        <f>D83*'Ratios (C)'!$P$36</f>
        <v>-11421.012792345802</v>
      </c>
      <c r="F83" s="112">
        <f>D83*'Ratios (C)'!$Q$36</f>
        <v>-3705.1768106337709</v>
      </c>
      <c r="G83" s="112">
        <f>D83*'Ratios (C)'!$R$36</f>
        <v>-1721.612437663797</v>
      </c>
      <c r="H83" s="203"/>
      <c r="I83" s="80" t="s">
        <v>370</v>
      </c>
      <c r="J83" s="112">
        <f t="shared" si="7"/>
        <v>0</v>
      </c>
      <c r="K83" s="148"/>
      <c r="L83" s="113"/>
      <c r="M83" s="114"/>
    </row>
    <row r="84" spans="1:13">
      <c r="A84" s="134">
        <v>56070</v>
      </c>
      <c r="B84" s="99" t="s">
        <v>23</v>
      </c>
      <c r="C84" s="78"/>
      <c r="D84" s="196">
        <f>VLOOKUP(A84,'Converted IS (C)'!$A$9:$T$295,20,FALSE)</f>
        <v>-1909.3468190385729</v>
      </c>
      <c r="E84" s="112">
        <f>D84*'Ratios (C)'!$P$36</f>
        <v>-1294.3334918500486</v>
      </c>
      <c r="F84" s="112">
        <f>D84*'Ratios (C)'!$Q$36</f>
        <v>-419.90448013887766</v>
      </c>
      <c r="G84" s="112">
        <f>D84*'Ratios (C)'!$R$36</f>
        <v>-195.10884704964678</v>
      </c>
      <c r="H84" s="203"/>
      <c r="I84" s="80" t="s">
        <v>370</v>
      </c>
      <c r="J84" s="112">
        <f t="shared" si="7"/>
        <v>0</v>
      </c>
      <c r="K84" s="148"/>
      <c r="L84" s="113"/>
      <c r="M84" s="114"/>
    </row>
    <row r="85" spans="1:13">
      <c r="A85" s="130">
        <v>42100</v>
      </c>
      <c r="B85" s="131" t="s">
        <v>49</v>
      </c>
      <c r="C85" s="91"/>
      <c r="D85" s="197">
        <f>SUM(D81:D84)</f>
        <v>215402.04579118671</v>
      </c>
      <c r="E85" s="132">
        <f>SUM(E81:E84)</f>
        <v>146019.61220483659</v>
      </c>
      <c r="F85" s="132">
        <f>SUM(F81:F84)</f>
        <v>47371.322567967531</v>
      </c>
      <c r="G85" s="132">
        <f>SUM(G81:G84)</f>
        <v>22011.111018382577</v>
      </c>
      <c r="H85" s="204"/>
      <c r="I85" s="92"/>
      <c r="J85" s="112">
        <f t="shared" si="7"/>
        <v>0</v>
      </c>
      <c r="K85" s="135"/>
      <c r="L85" s="127"/>
      <c r="M85" s="128"/>
    </row>
    <row r="86" spans="1:13" ht="12" customHeight="1">
      <c r="A86" s="111"/>
      <c r="B86" s="99"/>
      <c r="C86" s="80"/>
      <c r="D86" s="196"/>
      <c r="E86" s="112"/>
      <c r="F86" s="112"/>
      <c r="G86" s="112"/>
      <c r="H86" s="203"/>
      <c r="I86" s="80"/>
      <c r="J86" s="112">
        <f t="shared" si="7"/>
        <v>0</v>
      </c>
      <c r="K86" s="148"/>
      <c r="L86" s="113"/>
      <c r="M86" s="114"/>
    </row>
    <row r="87" spans="1:13" s="99" customFormat="1">
      <c r="A87" s="134">
        <v>50020</v>
      </c>
      <c r="B87" s="99" t="s">
        <v>25</v>
      </c>
      <c r="C87" s="78"/>
      <c r="D87" s="196">
        <f>VLOOKUP(A87,'Converted IS (C)'!$A$9:$T$295,20,FALSE)</f>
        <v>2490501.7896678494</v>
      </c>
      <c r="E87" s="112">
        <f>D87*'Ratios (C)'!$P$36</f>
        <v>1688294.575787313</v>
      </c>
      <c r="F87" s="112">
        <f>D87*'Ratios (C)'!$Q$36</f>
        <v>547712.36364591331</v>
      </c>
      <c r="G87" s="112">
        <f>D87*'Ratios (C)'!$R$36</f>
        <v>254494.8502346233</v>
      </c>
      <c r="H87" s="203"/>
      <c r="I87" s="80" t="s">
        <v>370</v>
      </c>
      <c r="J87" s="112">
        <f t="shared" si="7"/>
        <v>0</v>
      </c>
      <c r="K87" s="148"/>
      <c r="L87" s="113"/>
      <c r="M87" s="114"/>
    </row>
    <row r="88" spans="1:13">
      <c r="A88" s="134">
        <v>50025</v>
      </c>
      <c r="B88" s="99" t="s">
        <v>50</v>
      </c>
      <c r="C88" s="78"/>
      <c r="D88" s="196">
        <f>VLOOKUP(A88,'Converted IS (C)'!$A$9:$T$295,20,FALSE)</f>
        <v>781825.12429660745</v>
      </c>
      <c r="E88" s="112">
        <f>D88*'Ratios (C)'!$P$36</f>
        <v>529994.04458980216</v>
      </c>
      <c r="F88" s="112">
        <f>D88*'Ratios (C)'!$Q$36</f>
        <v>171939.36120132828</v>
      </c>
      <c r="G88" s="112">
        <f>D88*'Ratios (C)'!$R$36</f>
        <v>79891.71850547714</v>
      </c>
      <c r="H88" s="203"/>
      <c r="I88" s="80" t="s">
        <v>370</v>
      </c>
      <c r="J88" s="112">
        <f t="shared" si="7"/>
        <v>0</v>
      </c>
      <c r="K88" s="148"/>
      <c r="L88" s="113"/>
      <c r="M88" s="114"/>
    </row>
    <row r="89" spans="1:13">
      <c r="A89" s="134"/>
      <c r="B89" s="99" t="s">
        <v>938</v>
      </c>
      <c r="C89" s="78"/>
      <c r="D89" s="196">
        <f>'Converted IS (C)'!T89</f>
        <v>76417.352357875498</v>
      </c>
      <c r="E89" s="112">
        <f>D89</f>
        <v>76417.352357875498</v>
      </c>
      <c r="F89" s="112"/>
      <c r="G89" s="112"/>
      <c r="H89" s="203"/>
      <c r="I89" s="80" t="s">
        <v>310</v>
      </c>
      <c r="J89" s="112">
        <f>SUM(E89:H89)-D89</f>
        <v>0</v>
      </c>
      <c r="K89" s="554"/>
      <c r="L89" s="113"/>
      <c r="M89" s="114"/>
    </row>
    <row r="90" spans="1:13">
      <c r="A90" s="134"/>
      <c r="B90" s="99" t="s">
        <v>939</v>
      </c>
      <c r="C90" s="78"/>
      <c r="D90" s="196">
        <f>'Converted IS (C)'!T90</f>
        <v>42919.518370818616</v>
      </c>
      <c r="E90" s="112">
        <f>$D90*'Ratios (C)'!$F$61</f>
        <v>40126.109640957824</v>
      </c>
      <c r="F90" s="112">
        <f>$D90*'Ratios (C)'!$G$61</f>
        <v>931.15289449919726</v>
      </c>
      <c r="G90" s="112">
        <f>$D90*'Ratios (C)'!$H$61</f>
        <v>1862.2558353615898</v>
      </c>
      <c r="H90" s="203"/>
      <c r="I90" s="80" t="s">
        <v>1723</v>
      </c>
      <c r="J90" s="112">
        <f t="shared" si="7"/>
        <v>0</v>
      </c>
      <c r="K90" s="554"/>
      <c r="L90" s="113"/>
      <c r="M90" s="114"/>
    </row>
    <row r="91" spans="1:13" ht="12.75" customHeight="1">
      <c r="A91" s="134"/>
      <c r="B91" s="99" t="s">
        <v>296</v>
      </c>
      <c r="C91" s="78"/>
      <c r="D91" s="196">
        <f>'Converted IS (C)'!T91</f>
        <v>0</v>
      </c>
      <c r="E91" s="112"/>
      <c r="F91" s="112"/>
      <c r="G91" s="112"/>
      <c r="H91" s="203"/>
      <c r="I91" s="80" t="s">
        <v>310</v>
      </c>
      <c r="J91" s="112">
        <f t="shared" si="7"/>
        <v>0</v>
      </c>
      <c r="K91" s="554"/>
      <c r="L91" s="113"/>
      <c r="M91" s="114"/>
    </row>
    <row r="92" spans="1:13">
      <c r="A92" s="134"/>
      <c r="B92" s="99" t="s">
        <v>1242</v>
      </c>
      <c r="C92" s="78"/>
      <c r="D92" s="196">
        <f>'Converted IS (C)'!T92</f>
        <v>97367.990233464647</v>
      </c>
      <c r="E92" s="112">
        <f>D92*'Ratios (C)'!$P$36</f>
        <v>66005.112081607484</v>
      </c>
      <c r="F92" s="112">
        <f>D92*'Ratios (C)'!$Q$36</f>
        <v>21413.215720409316</v>
      </c>
      <c r="G92" s="112">
        <f>D92*'Ratios (C)'!$R$36</f>
        <v>9949.6624314478559</v>
      </c>
      <c r="H92" s="203"/>
      <c r="I92" s="80" t="s">
        <v>370</v>
      </c>
      <c r="J92" s="112">
        <f t="shared" si="7"/>
        <v>0</v>
      </c>
      <c r="K92" s="554"/>
      <c r="L92" s="113"/>
      <c r="M92" s="114"/>
    </row>
    <row r="93" spans="1:13">
      <c r="A93" s="147">
        <v>50035</v>
      </c>
      <c r="B93" s="99" t="s">
        <v>20</v>
      </c>
      <c r="C93" s="78"/>
      <c r="D93" s="196">
        <f>VLOOKUP(A93,'Converted IS (C)'!$A$9:$T$295,20,FALSE)</f>
        <v>66779.603008000151</v>
      </c>
      <c r="E93" s="112">
        <f>D93*'Ratios (C)'!$P$36</f>
        <v>45269.448108556899</v>
      </c>
      <c r="F93" s="112">
        <f>D93*'Ratios (C)'!$Q$36</f>
        <v>14686.202739780218</v>
      </c>
      <c r="G93" s="112">
        <f>D93*'Ratios (C)'!$R$36</f>
        <v>6823.9521596630448</v>
      </c>
      <c r="H93" s="203"/>
      <c r="I93" s="80" t="s">
        <v>370</v>
      </c>
      <c r="J93" s="112">
        <f t="shared" si="7"/>
        <v>0</v>
      </c>
      <c r="K93" s="148"/>
      <c r="L93" s="113"/>
      <c r="M93" s="114"/>
    </row>
    <row r="94" spans="1:13">
      <c r="A94" s="147">
        <v>50036</v>
      </c>
      <c r="B94" s="99" t="s">
        <v>21</v>
      </c>
      <c r="C94" s="78"/>
      <c r="D94" s="196">
        <f>VLOOKUP(A94,'Converted IS (C)'!$A$9:$T$295,20,FALSE)</f>
        <v>17158.438835360241</v>
      </c>
      <c r="E94" s="112">
        <f>D94*'Ratios (C)'!$P$36</f>
        <v>11631.591406557678</v>
      </c>
      <c r="F94" s="112">
        <f>D94*'Ratios (C)'!$Q$36</f>
        <v>3773.4922054572617</v>
      </c>
      <c r="G94" s="112">
        <f>D94*'Ratios (C)'!$R$36</f>
        <v>1753.3552233453031</v>
      </c>
      <c r="H94" s="203"/>
      <c r="I94" s="80" t="s">
        <v>370</v>
      </c>
      <c r="J94" s="112">
        <f t="shared" si="7"/>
        <v>0</v>
      </c>
      <c r="K94" s="148"/>
      <c r="L94" s="113"/>
      <c r="M94" s="114"/>
    </row>
    <row r="95" spans="1:13">
      <c r="A95" s="134">
        <v>50065</v>
      </c>
      <c r="B95" s="99" t="s">
        <v>22</v>
      </c>
      <c r="C95" s="78"/>
      <c r="D95" s="196">
        <f>VLOOKUP(A95,'Converted IS (C)'!$A$9:$T$295,20,FALSE)</f>
        <v>181090.36933772766</v>
      </c>
      <c r="E95" s="112">
        <f>D95*'Ratios (C)'!$P$36</f>
        <v>122759.95526226125</v>
      </c>
      <c r="F95" s="112">
        <f>D95*'Ratios (C)'!$Q$36</f>
        <v>39825.48201128027</v>
      </c>
      <c r="G95" s="112">
        <f>D95*'Ratios (C)'!$R$36</f>
        <v>18504.932064186167</v>
      </c>
      <c r="H95" s="203"/>
      <c r="I95" s="80" t="s">
        <v>370</v>
      </c>
      <c r="J95" s="112">
        <f t="shared" si="7"/>
        <v>0</v>
      </c>
      <c r="K95" s="148"/>
      <c r="L95" s="113"/>
      <c r="M95" s="114"/>
    </row>
    <row r="96" spans="1:13">
      <c r="A96" s="134">
        <v>50070</v>
      </c>
      <c r="B96" s="99" t="s">
        <v>23</v>
      </c>
      <c r="C96" s="78"/>
      <c r="D96" s="196">
        <f>VLOOKUP(A96,'Converted IS (C)'!$A$9:$T$295,20,FALSE)</f>
        <v>105194.90875361564</v>
      </c>
      <c r="E96" s="112">
        <f>D96*'Ratios (C)'!$P$36</f>
        <v>71310.928016982711</v>
      </c>
      <c r="F96" s="112">
        <f>D96*'Ratios (C)'!$Q$36</f>
        <v>23134.515444232282</v>
      </c>
      <c r="G96" s="112">
        <f>D96*'Ratios (C)'!$R$36</f>
        <v>10749.46529240066</v>
      </c>
      <c r="H96" s="203"/>
      <c r="I96" s="80" t="s">
        <v>370</v>
      </c>
      <c r="J96" s="112">
        <f t="shared" si="7"/>
        <v>0</v>
      </c>
      <c r="K96" s="438"/>
      <c r="L96" s="113"/>
      <c r="M96" s="114"/>
    </row>
    <row r="97" spans="1:13">
      <c r="A97" s="130">
        <v>42300</v>
      </c>
      <c r="B97" s="131" t="s">
        <v>51</v>
      </c>
      <c r="C97" s="91"/>
      <c r="D97" s="197">
        <f t="shared" ref="D97:F97" si="8">SUM(D87:D96)</f>
        <v>3859255.0948613198</v>
      </c>
      <c r="E97" s="132">
        <f t="shared" si="8"/>
        <v>2651809.117251914</v>
      </c>
      <c r="F97" s="132">
        <f t="shared" si="8"/>
        <v>823415.78586290008</v>
      </c>
      <c r="G97" s="132">
        <f>SUM(G87:G96)</f>
        <v>384030.19174650504</v>
      </c>
      <c r="H97" s="204"/>
      <c r="I97" s="92"/>
      <c r="J97" s="112">
        <f>SUM(E97:H97)-D97</f>
        <v>0</v>
      </c>
      <c r="K97" s="135"/>
      <c r="L97" s="127"/>
      <c r="M97" s="128"/>
    </row>
    <row r="98" spans="1:13">
      <c r="A98" s="146"/>
      <c r="B98" s="110"/>
      <c r="C98" s="78"/>
      <c r="D98" s="196"/>
      <c r="E98" s="112"/>
      <c r="F98" s="112"/>
      <c r="G98" s="112"/>
      <c r="H98" s="203"/>
      <c r="I98" s="80"/>
      <c r="J98" s="112">
        <f t="shared" si="7"/>
        <v>0</v>
      </c>
      <c r="K98" s="117"/>
      <c r="L98" s="184"/>
      <c r="M98" s="115"/>
    </row>
    <row r="99" spans="1:13">
      <c r="A99" s="124">
        <v>50045</v>
      </c>
      <c r="B99" s="99" t="s">
        <v>29</v>
      </c>
      <c r="C99" s="78"/>
      <c r="D99" s="196">
        <f>VLOOKUP(A99,'Converted IS (C)'!$A$9:$T$295,20,FALSE)</f>
        <v>0</v>
      </c>
      <c r="E99" s="112">
        <v>0</v>
      </c>
      <c r="F99" s="112"/>
      <c r="G99" s="112"/>
      <c r="H99" s="203"/>
      <c r="I99" s="80" t="s">
        <v>182</v>
      </c>
      <c r="J99" s="112">
        <f t="shared" si="7"/>
        <v>0</v>
      </c>
      <c r="K99" s="117"/>
      <c r="L99" s="98"/>
      <c r="M99" s="105"/>
    </row>
    <row r="100" spans="1:13">
      <c r="A100" s="130">
        <v>42315</v>
      </c>
      <c r="B100" s="131" t="s">
        <v>29</v>
      </c>
      <c r="C100" s="91"/>
      <c r="D100" s="197">
        <f t="shared" ref="D100:G100" si="9">SUM(D99)</f>
        <v>0</v>
      </c>
      <c r="E100" s="132">
        <f t="shared" si="9"/>
        <v>0</v>
      </c>
      <c r="F100" s="132">
        <f t="shared" si="9"/>
        <v>0</v>
      </c>
      <c r="G100" s="132">
        <f t="shared" si="9"/>
        <v>0</v>
      </c>
      <c r="H100" s="204"/>
      <c r="I100" s="92"/>
      <c r="J100" s="112">
        <f t="shared" si="7"/>
        <v>0</v>
      </c>
      <c r="K100" s="135"/>
      <c r="L100" s="127"/>
      <c r="M100" s="128"/>
    </row>
    <row r="101" spans="1:13">
      <c r="A101" s="111"/>
      <c r="B101" s="99"/>
      <c r="C101" s="80"/>
      <c r="D101" s="196"/>
      <c r="E101" s="112"/>
      <c r="F101" s="112"/>
      <c r="G101" s="112"/>
      <c r="H101" s="203"/>
      <c r="I101" s="80"/>
      <c r="J101" s="112">
        <f t="shared" si="7"/>
        <v>0</v>
      </c>
      <c r="K101" s="148"/>
      <c r="L101" s="97"/>
      <c r="M101" s="102"/>
    </row>
    <row r="102" spans="1:13">
      <c r="A102" s="134">
        <v>52142</v>
      </c>
      <c r="B102" s="99" t="s">
        <v>52</v>
      </c>
      <c r="C102" s="78"/>
      <c r="D102" s="196">
        <f>VLOOKUP(A102,'Converted IS (C)'!$A$9:$T$295,20,FALSE)</f>
        <v>856901.76343685517</v>
      </c>
      <c r="E102" s="112">
        <f>D102*'Ratios (C)'!$P$36</f>
        <v>580887.99823186162</v>
      </c>
      <c r="F102" s="112">
        <f>D102*'Ratios (C)'!$Q$36</f>
        <v>188450.25215860017</v>
      </c>
      <c r="G102" s="112">
        <f>D102*'Ratios (C)'!$R$36</f>
        <v>87563.513046393491</v>
      </c>
      <c r="H102" s="203"/>
      <c r="I102" s="80" t="s">
        <v>370</v>
      </c>
      <c r="J102" s="112">
        <f t="shared" si="7"/>
        <v>0</v>
      </c>
      <c r="K102" s="148"/>
      <c r="L102" s="97"/>
      <c r="M102" s="102"/>
    </row>
    <row r="103" spans="1:13">
      <c r="A103" s="134">
        <v>55142</v>
      </c>
      <c r="B103" s="99" t="s">
        <v>52</v>
      </c>
      <c r="C103" s="78"/>
      <c r="D103" s="196">
        <f>VLOOKUP(A103,'Converted IS (C)'!$A$9:$T$295,20,FALSE)</f>
        <v>2688.7992520786065</v>
      </c>
      <c r="E103" s="112">
        <f>D103*'Ratios (C)'!$P$36</f>
        <v>1822.7191048397972</v>
      </c>
      <c r="F103" s="112">
        <f>D103*'Ratios (C)'!$Q$36</f>
        <v>591.32203792623875</v>
      </c>
      <c r="G103" s="112">
        <f>D103*'Ratios (C)'!$R$36</f>
        <v>274.75810931257081</v>
      </c>
      <c r="H103" s="203"/>
      <c r="I103" s="80" t="s">
        <v>370</v>
      </c>
      <c r="J103" s="112">
        <f t="shared" si="7"/>
        <v>0</v>
      </c>
      <c r="K103" s="148"/>
      <c r="L103" s="97"/>
      <c r="M103" s="102"/>
    </row>
    <row r="104" spans="1:13">
      <c r="A104" s="134">
        <v>52144</v>
      </c>
      <c r="B104" s="99" t="s">
        <v>53</v>
      </c>
      <c r="C104" s="78"/>
      <c r="D104" s="196">
        <f>VLOOKUP(A104,'Converted IS (C)'!$A$9:$T$295,20,FALSE)</f>
        <v>15030.334494902621</v>
      </c>
      <c r="E104" s="112">
        <f>D104*'Ratios (C)'!$P$36</f>
        <v>10188.963647923059</v>
      </c>
      <c r="F104" s="112">
        <f>D104*'Ratios (C)'!$Q$36</f>
        <v>3305.4784649200096</v>
      </c>
      <c r="G104" s="112">
        <f>D104*'Ratios (C)'!$R$36</f>
        <v>1535.8923820595539</v>
      </c>
      <c r="H104" s="203"/>
      <c r="I104" s="80" t="s">
        <v>370</v>
      </c>
      <c r="J104" s="112">
        <f t="shared" si="7"/>
        <v>0</v>
      </c>
      <c r="K104" s="148"/>
      <c r="L104" s="97"/>
      <c r="M104" s="102"/>
    </row>
    <row r="105" spans="1:13">
      <c r="A105" s="134">
        <v>52146</v>
      </c>
      <c r="B105" s="99" t="s">
        <v>54</v>
      </c>
      <c r="C105" s="78"/>
      <c r="D105" s="196">
        <f>VLOOKUP(A105,'Converted IS (C)'!$A$9:$T$295,20,FALSE)</f>
        <v>58052.278267622802</v>
      </c>
      <c r="E105" s="112">
        <f>D105*'Ratios (C)'!$P$36</f>
        <v>39353.252793443884</v>
      </c>
      <c r="F105" s="112">
        <f>D105*'Ratios (C)'!$Q$36</f>
        <v>12766.885242523957</v>
      </c>
      <c r="G105" s="112">
        <f>D105*'Ratios (C)'!$R$36</f>
        <v>5932.1402316549656</v>
      </c>
      <c r="H105" s="203"/>
      <c r="I105" s="80" t="s">
        <v>370</v>
      </c>
      <c r="J105" s="112">
        <f t="shared" si="7"/>
        <v>0</v>
      </c>
      <c r="K105" s="148"/>
    </row>
    <row r="106" spans="1:13">
      <c r="A106" s="134"/>
      <c r="B106" s="99"/>
      <c r="C106" s="78"/>
      <c r="D106" s="196"/>
      <c r="E106" s="112"/>
      <c r="F106" s="112"/>
      <c r="G106" s="112"/>
      <c r="H106" s="203"/>
      <c r="I106" s="80"/>
      <c r="J106" s="112"/>
      <c r="K106" s="148"/>
    </row>
    <row r="107" spans="1:13">
      <c r="A107" s="130">
        <v>42400</v>
      </c>
      <c r="B107" s="131" t="s">
        <v>55</v>
      </c>
      <c r="C107" s="91"/>
      <c r="D107" s="197">
        <f>SUM(D102:D106)</f>
        <v>932673.17545145925</v>
      </c>
      <c r="E107" s="132">
        <f>SUM(E102:E106)</f>
        <v>632252.9337780684</v>
      </c>
      <c r="F107" s="132">
        <f>SUM(F102:F106)</f>
        <v>205113.93790397036</v>
      </c>
      <c r="G107" s="132">
        <f>SUM(G102:G106)</f>
        <v>95306.303769420585</v>
      </c>
      <c r="H107" s="204"/>
      <c r="I107" s="92"/>
      <c r="J107" s="112">
        <f t="shared" si="7"/>
        <v>0</v>
      </c>
      <c r="K107" s="135"/>
      <c r="L107" s="127"/>
      <c r="M107" s="128"/>
    </row>
    <row r="108" spans="1:13">
      <c r="A108" s="111"/>
      <c r="B108" s="99"/>
      <c r="C108" s="80"/>
      <c r="D108" s="196"/>
      <c r="E108" s="112"/>
      <c r="F108" s="112"/>
      <c r="G108" s="112"/>
      <c r="H108" s="203"/>
      <c r="I108" s="80"/>
      <c r="J108" s="112">
        <f t="shared" si="7"/>
        <v>0</v>
      </c>
      <c r="K108" s="148"/>
      <c r="L108" s="97"/>
      <c r="M108" s="102"/>
    </row>
    <row r="109" spans="1:13">
      <c r="A109" s="111">
        <v>41121</v>
      </c>
      <c r="B109" s="99" t="s">
        <v>56</v>
      </c>
      <c r="C109" s="78"/>
      <c r="D109" s="196">
        <f>VLOOKUP(A109,'Converted IS (C)'!$A$9:$T$295,20,FALSE)</f>
        <v>0</v>
      </c>
      <c r="E109" s="112"/>
      <c r="F109" s="112"/>
      <c r="G109" s="112"/>
      <c r="H109" s="203"/>
      <c r="I109" s="80" t="s">
        <v>310</v>
      </c>
      <c r="J109" s="112">
        <f t="shared" si="7"/>
        <v>0</v>
      </c>
      <c r="K109" s="1033"/>
      <c r="L109" s="97"/>
      <c r="M109" s="102"/>
    </row>
    <row r="110" spans="1:13">
      <c r="A110" s="111">
        <v>41129</v>
      </c>
      <c r="B110" s="99" t="s">
        <v>57</v>
      </c>
      <c r="C110" s="78"/>
      <c r="D110" s="196">
        <f>VLOOKUP(A110,'Converted IS (C)'!$A$9:$T$295,20,FALSE)</f>
        <v>52996.348744285824</v>
      </c>
      <c r="E110" s="112">
        <f>D110</f>
        <v>52996.348744285824</v>
      </c>
      <c r="F110" s="112"/>
      <c r="G110" s="112"/>
      <c r="H110" s="203"/>
      <c r="I110" s="80" t="s">
        <v>310</v>
      </c>
      <c r="J110" s="112">
        <f>SUM(E110:H110)-D110</f>
        <v>0</v>
      </c>
      <c r="K110" s="510"/>
      <c r="L110" s="97"/>
      <c r="M110" s="102"/>
    </row>
    <row r="111" spans="1:13">
      <c r="A111" s="111">
        <v>44161</v>
      </c>
      <c r="B111" s="99" t="s">
        <v>58</v>
      </c>
      <c r="C111" s="78"/>
      <c r="D111" s="196">
        <f>VLOOKUP(A111,'Converted IS (C)'!$A$9:$T$295,20,FALSE)</f>
        <v>0</v>
      </c>
      <c r="E111" s="112"/>
      <c r="F111" s="112"/>
      <c r="G111" s="112"/>
      <c r="H111" s="203"/>
      <c r="I111" s="80" t="s">
        <v>310</v>
      </c>
      <c r="J111" s="112">
        <f t="shared" si="7"/>
        <v>0</v>
      </c>
      <c r="K111" s="148"/>
      <c r="L111" s="97"/>
      <c r="M111" s="102"/>
    </row>
    <row r="112" spans="1:13">
      <c r="A112" s="111">
        <v>44168</v>
      </c>
      <c r="B112" s="99" t="s">
        <v>59</v>
      </c>
      <c r="C112" s="78"/>
      <c r="D112" s="196">
        <f>VLOOKUP(A112,'Converted IS (C)'!$A$9:$T$295,20,FALSE)</f>
        <v>60776.512800000004</v>
      </c>
      <c r="E112" s="112"/>
      <c r="F112" s="112">
        <f>D112</f>
        <v>60776.512800000004</v>
      </c>
      <c r="G112" s="112"/>
      <c r="H112" s="203"/>
      <c r="I112" s="80" t="s">
        <v>310</v>
      </c>
      <c r="J112" s="112">
        <f t="shared" si="7"/>
        <v>0</v>
      </c>
      <c r="K112" s="510"/>
      <c r="L112" s="97"/>
      <c r="M112" s="102"/>
    </row>
    <row r="113" spans="1:13">
      <c r="A113" s="111">
        <v>44169</v>
      </c>
      <c r="B113" s="99" t="s">
        <v>537</v>
      </c>
      <c r="C113" s="78"/>
      <c r="D113" s="196">
        <f>VLOOKUP(A113,'Converted IS (C)'!$A$9:$T$295,20,FALSE)</f>
        <v>3503.2704241118845</v>
      </c>
      <c r="E113" s="112">
        <f>$D113*'Ratios (C)'!$P$6</f>
        <v>1482.2152424373166</v>
      </c>
      <c r="F113" s="112">
        <f>$D113*'Ratios (C)'!$Q$6</f>
        <v>1390.7283606502758</v>
      </c>
      <c r="G113" s="112">
        <f>$D113*'Ratios (C)'!$R$6</f>
        <v>630.3268210242918</v>
      </c>
      <c r="H113" s="203"/>
      <c r="I113" s="80" t="s">
        <v>371</v>
      </c>
      <c r="J113" s="112">
        <f t="shared" si="7"/>
        <v>0</v>
      </c>
      <c r="K113" s="510"/>
      <c r="L113" s="97"/>
      <c r="M113" s="102"/>
    </row>
    <row r="114" spans="1:13">
      <c r="A114" s="134">
        <v>50086</v>
      </c>
      <c r="B114" s="99" t="s">
        <v>39</v>
      </c>
      <c r="C114" s="78"/>
      <c r="D114" s="196">
        <f>VLOOKUP(A114,'Converted IS (C)'!$A$9:$T$295,20,FALSE)</f>
        <v>90839.313763520215</v>
      </c>
      <c r="E114" s="112">
        <f>D114*'Ratios (C)'!$P$36</f>
        <v>61579.365785417329</v>
      </c>
      <c r="F114" s="112">
        <f>D114*'Ratios (C)'!$Q$36</f>
        <v>19977.42601904571</v>
      </c>
      <c r="G114" s="112">
        <f>D114*'Ratios (C)'!$R$36</f>
        <v>9282.5219590571851</v>
      </c>
      <c r="H114" s="203"/>
      <c r="I114" s="80" t="s">
        <v>370</v>
      </c>
      <c r="J114" s="112">
        <f t="shared" si="7"/>
        <v>0</v>
      </c>
      <c r="K114" s="438"/>
      <c r="L114" s="126"/>
      <c r="M114" s="143"/>
    </row>
    <row r="115" spans="1:13">
      <c r="A115" s="134">
        <v>50090</v>
      </c>
      <c r="B115" s="99" t="s">
        <v>41</v>
      </c>
      <c r="C115" s="78"/>
      <c r="D115" s="196">
        <f>VLOOKUP(A115,'Converted IS (C)'!$A$9:$T$295,20,FALSE)</f>
        <v>32913.445929978225</v>
      </c>
      <c r="E115" s="112">
        <f>D115*'Ratios (C)'!$P$36</f>
        <v>22311.805783308482</v>
      </c>
      <c r="F115" s="112">
        <f>D115*'Ratios (C)'!$Q$36</f>
        <v>7238.341020603948</v>
      </c>
      <c r="G115" s="112">
        <f>D115*'Ratios (C)'!$R$36</f>
        <v>3363.2991260657968</v>
      </c>
      <c r="H115" s="203"/>
      <c r="I115" s="80" t="s">
        <v>370</v>
      </c>
      <c r="J115" s="112">
        <f t="shared" si="7"/>
        <v>0</v>
      </c>
      <c r="K115" s="148"/>
      <c r="L115" s="97"/>
      <c r="M115" s="102"/>
    </row>
    <row r="116" spans="1:13">
      <c r="A116" s="134">
        <v>52185</v>
      </c>
      <c r="B116" s="99" t="s">
        <v>60</v>
      </c>
      <c r="C116" s="78"/>
      <c r="D116" s="196">
        <f>VLOOKUP(A116,'Converted IS (C)'!$A$9:$T$295,20,FALSE)</f>
        <v>0</v>
      </c>
      <c r="E116" s="112">
        <f>D116*'Ratios (C)'!$P$36</f>
        <v>0</v>
      </c>
      <c r="F116" s="112">
        <f>D116*'Ratios (C)'!$Q$36</f>
        <v>0</v>
      </c>
      <c r="G116" s="112">
        <f>D116*'Ratios (C)'!$R$36</f>
        <v>0</v>
      </c>
      <c r="H116" s="203"/>
      <c r="I116" s="80" t="s">
        <v>370</v>
      </c>
      <c r="J116" s="112">
        <f t="shared" si="7"/>
        <v>0</v>
      </c>
      <c r="K116" s="148"/>
      <c r="L116" s="97"/>
      <c r="M116" s="102"/>
    </row>
    <row r="117" spans="1:13">
      <c r="A117" s="134">
        <v>55086</v>
      </c>
      <c r="B117" s="99" t="s">
        <v>61</v>
      </c>
      <c r="C117" s="78"/>
      <c r="D117" s="196">
        <f>VLOOKUP(A117,'Converted IS (C)'!$A$9:$T$295,20,FALSE)</f>
        <v>2555.6317471799157</v>
      </c>
      <c r="E117" s="112">
        <f>D117*'Ratios (C)'!$P$36</f>
        <v>1732.4457402012702</v>
      </c>
      <c r="F117" s="112">
        <f>D117*'Ratios (C)'!$Q$36</f>
        <v>562.03577554671313</v>
      </c>
      <c r="G117" s="112">
        <f>D117*'Ratios (C)'!$R$36</f>
        <v>261.15023143193264</v>
      </c>
      <c r="H117" s="203"/>
      <c r="I117" s="80" t="s">
        <v>370</v>
      </c>
      <c r="J117" s="112">
        <f t="shared" si="7"/>
        <v>0</v>
      </c>
      <c r="K117" s="148"/>
      <c r="L117" s="97"/>
      <c r="M117" s="102"/>
    </row>
    <row r="118" spans="1:13">
      <c r="A118" s="134">
        <v>55090</v>
      </c>
      <c r="B118" s="99" t="s">
        <v>41</v>
      </c>
      <c r="C118" s="78"/>
      <c r="D118" s="196">
        <f>VLOOKUP(A118,'Converted IS (C)'!$A$9:$T$295,20,FALSE)</f>
        <v>4135.6649079881836</v>
      </c>
      <c r="E118" s="112">
        <f>D118*'Ratios (C)'!$P$36</f>
        <v>2803.5396964567467</v>
      </c>
      <c r="F118" s="112">
        <f>D118*'Ratios (C)'!$Q$36</f>
        <v>909.51743596368328</v>
      </c>
      <c r="G118" s="112">
        <f>D118*'Ratios (C)'!$R$36</f>
        <v>422.60777556775395</v>
      </c>
      <c r="H118" s="203"/>
      <c r="I118" s="80" t="s">
        <v>370</v>
      </c>
      <c r="J118" s="112">
        <f t="shared" si="7"/>
        <v>0</v>
      </c>
      <c r="K118" s="148"/>
      <c r="L118" s="97"/>
      <c r="M118" s="102"/>
    </row>
    <row r="119" spans="1:13">
      <c r="A119" s="134">
        <v>56090</v>
      </c>
      <c r="B119" s="99" t="s">
        <v>40</v>
      </c>
      <c r="C119" s="78"/>
      <c r="D119" s="196">
        <f>VLOOKUP(A119,'Converted IS (C)'!$A$9:$T$295,20,FALSE)</f>
        <v>907.22114916244368</v>
      </c>
      <c r="E119" s="112">
        <f>D119*'Ratios (C)'!$P$36</f>
        <v>614.99917467425666</v>
      </c>
      <c r="F119" s="112">
        <f>D119*'Ratios (C)'!$Q$36</f>
        <v>199.51651591609306</v>
      </c>
      <c r="G119" s="112">
        <f>D119*'Ratios (C)'!$R$36</f>
        <v>92.705458572094074</v>
      </c>
      <c r="H119" s="203"/>
      <c r="I119" s="80" t="s">
        <v>370</v>
      </c>
      <c r="J119" s="112">
        <f t="shared" si="7"/>
        <v>0</v>
      </c>
      <c r="K119" s="148"/>
      <c r="L119" s="97"/>
      <c r="M119" s="102"/>
    </row>
    <row r="120" spans="1:13">
      <c r="A120" s="134">
        <v>56200</v>
      </c>
      <c r="B120" s="99" t="s">
        <v>60</v>
      </c>
      <c r="C120" s="78"/>
      <c r="D120" s="196">
        <f>VLOOKUP(A120,'Converted IS (C)'!$A$9:$T$295,20,FALSE)</f>
        <v>72.187944545940766</v>
      </c>
      <c r="E120" s="112">
        <f>D120*'Ratios (C)'!$P$36</f>
        <v>48.935726816081178</v>
      </c>
      <c r="F120" s="112">
        <f>D120*'Ratios (C)'!$Q$36</f>
        <v>15.875607838559484</v>
      </c>
      <c r="G120" s="112">
        <f>D120*'Ratios (C)'!$R$36</f>
        <v>7.3766098913001112</v>
      </c>
      <c r="H120" s="203"/>
      <c r="I120" s="80" t="s">
        <v>370</v>
      </c>
      <c r="J120" s="112">
        <f t="shared" si="7"/>
        <v>0</v>
      </c>
      <c r="K120" s="148"/>
      <c r="L120" s="97"/>
      <c r="M120" s="102"/>
    </row>
    <row r="121" spans="1:13">
      <c r="A121" s="134">
        <v>56201</v>
      </c>
      <c r="B121" s="99" t="s">
        <v>64</v>
      </c>
      <c r="C121" s="78"/>
      <c r="D121" s="196">
        <f>VLOOKUP(A121,'Converted IS (C)'!$A$9:$T$295,20,FALSE)</f>
        <v>204.97783160044972</v>
      </c>
      <c r="E121" s="112">
        <f>D121*'Ratios (C)'!$P$36</f>
        <v>138.95310683307636</v>
      </c>
      <c r="F121" s="112">
        <f>D121*'Ratios (C)'!$Q$36</f>
        <v>45.078824318319107</v>
      </c>
      <c r="G121" s="112">
        <f>D121*'Ratios (C)'!$R$36</f>
        <v>20.945900449054278</v>
      </c>
      <c r="H121" s="203"/>
      <c r="I121" s="80" t="s">
        <v>370</v>
      </c>
      <c r="J121" s="112">
        <f t="shared" si="7"/>
        <v>0</v>
      </c>
      <c r="K121" s="148"/>
      <c r="L121" s="97"/>
      <c r="M121" s="102"/>
    </row>
    <row r="122" spans="1:13">
      <c r="A122" s="134">
        <v>57255</v>
      </c>
      <c r="B122" s="99" t="s">
        <v>65</v>
      </c>
      <c r="C122" s="78"/>
      <c r="D122" s="196">
        <f>VLOOKUP(A122,'Converted IS (C)'!$A$9:$T$295,20,FALSE)</f>
        <v>3014.2028470778791</v>
      </c>
      <c r="E122" s="112">
        <f>D122*'Ratios (C)'!$P$36</f>
        <v>2043.3080346121515</v>
      </c>
      <c r="F122" s="112">
        <f>D122*'Ratios (C)'!$Q$36</f>
        <v>662.88495464259199</v>
      </c>
      <c r="G122" s="112">
        <f>D122*'Ratios (C)'!$R$36</f>
        <v>308.00985782313597</v>
      </c>
      <c r="H122" s="203"/>
      <c r="I122" s="80" t="s">
        <v>370</v>
      </c>
      <c r="J122" s="112">
        <f t="shared" si="7"/>
        <v>0</v>
      </c>
      <c r="K122" s="148"/>
      <c r="L122" s="97"/>
      <c r="M122" s="102"/>
    </row>
    <row r="123" spans="1:13">
      <c r="A123" s="134"/>
      <c r="B123" s="99"/>
      <c r="C123" s="78"/>
      <c r="D123" s="196"/>
      <c r="E123" s="112"/>
      <c r="F123" s="112"/>
      <c r="G123" s="112"/>
      <c r="H123" s="203"/>
      <c r="I123" s="80"/>
      <c r="J123" s="112"/>
      <c r="K123" s="148"/>
      <c r="L123" s="97"/>
      <c r="M123" s="102"/>
    </row>
    <row r="124" spans="1:13">
      <c r="A124" s="130">
        <v>42800</v>
      </c>
      <c r="B124" s="131" t="s">
        <v>66</v>
      </c>
      <c r="C124" s="91"/>
      <c r="D124" s="197">
        <f>SUM(D109:D123)</f>
        <v>251918.77808945096</v>
      </c>
      <c r="E124" s="132">
        <f>SUM(E109:E123)</f>
        <v>145751.91703504251</v>
      </c>
      <c r="F124" s="132">
        <f>SUM(F109:F123)</f>
        <v>91777.917314525897</v>
      </c>
      <c r="G124" s="132">
        <f>SUM(G109:G123)</f>
        <v>14388.943739882545</v>
      </c>
      <c r="H124" s="204"/>
      <c r="I124" s="92"/>
      <c r="J124" s="112">
        <f t="shared" si="7"/>
        <v>0</v>
      </c>
      <c r="K124" s="135"/>
      <c r="L124" s="127"/>
      <c r="M124" s="128"/>
    </row>
    <row r="125" spans="1:13">
      <c r="A125" s="111"/>
      <c r="B125" s="99"/>
      <c r="C125" s="80"/>
      <c r="D125" s="196"/>
      <c r="E125" s="112"/>
      <c r="F125" s="112"/>
      <c r="G125" s="112"/>
      <c r="H125" s="203"/>
      <c r="I125" s="80"/>
      <c r="J125" s="112">
        <f t="shared" si="7"/>
        <v>0</v>
      </c>
      <c r="K125" s="438"/>
      <c r="L125" s="126"/>
      <c r="M125" s="143"/>
    </row>
    <row r="126" spans="1:13">
      <c r="A126" s="134">
        <v>40109</v>
      </c>
      <c r="B126" s="99" t="s">
        <v>67</v>
      </c>
      <c r="C126" s="78"/>
      <c r="D126" s="196">
        <f>VLOOKUP(A126,'Converted IS (C)'!$A$9:$T$295,20,FALSE)</f>
        <v>13205213.086950002</v>
      </c>
      <c r="E126" s="112">
        <f>D126</f>
        <v>13205213.086950002</v>
      </c>
      <c r="F126" s="112"/>
      <c r="G126" s="112"/>
      <c r="H126" s="112"/>
      <c r="I126" s="1230"/>
      <c r="J126" s="112">
        <f>SUM(E126:H126)-D126</f>
        <v>0</v>
      </c>
      <c r="K126" s="1031">
        <f>F126-J126</f>
        <v>0</v>
      </c>
      <c r="L126" s="428"/>
      <c r="M126" s="545"/>
    </row>
    <row r="127" spans="1:13">
      <c r="A127" s="134"/>
      <c r="B127" s="99" t="s">
        <v>7</v>
      </c>
      <c r="C127" s="78"/>
      <c r="D127" s="196">
        <f>'Converted IS (C)'!T127</f>
        <v>3335814.5460499991</v>
      </c>
      <c r="E127" s="112">
        <f>'Restating Adj'!B37+E15+'Pro forma Adj'!D63</f>
        <v>3335814.5460499991</v>
      </c>
      <c r="F127" s="112"/>
      <c r="G127" s="112"/>
      <c r="H127" s="203"/>
      <c r="I127" s="80"/>
      <c r="J127" s="112">
        <f t="shared" si="7"/>
        <v>0</v>
      </c>
      <c r="K127" s="148"/>
      <c r="L127" s="97"/>
      <c r="M127" s="102"/>
    </row>
    <row r="128" spans="1:13">
      <c r="A128" s="134">
        <v>40122</v>
      </c>
      <c r="B128" s="99" t="s">
        <v>68</v>
      </c>
      <c r="C128" s="78"/>
      <c r="D128" s="196">
        <f>VLOOKUP(A128,'Converted IS (C)'!$A$9:$T$295,20,FALSE)</f>
        <v>0</v>
      </c>
      <c r="E128" s="112"/>
      <c r="F128" s="112"/>
      <c r="G128" s="112"/>
      <c r="H128" s="203"/>
      <c r="J128" s="112">
        <f t="shared" si="7"/>
        <v>0</v>
      </c>
      <c r="K128" s="509"/>
      <c r="L128" s="97"/>
      <c r="M128" s="102"/>
    </row>
    <row r="129" spans="1:13">
      <c r="A129" s="130">
        <v>43600</v>
      </c>
      <c r="B129" s="131" t="s">
        <v>69</v>
      </c>
      <c r="C129" s="91"/>
      <c r="D129" s="197">
        <f>SUM(D126:D128)</f>
        <v>16541027.633000001</v>
      </c>
      <c r="E129" s="132">
        <f>SUM(E126:E128)</f>
        <v>16541027.633000001</v>
      </c>
      <c r="F129" s="132">
        <f>SUM(F126:F128)</f>
        <v>0</v>
      </c>
      <c r="G129" s="132">
        <f>SUM(G126:G128)</f>
        <v>0</v>
      </c>
      <c r="H129" s="204"/>
      <c r="I129" s="92"/>
      <c r="J129" s="112">
        <f t="shared" si="7"/>
        <v>0</v>
      </c>
      <c r="K129" s="135"/>
      <c r="L129" s="127"/>
      <c r="M129" s="128"/>
    </row>
    <row r="130" spans="1:13">
      <c r="A130" s="138"/>
      <c r="B130" s="110"/>
      <c r="C130" s="89"/>
      <c r="D130" s="200"/>
      <c r="E130" s="121"/>
      <c r="F130" s="112"/>
      <c r="G130" s="112"/>
      <c r="H130" s="203"/>
      <c r="I130" s="80"/>
      <c r="J130" s="112">
        <f t="shared" si="7"/>
        <v>0</v>
      </c>
      <c r="K130" s="148"/>
      <c r="L130" s="97"/>
      <c r="M130" s="102"/>
    </row>
    <row r="131" spans="1:13">
      <c r="A131" s="138"/>
      <c r="B131" s="110"/>
      <c r="C131" s="89"/>
      <c r="D131" s="200"/>
      <c r="E131" s="121"/>
      <c r="F131" s="112"/>
      <c r="G131" s="112"/>
      <c r="H131" s="203"/>
      <c r="I131" s="80"/>
      <c r="J131" s="112">
        <f t="shared" si="7"/>
        <v>0</v>
      </c>
      <c r="K131" s="148"/>
    </row>
    <row r="132" spans="1:13">
      <c r="A132" s="111">
        <v>60010</v>
      </c>
      <c r="B132" s="99" t="s">
        <v>17</v>
      </c>
      <c r="C132" s="78"/>
      <c r="D132" s="196">
        <f>VLOOKUP(A132,'Converted IS (C)'!$A$9:$T$295,20,FALSE)</f>
        <v>65643.673184132174</v>
      </c>
      <c r="E132" s="112">
        <f>D132*'Ratios (C)'!$P$7</f>
        <v>33867.025046550472</v>
      </c>
      <c r="F132" s="112">
        <f>D132*'Ratios (C)'!$Q$7</f>
        <v>31776.648137581698</v>
      </c>
      <c r="G132" s="112"/>
      <c r="H132" s="203"/>
      <c r="I132" s="80" t="s">
        <v>2781</v>
      </c>
      <c r="J132" s="112">
        <f t="shared" si="7"/>
        <v>0</v>
      </c>
      <c r="K132" s="510"/>
      <c r="L132" s="97"/>
      <c r="M132" s="102"/>
    </row>
    <row r="133" spans="1:13">
      <c r="A133" s="111">
        <v>60060</v>
      </c>
      <c r="B133" s="99" t="s">
        <v>70</v>
      </c>
      <c r="C133" s="78"/>
      <c r="D133" s="196">
        <f>VLOOKUP(A133,'Converted IS (C)'!$A$9:$T$295,20,FALSE)</f>
        <v>8834.173046986034</v>
      </c>
      <c r="E133" s="112">
        <f>D133*'Ratios (C)'!$P$7</f>
        <v>4557.7455577266301</v>
      </c>
      <c r="F133" s="112">
        <f>D133*'Ratios (C)'!$Q$7</f>
        <v>4276.427489259404</v>
      </c>
      <c r="G133" s="112"/>
      <c r="H133" s="203"/>
      <c r="I133" s="80" t="s">
        <v>2781</v>
      </c>
      <c r="J133" s="112">
        <f t="shared" ref="J133:J136" si="10">SUM(E133:H133)-D133</f>
        <v>0</v>
      </c>
      <c r="K133" s="148"/>
      <c r="L133" s="97"/>
      <c r="M133" s="102"/>
    </row>
    <row r="134" spans="1:13">
      <c r="A134" s="111">
        <v>60070</v>
      </c>
      <c r="B134" s="99" t="s">
        <v>23</v>
      </c>
      <c r="C134" s="78"/>
      <c r="D134" s="196">
        <f>VLOOKUP(A134,'Converted IS (C)'!$A$9:$T$295,20,FALSE)</f>
        <v>88.132726069713129</v>
      </c>
      <c r="E134" s="112">
        <f>D134*'Ratios (C)'!$P$7</f>
        <v>45.4696255776444</v>
      </c>
      <c r="F134" s="112">
        <f>D134*'Ratios (C)'!$Q$7</f>
        <v>42.663100492068722</v>
      </c>
      <c r="G134" s="112"/>
      <c r="H134" s="203"/>
      <c r="I134" s="80" t="s">
        <v>2781</v>
      </c>
      <c r="J134" s="112">
        <f t="shared" si="10"/>
        <v>0</v>
      </c>
      <c r="K134" s="148"/>
      <c r="L134" s="97"/>
      <c r="M134" s="102"/>
    </row>
    <row r="135" spans="1:13">
      <c r="A135" s="134">
        <v>60201</v>
      </c>
      <c r="B135" s="99" t="s">
        <v>72</v>
      </c>
      <c r="C135" s="78"/>
      <c r="D135" s="196">
        <f>VLOOKUP(A135,'Converted IS (C)'!$A$9:$T$295,20,FALSE)</f>
        <v>29.070677925437987</v>
      </c>
      <c r="E135" s="112">
        <f>D135*'Ratios (C)'!$P$7</f>
        <v>14.998206676511806</v>
      </c>
      <c r="F135" s="112">
        <f>D135*'Ratios (C)'!$Q$7</f>
        <v>14.072471248926179</v>
      </c>
      <c r="G135" s="112"/>
      <c r="H135" s="203"/>
      <c r="I135" s="80" t="s">
        <v>2781</v>
      </c>
      <c r="J135" s="112">
        <f t="shared" si="10"/>
        <v>0</v>
      </c>
      <c r="K135" s="438"/>
      <c r="L135" s="126"/>
      <c r="M135" s="143"/>
    </row>
    <row r="136" spans="1:13">
      <c r="A136" s="134">
        <v>60196</v>
      </c>
      <c r="B136" s="99" t="s">
        <v>128</v>
      </c>
      <c r="C136" s="78"/>
      <c r="D136" s="196">
        <f>VLOOKUP(A136,'Converted IS (C)'!$A$9:$T$295,20,FALSE)</f>
        <v>4591.2677312674659</v>
      </c>
      <c r="E136" s="112">
        <f>D136*'Ratios (C)'!$P$7</f>
        <v>2368.7367221833183</v>
      </c>
      <c r="F136" s="112">
        <f>D136*'Ratios (C)'!$Q$7</f>
        <v>2222.5310090841476</v>
      </c>
      <c r="G136" s="112"/>
      <c r="H136" s="203"/>
      <c r="I136" s="80" t="s">
        <v>2781</v>
      </c>
      <c r="J136" s="112">
        <f t="shared" si="10"/>
        <v>0</v>
      </c>
      <c r="K136" s="438"/>
      <c r="L136" s="126"/>
      <c r="M136" s="143"/>
    </row>
    <row r="137" spans="1:13">
      <c r="A137" s="130">
        <v>44000</v>
      </c>
      <c r="B137" s="131" t="s">
        <v>73</v>
      </c>
      <c r="C137" s="91"/>
      <c r="D137" s="197">
        <f>SUM(D132:D136)</f>
        <v>79186.317366380827</v>
      </c>
      <c r="E137" s="132">
        <f>SUM(E132:E136)</f>
        <v>40853.97515871458</v>
      </c>
      <c r="F137" s="132">
        <f>SUM(F132:F136)</f>
        <v>38332.342207666246</v>
      </c>
      <c r="G137" s="132">
        <f>SUM(G132:G136)</f>
        <v>0</v>
      </c>
      <c r="H137" s="204"/>
      <c r="I137" s="92"/>
      <c r="J137" s="112">
        <f t="shared" si="7"/>
        <v>0</v>
      </c>
      <c r="K137" s="135"/>
      <c r="L137" s="127"/>
      <c r="M137" s="128"/>
    </row>
    <row r="138" spans="1:13">
      <c r="A138" s="138"/>
      <c r="B138" s="110"/>
      <c r="C138" s="89"/>
      <c r="D138" s="200"/>
      <c r="E138" s="121"/>
      <c r="F138" s="112"/>
      <c r="G138" s="112"/>
      <c r="H138" s="203"/>
      <c r="I138" s="80"/>
      <c r="J138" s="112">
        <f t="shared" si="7"/>
        <v>0</v>
      </c>
      <c r="K138" s="148"/>
    </row>
    <row r="139" spans="1:13">
      <c r="A139" s="134">
        <v>43002</v>
      </c>
      <c r="B139" s="99" t="s">
        <v>74</v>
      </c>
      <c r="C139" s="78"/>
      <c r="D139" s="196">
        <f>VLOOKUP(A139,'Converted IS (C)'!$A$9:$T$295,20,FALSE)</f>
        <v>186284.30521598132</v>
      </c>
      <c r="E139" s="112">
        <f>$D$139*(E26/SUM($E$26:$G$26))</f>
        <v>157681.01731842454</v>
      </c>
      <c r="F139" s="112">
        <f>$D$139*(F26/SUM($E$26:$G$26))</f>
        <v>19311.936328565134</v>
      </c>
      <c r="G139" s="112">
        <f>$D$139*(G26/SUM($E$26:$G$26))</f>
        <v>9291.3515689916439</v>
      </c>
      <c r="H139" s="203"/>
      <c r="I139" s="80" t="s">
        <v>646</v>
      </c>
      <c r="J139" s="112">
        <f t="shared" si="7"/>
        <v>0</v>
      </c>
      <c r="K139" s="439"/>
    </row>
    <row r="140" spans="1:13">
      <c r="A140" s="130">
        <v>44300</v>
      </c>
      <c r="B140" s="131" t="s">
        <v>75</v>
      </c>
      <c r="C140" s="91"/>
      <c r="D140" s="197">
        <f t="shared" ref="D140:G140" si="11">SUM(D139)</f>
        <v>186284.30521598132</v>
      </c>
      <c r="E140" s="132">
        <f t="shared" si="11"/>
        <v>157681.01731842454</v>
      </c>
      <c r="F140" s="132">
        <f t="shared" si="11"/>
        <v>19311.936328565134</v>
      </c>
      <c r="G140" s="132">
        <f t="shared" si="11"/>
        <v>9291.3515689916439</v>
      </c>
      <c r="H140" s="204"/>
      <c r="I140" s="92"/>
      <c r="J140" s="112">
        <f t="shared" si="7"/>
        <v>0</v>
      </c>
      <c r="K140" s="135"/>
      <c r="L140" s="127"/>
      <c r="M140" s="128"/>
    </row>
    <row r="141" spans="1:13">
      <c r="A141" s="111"/>
      <c r="B141" s="99"/>
      <c r="C141" s="80"/>
      <c r="D141" s="196"/>
      <c r="E141" s="112"/>
      <c r="F141" s="112"/>
      <c r="G141" s="112"/>
      <c r="H141" s="203"/>
      <c r="I141" s="80"/>
      <c r="J141" s="112">
        <f t="shared" si="7"/>
        <v>0</v>
      </c>
      <c r="K141" s="148"/>
      <c r="L141" s="98"/>
      <c r="M141" s="105"/>
    </row>
    <row r="142" spans="1:13">
      <c r="A142" s="134">
        <v>60225</v>
      </c>
      <c r="B142" s="99" t="s">
        <v>77</v>
      </c>
      <c r="C142" s="78"/>
      <c r="D142" s="196">
        <f>VLOOKUP(A142,'Converted IS (C)'!$A$9:$T$295,20,FALSE)</f>
        <v>2470.4814135092297</v>
      </c>
      <c r="E142" s="112">
        <f>$D142*'Ratios (C)'!$P$6</f>
        <v>1045.2476583190887</v>
      </c>
      <c r="F142" s="112">
        <f>$D142*'Ratios (C)'!$Q$6</f>
        <v>980.73175926681995</v>
      </c>
      <c r="G142" s="112">
        <f>$D142*'Ratios (C)'!$R$6</f>
        <v>444.50199592332092</v>
      </c>
      <c r="H142" s="203"/>
      <c r="I142" s="80" t="s">
        <v>371</v>
      </c>
      <c r="J142" s="112">
        <f t="shared" si="7"/>
        <v>0</v>
      </c>
      <c r="K142" s="148"/>
      <c r="L142" s="97"/>
      <c r="M142" s="102"/>
    </row>
    <row r="143" spans="1:13">
      <c r="A143" s="134">
        <v>70225</v>
      </c>
      <c r="B143" s="99" t="s">
        <v>78</v>
      </c>
      <c r="C143" s="78"/>
      <c r="D143" s="196">
        <f>VLOOKUP(A143,'Converted IS (C)'!$A$9:$T$295,20,FALSE)</f>
        <v>88.989689059824087</v>
      </c>
      <c r="E143" s="112">
        <f>$D143*'Ratios (C)'!$P$6</f>
        <v>37.651068166588111</v>
      </c>
      <c r="F143" s="112">
        <f>$D143*'Ratios (C)'!$Q$6</f>
        <v>35.327128482329911</v>
      </c>
      <c r="G143" s="112">
        <f>$D143*'Ratios (C)'!$R$6</f>
        <v>16.011492410906065</v>
      </c>
      <c r="H143" s="203"/>
      <c r="I143" s="80" t="s">
        <v>371</v>
      </c>
      <c r="J143" s="112">
        <f t="shared" si="7"/>
        <v>0</v>
      </c>
      <c r="K143" s="148"/>
      <c r="L143" s="97"/>
      <c r="M143" s="102"/>
    </row>
    <row r="144" spans="1:13">
      <c r="A144" s="130">
        <v>44500</v>
      </c>
      <c r="B144" s="131" t="s">
        <v>79</v>
      </c>
      <c r="C144" s="91"/>
      <c r="D144" s="197">
        <f>SUM(D142:D143)</f>
        <v>2559.471102569054</v>
      </c>
      <c r="E144" s="132">
        <f>SUM(E142:E143)</f>
        <v>1082.8987264856769</v>
      </c>
      <c r="F144" s="132">
        <f>SUM(F142:F143)</f>
        <v>1016.0588877491499</v>
      </c>
      <c r="G144" s="132">
        <f>SUM(G142:G143)</f>
        <v>460.51348833422696</v>
      </c>
      <c r="H144" s="204"/>
      <c r="I144" s="92"/>
      <c r="J144" s="112">
        <f t="shared" ref="J144:J169" si="12">SUM(E144:H144)-D144</f>
        <v>0</v>
      </c>
      <c r="K144" s="135"/>
      <c r="L144" s="127"/>
      <c r="M144" s="128"/>
    </row>
    <row r="145" spans="1:13">
      <c r="A145" s="111"/>
      <c r="B145" s="99"/>
      <c r="C145" s="80"/>
      <c r="D145" s="196"/>
      <c r="E145" s="112"/>
      <c r="F145" s="112"/>
      <c r="G145" s="112"/>
      <c r="H145" s="203"/>
      <c r="I145" s="80"/>
      <c r="J145" s="112">
        <f t="shared" si="12"/>
        <v>0</v>
      </c>
      <c r="K145" s="148"/>
      <c r="L145" s="97"/>
      <c r="M145" s="102"/>
    </row>
    <row r="146" spans="1:13">
      <c r="A146" s="134">
        <v>59340</v>
      </c>
      <c r="B146" s="99" t="s">
        <v>80</v>
      </c>
      <c r="C146" s="78"/>
      <c r="D146" s="196">
        <f>VLOOKUP(A146,'Converted IS (C)'!$A$9:$T$295,20,FALSE)</f>
        <v>89601.059080590683</v>
      </c>
      <c r="E146" s="112">
        <f>D146*'Ratios (C)'!$P$36</f>
        <v>60739.961182976956</v>
      </c>
      <c r="F146" s="112">
        <f>D146*'Ratios (C)'!$Q$36</f>
        <v>19705.108447544022</v>
      </c>
      <c r="G146" s="112">
        <f>D146*'Ratios (C)'!$R$36</f>
        <v>9155.9894500697101</v>
      </c>
      <c r="H146" s="203"/>
      <c r="I146" s="80" t="s">
        <v>370</v>
      </c>
      <c r="J146" s="112">
        <f t="shared" si="12"/>
        <v>0</v>
      </c>
      <c r="K146" s="438"/>
      <c r="L146" s="126"/>
      <c r="M146" s="143"/>
    </row>
    <row r="147" spans="1:13">
      <c r="A147" s="134">
        <v>59341</v>
      </c>
      <c r="B147" s="99" t="s">
        <v>81</v>
      </c>
      <c r="C147" s="78"/>
      <c r="D147" s="196">
        <f>VLOOKUP(A147,'Converted IS (C)'!$A$9:$T$295,20,FALSE)</f>
        <v>96949.553821695969</v>
      </c>
      <c r="E147" s="112">
        <f>D147*'Ratios (C)'!$P$36</f>
        <v>65721.456824971363</v>
      </c>
      <c r="F147" s="112">
        <f>D147*'Ratios (C)'!$Q$36</f>
        <v>21321.192981427102</v>
      </c>
      <c r="G147" s="112">
        <f>D147*'Ratios (C)'!$R$36</f>
        <v>9906.9040152975158</v>
      </c>
      <c r="H147" s="203"/>
      <c r="I147" s="80" t="s">
        <v>370</v>
      </c>
      <c r="J147" s="112">
        <f t="shared" si="12"/>
        <v>0</v>
      </c>
      <c r="K147" s="148"/>
      <c r="L147" s="97"/>
      <c r="M147" s="102"/>
    </row>
    <row r="148" spans="1:13">
      <c r="A148" s="134">
        <v>59342</v>
      </c>
      <c r="B148" s="99" t="s">
        <v>82</v>
      </c>
      <c r="C148" s="78"/>
      <c r="D148" s="196">
        <f>VLOOKUP(A148,'Converted IS (C)'!$A$9:$T$295,20,FALSE)</f>
        <v>27206.015403376343</v>
      </c>
      <c r="E148" s="112">
        <f>D148*'Ratios (C)'!$P$36</f>
        <v>18442.776642385848</v>
      </c>
      <c r="F148" s="112">
        <f>D148*'Ratios (C)'!$Q$36</f>
        <v>5983.160126119682</v>
      </c>
      <c r="G148" s="112">
        <f>D148*'Ratios (C)'!$R$36</f>
        <v>2780.0786348708152</v>
      </c>
      <c r="H148" s="203"/>
      <c r="I148" s="80" t="s">
        <v>370</v>
      </c>
      <c r="J148" s="112">
        <f t="shared" si="12"/>
        <v>0</v>
      </c>
      <c r="K148" s="148"/>
      <c r="L148" s="97"/>
      <c r="M148" s="102"/>
    </row>
    <row r="149" spans="1:13">
      <c r="A149" s="134"/>
      <c r="B149" s="99"/>
      <c r="C149" s="78"/>
      <c r="D149" s="196"/>
      <c r="E149" s="112"/>
      <c r="F149" s="112"/>
      <c r="G149" s="112"/>
      <c r="H149" s="203"/>
      <c r="I149" s="80"/>
      <c r="J149" s="112"/>
      <c r="K149" s="148"/>
      <c r="L149" s="97"/>
      <c r="M149" s="102"/>
    </row>
    <row r="150" spans="1:13">
      <c r="A150" s="130">
        <v>45300</v>
      </c>
      <c r="B150" s="131" t="s">
        <v>83</v>
      </c>
      <c r="C150" s="91"/>
      <c r="D150" s="197">
        <f>SUM(D146:D149)</f>
        <v>213756.62830566298</v>
      </c>
      <c r="E150" s="132">
        <f>SUM(E146:E149)</f>
        <v>144904.19465033416</v>
      </c>
      <c r="F150" s="132">
        <f>SUM(F146:F149)</f>
        <v>47009.461555090813</v>
      </c>
      <c r="G150" s="132">
        <f>SUM(G146:G149)</f>
        <v>21842.972100238039</v>
      </c>
      <c r="H150" s="204"/>
      <c r="I150" s="92"/>
      <c r="J150" s="112">
        <f t="shared" si="12"/>
        <v>0</v>
      </c>
      <c r="K150" s="135"/>
      <c r="L150" s="127"/>
      <c r="M150" s="128"/>
    </row>
    <row r="151" spans="1:13">
      <c r="A151" s="134"/>
      <c r="B151" s="99"/>
      <c r="C151" s="80"/>
      <c r="D151" s="196"/>
      <c r="E151" s="112"/>
      <c r="F151" s="112"/>
      <c r="G151" s="112"/>
      <c r="H151" s="203"/>
      <c r="I151" s="80"/>
      <c r="J151" s="112">
        <f t="shared" si="12"/>
        <v>0</v>
      </c>
      <c r="K151" s="148"/>
      <c r="L151" s="97"/>
      <c r="M151" s="102"/>
    </row>
    <row r="152" spans="1:13" ht="12" customHeight="1">
      <c r="A152" s="134">
        <v>59343</v>
      </c>
      <c r="B152" s="99" t="s">
        <v>84</v>
      </c>
      <c r="C152" s="78"/>
      <c r="D152" s="196">
        <f>VLOOKUP(A152,'Converted IS (C)'!$A$9:$T$295,20,FALSE)</f>
        <v>31899.393259807475</v>
      </c>
      <c r="E152" s="112">
        <f>D152*'Ratios (C)'!$P$36</f>
        <v>21624.386232070079</v>
      </c>
      <c r="F152" s="112">
        <f>D152*'Ratios (C)'!$Q$36</f>
        <v>7015.3300646813886</v>
      </c>
      <c r="G152" s="112">
        <f>D152*'Ratios (C)'!$R$36</f>
        <v>3259.6769630560111</v>
      </c>
      <c r="H152" s="203"/>
      <c r="I152" s="80" t="s">
        <v>370</v>
      </c>
      <c r="J152" s="112">
        <f t="shared" si="12"/>
        <v>0</v>
      </c>
      <c r="K152" s="148"/>
      <c r="L152" s="97"/>
      <c r="M152" s="102"/>
    </row>
    <row r="153" spans="1:13">
      <c r="A153" s="134">
        <v>59344</v>
      </c>
      <c r="B153" s="99" t="s">
        <v>85</v>
      </c>
      <c r="C153" s="78"/>
      <c r="D153" s="196">
        <f>VLOOKUP(A153,'Converted IS (C)'!$A$9:$T$295,20,FALSE)</f>
        <v>-15066.826110208482</v>
      </c>
      <c r="E153" s="112">
        <f>D153*'Ratios (C)'!$P$36</f>
        <v>-10213.701070894684</v>
      </c>
      <c r="F153" s="112">
        <f>D153*'Ratios (C)'!$Q$36</f>
        <v>-3313.5037186882855</v>
      </c>
      <c r="G153" s="112">
        <f>D153*'Ratios (C)'!$R$36</f>
        <v>-1539.6213206255136</v>
      </c>
      <c r="H153" s="203"/>
      <c r="I153" s="80" t="s">
        <v>370</v>
      </c>
      <c r="J153" s="112">
        <f t="shared" si="12"/>
        <v>0</v>
      </c>
      <c r="K153" s="148"/>
      <c r="L153" s="97"/>
      <c r="M153" s="102"/>
    </row>
    <row r="154" spans="1:13">
      <c r="A154" s="134">
        <v>59500</v>
      </c>
      <c r="B154" s="99" t="s">
        <v>86</v>
      </c>
      <c r="C154" s="78"/>
      <c r="D154" s="196">
        <f>VLOOKUP(A154,'Converted IS (C)'!$A$9:$T$295,20,FALSE)</f>
        <v>21621.224853895983</v>
      </c>
      <c r="E154" s="112">
        <f>D154*'Ratios (C)'!$P$36</f>
        <v>14656.884325137835</v>
      </c>
      <c r="F154" s="112">
        <f>D154*'Ratios (C)'!$Q$36</f>
        <v>4754.950274991168</v>
      </c>
      <c r="G154" s="112">
        <f>D154*'Ratios (C)'!$R$36</f>
        <v>2209.3902537669824</v>
      </c>
      <c r="H154" s="203"/>
      <c r="I154" s="80" t="s">
        <v>370</v>
      </c>
      <c r="J154" s="112">
        <f t="shared" si="12"/>
        <v>0</v>
      </c>
      <c r="K154" s="438"/>
      <c r="L154" s="126"/>
      <c r="M154" s="143"/>
    </row>
    <row r="155" spans="1:13">
      <c r="A155" s="111">
        <v>57370</v>
      </c>
      <c r="B155" s="99" t="s">
        <v>87</v>
      </c>
      <c r="C155" s="78"/>
      <c r="D155" s="196">
        <f>VLOOKUP(A155,'Converted IS (C)'!$A$9:$T$295,20,FALSE)</f>
        <v>885.68548907914965</v>
      </c>
      <c r="E155" s="112">
        <f>D155*'Ratios (C)'!$P$36</f>
        <v>600.40029413722493</v>
      </c>
      <c r="F155" s="112">
        <f>D155*'Ratios (C)'!$Q$36</f>
        <v>194.78038308702611</v>
      </c>
      <c r="G155" s="112">
        <f>D155*'Ratios (C)'!$R$36</f>
        <v>90.504811854898733</v>
      </c>
      <c r="H155" s="203"/>
      <c r="I155" s="80" t="s">
        <v>370</v>
      </c>
      <c r="J155" s="112">
        <f t="shared" si="12"/>
        <v>0</v>
      </c>
      <c r="K155" s="148"/>
      <c r="L155" s="97"/>
      <c r="M155" s="102"/>
    </row>
    <row r="156" spans="1:13">
      <c r="A156" s="130">
        <v>45400</v>
      </c>
      <c r="B156" s="131" t="s">
        <v>88</v>
      </c>
      <c r="C156" s="91"/>
      <c r="D156" s="197">
        <f t="shared" ref="D156:G156" si="13">SUM(D152:D155)</f>
        <v>39339.477492574129</v>
      </c>
      <c r="E156" s="132">
        <f t="shared" si="13"/>
        <v>26667.969780450454</v>
      </c>
      <c r="F156" s="132">
        <f t="shared" si="13"/>
        <v>8651.5570040712955</v>
      </c>
      <c r="G156" s="132">
        <f t="shared" si="13"/>
        <v>4019.9507080523786</v>
      </c>
      <c r="H156" s="204"/>
      <c r="I156" s="92"/>
      <c r="J156" s="112">
        <f t="shared" si="12"/>
        <v>0</v>
      </c>
      <c r="K156" s="135"/>
      <c r="L156" s="127"/>
      <c r="M156" s="128"/>
    </row>
    <row r="157" spans="1:13">
      <c r="A157" s="111"/>
      <c r="B157" s="99"/>
      <c r="C157" s="80"/>
      <c r="D157" s="196"/>
      <c r="E157" s="112"/>
      <c r="F157" s="112"/>
      <c r="G157" s="112"/>
      <c r="H157" s="203"/>
      <c r="I157" s="80"/>
      <c r="J157" s="112">
        <f t="shared" si="12"/>
        <v>0</v>
      </c>
      <c r="K157" s="148"/>
      <c r="L157" s="97"/>
      <c r="M157" s="102"/>
    </row>
    <row r="158" spans="1:13">
      <c r="A158" s="134">
        <v>70010</v>
      </c>
      <c r="B158" s="99" t="s">
        <v>17</v>
      </c>
      <c r="C158" s="78"/>
      <c r="D158" s="196">
        <f>VLOOKUP(A158,'Converted IS (C)'!$A$9:$T$295,20,FALSE)</f>
        <v>587059.08772802923</v>
      </c>
      <c r="E158" s="112">
        <f>$D158*'Ratios (C)'!$P$6</f>
        <v>248381.60424410354</v>
      </c>
      <c r="F158" s="112">
        <f>$D158*'Ratios (C)'!$Q$6</f>
        <v>233050.72798878336</v>
      </c>
      <c r="G158" s="112">
        <f>$D158*'Ratios (C)'!$R$6</f>
        <v>105626.75549514231</v>
      </c>
      <c r="H158" s="203"/>
      <c r="I158" s="80" t="s">
        <v>371</v>
      </c>
      <c r="J158" s="112">
        <f t="shared" si="12"/>
        <v>0</v>
      </c>
      <c r="K158" s="438"/>
      <c r="L158" s="126"/>
      <c r="M158" s="143"/>
    </row>
    <row r="159" spans="1:13">
      <c r="A159" s="134">
        <v>70020</v>
      </c>
      <c r="B159" s="99" t="s">
        <v>25</v>
      </c>
      <c r="C159" s="78"/>
      <c r="D159" s="196">
        <f>VLOOKUP(A159,'Converted IS (C)'!$A$9:$T$295,20,FALSE)</f>
        <v>655483.54580014013</v>
      </c>
      <c r="E159" s="112">
        <f>$D159*'Ratios (C)'!$P$6</f>
        <v>277331.63162764668</v>
      </c>
      <c r="F159" s="112">
        <f>$D159*'Ratios (C)'!$Q$6</f>
        <v>260213.87067627211</v>
      </c>
      <c r="G159" s="112">
        <f>$D159*'Ratios (C)'!$R$6</f>
        <v>117938.0434962213</v>
      </c>
      <c r="H159" s="203"/>
      <c r="I159" s="80" t="s">
        <v>371</v>
      </c>
      <c r="J159" s="112">
        <f t="shared" si="12"/>
        <v>0</v>
      </c>
      <c r="K159" s="148"/>
      <c r="L159" s="97"/>
      <c r="M159" s="102"/>
    </row>
    <row r="160" spans="1:13">
      <c r="A160" s="134"/>
      <c r="B160" s="99"/>
      <c r="C160" s="78"/>
      <c r="D160" s="196"/>
      <c r="E160" s="112"/>
      <c r="F160" s="112"/>
      <c r="G160" s="112"/>
      <c r="H160" s="203"/>
      <c r="I160" s="80"/>
      <c r="J160" s="112"/>
      <c r="K160" s="148"/>
      <c r="L160" s="97"/>
      <c r="M160" s="102"/>
    </row>
    <row r="161" spans="1:13">
      <c r="A161" s="134">
        <v>70025</v>
      </c>
      <c r="B161" s="99" t="s">
        <v>50</v>
      </c>
      <c r="C161" s="78"/>
      <c r="D161" s="196">
        <f>VLOOKUP(A161,'Converted IS (C)'!$A$9:$T$295,20,FALSE)</f>
        <v>78114.607625513527</v>
      </c>
      <c r="E161" s="112">
        <f>$D161*'Ratios (C)'!$P$6</f>
        <v>33049.878559945457</v>
      </c>
      <c r="F161" s="112">
        <f>$D161*'Ratios (C)'!$Q$6</f>
        <v>31009.938444420935</v>
      </c>
      <c r="G161" s="112">
        <f>$D161*'Ratios (C)'!$R$6</f>
        <v>14054.790621147131</v>
      </c>
      <c r="H161" s="203"/>
      <c r="I161" s="80" t="s">
        <v>371</v>
      </c>
      <c r="J161" s="112">
        <f t="shared" si="12"/>
        <v>0</v>
      </c>
      <c r="K161" s="148"/>
      <c r="L161" s="97"/>
      <c r="M161" s="102"/>
    </row>
    <row r="162" spans="1:13">
      <c r="A162" s="134">
        <v>70035</v>
      </c>
      <c r="B162" s="99" t="s">
        <v>27</v>
      </c>
      <c r="C162" s="78"/>
      <c r="D162" s="196">
        <f>VLOOKUP(A162,'Converted IS (C)'!$A$9:$T$295,20,FALSE)</f>
        <v>3654.3838230080519</v>
      </c>
      <c r="E162" s="112">
        <f>$D162*'Ratios (C)'!$P$6</f>
        <v>1546.1505246350055</v>
      </c>
      <c r="F162" s="112">
        <f>$D162*'Ratios (C)'!$Q$6</f>
        <v>1450.7173606637232</v>
      </c>
      <c r="G162" s="112">
        <f>$D162*'Ratios (C)'!$R$6</f>
        <v>657.515937709323</v>
      </c>
      <c r="H162" s="203"/>
      <c r="I162" s="80" t="s">
        <v>371</v>
      </c>
      <c r="J162" s="112">
        <f t="shared" si="12"/>
        <v>0</v>
      </c>
      <c r="K162" s="148"/>
      <c r="L162" s="97"/>
      <c r="M162" s="102"/>
    </row>
    <row r="163" spans="1:13">
      <c r="A163" s="134">
        <v>70036</v>
      </c>
      <c r="B163" s="99" t="s">
        <v>90</v>
      </c>
      <c r="C163" s="78"/>
      <c r="D163" s="196">
        <f>VLOOKUP(A163,'Converted IS (C)'!$A$9:$T$295,20,FALSE)</f>
        <v>33046.512843313154</v>
      </c>
      <c r="E163" s="112">
        <f>$D163*'Ratios (C)'!$P$6</f>
        <v>13981.805317862883</v>
      </c>
      <c r="F163" s="112">
        <f>$D163*'Ratios (C)'!$Q$6</f>
        <v>13118.805307026847</v>
      </c>
      <c r="G163" s="112">
        <f>$D163*'Ratios (C)'!$R$6</f>
        <v>5945.9022184234209</v>
      </c>
      <c r="H163" s="203"/>
      <c r="I163" s="80" t="s">
        <v>371</v>
      </c>
      <c r="J163" s="112">
        <f t="shared" si="12"/>
        <v>0</v>
      </c>
      <c r="K163" s="438"/>
      <c r="L163" s="126"/>
      <c r="M163" s="143"/>
    </row>
    <row r="164" spans="1:13">
      <c r="A164" s="134">
        <v>70045</v>
      </c>
      <c r="B164" s="99" t="s">
        <v>29</v>
      </c>
      <c r="C164" s="78"/>
      <c r="D164" s="196">
        <f>VLOOKUP(A164,'Converted IS (C)'!$A$9:$T$295,20,FALSE)</f>
        <v>33869.920905811035</v>
      </c>
      <c r="E164" s="112">
        <f>$D164*'Ratios (C)'!$P$6</f>
        <v>14330.184926978998</v>
      </c>
      <c r="F164" s="112">
        <f>$D164*'Ratios (C)'!$Q$6</f>
        <v>13445.681855586243</v>
      </c>
      <c r="G164" s="112">
        <f>$D164*'Ratios (C)'!$R$6</f>
        <v>6094.0541232457945</v>
      </c>
      <c r="H164" s="203"/>
      <c r="I164" s="80" t="s">
        <v>371</v>
      </c>
      <c r="J164" s="112">
        <f t="shared" si="12"/>
        <v>0</v>
      </c>
      <c r="K164" s="438"/>
      <c r="L164" s="126"/>
      <c r="M164" s="143"/>
    </row>
    <row r="165" spans="1:13">
      <c r="A165" s="134">
        <v>70065</v>
      </c>
      <c r="B165" s="99" t="s">
        <v>91</v>
      </c>
      <c r="C165" s="78"/>
      <c r="D165" s="196">
        <f>VLOOKUP(A165,'Converted IS (C)'!$A$9:$T$295,20,FALSE)</f>
        <v>4604.9833998368349</v>
      </c>
      <c r="E165" s="112">
        <f>$D165*'Ratios (C)'!$P$6</f>
        <v>1948.3441927379408</v>
      </c>
      <c r="F165" s="112">
        <f>$D165*'Ratios (C)'!$Q$6</f>
        <v>1828.0863990396535</v>
      </c>
      <c r="G165" s="112">
        <f>$D165*'Ratios (C)'!$R$6</f>
        <v>828.55280805924031</v>
      </c>
      <c r="H165" s="203"/>
      <c r="I165" s="80" t="s">
        <v>371</v>
      </c>
      <c r="J165" s="112">
        <f t="shared" si="12"/>
        <v>0</v>
      </c>
      <c r="K165" s="148"/>
      <c r="L165" s="126"/>
      <c r="M165" s="143"/>
    </row>
    <row r="166" spans="1:13">
      <c r="A166" s="111">
        <v>70070</v>
      </c>
      <c r="B166" s="99" t="s">
        <v>92</v>
      </c>
      <c r="C166" s="78"/>
      <c r="D166" s="196">
        <f>VLOOKUP(A166,'Converted IS (C)'!$A$9:$T$295,20,FALSE)</f>
        <v>27847.750237976765</v>
      </c>
      <c r="E166" s="112">
        <f>$D166*'Ratios (C)'!$P$6</f>
        <v>11782.236274489305</v>
      </c>
      <c r="F166" s="112">
        <f>$D166*'Ratios (C)'!$Q$6</f>
        <v>11055.000427515632</v>
      </c>
      <c r="G166" s="112">
        <f>$D166*'Ratios (C)'!$R$6</f>
        <v>5010.513535971827</v>
      </c>
      <c r="H166" s="203"/>
      <c r="I166" s="80" t="s">
        <v>371</v>
      </c>
      <c r="J166" s="112">
        <f t="shared" si="12"/>
        <v>0</v>
      </c>
      <c r="K166" s="148"/>
      <c r="L166" s="97"/>
      <c r="M166" s="102"/>
    </row>
    <row r="167" spans="1:13">
      <c r="A167" s="130">
        <v>46130</v>
      </c>
      <c r="B167" s="131" t="s">
        <v>93</v>
      </c>
      <c r="C167" s="91"/>
      <c r="D167" s="197">
        <f>SUM(D158:D166)</f>
        <v>1423680.7923636285</v>
      </c>
      <c r="E167" s="132">
        <f>SUM(E158:E166)</f>
        <v>602351.83566839981</v>
      </c>
      <c r="F167" s="132">
        <f>SUM(F158:F166)</f>
        <v>565172.82845930837</v>
      </c>
      <c r="G167" s="132">
        <f>SUM(G158:G166)</f>
        <v>256156.12823592039</v>
      </c>
      <c r="H167" s="204"/>
      <c r="I167" s="92"/>
      <c r="J167" s="112">
        <f t="shared" si="12"/>
        <v>0</v>
      </c>
      <c r="K167" s="135"/>
      <c r="L167" s="127"/>
      <c r="M167" s="128"/>
    </row>
    <row r="168" spans="1:13">
      <c r="A168" s="111"/>
      <c r="B168" s="99"/>
      <c r="C168" s="78"/>
      <c r="D168" s="196"/>
      <c r="E168" s="112"/>
      <c r="F168" s="112"/>
      <c r="G168" s="112"/>
      <c r="H168" s="203"/>
      <c r="I168" s="80"/>
      <c r="J168" s="112">
        <f t="shared" si="12"/>
        <v>0</v>
      </c>
      <c r="K168" s="438"/>
    </row>
    <row r="169" spans="1:13">
      <c r="A169" s="111">
        <v>70149</v>
      </c>
      <c r="B169" s="99" t="s">
        <v>94</v>
      </c>
      <c r="C169" s="78"/>
      <c r="D169" s="196">
        <f>VLOOKUP(A169,'Converted IS (C)'!$A$9:$T$295,20,FALSE)</f>
        <v>667898.31413243525</v>
      </c>
      <c r="E169" s="112">
        <f>$D$169*E$26/(SUM($E$26:$H$26))</f>
        <v>565344.92004336661</v>
      </c>
      <c r="F169" s="112">
        <f>$D$169*F$26/(SUM($E$26:$H$26))</f>
        <v>69240.453196134476</v>
      </c>
      <c r="G169" s="112">
        <f>$D$169*G$26/(SUM($E$26:$H$26))</f>
        <v>33312.940892934072</v>
      </c>
      <c r="H169" s="203"/>
      <c r="I169" s="85" t="s">
        <v>166</v>
      </c>
      <c r="J169" s="112">
        <f t="shared" si="12"/>
        <v>0</v>
      </c>
      <c r="K169" s="440"/>
    </row>
    <row r="170" spans="1:13">
      <c r="A170" s="130">
        <v>46100</v>
      </c>
      <c r="B170" s="131" t="s">
        <v>95</v>
      </c>
      <c r="C170" s="91"/>
      <c r="D170" s="197">
        <f t="shared" ref="D170:G170" si="14">SUM(D169)</f>
        <v>667898.31413243525</v>
      </c>
      <c r="E170" s="132">
        <f t="shared" si="14"/>
        <v>565344.92004336661</v>
      </c>
      <c r="F170" s="132">
        <f t="shared" si="14"/>
        <v>69240.453196134476</v>
      </c>
      <c r="G170" s="132">
        <f t="shared" si="14"/>
        <v>33312.940892934072</v>
      </c>
      <c r="H170" s="204"/>
      <c r="I170" s="92"/>
      <c r="J170" s="112">
        <f t="shared" ref="J170:J219" si="15">SUM(E170:H170)-D170</f>
        <v>0</v>
      </c>
      <c r="K170" s="135"/>
      <c r="L170" s="127"/>
      <c r="M170" s="128"/>
    </row>
    <row r="171" spans="1:13">
      <c r="A171" s="111"/>
      <c r="B171" s="99"/>
      <c r="C171" s="80"/>
      <c r="D171" s="196"/>
      <c r="E171" s="112"/>
      <c r="F171" s="112"/>
      <c r="G171" s="112"/>
      <c r="H171" s="203"/>
      <c r="I171" s="80"/>
      <c r="J171" s="112">
        <f t="shared" si="15"/>
        <v>0</v>
      </c>
      <c r="K171" s="440"/>
    </row>
    <row r="172" spans="1:13">
      <c r="A172" s="111">
        <v>52200</v>
      </c>
      <c r="B172" s="99" t="s">
        <v>96</v>
      </c>
      <c r="C172" s="78"/>
      <c r="D172" s="196">
        <f>VLOOKUP(A172,'Converted IS (C)'!$A$9:$T$295,20,FALSE)</f>
        <v>5800.8394496942992</v>
      </c>
      <c r="E172" s="112">
        <f>D172*'Ratios (C)'!$P$36</f>
        <v>3932.3504277578054</v>
      </c>
      <c r="F172" s="112">
        <f>D172*'Ratios (C)'!$Q$36</f>
        <v>1275.7234302354209</v>
      </c>
      <c r="G172" s="112">
        <f>D172*'Ratios (C)'!$R$36</f>
        <v>592.7655917010735</v>
      </c>
      <c r="H172" s="203"/>
      <c r="I172" s="80" t="s">
        <v>370</v>
      </c>
      <c r="J172" s="112">
        <f t="shared" si="15"/>
        <v>0</v>
      </c>
      <c r="K172" s="440"/>
    </row>
    <row r="173" spans="1:13">
      <c r="A173" s="111">
        <v>57345</v>
      </c>
      <c r="B173" s="99" t="s">
        <v>97</v>
      </c>
      <c r="C173" s="78"/>
      <c r="D173" s="196">
        <f>VLOOKUP(A173,'Converted IS (C)'!$A$9:$T$295,20,FALSE)</f>
        <v>170.42007737539763</v>
      </c>
      <c r="E173" s="112">
        <f>D173*'Ratios (C)'!$P$36</f>
        <v>115.52663540808386</v>
      </c>
      <c r="F173" s="112">
        <f>D173*'Ratios (C)'!$Q$36</f>
        <v>37.478866218541086</v>
      </c>
      <c r="G173" s="112">
        <f>D173*'Ratios (C)'!$R$36</f>
        <v>17.414575748772698</v>
      </c>
      <c r="H173" s="203"/>
      <c r="I173" s="80" t="s">
        <v>370</v>
      </c>
      <c r="J173" s="112">
        <f t="shared" si="15"/>
        <v>0</v>
      </c>
      <c r="K173" s="440"/>
    </row>
    <row r="174" spans="1:13">
      <c r="A174" s="111">
        <v>70185</v>
      </c>
      <c r="B174" s="99" t="s">
        <v>71</v>
      </c>
      <c r="C174" s="78"/>
      <c r="D174" s="196">
        <f>VLOOKUP(A174,'Converted IS (C)'!$A$9:$T$295,20,FALSE)</f>
        <v>6660.3967936337713</v>
      </c>
      <c r="E174" s="112">
        <f>$D174*'Ratios (C)'!$P$6</f>
        <v>2817.978760719649</v>
      </c>
      <c r="F174" s="112">
        <f>$D174*'Ratios (C)'!$Q$6</f>
        <v>2644.0444478215991</v>
      </c>
      <c r="G174" s="112">
        <f>$D174*'Ratios (C)'!$R$6</f>
        <v>1198.3735850925227</v>
      </c>
      <c r="H174" s="203"/>
      <c r="I174" s="80" t="s">
        <v>371</v>
      </c>
      <c r="J174" s="112">
        <f t="shared" si="15"/>
        <v>0</v>
      </c>
      <c r="K174" s="440"/>
    </row>
    <row r="175" spans="1:13">
      <c r="A175" s="134">
        <v>70210</v>
      </c>
      <c r="B175" s="99" t="s">
        <v>96</v>
      </c>
      <c r="C175" s="78"/>
      <c r="D175" s="196">
        <f>VLOOKUP(A175,'Converted IS (C)'!$A$9:$T$295,20,FALSE)</f>
        <v>76919.621877950412</v>
      </c>
      <c r="E175" s="112">
        <f>$D175*'Ratios (C)'!$P$6</f>
        <v>32544.286391740967</v>
      </c>
      <c r="F175" s="112">
        <f>$D175*'Ratios (C)'!$Q$6</f>
        <v>30535.552979265129</v>
      </c>
      <c r="G175" s="112">
        <f>$D175*'Ratios (C)'!$R$6</f>
        <v>13839.782506944315</v>
      </c>
      <c r="H175" s="203"/>
      <c r="I175" s="80" t="s">
        <v>371</v>
      </c>
      <c r="J175" s="112">
        <f t="shared" si="15"/>
        <v>0</v>
      </c>
      <c r="K175" s="440"/>
    </row>
    <row r="176" spans="1:13">
      <c r="A176" s="134"/>
      <c r="B176" s="99" t="s">
        <v>98</v>
      </c>
      <c r="C176" s="78"/>
      <c r="D176" s="196">
        <f>'Converted IS (C)'!S176</f>
        <v>17216.661890572315</v>
      </c>
      <c r="E176" s="112">
        <f>$D176*'Ratios (C)'!$P$6</f>
        <v>7284.2788562533642</v>
      </c>
      <c r="F176" s="112">
        <f>$D176*'Ratios (C)'!$Q$6</f>
        <v>6834.6707699608114</v>
      </c>
      <c r="G176" s="112">
        <f>$D176*'Ratios (C)'!$R$6</f>
        <v>3097.7122643581383</v>
      </c>
      <c r="H176" s="203"/>
      <c r="I176" s="80" t="s">
        <v>371</v>
      </c>
      <c r="J176" s="112">
        <f t="shared" si="15"/>
        <v>0</v>
      </c>
      <c r="K176" s="440"/>
    </row>
    <row r="177" spans="1:13">
      <c r="A177" s="134">
        <v>70214</v>
      </c>
      <c r="B177" s="99" t="s">
        <v>99</v>
      </c>
      <c r="C177" s="78"/>
      <c r="D177" s="196">
        <f>VLOOKUP(A177,'Converted IS (C)'!$A$9:$T$295,20,FALSE)</f>
        <v>219078.93420160699</v>
      </c>
      <c r="E177" s="112">
        <f>$D177*'Ratios (C)'!$P$6</f>
        <v>92691.141778717894</v>
      </c>
      <c r="F177" s="112">
        <f>$D177*'Ratios (C)'!$Q$6</f>
        <v>86969.959532156267</v>
      </c>
      <c r="G177" s="112">
        <f>$D177*'Ratios (C)'!$R$6</f>
        <v>39417.83289073281</v>
      </c>
      <c r="H177" s="203"/>
      <c r="I177" s="80" t="s">
        <v>371</v>
      </c>
      <c r="J177" s="112">
        <f t="shared" si="15"/>
        <v>0</v>
      </c>
      <c r="K177" s="440"/>
    </row>
    <row r="178" spans="1:13">
      <c r="A178" s="134">
        <v>70215</v>
      </c>
      <c r="B178" s="99" t="s">
        <v>100</v>
      </c>
      <c r="C178" s="78"/>
      <c r="D178" s="196">
        <f>VLOOKUP(A178,'Converted IS (C)'!$A$9:$T$295,20,FALSE)</f>
        <v>527.51318684401394</v>
      </c>
      <c r="E178" s="112">
        <f>$D178*'Ratios (C)'!$P$6</f>
        <v>223.18804758701961</v>
      </c>
      <c r="F178" s="112">
        <f>$D178*'Ratios (C)'!$Q$6</f>
        <v>209.41219510536652</v>
      </c>
      <c r="G178" s="112">
        <f>$D178*'Ratios (C)'!$R$6</f>
        <v>94.912944151627755</v>
      </c>
      <c r="H178" s="203"/>
      <c r="I178" s="80" t="s">
        <v>371</v>
      </c>
      <c r="J178" s="112">
        <f t="shared" si="15"/>
        <v>0</v>
      </c>
      <c r="K178" s="440"/>
    </row>
    <row r="179" spans="1:13">
      <c r="A179" s="134">
        <v>70217</v>
      </c>
      <c r="B179" s="99" t="s">
        <v>101</v>
      </c>
      <c r="C179" s="78"/>
      <c r="D179" s="196">
        <f>VLOOKUP(A179,'Converted IS (C)'!$A$9:$T$295,20,FALSE)</f>
        <v>11539.703471368448</v>
      </c>
      <c r="E179" s="112">
        <f>$D179*'Ratios (C)'!$P$6</f>
        <v>4882.3876857308996</v>
      </c>
      <c r="F179" s="112">
        <f>$D179*'Ratios (C)'!$Q$6</f>
        <v>4581.0317070213105</v>
      </c>
      <c r="G179" s="112">
        <f>$D179*'Ratios (C)'!$R$6</f>
        <v>2076.2840786162374</v>
      </c>
      <c r="H179" s="203"/>
      <c r="I179" s="80" t="s">
        <v>371</v>
      </c>
      <c r="J179" s="112">
        <f t="shared" si="15"/>
        <v>0</v>
      </c>
      <c r="K179" s="440"/>
    </row>
    <row r="180" spans="1:13">
      <c r="A180" s="111">
        <v>70300</v>
      </c>
      <c r="B180" s="99" t="s">
        <v>102</v>
      </c>
      <c r="C180" s="78"/>
      <c r="D180" s="196">
        <f>VLOOKUP(A180,'Converted IS (C)'!$A$9:$T$295,20,FALSE)</f>
        <v>154074.28127435979</v>
      </c>
      <c r="E180" s="112">
        <f>$D180*'Ratios (C)'!$P$6</f>
        <v>65188.015918104582</v>
      </c>
      <c r="F180" s="112">
        <f>$D180*'Ratios (C)'!$Q$6</f>
        <v>61164.411157149232</v>
      </c>
      <c r="G180" s="112">
        <f>$D180*'Ratios (C)'!$R$6</f>
        <v>27721.854199105965</v>
      </c>
      <c r="H180" s="203"/>
      <c r="I180" s="80" t="s">
        <v>371</v>
      </c>
      <c r="J180" s="112">
        <f t="shared" si="15"/>
        <v>0</v>
      </c>
      <c r="K180" s="440"/>
    </row>
    <row r="181" spans="1:13">
      <c r="A181" s="111">
        <v>70302</v>
      </c>
      <c r="B181" s="99" t="s">
        <v>104</v>
      </c>
      <c r="C181" s="78"/>
      <c r="D181" s="196">
        <f>VLOOKUP(A181,'Converted IS (C)'!$A$9:$T$295,20,FALSE)</f>
        <v>1800.9393717993096</v>
      </c>
      <c r="E181" s="112">
        <f>$D181*'Ratios (C)'!$P$6</f>
        <v>761.96795120751722</v>
      </c>
      <c r="F181" s="112">
        <f>$D181*'Ratios (C)'!$Q$6</f>
        <v>714.93694661266056</v>
      </c>
      <c r="G181" s="112">
        <f>$D181*'Ratios (C)'!$R$6</f>
        <v>324.03447397913163</v>
      </c>
      <c r="H181" s="203"/>
      <c r="I181" s="80" t="s">
        <v>371</v>
      </c>
      <c r="J181" s="112">
        <f t="shared" si="15"/>
        <v>0</v>
      </c>
      <c r="K181" s="440"/>
    </row>
    <row r="182" spans="1:13">
      <c r="A182" s="111">
        <v>70320</v>
      </c>
      <c r="B182" s="99" t="s">
        <v>105</v>
      </c>
      <c r="C182" s="78"/>
      <c r="D182" s="196">
        <f>VLOOKUP(A182,'Converted IS (C)'!$A$9:$T$295,20,FALSE)</f>
        <v>91243.121868185815</v>
      </c>
      <c r="E182" s="112">
        <f>$D182*'Ratios (C)'!$P$6</f>
        <v>38604.483704644612</v>
      </c>
      <c r="F182" s="112">
        <f>$D182*'Ratios (C)'!$Q$6</f>
        <v>36221.696282131699</v>
      </c>
      <c r="G182" s="112">
        <f>$D182*'Ratios (C)'!$R$6</f>
        <v>16416.941881409497</v>
      </c>
      <c r="H182" s="203"/>
      <c r="I182" s="80" t="s">
        <v>371</v>
      </c>
      <c r="J182" s="112">
        <f t="shared" si="15"/>
        <v>0</v>
      </c>
      <c r="K182" s="440"/>
    </row>
    <row r="183" spans="1:13">
      <c r="A183" s="111">
        <v>70345</v>
      </c>
      <c r="B183" s="99" t="s">
        <v>97</v>
      </c>
      <c r="C183" s="78"/>
      <c r="D183" s="196">
        <f>VLOOKUP(A183,'Converted IS (C)'!$A$9:$T$295,20,FALSE)</f>
        <v>4681.3970721021142</v>
      </c>
      <c r="E183" s="112">
        <f>$D183*'Ratios (C)'!$P$6</f>
        <v>1980.6744145166149</v>
      </c>
      <c r="F183" s="112">
        <f>$D183*'Ratios (C)'!$Q$6</f>
        <v>1858.421100131905</v>
      </c>
      <c r="G183" s="112">
        <f>$D183*'Ratios (C)'!$R$6</f>
        <v>842.301557453594</v>
      </c>
      <c r="H183" s="203"/>
      <c r="I183" s="80" t="s">
        <v>371</v>
      </c>
      <c r="J183" s="112">
        <f t="shared" si="15"/>
        <v>0</v>
      </c>
      <c r="K183" s="440"/>
    </row>
    <row r="184" spans="1:13">
      <c r="A184" s="130">
        <v>46200</v>
      </c>
      <c r="B184" s="131" t="s">
        <v>106</v>
      </c>
      <c r="C184" s="91"/>
      <c r="D184" s="197">
        <f>SUM(D172:D183)</f>
        <v>589713.83053549263</v>
      </c>
      <c r="E184" s="132">
        <f>SUM(E172:E183)</f>
        <v>251026.28057238902</v>
      </c>
      <c r="F184" s="132">
        <f>SUM(F172:F183)</f>
        <v>233047.33941380997</v>
      </c>
      <c r="G184" s="132">
        <f>SUM(G172:G183)</f>
        <v>105640.21054929368</v>
      </c>
      <c r="H184" s="204"/>
      <c r="I184" s="92"/>
      <c r="J184" s="112">
        <f t="shared" si="15"/>
        <v>0</v>
      </c>
      <c r="K184" s="135"/>
      <c r="L184" s="127"/>
      <c r="M184" s="128"/>
    </row>
    <row r="185" spans="1:13">
      <c r="A185" s="111"/>
      <c r="B185" s="99"/>
      <c r="C185" s="80"/>
      <c r="D185" s="196"/>
      <c r="E185" s="112"/>
      <c r="F185" s="112"/>
      <c r="G185" s="112"/>
      <c r="H185" s="203"/>
      <c r="I185" s="80"/>
      <c r="J185" s="112">
        <f t="shared" si="15"/>
        <v>0</v>
      </c>
      <c r="K185" s="440"/>
    </row>
    <row r="186" spans="1:13">
      <c r="A186" s="111">
        <v>70235</v>
      </c>
      <c r="B186" s="99" t="s">
        <v>107</v>
      </c>
      <c r="C186" s="78"/>
      <c r="D186" s="196">
        <f>VLOOKUP(A186,'Converted IS (C)'!$A$9:$T$295,20,FALSE)</f>
        <v>26281.168764624595</v>
      </c>
      <c r="E186" s="112">
        <f>D186*'Ratios (C)'!$P$36</f>
        <v>17815.829265709624</v>
      </c>
      <c r="F186" s="112">
        <f>D186*'Ratios (C)'!$Q$36</f>
        <v>5779.7674039693975</v>
      </c>
      <c r="G186" s="112">
        <f>D186*'Ratios (C)'!$R$36</f>
        <v>2685.5720949455776</v>
      </c>
      <c r="H186" s="203"/>
      <c r="I186" s="80" t="s">
        <v>370</v>
      </c>
      <c r="J186" s="112">
        <f t="shared" si="15"/>
        <v>0</v>
      </c>
      <c r="K186" s="440"/>
    </row>
    <row r="187" spans="1:13">
      <c r="A187" s="130">
        <v>46300</v>
      </c>
      <c r="B187" s="131" t="s">
        <v>108</v>
      </c>
      <c r="C187" s="91"/>
      <c r="D187" s="197">
        <f t="shared" ref="D187:G187" si="16">SUM(D186)</f>
        <v>26281.168764624595</v>
      </c>
      <c r="E187" s="132">
        <f t="shared" si="16"/>
        <v>17815.829265709624</v>
      </c>
      <c r="F187" s="132">
        <f t="shared" si="16"/>
        <v>5779.7674039693975</v>
      </c>
      <c r="G187" s="132">
        <f t="shared" si="16"/>
        <v>2685.5720949455776</v>
      </c>
      <c r="H187" s="204"/>
      <c r="I187" s="92"/>
      <c r="J187" s="112">
        <f t="shared" si="15"/>
        <v>0</v>
      </c>
      <c r="K187" s="135"/>
      <c r="L187" s="127"/>
      <c r="M187" s="128"/>
    </row>
    <row r="188" spans="1:13">
      <c r="A188" s="111"/>
      <c r="B188" s="99"/>
      <c r="C188" s="80"/>
      <c r="D188" s="196"/>
      <c r="E188" s="112"/>
      <c r="F188" s="112"/>
      <c r="G188" s="112"/>
      <c r="H188" s="203"/>
      <c r="I188" s="80"/>
      <c r="J188" s="112">
        <f t="shared" si="15"/>
        <v>0</v>
      </c>
      <c r="K188" s="440"/>
    </row>
    <row r="189" spans="1:13">
      <c r="A189" s="111">
        <v>57150</v>
      </c>
      <c r="B189" s="99" t="s">
        <v>46</v>
      </c>
      <c r="C189" s="78"/>
      <c r="D189" s="196">
        <f>VLOOKUP(A189,'Converted IS (C)'!$A$9:$T$295,20,FALSE)</f>
        <v>46415.486630207866</v>
      </c>
      <c r="E189" s="112">
        <f>D189*'Ratios (C)'!$P$36</f>
        <v>31464.749246680734</v>
      </c>
      <c r="F189" s="112">
        <f>D189*'Ratios (C)'!$Q$36</f>
        <v>10207.716371646109</v>
      </c>
      <c r="G189" s="112">
        <f>D189*'Ratios (C)'!$R$36</f>
        <v>4743.0210118810273</v>
      </c>
      <c r="H189" s="203"/>
      <c r="I189" s="80" t="s">
        <v>370</v>
      </c>
      <c r="J189" s="112">
        <f t="shared" si="15"/>
        <v>0</v>
      </c>
      <c r="K189" s="440"/>
    </row>
    <row r="190" spans="1:13">
      <c r="A190" s="111">
        <v>70150</v>
      </c>
      <c r="B190" s="99" t="s">
        <v>46</v>
      </c>
      <c r="C190" s="78"/>
      <c r="D190" s="196">
        <f>VLOOKUP(A190,'Converted IS (C)'!$A$9:$T$295,20,FALSE)</f>
        <v>2686.3847864688428</v>
      </c>
      <c r="E190" s="112">
        <f>D190*'Ratios (C)'!$P$36</f>
        <v>1821.0823546839451</v>
      </c>
      <c r="F190" s="112">
        <f>D190*'Ratios (C)'!$Q$36</f>
        <v>590.79104747622114</v>
      </c>
      <c r="G190" s="112">
        <f>D190*'Ratios (C)'!$R$36</f>
        <v>274.5113843086769</v>
      </c>
      <c r="H190" s="203"/>
      <c r="I190" s="80" t="s">
        <v>370</v>
      </c>
      <c r="J190" s="112">
        <f t="shared" si="15"/>
        <v>0</v>
      </c>
      <c r="K190" s="440"/>
    </row>
    <row r="191" spans="1:13">
      <c r="A191" s="130">
        <v>46400</v>
      </c>
      <c r="B191" s="131" t="s">
        <v>46</v>
      </c>
      <c r="C191" s="91"/>
      <c r="D191" s="197">
        <f>SUM(D189:D190)</f>
        <v>49101.871416676709</v>
      </c>
      <c r="E191" s="132">
        <f>SUM(E189:E190)</f>
        <v>33285.831601364676</v>
      </c>
      <c r="F191" s="132">
        <f>SUM(F189:F190)</f>
        <v>10798.50741912233</v>
      </c>
      <c r="G191" s="132">
        <f>SUM(G189:G190)</f>
        <v>5017.5323961897038</v>
      </c>
      <c r="H191" s="204"/>
      <c r="I191" s="92"/>
      <c r="J191" s="112">
        <f t="shared" si="15"/>
        <v>0</v>
      </c>
      <c r="K191" s="135"/>
      <c r="L191" s="127"/>
      <c r="M191" s="128"/>
    </row>
    <row r="192" spans="1:13">
      <c r="A192" s="111"/>
      <c r="B192" s="99"/>
      <c r="C192" s="80"/>
      <c r="D192" s="196"/>
      <c r="E192" s="112"/>
      <c r="F192" s="112"/>
      <c r="G192" s="112"/>
      <c r="H192" s="203"/>
      <c r="I192" s="80"/>
      <c r="J192" s="112">
        <f t="shared" si="15"/>
        <v>0</v>
      </c>
      <c r="K192" s="440"/>
    </row>
    <row r="193" spans="1:13">
      <c r="A193" s="111">
        <v>52165</v>
      </c>
      <c r="B193" s="99" t="s">
        <v>109</v>
      </c>
      <c r="C193" s="78"/>
      <c r="D193" s="196">
        <f>VLOOKUP(A193,'Converted IS (C)'!$A$9:$T$295,20,FALSE)</f>
        <v>2814.9522194475085</v>
      </c>
      <c r="E193" s="112">
        <f>D193*'Ratios (C)'!$P$36</f>
        <v>1908.2373612056342</v>
      </c>
      <c r="F193" s="112">
        <f>D193*'Ratios (C)'!$Q$36</f>
        <v>619.06565980405401</v>
      </c>
      <c r="G193" s="112">
        <f>D193*'Ratios (C)'!$R$36</f>
        <v>287.64919843782042</v>
      </c>
      <c r="H193" s="203"/>
      <c r="I193" s="80" t="s">
        <v>370</v>
      </c>
      <c r="J193" s="112">
        <f t="shared" si="15"/>
        <v>0</v>
      </c>
      <c r="K193" s="440"/>
    </row>
    <row r="194" spans="1:13">
      <c r="A194" s="111">
        <v>56165</v>
      </c>
      <c r="B194" s="99" t="s">
        <v>109</v>
      </c>
      <c r="C194" s="78"/>
      <c r="D194" s="196">
        <f>VLOOKUP(A194,'Converted IS (C)'!$A$9:$T$295,20,FALSE)</f>
        <v>137.31557970219376</v>
      </c>
      <c r="E194" s="112">
        <f>D194*'Ratios (C)'!$P$36</f>
        <v>93.085316920499992</v>
      </c>
      <c r="F194" s="112">
        <f>D194*'Ratios (C)'!$Q$36</f>
        <v>30.198509005740483</v>
      </c>
      <c r="G194" s="112">
        <f>D194*'Ratios (C)'!$R$36</f>
        <v>14.031753775953293</v>
      </c>
      <c r="H194" s="203"/>
      <c r="I194" s="80" t="s">
        <v>370</v>
      </c>
      <c r="J194" s="112">
        <f t="shared" si="15"/>
        <v>0</v>
      </c>
      <c r="K194" s="440"/>
    </row>
    <row r="195" spans="1:13">
      <c r="A195" s="111">
        <v>70165</v>
      </c>
      <c r="B195" s="99" t="s">
        <v>109</v>
      </c>
      <c r="C195" s="78"/>
      <c r="D195" s="196">
        <f>VLOOKUP(A195,'Converted IS (C)'!$A$9:$T$295,20,FALSE)</f>
        <v>26654.567478257311</v>
      </c>
      <c r="E195" s="112">
        <f>D195*'Ratios (C)'!$P$36</f>
        <v>18068.953766742867</v>
      </c>
      <c r="F195" s="112">
        <f>D195*'Ratios (C)'!$Q$36</f>
        <v>5861.8854304950455</v>
      </c>
      <c r="G195" s="112">
        <f>D195*'Ratios (C)'!$R$36</f>
        <v>2723.7282810194019</v>
      </c>
      <c r="H195" s="203"/>
      <c r="I195" s="80" t="s">
        <v>370</v>
      </c>
      <c r="J195" s="112">
        <f t="shared" si="15"/>
        <v>0</v>
      </c>
      <c r="K195" s="440"/>
    </row>
    <row r="196" spans="1:13">
      <c r="A196" s="111">
        <v>70166</v>
      </c>
      <c r="B196" s="99" t="s">
        <v>110</v>
      </c>
      <c r="C196" s="78"/>
      <c r="D196" s="196">
        <f>VLOOKUP(A196,'Converted IS (C)'!$A$9:$T$295,20,FALSE)</f>
        <v>392.49369864877048</v>
      </c>
      <c r="E196" s="112">
        <f>D196*'Ratios (C)'!$P$36</f>
        <v>266.06886419776248</v>
      </c>
      <c r="F196" s="112">
        <f>D196*'Ratios (C)'!$Q$36</f>
        <v>86.317404908074877</v>
      </c>
      <c r="G196" s="112">
        <f>D196*'Ratios (C)'!$R$36</f>
        <v>40.107429542933161</v>
      </c>
      <c r="H196" s="203"/>
      <c r="I196" s="80" t="s">
        <v>370</v>
      </c>
      <c r="J196" s="112">
        <f t="shared" si="15"/>
        <v>0</v>
      </c>
      <c r="K196" s="440"/>
    </row>
    <row r="197" spans="1:13">
      <c r="A197" s="111">
        <v>70167</v>
      </c>
      <c r="B197" s="99" t="s">
        <v>111</v>
      </c>
      <c r="C197" s="78"/>
      <c r="D197" s="196">
        <f>VLOOKUP(A197,'Converted IS (C)'!$A$9:$T$295,20,FALSE)</f>
        <v>32906.723188055308</v>
      </c>
      <c r="E197" s="112">
        <f>D197*'Ratios (C)'!$P$36</f>
        <v>22307.248481334253</v>
      </c>
      <c r="F197" s="112">
        <f>D197*'Ratios (C)'!$Q$36</f>
        <v>7236.8625519338757</v>
      </c>
      <c r="G197" s="112">
        <f>D197*'Ratios (C)'!$R$36</f>
        <v>3362.6121547871826</v>
      </c>
      <c r="H197" s="203"/>
      <c r="I197" s="80" t="s">
        <v>370</v>
      </c>
      <c r="J197" s="112">
        <f t="shared" si="15"/>
        <v>0</v>
      </c>
      <c r="K197" s="440"/>
    </row>
    <row r="198" spans="1:13">
      <c r="A198" s="130">
        <v>46410</v>
      </c>
      <c r="B198" s="131" t="s">
        <v>109</v>
      </c>
      <c r="C198" s="91"/>
      <c r="D198" s="197">
        <f>SUM(D193:D197)</f>
        <v>62906.052164111097</v>
      </c>
      <c r="E198" s="132">
        <f>SUM(E193:E197)</f>
        <v>42643.593790401013</v>
      </c>
      <c r="F198" s="132">
        <f>SUM(F193:F197)</f>
        <v>13834.329556146789</v>
      </c>
      <c r="G198" s="132">
        <f>SUM(G193:G197)</f>
        <v>6428.1288175632908</v>
      </c>
      <c r="H198" s="204"/>
      <c r="I198" s="92"/>
      <c r="J198" s="112">
        <f t="shared" si="15"/>
        <v>0</v>
      </c>
      <c r="K198" s="135"/>
      <c r="L198" s="127"/>
      <c r="M198" s="128"/>
    </row>
    <row r="199" spans="1:13">
      <c r="A199" s="111"/>
      <c r="B199" s="99"/>
      <c r="C199" s="80"/>
      <c r="D199" s="196"/>
      <c r="E199" s="112"/>
      <c r="F199" s="112"/>
      <c r="G199" s="112"/>
      <c r="H199" s="203"/>
      <c r="I199" s="80"/>
      <c r="J199" s="112">
        <f t="shared" si="15"/>
        <v>0</v>
      </c>
      <c r="K199" s="440"/>
    </row>
    <row r="200" spans="1:13">
      <c r="A200" s="111">
        <v>50060</v>
      </c>
      <c r="B200" s="99" t="s">
        <v>70</v>
      </c>
      <c r="C200" s="78"/>
      <c r="D200" s="196">
        <f>VLOOKUP(A200,'Converted IS (C)'!$A$9:$T$295,20,FALSE)</f>
        <v>265662.8786421502</v>
      </c>
      <c r="E200" s="112">
        <f>D200*'Ratios (C)'!$P$36</f>
        <v>180091.09604350163</v>
      </c>
      <c r="F200" s="112">
        <f>D200*'Ratios (C)'!$Q$36</f>
        <v>58424.709348823759</v>
      </c>
      <c r="G200" s="112">
        <f>D200*'Ratios (C)'!$R$36</f>
        <v>27147.073249824822</v>
      </c>
      <c r="H200" s="203"/>
      <c r="I200" s="80" t="s">
        <v>370</v>
      </c>
      <c r="J200" s="112">
        <f t="shared" si="15"/>
        <v>0</v>
      </c>
      <c r="K200" s="440"/>
    </row>
    <row r="201" spans="1:13">
      <c r="A201" s="111">
        <v>50116</v>
      </c>
      <c r="B201" s="99" t="s">
        <v>112</v>
      </c>
      <c r="C201" s="78"/>
      <c r="D201" s="196">
        <f>VLOOKUP(A201,'Converted IS (C)'!$A$9:$T$295,20,FALSE)</f>
        <v>409136.08944196434</v>
      </c>
      <c r="E201" s="112">
        <f>D201*'Ratios (C)'!$P$36</f>
        <v>277350.63007355778</v>
      </c>
      <c r="F201" s="112">
        <f>D201*'Ratios (C)'!$Q$36</f>
        <v>89977.407577366219</v>
      </c>
      <c r="G201" s="112">
        <f>D201*'Ratios (C)'!$R$36</f>
        <v>41808.051791040365</v>
      </c>
      <c r="H201" s="203"/>
      <c r="I201" s="80" t="s">
        <v>370</v>
      </c>
      <c r="J201" s="112">
        <f t="shared" si="15"/>
        <v>0</v>
      </c>
      <c r="K201" s="440"/>
    </row>
    <row r="202" spans="1:13">
      <c r="A202" s="111">
        <v>52060</v>
      </c>
      <c r="B202" s="99" t="s">
        <v>70</v>
      </c>
      <c r="C202" s="78"/>
      <c r="D202" s="196">
        <f>VLOOKUP(A202,'Converted IS (C)'!$A$9:$T$295,20,FALSE)</f>
        <v>150468.42116175825</v>
      </c>
      <c r="E202" s="112">
        <f>D202*'Ratios (C)'!$P$36</f>
        <v>102001.54054438855</v>
      </c>
      <c r="F202" s="112">
        <f>D202*'Ratios (C)'!$Q$36</f>
        <v>33091.088290109838</v>
      </c>
      <c r="G202" s="112">
        <f>D202*'Ratios (C)'!$R$36</f>
        <v>15375.792327259869</v>
      </c>
      <c r="H202" s="203"/>
      <c r="I202" s="80" t="s">
        <v>370</v>
      </c>
      <c r="J202" s="112">
        <f t="shared" si="15"/>
        <v>0</v>
      </c>
      <c r="K202" s="440"/>
    </row>
    <row r="203" spans="1:13">
      <c r="A203" s="111">
        <v>55060</v>
      </c>
      <c r="B203" s="99" t="s">
        <v>70</v>
      </c>
      <c r="C203" s="78"/>
      <c r="D203" s="196">
        <f>VLOOKUP(A203,'Converted IS (C)'!$A$9:$T$295,20,FALSE)</f>
        <v>91198.085044387102</v>
      </c>
      <c r="E203" s="112">
        <f>D203*'Ratios (C)'!$P$36</f>
        <v>61822.574447201354</v>
      </c>
      <c r="F203" s="112">
        <f>D203*'Ratios (C)'!$Q$36</f>
        <v>20056.327173450456</v>
      </c>
      <c r="G203" s="112">
        <f>D203*'Ratios (C)'!$R$36</f>
        <v>9319.1834237353069</v>
      </c>
      <c r="H203" s="203"/>
      <c r="I203" s="80" t="s">
        <v>370</v>
      </c>
      <c r="J203" s="112">
        <f t="shared" si="15"/>
        <v>0</v>
      </c>
      <c r="K203" s="440"/>
    </row>
    <row r="204" spans="1:13">
      <c r="A204" s="111">
        <v>56060</v>
      </c>
      <c r="B204" s="99" t="s">
        <v>70</v>
      </c>
      <c r="C204" s="78"/>
      <c r="D204" s="196">
        <f>VLOOKUP(A204,'Converted IS (C)'!$A$9:$T$295,20,FALSE)</f>
        <v>30753.357431612967</v>
      </c>
      <c r="E204" s="112">
        <f>D204*'Ratios (C)'!$P$36</f>
        <v>20847.496177051587</v>
      </c>
      <c r="F204" s="112">
        <f>D204*'Ratios (C)'!$Q$36</f>
        <v>6763.2933085194791</v>
      </c>
      <c r="G204" s="112">
        <f>D204*'Ratios (C)'!$R$36</f>
        <v>3142.5679460419051</v>
      </c>
      <c r="H204" s="203"/>
      <c r="I204" s="80" t="s">
        <v>370</v>
      </c>
      <c r="J204" s="112">
        <f t="shared" si="15"/>
        <v>0</v>
      </c>
      <c r="K204" s="440"/>
    </row>
    <row r="205" spans="1:13">
      <c r="A205" s="111">
        <v>70060</v>
      </c>
      <c r="B205" s="99" t="s">
        <v>70</v>
      </c>
      <c r="C205" s="78"/>
      <c r="D205" s="196">
        <f>VLOOKUP(A205,'Converted IS (C)'!$A$9:$T$295,20,FALSE)</f>
        <v>285116.15441021981</v>
      </c>
      <c r="E205" s="112">
        <f>$D205*'Ratios (C)'!$P$6</f>
        <v>120631.14141097851</v>
      </c>
      <c r="F205" s="112">
        <f>$D205*'Ratios (C)'!$Q$6</f>
        <v>113185.41648646996</v>
      </c>
      <c r="G205" s="112">
        <f>$D205*'Ratios (C)'!$R$6</f>
        <v>51299.596512771328</v>
      </c>
      <c r="H205" s="203"/>
      <c r="I205" s="80" t="s">
        <v>371</v>
      </c>
      <c r="J205" s="112">
        <f t="shared" si="15"/>
        <v>0</v>
      </c>
      <c r="K205" s="440"/>
    </row>
    <row r="206" spans="1:13">
      <c r="A206" s="130">
        <v>46500</v>
      </c>
      <c r="B206" s="131" t="s">
        <v>113</v>
      </c>
      <c r="C206" s="91"/>
      <c r="D206" s="197">
        <f>SUM(D200:D205)</f>
        <v>1232334.9861320928</v>
      </c>
      <c r="E206" s="132">
        <f>SUM(E200:E205)</f>
        <v>762744.47869667935</v>
      </c>
      <c r="F206" s="132">
        <f>SUM(F200:F205)</f>
        <v>321498.24218473968</v>
      </c>
      <c r="G206" s="132">
        <f>SUM(G200:G205)</f>
        <v>148092.26525067358</v>
      </c>
      <c r="H206" s="204"/>
      <c r="I206" s="92"/>
      <c r="J206" s="112">
        <f t="shared" si="15"/>
        <v>0</v>
      </c>
      <c r="K206" s="135"/>
      <c r="L206" s="127"/>
      <c r="M206" s="128"/>
    </row>
    <row r="207" spans="1:13">
      <c r="A207" s="111"/>
      <c r="B207" s="99"/>
      <c r="C207" s="80"/>
      <c r="D207" s="196"/>
      <c r="E207" s="112"/>
      <c r="F207" s="112"/>
      <c r="G207" s="112"/>
      <c r="H207" s="203"/>
      <c r="I207" s="80"/>
      <c r="J207" s="112">
        <f t="shared" si="15"/>
        <v>0</v>
      </c>
      <c r="K207" s="440"/>
    </row>
    <row r="208" spans="1:13">
      <c r="A208" s="111">
        <v>50115</v>
      </c>
      <c r="B208" s="99" t="s">
        <v>114</v>
      </c>
      <c r="C208" s="78"/>
      <c r="D208" s="196">
        <f>VLOOKUP(A208,'Converted IS (C)'!$A$9:$T$295,20,FALSE)</f>
        <v>59109.304992757861</v>
      </c>
      <c r="E208" s="112">
        <f>D208*'Ratios (C)'!$P$36</f>
        <v>40069.804170323543</v>
      </c>
      <c r="F208" s="112">
        <f>D208*'Ratios (C)'!$Q$36</f>
        <v>12999.347073494107</v>
      </c>
      <c r="G208" s="112">
        <f>D208*'Ratios (C)'!$R$36</f>
        <v>6040.1537489402181</v>
      </c>
      <c r="H208" s="203"/>
      <c r="I208" s="80" t="s">
        <v>370</v>
      </c>
      <c r="J208" s="112">
        <f t="shared" si="15"/>
        <v>0</v>
      </c>
      <c r="K208" s="440"/>
    </row>
    <row r="209" spans="1:13">
      <c r="A209" s="111">
        <v>50117</v>
      </c>
      <c r="B209" s="99" t="s">
        <v>115</v>
      </c>
      <c r="C209" s="78"/>
      <c r="D209" s="196">
        <f>VLOOKUP(A209,'Converted IS (C)'!$A$9:$T$295,20,FALSE)</f>
        <v>278784.64673032454</v>
      </c>
      <c r="E209" s="112">
        <f>D209*'Ratios (C)'!$P$36</f>
        <v>188986.25523588204</v>
      </c>
      <c r="F209" s="112">
        <f>D209*'Ratios (C)'!$Q$36</f>
        <v>61310.454962259355</v>
      </c>
      <c r="G209" s="112">
        <f>D209*'Ratios (C)'!$R$36</f>
        <v>28487.936532183179</v>
      </c>
      <c r="H209" s="203"/>
      <c r="I209" s="80" t="s">
        <v>370</v>
      </c>
      <c r="J209" s="112">
        <f t="shared" si="15"/>
        <v>0</v>
      </c>
      <c r="K209" s="440"/>
    </row>
    <row r="210" spans="1:13">
      <c r="A210" s="111">
        <v>52115</v>
      </c>
      <c r="B210" s="99" t="s">
        <v>114</v>
      </c>
      <c r="C210" s="78"/>
      <c r="D210" s="196">
        <f>VLOOKUP(A210,'Converted IS (C)'!$A$9:$T$295,20,FALSE)</f>
        <v>27481.087116932275</v>
      </c>
      <c r="E210" s="112">
        <f>D210*'Ratios (C)'!$P$36</f>
        <v>18629.245924951967</v>
      </c>
      <c r="F210" s="112">
        <f>D210*'Ratios (C)'!$Q$36</f>
        <v>6043.6540310142227</v>
      </c>
      <c r="G210" s="112">
        <f>D210*'Ratios (C)'!$R$36</f>
        <v>2808.1871609660866</v>
      </c>
      <c r="H210" s="203"/>
      <c r="I210" s="80" t="s">
        <v>370</v>
      </c>
      <c r="J210" s="112">
        <f t="shared" si="15"/>
        <v>0</v>
      </c>
      <c r="K210" s="440"/>
    </row>
    <row r="211" spans="1:13">
      <c r="A211" s="111">
        <v>55115</v>
      </c>
      <c r="B211" s="99" t="s">
        <v>116</v>
      </c>
      <c r="C211" s="78"/>
      <c r="D211" s="196">
        <f>VLOOKUP(A211,'Converted IS (C)'!$A$9:$T$295,20,FALSE)</f>
        <v>11877.119313479845</v>
      </c>
      <c r="E211" s="112">
        <f>$D211*'Ratios (C)'!$P$6</f>
        <v>5025.1465492131902</v>
      </c>
      <c r="F211" s="112">
        <f>$D211*'Ratios (C)'!$Q$6</f>
        <v>4714.9790545418709</v>
      </c>
      <c r="G211" s="112">
        <f>$D211*'Ratios (C)'!$R$6</f>
        <v>2136.993709724783</v>
      </c>
      <c r="H211" s="203"/>
      <c r="I211" s="80" t="s">
        <v>371</v>
      </c>
      <c r="J211" s="112">
        <f t="shared" si="15"/>
        <v>0</v>
      </c>
      <c r="K211" s="440"/>
    </row>
    <row r="212" spans="1:13">
      <c r="A212" s="111">
        <v>56115</v>
      </c>
      <c r="B212" s="99" t="s">
        <v>114</v>
      </c>
      <c r="C212" s="78"/>
      <c r="D212" s="196">
        <f>VLOOKUP(A212,'Converted IS (C)'!$A$9:$T$295,20,FALSE)</f>
        <v>4159.5177684789523</v>
      </c>
      <c r="E212" s="112">
        <f>D212*'Ratios (C)'!$P$36</f>
        <v>2819.7093917168122</v>
      </c>
      <c r="F212" s="112">
        <f>D212*'Ratios (C)'!$Q$36</f>
        <v>914.76316863222212</v>
      </c>
      <c r="G212" s="112">
        <f>D212*'Ratios (C)'!$R$36</f>
        <v>425.04520812991848</v>
      </c>
      <c r="H212" s="203"/>
      <c r="I212" s="80" t="s">
        <v>370</v>
      </c>
      <c r="J212" s="112">
        <f t="shared" si="15"/>
        <v>0</v>
      </c>
      <c r="K212" s="440"/>
    </row>
    <row r="213" spans="1:13">
      <c r="A213" s="111">
        <v>60116</v>
      </c>
      <c r="B213" s="99" t="s">
        <v>114</v>
      </c>
      <c r="C213" s="78"/>
      <c r="D213" s="196">
        <f>VLOOKUP(A213,'Converted IS (C)'!$A$9:$T$295,20,FALSE)</f>
        <v>2875.0735574271198</v>
      </c>
      <c r="E213" s="112">
        <f>D213*'Ratios (C)'!$P$36</f>
        <v>1948.9932157973271</v>
      </c>
      <c r="F213" s="112">
        <f>D213*'Ratios (C)'!$Q$36</f>
        <v>632.28757366373429</v>
      </c>
      <c r="G213" s="112">
        <f>D213*'Ratios (C)'!$R$36</f>
        <v>293.79276796605876</v>
      </c>
      <c r="H213" s="203"/>
      <c r="I213" s="80" t="s">
        <v>370</v>
      </c>
      <c r="J213" s="112">
        <f t="shared" si="15"/>
        <v>0</v>
      </c>
      <c r="K213" s="440"/>
    </row>
    <row r="214" spans="1:13">
      <c r="A214" s="111">
        <v>70116</v>
      </c>
      <c r="B214" s="99" t="s">
        <v>114</v>
      </c>
      <c r="C214" s="78"/>
      <c r="D214" s="196">
        <f>VLOOKUP(A214,'Converted IS (C)'!$A$9:$T$295,20,FALSE)</f>
        <v>44381.906757395867</v>
      </c>
      <c r="E214" s="112">
        <f>$D214*'Ratios (C)'!$P$6</f>
        <v>18777.750707303938</v>
      </c>
      <c r="F214" s="112">
        <f>$D214*'Ratios (C)'!$Q$6</f>
        <v>17618.730202049424</v>
      </c>
      <c r="G214" s="112">
        <f>$D214*'Ratios (C)'!$R$6</f>
        <v>7985.4258480425051</v>
      </c>
      <c r="H214" s="203"/>
      <c r="I214" s="80" t="s">
        <v>371</v>
      </c>
      <c r="J214" s="112">
        <f t="shared" si="15"/>
        <v>0</v>
      </c>
      <c r="K214" s="440"/>
    </row>
    <row r="215" spans="1:13">
      <c r="A215" s="130">
        <v>46510</v>
      </c>
      <c r="B215" s="131" t="s">
        <v>114</v>
      </c>
      <c r="C215" s="91"/>
      <c r="D215" s="197">
        <f>SUM(D208:D214)</f>
        <v>428668.65623679647</v>
      </c>
      <c r="E215" s="132">
        <f>SUM(E208:E214)</f>
        <v>276256.90519518883</v>
      </c>
      <c r="F215" s="132">
        <f>SUM(F208:F214)</f>
        <v>104234.21606565494</v>
      </c>
      <c r="G215" s="132">
        <f>SUM(G208:G214)</f>
        <v>48177.534975952745</v>
      </c>
      <c r="H215" s="204"/>
      <c r="I215" s="92"/>
      <c r="J215" s="112">
        <f t="shared" si="15"/>
        <v>0</v>
      </c>
      <c r="K215" s="135"/>
      <c r="L215" s="127"/>
      <c r="M215" s="128"/>
    </row>
    <row r="216" spans="1:13">
      <c r="A216" s="111"/>
      <c r="B216" s="99"/>
      <c r="C216" s="80"/>
      <c r="D216" s="196"/>
      <c r="E216" s="112"/>
      <c r="F216" s="112"/>
      <c r="G216" s="112"/>
      <c r="H216" s="203"/>
      <c r="I216" s="80"/>
      <c r="J216" s="112">
        <f t="shared" si="15"/>
        <v>0</v>
      </c>
      <c r="K216" s="440"/>
    </row>
    <row r="217" spans="1:13">
      <c r="A217" s="111">
        <v>70310</v>
      </c>
      <c r="B217" s="99" t="s">
        <v>117</v>
      </c>
      <c r="C217" s="78"/>
      <c r="D217" s="196">
        <f>VLOOKUP(A217,'Converted IS (C)'!$A$9:$T$295,20,FALSE)</f>
        <v>73058.702772993507</v>
      </c>
      <c r="E217" s="112">
        <f>D217*SUM($E$9:$E$15)/SUM($D$9:$D$15)</f>
        <v>61850.032688410378</v>
      </c>
      <c r="F217" s="112">
        <f>D217*SUM($F$9:$F$15)/SUM($D$9:$D$15)</f>
        <v>7567.566807087047</v>
      </c>
      <c r="G217" s="112">
        <f>D217*SUM($G$9:$G$15)/SUM($D$9:$D$15)</f>
        <v>3641.1032774960854</v>
      </c>
      <c r="H217" s="203"/>
      <c r="I217" s="80" t="s">
        <v>166</v>
      </c>
      <c r="J217" s="112">
        <f t="shared" si="15"/>
        <v>0</v>
      </c>
      <c r="K217" s="440"/>
    </row>
    <row r="218" spans="1:13">
      <c r="A218" s="130">
        <v>46700</v>
      </c>
      <c r="B218" s="131" t="s">
        <v>118</v>
      </c>
      <c r="C218" s="91"/>
      <c r="D218" s="197">
        <f t="shared" ref="D218:G218" si="17">SUM(D217:D217)</f>
        <v>73058.702772993507</v>
      </c>
      <c r="E218" s="132">
        <f t="shared" si="17"/>
        <v>61850.032688410378</v>
      </c>
      <c r="F218" s="132">
        <f t="shared" si="17"/>
        <v>7567.566807087047</v>
      </c>
      <c r="G218" s="132">
        <f t="shared" si="17"/>
        <v>3641.1032774960854</v>
      </c>
      <c r="H218" s="204"/>
      <c r="I218" s="92"/>
      <c r="J218" s="112">
        <f t="shared" si="15"/>
        <v>0</v>
      </c>
      <c r="K218" s="135"/>
      <c r="L218" s="127"/>
      <c r="M218" s="128"/>
    </row>
    <row r="219" spans="1:13">
      <c r="A219" s="111"/>
      <c r="B219" s="99"/>
      <c r="C219" s="80"/>
      <c r="D219" s="196"/>
      <c r="E219" s="112"/>
      <c r="F219" s="112"/>
      <c r="G219" s="112"/>
      <c r="H219" s="203"/>
      <c r="I219" s="80"/>
      <c r="J219" s="112">
        <f t="shared" si="15"/>
        <v>0</v>
      </c>
      <c r="K219" s="440"/>
    </row>
    <row r="220" spans="1:13">
      <c r="A220" s="111">
        <v>70086</v>
      </c>
      <c r="B220" s="99" t="s">
        <v>120</v>
      </c>
      <c r="C220" s="78"/>
      <c r="D220" s="196">
        <f>VLOOKUP(A220,'Converted IS (C)'!$A$9:$T$295,20,FALSE)</f>
        <v>3071.0162666794058</v>
      </c>
      <c r="E220" s="112">
        <f>$D220*'Ratios (C)'!$P$6</f>
        <v>1299.3307878592086</v>
      </c>
      <c r="F220" s="112">
        <f>$D220*'Ratios (C)'!$Q$6</f>
        <v>1219.1320968811908</v>
      </c>
      <c r="G220" s="112">
        <f>$D220*'Ratios (C)'!$R$6</f>
        <v>552.55338193900627</v>
      </c>
      <c r="H220" s="203"/>
      <c r="I220" s="80" t="s">
        <v>371</v>
      </c>
      <c r="J220" s="112">
        <f t="shared" ref="J220:J236" si="18">SUM(E220:H220)-D220</f>
        <v>0</v>
      </c>
      <c r="K220" s="440"/>
    </row>
    <row r="221" spans="1:13">
      <c r="A221" s="134">
        <v>70090</v>
      </c>
      <c r="B221" s="99" t="s">
        <v>121</v>
      </c>
      <c r="C221" s="78"/>
      <c r="D221" s="196">
        <f>VLOOKUP(A221,'Converted IS (C)'!$A$9:$T$295,20,FALSE)</f>
        <v>3667.5016305265654</v>
      </c>
      <c r="E221" s="112">
        <f>$D221*'Ratios (C)'!$P$6</f>
        <v>1551.7005998211735</v>
      </c>
      <c r="F221" s="112">
        <f>$D221*'Ratios (C)'!$Q$6</f>
        <v>1455.9248681458705</v>
      </c>
      <c r="G221" s="112">
        <f>$D221*'Ratios (C)'!$R$6</f>
        <v>659.87616255952128</v>
      </c>
      <c r="H221" s="203"/>
      <c r="I221" s="80" t="s">
        <v>371</v>
      </c>
      <c r="J221" s="112">
        <f t="shared" si="18"/>
        <v>0</v>
      </c>
      <c r="K221" s="440"/>
    </row>
    <row r="222" spans="1:13" s="99" customFormat="1">
      <c r="A222" s="134">
        <v>70095</v>
      </c>
      <c r="B222" s="99" t="s">
        <v>62</v>
      </c>
      <c r="C222" s="78"/>
      <c r="D222" s="196">
        <f>VLOOKUP(A222,'Converted IS (C)'!$A$9:$T$295,20,FALSE)</f>
        <v>55879.932591010351</v>
      </c>
      <c r="E222" s="112">
        <f>$D222*'Ratios (C)'!$P$6</f>
        <v>23642.5048042823</v>
      </c>
      <c r="F222" s="112">
        <f>$D222*'Ratios (C)'!$Q$6</f>
        <v>22183.216719629916</v>
      </c>
      <c r="G222" s="112">
        <f>$D222*'Ratios (C)'!$R$6</f>
        <v>10054.211067098131</v>
      </c>
      <c r="H222" s="203"/>
      <c r="I222" s="80" t="s">
        <v>371</v>
      </c>
      <c r="J222" s="112">
        <f t="shared" si="18"/>
        <v>0</v>
      </c>
      <c r="K222" s="440"/>
    </row>
    <row r="223" spans="1:13" s="99" customFormat="1">
      <c r="A223" s="134">
        <v>70105</v>
      </c>
      <c r="B223" s="99" t="s">
        <v>122</v>
      </c>
      <c r="C223" s="78"/>
      <c r="D223" s="196">
        <f>VLOOKUP(A223,'Converted IS (C)'!$A$9:$T$295,20,FALSE)</f>
        <v>30104.26014319</v>
      </c>
      <c r="E223" s="112">
        <f>$D223*'Ratios (C)'!$P$6</f>
        <v>12736.953715997048</v>
      </c>
      <c r="F223" s="112">
        <f>$D223*'Ratios (C)'!$Q$6</f>
        <v>11950.789773284985</v>
      </c>
      <c r="G223" s="112">
        <f>$D223*'Ratios (C)'!$R$6</f>
        <v>5416.5166539079655</v>
      </c>
      <c r="H223" s="203"/>
      <c r="I223" s="80" t="s">
        <v>371</v>
      </c>
      <c r="J223" s="112">
        <f t="shared" si="18"/>
        <v>0</v>
      </c>
      <c r="K223" s="440"/>
    </row>
    <row r="224" spans="1:13" s="99" customFormat="1">
      <c r="A224" s="134">
        <v>70110</v>
      </c>
      <c r="B224" s="99" t="s">
        <v>123</v>
      </c>
      <c r="C224" s="78"/>
      <c r="D224" s="196">
        <f>VLOOKUP(A224,'Converted IS (C)'!$A$9:$T$295,20,FALSE)</f>
        <v>0</v>
      </c>
      <c r="E224" s="112">
        <f>$D224*'Ratios (C)'!$P$6</f>
        <v>0</v>
      </c>
      <c r="F224" s="112">
        <f>$D224*'Ratios (C)'!$Q$6</f>
        <v>0</v>
      </c>
      <c r="G224" s="112">
        <f>$D224*'Ratios (C)'!$R$6</f>
        <v>0</v>
      </c>
      <c r="H224" s="203"/>
      <c r="I224" s="80" t="s">
        <v>371</v>
      </c>
      <c r="J224" s="112">
        <f t="shared" si="18"/>
        <v>0</v>
      </c>
      <c r="K224" s="440"/>
    </row>
    <row r="225" spans="1:11">
      <c r="A225" s="134">
        <v>70112</v>
      </c>
      <c r="B225" s="99" t="s">
        <v>124</v>
      </c>
      <c r="C225" s="78"/>
      <c r="D225" s="196">
        <f>VLOOKUP(A225,'Converted IS (C)'!$A$9:$T$295,20,FALSE)</f>
        <v>0</v>
      </c>
      <c r="E225" s="112">
        <f>$D225*'Ratios (C)'!$P$6</f>
        <v>0</v>
      </c>
      <c r="F225" s="112">
        <f>$D225*'Ratios (C)'!$Q$6</f>
        <v>0</v>
      </c>
      <c r="G225" s="112">
        <f>$D225*'Ratios (C)'!$R$6</f>
        <v>0</v>
      </c>
      <c r="H225" s="203"/>
      <c r="I225" s="80" t="s">
        <v>371</v>
      </c>
      <c r="J225" s="112">
        <f t="shared" si="18"/>
        <v>0</v>
      </c>
      <c r="K225" s="440"/>
    </row>
    <row r="226" spans="1:11" s="99" customFormat="1">
      <c r="A226" s="111">
        <v>70148</v>
      </c>
      <c r="B226" s="99" t="s">
        <v>125</v>
      </c>
      <c r="C226" s="78"/>
      <c r="D226" s="196">
        <f>VLOOKUP(A226,'Converted IS (C)'!$A$9:$T$295,20,FALSE)</f>
        <v>113476.4827131178</v>
      </c>
      <c r="E226" s="112">
        <f>$D226*'Ratios (C)'!$P$6</f>
        <v>48011.301433630397</v>
      </c>
      <c r="F226" s="112">
        <f>$D226*'Ratios (C)'!$Q$6</f>
        <v>45047.896299921355</v>
      </c>
      <c r="G226" s="112">
        <f>$D226*'Ratios (C)'!$R$6</f>
        <v>20417.284979566044</v>
      </c>
      <c r="H226" s="203"/>
      <c r="I226" s="80" t="s">
        <v>371</v>
      </c>
      <c r="J226" s="112">
        <f t="shared" si="18"/>
        <v>0</v>
      </c>
      <c r="K226" s="440"/>
    </row>
    <row r="227" spans="1:11">
      <c r="A227" s="111">
        <v>70190</v>
      </c>
      <c r="B227" s="99" t="s">
        <v>126</v>
      </c>
      <c r="C227" s="78"/>
      <c r="D227" s="196">
        <f>VLOOKUP(A227,'Converted IS (C)'!$A$9:$T$295,20,FALSE)</f>
        <v>2439.4721002269039</v>
      </c>
      <c r="E227" s="112">
        <f>$D227*'Ratios (C)'!$P$6</f>
        <v>1032.1277813925938</v>
      </c>
      <c r="F227" s="112">
        <f>$D227*'Ratios (C)'!$Q$6</f>
        <v>968.42168148087444</v>
      </c>
      <c r="G227" s="112">
        <f>$D227*'Ratios (C)'!$R$6</f>
        <v>438.9226373534355</v>
      </c>
      <c r="H227" s="203"/>
      <c r="I227" s="80" t="s">
        <v>371</v>
      </c>
      <c r="J227" s="112">
        <f t="shared" si="18"/>
        <v>0</v>
      </c>
      <c r="K227" s="440"/>
    </row>
    <row r="228" spans="1:11">
      <c r="A228" s="111">
        <v>70195</v>
      </c>
      <c r="B228" s="99" t="s">
        <v>127</v>
      </c>
      <c r="C228" s="78"/>
      <c r="D228" s="196">
        <f>VLOOKUP(A228,'Converted IS (C)'!$A$9:$T$295,20,FALSE)</f>
        <v>14518.281651826925</v>
      </c>
      <c r="E228" s="112">
        <f>$D228*'Ratios (C)'!$P$6</f>
        <v>6142.6084067692946</v>
      </c>
      <c r="F228" s="112">
        <f>$D228*'Ratios (C)'!$Q$6</f>
        <v>5763.4677306485301</v>
      </c>
      <c r="G228" s="112">
        <f>$D228*'Ratios (C)'!$R$6</f>
        <v>2612.2055144090996</v>
      </c>
      <c r="H228" s="203"/>
      <c r="I228" s="80" t="s">
        <v>371</v>
      </c>
      <c r="J228" s="112">
        <f t="shared" si="18"/>
        <v>0</v>
      </c>
      <c r="K228" s="440"/>
    </row>
    <row r="229" spans="1:11">
      <c r="A229" s="134">
        <v>70200</v>
      </c>
      <c r="B229" s="99" t="s">
        <v>60</v>
      </c>
      <c r="C229" s="78"/>
      <c r="D229" s="196">
        <f>VLOOKUP(A229,'Converted IS (C)'!$A$9:$T$295,20,FALSE)</f>
        <v>612.96358103531998</v>
      </c>
      <c r="E229" s="112">
        <f>$D229*'Ratios (C)'!$P$6</f>
        <v>259.34165875871201</v>
      </c>
      <c r="F229" s="112">
        <f>$D229*'Ratios (C)'!$Q$6</f>
        <v>243.33429424240978</v>
      </c>
      <c r="G229" s="112">
        <f>$D229*'Ratios (C)'!$R$6</f>
        <v>110.28762803419815</v>
      </c>
      <c r="H229" s="203"/>
      <c r="I229" s="80" t="s">
        <v>371</v>
      </c>
      <c r="J229" s="112">
        <f t="shared" si="18"/>
        <v>0</v>
      </c>
      <c r="K229" s="440"/>
    </row>
    <row r="230" spans="1:11">
      <c r="A230" s="134">
        <v>70201</v>
      </c>
      <c r="B230" s="99" t="s">
        <v>72</v>
      </c>
      <c r="C230" s="78"/>
      <c r="D230" s="196">
        <f>VLOOKUP(A230,'Converted IS (C)'!$A$9:$T$295,20,FALSE)</f>
        <v>0</v>
      </c>
      <c r="E230" s="112">
        <f>$D230*'Ratios (C)'!$P$6</f>
        <v>0</v>
      </c>
      <c r="F230" s="112">
        <f>$D230*'Ratios (C)'!$Q$6</f>
        <v>0</v>
      </c>
      <c r="G230" s="112">
        <f>$D230*'Ratios (C)'!$R$6</f>
        <v>0</v>
      </c>
      <c r="H230" s="203"/>
      <c r="I230" s="80" t="s">
        <v>371</v>
      </c>
      <c r="J230" s="112">
        <f t="shared" si="18"/>
        <v>0</v>
      </c>
      <c r="K230" s="440"/>
    </row>
    <row r="231" spans="1:11">
      <c r="A231" s="134">
        <v>70202</v>
      </c>
      <c r="B231" s="99" t="s">
        <v>129</v>
      </c>
      <c r="C231" s="78"/>
      <c r="D231" s="196">
        <f>VLOOKUP(A231,'Converted IS (C)'!$A$9:$T$295,20,FALSE)</f>
        <v>8284.8894746532224</v>
      </c>
      <c r="E231" s="112">
        <f>$D231*'Ratios (C)'!$P$6</f>
        <v>3505.2930475250437</v>
      </c>
      <c r="F231" s="112">
        <f>$D231*'Ratios (C)'!$Q$6</f>
        <v>3288.9355837193625</v>
      </c>
      <c r="G231" s="112">
        <f>$D231*'Ratios (C)'!$R$6</f>
        <v>1490.6608434088155</v>
      </c>
      <c r="H231" s="203"/>
      <c r="I231" s="80" t="s">
        <v>371</v>
      </c>
      <c r="J231" s="112">
        <f t="shared" si="18"/>
        <v>0</v>
      </c>
      <c r="K231" s="440"/>
    </row>
    <row r="232" spans="1:11">
      <c r="A232" s="134">
        <v>70203</v>
      </c>
      <c r="B232" s="99" t="s">
        <v>130</v>
      </c>
      <c r="C232" s="78"/>
      <c r="D232" s="196">
        <f>VLOOKUP(A232,'Converted IS (C)'!$A$9:$T$295,20,FALSE)</f>
        <v>4115.8642783207206</v>
      </c>
      <c r="E232" s="112">
        <f>$D232*'Ratios (C)'!$P$6</f>
        <v>1741.4004717254459</v>
      </c>
      <c r="F232" s="112">
        <f>$D232*'Ratios (C)'!$Q$6</f>
        <v>1633.9158807299646</v>
      </c>
      <c r="G232" s="112">
        <f>$D232*'Ratios (C)'!$R$6</f>
        <v>740.54792586530994</v>
      </c>
      <c r="H232" s="203"/>
      <c r="I232" s="80" t="s">
        <v>371</v>
      </c>
      <c r="J232" s="112">
        <f t="shared" si="18"/>
        <v>0</v>
      </c>
      <c r="K232" s="440"/>
    </row>
    <row r="233" spans="1:11">
      <c r="A233" s="134">
        <v>70205</v>
      </c>
      <c r="B233" s="99" t="s">
        <v>131</v>
      </c>
      <c r="C233" s="78"/>
      <c r="D233" s="196">
        <f>VLOOKUP(A233,'Converted IS (C)'!$A$9:$T$295,20,FALSE)</f>
        <v>4187.6710276602389</v>
      </c>
      <c r="E233" s="112">
        <f>$D233*'Ratios (C)'!$P$6</f>
        <v>1771.7815287081912</v>
      </c>
      <c r="F233" s="112">
        <f>$D233*'Ratios (C)'!$Q$6</f>
        <v>1662.4217254701375</v>
      </c>
      <c r="G233" s="112">
        <f>$D233*'Ratios (C)'!$R$6</f>
        <v>753.46777348190983</v>
      </c>
      <c r="H233" s="203"/>
      <c r="I233" s="80" t="s">
        <v>371</v>
      </c>
      <c r="J233" s="112">
        <f t="shared" si="18"/>
        <v>0</v>
      </c>
      <c r="K233" s="440"/>
    </row>
    <row r="234" spans="1:11">
      <c r="A234" s="134">
        <v>70206</v>
      </c>
      <c r="B234" s="99" t="s">
        <v>132</v>
      </c>
      <c r="C234" s="78"/>
      <c r="D234" s="196">
        <f>VLOOKUP(A234,'Converted IS (C)'!$A$9:$T$295,20,FALSE)</f>
        <v>5332.9759929207048</v>
      </c>
      <c r="E234" s="112">
        <f>$D234*'Ratios (C)'!$P$6</f>
        <v>2256.3540199050594</v>
      </c>
      <c r="F234" s="112">
        <f>$D234*'Ratios (C)'!$Q$6</f>
        <v>2117.0849127075608</v>
      </c>
      <c r="G234" s="112">
        <f>$D234*'Ratios (C)'!$R$6</f>
        <v>959.53706030808451</v>
      </c>
      <c r="H234" s="203"/>
      <c r="I234" s="80" t="s">
        <v>371</v>
      </c>
      <c r="J234" s="112">
        <f t="shared" si="18"/>
        <v>0</v>
      </c>
      <c r="K234" s="440"/>
    </row>
    <row r="235" spans="1:11">
      <c r="A235" s="134">
        <v>70232</v>
      </c>
      <c r="B235" s="99" t="s">
        <v>136</v>
      </c>
      <c r="C235" s="78"/>
      <c r="D235" s="196">
        <f>VLOOKUP(A235,'Converted IS (C)'!$A$9:$T$295,20,FALSE)</f>
        <v>117.73262082521522</v>
      </c>
      <c r="E235" s="112">
        <f>$D235*'Ratios (C)'!$P$6</f>
        <v>49.81205102471241</v>
      </c>
      <c r="F235" s="112">
        <f>$D235*'Ratios (C)'!$Q$6</f>
        <v>46.73749808989421</v>
      </c>
      <c r="G235" s="112">
        <f>$D235*'Ratios (C)'!$R$6</f>
        <v>21.183071710608598</v>
      </c>
      <c r="H235" s="203"/>
      <c r="I235" s="80" t="s">
        <v>371</v>
      </c>
      <c r="J235" s="112">
        <f t="shared" si="18"/>
        <v>0</v>
      </c>
      <c r="K235" s="440"/>
    </row>
    <row r="236" spans="1:11" s="99" customFormat="1">
      <c r="A236" s="134">
        <v>70255</v>
      </c>
      <c r="B236" s="99" t="s">
        <v>137</v>
      </c>
      <c r="C236" s="78"/>
      <c r="D236" s="196">
        <f>VLOOKUP(A236,'Converted IS (C)'!$A$9:$T$295,20,FALSE)</f>
        <v>13776.130297945556</v>
      </c>
      <c r="E236" s="112">
        <f>$D236*'Ratios (C)'!$P$6</f>
        <v>5828.6080825729896</v>
      </c>
      <c r="F236" s="112">
        <f>$D236*'Ratios (C)'!$Q$6</f>
        <v>5468.8484718456721</v>
      </c>
      <c r="G236" s="112">
        <f>$D236*'Ratios (C)'!$R$6</f>
        <v>2478.6737435268933</v>
      </c>
      <c r="H236" s="203"/>
      <c r="I236" s="80" t="s">
        <v>371</v>
      </c>
      <c r="J236" s="112">
        <f t="shared" si="18"/>
        <v>0</v>
      </c>
      <c r="K236" s="440"/>
    </row>
    <row r="237" spans="1:11" s="99" customFormat="1">
      <c r="A237" s="134">
        <v>70330</v>
      </c>
      <c r="B237" s="99" t="s">
        <v>538</v>
      </c>
      <c r="C237" s="78"/>
      <c r="D237" s="196">
        <f>VLOOKUP(A237,'Converted IS (C)'!$A$9:$T$295,20,FALSE)</f>
        <v>10686.634939487612</v>
      </c>
      <c r="E237" s="112">
        <f>$D237*'Ratios (C)'!$P$6</f>
        <v>4521.4588884291761</v>
      </c>
      <c r="F237" s="112">
        <f>$D237*'Ratios (C)'!$Q$6</f>
        <v>4242.380544753204</v>
      </c>
      <c r="G237" s="112">
        <f>$D237*'Ratios (C)'!$R$6</f>
        <v>1922.7955063052309</v>
      </c>
      <c r="H237" s="203"/>
      <c r="I237" s="80" t="s">
        <v>371</v>
      </c>
      <c r="J237" s="112"/>
      <c r="K237" s="440"/>
    </row>
    <row r="238" spans="1:11" s="99" customFormat="1">
      <c r="A238" s="134">
        <v>70324</v>
      </c>
      <c r="B238" s="99" t="s">
        <v>138</v>
      </c>
      <c r="C238" s="78"/>
      <c r="D238" s="196">
        <f>VLOOKUP(A238,'Converted IS (C)'!$A$9:$T$295,20,FALSE)</f>
        <v>0</v>
      </c>
      <c r="E238" s="112">
        <f>$D238*'Ratios (C)'!$P$6</f>
        <v>0</v>
      </c>
      <c r="F238" s="112">
        <f>$D238*'Ratios (C)'!$Q$6</f>
        <v>0</v>
      </c>
      <c r="G238" s="112">
        <f>$D238*'Ratios (C)'!$R$6</f>
        <v>0</v>
      </c>
      <c r="H238" s="203"/>
      <c r="I238" s="80" t="s">
        <v>371</v>
      </c>
      <c r="J238" s="112">
        <f t="shared" ref="J238:J291" si="19">SUM(E238:H238)-D238</f>
        <v>0</v>
      </c>
      <c r="K238" s="440"/>
    </row>
    <row r="239" spans="1:11" s="99" customFormat="1">
      <c r="A239" s="134">
        <v>70335</v>
      </c>
      <c r="B239" s="99" t="s">
        <v>45</v>
      </c>
      <c r="C239" s="78"/>
      <c r="D239" s="196">
        <f>VLOOKUP(A239,'Converted IS (C)'!$A$9:$T$295,20,FALSE)</f>
        <v>301.58109768035422</v>
      </c>
      <c r="E239" s="112">
        <f>$D239*'Ratios (C)'!$P$6</f>
        <v>127.59737208300713</v>
      </c>
      <c r="F239" s="112">
        <f>$D239*'Ratios (C)'!$Q$6</f>
        <v>119.72166998396544</v>
      </c>
      <c r="G239" s="112">
        <f>$D239*'Ratios (C)'!$R$6</f>
        <v>54.262055613381619</v>
      </c>
      <c r="H239" s="203"/>
      <c r="I239" s="80" t="s">
        <v>371</v>
      </c>
      <c r="J239" s="112">
        <f t="shared" si="19"/>
        <v>0</v>
      </c>
      <c r="K239" s="440"/>
    </row>
    <row r="240" spans="1:11" s="99" customFormat="1">
      <c r="A240" s="134">
        <v>70336</v>
      </c>
      <c r="B240" s="99" t="s">
        <v>139</v>
      </c>
      <c r="C240" s="78"/>
      <c r="D240" s="196">
        <f>VLOOKUP(A240,'Converted IS (C)'!$A$9:$T$295,20,FALSE)</f>
        <v>8715.9764552413126</v>
      </c>
      <c r="E240" s="112">
        <f>$D240*'Ratios (C)'!$P$6</f>
        <v>3687.6836757352339</v>
      </c>
      <c r="F240" s="112">
        <f>$D240*'Ratios (C)'!$Q$6</f>
        <v>3460.0685016022117</v>
      </c>
      <c r="G240" s="112">
        <f>$D240*'Ratios (C)'!$R$6</f>
        <v>1568.2242779038666</v>
      </c>
      <c r="H240" s="203"/>
      <c r="I240" s="80" t="s">
        <v>371</v>
      </c>
      <c r="J240" s="112">
        <f t="shared" si="19"/>
        <v>0</v>
      </c>
      <c r="K240" s="440"/>
    </row>
    <row r="241" spans="1:13">
      <c r="A241" s="134"/>
      <c r="B241" s="99"/>
      <c r="C241" s="78"/>
      <c r="D241" s="196"/>
      <c r="E241" s="112"/>
      <c r="F241" s="112"/>
      <c r="G241" s="112"/>
      <c r="H241" s="203"/>
      <c r="I241" s="80"/>
      <c r="J241" s="112"/>
      <c r="K241" s="440"/>
    </row>
    <row r="242" spans="1:13">
      <c r="A242" s="130">
        <v>46900</v>
      </c>
      <c r="B242" s="131" t="s">
        <v>142</v>
      </c>
      <c r="C242" s="91"/>
      <c r="D242" s="197">
        <f>SUM(D220:D241)</f>
        <v>279289.36686234822</v>
      </c>
      <c r="E242" s="132">
        <f>SUM(E220:E241)</f>
        <v>118165.85832621959</v>
      </c>
      <c r="F242" s="132">
        <f>SUM(F220:F241)</f>
        <v>110872.29825313709</v>
      </c>
      <c r="G242" s="132">
        <f>SUM(G220:G241)</f>
        <v>50251.210282991487</v>
      </c>
      <c r="H242" s="204"/>
      <c r="I242" s="92"/>
      <c r="J242" s="112">
        <f t="shared" si="19"/>
        <v>0</v>
      </c>
      <c r="K242" s="135"/>
      <c r="L242" s="127"/>
      <c r="M242" s="128"/>
    </row>
    <row r="243" spans="1:13">
      <c r="A243" s="111"/>
      <c r="B243" s="99"/>
      <c r="C243" s="80"/>
      <c r="D243" s="196"/>
      <c r="E243" s="112"/>
      <c r="F243" s="112"/>
      <c r="G243" s="112"/>
      <c r="H243" s="203"/>
      <c r="I243" s="80"/>
      <c r="J243" s="112">
        <f t="shared" si="19"/>
        <v>0</v>
      </c>
      <c r="K243" s="440"/>
    </row>
    <row r="244" spans="1:13">
      <c r="A244" s="111">
        <v>51260</v>
      </c>
      <c r="B244" s="99" t="s">
        <v>143</v>
      </c>
      <c r="C244" s="78"/>
      <c r="D244" s="196">
        <f>VLOOKUP(A244,'Converted IS (C)'!$A$9:$T$295,20,FALSE)</f>
        <v>1912878.8158378536</v>
      </c>
      <c r="E244" s="112">
        <f>Deprec!V34</f>
        <v>1255981.1955063639</v>
      </c>
      <c r="F244" s="112">
        <f>Deprec!W34</f>
        <v>579817.87738148356</v>
      </c>
      <c r="G244" s="112">
        <f>Deprec!X34</f>
        <v>77079.74295000649</v>
      </c>
      <c r="H244" s="203"/>
      <c r="I244" s="80" t="s">
        <v>2436</v>
      </c>
      <c r="J244" s="112">
        <f>SUM(E244:H244)-D244</f>
        <v>0</v>
      </c>
      <c r="K244" s="440"/>
    </row>
    <row r="245" spans="1:13">
      <c r="A245" s="111">
        <v>54260</v>
      </c>
      <c r="B245" s="99" t="s">
        <v>144</v>
      </c>
      <c r="C245" s="78"/>
      <c r="D245" s="196">
        <f>VLOOKUP(A245,'Converted IS (C)'!$A$9:$T$295,20,FALSE)</f>
        <v>638450.48062266468</v>
      </c>
      <c r="E245" s="112">
        <f>Deprec!V55</f>
        <v>400247.93710023753</v>
      </c>
      <c r="F245" s="112">
        <f>Deprec!W55</f>
        <v>117340.92729663567</v>
      </c>
      <c r="G245" s="112">
        <f>Deprec!X55</f>
        <v>120861.61622579151</v>
      </c>
      <c r="H245" s="203"/>
      <c r="I245" s="80" t="s">
        <v>2436</v>
      </c>
      <c r="J245" s="112">
        <f t="shared" si="19"/>
        <v>0</v>
      </c>
      <c r="K245" s="440"/>
    </row>
    <row r="246" spans="1:13">
      <c r="A246" s="111"/>
      <c r="B246" s="99" t="s">
        <v>145</v>
      </c>
      <c r="C246" s="78"/>
      <c r="D246" s="196">
        <f>'Converted IS (C)'!T246</f>
        <v>17207.190260865398</v>
      </c>
      <c r="E246" s="112">
        <f>Deprec!V62</f>
        <v>11664.639673209691</v>
      </c>
      <c r="F246" s="112">
        <f>Deprec!W62</f>
        <v>3784.2136426412512</v>
      </c>
      <c r="G246" s="112">
        <f>Deprec!X62</f>
        <v>1758.3369450144587</v>
      </c>
      <c r="H246" s="203"/>
      <c r="I246" s="80" t="s">
        <v>2436</v>
      </c>
      <c r="J246" s="112">
        <f t="shared" si="19"/>
        <v>0</v>
      </c>
      <c r="K246" s="440"/>
    </row>
    <row r="247" spans="1:13">
      <c r="A247" s="111">
        <v>57260</v>
      </c>
      <c r="B247" s="99" t="s">
        <v>146</v>
      </c>
      <c r="C247" s="78"/>
      <c r="D247" s="196">
        <f>VLOOKUP(A247,'Converted IS (C)'!$A$9:$T$295,20,FALSE)</f>
        <v>15322.743730766577</v>
      </c>
      <c r="E247" s="112">
        <f>Deprec!V60</f>
        <v>10387.185921389109</v>
      </c>
      <c r="F247" s="112">
        <f>Deprec!W60</f>
        <v>3369.7852461443276</v>
      </c>
      <c r="G247" s="112">
        <f>Deprec!X60</f>
        <v>1565.7725632331408</v>
      </c>
      <c r="H247" s="203"/>
      <c r="I247" s="80" t="s">
        <v>2436</v>
      </c>
      <c r="J247" s="112">
        <f t="shared" si="19"/>
        <v>0</v>
      </c>
      <c r="K247" s="440"/>
    </row>
    <row r="248" spans="1:13">
      <c r="A248" s="111"/>
      <c r="B248" s="99" t="s">
        <v>354</v>
      </c>
      <c r="C248" s="78"/>
      <c r="D248" s="196">
        <f>'Converted IS (C)'!T248</f>
        <v>0</v>
      </c>
      <c r="E248" s="112">
        <f>Deprec!V74</f>
        <v>0</v>
      </c>
      <c r="F248" s="112">
        <f>Deprec!W74</f>
        <v>0</v>
      </c>
      <c r="G248" s="112">
        <f>Deprec!X74</f>
        <v>0</v>
      </c>
      <c r="H248" s="203"/>
      <c r="I248" s="80" t="s">
        <v>2436</v>
      </c>
      <c r="J248" s="112">
        <f t="shared" si="19"/>
        <v>0</v>
      </c>
      <c r="K248" s="440"/>
    </row>
    <row r="249" spans="1:13">
      <c r="A249" s="111">
        <v>70260</v>
      </c>
      <c r="B249" s="99" t="s">
        <v>147</v>
      </c>
      <c r="C249" s="78"/>
      <c r="D249" s="196">
        <f>VLOOKUP(A249,'Converted IS (C)'!$A$9:$T$295,20,FALSE)</f>
        <v>21755.30865421506</v>
      </c>
      <c r="E249" s="112">
        <f>Deprec!V64</f>
        <v>9204.5563680345167</v>
      </c>
      <c r="F249" s="112">
        <f>Deprec!W64</f>
        <v>8636.4228498824523</v>
      </c>
      <c r="G249" s="112">
        <f>Deprec!X64</f>
        <v>3914.3294362980896</v>
      </c>
      <c r="H249" s="203"/>
      <c r="I249" s="80" t="s">
        <v>2436</v>
      </c>
      <c r="J249" s="112">
        <f t="shared" si="19"/>
        <v>0</v>
      </c>
      <c r="K249" s="440"/>
    </row>
    <row r="250" spans="1:13">
      <c r="A250" s="111"/>
      <c r="B250" s="99" t="s">
        <v>344</v>
      </c>
      <c r="C250" s="78"/>
      <c r="D250" s="196">
        <f>'Converted IS (C)'!T250</f>
        <v>17003.139508532899</v>
      </c>
      <c r="E250" s="112">
        <f>Deprec!V70</f>
        <v>11526.315027237753</v>
      </c>
      <c r="F250" s="112">
        <f>Deprec!W70</f>
        <v>3739.3387020459804</v>
      </c>
      <c r="G250" s="112">
        <f>Deprec!X70</f>
        <v>1737.4857792491664</v>
      </c>
      <c r="H250" s="203"/>
      <c r="I250" s="80" t="s">
        <v>2436</v>
      </c>
      <c r="J250" s="112">
        <f t="shared" si="19"/>
        <v>0</v>
      </c>
      <c r="K250" s="440"/>
    </row>
    <row r="251" spans="1:13">
      <c r="A251" s="111"/>
      <c r="B251" s="99" t="s">
        <v>345</v>
      </c>
      <c r="C251" s="78"/>
      <c r="D251" s="196">
        <f>'Converted IS (C)'!T251</f>
        <v>263230.14223150827</v>
      </c>
      <c r="E251" s="112">
        <f>Deprec!V72</f>
        <v>144906.62265219944</v>
      </c>
      <c r="F251" s="112">
        <f>Deprec!W72</f>
        <v>81193.40386215366</v>
      </c>
      <c r="G251" s="112">
        <f>Deprec!X72</f>
        <v>37130.115717155189</v>
      </c>
      <c r="H251" s="203"/>
      <c r="I251" s="80" t="s">
        <v>2436</v>
      </c>
      <c r="J251" s="112">
        <f t="shared" si="19"/>
        <v>0</v>
      </c>
      <c r="K251" s="440"/>
    </row>
    <row r="252" spans="1:13">
      <c r="A252" s="111">
        <v>70264</v>
      </c>
      <c r="B252" s="99" t="s">
        <v>148</v>
      </c>
      <c r="C252" s="78"/>
      <c r="D252" s="196">
        <f>VLOOKUP(A252,'Converted IS (C)'!$A$9:$T$295,20,FALSE)</f>
        <v>0</v>
      </c>
      <c r="E252" s="112"/>
      <c r="F252" s="112"/>
      <c r="G252" s="112"/>
      <c r="H252" s="203"/>
      <c r="I252" s="80"/>
      <c r="J252" s="112">
        <f t="shared" si="19"/>
        <v>0</v>
      </c>
      <c r="K252" s="440"/>
    </row>
    <row r="253" spans="1:13">
      <c r="A253" s="111">
        <v>91010</v>
      </c>
      <c r="B253" s="99" t="s">
        <v>149</v>
      </c>
      <c r="C253" s="94"/>
      <c r="D253" s="196">
        <f>VLOOKUP(A253,'Converted IS (C)'!$A$9:$T$295,20,FALSE)</f>
        <v>-16512.484533313174</v>
      </c>
      <c r="E253" s="112">
        <f>D253*'Ratios (C)'!$P$36</f>
        <v>-11193.703287433706</v>
      </c>
      <c r="F253" s="112">
        <f>D253*'Ratios (C)'!$Q$36</f>
        <v>-3631.4336215007206</v>
      </c>
      <c r="G253" s="112">
        <f>D253*'Ratios (C)'!$R$36</f>
        <v>-1687.3476243787497</v>
      </c>
      <c r="H253" s="203"/>
      <c r="I253" s="80" t="s">
        <v>370</v>
      </c>
      <c r="J253" s="112">
        <f t="shared" si="19"/>
        <v>0</v>
      </c>
      <c r="K253" s="512"/>
    </row>
    <row r="254" spans="1:13">
      <c r="A254" s="130"/>
      <c r="B254" s="131" t="s">
        <v>13</v>
      </c>
      <c r="C254" s="91"/>
      <c r="D254" s="197">
        <f t="shared" ref="D254:G254" si="20">SUM(D244:D253)</f>
        <v>2869335.3363130931</v>
      </c>
      <c r="E254" s="132">
        <f t="shared" si="20"/>
        <v>1832724.7489612382</v>
      </c>
      <c r="F254" s="132">
        <f t="shared" si="20"/>
        <v>794250.53535948601</v>
      </c>
      <c r="G254" s="132">
        <f t="shared" si="20"/>
        <v>242360.05199236929</v>
      </c>
      <c r="H254" s="204"/>
      <c r="I254" s="92"/>
      <c r="J254" s="112"/>
      <c r="K254" s="135"/>
      <c r="L254" s="127"/>
      <c r="M254" s="128"/>
    </row>
    <row r="255" spans="1:13">
      <c r="A255" s="111"/>
      <c r="B255" s="99"/>
      <c r="C255" s="80"/>
      <c r="D255" s="196"/>
      <c r="E255" s="112">
        <f>SUM(E244:E251)-Deprec!V81</f>
        <v>0</v>
      </c>
      <c r="F255" s="112">
        <f>SUM(F244:F251)-Deprec!W81</f>
        <v>0</v>
      </c>
      <c r="G255" s="112">
        <f>SUM(G244:G251)-Deprec!X81</f>
        <v>0</v>
      </c>
      <c r="H255" s="203"/>
      <c r="I255" s="80"/>
      <c r="J255" s="112">
        <f t="shared" si="19"/>
        <v>0</v>
      </c>
      <c r="K255" s="440"/>
    </row>
    <row r="256" spans="1:13">
      <c r="A256" s="111">
        <v>41201</v>
      </c>
      <c r="B256" s="99" t="s">
        <v>150</v>
      </c>
      <c r="C256" s="78"/>
      <c r="D256" s="196">
        <f>VLOOKUP(A256,'Converted IS (C)'!$A$9:$T$295,20,FALSE)</f>
        <v>0</v>
      </c>
      <c r="E256" s="1087"/>
      <c r="F256" s="1087"/>
      <c r="G256" s="1087"/>
      <c r="H256" s="203"/>
      <c r="I256" s="80" t="s">
        <v>310</v>
      </c>
      <c r="J256" s="112">
        <f t="shared" si="19"/>
        <v>0</v>
      </c>
      <c r="K256" s="440"/>
    </row>
    <row r="257" spans="1:13">
      <c r="A257" s="111">
        <v>57280</v>
      </c>
      <c r="B257" s="99" t="s">
        <v>151</v>
      </c>
      <c r="C257" s="78"/>
      <c r="D257" s="196">
        <f>VLOOKUP(A257,'Converted IS (C)'!$A$9:$T$295,20,FALSE)</f>
        <v>11253.841371555478</v>
      </c>
      <c r="E257" s="112">
        <f>D257*'Ratios (C)'!$P$36</f>
        <v>7628.9041120913689</v>
      </c>
      <c r="F257" s="112">
        <f>D257*'Ratios (C)'!$Q$36</f>
        <v>2474.9502623456756</v>
      </c>
      <c r="G257" s="112">
        <f>D257*'Ratios (C)'!$R$36</f>
        <v>1149.9869971184353</v>
      </c>
      <c r="H257" s="203"/>
      <c r="I257" s="80" t="s">
        <v>370</v>
      </c>
      <c r="J257" s="112">
        <f t="shared" si="19"/>
        <v>0</v>
      </c>
      <c r="K257" s="440"/>
    </row>
    <row r="258" spans="1:13">
      <c r="A258" s="130">
        <v>52000</v>
      </c>
      <c r="B258" s="131" t="s">
        <v>152</v>
      </c>
      <c r="C258" s="91"/>
      <c r="D258" s="197">
        <f t="shared" ref="D258:G258" si="21">SUM(D256:D257)</f>
        <v>11253.841371555478</v>
      </c>
      <c r="E258" s="132">
        <f t="shared" si="21"/>
        <v>7628.9041120913689</v>
      </c>
      <c r="F258" s="132">
        <f t="shared" si="21"/>
        <v>2474.9502623456756</v>
      </c>
      <c r="G258" s="132">
        <f t="shared" si="21"/>
        <v>1149.9869971184353</v>
      </c>
      <c r="H258" s="204"/>
      <c r="I258" s="92"/>
      <c r="J258" s="112">
        <f t="shared" si="19"/>
        <v>0</v>
      </c>
      <c r="K258" s="135"/>
      <c r="L258" s="127"/>
      <c r="M258" s="128"/>
    </row>
    <row r="259" spans="1:13">
      <c r="A259" s="111"/>
      <c r="B259" s="99"/>
      <c r="C259" s="80"/>
      <c r="D259" s="196"/>
      <c r="E259" s="112"/>
      <c r="F259" s="112"/>
      <c r="G259" s="112"/>
      <c r="H259" s="203"/>
      <c r="I259" s="80"/>
      <c r="J259" s="112">
        <f t="shared" si="19"/>
        <v>0</v>
      </c>
      <c r="K259" s="440"/>
    </row>
    <row r="260" spans="1:13" ht="12.75" customHeight="1">
      <c r="A260" s="111">
        <v>43001</v>
      </c>
      <c r="B260" s="99" t="s">
        <v>153</v>
      </c>
      <c r="C260" s="78"/>
      <c r="D260" s="196">
        <f>VLOOKUP(A260,'Converted IS (C)'!$A$9:$T$295,20,FALSE)</f>
        <v>576035.53858280007</v>
      </c>
      <c r="E260" s="112">
        <f>$D260*E$26/(SUM($E$26:$H$26))</f>
        <v>487587.34467722732</v>
      </c>
      <c r="F260" s="112">
        <f>$D$260*F$26/(SUM($E$26:$H$26))</f>
        <v>59717.116969161616</v>
      </c>
      <c r="G260" s="112">
        <f>$D$260*G$26/(SUM($E$26:$H$26))</f>
        <v>28731.076936411093</v>
      </c>
      <c r="H260" s="203"/>
      <c r="I260" s="80" t="s">
        <v>166</v>
      </c>
      <c r="J260" s="112">
        <f t="shared" si="19"/>
        <v>0</v>
      </c>
      <c r="K260" s="440"/>
    </row>
    <row r="261" spans="1:13">
      <c r="A261" s="130">
        <v>52030</v>
      </c>
      <c r="B261" s="131" t="s">
        <v>154</v>
      </c>
      <c r="C261" s="91"/>
      <c r="D261" s="197">
        <f t="shared" ref="D261:G261" si="22">SUM(D260)</f>
        <v>576035.53858280007</v>
      </c>
      <c r="E261" s="132">
        <f t="shared" si="22"/>
        <v>487587.34467722732</v>
      </c>
      <c r="F261" s="132">
        <f t="shared" si="22"/>
        <v>59717.116969161616</v>
      </c>
      <c r="G261" s="132">
        <f t="shared" si="22"/>
        <v>28731.076936411093</v>
      </c>
      <c r="H261" s="204"/>
      <c r="I261" s="92"/>
      <c r="J261" s="112">
        <f t="shared" si="19"/>
        <v>0</v>
      </c>
      <c r="K261" s="135"/>
      <c r="L261" s="127"/>
      <c r="M261" s="128"/>
    </row>
    <row r="262" spans="1:13">
      <c r="A262" s="111"/>
      <c r="B262" s="99"/>
      <c r="C262" s="80"/>
      <c r="D262" s="196"/>
      <c r="E262" s="112"/>
      <c r="F262" s="112"/>
      <c r="G262" s="112"/>
      <c r="H262" s="203"/>
      <c r="I262" s="80"/>
      <c r="J262" s="112">
        <f t="shared" si="19"/>
        <v>0</v>
      </c>
      <c r="K262" s="440"/>
    </row>
    <row r="263" spans="1:13">
      <c r="A263" s="111">
        <v>51295</v>
      </c>
      <c r="B263" s="99" t="s">
        <v>155</v>
      </c>
      <c r="C263" s="78"/>
      <c r="D263" s="196">
        <f>VLOOKUP(A263,'Converted IS (C)'!$A$9:$T$295,20,FALSE)</f>
        <v>80626.227220905042</v>
      </c>
      <c r="E263" s="112">
        <f>D263*'Ratios (C)'!$P$36</f>
        <v>54655.98244015051</v>
      </c>
      <c r="F263" s="112">
        <f>D263*'Ratios (C)'!$Q$36</f>
        <v>17731.359064352997</v>
      </c>
      <c r="G263" s="112">
        <f>D263*'Ratios (C)'!$R$36</f>
        <v>8238.8857164015481</v>
      </c>
      <c r="H263" s="203"/>
      <c r="I263" s="80" t="s">
        <v>370</v>
      </c>
      <c r="J263" s="112">
        <f t="shared" si="19"/>
        <v>0</v>
      </c>
      <c r="K263" s="440"/>
    </row>
    <row r="264" spans="1:13">
      <c r="A264" s="111">
        <v>57357</v>
      </c>
      <c r="B264" s="99" t="s">
        <v>140</v>
      </c>
      <c r="C264" s="78"/>
      <c r="D264" s="196">
        <f>VLOOKUP(A264,'Converted IS (C)'!$A$9:$T$295,20,FALSE)</f>
        <v>6265.6469655037372</v>
      </c>
      <c r="E264" s="112">
        <f>D264*'Ratios (C)'!$P$36</f>
        <v>4247.4403469788258</v>
      </c>
      <c r="F264" s="112">
        <f>D264*'Ratios (C)'!$Q$36</f>
        <v>1377.9441249486438</v>
      </c>
      <c r="G264" s="112">
        <f>D264*'Ratios (C)'!$R$36</f>
        <v>640.26249357626807</v>
      </c>
      <c r="H264" s="203"/>
      <c r="I264" s="80" t="s">
        <v>370</v>
      </c>
      <c r="J264" s="112">
        <f t="shared" si="19"/>
        <v>0</v>
      </c>
      <c r="K264" s="440"/>
    </row>
    <row r="265" spans="1:13">
      <c r="A265" s="130">
        <v>52200</v>
      </c>
      <c r="B265" s="131" t="s">
        <v>156</v>
      </c>
      <c r="C265" s="91"/>
      <c r="D265" s="197">
        <f t="shared" ref="D265:G265" si="23">SUM(D263:D264)</f>
        <v>86891.874186408779</v>
      </c>
      <c r="E265" s="132">
        <f t="shared" si="23"/>
        <v>58903.422787129333</v>
      </c>
      <c r="F265" s="132">
        <f t="shared" si="23"/>
        <v>19109.303189301641</v>
      </c>
      <c r="G265" s="132">
        <f t="shared" si="23"/>
        <v>8879.1482099778168</v>
      </c>
      <c r="H265" s="204"/>
      <c r="I265" s="92"/>
      <c r="J265" s="112">
        <f t="shared" si="19"/>
        <v>0</v>
      </c>
      <c r="K265" s="135"/>
      <c r="L265" s="127"/>
      <c r="M265" s="128"/>
    </row>
    <row r="266" spans="1:13">
      <c r="A266" s="111"/>
      <c r="B266" s="99"/>
      <c r="C266" s="80"/>
      <c r="D266" s="196"/>
      <c r="E266" s="112"/>
      <c r="F266" s="112"/>
      <c r="G266" s="112"/>
      <c r="H266" s="203"/>
      <c r="I266" s="80"/>
      <c r="J266" s="112">
        <f t="shared" si="19"/>
        <v>0</v>
      </c>
      <c r="K266" s="440"/>
    </row>
    <row r="267" spans="1:13">
      <c r="A267" s="111">
        <v>57275</v>
      </c>
      <c r="B267" s="99" t="s">
        <v>157</v>
      </c>
      <c r="C267" s="78"/>
      <c r="D267" s="196">
        <f>VLOOKUP(A267,'Converted IS (C)'!$A$9:$T$295,20,FALSE)</f>
        <v>138289.17139403481</v>
      </c>
      <c r="E267" s="112">
        <f>$D267*'Ratios (C)'!$P$6</f>
        <v>58509.419168298453</v>
      </c>
      <c r="F267" s="112">
        <f>$D267*'Ratios (C)'!$Q$6</f>
        <v>54898.037931875282</v>
      </c>
      <c r="G267" s="112">
        <f>$D267*'Ratios (C)'!$R$6</f>
        <v>24881.714293861067</v>
      </c>
      <c r="H267" s="203"/>
      <c r="I267" s="80" t="s">
        <v>371</v>
      </c>
      <c r="J267" s="112">
        <f t="shared" si="19"/>
        <v>0</v>
      </c>
      <c r="K267" s="440"/>
    </row>
    <row r="268" spans="1:13">
      <c r="A268" s="111"/>
      <c r="B268" s="99"/>
      <c r="C268" s="78"/>
      <c r="D268" s="196"/>
      <c r="E268" s="112"/>
      <c r="F268" s="112"/>
      <c r="G268" s="112"/>
      <c r="H268" s="203"/>
      <c r="I268" s="80"/>
      <c r="J268" s="112"/>
      <c r="K268" s="440"/>
    </row>
    <row r="269" spans="1:13">
      <c r="A269" s="130">
        <v>52300</v>
      </c>
      <c r="B269" s="131" t="s">
        <v>157</v>
      </c>
      <c r="C269" s="91"/>
      <c r="D269" s="197">
        <f>SUM(D267:D268)</f>
        <v>138289.17139403481</v>
      </c>
      <c r="E269" s="132">
        <f>SUM(E267:E268)</f>
        <v>58509.419168298453</v>
      </c>
      <c r="F269" s="132">
        <f>SUM(F267:F268)</f>
        <v>54898.037931875282</v>
      </c>
      <c r="G269" s="132">
        <f>SUM(G267:G268)</f>
        <v>24881.714293861067</v>
      </c>
      <c r="H269" s="204"/>
      <c r="I269" s="92"/>
      <c r="J269" s="112">
        <f t="shared" si="19"/>
        <v>0</v>
      </c>
      <c r="K269" s="135"/>
      <c r="L269" s="127"/>
      <c r="M269" s="128"/>
    </row>
    <row r="270" spans="1:13">
      <c r="A270" s="111"/>
      <c r="B270" s="99"/>
      <c r="C270" s="80"/>
      <c r="D270" s="196"/>
      <c r="E270" s="112"/>
      <c r="F270" s="112"/>
      <c r="G270" s="112"/>
      <c r="H270" s="203"/>
      <c r="I270" s="80"/>
      <c r="J270" s="112">
        <f t="shared" si="19"/>
        <v>0</v>
      </c>
      <c r="K270" s="440"/>
    </row>
    <row r="271" spans="1:13">
      <c r="A271" s="111">
        <v>50050</v>
      </c>
      <c r="B271" s="99" t="s">
        <v>158</v>
      </c>
      <c r="C271" s="78"/>
      <c r="D271" s="196">
        <f>VLOOKUP(A271,'Converted IS (C)'!$A$9:$T$295,20,FALSE)</f>
        <v>304054.44593075343</v>
      </c>
      <c r="E271" s="112">
        <f>D271*'Ratios (C)'!$P$36</f>
        <v>206116.48381002352</v>
      </c>
      <c r="F271" s="112">
        <f>D271*'Ratios (C)'!$Q$36</f>
        <v>66867.80148027587</v>
      </c>
      <c r="G271" s="112">
        <f>D271*'Ratios (C)'!$R$36</f>
        <v>31070.160640454083</v>
      </c>
      <c r="H271" s="203"/>
      <c r="I271" s="80" t="s">
        <v>370</v>
      </c>
      <c r="J271" s="112">
        <f t="shared" si="19"/>
        <v>0</v>
      </c>
      <c r="K271" s="439"/>
    </row>
    <row r="272" spans="1:13">
      <c r="A272" s="111">
        <v>52050</v>
      </c>
      <c r="B272" s="99" t="s">
        <v>158</v>
      </c>
      <c r="C272" s="78"/>
      <c r="D272" s="196">
        <f>VLOOKUP(A272,'Converted IS (C)'!$A$9:$T$295,20,FALSE)</f>
        <v>61598.949362023966</v>
      </c>
      <c r="E272" s="112">
        <f>D272*'Ratios (C)'!$P$36</f>
        <v>41757.517506531171</v>
      </c>
      <c r="F272" s="112">
        <f>D272*'Ratios (C)'!$Q$36</f>
        <v>13546.870872828673</v>
      </c>
      <c r="G272" s="112">
        <f>D272*'Ratios (C)'!$R$36</f>
        <v>6294.5609826641312</v>
      </c>
      <c r="H272" s="203"/>
      <c r="I272" s="80" t="s">
        <v>370</v>
      </c>
      <c r="J272" s="112">
        <f t="shared" si="19"/>
        <v>0</v>
      </c>
      <c r="K272" s="436"/>
    </row>
    <row r="273" spans="1:13">
      <c r="A273" s="111">
        <v>55050</v>
      </c>
      <c r="B273" s="99" t="s">
        <v>158</v>
      </c>
      <c r="C273" s="78"/>
      <c r="D273" s="196">
        <f>VLOOKUP(A273,'Converted IS (C)'!$A$9:$T$295,20,FALSE)</f>
        <v>28864.155233575628</v>
      </c>
      <c r="E273" s="112">
        <f>D273*'Ratios (C)'!$P$36</f>
        <v>19566.818589609546</v>
      </c>
      <c r="F273" s="112">
        <f>D273*'Ratios (C)'!$Q$36</f>
        <v>6347.8190432188758</v>
      </c>
      <c r="G273" s="112">
        <f>D273*'Ratios (C)'!$R$36</f>
        <v>2949.5176007472101</v>
      </c>
      <c r="H273" s="203"/>
      <c r="I273" s="80" t="s">
        <v>370</v>
      </c>
      <c r="J273" s="112">
        <f t="shared" si="19"/>
        <v>0</v>
      </c>
      <c r="K273" s="440"/>
    </row>
    <row r="274" spans="1:13">
      <c r="A274" s="111">
        <v>56050</v>
      </c>
      <c r="B274" s="99" t="s">
        <v>158</v>
      </c>
      <c r="C274" s="78"/>
      <c r="D274" s="196">
        <f>VLOOKUP(A274,'Converted IS (C)'!$A$9:$T$295,20,FALSE)</f>
        <v>13446.861788161683</v>
      </c>
      <c r="E274" s="112">
        <f>D274*'Ratios (C)'!$P$36</f>
        <v>9115.5380463881502</v>
      </c>
      <c r="F274" s="112">
        <f>D274*'Ratios (C)'!$Q$36</f>
        <v>2957.2403778903517</v>
      </c>
      <c r="G274" s="112">
        <f>D274*'Ratios (C)'!$R$36</f>
        <v>1374.0833638831832</v>
      </c>
      <c r="H274" s="203"/>
      <c r="I274" s="80" t="s">
        <v>370</v>
      </c>
      <c r="J274" s="112">
        <f t="shared" si="19"/>
        <v>0</v>
      </c>
      <c r="K274" s="440"/>
    </row>
    <row r="275" spans="1:13">
      <c r="A275" s="111">
        <v>60050</v>
      </c>
      <c r="B275" s="99" t="s">
        <v>158</v>
      </c>
      <c r="C275" s="78"/>
      <c r="D275" s="196">
        <f>VLOOKUP(A275,'Converted IS (C)'!$A$9:$T$295,20,FALSE)</f>
        <v>7977.652050534979</v>
      </c>
      <c r="E275" s="112">
        <f>D275*'Ratios (C)'!$P$36</f>
        <v>5407.9971916956583</v>
      </c>
      <c r="F275" s="112">
        <f>D275*'Ratios (C)'!$Q$36</f>
        <v>1754.4491150620381</v>
      </c>
      <c r="G275" s="112">
        <f>D275*'Ratios (C)'!$R$36</f>
        <v>815.2057437772836</v>
      </c>
      <c r="H275" s="203"/>
      <c r="I275" s="80" t="s">
        <v>370</v>
      </c>
      <c r="J275" s="112">
        <f t="shared" si="19"/>
        <v>0</v>
      </c>
      <c r="K275" s="440"/>
    </row>
    <row r="276" spans="1:13">
      <c r="A276" s="111">
        <v>70050</v>
      </c>
      <c r="B276" s="99" t="s">
        <v>158</v>
      </c>
      <c r="C276" s="78"/>
      <c r="D276" s="196">
        <f>VLOOKUP(A276,'Converted IS (C)'!$A$9:$T$295,20,FALSE)</f>
        <v>83243.728747356567</v>
      </c>
      <c r="E276" s="112">
        <f>$D276*'Ratios (C)'!$P$6</f>
        <v>35219.982658897585</v>
      </c>
      <c r="F276" s="112">
        <f>$D276*'Ratios (C)'!$Q$6</f>
        <v>33046.097046469426</v>
      </c>
      <c r="G276" s="112">
        <f>$D276*'Ratios (C)'!$R$6</f>
        <v>14977.649041989558</v>
      </c>
      <c r="H276" s="203"/>
      <c r="I276" s="80" t="s">
        <v>371</v>
      </c>
      <c r="J276" s="112">
        <f t="shared" si="19"/>
        <v>0</v>
      </c>
      <c r="K276" s="440"/>
    </row>
    <row r="277" spans="1:13">
      <c r="A277" s="130">
        <v>52400</v>
      </c>
      <c r="B277" s="131" t="s">
        <v>158</v>
      </c>
      <c r="C277" s="91"/>
      <c r="D277" s="197">
        <f t="shared" ref="D277:G277" si="24">SUM(D271:D276)</f>
        <v>499185.79311240622</v>
      </c>
      <c r="E277" s="132">
        <f t="shared" si="24"/>
        <v>317184.33780314564</v>
      </c>
      <c r="F277" s="132">
        <f t="shared" si="24"/>
        <v>124520.27793574524</v>
      </c>
      <c r="G277" s="132">
        <f t="shared" si="24"/>
        <v>57481.177373515449</v>
      </c>
      <c r="H277" s="204"/>
      <c r="I277" s="92"/>
      <c r="J277" s="112">
        <f t="shared" si="19"/>
        <v>0</v>
      </c>
      <c r="K277" s="135"/>
      <c r="L277" s="127"/>
      <c r="M277" s="128"/>
    </row>
    <row r="278" spans="1:13">
      <c r="A278" s="111"/>
      <c r="B278" s="99"/>
      <c r="C278" s="80"/>
      <c r="D278" s="196"/>
      <c r="E278" s="112"/>
      <c r="F278" s="112"/>
      <c r="G278" s="112"/>
      <c r="H278" s="203"/>
      <c r="I278" s="80"/>
      <c r="J278" s="112">
        <f t="shared" si="19"/>
        <v>0</v>
      </c>
      <c r="K278" s="440"/>
    </row>
    <row r="279" spans="1:13">
      <c r="A279" s="111">
        <v>52170</v>
      </c>
      <c r="B279" s="99" t="s">
        <v>159</v>
      </c>
      <c r="C279" s="78"/>
      <c r="D279" s="196">
        <f>VLOOKUP(A279,'Converted IS (C)'!$A$9:$T$295,20,FALSE)</f>
        <v>0</v>
      </c>
      <c r="E279" s="112"/>
      <c r="F279" s="112"/>
      <c r="G279" s="112"/>
      <c r="H279" s="203"/>
      <c r="I279" s="80"/>
      <c r="J279" s="112">
        <f t="shared" si="19"/>
        <v>0</v>
      </c>
      <c r="K279" s="440"/>
    </row>
    <row r="280" spans="1:13">
      <c r="A280" s="111">
        <v>57170</v>
      </c>
      <c r="B280" s="99" t="s">
        <v>159</v>
      </c>
      <c r="C280" s="78"/>
      <c r="D280" s="196">
        <f>VLOOKUP(A280,'Converted IS (C)'!$A$9:$T$295,20,FALSE)</f>
        <v>6888.5278339122478</v>
      </c>
      <c r="E280" s="112">
        <f>$D280*'Ratios (C)'!$F$61</f>
        <v>6440.1893036219672</v>
      </c>
      <c r="F280" s="112">
        <f>$D280*'Ratios (C)'!$G$61</f>
        <v>149.44884926171025</v>
      </c>
      <c r="G280" s="112">
        <f>$D280*'Ratios (C)'!$H$61</f>
        <v>298.88968102856973</v>
      </c>
      <c r="H280" s="203"/>
      <c r="I280" s="80" t="s">
        <v>937</v>
      </c>
      <c r="J280" s="112"/>
      <c r="K280" s="441"/>
    </row>
    <row r="281" spans="1:13">
      <c r="A281" s="111">
        <v>57148</v>
      </c>
      <c r="B281" s="99" t="s">
        <v>649</v>
      </c>
      <c r="C281" s="78"/>
      <c r="D281" s="196">
        <f>VLOOKUP(A281,'Converted IS (C)'!$A$9:$T$295,20,FALSE)</f>
        <v>26198.758792957018</v>
      </c>
      <c r="E281" s="112">
        <f>$D281*'Ratios (C)'!$F$61</f>
        <v>24493.617535511741</v>
      </c>
      <c r="F281" s="112">
        <f>$D281*'Ratios (C)'!$G$61</f>
        <v>568.39058331406272</v>
      </c>
      <c r="G281" s="112">
        <f>$D281*'Ratios (C)'!$H$61</f>
        <v>1136.7506741312111</v>
      </c>
      <c r="H281" s="203"/>
      <c r="I281" s="80" t="s">
        <v>937</v>
      </c>
      <c r="J281" s="112">
        <f t="shared" si="19"/>
        <v>0</v>
      </c>
      <c r="K281" s="1034"/>
    </row>
    <row r="282" spans="1:13">
      <c r="A282" s="543">
        <v>57149</v>
      </c>
      <c r="B282" s="544" t="s">
        <v>656</v>
      </c>
      <c r="C282" s="78"/>
      <c r="D282" s="196">
        <f>VLOOKUP(A282,'Converted IS (C)'!$A$9:$T$295,20,FALSE)</f>
        <v>0</v>
      </c>
      <c r="E282" s="112"/>
      <c r="F282" s="112"/>
      <c r="G282" s="112"/>
      <c r="H282" s="203"/>
      <c r="I282" s="80"/>
      <c r="J282" s="112">
        <f t="shared" si="19"/>
        <v>0</v>
      </c>
      <c r="K282" s="440"/>
    </row>
    <row r="283" spans="1:13" s="99" customFormat="1">
      <c r="A283" s="111">
        <v>70170</v>
      </c>
      <c r="B283" s="99" t="s">
        <v>159</v>
      </c>
      <c r="C283" s="78"/>
      <c r="D283" s="196">
        <f>VLOOKUP(A283,'Converted IS (C)'!$A$9:$T$295,20,FALSE)</f>
        <v>163.06225089635507</v>
      </c>
      <c r="E283" s="112">
        <f>D283*'Ratios (C)'!$P$36</f>
        <v>110.53881384309373</v>
      </c>
      <c r="F283" s="112">
        <f>D283*'Ratios (C)'!$Q$36</f>
        <v>35.860729444316817</v>
      </c>
      <c r="G283" s="112">
        <f>D283*'Ratios (C)'!$R$36</f>
        <v>16.662707608944533</v>
      </c>
      <c r="H283" s="203"/>
      <c r="I283" s="80" t="s">
        <v>370</v>
      </c>
      <c r="J283" s="112">
        <f t="shared" si="19"/>
        <v>0</v>
      </c>
      <c r="K283" s="440"/>
      <c r="M283" s="100"/>
    </row>
    <row r="284" spans="1:13">
      <c r="A284" s="130">
        <v>53200</v>
      </c>
      <c r="B284" s="131" t="s">
        <v>160</v>
      </c>
      <c r="C284" s="91"/>
      <c r="D284" s="197">
        <f t="shared" ref="D284:G284" si="25">SUM(D279:D283)</f>
        <v>33250.348877765624</v>
      </c>
      <c r="E284" s="132">
        <f t="shared" si="25"/>
        <v>31044.345652976801</v>
      </c>
      <c r="F284" s="132">
        <f t="shared" si="25"/>
        <v>753.70016202008981</v>
      </c>
      <c r="G284" s="132">
        <f t="shared" si="25"/>
        <v>1452.3030627687256</v>
      </c>
      <c r="H284" s="204"/>
      <c r="I284" s="92"/>
      <c r="J284" s="112">
        <f t="shared" si="19"/>
        <v>0</v>
      </c>
      <c r="K284" s="135"/>
      <c r="L284" s="127"/>
      <c r="M284" s="128"/>
    </row>
    <row r="285" spans="1:13" s="99" customFormat="1">
      <c r="A285" s="138"/>
      <c r="B285" s="110"/>
      <c r="C285" s="89"/>
      <c r="D285" s="200"/>
      <c r="E285" s="121"/>
      <c r="F285" s="112"/>
      <c r="G285" s="112"/>
      <c r="H285" s="203"/>
      <c r="I285" s="80"/>
      <c r="J285" s="112">
        <f t="shared" si="19"/>
        <v>0</v>
      </c>
      <c r="K285" s="440"/>
      <c r="M285" s="100"/>
    </row>
    <row r="286" spans="1:13" s="99" customFormat="1">
      <c r="A286" s="111">
        <v>70269</v>
      </c>
      <c r="B286" s="99" t="s">
        <v>161</v>
      </c>
      <c r="C286" s="78"/>
      <c r="D286" s="196">
        <f>VLOOKUP(A286,'Converted IS (C)'!$A$9:$T$295,20,FALSE)</f>
        <v>0</v>
      </c>
      <c r="E286" s="121"/>
      <c r="F286" s="112"/>
      <c r="G286" s="112"/>
      <c r="H286" s="203"/>
      <c r="I286" s="80"/>
      <c r="J286" s="112">
        <f t="shared" si="19"/>
        <v>0</v>
      </c>
      <c r="K286" s="440"/>
      <c r="M286" s="100"/>
    </row>
    <row r="287" spans="1:13">
      <c r="A287" s="130"/>
      <c r="B287" s="131" t="s">
        <v>162</v>
      </c>
      <c r="C287" s="91"/>
      <c r="D287" s="197">
        <f t="shared" ref="D287:G287" si="26">D286</f>
        <v>0</v>
      </c>
      <c r="E287" s="132">
        <f t="shared" si="26"/>
        <v>0</v>
      </c>
      <c r="F287" s="132">
        <f t="shared" si="26"/>
        <v>0</v>
      </c>
      <c r="G287" s="132">
        <f t="shared" si="26"/>
        <v>0</v>
      </c>
      <c r="H287" s="204"/>
      <c r="I287" s="92"/>
      <c r="J287" s="112">
        <f t="shared" si="19"/>
        <v>0</v>
      </c>
      <c r="K287" s="135"/>
      <c r="L287" s="127"/>
      <c r="M287" s="128"/>
    </row>
    <row r="288" spans="1:13" s="99" customFormat="1">
      <c r="A288" s="138"/>
      <c r="B288" s="110"/>
      <c r="C288" s="89"/>
      <c r="D288" s="200"/>
      <c r="E288" s="121"/>
      <c r="F288" s="112"/>
      <c r="G288" s="112"/>
      <c r="H288" s="203"/>
      <c r="I288" s="80"/>
      <c r="J288" s="112">
        <f t="shared" si="19"/>
        <v>0</v>
      </c>
      <c r="K288" s="440"/>
      <c r="M288" s="100"/>
    </row>
    <row r="289" spans="1:13">
      <c r="A289" s="130">
        <v>91000</v>
      </c>
      <c r="B289" s="131" t="s">
        <v>163</v>
      </c>
      <c r="C289" s="91"/>
      <c r="D289" s="197"/>
      <c r="E289" s="132"/>
      <c r="F289" s="132"/>
      <c r="G289" s="132"/>
      <c r="H289" s="204"/>
      <c r="I289" s="92"/>
      <c r="J289" s="112">
        <f t="shared" si="19"/>
        <v>0</v>
      </c>
      <c r="K289" s="135"/>
      <c r="L289" s="127"/>
      <c r="M289" s="128"/>
    </row>
    <row r="290" spans="1:13" s="99" customFormat="1">
      <c r="A290" s="111"/>
      <c r="C290" s="80"/>
      <c r="D290" s="196"/>
      <c r="E290" s="112"/>
      <c r="F290" s="112"/>
      <c r="G290" s="112"/>
      <c r="H290" s="203"/>
      <c r="I290" s="80"/>
      <c r="J290" s="112">
        <f t="shared" si="19"/>
        <v>0</v>
      </c>
      <c r="K290" s="440"/>
      <c r="M290" s="100"/>
    </row>
    <row r="291" spans="1:13">
      <c r="A291" s="130"/>
      <c r="B291" s="131" t="s">
        <v>13</v>
      </c>
      <c r="C291" s="91"/>
      <c r="D291" s="197">
        <f>D34+D43+D60+D64+D68+D72+D79+D85+D97+D100+D107+D124+D129+D140+D144+D150+D156+D167+D170+D184+D187+D191+D198+D206+D215+D218+D242+D254+D258+D261+D265+D269+D277+D284+D287+D52+D137+D289</f>
        <v>33888016.652001753</v>
      </c>
      <c r="E291" s="132">
        <f t="shared" ref="E291:G291" si="27">E34+E43+E60+E64+E68+E72+E79+E85+E97+E100+E107+E124+E129+E140+E144+E150+E156+E167+E170+E184+E187+E191+E198+E206+E215+E218+E242+E254+E258+E261+E265+E269+E277+E284+E287+E52+E137+E289</f>
        <v>27779927.301933575</v>
      </c>
      <c r="F291" s="132">
        <f t="shared" si="27"/>
        <v>4294306.2633177461</v>
      </c>
      <c r="G291" s="132">
        <f t="shared" si="27"/>
        <v>1813783.0867504259</v>
      </c>
      <c r="H291" s="132"/>
      <c r="I291" s="1233"/>
      <c r="J291" s="112">
        <f t="shared" si="19"/>
        <v>0</v>
      </c>
      <c r="K291" s="135"/>
      <c r="L291" s="127"/>
      <c r="M291" s="128"/>
    </row>
    <row r="292" spans="1:13" s="99" customFormat="1">
      <c r="A292" s="111"/>
      <c r="B292" s="110"/>
      <c r="C292" s="80"/>
      <c r="D292" s="201"/>
      <c r="E292" s="442">
        <f>E291/$D$291</f>
        <v>0.81975665873891224</v>
      </c>
      <c r="F292" s="442">
        <f t="shared" ref="F292:G292" si="28">F291/$D$291</f>
        <v>0.12672049554909798</v>
      </c>
      <c r="G292" s="442">
        <f t="shared" si="28"/>
        <v>5.3522845711989647E-2</v>
      </c>
      <c r="H292" s="442"/>
      <c r="I292" s="1230"/>
      <c r="J292" s="112"/>
      <c r="K292" s="440"/>
      <c r="M292" s="100"/>
    </row>
    <row r="293" spans="1:13">
      <c r="A293" s="130"/>
      <c r="B293" s="131" t="s">
        <v>164</v>
      </c>
      <c r="C293" s="188"/>
      <c r="D293" s="202">
        <f>D291/D26</f>
        <v>0.93040685779873256</v>
      </c>
      <c r="E293" s="182">
        <f>E291/E26</f>
        <v>0.90106207089138701</v>
      </c>
      <c r="F293" s="182">
        <f>F291/F26</f>
        <v>1.1372873561030825</v>
      </c>
      <c r="G293" s="182">
        <f>G291/G26</f>
        <v>0.99841126350606046</v>
      </c>
      <c r="H293" s="182"/>
      <c r="I293" s="1234"/>
      <c r="J293" s="112"/>
      <c r="K293" s="135"/>
      <c r="L293" s="127"/>
      <c r="M293" s="128"/>
    </row>
    <row r="294" spans="1:13" s="99" customFormat="1">
      <c r="A294" s="111"/>
      <c r="C294" s="80"/>
      <c r="D294" s="201"/>
      <c r="H294" s="207"/>
      <c r="I294" s="80"/>
      <c r="J294" s="112">
        <f>SUM(E294:H294)-D294</f>
        <v>0</v>
      </c>
      <c r="K294" s="440"/>
      <c r="M294" s="100"/>
    </row>
    <row r="295" spans="1:13">
      <c r="A295" s="130"/>
      <c r="B295" s="131" t="s">
        <v>165</v>
      </c>
      <c r="C295" s="91"/>
      <c r="D295" s="197">
        <f>D26-D291</f>
        <v>2534776.6324093938</v>
      </c>
      <c r="E295" s="132">
        <f>E26-E291</f>
        <v>3050276.5201537684</v>
      </c>
      <c r="F295" s="132">
        <f>F26-F291</f>
        <v>-518386.09655163065</v>
      </c>
      <c r="G295" s="132">
        <f>G26-G291</f>
        <v>2886.2088072719052</v>
      </c>
      <c r="H295" s="204"/>
      <c r="I295" s="92"/>
      <c r="J295" s="112">
        <f>SUM(E295:H295)-D295</f>
        <v>1.5832483768463135E-8</v>
      </c>
      <c r="K295" s="430"/>
      <c r="L295" s="127"/>
      <c r="M295" s="128"/>
    </row>
    <row r="296" spans="1:13" s="99" customFormat="1">
      <c r="A296" s="111"/>
      <c r="C296" s="80"/>
      <c r="D296" s="150"/>
      <c r="E296" s="151"/>
      <c r="F296" s="97"/>
      <c r="G296" s="97"/>
      <c r="H296" s="149"/>
      <c r="I296" s="80"/>
      <c r="J296" s="112">
        <f>SUM(E296:H296)-D296</f>
        <v>0</v>
      </c>
      <c r="K296" s="440"/>
      <c r="M296" s="100"/>
    </row>
    <row r="297" spans="1:13" s="99" customFormat="1">
      <c r="A297" s="111"/>
      <c r="C297" s="78"/>
      <c r="D297" s="97"/>
      <c r="E297" s="97"/>
      <c r="H297" s="149"/>
      <c r="I297" s="80"/>
      <c r="J297" s="112"/>
      <c r="K297" s="440"/>
      <c r="M297" s="100"/>
    </row>
    <row r="298" spans="1:13" s="99" customFormat="1">
      <c r="A298" s="111"/>
      <c r="C298" s="78"/>
      <c r="D298" s="151"/>
      <c r="E298" s="151"/>
      <c r="F298" s="151"/>
      <c r="G298" s="151"/>
      <c r="H298" s="151"/>
      <c r="I298" s="78"/>
      <c r="J298" s="112"/>
      <c r="K298" s="440"/>
      <c r="M298" s="100"/>
    </row>
    <row r="299" spans="1:13" s="99" customFormat="1">
      <c r="A299" s="111"/>
      <c r="C299" s="78"/>
      <c r="E299" s="1080"/>
      <c r="H299" s="1080"/>
      <c r="I299" s="80"/>
      <c r="J299" s="112"/>
      <c r="K299" s="440"/>
      <c r="M299" s="100"/>
    </row>
    <row r="300" spans="1:13" s="99" customFormat="1">
      <c r="A300" s="111"/>
      <c r="C300" s="80"/>
      <c r="E300" s="97"/>
      <c r="H300" s="149"/>
      <c r="I300" s="80"/>
      <c r="J300" s="112"/>
      <c r="K300" s="440"/>
      <c r="M300" s="100"/>
    </row>
    <row r="301" spans="1:13">
      <c r="A301" s="111"/>
      <c r="B301" s="99"/>
      <c r="C301" s="80"/>
      <c r="D301" s="99"/>
      <c r="E301" s="123"/>
      <c r="F301" s="123"/>
      <c r="G301" s="123"/>
      <c r="H301" s="123"/>
      <c r="I301" s="80"/>
      <c r="J301" s="112"/>
      <c r="K301" s="440"/>
    </row>
    <row r="302" spans="1:13" s="99" customFormat="1">
      <c r="A302" s="111"/>
      <c r="C302" s="80"/>
      <c r="H302" s="149"/>
      <c r="I302" s="80"/>
      <c r="J302" s="112"/>
      <c r="K302" s="440"/>
      <c r="M302" s="100"/>
    </row>
    <row r="303" spans="1:13" s="99" customFormat="1">
      <c r="A303" s="111"/>
      <c r="C303" s="80"/>
      <c r="H303" s="149"/>
      <c r="I303" s="80"/>
      <c r="J303" s="112"/>
      <c r="K303" s="440"/>
      <c r="M303" s="100"/>
    </row>
    <row r="304" spans="1:13" s="99" customFormat="1">
      <c r="A304" s="111"/>
      <c r="C304" s="80"/>
      <c r="H304" s="149"/>
      <c r="I304" s="80"/>
      <c r="J304" s="112"/>
      <c r="K304" s="440"/>
      <c r="M304" s="100"/>
    </row>
    <row r="305" spans="1:13">
      <c r="A305" s="111"/>
      <c r="B305" s="99"/>
      <c r="C305" s="80"/>
      <c r="D305" s="151"/>
      <c r="E305" s="99"/>
      <c r="F305" s="99"/>
      <c r="H305" s="149"/>
      <c r="I305" s="80"/>
      <c r="J305" s="112"/>
      <c r="K305" s="440"/>
    </row>
    <row r="306" spans="1:13">
      <c r="A306" s="111"/>
      <c r="B306" s="99"/>
      <c r="C306" s="80"/>
      <c r="D306" s="151"/>
      <c r="E306" s="99"/>
      <c r="F306" s="99"/>
      <c r="H306" s="149"/>
      <c r="I306" s="80"/>
      <c r="J306" s="112"/>
      <c r="K306" s="440"/>
    </row>
    <row r="307" spans="1:13" s="99" customFormat="1">
      <c r="A307" s="111"/>
      <c r="C307" s="80"/>
      <c r="H307" s="149"/>
      <c r="I307" s="80"/>
      <c r="J307" s="112"/>
      <c r="K307" s="440"/>
      <c r="M307" s="100"/>
    </row>
    <row r="308" spans="1:13" s="99" customFormat="1">
      <c r="A308" s="111"/>
      <c r="C308" s="80"/>
      <c r="H308" s="149"/>
      <c r="I308" s="80"/>
      <c r="J308" s="112"/>
      <c r="K308" s="440"/>
      <c r="M308" s="100"/>
    </row>
    <row r="309" spans="1:13" s="99" customFormat="1">
      <c r="A309" s="111"/>
      <c r="C309" s="80"/>
      <c r="H309" s="149"/>
      <c r="I309" s="80"/>
      <c r="J309" s="112"/>
      <c r="K309" s="440"/>
      <c r="M309" s="100"/>
    </row>
    <row r="310" spans="1:13" s="99" customFormat="1">
      <c r="A310" s="111"/>
      <c r="C310" s="80"/>
      <c r="H310" s="149"/>
      <c r="I310" s="80"/>
      <c r="J310" s="112"/>
      <c r="K310" s="440"/>
      <c r="M310" s="100"/>
    </row>
    <row r="311" spans="1:13">
      <c r="A311" s="111"/>
      <c r="B311" s="99"/>
      <c r="C311" s="80"/>
      <c r="D311" s="99"/>
      <c r="E311" s="99"/>
      <c r="F311" s="99"/>
      <c r="H311" s="149"/>
      <c r="I311" s="80"/>
      <c r="J311" s="112"/>
      <c r="K311" s="440"/>
    </row>
  </sheetData>
  <mergeCells count="3">
    <mergeCell ref="E7:E8"/>
    <mergeCell ref="F7:F8"/>
    <mergeCell ref="G7:G8"/>
  </mergeCells>
  <conditionalFormatting sqref="J22:J59 J1:J20 J61:J1048576">
    <cfRule type="cellIs" dxfId="39" priority="5" operator="lessThan">
      <formula>-5</formula>
    </cfRule>
    <cfRule type="cellIs" dxfId="38" priority="6" operator="greaterThan">
      <formula>5</formula>
    </cfRule>
  </conditionalFormatting>
  <conditionalFormatting sqref="J60">
    <cfRule type="cellIs" dxfId="37" priority="3" operator="lessThan">
      <formula>-5</formula>
    </cfRule>
    <cfRule type="cellIs" dxfId="36" priority="4" operator="greaterThan">
      <formula>5</formula>
    </cfRule>
  </conditionalFormatting>
  <conditionalFormatting sqref="J21">
    <cfRule type="cellIs" dxfId="35" priority="1" operator="lessThan">
      <formula>-5</formula>
    </cfRule>
    <cfRule type="cellIs" dxfId="34" priority="2" operator="greaterThan">
      <formula>5</formula>
    </cfRule>
  </conditionalFormatting>
  <pageMargins left="0.7" right="0.7" top="0.75" bottom="0.75" header="0.3" footer="0.3"/>
  <pageSetup scale="85" orientation="portrait" r:id="rId1"/>
  <rowBreaks count="4" manualBreakCount="4">
    <brk id="65" max="8" man="1"/>
    <brk id="124" max="8" man="1"/>
    <brk id="184" max="8" man="1"/>
    <brk id="243" max="8"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8" tint="0.59999389629810485"/>
    <pageSetUpPr fitToPage="1"/>
  </sheetPr>
  <dimension ref="A1:X74"/>
  <sheetViews>
    <sheetView showGridLines="0" view="pageBreakPreview" topLeftCell="A40" zoomScale="60" zoomScaleNormal="100" workbookViewId="0">
      <selection activeCell="AP280" sqref="AP280"/>
    </sheetView>
  </sheetViews>
  <sheetFormatPr defaultRowHeight="15"/>
  <cols>
    <col min="1" max="1" width="29.42578125" style="190" customWidth="1"/>
    <col min="2" max="2" width="13.28515625" style="190" customWidth="1"/>
    <col min="3" max="3" width="14.140625" style="190" customWidth="1"/>
    <col min="4" max="8" width="15.140625" style="190" customWidth="1"/>
    <col min="9" max="9" width="18.7109375" style="190" customWidth="1"/>
    <col min="10" max="10" width="13.85546875" style="191" bestFit="1" customWidth="1"/>
    <col min="11" max="11" width="12.85546875" style="190" bestFit="1" customWidth="1"/>
    <col min="12" max="12" width="14.5703125" style="190" customWidth="1"/>
    <col min="13" max="13" width="12.85546875" style="190" bestFit="1" customWidth="1"/>
    <col min="14" max="14" width="7.42578125" style="190" customWidth="1"/>
    <col min="15" max="15" width="3.85546875" style="190" customWidth="1"/>
    <col min="16" max="16" width="9.140625" style="190"/>
    <col min="17" max="17" width="19.140625" style="190" customWidth="1"/>
    <col min="18" max="18" width="11.5703125" style="190" bestFit="1" customWidth="1"/>
    <col min="19" max="19" width="9.42578125" style="190" bestFit="1" customWidth="1"/>
    <col min="20" max="20" width="12" style="190" bestFit="1" customWidth="1"/>
    <col min="21" max="21" width="12.85546875" style="190" bestFit="1" customWidth="1"/>
    <col min="22" max="22" width="9.42578125" style="190" customWidth="1"/>
    <col min="23" max="23" width="10.85546875" style="190" customWidth="1"/>
    <col min="24" max="16384" width="9.140625" style="190"/>
  </cols>
  <sheetData>
    <row r="1" spans="1:24" ht="15.75" customHeight="1">
      <c r="A1" s="769" t="s">
        <v>312</v>
      </c>
      <c r="B1" s="424"/>
      <c r="J1" s="190"/>
      <c r="K1" s="191"/>
    </row>
    <row r="2" spans="1:24" ht="18.75">
      <c r="A2" s="769" t="s">
        <v>372</v>
      </c>
      <c r="J2" s="190"/>
      <c r="K2" s="191"/>
    </row>
    <row r="3" spans="1:24" s="1241" customFormat="1">
      <c r="I3" s="1242" t="s">
        <v>2369</v>
      </c>
      <c r="K3" s="1243"/>
    </row>
    <row r="4" spans="1:24" s="1241" customFormat="1" ht="45" customHeight="1">
      <c r="A4" s="1244" t="s">
        <v>373</v>
      </c>
      <c r="B4" s="1244"/>
      <c r="C4" s="1245" t="s">
        <v>709</v>
      </c>
      <c r="D4" s="1245" t="s">
        <v>698</v>
      </c>
      <c r="E4" s="1245" t="s">
        <v>2365</v>
      </c>
      <c r="F4" s="1245" t="s">
        <v>2366</v>
      </c>
      <c r="G4" s="1246" t="s">
        <v>297</v>
      </c>
      <c r="H4" s="1246" t="s">
        <v>13</v>
      </c>
      <c r="I4" s="1245" t="str">
        <f>C4</f>
        <v>Reg/ Ft Lewis</v>
      </c>
      <c r="J4" s="1245" t="str">
        <f t="shared" ref="J4" si="0">D4</f>
        <v>JBLM Housing</v>
      </c>
      <c r="K4" s="1245" t="str">
        <f t="shared" ref="K4" si="1">E4</f>
        <v>JBLM Contract- Garb</v>
      </c>
      <c r="L4" s="1245" t="str">
        <f t="shared" ref="L4" si="2">F4</f>
        <v>JBLM Contract-Recycl</v>
      </c>
      <c r="M4" s="1245" t="str">
        <f t="shared" ref="M4" si="3">G4</f>
        <v>Non-Reg</v>
      </c>
      <c r="N4" s="1247"/>
      <c r="O4" s="1247"/>
      <c r="P4" s="1245" t="s">
        <v>2385</v>
      </c>
      <c r="Q4" s="1245" t="s">
        <v>4</v>
      </c>
      <c r="R4" s="1245" t="s">
        <v>299</v>
      </c>
      <c r="S4" s="1247"/>
      <c r="T4" s="1247"/>
      <c r="U4" s="1247"/>
      <c r="V4" s="1247"/>
      <c r="W4" s="1247"/>
      <c r="X4" s="1247"/>
    </row>
    <row r="5" spans="1:24" s="1241" customFormat="1" ht="15" customHeight="1">
      <c r="I5" s="1248"/>
      <c r="J5" s="1249"/>
      <c r="K5" s="1250"/>
      <c r="L5" s="1249"/>
      <c r="N5" s="1251"/>
      <c r="O5" s="1251"/>
      <c r="P5" s="1251"/>
      <c r="R5" s="1251"/>
      <c r="S5" s="1251"/>
      <c r="T5" s="1251"/>
      <c r="U5" s="1251"/>
      <c r="V5" s="1251"/>
      <c r="W5" s="1251"/>
      <c r="X5" s="1251"/>
    </row>
    <row r="6" spans="1:24" s="1241" customFormat="1" ht="15" customHeight="1">
      <c r="A6" s="1241" t="s">
        <v>2359</v>
      </c>
      <c r="C6" s="1240">
        <f>'Reg - Price Out '!AJ63</f>
        <v>53074.079081691307</v>
      </c>
      <c r="D6" s="1240">
        <f>+'[45]2180 (JBLM Housing) - Price Out'!$AJ$22</f>
        <v>4247.3786222374065</v>
      </c>
      <c r="E6" s="1240"/>
      <c r="F6" s="1243"/>
      <c r="G6" s="1240">
        <f>SUM('[45]Customer Count Summary'!$H$5:$N$5)</f>
        <v>18771.750933120653</v>
      </c>
      <c r="H6" s="1251">
        <f t="shared" ref="H6:H17" si="4">SUM(C6:G6)</f>
        <v>76093.208637049363</v>
      </c>
      <c r="I6" s="1252">
        <f>C6/C$19</f>
        <v>0.37193506094033202</v>
      </c>
      <c r="J6" s="1253">
        <f>D6/D$19</f>
        <v>0.46160555185796759</v>
      </c>
      <c r="K6" s="1253">
        <f>E6/E$19</f>
        <v>0</v>
      </c>
      <c r="L6" s="1253">
        <f>F6/F$19</f>
        <v>0</v>
      </c>
      <c r="M6" s="1253">
        <f>G6/G$19</f>
        <v>0.33302851641928521</v>
      </c>
      <c r="N6" s="1251"/>
      <c r="O6" s="1251"/>
      <c r="P6" s="1254">
        <f>SUM(C6:D10)/SUM($C$19:$D$19)</f>
        <v>0.42309472664048586</v>
      </c>
      <c r="Q6" s="1254">
        <f>SUM(C12:D16)/SUM($C$19:$D$19)</f>
        <v>0.39698001932090066</v>
      </c>
      <c r="R6" s="1254">
        <f>SUM(C17:D17)/SUM($C$19:$D$19)</f>
        <v>0.17992525403861342</v>
      </c>
      <c r="S6" s="1254">
        <f>SUM(P6:R6)</f>
        <v>1</v>
      </c>
      <c r="T6" s="1251"/>
      <c r="U6" s="1251"/>
      <c r="V6" s="1251"/>
      <c r="W6" s="1251"/>
      <c r="X6" s="1251"/>
    </row>
    <row r="7" spans="1:24" s="1241" customFormat="1" ht="15" customHeight="1">
      <c r="A7" s="1241" t="s">
        <v>2360</v>
      </c>
      <c r="C7" s="1240">
        <f>'Reg - Price Out '!AL198+'FtL - Price Out'!AK57</f>
        <v>2627.195136812225</v>
      </c>
      <c r="D7" s="1240"/>
      <c r="E7" s="1240">
        <v>0</v>
      </c>
      <c r="F7" s="1243"/>
      <c r="G7" s="1240">
        <f>SUM('[45]Customer Count Summary'!$H$6:$N$6)</f>
        <v>924.2235242718973</v>
      </c>
      <c r="H7" s="1251">
        <f t="shared" si="4"/>
        <v>3551.4186610841225</v>
      </c>
      <c r="I7" s="1252">
        <f t="shared" ref="I7:M17" si="5">C7/C$19</f>
        <v>1.841098329390476E-2</v>
      </c>
      <c r="J7" s="1253">
        <f t="shared" si="5"/>
        <v>0</v>
      </c>
      <c r="K7" s="1253">
        <f t="shared" si="5"/>
        <v>0</v>
      </c>
      <c r="L7" s="1253">
        <f t="shared" si="5"/>
        <v>0</v>
      </c>
      <c r="M7" s="1253">
        <f t="shared" si="5"/>
        <v>1.6396594554480653E-2</v>
      </c>
      <c r="N7" s="1251"/>
      <c r="O7" s="1251"/>
      <c r="P7" s="1254">
        <f>SUM(C6:D11)/SUM($C$6:$D$16)</f>
        <v>0.51592215066260239</v>
      </c>
      <c r="Q7" s="1254">
        <f>SUM(C11:D16)/SUM($C$6:$D$16)</f>
        <v>0.48407784933739756</v>
      </c>
      <c r="R7" s="1251"/>
      <c r="S7" s="1254">
        <f>SUM(P7:R7)</f>
        <v>1</v>
      </c>
      <c r="T7" s="1251" t="s">
        <v>2782</v>
      </c>
      <c r="U7" s="1251"/>
      <c r="V7" s="1251"/>
      <c r="W7" s="1251"/>
      <c r="X7" s="1251"/>
    </row>
    <row r="8" spans="1:24" s="1241" customFormat="1" ht="15" customHeight="1">
      <c r="A8" s="1241" t="s">
        <v>2361</v>
      </c>
      <c r="C8" s="1240">
        <f>'Reg - Price Out '!AL199+'FtL - Price Out'!AK58</f>
        <v>4145.7499115630071</v>
      </c>
      <c r="D8" s="1240"/>
      <c r="E8" s="1240">
        <f>'[45]Customer Count Summary'!$O$7</f>
        <v>602</v>
      </c>
      <c r="F8" s="1243"/>
      <c r="G8" s="1240">
        <f>SUM('[45]Customer Count Summary'!$H$7:$N$7)</f>
        <v>1554.5993574924159</v>
      </c>
      <c r="H8" s="1251">
        <f t="shared" si="4"/>
        <v>6302.3492690554231</v>
      </c>
      <c r="I8" s="1252">
        <f t="shared" si="5"/>
        <v>2.9052783819898283E-2</v>
      </c>
      <c r="J8" s="1253">
        <f t="shared" si="5"/>
        <v>0</v>
      </c>
      <c r="K8" s="1253">
        <f t="shared" si="5"/>
        <v>0.8737300435413643</v>
      </c>
      <c r="L8" s="1253">
        <f t="shared" si="5"/>
        <v>0</v>
      </c>
      <c r="M8" s="1253">
        <f t="shared" si="5"/>
        <v>2.7580054705424621E-2</v>
      </c>
      <c r="N8" s="1251"/>
      <c r="O8" s="1251"/>
      <c r="P8" s="1251"/>
      <c r="R8" s="1251"/>
      <c r="S8" s="1251"/>
      <c r="T8" s="1251"/>
      <c r="U8" s="1251"/>
      <c r="V8" s="1251"/>
      <c r="W8" s="1251"/>
      <c r="X8" s="1251"/>
    </row>
    <row r="9" spans="1:24" s="1241" customFormat="1" ht="15" customHeight="1">
      <c r="C9" s="1240"/>
      <c r="D9" s="1240"/>
      <c r="E9" s="1240"/>
      <c r="F9" s="1243"/>
      <c r="G9" s="1240"/>
      <c r="H9" s="1251">
        <f t="shared" si="4"/>
        <v>0</v>
      </c>
      <c r="I9" s="1255"/>
      <c r="J9" s="1256"/>
      <c r="K9" s="1256"/>
      <c r="L9" s="1256"/>
      <c r="M9" s="1256"/>
      <c r="N9" s="1251"/>
      <c r="O9" s="1251"/>
      <c r="P9" s="1251"/>
      <c r="R9" s="1251"/>
      <c r="S9" s="1251"/>
      <c r="T9" s="1251"/>
      <c r="U9" s="1251"/>
      <c r="V9" s="1251"/>
      <c r="W9" s="1251"/>
      <c r="X9" s="1251"/>
    </row>
    <row r="10" spans="1:24" s="1241" customFormat="1" ht="15" customHeight="1">
      <c r="A10" s="1241" t="s">
        <v>357</v>
      </c>
      <c r="C10" s="1240">
        <f>'Reg - Price Out '!AJ256+'FtL - Price Out'!AI95</f>
        <v>169.04397532007084</v>
      </c>
      <c r="D10" s="1240">
        <f>+'[45]2180 (JBLM Housing) - Price Out'!$AJ$77</f>
        <v>4</v>
      </c>
      <c r="E10" s="1240">
        <f>'[45]Customer Count Summary'!$O$9+'[45]Customer Count Summary'!$O$10</f>
        <v>87</v>
      </c>
      <c r="F10" s="1243"/>
      <c r="G10" s="1240">
        <f>SUM('[45]Customer Count Summary'!$H$9:$N$9)</f>
        <v>127.09740869583867</v>
      </c>
      <c r="H10" s="1251">
        <f t="shared" si="4"/>
        <v>387.14138401590952</v>
      </c>
      <c r="I10" s="1252">
        <f t="shared" si="5"/>
        <v>1.184634427014592E-3</v>
      </c>
      <c r="J10" s="1253">
        <f t="shared" si="5"/>
        <v>4.3472041738045576E-4</v>
      </c>
      <c r="K10" s="1253">
        <f t="shared" si="5"/>
        <v>0.1262699564586357</v>
      </c>
      <c r="L10" s="1253">
        <f t="shared" si="5"/>
        <v>0</v>
      </c>
      <c r="M10" s="1253">
        <f t="shared" si="5"/>
        <v>2.2548275656070712E-3</v>
      </c>
      <c r="N10" s="1251"/>
      <c r="O10" s="1251"/>
      <c r="P10" s="1251"/>
      <c r="R10" s="1251"/>
      <c r="S10" s="1251"/>
      <c r="T10" s="1251"/>
      <c r="U10" s="1251"/>
      <c r="V10" s="1251"/>
      <c r="W10" s="1251"/>
      <c r="X10" s="1251"/>
    </row>
    <row r="11" spans="1:24" s="1241" customFormat="1" ht="15" customHeight="1">
      <c r="C11" s="1240"/>
      <c r="D11" s="1240"/>
      <c r="E11" s="1240"/>
      <c r="F11" s="1243"/>
      <c r="G11" s="1240"/>
      <c r="H11" s="1251">
        <f t="shared" si="4"/>
        <v>0</v>
      </c>
      <c r="I11" s="1255"/>
      <c r="J11" s="1256"/>
      <c r="K11" s="1256"/>
      <c r="L11" s="1256"/>
      <c r="M11" s="1256"/>
      <c r="N11" s="1251"/>
      <c r="O11" s="1251"/>
      <c r="P11" s="1251"/>
      <c r="R11" s="1251"/>
      <c r="S11" s="1251"/>
      <c r="T11" s="1251"/>
      <c r="U11" s="1251"/>
      <c r="V11" s="1251"/>
      <c r="W11" s="1251"/>
      <c r="X11" s="1251"/>
    </row>
    <row r="12" spans="1:24" s="1241" customFormat="1" ht="15" customHeight="1">
      <c r="A12" s="1241" t="s">
        <v>358</v>
      </c>
      <c r="C12" s="1240">
        <f>'Reg - Price Out '!AJ65</f>
        <v>52817.183201790649</v>
      </c>
      <c r="D12" s="1240">
        <f>'JBLM Housing - Price Out'!AJ25+'JBLM Housing - Price Out'!AJ26</f>
        <v>4200.4791255752798</v>
      </c>
      <c r="E12" s="1240"/>
      <c r="F12" s="1243"/>
      <c r="G12" s="1240">
        <f>SUM('[45]Customer Count Summary'!$H$11:$N$11)</f>
        <v>18684.202268184574</v>
      </c>
      <c r="H12" s="1251">
        <f t="shared" si="4"/>
        <v>75701.864595550505</v>
      </c>
      <c r="I12" s="1252">
        <f t="shared" si="5"/>
        <v>0.37013477374930787</v>
      </c>
      <c r="J12" s="1253">
        <f t="shared" si="5"/>
        <v>0.45650850966699436</v>
      </c>
      <c r="K12" s="1253">
        <f t="shared" si="5"/>
        <v>0</v>
      </c>
      <c r="L12" s="1253">
        <f t="shared" si="5"/>
        <v>0</v>
      </c>
      <c r="M12" s="1253">
        <f t="shared" si="5"/>
        <v>0.33147532076364133</v>
      </c>
      <c r="N12" s="1251"/>
      <c r="O12" s="1251"/>
      <c r="P12" s="1251"/>
      <c r="R12" s="1251"/>
      <c r="S12" s="1251"/>
      <c r="T12" s="1251"/>
      <c r="U12" s="1251"/>
      <c r="V12" s="1251"/>
      <c r="W12" s="1251"/>
      <c r="X12" s="1251"/>
    </row>
    <row r="13" spans="1:24" s="1241" customFormat="1" ht="15" customHeight="1">
      <c r="A13" s="1241" t="s">
        <v>2363</v>
      </c>
      <c r="C13" s="1240">
        <f>'[45]Customer Count Summary'!$E$12</f>
        <v>2871</v>
      </c>
      <c r="D13" s="1240">
        <f>'[45]Customer Count Summary'!$G$12</f>
        <v>159</v>
      </c>
      <c r="E13" s="1240"/>
      <c r="F13" s="1243"/>
      <c r="G13" s="1240">
        <f>SUM('[45]Customer Count Summary'!$H$12:$N$12)</f>
        <v>1996</v>
      </c>
      <c r="H13" s="1251">
        <f t="shared" si="4"/>
        <v>5026</v>
      </c>
      <c r="I13" s="1252">
        <f t="shared" si="5"/>
        <v>2.0119530634080385E-2</v>
      </c>
      <c r="J13" s="1253">
        <f t="shared" si="5"/>
        <v>1.7280136590873116E-2</v>
      </c>
      <c r="K13" s="1253">
        <f t="shared" si="5"/>
        <v>0</v>
      </c>
      <c r="L13" s="1253">
        <f t="shared" si="5"/>
        <v>0</v>
      </c>
      <c r="M13" s="1253">
        <f t="shared" si="5"/>
        <v>3.5410917241612265E-2</v>
      </c>
      <c r="N13" s="1251"/>
      <c r="O13" s="1251"/>
      <c r="P13" s="1251"/>
      <c r="R13" s="1251"/>
      <c r="S13" s="1251"/>
      <c r="T13" s="1251"/>
      <c r="U13" s="1251"/>
      <c r="V13" s="1251"/>
      <c r="W13" s="1251"/>
      <c r="X13" s="1251"/>
    </row>
    <row r="14" spans="1:24" s="1241" customFormat="1" ht="15" customHeight="1">
      <c r="A14" s="1241" t="s">
        <v>2364</v>
      </c>
      <c r="C14" s="1240">
        <f>'[45]Customer Count Summary'!$E$13</f>
        <v>253</v>
      </c>
      <c r="D14" s="1240"/>
      <c r="E14" s="1240"/>
      <c r="F14" s="1243"/>
      <c r="G14" s="1240">
        <f>SUM('[45]Customer Count Summary'!$H$13:$N$13)</f>
        <v>321</v>
      </c>
      <c r="H14" s="1251">
        <f t="shared" si="4"/>
        <v>574</v>
      </c>
      <c r="I14" s="1252">
        <f t="shared" si="5"/>
        <v>1.7729854581756662E-3</v>
      </c>
      <c r="J14" s="1253">
        <f t="shared" si="5"/>
        <v>0</v>
      </c>
      <c r="K14" s="1253">
        <f t="shared" si="5"/>
        <v>0</v>
      </c>
      <c r="L14" s="1253">
        <f t="shared" si="5"/>
        <v>0</v>
      </c>
      <c r="M14" s="1253">
        <f t="shared" si="5"/>
        <v>5.6948419010809303E-3</v>
      </c>
      <c r="N14" s="1251"/>
      <c r="O14" s="1251"/>
      <c r="P14" s="1251"/>
      <c r="R14" s="1251"/>
      <c r="S14" s="1251"/>
      <c r="T14" s="1251"/>
      <c r="U14" s="1251"/>
      <c r="V14" s="1251"/>
      <c r="W14" s="1251"/>
      <c r="X14" s="1251"/>
    </row>
    <row r="15" spans="1:24" s="1241" customFormat="1" ht="15" customHeight="1">
      <c r="A15" s="1257" t="s">
        <v>2367</v>
      </c>
      <c r="C15" s="1240"/>
      <c r="D15" s="1240"/>
      <c r="E15" s="1240"/>
      <c r="F15" s="1243">
        <f>'[45]Customer Count Summary'!$O$14</f>
        <v>37</v>
      </c>
      <c r="G15" s="1240">
        <f>SUM('[45]Customer Count Summary'!$H$14:$N$14)</f>
        <v>1344</v>
      </c>
      <c r="H15" s="1251">
        <f t="shared" si="4"/>
        <v>1381</v>
      </c>
      <c r="I15" s="1252">
        <f t="shared" si="5"/>
        <v>0</v>
      </c>
      <c r="J15" s="1253">
        <f t="shared" si="5"/>
        <v>0</v>
      </c>
      <c r="K15" s="1253">
        <f t="shared" si="5"/>
        <v>0</v>
      </c>
      <c r="L15" s="1253">
        <f t="shared" si="5"/>
        <v>6.4459930313588848E-2</v>
      </c>
      <c r="M15" s="1253">
        <f t="shared" si="5"/>
        <v>2.3843824034432307E-2</v>
      </c>
      <c r="N15" s="1251"/>
      <c r="O15" s="1251"/>
      <c r="P15" s="1251"/>
      <c r="R15" s="1251"/>
      <c r="S15" s="1251"/>
      <c r="T15" s="1251"/>
      <c r="U15" s="1251"/>
      <c r="V15" s="1251"/>
      <c r="W15" s="1251"/>
      <c r="X15" s="1251"/>
    </row>
    <row r="16" spans="1:24" s="1241" customFormat="1" ht="15" customHeight="1">
      <c r="A16" s="1257" t="s">
        <v>2368</v>
      </c>
      <c r="C16" s="1240"/>
      <c r="D16" s="1240"/>
      <c r="E16" s="1240"/>
      <c r="F16" s="1243">
        <f>'[45]Customer Count Summary'!$O$15</f>
        <v>491</v>
      </c>
      <c r="G16" s="1240">
        <f>SUM('[45]Customer Count Summary'!$H$15:$N$15)</f>
        <v>967</v>
      </c>
      <c r="H16" s="1251">
        <f t="shared" si="4"/>
        <v>1458</v>
      </c>
      <c r="I16" s="1252">
        <f t="shared" si="5"/>
        <v>0</v>
      </c>
      <c r="J16" s="1253">
        <f t="shared" si="5"/>
        <v>0</v>
      </c>
      <c r="K16" s="1253">
        <f t="shared" si="5"/>
        <v>0</v>
      </c>
      <c r="L16" s="1253">
        <f t="shared" si="5"/>
        <v>0.85540069686411146</v>
      </c>
      <c r="M16" s="1253">
        <f t="shared" si="5"/>
        <v>1.7155489465250029E-2</v>
      </c>
      <c r="N16" s="1251"/>
      <c r="O16" s="1251"/>
      <c r="P16" s="1251"/>
      <c r="R16" s="1251"/>
      <c r="S16" s="1251"/>
      <c r="T16" s="1251"/>
      <c r="U16" s="1251"/>
      <c r="V16" s="1251"/>
      <c r="W16" s="1251"/>
      <c r="X16" s="1251"/>
    </row>
    <row r="17" spans="1:24" s="1241" customFormat="1" ht="15" customHeight="1">
      <c r="A17" s="1241" t="s">
        <v>5</v>
      </c>
      <c r="C17" s="1240">
        <f>'Reg - Price Out '!AJ80</f>
        <v>26739.914556962023</v>
      </c>
      <c r="D17" s="1240">
        <f>'JBLM Housing - Price Out'!AJ35</f>
        <v>590.45840867992763</v>
      </c>
      <c r="E17" s="1240"/>
      <c r="F17" s="1243">
        <f>'[45]Customer Count Summary'!$O$16</f>
        <v>46</v>
      </c>
      <c r="G17" s="1240">
        <f>SUM('[45]Customer Count Summary'!$H$16:$N$16)</f>
        <v>11676.923967365385</v>
      </c>
      <c r="H17" s="1251">
        <f t="shared" si="4"/>
        <v>39053.296933007332</v>
      </c>
      <c r="I17" s="1252">
        <f t="shared" si="5"/>
        <v>0.18738924767728649</v>
      </c>
      <c r="J17" s="1253">
        <f t="shared" si="5"/>
        <v>6.4171081466784463E-2</v>
      </c>
      <c r="K17" s="1253">
        <f t="shared" si="5"/>
        <v>0</v>
      </c>
      <c r="L17" s="1253">
        <f t="shared" si="5"/>
        <v>8.0139372822299645E-2</v>
      </c>
      <c r="M17" s="1253">
        <f t="shared" si="5"/>
        <v>0.20715961334918556</v>
      </c>
      <c r="N17" s="1251"/>
      <c r="O17" s="1251"/>
      <c r="P17" s="1251"/>
      <c r="R17" s="1251"/>
      <c r="S17" s="1251"/>
      <c r="T17" s="1251"/>
      <c r="U17" s="1251"/>
      <c r="V17" s="1251"/>
      <c r="W17" s="1251"/>
      <c r="X17" s="1251"/>
    </row>
    <row r="18" spans="1:24" s="1241" customFormat="1" ht="15" customHeight="1">
      <c r="I18" s="1252"/>
      <c r="J18" s="1253"/>
      <c r="K18" s="1253"/>
      <c r="L18" s="1253"/>
      <c r="M18" s="1253"/>
      <c r="N18" s="1251"/>
      <c r="O18" s="1251"/>
      <c r="P18" s="1251"/>
      <c r="R18" s="1251"/>
      <c r="S18" s="1251"/>
      <c r="T18" s="1251"/>
      <c r="U18" s="1251"/>
      <c r="V18" s="1251"/>
      <c r="W18" s="1251"/>
      <c r="X18" s="1251"/>
    </row>
    <row r="19" spans="1:24" s="1241" customFormat="1" ht="15" customHeight="1">
      <c r="A19" s="1258" t="s">
        <v>350</v>
      </c>
      <c r="B19" s="1259"/>
      <c r="C19" s="1260">
        <f>SUM(C6:C17)</f>
        <v>142697.16586413927</v>
      </c>
      <c r="D19" s="1260">
        <f>SUM(D6:D17)</f>
        <v>9201.316156492614</v>
      </c>
      <c r="E19" s="1260">
        <f>SUM(E6:E17)</f>
        <v>689</v>
      </c>
      <c r="F19" s="1260">
        <f>SUM(F6:F17)</f>
        <v>574</v>
      </c>
      <c r="G19" s="1260">
        <f t="shared" ref="G19:H19" si="6">SUM(G6:G17)</f>
        <v>56366.797459130765</v>
      </c>
      <c r="H19" s="1260">
        <f t="shared" si="6"/>
        <v>209528.27947976268</v>
      </c>
      <c r="I19" s="1261">
        <f>SUM(I6:I17)</f>
        <v>1</v>
      </c>
      <c r="J19" s="1262">
        <f t="shared" ref="J19:M19" si="7">SUM(J6:J17)</f>
        <v>1</v>
      </c>
      <c r="K19" s="1262">
        <f t="shared" si="7"/>
        <v>1</v>
      </c>
      <c r="L19" s="1262">
        <f t="shared" si="7"/>
        <v>1</v>
      </c>
      <c r="M19" s="1263">
        <f t="shared" si="7"/>
        <v>1</v>
      </c>
      <c r="N19" s="1264"/>
      <c r="O19" s="1264"/>
      <c r="P19" s="1264"/>
      <c r="R19" s="1264"/>
      <c r="S19" s="1264"/>
      <c r="T19" s="1264"/>
      <c r="U19" s="1264"/>
      <c r="V19" s="1264"/>
      <c r="W19" s="1264"/>
      <c r="X19" s="1264"/>
    </row>
    <row r="20" spans="1:24" s="1241" customFormat="1" ht="11.25" customHeight="1">
      <c r="H20" s="1243"/>
      <c r="I20" s="1255"/>
      <c r="K20" s="1243"/>
    </row>
    <row r="21" spans="1:24" s="1241" customFormat="1" ht="15" customHeight="1">
      <c r="A21" s="1241" t="s">
        <v>929</v>
      </c>
      <c r="C21" s="1265">
        <f>C19/$H19</f>
        <v>0.68104012603187392</v>
      </c>
      <c r="D21" s="1265">
        <f>D19/$H19</f>
        <v>4.3914435699746797E-2</v>
      </c>
      <c r="E21" s="1265">
        <f>E19/$H19</f>
        <v>3.2883389378785366E-3</v>
      </c>
      <c r="F21" s="1265">
        <f>F19/$H19</f>
        <v>2.7394870106564298E-3</v>
      </c>
      <c r="G21" s="1265">
        <f>G19/$H19</f>
        <v>0.26901761231984422</v>
      </c>
      <c r="H21" s="1265">
        <f>SUM(C21:G21)</f>
        <v>0.99999999999999989</v>
      </c>
      <c r="J21" s="1243"/>
      <c r="O21" s="1266"/>
      <c r="P21" s="1267"/>
    </row>
    <row r="22" spans="1:24" s="1241" customFormat="1" ht="15" customHeight="1">
      <c r="A22" s="1241" t="s">
        <v>2381</v>
      </c>
      <c r="C22" s="1265">
        <f>C12/(G12+C12)</f>
        <v>0.73868754926391711</v>
      </c>
      <c r="G22" s="1265">
        <f>1-C22</f>
        <v>0.26131245073608289</v>
      </c>
      <c r="H22" s="1265">
        <f>SUM(C22:G22)</f>
        <v>1</v>
      </c>
      <c r="K22" s="1243"/>
      <c r="O22" s="1266"/>
      <c r="P22" s="1267"/>
      <c r="R22" s="1264"/>
      <c r="S22" s="1247"/>
      <c r="T22" s="1247"/>
      <c r="U22" s="1247"/>
      <c r="V22" s="1247"/>
      <c r="W22" s="1247"/>
      <c r="X22" s="1247"/>
    </row>
    <row r="23" spans="1:24" s="1241" customFormat="1" ht="15" customHeight="1">
      <c r="A23" s="1241" t="s">
        <v>359</v>
      </c>
      <c r="C23" s="1265">
        <f>(C12+C13)/($H$12+$H$13+$H15)</f>
        <v>0.67822376397600803</v>
      </c>
      <c r="D23" s="1265">
        <f>(D12+D13)/($H$12+$H$13+$H15)</f>
        <v>5.3093891226593831E-2</v>
      </c>
      <c r="E23" s="1265">
        <f>(E12+E13)/($H$12+$H$13+$H15)</f>
        <v>0</v>
      </c>
      <c r="F23" s="1265">
        <f>(F12+F13+F15)/($H$12+$H$13+$H15)</f>
        <v>4.5062125974160697E-4</v>
      </c>
      <c r="G23" s="1265">
        <f>(G12+G13+G15)/($H$12+$H$13+$H15)</f>
        <v>0.26823172353765651</v>
      </c>
      <c r="H23" s="1265">
        <f>SUM(C23:G23)</f>
        <v>1</v>
      </c>
      <c r="K23" s="1243"/>
      <c r="O23" s="1266"/>
      <c r="P23" s="1267"/>
      <c r="R23" s="1264"/>
      <c r="S23" s="1251"/>
      <c r="T23" s="1251"/>
      <c r="U23" s="1251"/>
      <c r="V23" s="1251"/>
      <c r="W23" s="1251"/>
      <c r="X23" s="1251"/>
    </row>
    <row r="24" spans="1:24" s="1241" customFormat="1" ht="14.25" customHeight="1">
      <c r="A24" s="1241" t="s">
        <v>360</v>
      </c>
      <c r="C24" s="1265">
        <f>C17/$H17</f>
        <v>0.68470312769833785</v>
      </c>
      <c r="D24" s="1265">
        <f>D17/$H17</f>
        <v>1.5119297346208944E-2</v>
      </c>
      <c r="E24" s="1265">
        <f>E17/$H17</f>
        <v>0</v>
      </c>
      <c r="F24" s="1265">
        <f>F17/$H17</f>
        <v>1.1778775061913251E-3</v>
      </c>
      <c r="G24" s="1265">
        <f>G17/$H17</f>
        <v>0.29899969744926203</v>
      </c>
      <c r="H24" s="1265">
        <f>SUM(C24:G24)</f>
        <v>1.0000000000000002</v>
      </c>
      <c r="K24" s="1243"/>
      <c r="O24" s="1266"/>
      <c r="P24" s="1267"/>
      <c r="R24" s="1251"/>
      <c r="S24" s="1268"/>
      <c r="T24" s="1268"/>
      <c r="U24" s="1268"/>
      <c r="V24" s="1268"/>
      <c r="W24" s="1268"/>
      <c r="X24" s="1268"/>
    </row>
    <row r="25" spans="1:24" s="1241" customFormat="1" ht="15" customHeight="1">
      <c r="A25" s="1241" t="s">
        <v>532</v>
      </c>
      <c r="C25" s="1269">
        <f>SUM(C12:C13)/SUM($C$12:$G$13)</f>
        <v>0.68982604062166686</v>
      </c>
      <c r="G25" s="1269">
        <f>SUM(G12:G13)/SUM($C$12:$G$13)</f>
        <v>0.25617179857033417</v>
      </c>
      <c r="H25" s="1265">
        <f>SUM(C25:G25)</f>
        <v>0.94599783919200098</v>
      </c>
      <c r="K25" s="1243"/>
      <c r="N25" s="1266"/>
      <c r="O25" s="1266"/>
      <c r="P25" s="1267"/>
      <c r="R25" s="1251"/>
      <c r="S25" s="1268"/>
      <c r="T25" s="1268"/>
      <c r="U25" s="1268"/>
      <c r="V25" s="1268"/>
      <c r="W25" s="1268"/>
      <c r="X25" s="1268"/>
    </row>
    <row r="26" spans="1:24" s="1241" customFormat="1" ht="15" customHeight="1">
      <c r="A26" s="1241" t="s">
        <v>931</v>
      </c>
      <c r="C26" s="1269">
        <f>+SUM(C6:C7)/SUM($H$6:$H$7)</f>
        <v>0.69937265209361987</v>
      </c>
      <c r="D26" s="1269">
        <f>+SUM(D6:D7)/SUM($H$6:$H$7)</f>
        <v>5.3329129237283099E-2</v>
      </c>
      <c r="E26" s="1269">
        <f>+SUM(E6:E7)/SUM($H$6:$H$7)</f>
        <v>0</v>
      </c>
      <c r="F26" s="1269">
        <f>+SUM(F6:F7)/SUM($H$6:$H$7)</f>
        <v>0</v>
      </c>
      <c r="G26" s="1269">
        <f>+SUM(G6:G7)/SUM($H$6:$H$7)</f>
        <v>0.24729821866909701</v>
      </c>
      <c r="H26" s="1265">
        <f t="shared" ref="H26:H33" si="8">SUM(C26:G26)</f>
        <v>1</v>
      </c>
      <c r="K26" s="1243"/>
      <c r="O26" s="1266"/>
      <c r="P26" s="1267"/>
      <c r="R26" s="1251"/>
      <c r="S26" s="1268"/>
      <c r="T26" s="1268"/>
      <c r="U26" s="1268"/>
      <c r="V26" s="1268"/>
      <c r="W26" s="1268"/>
      <c r="X26" s="1268"/>
    </row>
    <row r="27" spans="1:24" s="1241" customFormat="1" ht="15" customHeight="1">
      <c r="A27" s="1241" t="s">
        <v>2420</v>
      </c>
      <c r="C27" s="1269">
        <f>+C8/($H$8-$E$8)</f>
        <v>0.72727998160891272</v>
      </c>
      <c r="D27" s="1269">
        <f>+D8/($H$8-$E$8)</f>
        <v>0</v>
      </c>
      <c r="E27" s="1269">
        <v>0</v>
      </c>
      <c r="F27" s="1269">
        <f>+F8/$H$8</f>
        <v>0</v>
      </c>
      <c r="G27" s="1269">
        <f>+G8/($H$8-$E$8)</f>
        <v>0.27272001839108728</v>
      </c>
      <c r="H27" s="1265">
        <f t="shared" si="8"/>
        <v>1</v>
      </c>
      <c r="K27" s="1243"/>
      <c r="O27" s="1266"/>
      <c r="P27" s="1267"/>
      <c r="R27" s="1251"/>
      <c r="S27" s="1268"/>
      <c r="T27" s="1268"/>
      <c r="U27" s="1268"/>
      <c r="V27" s="1268"/>
      <c r="W27" s="1268"/>
      <c r="X27" s="1268"/>
    </row>
    <row r="28" spans="1:24" s="1241" customFormat="1" ht="15" customHeight="1">
      <c r="A28" s="1241" t="s">
        <v>930</v>
      </c>
      <c r="C28" s="1269">
        <f>+C10/$H$10</f>
        <v>0.43664661619622663</v>
      </c>
      <c r="D28" s="1269">
        <f>+D10/$H$10</f>
        <v>1.0332142636127015E-2</v>
      </c>
      <c r="E28" s="1269">
        <f>+E10/$H$10</f>
        <v>0.22472410233576254</v>
      </c>
      <c r="F28" s="1269">
        <f>+F10/$H$10</f>
        <v>0</v>
      </c>
      <c r="G28" s="1269">
        <f>+G10/$H$10</f>
        <v>0.32829713883188372</v>
      </c>
      <c r="H28" s="1265">
        <f t="shared" si="8"/>
        <v>0.99999999999999989</v>
      </c>
      <c r="K28" s="1243"/>
      <c r="O28" s="1266"/>
      <c r="P28" s="1267"/>
      <c r="R28" s="1251"/>
      <c r="S28" s="1268"/>
      <c r="T28" s="1268"/>
      <c r="U28" s="1268"/>
      <c r="V28" s="1268"/>
      <c r="W28" s="1268"/>
      <c r="X28" s="1268"/>
    </row>
    <row r="29" spans="1:24" s="1241" customFormat="1" ht="15" customHeight="1">
      <c r="A29" s="1241" t="s">
        <v>932</v>
      </c>
      <c r="C29" s="1269">
        <f>+SUM(C12:C13)/SUM($H$12:$H$13)</f>
        <v>0.68982604062166686</v>
      </c>
      <c r="D29" s="1269">
        <f>+SUM(D12:D13)/SUM($H$12:$H$13)</f>
        <v>5.4002160807998904E-2</v>
      </c>
      <c r="E29" s="1269">
        <f>+SUM(E12:E13)/SUM($H$12:$H$13)</f>
        <v>0</v>
      </c>
      <c r="F29" s="1269">
        <f>+SUM(F12:F13)/SUM($H$12:$H$13)</f>
        <v>0</v>
      </c>
      <c r="G29" s="1269">
        <f>+SUM(G12:G13)/SUM($H$12:$H$13)</f>
        <v>0.25617179857033417</v>
      </c>
      <c r="H29" s="1265">
        <f t="shared" si="8"/>
        <v>1</v>
      </c>
      <c r="K29" s="1243"/>
      <c r="O29" s="1266"/>
      <c r="P29" s="1267"/>
      <c r="R29" s="1251"/>
      <c r="S29" s="1268"/>
      <c r="T29" s="1268"/>
      <c r="U29" s="1268"/>
      <c r="V29" s="1268"/>
      <c r="W29" s="1268"/>
      <c r="X29" s="1268"/>
    </row>
    <row r="30" spans="1:24" s="1241" customFormat="1" ht="15" customHeight="1">
      <c r="A30" s="1241" t="s">
        <v>9</v>
      </c>
      <c r="C30" s="1269">
        <f>+C15/$H$15</f>
        <v>0</v>
      </c>
      <c r="D30" s="1269">
        <f>+D15/$H$15</f>
        <v>0</v>
      </c>
      <c r="E30" s="1269">
        <f>+E15/$H$15</f>
        <v>0</v>
      </c>
      <c r="F30" s="1269">
        <f>+F15/$H$15</f>
        <v>2.6792179580014484E-2</v>
      </c>
      <c r="G30" s="1269">
        <f>+G15/$H$15</f>
        <v>0.97320782041998555</v>
      </c>
      <c r="H30" s="1265">
        <f t="shared" si="8"/>
        <v>1</v>
      </c>
      <c r="K30" s="1243"/>
      <c r="O30" s="1266"/>
      <c r="P30" s="1267"/>
      <c r="R30" s="1251"/>
      <c r="S30" s="1268"/>
      <c r="T30" s="1268"/>
      <c r="U30" s="1268"/>
      <c r="V30" s="1268"/>
      <c r="W30" s="1268"/>
      <c r="X30" s="1268"/>
    </row>
    <row r="31" spans="1:24" s="1241" customFormat="1" ht="15" customHeight="1">
      <c r="A31" s="1241" t="s">
        <v>936</v>
      </c>
      <c r="C31" s="1268">
        <f>+C19/SUM($C$19:$D$19,$G$19)</f>
        <v>0.68517021281987278</v>
      </c>
      <c r="D31" s="1268">
        <f>+D19/SUM($C$19:$D$19,$G$19)</f>
        <v>4.4180749568421052E-2</v>
      </c>
      <c r="G31" s="1268">
        <f>+G19/SUM($C$19:$D$19,$G$19)</f>
        <v>0.27064903761170611</v>
      </c>
      <c r="H31" s="1265">
        <f t="shared" si="8"/>
        <v>1</v>
      </c>
      <c r="K31" s="1243"/>
      <c r="O31" s="1266"/>
      <c r="P31" s="1267"/>
      <c r="R31" s="1251"/>
      <c r="S31" s="1268"/>
      <c r="T31" s="1268"/>
      <c r="U31" s="1268"/>
      <c r="V31" s="1268"/>
      <c r="W31" s="1268"/>
      <c r="X31" s="1268"/>
    </row>
    <row r="32" spans="1:24" s="1241" customFormat="1" ht="15" customHeight="1">
      <c r="A32" s="1241" t="s">
        <v>2382</v>
      </c>
      <c r="C32" s="1265">
        <f>SUM(C6:C8,C12:C17)/SUM($H$6:$H$8,$H$12:$H$17)</f>
        <v>0.68149252311885433</v>
      </c>
      <c r="D32" s="1265">
        <f>SUM(D6:D8,D12:D17)/SUM($H$6:$H$8,$H$12:$H$17)</f>
        <v>4.3976599918290567E-2</v>
      </c>
      <c r="E32" s="1265">
        <f>SUM(E6:E8,E12:E17)/SUM($H$6:$H$8,$H$12:$H$17)</f>
        <v>2.8784389598396406E-3</v>
      </c>
      <c r="F32" s="1265">
        <f>SUM(F6:F8,F12:F17)/SUM($H$6:$H$8,$H$12:$H$17)</f>
        <v>2.7445580779866343E-3</v>
      </c>
      <c r="G32" s="1265">
        <f>SUM(G6:G8,G12:G17)/SUM($H$6:$H$8,$H$12:$H$17)</f>
        <v>0.26890787992502868</v>
      </c>
      <c r="H32" s="1265">
        <f t="shared" si="8"/>
        <v>1</v>
      </c>
      <c r="K32" s="1243"/>
      <c r="O32" s="1266"/>
      <c r="P32" s="1267"/>
      <c r="R32" s="1251"/>
      <c r="S32" s="1268"/>
      <c r="T32" s="1268"/>
      <c r="U32" s="1268"/>
      <c r="V32" s="1268"/>
      <c r="W32" s="1268"/>
      <c r="X32" s="1268"/>
    </row>
    <row r="33" spans="1:24" s="1241" customFormat="1" ht="15" customHeight="1">
      <c r="A33" s="1241" t="s">
        <v>2777</v>
      </c>
      <c r="C33" s="1269">
        <f>SUM(C8,C10,C14,C16)/SUM($H$8,$H$10,$H$14,$H$16)</f>
        <v>0.52374004268117835</v>
      </c>
      <c r="D33" s="1269">
        <f>SUM(D8,D10,D14,D16)/SUM($H$8,$H$10,$H$14,$H$16)</f>
        <v>4.5863719392869756E-4</v>
      </c>
      <c r="E33" s="1269">
        <f>SUM(E8,E10,E14,E16)/SUM($H$8,$H$10,$H$14,$H$16)</f>
        <v>7.9000256654218157E-2</v>
      </c>
      <c r="F33" s="1269">
        <f>SUM(F8,F10,F14,F16)/SUM($H$8,$H$10,$H$14,$H$16)</f>
        <v>5.6297715554747628E-2</v>
      </c>
      <c r="G33" s="1269">
        <f>SUM(G8,G10,G14,G16)/SUM($H$8,$H$10,$H$14,$H$16)</f>
        <v>0.34050334791592712</v>
      </c>
      <c r="H33" s="1265">
        <f t="shared" si="8"/>
        <v>1</v>
      </c>
      <c r="I33" s="1242" t="s">
        <v>2418</v>
      </c>
      <c r="K33" s="1243"/>
      <c r="N33" s="1256"/>
      <c r="P33" s="1267"/>
      <c r="R33" s="1251"/>
      <c r="S33" s="1268"/>
      <c r="T33" s="1268"/>
      <c r="U33" s="1268"/>
      <c r="V33" s="1268"/>
      <c r="W33" s="1268"/>
      <c r="X33" s="1268"/>
    </row>
    <row r="34" spans="1:24" s="1241" customFormat="1" ht="30.75" customHeight="1">
      <c r="A34" s="1244" t="s">
        <v>361</v>
      </c>
      <c r="B34" s="1244"/>
      <c r="C34" s="1246" t="str">
        <f>C4</f>
        <v>Reg/ Ft Lewis</v>
      </c>
      <c r="D34" s="1246" t="str">
        <f t="shared" ref="D34:G34" si="9">D4</f>
        <v>JBLM Housing</v>
      </c>
      <c r="E34" s="1245" t="str">
        <f t="shared" si="9"/>
        <v>JBLM Contract- Garb</v>
      </c>
      <c r="F34" s="1245" t="str">
        <f t="shared" si="9"/>
        <v>JBLM Contract-Recycl</v>
      </c>
      <c r="G34" s="1246" t="str">
        <f t="shared" si="9"/>
        <v>Non-Reg</v>
      </c>
      <c r="H34" s="1246" t="s">
        <v>13</v>
      </c>
      <c r="I34" s="1245"/>
      <c r="J34" s="1245" t="s">
        <v>2419</v>
      </c>
      <c r="K34" s="1245" t="str">
        <f t="shared" ref="K34:M34" si="10">E34</f>
        <v>JBLM Contract- Garb</v>
      </c>
      <c r="L34" s="1245" t="str">
        <f t="shared" si="10"/>
        <v>JBLM Contract-Recycl</v>
      </c>
      <c r="M34" s="1245" t="str">
        <f t="shared" si="10"/>
        <v>Non-Reg</v>
      </c>
      <c r="N34" s="1270"/>
      <c r="O34" s="1271"/>
      <c r="P34" s="1245" t="s">
        <v>2385</v>
      </c>
      <c r="Q34" s="1245" t="s">
        <v>4</v>
      </c>
      <c r="R34" s="1245" t="s">
        <v>299</v>
      </c>
      <c r="S34" s="1247"/>
      <c r="T34" s="1268"/>
      <c r="U34" s="1268"/>
      <c r="V34" s="1268"/>
      <c r="W34" s="1268"/>
      <c r="X34" s="1268"/>
    </row>
    <row r="35" spans="1:24" s="1241" customFormat="1" ht="9" customHeight="1">
      <c r="C35" s="1272"/>
      <c r="D35" s="1272"/>
      <c r="E35" s="1272"/>
      <c r="F35" s="1272"/>
      <c r="G35" s="1272"/>
      <c r="H35" s="1272"/>
      <c r="I35" s="1248"/>
      <c r="J35" s="1249"/>
      <c r="K35" s="1250"/>
      <c r="L35" s="1249"/>
      <c r="N35" s="1256"/>
      <c r="P35" s="1251"/>
      <c r="R35" s="1251"/>
      <c r="S35" s="1251"/>
      <c r="T35" s="1268"/>
      <c r="U35" s="1268"/>
      <c r="V35" s="1268"/>
      <c r="W35" s="1268"/>
      <c r="X35" s="1268"/>
    </row>
    <row r="36" spans="1:24" s="1241" customFormat="1" ht="15" customHeight="1">
      <c r="A36" s="1241" t="s">
        <v>324</v>
      </c>
      <c r="C36" s="1273">
        <f>+'[46]Route Summaries'!E44</f>
        <v>994.26204854562047</v>
      </c>
      <c r="D36" s="1273">
        <f>+'[46]Route Summaries'!F44</f>
        <v>98.142240794884373</v>
      </c>
      <c r="E36" s="1273">
        <f>+'[46]Route Summaries'!G44</f>
        <v>82.183983912045633</v>
      </c>
      <c r="F36" s="1273">
        <f>+'[46]Route Summaries'!H44</f>
        <v>0</v>
      </c>
      <c r="G36" s="1273">
        <f>+'[46]Route Summaries'!I44</f>
        <v>466.95602780691081</v>
      </c>
      <c r="H36" s="1274">
        <f>SUM(C36:G36)</f>
        <v>1641.5443010594613</v>
      </c>
      <c r="I36" s="1252"/>
      <c r="J36" s="1275">
        <f>(C36+D36)/($H$36-$E$36)</f>
        <v>0.70054642107275933</v>
      </c>
      <c r="K36" s="1253"/>
      <c r="L36" s="1253"/>
      <c r="M36" s="1275">
        <f>(G36)/($H$36-$E$36)</f>
        <v>0.29945357892724078</v>
      </c>
      <c r="N36" s="1276">
        <f>SUM(J36:M36)</f>
        <v>1</v>
      </c>
      <c r="P36" s="1254">
        <f>SUM(C36:D38)/SUM($C$36:$D$46)</f>
        <v>0.67789333972431143</v>
      </c>
      <c r="Q36" s="1254">
        <f>SUM(C40:D42)/SUM($C$36:$D$46)</f>
        <v>0.21992048587082527</v>
      </c>
      <c r="R36" s="1254">
        <f>SUM(C46:D46)/SUM($C$36:$D$46)</f>
        <v>0.10218617440486341</v>
      </c>
      <c r="S36" s="1254">
        <f>SUM(P36:R36)</f>
        <v>1</v>
      </c>
      <c r="T36" s="1268"/>
      <c r="U36" s="1268"/>
      <c r="V36" s="1268"/>
      <c r="W36" s="1268"/>
      <c r="X36" s="1268"/>
    </row>
    <row r="37" spans="1:24" s="1241" customFormat="1" ht="9" customHeight="1">
      <c r="I37" s="1255"/>
      <c r="J37" s="1256"/>
      <c r="K37" s="1256"/>
      <c r="L37" s="1256"/>
      <c r="M37" s="1256"/>
      <c r="N37" s="1276"/>
      <c r="R37" s="1264"/>
      <c r="S37" s="1277"/>
      <c r="T37" s="1277"/>
      <c r="U37" s="1277"/>
      <c r="V37" s="1277"/>
      <c r="W37" s="1277"/>
      <c r="X37" s="1277"/>
    </row>
    <row r="38" spans="1:24" s="1241" customFormat="1">
      <c r="A38" s="1241" t="s">
        <v>362</v>
      </c>
      <c r="C38" s="1273">
        <f>+'[46]Route Summaries'!E46</f>
        <v>189.96366451507939</v>
      </c>
      <c r="D38" s="1273">
        <f>+'[46]Route Summaries'!F46</f>
        <v>10.027668585119047</v>
      </c>
      <c r="E38" s="1273">
        <f>+'[46]Route Summaries'!G46</f>
        <v>79.962003553571421</v>
      </c>
      <c r="F38" s="1273">
        <f>+'[46]Route Summaries'!H46</f>
        <v>0</v>
      </c>
      <c r="G38" s="1273">
        <f>+'[46]Route Summaries'!I46</f>
        <v>166.78666384623023</v>
      </c>
      <c r="H38" s="1274">
        <f>SUM(C38:G38)</f>
        <v>446.74000050000006</v>
      </c>
      <c r="I38" s="1252"/>
      <c r="J38" s="1276">
        <f>(C38+D38)/$H$38</f>
        <v>0.44766829224238763</v>
      </c>
      <c r="K38" s="1276">
        <f>E38/$H$38</f>
        <v>0.1789900243185665</v>
      </c>
      <c r="L38" s="1276">
        <f>F38/$H$38</f>
        <v>0</v>
      </c>
      <c r="M38" s="1276">
        <f>G38/$H$38</f>
        <v>0.37334168343904589</v>
      </c>
      <c r="N38" s="1276">
        <f>SUM(J38:M38)</f>
        <v>1</v>
      </c>
    </row>
    <row r="39" spans="1:24" s="1241" customFormat="1" ht="9" customHeight="1">
      <c r="I39" s="1255"/>
      <c r="J39" s="1256"/>
      <c r="K39" s="1256"/>
      <c r="L39" s="1256"/>
      <c r="M39" s="1256"/>
      <c r="N39" s="1276"/>
    </row>
    <row r="40" spans="1:24" s="1241" customFormat="1" ht="15" customHeight="1">
      <c r="A40" s="1241" t="s">
        <v>363</v>
      </c>
      <c r="C40" s="1273">
        <f>+'[46]Route Summaries'!E48</f>
        <v>359.27880685088991</v>
      </c>
      <c r="D40" s="1273">
        <f>+'[46]Route Summaries'!F48</f>
        <v>6.7784761194666574</v>
      </c>
      <c r="E40" s="1273">
        <f>+'[46]Route Summaries'!G48</f>
        <v>0</v>
      </c>
      <c r="F40" s="1273">
        <f>+'[46]Route Summaries'!H48</f>
        <v>0</v>
      </c>
      <c r="G40" s="1273">
        <f>+'[46]Route Summaries'!I48</f>
        <v>131.98672726045822</v>
      </c>
      <c r="H40" s="1274">
        <f>SUM(C40:G40)</f>
        <v>498.04401023081476</v>
      </c>
      <c r="I40" s="1252"/>
      <c r="J40" s="1276">
        <f>(C40+D40)/$H$40</f>
        <v>0.73498983112096872</v>
      </c>
      <c r="K40" s="1276">
        <f>E40/$H$40</f>
        <v>0</v>
      </c>
      <c r="L40" s="1276">
        <f>F40/$H$40</f>
        <v>0</v>
      </c>
      <c r="M40" s="1276">
        <f>G40/$H$40</f>
        <v>0.26501016887903134</v>
      </c>
      <c r="N40" s="1276">
        <f>SUM(J40:M40)</f>
        <v>1</v>
      </c>
    </row>
    <row r="41" spans="1:24" s="1241" customFormat="1" ht="9" customHeight="1">
      <c r="I41" s="1255"/>
      <c r="J41" s="1256"/>
      <c r="K41" s="1256"/>
      <c r="L41" s="1256"/>
      <c r="M41" s="1256"/>
      <c r="N41" s="1276"/>
    </row>
    <row r="42" spans="1:24" s="1241" customFormat="1" ht="15" customHeight="1">
      <c r="A42" s="1241" t="s">
        <v>364</v>
      </c>
      <c r="C42" s="1273">
        <f>+'[46]Route Summaries'!E50</f>
        <v>47.853070486418346</v>
      </c>
      <c r="D42" s="1273">
        <f>+'[46]Route Summaries'!F50</f>
        <v>5.3654478663015759</v>
      </c>
      <c r="E42" s="1273">
        <f>+'[46]Route Summaries'!G50</f>
        <v>0</v>
      </c>
      <c r="F42" s="1273">
        <f>+'[46]Route Summaries'!H50</f>
        <v>0</v>
      </c>
      <c r="G42" s="1273">
        <f>+'[46]Route Summaries'!I50</f>
        <v>47.228984288004021</v>
      </c>
      <c r="H42" s="1274">
        <f>SUM(C42:G42)</f>
        <v>100.44750264072394</v>
      </c>
      <c r="I42" s="1252"/>
      <c r="J42" s="1253"/>
      <c r="K42" s="1253"/>
      <c r="L42" s="1253"/>
      <c r="M42" s="1253"/>
      <c r="N42" s="1276"/>
    </row>
    <row r="43" spans="1:24" s="1241" customFormat="1" ht="9" customHeight="1">
      <c r="I43" s="1255"/>
      <c r="J43" s="1256"/>
      <c r="K43" s="1256"/>
      <c r="L43" s="1256"/>
      <c r="M43" s="1256"/>
      <c r="N43" s="1276"/>
    </row>
    <row r="44" spans="1:24" s="1241" customFormat="1" ht="15" customHeight="1">
      <c r="A44" s="1241" t="s">
        <v>365</v>
      </c>
      <c r="C44" s="1273">
        <f>+'[46]Route Summaries'!E52</f>
        <v>0</v>
      </c>
      <c r="D44" s="1273">
        <f>+'[46]Route Summaries'!F52</f>
        <v>0</v>
      </c>
      <c r="E44" s="1273">
        <f>+'[46]Route Summaries'!G52</f>
        <v>0</v>
      </c>
      <c r="F44" s="1273">
        <f>+'[46]Route Summaries'!H52</f>
        <v>121.84418429392196</v>
      </c>
      <c r="G44" s="1273">
        <f>+'[46]Route Summaries'!I52</f>
        <v>174.09998910841139</v>
      </c>
      <c r="H44" s="1274">
        <f>SUM(C44:G44)</f>
        <v>295.94417340233338</v>
      </c>
      <c r="I44" s="1252"/>
      <c r="J44" s="1253"/>
      <c r="K44" s="1253"/>
      <c r="L44" s="1253"/>
      <c r="M44" s="1253"/>
      <c r="N44" s="1276"/>
    </row>
    <row r="45" spans="1:24" s="1241" customFormat="1" ht="15" customHeight="1">
      <c r="A45" s="1241" t="s">
        <v>366</v>
      </c>
      <c r="C45" s="1273"/>
      <c r="D45" s="1273"/>
      <c r="E45" s="1273"/>
      <c r="F45" s="1273"/>
      <c r="G45" s="1273"/>
      <c r="H45" s="1274">
        <f>SUM(C45:G45)</f>
        <v>0</v>
      </c>
      <c r="I45" s="1252"/>
      <c r="J45" s="1253"/>
      <c r="K45" s="1253"/>
      <c r="L45" s="1253"/>
      <c r="M45" s="1253"/>
      <c r="N45" s="1276"/>
    </row>
    <row r="46" spans="1:24" s="1241" customFormat="1">
      <c r="A46" s="1241" t="s">
        <v>367</v>
      </c>
      <c r="C46" s="1273">
        <f>+'[46]Route Summaries'!E54</f>
        <v>190.18389158682842</v>
      </c>
      <c r="D46" s="1273">
        <f>+'[46]Route Summaries'!F54</f>
        <v>4.6328395061728394</v>
      </c>
      <c r="E46" s="1273">
        <f>+'[46]Route Summaries'!G54</f>
        <v>0</v>
      </c>
      <c r="F46" s="1273">
        <f>+'[46]Route Summaries'!H54</f>
        <v>0</v>
      </c>
      <c r="G46" s="1273">
        <f>+'[46]Route Summaries'!I54</f>
        <v>106.16995294033198</v>
      </c>
      <c r="H46" s="1274">
        <f>SUM(C46:G46)</f>
        <v>300.98668403333323</v>
      </c>
      <c r="I46" s="1252"/>
      <c r="J46" s="1276">
        <f>(C46+D46)/$H$46</f>
        <v>0.64726029896866133</v>
      </c>
      <c r="K46" s="1276">
        <f>E46/$H$46</f>
        <v>0</v>
      </c>
      <c r="L46" s="1276">
        <f>F46/$H$46</f>
        <v>0</v>
      </c>
      <c r="M46" s="1276">
        <f>G46/$H$46</f>
        <v>0.35273970103133873</v>
      </c>
      <c r="N46" s="1276">
        <f>SUM(J46:M46)</f>
        <v>1</v>
      </c>
      <c r="Q46" s="1278"/>
    </row>
    <row r="47" spans="1:24" s="1241" customFormat="1" ht="9" customHeight="1">
      <c r="I47" s="1255"/>
      <c r="J47" s="1256"/>
      <c r="K47" s="1256"/>
      <c r="L47" s="1256"/>
      <c r="M47" s="1256"/>
      <c r="N47" s="1276"/>
    </row>
    <row r="48" spans="1:24" s="1241" customFormat="1" ht="15" customHeight="1">
      <c r="A48" s="1241" t="s">
        <v>368</v>
      </c>
      <c r="C48" s="1273">
        <f>+'[46]Route Summaries'!E56</f>
        <v>34.152761429773086</v>
      </c>
      <c r="D48" s="1273">
        <f>+'[46]Route Summaries'!F56</f>
        <v>6.783895311761829</v>
      </c>
      <c r="E48" s="1273">
        <f>+'[46]Route Summaries'!G56</f>
        <v>12.817307828761498</v>
      </c>
      <c r="F48" s="1273">
        <f>+'[46]Route Summaries'!H56</f>
        <v>0</v>
      </c>
      <c r="G48" s="1273">
        <f>+'[46]Route Summaries'!I56</f>
        <v>66.246035429703596</v>
      </c>
      <c r="H48" s="1274">
        <f>SUM(C48:G48)</f>
        <v>120.00000000000001</v>
      </c>
      <c r="I48" s="1252"/>
      <c r="J48" s="1253"/>
      <c r="K48" s="1253"/>
      <c r="L48" s="1253"/>
      <c r="M48" s="1253"/>
      <c r="N48" s="1276"/>
    </row>
    <row r="49" spans="1:14" s="1241" customFormat="1" ht="9" customHeight="1">
      <c r="C49" s="1273"/>
      <c r="D49" s="1273"/>
      <c r="E49" s="1273"/>
      <c r="F49" s="1273"/>
      <c r="G49" s="1273"/>
      <c r="I49" s="1255"/>
      <c r="K49" s="1243"/>
      <c r="N49" s="1276"/>
    </row>
    <row r="50" spans="1:14" s="1241" customFormat="1" ht="47.25" customHeight="1">
      <c r="I50" s="1279" t="str">
        <f>Deprec!R10</f>
        <v>JBLM Contract/Housing Packer Hours</v>
      </c>
      <c r="J50" s="1275">
        <f>D36/($D$36+$E$36)</f>
        <v>0.54424829751960491</v>
      </c>
      <c r="K50" s="1275">
        <f>E36/($D$36+$E$36)</f>
        <v>0.45575170248039504</v>
      </c>
      <c r="N50" s="1276">
        <f>SUM(J50:M50)</f>
        <v>1</v>
      </c>
    </row>
    <row r="51" spans="1:14" s="1241" customFormat="1" ht="15" customHeight="1">
      <c r="A51" s="1258" t="s">
        <v>369</v>
      </c>
      <c r="B51" s="1259"/>
      <c r="C51" s="1280">
        <f t="shared" ref="C51:M51" si="11">SUM(C36:C50)</f>
        <v>1815.6942434146097</v>
      </c>
      <c r="D51" s="1280">
        <f t="shared" si="11"/>
        <v>131.73056818370634</v>
      </c>
      <c r="E51" s="1280">
        <f>SUM(E36:E50)</f>
        <v>174.96329529437855</v>
      </c>
      <c r="F51" s="1280">
        <f t="shared" si="11"/>
        <v>121.84418429392196</v>
      </c>
      <c r="G51" s="1280">
        <f t="shared" si="11"/>
        <v>1159.4743806800502</v>
      </c>
      <c r="H51" s="1281">
        <f t="shared" si="11"/>
        <v>3403.706671866667</v>
      </c>
      <c r="I51" s="1261">
        <f t="shared" si="11"/>
        <v>0</v>
      </c>
      <c r="J51" s="1262">
        <f t="shared" si="11"/>
        <v>3.0747131409243824</v>
      </c>
      <c r="K51" s="1262">
        <f t="shared" si="11"/>
        <v>0.63474172679896157</v>
      </c>
      <c r="L51" s="1262">
        <f t="shared" si="11"/>
        <v>0</v>
      </c>
      <c r="M51" s="1263">
        <f t="shared" si="11"/>
        <v>1.2905451322766568</v>
      </c>
      <c r="N51" s="1282"/>
    </row>
    <row r="52" spans="1:14" s="1241" customFormat="1" ht="9.75" customHeight="1">
      <c r="K52" s="1243"/>
      <c r="N52" s="1256"/>
    </row>
    <row r="53" spans="1:14" s="1241" customFormat="1" ht="15" customHeight="1">
      <c r="A53" s="1241" t="s">
        <v>374</v>
      </c>
      <c r="C53" s="1265">
        <f t="shared" ref="C53:G53" si="12">C51/$H51</f>
        <v>0.53344615692716069</v>
      </c>
      <c r="D53" s="1265">
        <f t="shared" si="12"/>
        <v>3.8702091831979875E-2</v>
      </c>
      <c r="E53" s="1265">
        <f>E51/$H51</f>
        <v>5.1403752485646735E-2</v>
      </c>
      <c r="F53" s="1265">
        <f t="shared" si="12"/>
        <v>3.5797498445158303E-2</v>
      </c>
      <c r="G53" s="1265">
        <f t="shared" si="12"/>
        <v>0.34065050031005439</v>
      </c>
      <c r="H53" s="1283">
        <f>SUM(C53:G53)</f>
        <v>1</v>
      </c>
      <c r="K53" s="1243"/>
      <c r="N53" s="1256"/>
    </row>
    <row r="54" spans="1:14" s="1241" customFormat="1" ht="15" customHeight="1">
      <c r="A54" s="1241" t="s">
        <v>376</v>
      </c>
      <c r="C54" s="1254">
        <f>SUM(C36:C46)/SUM($H$36:$H$46)</f>
        <v>0.54253977593318203</v>
      </c>
      <c r="D54" s="1254">
        <f>SUM(D36:D46)/SUM($H$36:$H$46)</f>
        <v>3.8050497610651955E-2</v>
      </c>
      <c r="E54" s="1254">
        <f>SUM(E36:E46)/SUM($H$36:$H$46)</f>
        <v>4.9378949969804395E-2</v>
      </c>
      <c r="F54" s="1254">
        <f>SUM(F36:F46)/SUM($H$36:$H$46)</f>
        <v>3.7105684663562837E-2</v>
      </c>
      <c r="G54" s="1254">
        <f>SUM(G36:G46)/SUM($H$36:$H$46)</f>
        <v>0.33292509182279861</v>
      </c>
      <c r="H54" s="1283">
        <f>SUM(C54:G54)</f>
        <v>0.99999999999999978</v>
      </c>
      <c r="K54" s="1243"/>
    </row>
    <row r="55" spans="1:14" s="1241" customFormat="1">
      <c r="A55" s="1241" t="s">
        <v>935</v>
      </c>
      <c r="C55" s="1254">
        <f>+C51/SUM($C$51:$D$51,$G$51)</f>
        <v>0.58440719542081954</v>
      </c>
      <c r="D55" s="1254">
        <f>+D51/SUM($C$51:$D$51,$G$51)</f>
        <v>4.2399369928415684E-2</v>
      </c>
      <c r="G55" s="1254">
        <f>+G51/SUM($C$51:$D$51,$G$51)</f>
        <v>0.37319343465076477</v>
      </c>
      <c r="H55" s="1283">
        <f>SUM(C55:G55)</f>
        <v>1</v>
      </c>
      <c r="J55" s="1243"/>
    </row>
    <row r="56" spans="1:14" s="1241" customFormat="1">
      <c r="A56" s="1241" t="s">
        <v>1731</v>
      </c>
      <c r="C56" s="1254">
        <f>SUM(C36:C46)/($H$51-$H$48-$E$36-$F$51-$E$38)</f>
        <v>0.59390328450078966</v>
      </c>
      <c r="D56" s="1254">
        <f>SUM(D36:D46)/($H$51-$H$48-$E$36-$F$51-$E$38)</f>
        <v>4.1652827147992927E-2</v>
      </c>
      <c r="G56" s="1254">
        <f>SUM(G36:G46)/($H$51-$H$48-$E$36-$F$51-$E$38)</f>
        <v>0.36444388835121733</v>
      </c>
      <c r="H56" s="1283">
        <f>SUM(C56:G56)</f>
        <v>0.99999999999999989</v>
      </c>
      <c r="J56" s="1243"/>
    </row>
    <row r="57" spans="1:14" s="1241" customFormat="1" ht="9.75" customHeight="1">
      <c r="J57" s="1243"/>
    </row>
    <row r="58" spans="1:14" s="1241" customFormat="1" ht="15" customHeight="1">
      <c r="A58" s="1278" t="s">
        <v>1716</v>
      </c>
      <c r="K58" s="1243"/>
    </row>
    <row r="59" spans="1:14" s="1241" customFormat="1" ht="9.75" customHeight="1" thickBot="1">
      <c r="A59" s="1278"/>
      <c r="K59" s="1243"/>
    </row>
    <row r="60" spans="1:14" s="1241" customFormat="1" ht="15" customHeight="1">
      <c r="A60" s="1284"/>
      <c r="B60" s="1285" t="s">
        <v>296</v>
      </c>
      <c r="C60" s="1286" t="s">
        <v>1717</v>
      </c>
      <c r="D60" s="1285" t="s">
        <v>295</v>
      </c>
      <c r="E60" s="1287" t="s">
        <v>317</v>
      </c>
      <c r="F60" s="1288" t="s">
        <v>2385</v>
      </c>
      <c r="G60" s="1285" t="s">
        <v>4</v>
      </c>
      <c r="H60" s="1287" t="s">
        <v>299</v>
      </c>
      <c r="K60" s="1243"/>
    </row>
    <row r="61" spans="1:14" s="1241" customFormat="1" ht="15" customHeight="1">
      <c r="A61" s="1289" t="s">
        <v>1718</v>
      </c>
      <c r="B61" s="1290">
        <f>[47]Summary!B29</f>
        <v>0</v>
      </c>
      <c r="C61" s="1290">
        <f>[47]Summary!C29</f>
        <v>4.2465526699432446E-2</v>
      </c>
      <c r="D61" s="1290">
        <f>[47]Summary!D29</f>
        <v>9.1210131324797078E-2</v>
      </c>
      <c r="E61" s="1291">
        <f>[47]Summary!E29</f>
        <v>0.86632434197577046</v>
      </c>
      <c r="F61" s="1292">
        <f>[47]Summary!$G$29</f>
        <v>0.93491518926829209</v>
      </c>
      <c r="G61" s="1276">
        <f>[47]Summary!$H$29</f>
        <v>2.169532487420215E-2</v>
      </c>
      <c r="H61" s="1293">
        <f>[47]Summary!$I$29</f>
        <v>4.3389485857505683E-2</v>
      </c>
      <c r="K61" s="1243"/>
    </row>
    <row r="62" spans="1:14" s="1241" customFormat="1" ht="15" customHeight="1">
      <c r="A62" s="1289" t="s">
        <v>299</v>
      </c>
      <c r="B62" s="1290">
        <f>[47]Summary!B30</f>
        <v>0</v>
      </c>
      <c r="C62" s="1290">
        <f>[47]Summary!C30</f>
        <v>4.5449332656099964E-4</v>
      </c>
      <c r="D62" s="1290">
        <f>[47]Summary!D30</f>
        <v>0.18241536949209011</v>
      </c>
      <c r="E62" s="1291">
        <f>[47]Summary!E30</f>
        <v>0.81713013718134886</v>
      </c>
      <c r="F62" s="1294"/>
      <c r="G62" s="1256"/>
      <c r="H62" s="1295"/>
      <c r="K62" s="1243"/>
    </row>
    <row r="63" spans="1:14" s="1241" customFormat="1" ht="15" customHeight="1">
      <c r="A63" s="1289" t="s">
        <v>1719</v>
      </c>
      <c r="B63" s="1290">
        <f>[47]Summary!B31</f>
        <v>9.5501223349842373E-2</v>
      </c>
      <c r="C63" s="1290">
        <f>[47]Summary!C31</f>
        <v>5.5091107214724565E-2</v>
      </c>
      <c r="D63" s="1290">
        <f>[47]Summary!D31</f>
        <v>0.27218596585218191</v>
      </c>
      <c r="E63" s="1291">
        <f>[47]Summary!E31</f>
        <v>0.5772217035832512</v>
      </c>
      <c r="F63" s="1294"/>
      <c r="G63" s="1256"/>
      <c r="H63" s="1295"/>
      <c r="K63" s="1243"/>
    </row>
    <row r="64" spans="1:14" s="1241" customFormat="1" ht="15" customHeight="1">
      <c r="A64" s="1296" t="s">
        <v>1720</v>
      </c>
      <c r="B64" s="1290">
        <f>[47]Summary!B32</f>
        <v>0.10681089857301249</v>
      </c>
      <c r="C64" s="1290">
        <f>[47]Summary!C32</f>
        <v>5.6532460931348574E-2</v>
      </c>
      <c r="D64" s="1290">
        <f>[47]Summary!D32</f>
        <v>0.28460634524810907</v>
      </c>
      <c r="E64" s="1291">
        <f>[47]Summary!E32</f>
        <v>0.55205029524752991</v>
      </c>
      <c r="F64" s="1294"/>
      <c r="G64" s="1256"/>
      <c r="H64" s="1295"/>
      <c r="K64" s="1243"/>
    </row>
    <row r="65" spans="1:20" s="1241" customFormat="1" ht="15" customHeight="1">
      <c r="A65" s="1296" t="s">
        <v>1721</v>
      </c>
      <c r="B65" s="1290">
        <f>[47]Summary!B33</f>
        <v>9.5501223349842373E-2</v>
      </c>
      <c r="C65" s="1290">
        <f>[47]Summary!C33</f>
        <v>5.5091107214724565E-2</v>
      </c>
      <c r="D65" s="1290">
        <f>[47]Summary!D33</f>
        <v>0.27218596585218197</v>
      </c>
      <c r="E65" s="1291">
        <f>[47]Summary!E33</f>
        <v>0.5772217035832512</v>
      </c>
      <c r="F65" s="1294"/>
      <c r="G65" s="1256"/>
      <c r="H65" s="1295"/>
      <c r="K65" s="1243"/>
    </row>
    <row r="66" spans="1:20" s="1241" customFormat="1" ht="15" customHeight="1">
      <c r="A66" s="1296" t="s">
        <v>1722</v>
      </c>
      <c r="B66" s="1290">
        <f>[47]Summary!B34</f>
        <v>0</v>
      </c>
      <c r="C66" s="1290">
        <f>[47]Summary!C34</f>
        <v>4.2920020025993447E-2</v>
      </c>
      <c r="D66" s="1290">
        <f>[47]Summary!D34</f>
        <v>0.16730572805807403</v>
      </c>
      <c r="E66" s="1291">
        <f>[47]Summary!E34</f>
        <v>0.78977425191593253</v>
      </c>
      <c r="F66" s="1294"/>
      <c r="G66" s="1256"/>
      <c r="H66" s="1295"/>
      <c r="K66" s="1243"/>
    </row>
    <row r="67" spans="1:20" s="1241" customFormat="1" ht="15" customHeight="1" thickBot="1">
      <c r="A67" s="1297"/>
      <c r="B67" s="1298"/>
      <c r="C67" s="1298"/>
      <c r="D67" s="1298"/>
      <c r="E67" s="1299"/>
      <c r="F67" s="1300"/>
      <c r="G67" s="1301"/>
      <c r="H67" s="1302"/>
      <c r="K67" s="1243"/>
    </row>
    <row r="68" spans="1:20" s="1241" customFormat="1" ht="15" customHeight="1">
      <c r="A68" s="1256"/>
      <c r="B68" s="1303"/>
      <c r="C68" s="1253"/>
      <c r="K68" s="1243"/>
    </row>
    <row r="69" spans="1:20" ht="15" customHeight="1">
      <c r="A69" s="1212"/>
      <c r="B69" s="1211"/>
      <c r="C69" s="1210"/>
      <c r="D69" s="193"/>
      <c r="E69" s="193"/>
      <c r="F69" s="193"/>
      <c r="G69" s="193"/>
      <c r="H69" s="193"/>
      <c r="I69" s="193"/>
      <c r="J69" s="193"/>
      <c r="K69" s="194"/>
      <c r="L69" s="193"/>
      <c r="M69" s="193"/>
      <c r="N69" s="193"/>
      <c r="O69" s="193"/>
      <c r="P69" s="193"/>
      <c r="Q69" s="193"/>
      <c r="R69" s="193"/>
      <c r="S69" s="193"/>
      <c r="T69" s="193"/>
    </row>
    <row r="70" spans="1:20">
      <c r="I70" s="191"/>
      <c r="J70" s="190"/>
    </row>
    <row r="71" spans="1:20">
      <c r="I71" s="191"/>
      <c r="J71" s="190"/>
    </row>
    <row r="72" spans="1:20">
      <c r="I72" s="191"/>
      <c r="J72" s="190"/>
    </row>
    <row r="73" spans="1:20">
      <c r="I73" s="191"/>
      <c r="J73" s="190"/>
    </row>
    <row r="74" spans="1:20">
      <c r="I74" s="191"/>
      <c r="J74" s="190"/>
    </row>
  </sheetData>
  <customSheetViews>
    <customSheetView guid="{76FC386D-C488-46EF-BB9C-D1C49FEBAB90}" scale="85" showGridLines="0">
      <selection activeCell="C21" sqref="C21:D21"/>
      <pageMargins left="0.7" right="0.7" top="0.75" bottom="0.75" header="0.3" footer="0.3"/>
      <pageSetup scale="54" orientation="portrait" r:id="rId1"/>
    </customSheetView>
    <customSheetView guid="{16F8EA47-9864-4C0F-89A1-62B7CCC013F9}" scale="85" showGridLines="0">
      <selection activeCell="C13" sqref="C13"/>
      <pageMargins left="0.7" right="0.7" top="0.75" bottom="0.75" header="0.3" footer="0.3"/>
      <pageSetup scale="54" orientation="portrait" r:id="rId2"/>
    </customSheetView>
  </customSheetViews>
  <pageMargins left="0.25" right="0.25" top="0.75" bottom="0.75" header="0.3" footer="0.3"/>
  <pageSetup scale="48" orientation="landscape" r:id="rId3"/>
  <headerFooter>
    <oddHeader>&amp;C&amp;"-,Bold"CONFIDENTIAL PER WAC 480-07-160</oddHeader>
  </headerFooter>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8" tint="0.59999389629810485"/>
  </sheetPr>
  <dimension ref="A1:X140"/>
  <sheetViews>
    <sheetView showGridLines="0" view="pageBreakPreview" zoomScale="60" zoomScaleNormal="85" workbookViewId="0">
      <selection activeCell="AP280" sqref="AP280"/>
    </sheetView>
  </sheetViews>
  <sheetFormatPr defaultRowHeight="15"/>
  <cols>
    <col min="1" max="1" width="29.28515625" style="774" customWidth="1"/>
    <col min="2" max="2" width="15" style="774" bestFit="1" customWidth="1"/>
    <col min="3" max="3" width="14.42578125" style="774" bestFit="1" customWidth="1"/>
    <col min="4" max="4" width="18.28515625" style="774" customWidth="1"/>
    <col min="5" max="5" width="18.28515625" style="775" customWidth="1"/>
    <col min="6" max="6" width="15" style="774" bestFit="1" customWidth="1"/>
    <col min="7" max="7" width="14.7109375" style="774" customWidth="1"/>
    <col min="8" max="8" width="16.7109375" style="774" bestFit="1" customWidth="1"/>
    <col min="9" max="10" width="16.140625" style="774" customWidth="1"/>
    <col min="11" max="11" width="9.42578125" style="774" bestFit="1" customWidth="1"/>
    <col min="12" max="12" width="9.140625" style="774"/>
    <col min="13" max="13" width="2.5703125" style="774" customWidth="1"/>
    <col min="14" max="14" width="2" style="774" customWidth="1"/>
    <col min="15" max="15" width="9.42578125" style="774" bestFit="1" customWidth="1"/>
    <col min="16" max="16" width="7.85546875" style="774" customWidth="1"/>
    <col min="17" max="17" width="38" style="774" customWidth="1"/>
    <col min="18" max="18" width="15.7109375" style="774" bestFit="1" customWidth="1"/>
    <col min="19" max="19" width="15.85546875" style="774" customWidth="1"/>
    <col min="20" max="20" width="14.85546875" style="774" customWidth="1"/>
    <col min="21" max="21" width="14" style="774" customWidth="1"/>
    <col min="22" max="22" width="17" style="774" customWidth="1"/>
    <col min="23" max="23" width="3.28515625" style="774" customWidth="1"/>
    <col min="24" max="24" width="16.140625" style="774" bestFit="1" customWidth="1"/>
    <col min="25" max="250" width="9.140625" style="774"/>
    <col min="251" max="251" width="24.140625" style="774" customWidth="1"/>
    <col min="252" max="252" width="12.42578125" style="774" customWidth="1"/>
    <col min="253" max="253" width="13.140625" style="774" customWidth="1"/>
    <col min="254" max="254" width="12" style="774" customWidth="1"/>
    <col min="255" max="255" width="10.7109375" style="774" customWidth="1"/>
    <col min="256" max="256" width="1.42578125" style="774" customWidth="1"/>
    <col min="257" max="257" width="11.140625" style="774" customWidth="1"/>
    <col min="258" max="258" width="10.28515625" style="774" customWidth="1"/>
    <col min="259" max="259" width="10" style="774" customWidth="1"/>
    <col min="260" max="260" width="11" style="774" customWidth="1"/>
    <col min="261" max="506" width="9.140625" style="774"/>
    <col min="507" max="507" width="24.140625" style="774" customWidth="1"/>
    <col min="508" max="508" width="12.42578125" style="774" customWidth="1"/>
    <col min="509" max="509" width="13.140625" style="774" customWidth="1"/>
    <col min="510" max="510" width="12" style="774" customWidth="1"/>
    <col min="511" max="511" width="10.7109375" style="774" customWidth="1"/>
    <col min="512" max="512" width="1.42578125" style="774" customWidth="1"/>
    <col min="513" max="513" width="11.140625" style="774" customWidth="1"/>
    <col min="514" max="514" width="10.28515625" style="774" customWidth="1"/>
    <col min="515" max="515" width="10" style="774" customWidth="1"/>
    <col min="516" max="516" width="11" style="774" customWidth="1"/>
    <col min="517" max="762" width="9.140625" style="774"/>
    <col min="763" max="763" width="24.140625" style="774" customWidth="1"/>
    <col min="764" max="764" width="12.42578125" style="774" customWidth="1"/>
    <col min="765" max="765" width="13.140625" style="774" customWidth="1"/>
    <col min="766" max="766" width="12" style="774" customWidth="1"/>
    <col min="767" max="767" width="10.7109375" style="774" customWidth="1"/>
    <col min="768" max="768" width="1.42578125" style="774" customWidth="1"/>
    <col min="769" max="769" width="11.140625" style="774" customWidth="1"/>
    <col min="770" max="770" width="10.28515625" style="774" customWidth="1"/>
    <col min="771" max="771" width="10" style="774" customWidth="1"/>
    <col min="772" max="772" width="11" style="774" customWidth="1"/>
    <col min="773" max="1018" width="9.140625" style="774"/>
    <col min="1019" max="1019" width="24.140625" style="774" customWidth="1"/>
    <col min="1020" max="1020" width="12.42578125" style="774" customWidth="1"/>
    <col min="1021" max="1021" width="13.140625" style="774" customWidth="1"/>
    <col min="1022" max="1022" width="12" style="774" customWidth="1"/>
    <col min="1023" max="1023" width="10.7109375" style="774" customWidth="1"/>
    <col min="1024" max="1024" width="1.42578125" style="774" customWidth="1"/>
    <col min="1025" max="1025" width="11.140625" style="774" customWidth="1"/>
    <col min="1026" max="1026" width="10.28515625" style="774" customWidth="1"/>
    <col min="1027" max="1027" width="10" style="774" customWidth="1"/>
    <col min="1028" max="1028" width="11" style="774" customWidth="1"/>
    <col min="1029" max="1274" width="9.140625" style="774"/>
    <col min="1275" max="1275" width="24.140625" style="774" customWidth="1"/>
    <col min="1276" max="1276" width="12.42578125" style="774" customWidth="1"/>
    <col min="1277" max="1277" width="13.140625" style="774" customWidth="1"/>
    <col min="1278" max="1278" width="12" style="774" customWidth="1"/>
    <col min="1279" max="1279" width="10.7109375" style="774" customWidth="1"/>
    <col min="1280" max="1280" width="1.42578125" style="774" customWidth="1"/>
    <col min="1281" max="1281" width="11.140625" style="774" customWidth="1"/>
    <col min="1282" max="1282" width="10.28515625" style="774" customWidth="1"/>
    <col min="1283" max="1283" width="10" style="774" customWidth="1"/>
    <col min="1284" max="1284" width="11" style="774" customWidth="1"/>
    <col min="1285" max="1530" width="9.140625" style="774"/>
    <col min="1531" max="1531" width="24.140625" style="774" customWidth="1"/>
    <col min="1532" max="1532" width="12.42578125" style="774" customWidth="1"/>
    <col min="1533" max="1533" width="13.140625" style="774" customWidth="1"/>
    <col min="1534" max="1534" width="12" style="774" customWidth="1"/>
    <col min="1535" max="1535" width="10.7109375" style="774" customWidth="1"/>
    <col min="1536" max="1536" width="1.42578125" style="774" customWidth="1"/>
    <col min="1537" max="1537" width="11.140625" style="774" customWidth="1"/>
    <col min="1538" max="1538" width="10.28515625" style="774" customWidth="1"/>
    <col min="1539" max="1539" width="10" style="774" customWidth="1"/>
    <col min="1540" max="1540" width="11" style="774" customWidth="1"/>
    <col min="1541" max="1786" width="9.140625" style="774"/>
    <col min="1787" max="1787" width="24.140625" style="774" customWidth="1"/>
    <col min="1788" max="1788" width="12.42578125" style="774" customWidth="1"/>
    <col min="1789" max="1789" width="13.140625" style="774" customWidth="1"/>
    <col min="1790" max="1790" width="12" style="774" customWidth="1"/>
    <col min="1791" max="1791" width="10.7109375" style="774" customWidth="1"/>
    <col min="1792" max="1792" width="1.42578125" style="774" customWidth="1"/>
    <col min="1793" max="1793" width="11.140625" style="774" customWidth="1"/>
    <col min="1794" max="1794" width="10.28515625" style="774" customWidth="1"/>
    <col min="1795" max="1795" width="10" style="774" customWidth="1"/>
    <col min="1796" max="1796" width="11" style="774" customWidth="1"/>
    <col min="1797" max="2042" width="9.140625" style="774"/>
    <col min="2043" max="2043" width="24.140625" style="774" customWidth="1"/>
    <col min="2044" max="2044" width="12.42578125" style="774" customWidth="1"/>
    <col min="2045" max="2045" width="13.140625" style="774" customWidth="1"/>
    <col min="2046" max="2046" width="12" style="774" customWidth="1"/>
    <col min="2047" max="2047" width="10.7109375" style="774" customWidth="1"/>
    <col min="2048" max="2048" width="1.42578125" style="774" customWidth="1"/>
    <col min="2049" max="2049" width="11.140625" style="774" customWidth="1"/>
    <col min="2050" max="2050" width="10.28515625" style="774" customWidth="1"/>
    <col min="2051" max="2051" width="10" style="774" customWidth="1"/>
    <col min="2052" max="2052" width="11" style="774" customWidth="1"/>
    <col min="2053" max="2298" width="9.140625" style="774"/>
    <col min="2299" max="2299" width="24.140625" style="774" customWidth="1"/>
    <col min="2300" max="2300" width="12.42578125" style="774" customWidth="1"/>
    <col min="2301" max="2301" width="13.140625" style="774" customWidth="1"/>
    <col min="2302" max="2302" width="12" style="774" customWidth="1"/>
    <col min="2303" max="2303" width="10.7109375" style="774" customWidth="1"/>
    <col min="2304" max="2304" width="1.42578125" style="774" customWidth="1"/>
    <col min="2305" max="2305" width="11.140625" style="774" customWidth="1"/>
    <col min="2306" max="2306" width="10.28515625" style="774" customWidth="1"/>
    <col min="2307" max="2307" width="10" style="774" customWidth="1"/>
    <col min="2308" max="2308" width="11" style="774" customWidth="1"/>
    <col min="2309" max="2554" width="9.140625" style="774"/>
    <col min="2555" max="2555" width="24.140625" style="774" customWidth="1"/>
    <col min="2556" max="2556" width="12.42578125" style="774" customWidth="1"/>
    <col min="2557" max="2557" width="13.140625" style="774" customWidth="1"/>
    <col min="2558" max="2558" width="12" style="774" customWidth="1"/>
    <col min="2559" max="2559" width="10.7109375" style="774" customWidth="1"/>
    <col min="2560" max="2560" width="1.42578125" style="774" customWidth="1"/>
    <col min="2561" max="2561" width="11.140625" style="774" customWidth="1"/>
    <col min="2562" max="2562" width="10.28515625" style="774" customWidth="1"/>
    <col min="2563" max="2563" width="10" style="774" customWidth="1"/>
    <col min="2564" max="2564" width="11" style="774" customWidth="1"/>
    <col min="2565" max="2810" width="9.140625" style="774"/>
    <col min="2811" max="2811" width="24.140625" style="774" customWidth="1"/>
    <col min="2812" max="2812" width="12.42578125" style="774" customWidth="1"/>
    <col min="2813" max="2813" width="13.140625" style="774" customWidth="1"/>
    <col min="2814" max="2814" width="12" style="774" customWidth="1"/>
    <col min="2815" max="2815" width="10.7109375" style="774" customWidth="1"/>
    <col min="2816" max="2816" width="1.42578125" style="774" customWidth="1"/>
    <col min="2817" max="2817" width="11.140625" style="774" customWidth="1"/>
    <col min="2818" max="2818" width="10.28515625" style="774" customWidth="1"/>
    <col min="2819" max="2819" width="10" style="774" customWidth="1"/>
    <col min="2820" max="2820" width="11" style="774" customWidth="1"/>
    <col min="2821" max="3066" width="9.140625" style="774"/>
    <col min="3067" max="3067" width="24.140625" style="774" customWidth="1"/>
    <col min="3068" max="3068" width="12.42578125" style="774" customWidth="1"/>
    <col min="3069" max="3069" width="13.140625" style="774" customWidth="1"/>
    <col min="3070" max="3070" width="12" style="774" customWidth="1"/>
    <col min="3071" max="3071" width="10.7109375" style="774" customWidth="1"/>
    <col min="3072" max="3072" width="1.42578125" style="774" customWidth="1"/>
    <col min="3073" max="3073" width="11.140625" style="774" customWidth="1"/>
    <col min="3074" max="3074" width="10.28515625" style="774" customWidth="1"/>
    <col min="3075" max="3075" width="10" style="774" customWidth="1"/>
    <col min="3076" max="3076" width="11" style="774" customWidth="1"/>
    <col min="3077" max="3322" width="9.140625" style="774"/>
    <col min="3323" max="3323" width="24.140625" style="774" customWidth="1"/>
    <col min="3324" max="3324" width="12.42578125" style="774" customWidth="1"/>
    <col min="3325" max="3325" width="13.140625" style="774" customWidth="1"/>
    <col min="3326" max="3326" width="12" style="774" customWidth="1"/>
    <col min="3327" max="3327" width="10.7109375" style="774" customWidth="1"/>
    <col min="3328" max="3328" width="1.42578125" style="774" customWidth="1"/>
    <col min="3329" max="3329" width="11.140625" style="774" customWidth="1"/>
    <col min="3330" max="3330" width="10.28515625" style="774" customWidth="1"/>
    <col min="3331" max="3331" width="10" style="774" customWidth="1"/>
    <col min="3332" max="3332" width="11" style="774" customWidth="1"/>
    <col min="3333" max="3578" width="9.140625" style="774"/>
    <col min="3579" max="3579" width="24.140625" style="774" customWidth="1"/>
    <col min="3580" max="3580" width="12.42578125" style="774" customWidth="1"/>
    <col min="3581" max="3581" width="13.140625" style="774" customWidth="1"/>
    <col min="3582" max="3582" width="12" style="774" customWidth="1"/>
    <col min="3583" max="3583" width="10.7109375" style="774" customWidth="1"/>
    <col min="3584" max="3584" width="1.42578125" style="774" customWidth="1"/>
    <col min="3585" max="3585" width="11.140625" style="774" customWidth="1"/>
    <col min="3586" max="3586" width="10.28515625" style="774" customWidth="1"/>
    <col min="3587" max="3587" width="10" style="774" customWidth="1"/>
    <col min="3588" max="3588" width="11" style="774" customWidth="1"/>
    <col min="3589" max="3834" width="9.140625" style="774"/>
    <col min="3835" max="3835" width="24.140625" style="774" customWidth="1"/>
    <col min="3836" max="3836" width="12.42578125" style="774" customWidth="1"/>
    <col min="3837" max="3837" width="13.140625" style="774" customWidth="1"/>
    <col min="3838" max="3838" width="12" style="774" customWidth="1"/>
    <col min="3839" max="3839" width="10.7109375" style="774" customWidth="1"/>
    <col min="3840" max="3840" width="1.42578125" style="774" customWidth="1"/>
    <col min="3841" max="3841" width="11.140625" style="774" customWidth="1"/>
    <col min="3842" max="3842" width="10.28515625" style="774" customWidth="1"/>
    <col min="3843" max="3843" width="10" style="774" customWidth="1"/>
    <col min="3844" max="3844" width="11" style="774" customWidth="1"/>
    <col min="3845" max="4090" width="9.140625" style="774"/>
    <col min="4091" max="4091" width="24.140625" style="774" customWidth="1"/>
    <col min="4092" max="4092" width="12.42578125" style="774" customWidth="1"/>
    <col min="4093" max="4093" width="13.140625" style="774" customWidth="1"/>
    <col min="4094" max="4094" width="12" style="774" customWidth="1"/>
    <col min="4095" max="4095" width="10.7109375" style="774" customWidth="1"/>
    <col min="4096" max="4096" width="1.42578125" style="774" customWidth="1"/>
    <col min="4097" max="4097" width="11.140625" style="774" customWidth="1"/>
    <col min="4098" max="4098" width="10.28515625" style="774" customWidth="1"/>
    <col min="4099" max="4099" width="10" style="774" customWidth="1"/>
    <col min="4100" max="4100" width="11" style="774" customWidth="1"/>
    <col min="4101" max="4346" width="9.140625" style="774"/>
    <col min="4347" max="4347" width="24.140625" style="774" customWidth="1"/>
    <col min="4348" max="4348" width="12.42578125" style="774" customWidth="1"/>
    <col min="4349" max="4349" width="13.140625" style="774" customWidth="1"/>
    <col min="4350" max="4350" width="12" style="774" customWidth="1"/>
    <col min="4351" max="4351" width="10.7109375" style="774" customWidth="1"/>
    <col min="4352" max="4352" width="1.42578125" style="774" customWidth="1"/>
    <col min="4353" max="4353" width="11.140625" style="774" customWidth="1"/>
    <col min="4354" max="4354" width="10.28515625" style="774" customWidth="1"/>
    <col min="4355" max="4355" width="10" style="774" customWidth="1"/>
    <col min="4356" max="4356" width="11" style="774" customWidth="1"/>
    <col min="4357" max="4602" width="9.140625" style="774"/>
    <col min="4603" max="4603" width="24.140625" style="774" customWidth="1"/>
    <col min="4604" max="4604" width="12.42578125" style="774" customWidth="1"/>
    <col min="4605" max="4605" width="13.140625" style="774" customWidth="1"/>
    <col min="4606" max="4606" width="12" style="774" customWidth="1"/>
    <col min="4607" max="4607" width="10.7109375" style="774" customWidth="1"/>
    <col min="4608" max="4608" width="1.42578125" style="774" customWidth="1"/>
    <col min="4609" max="4609" width="11.140625" style="774" customWidth="1"/>
    <col min="4610" max="4610" width="10.28515625" style="774" customWidth="1"/>
    <col min="4611" max="4611" width="10" style="774" customWidth="1"/>
    <col min="4612" max="4612" width="11" style="774" customWidth="1"/>
    <col min="4613" max="4858" width="9.140625" style="774"/>
    <col min="4859" max="4859" width="24.140625" style="774" customWidth="1"/>
    <col min="4860" max="4860" width="12.42578125" style="774" customWidth="1"/>
    <col min="4861" max="4861" width="13.140625" style="774" customWidth="1"/>
    <col min="4862" max="4862" width="12" style="774" customWidth="1"/>
    <col min="4863" max="4863" width="10.7109375" style="774" customWidth="1"/>
    <col min="4864" max="4864" width="1.42578125" style="774" customWidth="1"/>
    <col min="4865" max="4865" width="11.140625" style="774" customWidth="1"/>
    <col min="4866" max="4866" width="10.28515625" style="774" customWidth="1"/>
    <col min="4867" max="4867" width="10" style="774" customWidth="1"/>
    <col min="4868" max="4868" width="11" style="774" customWidth="1"/>
    <col min="4869" max="5114" width="9.140625" style="774"/>
    <col min="5115" max="5115" width="24.140625" style="774" customWidth="1"/>
    <col min="5116" max="5116" width="12.42578125" style="774" customWidth="1"/>
    <col min="5117" max="5117" width="13.140625" style="774" customWidth="1"/>
    <col min="5118" max="5118" width="12" style="774" customWidth="1"/>
    <col min="5119" max="5119" width="10.7109375" style="774" customWidth="1"/>
    <col min="5120" max="5120" width="1.42578125" style="774" customWidth="1"/>
    <col min="5121" max="5121" width="11.140625" style="774" customWidth="1"/>
    <col min="5122" max="5122" width="10.28515625" style="774" customWidth="1"/>
    <col min="5123" max="5123" width="10" style="774" customWidth="1"/>
    <col min="5124" max="5124" width="11" style="774" customWidth="1"/>
    <col min="5125" max="5370" width="9.140625" style="774"/>
    <col min="5371" max="5371" width="24.140625" style="774" customWidth="1"/>
    <col min="5372" max="5372" width="12.42578125" style="774" customWidth="1"/>
    <col min="5373" max="5373" width="13.140625" style="774" customWidth="1"/>
    <col min="5374" max="5374" width="12" style="774" customWidth="1"/>
    <col min="5375" max="5375" width="10.7109375" style="774" customWidth="1"/>
    <col min="5376" max="5376" width="1.42578125" style="774" customWidth="1"/>
    <col min="5377" max="5377" width="11.140625" style="774" customWidth="1"/>
    <col min="5378" max="5378" width="10.28515625" style="774" customWidth="1"/>
    <col min="5379" max="5379" width="10" style="774" customWidth="1"/>
    <col min="5380" max="5380" width="11" style="774" customWidth="1"/>
    <col min="5381" max="5626" width="9.140625" style="774"/>
    <col min="5627" max="5627" width="24.140625" style="774" customWidth="1"/>
    <col min="5628" max="5628" width="12.42578125" style="774" customWidth="1"/>
    <col min="5629" max="5629" width="13.140625" style="774" customWidth="1"/>
    <col min="5630" max="5630" width="12" style="774" customWidth="1"/>
    <col min="5631" max="5631" width="10.7109375" style="774" customWidth="1"/>
    <col min="5632" max="5632" width="1.42578125" style="774" customWidth="1"/>
    <col min="5633" max="5633" width="11.140625" style="774" customWidth="1"/>
    <col min="5634" max="5634" width="10.28515625" style="774" customWidth="1"/>
    <col min="5635" max="5635" width="10" style="774" customWidth="1"/>
    <col min="5636" max="5636" width="11" style="774" customWidth="1"/>
    <col min="5637" max="5882" width="9.140625" style="774"/>
    <col min="5883" max="5883" width="24.140625" style="774" customWidth="1"/>
    <col min="5884" max="5884" width="12.42578125" style="774" customWidth="1"/>
    <col min="5885" max="5885" width="13.140625" style="774" customWidth="1"/>
    <col min="5886" max="5886" width="12" style="774" customWidth="1"/>
    <col min="5887" max="5887" width="10.7109375" style="774" customWidth="1"/>
    <col min="5888" max="5888" width="1.42578125" style="774" customWidth="1"/>
    <col min="5889" max="5889" width="11.140625" style="774" customWidth="1"/>
    <col min="5890" max="5890" width="10.28515625" style="774" customWidth="1"/>
    <col min="5891" max="5891" width="10" style="774" customWidth="1"/>
    <col min="5892" max="5892" width="11" style="774" customWidth="1"/>
    <col min="5893" max="6138" width="9.140625" style="774"/>
    <col min="6139" max="6139" width="24.140625" style="774" customWidth="1"/>
    <col min="6140" max="6140" width="12.42578125" style="774" customWidth="1"/>
    <col min="6141" max="6141" width="13.140625" style="774" customWidth="1"/>
    <col min="6142" max="6142" width="12" style="774" customWidth="1"/>
    <col min="6143" max="6143" width="10.7109375" style="774" customWidth="1"/>
    <col min="6144" max="6144" width="1.42578125" style="774" customWidth="1"/>
    <col min="6145" max="6145" width="11.140625" style="774" customWidth="1"/>
    <col min="6146" max="6146" width="10.28515625" style="774" customWidth="1"/>
    <col min="6147" max="6147" width="10" style="774" customWidth="1"/>
    <col min="6148" max="6148" width="11" style="774" customWidth="1"/>
    <col min="6149" max="6394" width="9.140625" style="774"/>
    <col min="6395" max="6395" width="24.140625" style="774" customWidth="1"/>
    <col min="6396" max="6396" width="12.42578125" style="774" customWidth="1"/>
    <col min="6397" max="6397" width="13.140625" style="774" customWidth="1"/>
    <col min="6398" max="6398" width="12" style="774" customWidth="1"/>
    <col min="6399" max="6399" width="10.7109375" style="774" customWidth="1"/>
    <col min="6400" max="6400" width="1.42578125" style="774" customWidth="1"/>
    <col min="6401" max="6401" width="11.140625" style="774" customWidth="1"/>
    <col min="6402" max="6402" width="10.28515625" style="774" customWidth="1"/>
    <col min="6403" max="6403" width="10" style="774" customWidth="1"/>
    <col min="6404" max="6404" width="11" style="774" customWidth="1"/>
    <col min="6405" max="6650" width="9.140625" style="774"/>
    <col min="6651" max="6651" width="24.140625" style="774" customWidth="1"/>
    <col min="6652" max="6652" width="12.42578125" style="774" customWidth="1"/>
    <col min="6653" max="6653" width="13.140625" style="774" customWidth="1"/>
    <col min="6654" max="6654" width="12" style="774" customWidth="1"/>
    <col min="6655" max="6655" width="10.7109375" style="774" customWidth="1"/>
    <col min="6656" max="6656" width="1.42578125" style="774" customWidth="1"/>
    <col min="6657" max="6657" width="11.140625" style="774" customWidth="1"/>
    <col min="6658" max="6658" width="10.28515625" style="774" customWidth="1"/>
    <col min="6659" max="6659" width="10" style="774" customWidth="1"/>
    <col min="6660" max="6660" width="11" style="774" customWidth="1"/>
    <col min="6661" max="6906" width="9.140625" style="774"/>
    <col min="6907" max="6907" width="24.140625" style="774" customWidth="1"/>
    <col min="6908" max="6908" width="12.42578125" style="774" customWidth="1"/>
    <col min="6909" max="6909" width="13.140625" style="774" customWidth="1"/>
    <col min="6910" max="6910" width="12" style="774" customWidth="1"/>
    <col min="6911" max="6911" width="10.7109375" style="774" customWidth="1"/>
    <col min="6912" max="6912" width="1.42578125" style="774" customWidth="1"/>
    <col min="6913" max="6913" width="11.140625" style="774" customWidth="1"/>
    <col min="6914" max="6914" width="10.28515625" style="774" customWidth="1"/>
    <col min="6915" max="6915" width="10" style="774" customWidth="1"/>
    <col min="6916" max="6916" width="11" style="774" customWidth="1"/>
    <col min="6917" max="7162" width="9.140625" style="774"/>
    <col min="7163" max="7163" width="24.140625" style="774" customWidth="1"/>
    <col min="7164" max="7164" width="12.42578125" style="774" customWidth="1"/>
    <col min="7165" max="7165" width="13.140625" style="774" customWidth="1"/>
    <col min="7166" max="7166" width="12" style="774" customWidth="1"/>
    <col min="7167" max="7167" width="10.7109375" style="774" customWidth="1"/>
    <col min="7168" max="7168" width="1.42578125" style="774" customWidth="1"/>
    <col min="7169" max="7169" width="11.140625" style="774" customWidth="1"/>
    <col min="7170" max="7170" width="10.28515625" style="774" customWidth="1"/>
    <col min="7171" max="7171" width="10" style="774" customWidth="1"/>
    <col min="7172" max="7172" width="11" style="774" customWidth="1"/>
    <col min="7173" max="7418" width="9.140625" style="774"/>
    <col min="7419" max="7419" width="24.140625" style="774" customWidth="1"/>
    <col min="7420" max="7420" width="12.42578125" style="774" customWidth="1"/>
    <col min="7421" max="7421" width="13.140625" style="774" customWidth="1"/>
    <col min="7422" max="7422" width="12" style="774" customWidth="1"/>
    <col min="7423" max="7423" width="10.7109375" style="774" customWidth="1"/>
    <col min="7424" max="7424" width="1.42578125" style="774" customWidth="1"/>
    <col min="7425" max="7425" width="11.140625" style="774" customWidth="1"/>
    <col min="7426" max="7426" width="10.28515625" style="774" customWidth="1"/>
    <col min="7427" max="7427" width="10" style="774" customWidth="1"/>
    <col min="7428" max="7428" width="11" style="774" customWidth="1"/>
    <col min="7429" max="7674" width="9.140625" style="774"/>
    <col min="7675" max="7675" width="24.140625" style="774" customWidth="1"/>
    <col min="7676" max="7676" width="12.42578125" style="774" customWidth="1"/>
    <col min="7677" max="7677" width="13.140625" style="774" customWidth="1"/>
    <col min="7678" max="7678" width="12" style="774" customWidth="1"/>
    <col min="7679" max="7679" width="10.7109375" style="774" customWidth="1"/>
    <col min="7680" max="7680" width="1.42578125" style="774" customWidth="1"/>
    <col min="7681" max="7681" width="11.140625" style="774" customWidth="1"/>
    <col min="7682" max="7682" width="10.28515625" style="774" customWidth="1"/>
    <col min="7683" max="7683" width="10" style="774" customWidth="1"/>
    <col min="7684" max="7684" width="11" style="774" customWidth="1"/>
    <col min="7685" max="7930" width="9.140625" style="774"/>
    <col min="7931" max="7931" width="24.140625" style="774" customWidth="1"/>
    <col min="7932" max="7932" width="12.42578125" style="774" customWidth="1"/>
    <col min="7933" max="7933" width="13.140625" style="774" customWidth="1"/>
    <col min="7934" max="7934" width="12" style="774" customWidth="1"/>
    <col min="7935" max="7935" width="10.7109375" style="774" customWidth="1"/>
    <col min="7936" max="7936" width="1.42578125" style="774" customWidth="1"/>
    <col min="7937" max="7937" width="11.140625" style="774" customWidth="1"/>
    <col min="7938" max="7938" width="10.28515625" style="774" customWidth="1"/>
    <col min="7939" max="7939" width="10" style="774" customWidth="1"/>
    <col min="7940" max="7940" width="11" style="774" customWidth="1"/>
    <col min="7941" max="8186" width="9.140625" style="774"/>
    <col min="8187" max="8187" width="24.140625" style="774" customWidth="1"/>
    <col min="8188" max="8188" width="12.42578125" style="774" customWidth="1"/>
    <col min="8189" max="8189" width="13.140625" style="774" customWidth="1"/>
    <col min="8190" max="8190" width="12" style="774" customWidth="1"/>
    <col min="8191" max="8191" width="10.7109375" style="774" customWidth="1"/>
    <col min="8192" max="8192" width="1.42578125" style="774" customWidth="1"/>
    <col min="8193" max="8193" width="11.140625" style="774" customWidth="1"/>
    <col min="8194" max="8194" width="10.28515625" style="774" customWidth="1"/>
    <col min="8195" max="8195" width="10" style="774" customWidth="1"/>
    <col min="8196" max="8196" width="11" style="774" customWidth="1"/>
    <col min="8197" max="8442" width="9.140625" style="774"/>
    <col min="8443" max="8443" width="24.140625" style="774" customWidth="1"/>
    <col min="8444" max="8444" width="12.42578125" style="774" customWidth="1"/>
    <col min="8445" max="8445" width="13.140625" style="774" customWidth="1"/>
    <col min="8446" max="8446" width="12" style="774" customWidth="1"/>
    <col min="8447" max="8447" width="10.7109375" style="774" customWidth="1"/>
    <col min="8448" max="8448" width="1.42578125" style="774" customWidth="1"/>
    <col min="8449" max="8449" width="11.140625" style="774" customWidth="1"/>
    <col min="8450" max="8450" width="10.28515625" style="774" customWidth="1"/>
    <col min="8451" max="8451" width="10" style="774" customWidth="1"/>
    <col min="8452" max="8452" width="11" style="774" customWidth="1"/>
    <col min="8453" max="8698" width="9.140625" style="774"/>
    <col min="8699" max="8699" width="24.140625" style="774" customWidth="1"/>
    <col min="8700" max="8700" width="12.42578125" style="774" customWidth="1"/>
    <col min="8701" max="8701" width="13.140625" style="774" customWidth="1"/>
    <col min="8702" max="8702" width="12" style="774" customWidth="1"/>
    <col min="8703" max="8703" width="10.7109375" style="774" customWidth="1"/>
    <col min="8704" max="8704" width="1.42578125" style="774" customWidth="1"/>
    <col min="8705" max="8705" width="11.140625" style="774" customWidth="1"/>
    <col min="8706" max="8706" width="10.28515625" style="774" customWidth="1"/>
    <col min="8707" max="8707" width="10" style="774" customWidth="1"/>
    <col min="8708" max="8708" width="11" style="774" customWidth="1"/>
    <col min="8709" max="8954" width="9.140625" style="774"/>
    <col min="8955" max="8955" width="24.140625" style="774" customWidth="1"/>
    <col min="8956" max="8956" width="12.42578125" style="774" customWidth="1"/>
    <col min="8957" max="8957" width="13.140625" style="774" customWidth="1"/>
    <col min="8958" max="8958" width="12" style="774" customWidth="1"/>
    <col min="8959" max="8959" width="10.7109375" style="774" customWidth="1"/>
    <col min="8960" max="8960" width="1.42578125" style="774" customWidth="1"/>
    <col min="8961" max="8961" width="11.140625" style="774" customWidth="1"/>
    <col min="8962" max="8962" width="10.28515625" style="774" customWidth="1"/>
    <col min="8963" max="8963" width="10" style="774" customWidth="1"/>
    <col min="8964" max="8964" width="11" style="774" customWidth="1"/>
    <col min="8965" max="9210" width="9.140625" style="774"/>
    <col min="9211" max="9211" width="24.140625" style="774" customWidth="1"/>
    <col min="9212" max="9212" width="12.42578125" style="774" customWidth="1"/>
    <col min="9213" max="9213" width="13.140625" style="774" customWidth="1"/>
    <col min="9214" max="9214" width="12" style="774" customWidth="1"/>
    <col min="9215" max="9215" width="10.7109375" style="774" customWidth="1"/>
    <col min="9216" max="9216" width="1.42578125" style="774" customWidth="1"/>
    <col min="9217" max="9217" width="11.140625" style="774" customWidth="1"/>
    <col min="9218" max="9218" width="10.28515625" style="774" customWidth="1"/>
    <col min="9219" max="9219" width="10" style="774" customWidth="1"/>
    <col min="9220" max="9220" width="11" style="774" customWidth="1"/>
    <col min="9221" max="9466" width="9.140625" style="774"/>
    <col min="9467" max="9467" width="24.140625" style="774" customWidth="1"/>
    <col min="9468" max="9468" width="12.42578125" style="774" customWidth="1"/>
    <col min="9469" max="9469" width="13.140625" style="774" customWidth="1"/>
    <col min="9470" max="9470" width="12" style="774" customWidth="1"/>
    <col min="9471" max="9471" width="10.7109375" style="774" customWidth="1"/>
    <col min="9472" max="9472" width="1.42578125" style="774" customWidth="1"/>
    <col min="9473" max="9473" width="11.140625" style="774" customWidth="1"/>
    <col min="9474" max="9474" width="10.28515625" style="774" customWidth="1"/>
    <col min="9475" max="9475" width="10" style="774" customWidth="1"/>
    <col min="9476" max="9476" width="11" style="774" customWidth="1"/>
    <col min="9477" max="9722" width="9.140625" style="774"/>
    <col min="9723" max="9723" width="24.140625" style="774" customWidth="1"/>
    <col min="9724" max="9724" width="12.42578125" style="774" customWidth="1"/>
    <col min="9725" max="9725" width="13.140625" style="774" customWidth="1"/>
    <col min="9726" max="9726" width="12" style="774" customWidth="1"/>
    <col min="9727" max="9727" width="10.7109375" style="774" customWidth="1"/>
    <col min="9728" max="9728" width="1.42578125" style="774" customWidth="1"/>
    <col min="9729" max="9729" width="11.140625" style="774" customWidth="1"/>
    <col min="9730" max="9730" width="10.28515625" style="774" customWidth="1"/>
    <col min="9731" max="9731" width="10" style="774" customWidth="1"/>
    <col min="9732" max="9732" width="11" style="774" customWidth="1"/>
    <col min="9733" max="9978" width="9.140625" style="774"/>
    <col min="9979" max="9979" width="24.140625" style="774" customWidth="1"/>
    <col min="9980" max="9980" width="12.42578125" style="774" customWidth="1"/>
    <col min="9981" max="9981" width="13.140625" style="774" customWidth="1"/>
    <col min="9982" max="9982" width="12" style="774" customWidth="1"/>
    <col min="9983" max="9983" width="10.7109375" style="774" customWidth="1"/>
    <col min="9984" max="9984" width="1.42578125" style="774" customWidth="1"/>
    <col min="9985" max="9985" width="11.140625" style="774" customWidth="1"/>
    <col min="9986" max="9986" width="10.28515625" style="774" customWidth="1"/>
    <col min="9987" max="9987" width="10" style="774" customWidth="1"/>
    <col min="9988" max="9988" width="11" style="774" customWidth="1"/>
    <col min="9989" max="10234" width="9.140625" style="774"/>
    <col min="10235" max="10235" width="24.140625" style="774" customWidth="1"/>
    <col min="10236" max="10236" width="12.42578125" style="774" customWidth="1"/>
    <col min="10237" max="10237" width="13.140625" style="774" customWidth="1"/>
    <col min="10238" max="10238" width="12" style="774" customWidth="1"/>
    <col min="10239" max="10239" width="10.7109375" style="774" customWidth="1"/>
    <col min="10240" max="10240" width="1.42578125" style="774" customWidth="1"/>
    <col min="10241" max="10241" width="11.140625" style="774" customWidth="1"/>
    <col min="10242" max="10242" width="10.28515625" style="774" customWidth="1"/>
    <col min="10243" max="10243" width="10" style="774" customWidth="1"/>
    <col min="10244" max="10244" width="11" style="774" customWidth="1"/>
    <col min="10245" max="10490" width="9.140625" style="774"/>
    <col min="10491" max="10491" width="24.140625" style="774" customWidth="1"/>
    <col min="10492" max="10492" width="12.42578125" style="774" customWidth="1"/>
    <col min="10493" max="10493" width="13.140625" style="774" customWidth="1"/>
    <col min="10494" max="10494" width="12" style="774" customWidth="1"/>
    <col min="10495" max="10495" width="10.7109375" style="774" customWidth="1"/>
    <col min="10496" max="10496" width="1.42578125" style="774" customWidth="1"/>
    <col min="10497" max="10497" width="11.140625" style="774" customWidth="1"/>
    <col min="10498" max="10498" width="10.28515625" style="774" customWidth="1"/>
    <col min="10499" max="10499" width="10" style="774" customWidth="1"/>
    <col min="10500" max="10500" width="11" style="774" customWidth="1"/>
    <col min="10501" max="10746" width="9.140625" style="774"/>
    <col min="10747" max="10747" width="24.140625" style="774" customWidth="1"/>
    <col min="10748" max="10748" width="12.42578125" style="774" customWidth="1"/>
    <col min="10749" max="10749" width="13.140625" style="774" customWidth="1"/>
    <col min="10750" max="10750" width="12" style="774" customWidth="1"/>
    <col min="10751" max="10751" width="10.7109375" style="774" customWidth="1"/>
    <col min="10752" max="10752" width="1.42578125" style="774" customWidth="1"/>
    <col min="10753" max="10753" width="11.140625" style="774" customWidth="1"/>
    <col min="10754" max="10754" width="10.28515625" style="774" customWidth="1"/>
    <col min="10755" max="10755" width="10" style="774" customWidth="1"/>
    <col min="10756" max="10756" width="11" style="774" customWidth="1"/>
    <col min="10757" max="11002" width="9.140625" style="774"/>
    <col min="11003" max="11003" width="24.140625" style="774" customWidth="1"/>
    <col min="11004" max="11004" width="12.42578125" style="774" customWidth="1"/>
    <col min="11005" max="11005" width="13.140625" style="774" customWidth="1"/>
    <col min="11006" max="11006" width="12" style="774" customWidth="1"/>
    <col min="11007" max="11007" width="10.7109375" style="774" customWidth="1"/>
    <col min="11008" max="11008" width="1.42578125" style="774" customWidth="1"/>
    <col min="11009" max="11009" width="11.140625" style="774" customWidth="1"/>
    <col min="11010" max="11010" width="10.28515625" style="774" customWidth="1"/>
    <col min="11011" max="11011" width="10" style="774" customWidth="1"/>
    <col min="11012" max="11012" width="11" style="774" customWidth="1"/>
    <col min="11013" max="11258" width="9.140625" style="774"/>
    <col min="11259" max="11259" width="24.140625" style="774" customWidth="1"/>
    <col min="11260" max="11260" width="12.42578125" style="774" customWidth="1"/>
    <col min="11261" max="11261" width="13.140625" style="774" customWidth="1"/>
    <col min="11262" max="11262" width="12" style="774" customWidth="1"/>
    <col min="11263" max="11263" width="10.7109375" style="774" customWidth="1"/>
    <col min="11264" max="11264" width="1.42578125" style="774" customWidth="1"/>
    <col min="11265" max="11265" width="11.140625" style="774" customWidth="1"/>
    <col min="11266" max="11266" width="10.28515625" style="774" customWidth="1"/>
    <col min="11267" max="11267" width="10" style="774" customWidth="1"/>
    <col min="11268" max="11268" width="11" style="774" customWidth="1"/>
    <col min="11269" max="11514" width="9.140625" style="774"/>
    <col min="11515" max="11515" width="24.140625" style="774" customWidth="1"/>
    <col min="11516" max="11516" width="12.42578125" style="774" customWidth="1"/>
    <col min="11517" max="11517" width="13.140625" style="774" customWidth="1"/>
    <col min="11518" max="11518" width="12" style="774" customWidth="1"/>
    <col min="11519" max="11519" width="10.7109375" style="774" customWidth="1"/>
    <col min="11520" max="11520" width="1.42578125" style="774" customWidth="1"/>
    <col min="11521" max="11521" width="11.140625" style="774" customWidth="1"/>
    <col min="11522" max="11522" width="10.28515625" style="774" customWidth="1"/>
    <col min="11523" max="11523" width="10" style="774" customWidth="1"/>
    <col min="11524" max="11524" width="11" style="774" customWidth="1"/>
    <col min="11525" max="11770" width="9.140625" style="774"/>
    <col min="11771" max="11771" width="24.140625" style="774" customWidth="1"/>
    <col min="11772" max="11772" width="12.42578125" style="774" customWidth="1"/>
    <col min="11773" max="11773" width="13.140625" style="774" customWidth="1"/>
    <col min="11774" max="11774" width="12" style="774" customWidth="1"/>
    <col min="11775" max="11775" width="10.7109375" style="774" customWidth="1"/>
    <col min="11776" max="11776" width="1.42578125" style="774" customWidth="1"/>
    <col min="11777" max="11777" width="11.140625" style="774" customWidth="1"/>
    <col min="11778" max="11778" width="10.28515625" style="774" customWidth="1"/>
    <col min="11779" max="11779" width="10" style="774" customWidth="1"/>
    <col min="11780" max="11780" width="11" style="774" customWidth="1"/>
    <col min="11781" max="12026" width="9.140625" style="774"/>
    <col min="12027" max="12027" width="24.140625" style="774" customWidth="1"/>
    <col min="12028" max="12028" width="12.42578125" style="774" customWidth="1"/>
    <col min="12029" max="12029" width="13.140625" style="774" customWidth="1"/>
    <col min="12030" max="12030" width="12" style="774" customWidth="1"/>
    <col min="12031" max="12031" width="10.7109375" style="774" customWidth="1"/>
    <col min="12032" max="12032" width="1.42578125" style="774" customWidth="1"/>
    <col min="12033" max="12033" width="11.140625" style="774" customWidth="1"/>
    <col min="12034" max="12034" width="10.28515625" style="774" customWidth="1"/>
    <col min="12035" max="12035" width="10" style="774" customWidth="1"/>
    <col min="12036" max="12036" width="11" style="774" customWidth="1"/>
    <col min="12037" max="12282" width="9.140625" style="774"/>
    <col min="12283" max="12283" width="24.140625" style="774" customWidth="1"/>
    <col min="12284" max="12284" width="12.42578125" style="774" customWidth="1"/>
    <col min="12285" max="12285" width="13.140625" style="774" customWidth="1"/>
    <col min="12286" max="12286" width="12" style="774" customWidth="1"/>
    <col min="12287" max="12287" width="10.7109375" style="774" customWidth="1"/>
    <col min="12288" max="12288" width="1.42578125" style="774" customWidth="1"/>
    <col min="12289" max="12289" width="11.140625" style="774" customWidth="1"/>
    <col min="12290" max="12290" width="10.28515625" style="774" customWidth="1"/>
    <col min="12291" max="12291" width="10" style="774" customWidth="1"/>
    <col min="12292" max="12292" width="11" style="774" customWidth="1"/>
    <col min="12293" max="12538" width="9.140625" style="774"/>
    <col min="12539" max="12539" width="24.140625" style="774" customWidth="1"/>
    <col min="12540" max="12540" width="12.42578125" style="774" customWidth="1"/>
    <col min="12541" max="12541" width="13.140625" style="774" customWidth="1"/>
    <col min="12542" max="12542" width="12" style="774" customWidth="1"/>
    <col min="12543" max="12543" width="10.7109375" style="774" customWidth="1"/>
    <col min="12544" max="12544" width="1.42578125" style="774" customWidth="1"/>
    <col min="12545" max="12545" width="11.140625" style="774" customWidth="1"/>
    <col min="12546" max="12546" width="10.28515625" style="774" customWidth="1"/>
    <col min="12547" max="12547" width="10" style="774" customWidth="1"/>
    <col min="12548" max="12548" width="11" style="774" customWidth="1"/>
    <col min="12549" max="12794" width="9.140625" style="774"/>
    <col min="12795" max="12795" width="24.140625" style="774" customWidth="1"/>
    <col min="12796" max="12796" width="12.42578125" style="774" customWidth="1"/>
    <col min="12797" max="12797" width="13.140625" style="774" customWidth="1"/>
    <col min="12798" max="12798" width="12" style="774" customWidth="1"/>
    <col min="12799" max="12799" width="10.7109375" style="774" customWidth="1"/>
    <col min="12800" max="12800" width="1.42578125" style="774" customWidth="1"/>
    <col min="12801" max="12801" width="11.140625" style="774" customWidth="1"/>
    <col min="12802" max="12802" width="10.28515625" style="774" customWidth="1"/>
    <col min="12803" max="12803" width="10" style="774" customWidth="1"/>
    <col min="12804" max="12804" width="11" style="774" customWidth="1"/>
    <col min="12805" max="13050" width="9.140625" style="774"/>
    <col min="13051" max="13051" width="24.140625" style="774" customWidth="1"/>
    <col min="13052" max="13052" width="12.42578125" style="774" customWidth="1"/>
    <col min="13053" max="13053" width="13.140625" style="774" customWidth="1"/>
    <col min="13054" max="13054" width="12" style="774" customWidth="1"/>
    <col min="13055" max="13055" width="10.7109375" style="774" customWidth="1"/>
    <col min="13056" max="13056" width="1.42578125" style="774" customWidth="1"/>
    <col min="13057" max="13057" width="11.140625" style="774" customWidth="1"/>
    <col min="13058" max="13058" width="10.28515625" style="774" customWidth="1"/>
    <col min="13059" max="13059" width="10" style="774" customWidth="1"/>
    <col min="13060" max="13060" width="11" style="774" customWidth="1"/>
    <col min="13061" max="13306" width="9.140625" style="774"/>
    <col min="13307" max="13307" width="24.140625" style="774" customWidth="1"/>
    <col min="13308" max="13308" width="12.42578125" style="774" customWidth="1"/>
    <col min="13309" max="13309" width="13.140625" style="774" customWidth="1"/>
    <col min="13310" max="13310" width="12" style="774" customWidth="1"/>
    <col min="13311" max="13311" width="10.7109375" style="774" customWidth="1"/>
    <col min="13312" max="13312" width="1.42578125" style="774" customWidth="1"/>
    <col min="13313" max="13313" width="11.140625" style="774" customWidth="1"/>
    <col min="13314" max="13314" width="10.28515625" style="774" customWidth="1"/>
    <col min="13315" max="13315" width="10" style="774" customWidth="1"/>
    <col min="13316" max="13316" width="11" style="774" customWidth="1"/>
    <col min="13317" max="13562" width="9.140625" style="774"/>
    <col min="13563" max="13563" width="24.140625" style="774" customWidth="1"/>
    <col min="13564" max="13564" width="12.42578125" style="774" customWidth="1"/>
    <col min="13565" max="13565" width="13.140625" style="774" customWidth="1"/>
    <col min="13566" max="13566" width="12" style="774" customWidth="1"/>
    <col min="13567" max="13567" width="10.7109375" style="774" customWidth="1"/>
    <col min="13568" max="13568" width="1.42578125" style="774" customWidth="1"/>
    <col min="13569" max="13569" width="11.140625" style="774" customWidth="1"/>
    <col min="13570" max="13570" width="10.28515625" style="774" customWidth="1"/>
    <col min="13571" max="13571" width="10" style="774" customWidth="1"/>
    <col min="13572" max="13572" width="11" style="774" customWidth="1"/>
    <col min="13573" max="13818" width="9.140625" style="774"/>
    <col min="13819" max="13819" width="24.140625" style="774" customWidth="1"/>
    <col min="13820" max="13820" width="12.42578125" style="774" customWidth="1"/>
    <col min="13821" max="13821" width="13.140625" style="774" customWidth="1"/>
    <col min="13822" max="13822" width="12" style="774" customWidth="1"/>
    <col min="13823" max="13823" width="10.7109375" style="774" customWidth="1"/>
    <col min="13824" max="13824" width="1.42578125" style="774" customWidth="1"/>
    <col min="13825" max="13825" width="11.140625" style="774" customWidth="1"/>
    <col min="13826" max="13826" width="10.28515625" style="774" customWidth="1"/>
    <col min="13827" max="13827" width="10" style="774" customWidth="1"/>
    <col min="13828" max="13828" width="11" style="774" customWidth="1"/>
    <col min="13829" max="14074" width="9.140625" style="774"/>
    <col min="14075" max="14075" width="24.140625" style="774" customWidth="1"/>
    <col min="14076" max="14076" width="12.42578125" style="774" customWidth="1"/>
    <col min="14077" max="14077" width="13.140625" style="774" customWidth="1"/>
    <col min="14078" max="14078" width="12" style="774" customWidth="1"/>
    <col min="14079" max="14079" width="10.7109375" style="774" customWidth="1"/>
    <col min="14080" max="14080" width="1.42578125" style="774" customWidth="1"/>
    <col min="14081" max="14081" width="11.140625" style="774" customWidth="1"/>
    <col min="14082" max="14082" width="10.28515625" style="774" customWidth="1"/>
    <col min="14083" max="14083" width="10" style="774" customWidth="1"/>
    <col min="14084" max="14084" width="11" style="774" customWidth="1"/>
    <col min="14085" max="14330" width="9.140625" style="774"/>
    <col min="14331" max="14331" width="24.140625" style="774" customWidth="1"/>
    <col min="14332" max="14332" width="12.42578125" style="774" customWidth="1"/>
    <col min="14333" max="14333" width="13.140625" style="774" customWidth="1"/>
    <col min="14334" max="14334" width="12" style="774" customWidth="1"/>
    <col min="14335" max="14335" width="10.7109375" style="774" customWidth="1"/>
    <col min="14336" max="14336" width="1.42578125" style="774" customWidth="1"/>
    <col min="14337" max="14337" width="11.140625" style="774" customWidth="1"/>
    <col min="14338" max="14338" width="10.28515625" style="774" customWidth="1"/>
    <col min="14339" max="14339" width="10" style="774" customWidth="1"/>
    <col min="14340" max="14340" width="11" style="774" customWidth="1"/>
    <col min="14341" max="14586" width="9.140625" style="774"/>
    <col min="14587" max="14587" width="24.140625" style="774" customWidth="1"/>
    <col min="14588" max="14588" width="12.42578125" style="774" customWidth="1"/>
    <col min="14589" max="14589" width="13.140625" style="774" customWidth="1"/>
    <col min="14590" max="14590" width="12" style="774" customWidth="1"/>
    <col min="14591" max="14591" width="10.7109375" style="774" customWidth="1"/>
    <col min="14592" max="14592" width="1.42578125" style="774" customWidth="1"/>
    <col min="14593" max="14593" width="11.140625" style="774" customWidth="1"/>
    <col min="14594" max="14594" width="10.28515625" style="774" customWidth="1"/>
    <col min="14595" max="14595" width="10" style="774" customWidth="1"/>
    <col min="14596" max="14596" width="11" style="774" customWidth="1"/>
    <col min="14597" max="14842" width="9.140625" style="774"/>
    <col min="14843" max="14843" width="24.140625" style="774" customWidth="1"/>
    <col min="14844" max="14844" width="12.42578125" style="774" customWidth="1"/>
    <col min="14845" max="14845" width="13.140625" style="774" customWidth="1"/>
    <col min="14846" max="14846" width="12" style="774" customWidth="1"/>
    <col min="14847" max="14847" width="10.7109375" style="774" customWidth="1"/>
    <col min="14848" max="14848" width="1.42578125" style="774" customWidth="1"/>
    <col min="14849" max="14849" width="11.140625" style="774" customWidth="1"/>
    <col min="14850" max="14850" width="10.28515625" style="774" customWidth="1"/>
    <col min="14851" max="14851" width="10" style="774" customWidth="1"/>
    <col min="14852" max="14852" width="11" style="774" customWidth="1"/>
    <col min="14853" max="15098" width="9.140625" style="774"/>
    <col min="15099" max="15099" width="24.140625" style="774" customWidth="1"/>
    <col min="15100" max="15100" width="12.42578125" style="774" customWidth="1"/>
    <col min="15101" max="15101" width="13.140625" style="774" customWidth="1"/>
    <col min="15102" max="15102" width="12" style="774" customWidth="1"/>
    <col min="15103" max="15103" width="10.7109375" style="774" customWidth="1"/>
    <col min="15104" max="15104" width="1.42578125" style="774" customWidth="1"/>
    <col min="15105" max="15105" width="11.140625" style="774" customWidth="1"/>
    <col min="15106" max="15106" width="10.28515625" style="774" customWidth="1"/>
    <col min="15107" max="15107" width="10" style="774" customWidth="1"/>
    <col min="15108" max="15108" width="11" style="774" customWidth="1"/>
    <col min="15109" max="15354" width="9.140625" style="774"/>
    <col min="15355" max="15355" width="24.140625" style="774" customWidth="1"/>
    <col min="15356" max="15356" width="12.42578125" style="774" customWidth="1"/>
    <col min="15357" max="15357" width="13.140625" style="774" customWidth="1"/>
    <col min="15358" max="15358" width="12" style="774" customWidth="1"/>
    <col min="15359" max="15359" width="10.7109375" style="774" customWidth="1"/>
    <col min="15360" max="15360" width="1.42578125" style="774" customWidth="1"/>
    <col min="15361" max="15361" width="11.140625" style="774" customWidth="1"/>
    <col min="15362" max="15362" width="10.28515625" style="774" customWidth="1"/>
    <col min="15363" max="15363" width="10" style="774" customWidth="1"/>
    <col min="15364" max="15364" width="11" style="774" customWidth="1"/>
    <col min="15365" max="15610" width="9.140625" style="774"/>
    <col min="15611" max="15611" width="24.140625" style="774" customWidth="1"/>
    <col min="15612" max="15612" width="12.42578125" style="774" customWidth="1"/>
    <col min="15613" max="15613" width="13.140625" style="774" customWidth="1"/>
    <col min="15614" max="15614" width="12" style="774" customWidth="1"/>
    <col min="15615" max="15615" width="10.7109375" style="774" customWidth="1"/>
    <col min="15616" max="15616" width="1.42578125" style="774" customWidth="1"/>
    <col min="15617" max="15617" width="11.140625" style="774" customWidth="1"/>
    <col min="15618" max="15618" width="10.28515625" style="774" customWidth="1"/>
    <col min="15619" max="15619" width="10" style="774" customWidth="1"/>
    <col min="15620" max="15620" width="11" style="774" customWidth="1"/>
    <col min="15621" max="15866" width="9.140625" style="774"/>
    <col min="15867" max="15867" width="24.140625" style="774" customWidth="1"/>
    <col min="15868" max="15868" width="12.42578125" style="774" customWidth="1"/>
    <col min="15869" max="15869" width="13.140625" style="774" customWidth="1"/>
    <col min="15870" max="15870" width="12" style="774" customWidth="1"/>
    <col min="15871" max="15871" width="10.7109375" style="774" customWidth="1"/>
    <col min="15872" max="15872" width="1.42578125" style="774" customWidth="1"/>
    <col min="15873" max="15873" width="11.140625" style="774" customWidth="1"/>
    <col min="15874" max="15874" width="10.28515625" style="774" customWidth="1"/>
    <col min="15875" max="15875" width="10" style="774" customWidth="1"/>
    <col min="15876" max="15876" width="11" style="774" customWidth="1"/>
    <col min="15877" max="16122" width="9.140625" style="774"/>
    <col min="16123" max="16123" width="24.140625" style="774" customWidth="1"/>
    <col min="16124" max="16124" width="12.42578125" style="774" customWidth="1"/>
    <col min="16125" max="16125" width="13.140625" style="774" customWidth="1"/>
    <col min="16126" max="16126" width="12" style="774" customWidth="1"/>
    <col min="16127" max="16127" width="10.7109375" style="774" customWidth="1"/>
    <col min="16128" max="16128" width="1.42578125" style="774" customWidth="1"/>
    <col min="16129" max="16129" width="11.140625" style="774" customWidth="1"/>
    <col min="16130" max="16130" width="10.28515625" style="774" customWidth="1"/>
    <col min="16131" max="16131" width="10" style="774" customWidth="1"/>
    <col min="16132" max="16132" width="11" style="774" customWidth="1"/>
    <col min="16133" max="16384" width="9.140625" style="774"/>
  </cols>
  <sheetData>
    <row r="1" spans="1:24" ht="15.75">
      <c r="A1" s="828" t="s">
        <v>312</v>
      </c>
    </row>
    <row r="2" spans="1:24" ht="15.75">
      <c r="A2" s="828" t="s">
        <v>314</v>
      </c>
    </row>
    <row r="4" spans="1:24">
      <c r="D4" s="776"/>
    </row>
    <row r="5" spans="1:24">
      <c r="A5" s="777"/>
      <c r="B5" s="777"/>
      <c r="C5" s="777"/>
      <c r="D5" s="777"/>
      <c r="E5" s="778"/>
      <c r="F5" s="777"/>
      <c r="G5" s="777"/>
      <c r="H5" s="777"/>
      <c r="I5" s="777"/>
      <c r="J5" s="777"/>
      <c r="K5" s="777"/>
    </row>
    <row r="6" spans="1:24">
      <c r="A6" s="804" t="s">
        <v>1774</v>
      </c>
      <c r="B6" s="779"/>
      <c r="C6" s="779"/>
      <c r="D6" s="779"/>
      <c r="E6" s="779"/>
      <c r="F6" s="779"/>
      <c r="G6" s="779"/>
      <c r="H6" s="779"/>
      <c r="I6" s="798"/>
      <c r="J6" s="779"/>
      <c r="K6" s="779"/>
      <c r="L6" s="779"/>
    </row>
    <row r="7" spans="1:24">
      <c r="B7" s="779"/>
      <c r="C7" s="779"/>
      <c r="D7" s="779"/>
      <c r="E7" s="779"/>
      <c r="F7" s="779"/>
      <c r="G7" s="779"/>
      <c r="H7" s="779"/>
      <c r="I7" s="779"/>
      <c r="J7" s="779"/>
      <c r="K7" s="779"/>
      <c r="L7" s="779"/>
    </row>
    <row r="8" spans="1:24" ht="19.5" customHeight="1">
      <c r="B8" s="779"/>
      <c r="C8" s="779"/>
      <c r="D8" s="779"/>
      <c r="E8" s="779"/>
      <c r="F8" s="779"/>
      <c r="G8" s="779"/>
      <c r="H8" s="779"/>
      <c r="I8" s="779"/>
      <c r="J8" s="779"/>
      <c r="K8" s="779"/>
      <c r="L8" s="779"/>
      <c r="M8" s="779"/>
      <c r="P8" s="770"/>
      <c r="Q8" s="771"/>
      <c r="R8" s="1546" t="s">
        <v>1698</v>
      </c>
      <c r="S8" s="1546"/>
      <c r="T8" s="1546"/>
      <c r="U8" s="1546"/>
      <c r="V8" s="1546"/>
      <c r="W8" s="1546"/>
      <c r="X8" s="1546"/>
    </row>
    <row r="9" spans="1:24">
      <c r="B9" s="1544" t="s">
        <v>943</v>
      </c>
      <c r="C9" s="1544"/>
      <c r="D9" s="1544"/>
      <c r="E9" s="1544"/>
      <c r="F9" s="1544"/>
      <c r="G9" s="1544"/>
      <c r="H9" s="1544"/>
      <c r="I9" s="1544"/>
      <c r="J9" s="1544"/>
      <c r="K9" s="1544"/>
      <c r="L9" s="779"/>
      <c r="P9" s="770"/>
      <c r="Q9" s="771"/>
      <c r="R9" s="763" t="s">
        <v>1699</v>
      </c>
      <c r="S9" s="763" t="s">
        <v>1700</v>
      </c>
      <c r="T9" s="763" t="s">
        <v>1701</v>
      </c>
      <c r="U9" s="763" t="s">
        <v>1702</v>
      </c>
      <c r="V9" s="763" t="s">
        <v>1703</v>
      </c>
      <c r="W9" s="763"/>
      <c r="X9" s="770"/>
    </row>
    <row r="10" spans="1:24" ht="45" customHeight="1">
      <c r="B10" s="780" t="s">
        <v>295</v>
      </c>
      <c r="C10" s="780" t="s">
        <v>698</v>
      </c>
      <c r="D10" s="780" t="s">
        <v>1881</v>
      </c>
      <c r="E10" s="780" t="s">
        <v>696</v>
      </c>
      <c r="F10" s="780" t="s">
        <v>708</v>
      </c>
      <c r="G10" s="780" t="s">
        <v>693</v>
      </c>
      <c r="H10" s="780" t="s">
        <v>694</v>
      </c>
      <c r="I10" s="780" t="s">
        <v>695</v>
      </c>
      <c r="J10" s="780" t="s">
        <v>316</v>
      </c>
      <c r="K10" s="829"/>
      <c r="L10" s="782"/>
      <c r="P10" s="770"/>
      <c r="Q10" s="771"/>
      <c r="R10" s="764" t="s">
        <v>1704</v>
      </c>
      <c r="S10" s="764" t="s">
        <v>1880</v>
      </c>
      <c r="T10" s="764" t="s">
        <v>2358</v>
      </c>
      <c r="U10" s="764" t="s">
        <v>1730</v>
      </c>
      <c r="V10" s="764" t="s">
        <v>1705</v>
      </c>
      <c r="W10" s="764"/>
      <c r="X10" s="1125"/>
    </row>
    <row r="11" spans="1:24">
      <c r="A11" s="771" t="s">
        <v>409</v>
      </c>
      <c r="B11" s="832">
        <f>'Reg - Price Out '!V63</f>
        <v>15854850.23</v>
      </c>
      <c r="C11" s="832">
        <f>'JBLM Housing - Price Out'!V22</f>
        <v>1446528.7099999997</v>
      </c>
      <c r="D11" s="832"/>
      <c r="E11" s="796">
        <f>SUM(B11:D11)</f>
        <v>17301378.940000001</v>
      </c>
      <c r="F11" s="796"/>
      <c r="G11" s="781">
        <f>SUM('[45]Revenue Summary'!F6:K6)</f>
        <v>7394091.2799999993</v>
      </c>
      <c r="H11" s="796">
        <f>+E11+G11</f>
        <v>24695470.219999999</v>
      </c>
      <c r="I11" s="796">
        <f>+'Converted IS (C)'!C9</f>
        <v>24692826.280000001</v>
      </c>
      <c r="J11" s="781">
        <f t="shared" ref="J11:J18" si="0">+H11-I11</f>
        <v>2643.9399999976158</v>
      </c>
      <c r="K11" s="779"/>
      <c r="L11" s="779"/>
      <c r="P11" s="765"/>
      <c r="Q11" s="766"/>
      <c r="R11" s="425"/>
      <c r="S11" s="425"/>
      <c r="T11" s="425"/>
      <c r="U11" s="425"/>
      <c r="V11" s="425"/>
      <c r="W11" s="425"/>
      <c r="X11" s="425"/>
    </row>
    <row r="12" spans="1:24">
      <c r="A12" s="772" t="s">
        <v>410</v>
      </c>
      <c r="B12" s="781">
        <f>'Reg - Price Out '!V71</f>
        <v>3260910.0000000005</v>
      </c>
      <c r="C12" s="781">
        <f>'JBLM Housing - Price Out'!V29</f>
        <v>269939.14999999997</v>
      </c>
      <c r="D12" s="781"/>
      <c r="E12" s="796">
        <f t="shared" ref="E12:E19" si="1">SUM(B12:D12)</f>
        <v>3530849.1500000004</v>
      </c>
      <c r="F12" s="796"/>
      <c r="G12" s="781">
        <f>SUM('[45]Revenue Summary'!F7:K7)</f>
        <v>13747.320000000002</v>
      </c>
      <c r="H12" s="796">
        <f t="shared" ref="H12:H18" si="2">+E12+G12</f>
        <v>3544596.47</v>
      </c>
      <c r="I12" s="796">
        <f>+'Converted IS (C)'!C10</f>
        <v>3541760.29</v>
      </c>
      <c r="J12" s="781">
        <f t="shared" si="0"/>
        <v>2836.1800000001676</v>
      </c>
      <c r="K12" s="779"/>
      <c r="L12" s="779"/>
      <c r="P12" s="765"/>
      <c r="Q12" s="767" t="s">
        <v>3</v>
      </c>
      <c r="R12" s="511">
        <f t="shared" ref="R12:R19" si="3">J11</f>
        <v>2643.9399999976158</v>
      </c>
      <c r="S12" s="511">
        <f>D31</f>
        <v>129238.9381</v>
      </c>
      <c r="T12" s="425"/>
      <c r="U12" s="425"/>
      <c r="V12" s="425"/>
      <c r="W12" s="425"/>
      <c r="X12" s="425">
        <f t="shared" ref="X12:X19" si="4">SUM(R12:W12)</f>
        <v>131882.87809999762</v>
      </c>
    </row>
    <row r="13" spans="1:24">
      <c r="A13" s="771" t="s">
        <v>299</v>
      </c>
      <c r="B13" s="781">
        <f>'Reg - Price Out '!V80</f>
        <v>1772851.1499999997</v>
      </c>
      <c r="C13" s="781">
        <f>'JBLM Housing - Price Out'!V35</f>
        <v>39182.82</v>
      </c>
      <c r="D13" s="781"/>
      <c r="E13" s="796">
        <f t="shared" si="1"/>
        <v>1812033.9699999997</v>
      </c>
      <c r="F13" s="796"/>
      <c r="G13" s="781">
        <f>SUM('[45]Revenue Summary'!F8:K8)</f>
        <v>1122736.05</v>
      </c>
      <c r="H13" s="796">
        <f t="shared" si="2"/>
        <v>2934770.0199999996</v>
      </c>
      <c r="I13" s="796">
        <f>+'Converted IS (C)'!C11</f>
        <v>2892045.56</v>
      </c>
      <c r="J13" s="781">
        <f t="shared" si="0"/>
        <v>42724.459999999497</v>
      </c>
      <c r="K13" s="779"/>
      <c r="L13" s="779"/>
      <c r="P13" s="765"/>
      <c r="Q13" s="767" t="s">
        <v>4</v>
      </c>
      <c r="R13" s="511">
        <f t="shared" si="3"/>
        <v>2836.1800000001676</v>
      </c>
      <c r="S13" s="425"/>
      <c r="T13" s="425"/>
      <c r="U13" s="425">
        <f>+'Pro forma Adj'!C26</f>
        <v>0</v>
      </c>
      <c r="V13" s="425"/>
      <c r="W13" s="425"/>
      <c r="X13" s="425">
        <f t="shared" si="4"/>
        <v>2836.1800000001676</v>
      </c>
    </row>
    <row r="14" spans="1:24">
      <c r="A14" s="771" t="s">
        <v>411</v>
      </c>
      <c r="B14" s="781">
        <f>'Reg - Price Out '!V198</f>
        <v>7914290.389999995</v>
      </c>
      <c r="C14" s="781">
        <f>'JBLM Housing - Price Out'!V50</f>
        <v>137.53</v>
      </c>
      <c r="D14" s="781">
        <f>'FtL - Price Out'!U57</f>
        <v>219812.07</v>
      </c>
      <c r="E14" s="796">
        <f t="shared" si="1"/>
        <v>8134239.9899999956</v>
      </c>
      <c r="F14" s="796">
        <f>'[45]Revenue Summary'!$L$9</f>
        <v>4316576.9099999992</v>
      </c>
      <c r="G14" s="781">
        <f>SUM('[45]Revenue Summary'!F9:K9)</f>
        <v>7283288.3999999966</v>
      </c>
      <c r="H14" s="796">
        <f>+E14+G14+F14</f>
        <v>19734105.299999993</v>
      </c>
      <c r="I14" s="796">
        <f>+'Converted IS (C)'!C12</f>
        <v>19796056.349999998</v>
      </c>
      <c r="J14" s="781">
        <f t="shared" si="0"/>
        <v>-61951.05000000447</v>
      </c>
      <c r="K14" s="779"/>
      <c r="L14" s="779"/>
      <c r="P14" s="765"/>
      <c r="Q14" s="767" t="s">
        <v>5</v>
      </c>
      <c r="R14" s="511">
        <f t="shared" si="3"/>
        <v>42724.459999999497</v>
      </c>
      <c r="S14" s="425"/>
      <c r="T14" s="425"/>
      <c r="U14" s="425"/>
      <c r="V14" s="425"/>
      <c r="W14" s="425"/>
      <c r="X14" s="425">
        <f t="shared" si="4"/>
        <v>42724.459999999497</v>
      </c>
    </row>
    <row r="15" spans="1:24" ht="13.5" customHeight="1">
      <c r="A15" s="771" t="s">
        <v>699</v>
      </c>
      <c r="B15" s="781">
        <f>'Reg - Price Out '!V204</f>
        <v>235231.36999999997</v>
      </c>
      <c r="C15" s="781"/>
      <c r="D15" s="781"/>
      <c r="E15" s="796">
        <f t="shared" si="1"/>
        <v>235231.36999999997</v>
      </c>
      <c r="F15" s="796"/>
      <c r="G15" s="781">
        <f>SUM('[45]Revenue Summary'!F10:K10)</f>
        <v>852851.05999999971</v>
      </c>
      <c r="H15" s="796">
        <f t="shared" si="2"/>
        <v>1088082.4299999997</v>
      </c>
      <c r="I15" s="796">
        <f>+'Converted IS (C)'!C13</f>
        <v>0</v>
      </c>
      <c r="J15" s="781">
        <f t="shared" si="0"/>
        <v>1088082.4299999997</v>
      </c>
      <c r="K15" s="779"/>
      <c r="L15" s="779"/>
      <c r="P15" s="765"/>
      <c r="Q15" s="767" t="s">
        <v>1706</v>
      </c>
      <c r="R15" s="511">
        <f t="shared" si="3"/>
        <v>-61951.05000000447</v>
      </c>
      <c r="S15" s="425"/>
      <c r="T15" s="425"/>
      <c r="U15" s="425"/>
      <c r="V15" s="425"/>
      <c r="W15" s="425"/>
      <c r="X15" s="425">
        <f t="shared" si="4"/>
        <v>-61951.05000000447</v>
      </c>
    </row>
    <row r="16" spans="1:24">
      <c r="A16" s="772" t="s">
        <v>301</v>
      </c>
      <c r="B16" s="781">
        <v>0</v>
      </c>
      <c r="C16" s="781"/>
      <c r="D16" s="781"/>
      <c r="E16" s="796">
        <f t="shared" si="1"/>
        <v>0</v>
      </c>
      <c r="F16" s="796"/>
      <c r="G16" s="781">
        <f>SUM('[45]Revenue Summary'!F11:K11)+'[45]Revenue Summary'!$E$11</f>
        <v>1977346.9400000002</v>
      </c>
      <c r="H16" s="796">
        <f t="shared" si="2"/>
        <v>1977346.9400000002</v>
      </c>
      <c r="I16" s="796">
        <f>+'Converted IS (C)'!C17</f>
        <v>3072760.27</v>
      </c>
      <c r="J16" s="781">
        <f t="shared" si="0"/>
        <v>-1095413.3299999998</v>
      </c>
      <c r="K16" s="779"/>
      <c r="L16" s="779"/>
      <c r="P16" s="765"/>
      <c r="Q16" s="767" t="s">
        <v>1707</v>
      </c>
      <c r="R16" s="511">
        <f t="shared" si="3"/>
        <v>1088082.4299999997</v>
      </c>
      <c r="S16" s="425"/>
      <c r="T16" s="425"/>
      <c r="U16" s="425">
        <f>+'Pro forma Adj'!C29</f>
        <v>0</v>
      </c>
      <c r="V16" s="425"/>
      <c r="W16" s="425"/>
      <c r="X16" s="425">
        <f t="shared" si="4"/>
        <v>1088082.4299999997</v>
      </c>
    </row>
    <row r="17" spans="1:24">
      <c r="A17" s="771" t="s">
        <v>412</v>
      </c>
      <c r="B17" s="781">
        <f>'Reg - Price Out '!V256</f>
        <v>1617651.7999999998</v>
      </c>
      <c r="C17" s="781">
        <f>'JBLM Housing - Price Out'!V77</f>
        <v>62798</v>
      </c>
      <c r="D17" s="781">
        <f>'FtL - Price Out'!U95</f>
        <v>61564.03</v>
      </c>
      <c r="E17" s="796">
        <f t="shared" si="1"/>
        <v>1742013.8299999998</v>
      </c>
      <c r="F17" s="796"/>
      <c r="G17" s="781">
        <f>SUM('[45]Revenue Summary'!F12:K12)</f>
        <v>1122375.0099999998</v>
      </c>
      <c r="H17" s="796">
        <f t="shared" si="2"/>
        <v>2864388.84</v>
      </c>
      <c r="I17" s="796">
        <f>+'Converted IS (C)'!C14</f>
        <v>2876959.6999999997</v>
      </c>
      <c r="J17" s="781">
        <f t="shared" si="0"/>
        <v>-12570.85999999987</v>
      </c>
      <c r="K17" s="779"/>
      <c r="L17" s="779"/>
      <c r="P17" s="765"/>
      <c r="Q17" s="771" t="s">
        <v>301</v>
      </c>
      <c r="R17" s="511">
        <f t="shared" si="3"/>
        <v>-1095413.3299999998</v>
      </c>
      <c r="S17" s="989"/>
      <c r="T17" s="989"/>
      <c r="U17" s="989"/>
      <c r="V17" s="989"/>
      <c r="W17" s="989"/>
      <c r="X17" s="425">
        <f t="shared" si="4"/>
        <v>-1095413.3299999998</v>
      </c>
    </row>
    <row r="18" spans="1:24">
      <c r="A18" s="771" t="s">
        <v>302</v>
      </c>
      <c r="B18" s="781">
        <f>'Reg - Price Out '!V262</f>
        <v>3000937.42</v>
      </c>
      <c r="C18" s="781">
        <f>'JBLM Housing - Price Out'!V82</f>
        <v>88263.11</v>
      </c>
      <c r="D18" s="781">
        <f>'FtL - Price Out'!U101</f>
        <v>67658.05</v>
      </c>
      <c r="E18" s="796">
        <f t="shared" si="1"/>
        <v>3156858.5799999996</v>
      </c>
      <c r="F18" s="796"/>
      <c r="G18" s="781">
        <f>SUM('[45]Revenue Summary'!F13:K13)</f>
        <v>2487428.83</v>
      </c>
      <c r="H18" s="796">
        <f t="shared" si="2"/>
        <v>5644287.4100000001</v>
      </c>
      <c r="I18" s="796">
        <f>+'Converted IS (C)'!C15</f>
        <v>5656209.0300000003</v>
      </c>
      <c r="J18" s="781">
        <f t="shared" si="0"/>
        <v>-11921.620000000112</v>
      </c>
      <c r="K18" s="779"/>
      <c r="L18" s="779"/>
      <c r="P18" s="765"/>
      <c r="Q18" s="771" t="s">
        <v>412</v>
      </c>
      <c r="R18" s="511">
        <f t="shared" si="3"/>
        <v>-12570.85999999987</v>
      </c>
      <c r="S18" s="989"/>
      <c r="T18" s="989"/>
      <c r="U18" s="989"/>
      <c r="V18" s="989"/>
      <c r="W18" s="989"/>
      <c r="X18" s="425">
        <f t="shared" si="4"/>
        <v>-12570.85999999987</v>
      </c>
    </row>
    <row r="19" spans="1:24">
      <c r="A19" s="771"/>
      <c r="B19" s="830"/>
      <c r="C19" s="830"/>
      <c r="D19" s="830"/>
      <c r="E19" s="988">
        <f t="shared" si="1"/>
        <v>0</v>
      </c>
      <c r="F19" s="830"/>
      <c r="G19" s="830"/>
      <c r="H19" s="830"/>
      <c r="I19" s="830"/>
      <c r="J19" s="830"/>
      <c r="K19" s="779"/>
      <c r="L19" s="779"/>
      <c r="P19" s="765"/>
      <c r="Q19" s="771" t="s">
        <v>302</v>
      </c>
      <c r="R19" s="511">
        <f t="shared" si="3"/>
        <v>-11921.620000000112</v>
      </c>
      <c r="S19" s="1122">
        <f>D37</f>
        <v>32056.92885</v>
      </c>
      <c r="T19" s="989"/>
      <c r="U19" s="989"/>
      <c r="V19" s="989"/>
      <c r="W19" s="989"/>
      <c r="X19" s="425">
        <f t="shared" si="4"/>
        <v>20135.308849999888</v>
      </c>
    </row>
    <row r="20" spans="1:24">
      <c r="B20" s="796">
        <f>SUM(B11:B19)</f>
        <v>33656722.359999999</v>
      </c>
      <c r="C20" s="796">
        <f t="shared" ref="C20:I20" si="5">SUM(C11:C19)</f>
        <v>1906849.3199999998</v>
      </c>
      <c r="D20" s="796">
        <f t="shared" si="5"/>
        <v>349034.14999999997</v>
      </c>
      <c r="E20" s="796">
        <f t="shared" si="5"/>
        <v>35912605.829999998</v>
      </c>
      <c r="F20" s="796">
        <f t="shared" si="5"/>
        <v>4316576.9099999992</v>
      </c>
      <c r="G20" s="796">
        <f t="shared" si="5"/>
        <v>22253864.889999993</v>
      </c>
      <c r="H20" s="796">
        <f t="shared" si="5"/>
        <v>62483047.62999998</v>
      </c>
      <c r="I20" s="796">
        <f t="shared" si="5"/>
        <v>62528617.480000004</v>
      </c>
      <c r="J20" s="796">
        <f>SUM(J11:J19)</f>
        <v>-45569.850000007311</v>
      </c>
      <c r="K20" s="831">
        <f>J20/I20</f>
        <v>-7.287839046590625E-4</v>
      </c>
      <c r="L20" s="779"/>
      <c r="P20" s="765"/>
      <c r="Q20" s="767"/>
      <c r="R20" s="991"/>
      <c r="S20" s="991"/>
      <c r="T20" s="991"/>
      <c r="U20" s="991"/>
      <c r="V20" s="991"/>
      <c r="W20" s="991"/>
      <c r="X20" s="991"/>
    </row>
    <row r="21" spans="1:24">
      <c r="B21" s="781">
        <f>B20-'Reg - Price Out '!V277+'Reg - Price Out '!V272</f>
        <v>5.6625140132382512E-9</v>
      </c>
      <c r="C21" s="779">
        <f>C20-'JBLM Housing - Price Out'!V98</f>
        <v>0</v>
      </c>
      <c r="D21" s="779">
        <f>D20-'FtL - Price Out'!U107</f>
        <v>0</v>
      </c>
      <c r="E21" s="779"/>
      <c r="F21" s="779"/>
      <c r="G21" s="779"/>
      <c r="H21" s="779"/>
      <c r="J21" s="993" t="s">
        <v>1699</v>
      </c>
      <c r="K21" s="831"/>
      <c r="L21" s="784"/>
      <c r="P21" s="765"/>
      <c r="Q21" s="771"/>
      <c r="R21" s="990">
        <f t="shared" ref="R21:X21" si="6">SUM(R12:R20)</f>
        <v>-45569.850000007311</v>
      </c>
      <c r="S21" s="990">
        <f t="shared" si="6"/>
        <v>161295.86695</v>
      </c>
      <c r="T21" s="990">
        <f t="shared" si="6"/>
        <v>0</v>
      </c>
      <c r="U21" s="990">
        <f t="shared" ref="U21" si="7">SUM(U12:U20)</f>
        <v>0</v>
      </c>
      <c r="V21" s="990">
        <f t="shared" si="6"/>
        <v>0</v>
      </c>
      <c r="W21" s="990">
        <f t="shared" si="6"/>
        <v>0</v>
      </c>
      <c r="X21" s="990">
        <f t="shared" si="6"/>
        <v>115726.0169499926</v>
      </c>
    </row>
    <row r="22" spans="1:24">
      <c r="B22" s="779"/>
      <c r="C22" s="779"/>
      <c r="D22" s="779"/>
      <c r="E22" s="779"/>
      <c r="F22" s="779"/>
      <c r="G22" s="779"/>
      <c r="H22" s="779"/>
      <c r="I22" s="779"/>
      <c r="J22" s="779"/>
      <c r="P22" s="765"/>
      <c r="Q22" s="771"/>
      <c r="R22" s="425"/>
      <c r="S22" s="990"/>
      <c r="T22" s="990"/>
      <c r="U22" s="990"/>
      <c r="V22" s="990"/>
      <c r="W22" s="990"/>
      <c r="X22" s="425"/>
    </row>
    <row r="23" spans="1:24">
      <c r="B23" s="785"/>
      <c r="C23" s="785"/>
      <c r="D23" s="785"/>
      <c r="E23" s="785"/>
      <c r="P23" s="765"/>
    </row>
    <row r="24" spans="1:24">
      <c r="A24" s="777"/>
      <c r="B24" s="777"/>
      <c r="C24" s="777"/>
      <c r="D24" s="777"/>
      <c r="E24" s="778"/>
      <c r="F24" s="777"/>
      <c r="G24" s="777"/>
      <c r="H24" s="777"/>
      <c r="I24" s="777"/>
      <c r="J24" s="777"/>
      <c r="K24" s="777"/>
      <c r="L24" s="777"/>
      <c r="P24" s="770"/>
    </row>
    <row r="25" spans="1:24" s="788" customFormat="1">
      <c r="A25" s="836" t="s">
        <v>1775</v>
      </c>
      <c r="E25" s="789"/>
      <c r="P25" s="770"/>
      <c r="Q25" s="771"/>
      <c r="R25" s="425"/>
      <c r="S25" s="425"/>
      <c r="T25" s="425"/>
      <c r="U25" s="425"/>
      <c r="V25" s="425"/>
      <c r="W25" s="425"/>
      <c r="X25" s="425"/>
    </row>
    <row r="26" spans="1:24" s="788" customFormat="1">
      <c r="E26" s="789"/>
      <c r="P26" s="765">
        <v>42300</v>
      </c>
      <c r="Q26" s="767" t="s">
        <v>51</v>
      </c>
      <c r="R26" s="425"/>
      <c r="S26" s="425"/>
      <c r="T26" s="425"/>
      <c r="U26" s="511">
        <f>B49</f>
        <v>84897.014742559477</v>
      </c>
      <c r="V26" s="425"/>
      <c r="W26" s="425"/>
      <c r="X26" s="990">
        <f t="shared" ref="X26:X59" si="8">SUM(R26:W26)</f>
        <v>84897.014742559477</v>
      </c>
    </row>
    <row r="27" spans="1:24">
      <c r="A27" s="786"/>
      <c r="B27" s="873" t="s">
        <v>295</v>
      </c>
      <c r="C27" s="872" t="s">
        <v>1873</v>
      </c>
      <c r="D27" s="787"/>
      <c r="F27" s="788"/>
      <c r="G27" s="788"/>
      <c r="H27" s="788"/>
      <c r="I27" s="994"/>
      <c r="J27" s="788"/>
      <c r="K27" s="788"/>
      <c r="L27" s="788"/>
      <c r="P27" s="765">
        <v>43600</v>
      </c>
      <c r="Q27" s="767" t="s">
        <v>69</v>
      </c>
      <c r="R27" s="425"/>
      <c r="S27" s="511">
        <f>$D$39</f>
        <v>161295.86695</v>
      </c>
      <c r="T27" s="425"/>
      <c r="U27" s="425"/>
      <c r="V27" s="425"/>
      <c r="W27" s="425"/>
      <c r="X27" s="990">
        <f t="shared" si="8"/>
        <v>161295.86695</v>
      </c>
    </row>
    <row r="28" spans="1:24" ht="30">
      <c r="A28" s="837" t="s">
        <v>1874</v>
      </c>
      <c r="B28" s="876">
        <f>SUM('Disposal (C)'!B14:D14,'Disposal (C)'!B19:D19)</f>
        <v>17531.09</v>
      </c>
      <c r="C28" s="876">
        <f>SUM('Disposal (C)'!B32:D32)</f>
        <v>1501.5700000000002</v>
      </c>
      <c r="D28" s="1030">
        <f>B28+C28-SUM('Disposal (C)'!B14:D14,'Disposal (C)'!B19:D19,'Disposal (C)'!B32:D32)</f>
        <v>0</v>
      </c>
      <c r="E28" s="789"/>
      <c r="F28" s="788"/>
      <c r="G28" s="788"/>
      <c r="H28" s="788"/>
      <c r="P28" s="765">
        <v>43800</v>
      </c>
      <c r="Q28" s="767" t="s">
        <v>1708</v>
      </c>
      <c r="R28" s="425"/>
      <c r="S28" s="425"/>
      <c r="T28" s="425"/>
      <c r="U28" s="425"/>
      <c r="V28" s="425"/>
      <c r="W28" s="425"/>
      <c r="X28" s="990">
        <f t="shared" si="8"/>
        <v>0</v>
      </c>
    </row>
    <row r="29" spans="1:24">
      <c r="A29" s="837" t="s">
        <v>1875</v>
      </c>
      <c r="B29" s="874">
        <v>6.96</v>
      </c>
      <c r="C29" s="875">
        <v>4.8099999999999996</v>
      </c>
      <c r="D29" s="786" t="s">
        <v>1876</v>
      </c>
      <c r="E29" s="791"/>
      <c r="F29" s="788"/>
      <c r="G29" s="792"/>
      <c r="H29" s="788"/>
      <c r="P29" s="765">
        <v>44000</v>
      </c>
      <c r="Q29" s="767" t="s">
        <v>73</v>
      </c>
      <c r="R29" s="425"/>
      <c r="S29" s="425"/>
      <c r="T29" s="425"/>
      <c r="U29" s="425"/>
      <c r="V29" s="425"/>
      <c r="W29" s="425"/>
      <c r="X29" s="990">
        <f t="shared" si="8"/>
        <v>0</v>
      </c>
    </row>
    <row r="30" spans="1:24">
      <c r="A30" s="788"/>
      <c r="B30" s="790"/>
      <c r="C30" s="793"/>
      <c r="D30" s="788"/>
      <c r="E30" s="789"/>
      <c r="F30" s="788"/>
      <c r="G30" s="790"/>
      <c r="H30" s="788"/>
      <c r="P30" s="765">
        <v>44300</v>
      </c>
      <c r="Q30" s="767" t="s">
        <v>75</v>
      </c>
      <c r="R30" s="425"/>
      <c r="S30" s="425"/>
      <c r="T30" s="425"/>
      <c r="U30" s="425"/>
      <c r="V30" s="425"/>
      <c r="W30" s="425"/>
      <c r="X30" s="990">
        <f t="shared" si="8"/>
        <v>0</v>
      </c>
    </row>
    <row r="31" spans="1:24" ht="15.75" thickBot="1">
      <c r="A31" s="877" t="s">
        <v>1877</v>
      </c>
      <c r="B31" s="878">
        <f>B28*B29</f>
        <v>122016.3864</v>
      </c>
      <c r="C31" s="878">
        <f>C28*C29</f>
        <v>7222.5517</v>
      </c>
      <c r="D31" s="879">
        <f>B31+C31</f>
        <v>129238.9381</v>
      </c>
      <c r="E31" s="880" t="s">
        <v>1700</v>
      </c>
      <c r="F31" s="1039">
        <f>D31+'Pro forma Adj'!D57</f>
        <v>355885.48690000002</v>
      </c>
      <c r="G31" s="788"/>
      <c r="H31" s="788"/>
      <c r="P31" s="765">
        <v>44500</v>
      </c>
      <c r="Q31" s="767" t="s">
        <v>1709</v>
      </c>
      <c r="R31" s="425"/>
      <c r="S31" s="425"/>
      <c r="T31" s="425"/>
      <c r="U31" s="425"/>
      <c r="V31" s="425"/>
      <c r="W31" s="425"/>
      <c r="X31" s="990">
        <f t="shared" si="8"/>
        <v>0</v>
      </c>
    </row>
    <row r="32" spans="1:24">
      <c r="A32" s="788"/>
      <c r="B32" s="792"/>
      <c r="C32" s="779"/>
      <c r="D32" s="788"/>
      <c r="E32" s="789"/>
      <c r="F32" s="788"/>
      <c r="G32" s="792"/>
      <c r="H32" s="788"/>
      <c r="P32" s="768">
        <v>45300</v>
      </c>
      <c r="Q32" s="767" t="s">
        <v>83</v>
      </c>
      <c r="R32" s="425"/>
      <c r="S32" s="425"/>
      <c r="T32" s="425"/>
      <c r="U32" s="425"/>
      <c r="V32" s="425"/>
      <c r="W32" s="425"/>
      <c r="X32" s="990">
        <f t="shared" si="8"/>
        <v>0</v>
      </c>
    </row>
    <row r="33" spans="1:24">
      <c r="A33" s="786"/>
      <c r="B33" s="873" t="s">
        <v>295</v>
      </c>
      <c r="C33" s="872" t="s">
        <v>1873</v>
      </c>
      <c r="D33" s="787"/>
      <c r="E33" s="789"/>
      <c r="F33" s="788"/>
      <c r="G33" s="788"/>
      <c r="H33" s="788"/>
      <c r="P33" s="765">
        <v>45400</v>
      </c>
      <c r="Q33" s="767" t="s">
        <v>88</v>
      </c>
      <c r="R33" s="425"/>
      <c r="S33" s="425"/>
      <c r="T33" s="425"/>
      <c r="U33" s="425"/>
      <c r="V33" s="425"/>
      <c r="W33" s="425"/>
      <c r="X33" s="990">
        <f t="shared" si="8"/>
        <v>0</v>
      </c>
    </row>
    <row r="34" spans="1:24" ht="30">
      <c r="A34" s="837" t="s">
        <v>1878</v>
      </c>
      <c r="B34" s="876">
        <f>SUM('Disposal (C)'!B9:D9)+'Disposal (C)'!P26</f>
        <v>4469.3450000000003</v>
      </c>
      <c r="C34" s="876">
        <f>'Disposal (C)'!Q26</f>
        <v>197.565</v>
      </c>
      <c r="D34" s="1030">
        <f>B34+C34-SUM('Disposal (C)'!B9:D9,'Disposal (C)'!P26,'Disposal (C)'!Q26)</f>
        <v>0</v>
      </c>
      <c r="E34" s="789"/>
      <c r="F34" s="788"/>
      <c r="G34" s="781"/>
      <c r="H34" s="781"/>
      <c r="I34" s="795"/>
      <c r="J34" s="795"/>
      <c r="P34" s="765">
        <v>46100</v>
      </c>
      <c r="Q34" s="767" t="s">
        <v>95</v>
      </c>
      <c r="R34" s="425"/>
      <c r="S34" s="425"/>
      <c r="T34" s="511">
        <f>B78</f>
        <v>-326585.00301694637</v>
      </c>
      <c r="U34" s="425"/>
      <c r="V34" s="425"/>
      <c r="W34" s="425"/>
      <c r="X34" s="990">
        <f t="shared" si="8"/>
        <v>-326585.00301694637</v>
      </c>
    </row>
    <row r="35" spans="1:24">
      <c r="A35" s="837" t="s">
        <v>1875</v>
      </c>
      <c r="B35" s="874">
        <v>6.96</v>
      </c>
      <c r="C35" s="875">
        <v>4.8099999999999996</v>
      </c>
      <c r="D35" s="786" t="s">
        <v>1876</v>
      </c>
      <c r="E35" s="789"/>
      <c r="F35" s="788"/>
      <c r="G35" s="781"/>
      <c r="H35" s="781"/>
      <c r="I35" s="795"/>
      <c r="J35" s="795"/>
      <c r="P35" s="765">
        <v>46130</v>
      </c>
      <c r="Q35" s="767" t="s">
        <v>93</v>
      </c>
      <c r="R35" s="992"/>
      <c r="S35" s="992"/>
      <c r="T35" s="992"/>
      <c r="U35" s="992"/>
      <c r="V35" s="992"/>
      <c r="W35" s="992"/>
      <c r="X35" s="990">
        <f t="shared" si="8"/>
        <v>0</v>
      </c>
    </row>
    <row r="36" spans="1:24" s="773" customFormat="1">
      <c r="A36" s="788"/>
      <c r="B36" s="790"/>
      <c r="C36" s="793"/>
      <c r="D36" s="788"/>
      <c r="E36" s="794"/>
      <c r="F36" s="786"/>
      <c r="G36" s="796"/>
      <c r="H36" s="796"/>
      <c r="I36" s="797"/>
      <c r="J36" s="797"/>
      <c r="P36" s="765">
        <v>46200</v>
      </c>
      <c r="Q36" s="767" t="s">
        <v>106</v>
      </c>
      <c r="R36" s="425"/>
      <c r="S36" s="425"/>
      <c r="T36" s="425"/>
      <c r="U36" s="425"/>
      <c r="V36" s="425"/>
      <c r="W36" s="425"/>
      <c r="X36" s="990">
        <f t="shared" si="8"/>
        <v>0</v>
      </c>
    </row>
    <row r="37" spans="1:24" ht="15.75" thickBot="1">
      <c r="A37" s="877" t="s">
        <v>1879</v>
      </c>
      <c r="B37" s="878">
        <f>B34*B35</f>
        <v>31106.641200000002</v>
      </c>
      <c r="C37" s="878">
        <f>C34*C35</f>
        <v>950.28764999999987</v>
      </c>
      <c r="D37" s="879">
        <f>B37+C37</f>
        <v>32056.92885</v>
      </c>
      <c r="E37" s="880" t="s">
        <v>1700</v>
      </c>
      <c r="F37" s="1039">
        <f>D37+'Pro forma Adj'!D63</f>
        <v>89953.126850000001</v>
      </c>
      <c r="G37" s="781"/>
      <c r="H37" s="781"/>
      <c r="I37" s="795"/>
      <c r="J37" s="795"/>
      <c r="P37" s="765">
        <v>46300</v>
      </c>
      <c r="Q37" s="767" t="s">
        <v>108</v>
      </c>
      <c r="R37" s="425"/>
      <c r="S37" s="425"/>
      <c r="T37" s="425"/>
      <c r="U37" s="425"/>
      <c r="V37" s="425"/>
      <c r="W37" s="425"/>
      <c r="X37" s="990">
        <f t="shared" si="8"/>
        <v>0</v>
      </c>
    </row>
    <row r="38" spans="1:24">
      <c r="A38" s="788"/>
      <c r="B38" s="779"/>
      <c r="C38" s="779"/>
      <c r="D38" s="779"/>
      <c r="E38" s="794"/>
      <c r="F38" s="788"/>
      <c r="G38" s="781"/>
      <c r="H38" s="781"/>
      <c r="I38" s="795"/>
      <c r="J38" s="795"/>
      <c r="P38" s="765">
        <v>46400</v>
      </c>
      <c r="Q38" s="767" t="s">
        <v>46</v>
      </c>
      <c r="R38" s="425"/>
      <c r="S38" s="425"/>
      <c r="T38" s="425"/>
      <c r="U38" s="425"/>
      <c r="V38" s="425"/>
      <c r="W38" s="425"/>
      <c r="X38" s="990">
        <f t="shared" si="8"/>
        <v>0</v>
      </c>
    </row>
    <row r="39" spans="1:24" ht="15.75" thickBot="1">
      <c r="A39" s="786"/>
      <c r="B39" s="779"/>
      <c r="C39" s="779"/>
      <c r="D39" s="879">
        <f>D31+D37</f>
        <v>161295.86695</v>
      </c>
      <c r="E39" s="880" t="s">
        <v>1700</v>
      </c>
      <c r="F39" s="788"/>
      <c r="G39" s="781"/>
      <c r="H39" s="781"/>
      <c r="I39" s="795"/>
      <c r="J39" s="795"/>
      <c r="P39" s="765">
        <v>46410</v>
      </c>
      <c r="Q39" s="767" t="s">
        <v>109</v>
      </c>
      <c r="R39" s="425"/>
      <c r="S39" s="425"/>
      <c r="T39" s="425"/>
      <c r="U39" s="425"/>
      <c r="V39" s="425"/>
      <c r="W39" s="425"/>
      <c r="X39" s="990">
        <f t="shared" si="8"/>
        <v>0</v>
      </c>
    </row>
    <row r="40" spans="1:24">
      <c r="A40" s="788"/>
      <c r="B40" s="798"/>
      <c r="C40" s="798"/>
      <c r="D40" s="799"/>
      <c r="E40" s="794"/>
      <c r="F40" s="788"/>
      <c r="G40" s="796"/>
      <c r="H40" s="781"/>
      <c r="I40" s="795"/>
      <c r="J40" s="795"/>
      <c r="P40" s="765">
        <v>46500</v>
      </c>
      <c r="Q40" s="767" t="s">
        <v>113</v>
      </c>
      <c r="R40" s="425"/>
      <c r="S40" s="425"/>
      <c r="T40" s="425"/>
      <c r="U40" s="425"/>
      <c r="V40" s="425"/>
      <c r="W40" s="425"/>
      <c r="X40" s="990">
        <f t="shared" si="8"/>
        <v>0</v>
      </c>
    </row>
    <row r="41" spans="1:24">
      <c r="A41" s="788"/>
      <c r="B41" s="798"/>
      <c r="C41" s="800"/>
      <c r="D41" s="799"/>
      <c r="E41" s="794"/>
      <c r="F41" s="788"/>
      <c r="G41" s="788"/>
      <c r="H41" s="788"/>
      <c r="P41" s="765">
        <v>46510</v>
      </c>
      <c r="Q41" s="767" t="s">
        <v>114</v>
      </c>
      <c r="R41" s="425"/>
      <c r="S41" s="425"/>
      <c r="T41" s="425"/>
      <c r="U41" s="425"/>
      <c r="V41" s="425"/>
      <c r="W41" s="425"/>
      <c r="X41" s="990">
        <f t="shared" si="8"/>
        <v>0</v>
      </c>
    </row>
    <row r="42" spans="1:24">
      <c r="A42" s="777"/>
      <c r="B42" s="777"/>
      <c r="C42" s="777"/>
      <c r="D42" s="777"/>
      <c r="E42" s="778"/>
      <c r="F42" s="777"/>
      <c r="G42" s="777"/>
      <c r="H42" s="777"/>
      <c r="I42" s="777"/>
      <c r="J42" s="777"/>
      <c r="K42" s="777"/>
      <c r="L42" s="777"/>
      <c r="P42" s="765">
        <v>46700</v>
      </c>
      <c r="Q42" s="767" t="s">
        <v>1710</v>
      </c>
      <c r="R42" s="425"/>
      <c r="S42" s="425"/>
      <c r="T42" s="425"/>
      <c r="U42" s="425"/>
      <c r="V42" s="511">
        <f>C68</f>
        <v>-7988.6799999998766</v>
      </c>
      <c r="W42" s="425"/>
      <c r="X42" s="990">
        <f t="shared" si="8"/>
        <v>-7988.6799999998766</v>
      </c>
    </row>
    <row r="43" spans="1:24">
      <c r="A43" s="788"/>
      <c r="B43" s="788"/>
      <c r="C43" s="788"/>
      <c r="D43" s="788"/>
      <c r="E43" s="789"/>
      <c r="F43" s="788"/>
      <c r="G43" s="788"/>
      <c r="H43" s="788"/>
      <c r="I43" s="788"/>
      <c r="J43" s="788"/>
      <c r="K43" s="788"/>
      <c r="L43" s="788"/>
      <c r="P43" s="765">
        <v>46900</v>
      </c>
      <c r="Q43" s="767" t="s">
        <v>142</v>
      </c>
      <c r="R43" s="425"/>
      <c r="S43" s="425"/>
      <c r="T43" s="425"/>
      <c r="U43" s="425"/>
      <c r="V43" s="425"/>
      <c r="W43" s="425"/>
      <c r="X43" s="990">
        <f t="shared" si="8"/>
        <v>0</v>
      </c>
    </row>
    <row r="44" spans="1:24">
      <c r="A44" s="804" t="s">
        <v>1724</v>
      </c>
      <c r="B44" s="805">
        <v>2180</v>
      </c>
      <c r="C44" s="805">
        <v>2182</v>
      </c>
      <c r="D44" s="805" t="s">
        <v>13</v>
      </c>
      <c r="E44" s="802"/>
      <c r="F44" s="773"/>
      <c r="G44" s="773"/>
      <c r="H44" s="773"/>
      <c r="I44" s="786"/>
      <c r="J44" s="786"/>
      <c r="K44" s="773"/>
      <c r="L44" s="773"/>
      <c r="P44" s="765">
        <v>51260</v>
      </c>
      <c r="Q44" s="767" t="s">
        <v>143</v>
      </c>
      <c r="R44" s="425"/>
      <c r="S44" s="425"/>
      <c r="T44" s="425"/>
      <c r="U44" s="425"/>
      <c r="V44" s="425"/>
      <c r="W44" s="425"/>
      <c r="X44" s="990">
        <f t="shared" si="8"/>
        <v>0</v>
      </c>
    </row>
    <row r="45" spans="1:24">
      <c r="A45" s="804"/>
      <c r="B45" s="805"/>
      <c r="C45" s="805"/>
      <c r="D45" s="773"/>
      <c r="E45" s="802"/>
      <c r="F45" s="773"/>
      <c r="G45" s="773"/>
      <c r="H45" s="773"/>
      <c r="I45" s="786"/>
      <c r="J45" s="786"/>
      <c r="K45" s="773"/>
      <c r="L45" s="773"/>
      <c r="P45" s="765">
        <v>54260</v>
      </c>
      <c r="Q45" s="767" t="s">
        <v>144</v>
      </c>
      <c r="R45" s="425"/>
      <c r="S45" s="425"/>
      <c r="T45" s="425"/>
      <c r="U45" s="425"/>
      <c r="V45" s="425"/>
      <c r="W45" s="425"/>
      <c r="X45" s="990">
        <f t="shared" si="8"/>
        <v>0</v>
      </c>
    </row>
    <row r="46" spans="1:24">
      <c r="A46" s="774" t="s">
        <v>1725</v>
      </c>
      <c r="B46" s="795">
        <f>Payroll!L155</f>
        <v>67133.119999999981</v>
      </c>
      <c r="C46" s="795">
        <f>'[48]2018 Pierce Payroll'!$L$21</f>
        <v>152140.90000000002</v>
      </c>
      <c r="D46" s="806">
        <f>SUM(B46:C46)</f>
        <v>219274.02000000002</v>
      </c>
      <c r="E46" s="803"/>
      <c r="P46" s="765"/>
      <c r="Q46" s="767" t="s">
        <v>145</v>
      </c>
      <c r="R46" s="425"/>
      <c r="S46" s="425"/>
      <c r="T46" s="425"/>
      <c r="U46" s="425"/>
      <c r="V46" s="425"/>
      <c r="W46" s="425"/>
      <c r="X46" s="990">
        <f t="shared" si="8"/>
        <v>0</v>
      </c>
    </row>
    <row r="47" spans="1:24">
      <c r="A47" s="774" t="s">
        <v>1726</v>
      </c>
      <c r="B47" s="807">
        <f>'[48]JE Query - Drivers HC'!$J$1015</f>
        <v>0.69333400620173535</v>
      </c>
      <c r="C47" s="807">
        <f>'[48]JE Query - Drivers HC'!$J$1014</f>
        <v>0.30666599379826454</v>
      </c>
      <c r="E47" s="803"/>
      <c r="P47" s="765">
        <v>57260</v>
      </c>
      <c r="Q47" s="767" t="s">
        <v>146</v>
      </c>
      <c r="R47" s="425"/>
      <c r="S47" s="425"/>
      <c r="T47" s="425"/>
      <c r="U47" s="425"/>
      <c r="V47" s="425"/>
      <c r="W47" s="425"/>
      <c r="X47" s="990">
        <f t="shared" si="8"/>
        <v>0</v>
      </c>
    </row>
    <row r="48" spans="1:24">
      <c r="A48" s="774" t="s">
        <v>1727</v>
      </c>
      <c r="B48" s="808">
        <f>D46*B47</f>
        <v>152030.13474255946</v>
      </c>
      <c r="C48" s="809">
        <f>D46*C47</f>
        <v>67243.885257440546</v>
      </c>
      <c r="E48" s="803"/>
      <c r="P48" s="765">
        <v>70260</v>
      </c>
      <c r="Q48" s="767" t="s">
        <v>147</v>
      </c>
      <c r="R48" s="425"/>
      <c r="S48" s="425"/>
      <c r="T48" s="425"/>
      <c r="U48" s="425"/>
      <c r="V48" s="425"/>
      <c r="W48" s="425"/>
      <c r="X48" s="990">
        <f t="shared" si="8"/>
        <v>0</v>
      </c>
    </row>
    <row r="49" spans="1:24">
      <c r="A49" s="810" t="s">
        <v>1728</v>
      </c>
      <c r="B49" s="797">
        <f>B48-B46</f>
        <v>84897.014742559477</v>
      </c>
      <c r="C49" s="797">
        <f>C48-C46</f>
        <v>-84897.014742559477</v>
      </c>
      <c r="E49" s="776"/>
      <c r="P49" s="765"/>
      <c r="Q49" s="767" t="s">
        <v>1711</v>
      </c>
      <c r="R49" s="425"/>
      <c r="S49" s="425"/>
      <c r="T49" s="425"/>
      <c r="U49" s="425"/>
      <c r="V49" s="425"/>
      <c r="W49" s="425"/>
      <c r="X49" s="990">
        <f t="shared" si="8"/>
        <v>0</v>
      </c>
    </row>
    <row r="50" spans="1:24" s="773" customFormat="1">
      <c r="A50" s="774"/>
      <c r="B50" s="993" t="s">
        <v>1702</v>
      </c>
      <c r="C50" s="774"/>
      <c r="D50" s="774"/>
      <c r="E50" s="776"/>
      <c r="F50" s="774"/>
      <c r="G50" s="774"/>
      <c r="H50" s="774"/>
      <c r="I50" s="774"/>
      <c r="J50" s="774"/>
      <c r="K50" s="774"/>
      <c r="L50" s="774"/>
      <c r="P50" s="765"/>
      <c r="Q50" s="767" t="s">
        <v>1712</v>
      </c>
      <c r="R50" s="425"/>
      <c r="S50" s="425"/>
      <c r="T50" s="425"/>
      <c r="U50" s="425"/>
      <c r="V50" s="425"/>
      <c r="W50" s="425"/>
      <c r="X50" s="990">
        <f t="shared" si="8"/>
        <v>0</v>
      </c>
    </row>
    <row r="51" spans="1:24">
      <c r="B51" s="795"/>
      <c r="C51" s="776"/>
      <c r="P51" s="765">
        <v>52000</v>
      </c>
      <c r="Q51" s="767" t="s">
        <v>1713</v>
      </c>
      <c r="R51" s="425"/>
      <c r="S51" s="425"/>
      <c r="T51" s="425"/>
      <c r="U51" s="425"/>
      <c r="V51" s="425"/>
      <c r="W51" s="425"/>
      <c r="X51" s="990">
        <f t="shared" si="8"/>
        <v>0</v>
      </c>
    </row>
    <row r="52" spans="1:24" ht="36.75" customHeight="1">
      <c r="A52" s="1545" t="s">
        <v>1729</v>
      </c>
      <c r="B52" s="1545"/>
      <c r="C52" s="1545"/>
      <c r="D52" s="1545"/>
      <c r="E52" s="1545"/>
      <c r="F52" s="1545"/>
      <c r="G52" s="1545"/>
      <c r="H52" s="1545"/>
      <c r="I52" s="1545"/>
      <c r="J52" s="1545"/>
      <c r="K52" s="1545"/>
      <c r="L52" s="1545"/>
      <c r="P52" s="765">
        <v>52030</v>
      </c>
      <c r="Q52" s="767" t="s">
        <v>154</v>
      </c>
      <c r="R52" s="425"/>
      <c r="S52" s="425"/>
      <c r="T52" s="425"/>
      <c r="U52" s="425"/>
      <c r="V52" s="425"/>
      <c r="W52" s="425"/>
      <c r="X52" s="990">
        <f t="shared" si="8"/>
        <v>0</v>
      </c>
    </row>
    <row r="53" spans="1:24">
      <c r="P53" s="765">
        <v>52200</v>
      </c>
      <c r="Q53" s="767" t="s">
        <v>156</v>
      </c>
      <c r="R53" s="425"/>
      <c r="S53" s="425"/>
      <c r="T53" s="425"/>
      <c r="U53" s="425"/>
      <c r="V53" s="425"/>
      <c r="W53" s="425"/>
      <c r="X53" s="990">
        <f t="shared" si="8"/>
        <v>0</v>
      </c>
    </row>
    <row r="54" spans="1:24">
      <c r="A54" s="777"/>
      <c r="B54" s="777"/>
      <c r="C54" s="777"/>
      <c r="D54" s="777"/>
      <c r="E54" s="778"/>
      <c r="F54" s="777"/>
      <c r="G54" s="777"/>
      <c r="H54" s="777"/>
      <c r="I54" s="777"/>
      <c r="J54" s="777"/>
      <c r="K54" s="777"/>
      <c r="L54" s="777"/>
      <c r="P54" s="768">
        <v>52700</v>
      </c>
      <c r="Q54" s="767" t="s">
        <v>1714</v>
      </c>
      <c r="R54" s="425"/>
      <c r="S54" s="425"/>
      <c r="T54" s="425"/>
      <c r="U54" s="425"/>
      <c r="V54" s="425"/>
      <c r="W54" s="425"/>
      <c r="X54" s="990">
        <f t="shared" si="8"/>
        <v>0</v>
      </c>
    </row>
    <row r="55" spans="1:24">
      <c r="A55" s="1068" t="s">
        <v>2393</v>
      </c>
      <c r="B55" s="801">
        <v>2180</v>
      </c>
      <c r="C55" s="812" t="s">
        <v>356</v>
      </c>
      <c r="D55" s="801"/>
      <c r="I55" s="788"/>
      <c r="J55" s="788"/>
      <c r="P55" s="765">
        <v>53200</v>
      </c>
      <c r="Q55" s="767" t="s">
        <v>160</v>
      </c>
      <c r="R55" s="425"/>
      <c r="S55" s="425"/>
      <c r="T55" s="425"/>
      <c r="U55" s="425"/>
      <c r="V55" s="425"/>
      <c r="W55" s="425"/>
      <c r="X55" s="990">
        <f t="shared" si="8"/>
        <v>0</v>
      </c>
    </row>
    <row r="56" spans="1:24">
      <c r="A56" s="813" t="s">
        <v>334</v>
      </c>
      <c r="B56" s="814">
        <f>VLOOKUP(C56,'2180_BS 11-2018'!D:P,13)</f>
        <v>3627980.82</v>
      </c>
      <c r="C56" s="815">
        <v>11902</v>
      </c>
      <c r="D56" s="776"/>
      <c r="P56" s="765">
        <v>70148</v>
      </c>
      <c r="Q56" s="767" t="s">
        <v>705</v>
      </c>
      <c r="R56" s="425"/>
      <c r="S56" s="425"/>
      <c r="T56" s="425"/>
      <c r="U56" s="425"/>
      <c r="V56" s="425"/>
      <c r="W56" s="425"/>
      <c r="X56" s="990">
        <f t="shared" si="8"/>
        <v>0</v>
      </c>
    </row>
    <row r="57" spans="1:24">
      <c r="A57" s="813" t="s">
        <v>335</v>
      </c>
      <c r="B57" s="1067">
        <f>VLOOKUP(C56,'2180_BS 11-2019'!D:P,13,FALSE)</f>
        <v>3882956.94</v>
      </c>
      <c r="C57" s="816"/>
      <c r="P57" s="765">
        <v>70149</v>
      </c>
      <c r="Q57" s="767" t="s">
        <v>355</v>
      </c>
      <c r="R57" s="425"/>
      <c r="S57" s="425"/>
      <c r="T57" s="425"/>
      <c r="U57" s="425"/>
      <c r="V57" s="425"/>
      <c r="W57" s="425"/>
      <c r="X57" s="990">
        <f t="shared" si="8"/>
        <v>0</v>
      </c>
    </row>
    <row r="58" spans="1:24">
      <c r="A58" s="813" t="s">
        <v>336</v>
      </c>
      <c r="B58" s="816">
        <f>B57-B56</f>
        <v>254976.12000000011</v>
      </c>
      <c r="C58" s="816"/>
      <c r="P58" s="765">
        <v>70269</v>
      </c>
      <c r="Q58" s="767" t="s">
        <v>148</v>
      </c>
      <c r="R58" s="991"/>
      <c r="S58" s="991"/>
      <c r="T58" s="991"/>
      <c r="U58" s="991"/>
      <c r="V58" s="991"/>
      <c r="W58" s="991"/>
      <c r="X58" s="1124">
        <f t="shared" si="8"/>
        <v>0</v>
      </c>
    </row>
    <row r="59" spans="1:24">
      <c r="A59" s="813" t="s">
        <v>337</v>
      </c>
      <c r="B59" s="816"/>
      <c r="C59" s="816"/>
      <c r="P59" s="770"/>
      <c r="Q59" s="771"/>
      <c r="R59" s="192">
        <f>SUM(R26:R58)</f>
        <v>0</v>
      </c>
      <c r="S59" s="192">
        <f>SUM(S26:S58)</f>
        <v>161295.86695</v>
      </c>
      <c r="T59" s="192">
        <f t="shared" ref="T59:W59" si="9">SUM(T20:T58)</f>
        <v>-326585.00301694637</v>
      </c>
      <c r="U59" s="192">
        <f t="shared" ref="U59" si="10">SUM(U20:U58)</f>
        <v>84897.014742559477</v>
      </c>
      <c r="V59" s="192">
        <f t="shared" si="9"/>
        <v>-7988.6799999998766</v>
      </c>
      <c r="W59" s="192">
        <f t="shared" si="9"/>
        <v>0</v>
      </c>
      <c r="X59" s="195">
        <f t="shared" si="8"/>
        <v>-88380.801324386775</v>
      </c>
    </row>
    <row r="60" spans="1:24">
      <c r="A60" s="813" t="s">
        <v>334</v>
      </c>
      <c r="B60" s="814">
        <f>-VLOOKUP(C60,'2180_BS 11-2018'!D:P,13)</f>
        <v>1713874.2</v>
      </c>
      <c r="C60" s="815">
        <v>11903</v>
      </c>
      <c r="R60" s="795"/>
      <c r="S60" s="795"/>
      <c r="T60" s="795"/>
      <c r="U60" s="795"/>
      <c r="V60" s="795"/>
      <c r="W60" s="795"/>
      <c r="X60" s="795"/>
    </row>
    <row r="61" spans="1:24">
      <c r="A61" s="813" t="s">
        <v>335</v>
      </c>
      <c r="B61" s="1067">
        <f>-VLOOKUP(C60,'2180_BS 11-2019'!D:P,13,FALSE)</f>
        <v>1869946.93</v>
      </c>
      <c r="C61" s="816"/>
    </row>
    <row r="62" spans="1:24" s="788" customFormat="1">
      <c r="A62" s="813" t="s">
        <v>338</v>
      </c>
      <c r="B62" s="816">
        <f>B61-B60</f>
        <v>156072.72999999998</v>
      </c>
      <c r="C62" s="816"/>
      <c r="D62" s="774"/>
      <c r="E62" s="775"/>
      <c r="F62" s="774"/>
      <c r="G62" s="774"/>
      <c r="H62" s="774"/>
      <c r="I62" s="774"/>
      <c r="J62" s="774"/>
      <c r="K62" s="774"/>
      <c r="L62" s="774"/>
      <c r="P62" s="774"/>
      <c r="Q62" s="774"/>
      <c r="R62" s="774"/>
      <c r="S62" s="774"/>
      <c r="T62" s="774"/>
      <c r="U62" s="774"/>
      <c r="V62" s="774"/>
      <c r="W62" s="774"/>
      <c r="X62" s="774"/>
    </row>
    <row r="63" spans="1:24" s="773" customFormat="1">
      <c r="A63" s="813"/>
      <c r="B63" s="816"/>
      <c r="C63" s="816"/>
      <c r="D63" s="774"/>
      <c r="E63" s="775"/>
      <c r="F63" s="774"/>
      <c r="G63" s="774"/>
      <c r="H63" s="774"/>
      <c r="I63" s="774"/>
      <c r="J63" s="774"/>
      <c r="K63" s="774"/>
      <c r="L63" s="774"/>
      <c r="P63" s="774"/>
      <c r="Q63" s="774"/>
      <c r="R63" s="774"/>
      <c r="S63" s="774"/>
      <c r="T63" s="774"/>
      <c r="U63" s="774"/>
      <c r="V63" s="774"/>
      <c r="W63" s="774"/>
      <c r="X63" s="774"/>
    </row>
    <row r="64" spans="1:24" s="773" customFormat="1">
      <c r="A64" s="813" t="s">
        <v>339</v>
      </c>
      <c r="B64" s="816">
        <f>B58-B62</f>
        <v>98903.39000000013</v>
      </c>
      <c r="C64" s="816"/>
      <c r="D64" s="774"/>
      <c r="E64" s="775"/>
      <c r="F64" s="774"/>
      <c r="G64" s="774"/>
      <c r="H64" s="774"/>
      <c r="I64" s="774"/>
      <c r="J64" s="774"/>
      <c r="K64" s="774"/>
      <c r="L64" s="774"/>
    </row>
    <row r="65" spans="1:12">
      <c r="A65" s="813"/>
      <c r="B65" s="816"/>
      <c r="C65" s="816"/>
    </row>
    <row r="66" spans="1:12">
      <c r="A66" s="813" t="s">
        <v>340</v>
      </c>
      <c r="B66" s="816">
        <f>'Converted IS (C)'!C217</f>
        <v>106892.07</v>
      </c>
      <c r="C66" s="816"/>
    </row>
    <row r="67" spans="1:12">
      <c r="A67" s="813"/>
      <c r="B67" s="816"/>
      <c r="C67" s="816"/>
    </row>
    <row r="68" spans="1:12">
      <c r="A68" s="811" t="s">
        <v>341</v>
      </c>
      <c r="B68" s="817"/>
      <c r="C68" s="818">
        <f>B64-B66</f>
        <v>-7988.6799999998766</v>
      </c>
      <c r="D68" s="1123" t="s">
        <v>1703</v>
      </c>
      <c r="E68" s="789"/>
    </row>
    <row r="69" spans="1:12">
      <c r="A69" s="811"/>
      <c r="B69" s="817"/>
      <c r="C69" s="819"/>
    </row>
    <row r="70" spans="1:12">
      <c r="A70" s="777"/>
      <c r="B70" s="777"/>
      <c r="C70" s="777"/>
      <c r="D70" s="777"/>
      <c r="E70" s="778"/>
      <c r="F70" s="777"/>
      <c r="G70" s="777"/>
      <c r="H70" s="777"/>
      <c r="I70" s="777"/>
      <c r="J70" s="777"/>
      <c r="K70" s="777"/>
      <c r="L70" s="777"/>
    </row>
    <row r="71" spans="1:12" ht="24.75" customHeight="1">
      <c r="A71" s="1121" t="s">
        <v>2355</v>
      </c>
      <c r="B71" s="1004">
        <v>2180</v>
      </c>
      <c r="C71" s="1004">
        <v>2182</v>
      </c>
      <c r="D71" s="1004" t="s">
        <v>13</v>
      </c>
      <c r="E71" s="789"/>
      <c r="F71" s="788"/>
      <c r="G71" s="788"/>
      <c r="H71" s="788"/>
      <c r="I71" s="788"/>
      <c r="J71" s="788"/>
      <c r="K71" s="788"/>
      <c r="L71" s="788"/>
    </row>
    <row r="72" spans="1:12">
      <c r="A72" s="788" t="s">
        <v>166</v>
      </c>
      <c r="B72" s="781">
        <f>+'Converted IS (C)'!C26</f>
        <v>62680403.829999998</v>
      </c>
      <c r="C72" s="781">
        <f>+'Converted IS (C)'!D26</f>
        <v>11705306.640000001</v>
      </c>
      <c r="D72" s="781">
        <f>+SUM(B72:C72)</f>
        <v>74385710.469999999</v>
      </c>
      <c r="E72" s="789"/>
      <c r="F72" s="788"/>
      <c r="G72" s="788"/>
      <c r="H72" s="788"/>
      <c r="I72" s="788"/>
      <c r="J72" s="788"/>
      <c r="K72" s="788"/>
      <c r="L72" s="788"/>
    </row>
    <row r="73" spans="1:12">
      <c r="A73" s="788" t="s">
        <v>2356</v>
      </c>
      <c r="B73" s="823">
        <f>'Corp OH (C)'!E87</f>
        <v>1.8458376881568567E-2</v>
      </c>
      <c r="C73" s="823">
        <f>B73</f>
        <v>1.8458376881568567E-2</v>
      </c>
      <c r="D73" s="824"/>
      <c r="E73" s="789"/>
      <c r="F73" s="788"/>
      <c r="G73" s="788"/>
      <c r="H73" s="788"/>
      <c r="I73" s="788"/>
      <c r="J73" s="788"/>
      <c r="K73" s="788"/>
      <c r="L73" s="788"/>
    </row>
    <row r="74" spans="1:12">
      <c r="A74" s="788" t="s">
        <v>2357</v>
      </c>
      <c r="B74" s="781">
        <f>B72*B73</f>
        <v>1156978.5169830539</v>
      </c>
      <c r="C74" s="781">
        <f>C72*C73</f>
        <v>216060.96147544705</v>
      </c>
      <c r="D74" s="781">
        <f>+SUM(B74:C74)</f>
        <v>1373039.4784585009</v>
      </c>
      <c r="E74" s="789"/>
      <c r="F74" s="788"/>
      <c r="G74" s="788"/>
      <c r="H74" s="788"/>
      <c r="I74" s="788"/>
      <c r="J74" s="788"/>
      <c r="K74" s="788"/>
      <c r="L74" s="788"/>
    </row>
    <row r="75" spans="1:12">
      <c r="A75" s="788"/>
      <c r="B75" s="781"/>
      <c r="C75" s="779"/>
      <c r="D75" s="788"/>
      <c r="E75" s="789"/>
      <c r="F75" s="788"/>
      <c r="G75" s="788"/>
      <c r="H75" s="788"/>
      <c r="I75" s="788"/>
      <c r="J75" s="788"/>
      <c r="K75" s="788"/>
      <c r="L75" s="788"/>
    </row>
    <row r="76" spans="1:12">
      <c r="A76" s="788" t="s">
        <v>318</v>
      </c>
      <c r="B76" s="781">
        <f>'Converted IS (C)'!C169</f>
        <v>1483563.5200000003</v>
      </c>
      <c r="C76" s="781">
        <f>'Converted IS (C)'!D169</f>
        <v>355601.52</v>
      </c>
      <c r="D76" s="781">
        <f>+SUM(B76:C76)</f>
        <v>1839165.0400000003</v>
      </c>
      <c r="E76" s="789"/>
      <c r="F76" s="788"/>
      <c r="G76" s="788"/>
      <c r="H76" s="788"/>
      <c r="I76" s="788"/>
      <c r="J76" s="788"/>
      <c r="K76" s="788"/>
      <c r="L76" s="788"/>
    </row>
    <row r="77" spans="1:12">
      <c r="A77" s="788"/>
      <c r="B77" s="781"/>
      <c r="C77" s="788"/>
      <c r="D77" s="788"/>
      <c r="E77" s="789"/>
      <c r="F77" s="788"/>
      <c r="G77" s="788"/>
      <c r="H77" s="788"/>
      <c r="I77" s="788"/>
      <c r="J77" s="788"/>
      <c r="K77" s="788"/>
      <c r="L77" s="788"/>
    </row>
    <row r="78" spans="1:12" ht="15.75" thickBot="1">
      <c r="A78" s="1005" t="s">
        <v>343</v>
      </c>
      <c r="B78" s="1006">
        <f>B74-B76</f>
        <v>-326585.00301694637</v>
      </c>
      <c r="C78" s="1006">
        <f>C74-C76</f>
        <v>-139540.55852455297</v>
      </c>
      <c r="D78" s="1006">
        <f>+SUM(B78:C78)</f>
        <v>-466125.56154149934</v>
      </c>
      <c r="E78" s="880" t="s">
        <v>1701</v>
      </c>
      <c r="F78" s="788"/>
      <c r="G78" s="788"/>
      <c r="H78" s="788"/>
      <c r="I78" s="788"/>
      <c r="J78" s="788"/>
      <c r="K78" s="788"/>
      <c r="L78" s="788"/>
    </row>
    <row r="79" spans="1:12">
      <c r="A79" s="788"/>
      <c r="B79" s="788"/>
      <c r="C79" s="788"/>
      <c r="D79" s="788"/>
      <c r="E79" s="789"/>
      <c r="F79" s="788"/>
      <c r="G79" s="788"/>
      <c r="H79" s="788"/>
      <c r="I79" s="788"/>
      <c r="J79" s="788"/>
      <c r="K79" s="788"/>
      <c r="L79" s="788"/>
    </row>
    <row r="80" spans="1:12">
      <c r="A80" s="777"/>
      <c r="B80" s="777"/>
      <c r="C80" s="777"/>
      <c r="D80" s="777"/>
      <c r="E80" s="778"/>
      <c r="F80" s="777"/>
      <c r="G80" s="777"/>
      <c r="H80" s="777"/>
      <c r="I80" s="777"/>
      <c r="J80" s="777"/>
      <c r="K80" s="777"/>
      <c r="L80" s="777"/>
    </row>
    <row r="81" spans="1:12">
      <c r="A81" s="811" t="s">
        <v>2387</v>
      </c>
      <c r="B81" s="816">
        <f>B64</f>
        <v>98903.39000000013</v>
      </c>
      <c r="C81" s="816"/>
      <c r="D81" s="816"/>
    </row>
    <row r="82" spans="1:12">
      <c r="A82" s="813"/>
      <c r="B82" s="816"/>
      <c r="C82" s="816"/>
      <c r="D82" s="816"/>
    </row>
    <row r="83" spans="1:12">
      <c r="A83" s="813" t="s">
        <v>166</v>
      </c>
      <c r="B83" s="816">
        <f>SUM('Converted IS (C)'!S9:S17)</f>
        <v>62928886.243749984</v>
      </c>
      <c r="C83" s="816"/>
      <c r="D83" s="816"/>
    </row>
    <row r="84" spans="1:12">
      <c r="A84" s="813"/>
      <c r="B84" s="816"/>
      <c r="C84" s="816"/>
      <c r="D84" s="816"/>
    </row>
    <row r="85" spans="1:12" ht="15.75" thickBot="1">
      <c r="A85" s="1040" t="s">
        <v>346</v>
      </c>
      <c r="B85" s="1041">
        <f>B81/B83</f>
        <v>1.5716691634570774E-3</v>
      </c>
      <c r="C85" s="1042" t="s">
        <v>2388</v>
      </c>
      <c r="D85" s="825"/>
    </row>
    <row r="86" spans="1:12">
      <c r="A86" s="813"/>
      <c r="B86" s="816"/>
      <c r="C86" s="816"/>
      <c r="D86" s="816"/>
    </row>
    <row r="87" spans="1:12">
      <c r="A87" s="826"/>
      <c r="B87" s="827"/>
      <c r="C87" s="827"/>
      <c r="D87" s="827"/>
      <c r="E87" s="778"/>
      <c r="F87" s="777"/>
      <c r="G87" s="777"/>
      <c r="H87" s="777"/>
      <c r="I87" s="777"/>
      <c r="J87" s="777"/>
      <c r="K87" s="777"/>
      <c r="L87" s="777"/>
    </row>
    <row r="89" spans="1:12">
      <c r="A89" s="788"/>
      <c r="B89" s="788"/>
      <c r="C89" s="788"/>
      <c r="D89" s="788"/>
      <c r="E89" s="789"/>
      <c r="F89" s="788"/>
      <c r="G89" s="788"/>
      <c r="H89" s="788"/>
      <c r="I89" s="788"/>
      <c r="J89" s="788"/>
      <c r="K89" s="788"/>
      <c r="L89" s="788"/>
    </row>
    <row r="90" spans="1:12" s="788" customFormat="1">
      <c r="B90" s="787"/>
      <c r="C90" s="787"/>
      <c r="E90" s="789"/>
      <c r="I90" s="786"/>
    </row>
    <row r="91" spans="1:12" s="788" customFormat="1">
      <c r="B91" s="779"/>
      <c r="C91" s="779"/>
      <c r="E91" s="789"/>
    </row>
    <row r="92" spans="1:12" s="788" customFormat="1">
      <c r="E92" s="789"/>
    </row>
    <row r="93" spans="1:12" s="788" customFormat="1">
      <c r="B93" s="793"/>
      <c r="C93" s="793"/>
      <c r="D93" s="820"/>
      <c r="E93" s="789"/>
    </row>
    <row r="94" spans="1:12" s="788" customFormat="1">
      <c r="B94" s="793"/>
      <c r="C94" s="793"/>
      <c r="D94" s="821"/>
      <c r="E94" s="789"/>
    </row>
    <row r="95" spans="1:12" s="788" customFormat="1">
      <c r="B95" s="793"/>
      <c r="C95" s="793"/>
      <c r="D95" s="820"/>
      <c r="E95" s="789"/>
    </row>
    <row r="96" spans="1:12" s="788" customFormat="1">
      <c r="B96" s="793"/>
      <c r="C96" s="793"/>
      <c r="D96" s="821"/>
      <c r="E96" s="789"/>
    </row>
    <row r="97" spans="1:12" s="788" customFormat="1">
      <c r="A97" s="786"/>
      <c r="B97" s="822"/>
      <c r="C97" s="822"/>
      <c r="E97" s="789"/>
    </row>
    <row r="98" spans="1:12" s="788" customFormat="1">
      <c r="E98" s="789"/>
    </row>
    <row r="99" spans="1:12">
      <c r="A99" s="788"/>
      <c r="B99" s="788"/>
      <c r="C99" s="788"/>
      <c r="D99" s="788"/>
      <c r="E99" s="789"/>
      <c r="F99" s="788"/>
      <c r="G99" s="788"/>
      <c r="H99" s="788"/>
      <c r="I99" s="788"/>
      <c r="J99" s="788"/>
      <c r="K99" s="788"/>
      <c r="L99" s="788"/>
    </row>
    <row r="100" spans="1:12" s="788" customFormat="1"/>
    <row r="101" spans="1:12" s="788" customFormat="1"/>
    <row r="102" spans="1:12" s="788" customFormat="1"/>
    <row r="103" spans="1:12" s="788" customFormat="1"/>
    <row r="104" spans="1:12" s="788" customFormat="1"/>
    <row r="105" spans="1:12" s="788" customFormat="1"/>
    <row r="106" spans="1:12" s="788" customFormat="1"/>
    <row r="107" spans="1:12" s="788" customFormat="1"/>
    <row r="108" spans="1:12" s="788" customFormat="1"/>
    <row r="109" spans="1:12">
      <c r="A109" s="788"/>
      <c r="B109" s="788"/>
      <c r="C109" s="788"/>
      <c r="D109" s="788"/>
      <c r="E109" s="789"/>
      <c r="F109" s="788"/>
      <c r="G109" s="788"/>
      <c r="H109" s="788"/>
      <c r="I109" s="788"/>
      <c r="J109" s="788"/>
      <c r="K109" s="788"/>
      <c r="L109" s="788"/>
    </row>
    <row r="110" spans="1:12" s="788" customFormat="1">
      <c r="A110" s="786"/>
      <c r="B110" s="787"/>
      <c r="C110" s="787"/>
      <c r="E110" s="789"/>
    </row>
    <row r="111" spans="1:12" s="788" customFormat="1">
      <c r="B111" s="779"/>
      <c r="C111" s="779"/>
      <c r="E111" s="789"/>
    </row>
    <row r="112" spans="1:12" s="788" customFormat="1">
      <c r="B112" s="779"/>
      <c r="C112" s="779"/>
      <c r="E112" s="789"/>
    </row>
    <row r="113" spans="1:12" s="788" customFormat="1">
      <c r="B113" s="779"/>
      <c r="C113" s="779"/>
      <c r="E113" s="789"/>
    </row>
    <row r="114" spans="1:12" s="788" customFormat="1">
      <c r="B114" s="793"/>
      <c r="C114" s="793"/>
      <c r="D114" s="820"/>
      <c r="E114" s="789"/>
    </row>
    <row r="115" spans="1:12" s="788" customFormat="1">
      <c r="E115" s="789"/>
    </row>
    <row r="116" spans="1:12">
      <c r="A116" s="788"/>
      <c r="B116" s="788"/>
      <c r="C116" s="788"/>
      <c r="D116" s="788"/>
      <c r="E116" s="789"/>
      <c r="F116" s="788"/>
      <c r="G116" s="788"/>
      <c r="H116" s="788"/>
      <c r="I116" s="788"/>
      <c r="J116" s="788"/>
      <c r="K116" s="788"/>
      <c r="L116" s="788"/>
    </row>
    <row r="117" spans="1:12" s="788" customFormat="1">
      <c r="A117" s="786"/>
      <c r="B117" s="787"/>
      <c r="C117" s="787"/>
      <c r="D117" s="787"/>
      <c r="E117" s="824"/>
      <c r="I117" s="1120"/>
    </row>
    <row r="118" spans="1:12" s="788" customFormat="1">
      <c r="B118" s="781"/>
      <c r="C118" s="781"/>
      <c r="D118" s="781"/>
      <c r="E118" s="781"/>
      <c r="F118" s="779"/>
      <c r="G118" s="779"/>
    </row>
    <row r="119" spans="1:12" s="788" customFormat="1">
      <c r="B119" s="781"/>
      <c r="C119" s="781"/>
      <c r="D119" s="781"/>
      <c r="E119" s="781"/>
      <c r="F119" s="779"/>
      <c r="G119" s="779"/>
    </row>
    <row r="120" spans="1:12" s="788" customFormat="1">
      <c r="B120" s="781"/>
      <c r="C120" s="781"/>
      <c r="D120" s="781"/>
      <c r="E120" s="781"/>
      <c r="F120" s="779"/>
      <c r="G120" s="779"/>
    </row>
    <row r="121" spans="1:12" s="788" customFormat="1">
      <c r="B121" s="781"/>
      <c r="C121" s="781"/>
      <c r="D121" s="781"/>
      <c r="E121" s="781"/>
      <c r="F121" s="779"/>
      <c r="G121" s="779"/>
    </row>
    <row r="122" spans="1:12" s="788" customFormat="1">
      <c r="B122" s="781"/>
      <c r="C122" s="781"/>
      <c r="D122" s="781"/>
      <c r="E122" s="781"/>
      <c r="F122" s="779"/>
      <c r="G122" s="779"/>
    </row>
    <row r="123" spans="1:12" s="788" customFormat="1">
      <c r="B123" s="781"/>
      <c r="C123" s="781"/>
      <c r="D123" s="781"/>
      <c r="E123" s="781"/>
      <c r="F123" s="779"/>
      <c r="G123" s="779"/>
    </row>
    <row r="124" spans="1:12" s="788" customFormat="1">
      <c r="B124" s="781"/>
      <c r="C124" s="781"/>
      <c r="D124" s="781"/>
      <c r="E124" s="781"/>
      <c r="F124" s="779"/>
      <c r="G124" s="779"/>
    </row>
    <row r="125" spans="1:12" s="788" customFormat="1">
      <c r="B125" s="781"/>
      <c r="C125" s="781"/>
      <c r="D125" s="781"/>
      <c r="E125" s="781"/>
      <c r="F125" s="779"/>
      <c r="G125" s="779"/>
    </row>
    <row r="126" spans="1:12" s="788" customFormat="1">
      <c r="B126" s="781"/>
      <c r="C126" s="781"/>
      <c r="D126" s="781"/>
      <c r="E126" s="781"/>
    </row>
    <row r="127" spans="1:12" s="788" customFormat="1">
      <c r="B127" s="781"/>
      <c r="C127" s="781"/>
      <c r="D127" s="781"/>
      <c r="E127" s="781"/>
    </row>
    <row r="128" spans="1:12" s="788" customFormat="1">
      <c r="B128" s="781"/>
      <c r="C128" s="781"/>
      <c r="D128" s="781"/>
      <c r="E128" s="781"/>
    </row>
    <row r="129" spans="1:12" s="788" customFormat="1">
      <c r="B129" s="796"/>
      <c r="C129" s="796"/>
      <c r="D129" s="796"/>
      <c r="E129" s="796"/>
      <c r="F129" s="798"/>
      <c r="G129" s="800"/>
      <c r="H129" s="799"/>
    </row>
    <row r="130" spans="1:12" s="788" customFormat="1">
      <c r="B130" s="781"/>
      <c r="C130" s="781"/>
      <c r="D130" s="781"/>
      <c r="E130" s="781"/>
    </row>
    <row r="131" spans="1:12" s="788" customFormat="1">
      <c r="C131" s="779"/>
      <c r="D131" s="779"/>
      <c r="E131" s="789"/>
    </row>
    <row r="132" spans="1:12" s="788" customFormat="1">
      <c r="E132" s="789"/>
    </row>
    <row r="133" spans="1:12">
      <c r="A133" s="788"/>
      <c r="B133" s="788"/>
      <c r="C133" s="788"/>
      <c r="D133" s="788"/>
      <c r="E133" s="789"/>
      <c r="F133" s="788"/>
      <c r="G133" s="788"/>
      <c r="H133" s="788"/>
      <c r="I133" s="788"/>
      <c r="J133" s="788"/>
      <c r="K133" s="788"/>
      <c r="L133" s="788"/>
    </row>
    <row r="134" spans="1:12">
      <c r="A134" s="788"/>
      <c r="B134" s="788"/>
      <c r="C134" s="788"/>
      <c r="D134" s="788"/>
      <c r="E134" s="789"/>
      <c r="F134" s="788"/>
      <c r="G134" s="788"/>
      <c r="H134" s="788"/>
      <c r="I134" s="788"/>
      <c r="J134" s="788"/>
      <c r="K134" s="788"/>
      <c r="L134" s="788"/>
    </row>
    <row r="135" spans="1:12">
      <c r="A135" s="788"/>
      <c r="B135" s="788"/>
      <c r="C135" s="788"/>
      <c r="D135" s="788"/>
      <c r="E135" s="789"/>
      <c r="F135" s="788"/>
      <c r="G135" s="788"/>
      <c r="H135" s="788"/>
      <c r="I135" s="788"/>
      <c r="J135" s="788"/>
      <c r="K135" s="788"/>
      <c r="L135" s="788"/>
    </row>
    <row r="136" spans="1:12">
      <c r="A136" s="788"/>
      <c r="B136" s="788"/>
      <c r="C136" s="788"/>
      <c r="D136" s="788"/>
      <c r="E136" s="789"/>
      <c r="F136" s="788"/>
      <c r="G136" s="788"/>
      <c r="H136" s="788"/>
      <c r="I136" s="788"/>
      <c r="J136" s="788"/>
      <c r="K136" s="788"/>
      <c r="L136" s="788"/>
    </row>
    <row r="137" spans="1:12">
      <c r="A137" s="788"/>
      <c r="B137" s="788"/>
      <c r="C137" s="788"/>
      <c r="D137" s="788"/>
      <c r="E137" s="789"/>
      <c r="F137" s="788"/>
      <c r="G137" s="788"/>
      <c r="H137" s="788"/>
      <c r="I137" s="788"/>
      <c r="J137" s="788"/>
      <c r="K137" s="788"/>
      <c r="L137" s="788"/>
    </row>
    <row r="138" spans="1:12">
      <c r="A138" s="788"/>
      <c r="B138" s="788"/>
      <c r="C138" s="788"/>
      <c r="D138" s="788"/>
      <c r="E138" s="789"/>
      <c r="F138" s="788"/>
      <c r="G138" s="788"/>
      <c r="H138" s="788"/>
      <c r="I138" s="788"/>
      <c r="J138" s="788"/>
      <c r="K138" s="788"/>
      <c r="L138" s="788"/>
    </row>
    <row r="139" spans="1:12">
      <c r="A139" s="788"/>
      <c r="B139" s="788"/>
      <c r="C139" s="788"/>
      <c r="D139" s="788"/>
      <c r="E139" s="789"/>
      <c r="F139" s="788"/>
      <c r="G139" s="788"/>
      <c r="H139" s="788"/>
      <c r="I139" s="788"/>
      <c r="J139" s="788"/>
      <c r="K139" s="788"/>
      <c r="L139" s="788"/>
    </row>
    <row r="140" spans="1:12">
      <c r="A140" s="788"/>
      <c r="B140" s="788"/>
      <c r="C140" s="788"/>
      <c r="D140" s="788"/>
      <c r="E140" s="789"/>
      <c r="F140" s="788"/>
      <c r="G140" s="788"/>
      <c r="H140" s="788"/>
      <c r="I140" s="788"/>
      <c r="J140" s="788"/>
      <c r="K140" s="788"/>
      <c r="L140" s="788"/>
    </row>
  </sheetData>
  <customSheetViews>
    <customSheetView guid="{76FC386D-C488-46EF-BB9C-D1C49FEBAB90}" scale="90" showPageBreaks="1" showGridLines="0" printArea="1" topLeftCell="A13">
      <selection activeCell="D37" sqref="D37"/>
      <pageMargins left="0.75" right="0.75" top="1" bottom="1" header="0.5" footer="0.5"/>
      <pageSetup orientation="portrait" r:id="rId1"/>
      <headerFooter alignWithMargins="0"/>
    </customSheetView>
    <customSheetView guid="{16F8EA47-9864-4C0F-89A1-62B7CCC013F9}" scale="90" showGridLines="0">
      <selection activeCell="F83" sqref="F83"/>
      <pageMargins left="0.75" right="0.75" top="1" bottom="1" header="0.5" footer="0.5"/>
      <pageSetup orientation="portrait" r:id="rId2"/>
      <headerFooter alignWithMargins="0"/>
    </customSheetView>
  </customSheetViews>
  <mergeCells count="3">
    <mergeCell ref="B9:K9"/>
    <mergeCell ref="A52:L52"/>
    <mergeCell ref="R8:X8"/>
  </mergeCells>
  <pageMargins left="0.75" right="0.75" top="1" bottom="1" header="0.5" footer="0.5"/>
  <pageSetup scale="54" orientation="landscape" r:id="rId3"/>
  <headerFooter alignWithMargins="0"/>
  <rowBreaks count="1" manualBreakCount="1">
    <brk id="42" max="1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
  <sheetViews>
    <sheetView workbookViewId="0"/>
  </sheetViews>
  <sheetFormatPr defaultRowHeight="15"/>
  <sheetData>
    <row r="1" spans="1:17">
      <c r="A1" t="s">
        <v>1805</v>
      </c>
      <c r="K1" t="s">
        <v>1815</v>
      </c>
      <c r="P1" t="s">
        <v>1818</v>
      </c>
      <c r="Q1" t="s">
        <v>1820</v>
      </c>
    </row>
    <row r="2" spans="1:17">
      <c r="A2" t="s">
        <v>1806</v>
      </c>
      <c r="B2" t="s">
        <v>1807</v>
      </c>
      <c r="C2" t="s">
        <v>1808</v>
      </c>
      <c r="D2" t="s">
        <v>1809</v>
      </c>
      <c r="E2" t="s">
        <v>1810</v>
      </c>
      <c r="F2" t="s">
        <v>1811</v>
      </c>
      <c r="G2" t="s">
        <v>1812</v>
      </c>
      <c r="H2" t="s">
        <v>1813</v>
      </c>
      <c r="I2" t="s">
        <v>1814</v>
      </c>
      <c r="K2" t="s">
        <v>1806</v>
      </c>
      <c r="L2" t="s">
        <v>1816</v>
      </c>
      <c r="M2" t="s">
        <v>1817</v>
      </c>
      <c r="N2" t="s">
        <v>426</v>
      </c>
      <c r="P2" t="s">
        <v>1819</v>
      </c>
    </row>
    <row r="3" spans="1:17">
      <c r="A3" t="s">
        <v>1821</v>
      </c>
      <c r="B3" t="s">
        <v>1822</v>
      </c>
      <c r="C3">
        <v>9</v>
      </c>
      <c r="D3">
        <v>2019</v>
      </c>
      <c r="E3" t="s">
        <v>310</v>
      </c>
      <c r="I3">
        <v>-493282.55</v>
      </c>
    </row>
    <row r="4" spans="1:17">
      <c r="A4" t="s">
        <v>1823</v>
      </c>
      <c r="B4" t="s">
        <v>1822</v>
      </c>
      <c r="C4">
        <v>5</v>
      </c>
      <c r="D4">
        <v>2019</v>
      </c>
      <c r="E4" t="s">
        <v>310</v>
      </c>
      <c r="I4">
        <v>-508117.73</v>
      </c>
    </row>
    <row r="5" spans="1:17">
      <c r="A5" t="s">
        <v>1824</v>
      </c>
      <c r="B5" t="s">
        <v>1822</v>
      </c>
      <c r="C5">
        <v>1</v>
      </c>
      <c r="D5">
        <v>2019</v>
      </c>
      <c r="E5" t="s">
        <v>310</v>
      </c>
      <c r="I5">
        <v>-485320.1</v>
      </c>
    </row>
    <row r="6" spans="1:17">
      <c r="A6" t="s">
        <v>1825</v>
      </c>
      <c r="B6" t="s">
        <v>1826</v>
      </c>
      <c r="C6">
        <v>10</v>
      </c>
      <c r="D6">
        <v>2019</v>
      </c>
      <c r="E6" t="s">
        <v>310</v>
      </c>
      <c r="I6">
        <v>3217.6</v>
      </c>
    </row>
    <row r="7" spans="1:17">
      <c r="A7" t="s">
        <v>1827</v>
      </c>
      <c r="B7" t="s">
        <v>1826</v>
      </c>
      <c r="C7">
        <v>6</v>
      </c>
      <c r="D7">
        <v>2019</v>
      </c>
      <c r="E7" t="s">
        <v>310</v>
      </c>
      <c r="I7">
        <v>1297.5999999999999</v>
      </c>
    </row>
    <row r="8" spans="1:17">
      <c r="A8" t="s">
        <v>1828</v>
      </c>
      <c r="B8" t="s">
        <v>1826</v>
      </c>
      <c r="C8">
        <v>2</v>
      </c>
      <c r="D8">
        <v>2019</v>
      </c>
      <c r="E8" t="s">
        <v>310</v>
      </c>
      <c r="I8">
        <v>1673.12</v>
      </c>
    </row>
    <row r="9" spans="1:17">
      <c r="A9" t="s">
        <v>1829</v>
      </c>
      <c r="B9" t="s">
        <v>1830</v>
      </c>
      <c r="C9">
        <v>8</v>
      </c>
      <c r="D9">
        <v>2019</v>
      </c>
      <c r="E9" t="s">
        <v>310</v>
      </c>
      <c r="I9">
        <v>143539.39000000001</v>
      </c>
    </row>
    <row r="10" spans="1:17">
      <c r="A10" t="s">
        <v>1831</v>
      </c>
      <c r="B10" t="s">
        <v>1830</v>
      </c>
      <c r="C10">
        <v>4</v>
      </c>
      <c r="D10">
        <v>2019</v>
      </c>
      <c r="E10" t="s">
        <v>310</v>
      </c>
      <c r="I10">
        <v>198170.05</v>
      </c>
    </row>
    <row r="11" spans="1:17">
      <c r="A11" t="s">
        <v>1832</v>
      </c>
      <c r="B11" t="s">
        <v>1830</v>
      </c>
      <c r="C11">
        <v>12</v>
      </c>
      <c r="D11">
        <v>2018</v>
      </c>
      <c r="E11" t="s">
        <v>310</v>
      </c>
      <c r="I11">
        <v>168975.03</v>
      </c>
    </row>
    <row r="12" spans="1:17">
      <c r="A12" t="s">
        <v>1833</v>
      </c>
      <c r="B12" t="s">
        <v>1834</v>
      </c>
      <c r="C12">
        <v>11</v>
      </c>
      <c r="D12">
        <v>2019</v>
      </c>
      <c r="E12" t="s">
        <v>310</v>
      </c>
      <c r="I12">
        <v>1947214.83</v>
      </c>
    </row>
    <row r="13" spans="1:17">
      <c r="A13" t="s">
        <v>1835</v>
      </c>
      <c r="B13" t="s">
        <v>1834</v>
      </c>
      <c r="C13">
        <v>7</v>
      </c>
      <c r="D13">
        <v>2019</v>
      </c>
      <c r="E13" t="s">
        <v>310</v>
      </c>
      <c r="I13">
        <v>2140571.17</v>
      </c>
    </row>
    <row r="14" spans="1:17">
      <c r="A14" t="s">
        <v>1836</v>
      </c>
      <c r="B14" t="s">
        <v>1834</v>
      </c>
      <c r="C14">
        <v>3</v>
      </c>
      <c r="D14">
        <v>2019</v>
      </c>
      <c r="E14" t="s">
        <v>310</v>
      </c>
      <c r="I14">
        <v>1922585.53</v>
      </c>
    </row>
    <row r="15" spans="1:17">
      <c r="A15" t="s">
        <v>1837</v>
      </c>
      <c r="B15" t="s">
        <v>1822</v>
      </c>
      <c r="C15">
        <v>8</v>
      </c>
      <c r="D15">
        <v>2019</v>
      </c>
      <c r="E15" t="s">
        <v>310</v>
      </c>
      <c r="I15">
        <v>-512685.58</v>
      </c>
    </row>
    <row r="16" spans="1:17">
      <c r="A16" t="s">
        <v>1838</v>
      </c>
      <c r="B16" t="s">
        <v>1822</v>
      </c>
      <c r="C16">
        <v>4</v>
      </c>
      <c r="D16">
        <v>2019</v>
      </c>
      <c r="E16" t="s">
        <v>310</v>
      </c>
      <c r="I16">
        <v>-508528.58</v>
      </c>
    </row>
    <row r="17" spans="1:9">
      <c r="A17" t="s">
        <v>1839</v>
      </c>
      <c r="B17" t="s">
        <v>1822</v>
      </c>
      <c r="C17">
        <v>12</v>
      </c>
      <c r="D17">
        <v>2018</v>
      </c>
      <c r="E17" t="s">
        <v>310</v>
      </c>
      <c r="I17">
        <v>-417837.75</v>
      </c>
    </row>
    <row r="18" spans="1:9">
      <c r="A18" t="s">
        <v>1840</v>
      </c>
      <c r="B18" t="s">
        <v>1826</v>
      </c>
      <c r="C18">
        <v>9</v>
      </c>
      <c r="D18">
        <v>2019</v>
      </c>
      <c r="E18" t="s">
        <v>310</v>
      </c>
      <c r="I18">
        <v>2292</v>
      </c>
    </row>
    <row r="19" spans="1:9">
      <c r="A19" t="s">
        <v>1841</v>
      </c>
      <c r="B19" t="s">
        <v>1826</v>
      </c>
      <c r="C19">
        <v>5</v>
      </c>
      <c r="D19">
        <v>2019</v>
      </c>
      <c r="E19" t="s">
        <v>310</v>
      </c>
      <c r="I19">
        <v>5051.58</v>
      </c>
    </row>
    <row r="20" spans="1:9">
      <c r="A20" t="s">
        <v>1842</v>
      </c>
      <c r="B20" t="s">
        <v>1826</v>
      </c>
      <c r="C20">
        <v>1</v>
      </c>
      <c r="D20">
        <v>2019</v>
      </c>
      <c r="E20" t="s">
        <v>310</v>
      </c>
      <c r="I20">
        <v>4276.13</v>
      </c>
    </row>
    <row r="21" spans="1:9">
      <c r="A21" t="s">
        <v>1843</v>
      </c>
      <c r="B21" t="s">
        <v>1830</v>
      </c>
      <c r="C21">
        <v>11</v>
      </c>
      <c r="D21">
        <v>2019</v>
      </c>
      <c r="E21" t="s">
        <v>310</v>
      </c>
      <c r="I21">
        <v>145141.17000000001</v>
      </c>
    </row>
    <row r="22" spans="1:9">
      <c r="A22" t="s">
        <v>1844</v>
      </c>
      <c r="B22" t="s">
        <v>1830</v>
      </c>
      <c r="C22">
        <v>7</v>
      </c>
      <c r="D22">
        <v>2019</v>
      </c>
      <c r="E22" t="s">
        <v>310</v>
      </c>
      <c r="I22">
        <v>184092.11</v>
      </c>
    </row>
    <row r="23" spans="1:9">
      <c r="A23" t="s">
        <v>1845</v>
      </c>
      <c r="B23" t="s">
        <v>1830</v>
      </c>
      <c r="C23">
        <v>3</v>
      </c>
      <c r="D23">
        <v>2019</v>
      </c>
      <c r="E23" t="s">
        <v>310</v>
      </c>
      <c r="I23">
        <v>154702.98000000001</v>
      </c>
    </row>
    <row r="24" spans="1:9">
      <c r="A24" t="s">
        <v>1846</v>
      </c>
      <c r="B24" t="s">
        <v>1834</v>
      </c>
      <c r="C24">
        <v>10</v>
      </c>
      <c r="D24">
        <v>2019</v>
      </c>
      <c r="E24" t="s">
        <v>310</v>
      </c>
      <c r="I24">
        <v>2132334.02</v>
      </c>
    </row>
    <row r="25" spans="1:9">
      <c r="A25" t="s">
        <v>1847</v>
      </c>
      <c r="B25" t="s">
        <v>1834</v>
      </c>
      <c r="C25">
        <v>6</v>
      </c>
      <c r="D25">
        <v>2019</v>
      </c>
      <c r="E25" t="s">
        <v>310</v>
      </c>
      <c r="I25">
        <v>1944488.51</v>
      </c>
    </row>
    <row r="26" spans="1:9">
      <c r="A26" t="s">
        <v>1848</v>
      </c>
      <c r="B26" t="s">
        <v>1834</v>
      </c>
      <c r="C26">
        <v>2</v>
      </c>
      <c r="D26">
        <v>2019</v>
      </c>
      <c r="E26" t="s">
        <v>310</v>
      </c>
      <c r="I26">
        <v>1611088.4</v>
      </c>
    </row>
    <row r="27" spans="1:9">
      <c r="A27" t="s">
        <v>1849</v>
      </c>
      <c r="B27" t="s">
        <v>1822</v>
      </c>
      <c r="C27">
        <v>11</v>
      </c>
      <c r="D27">
        <v>2019</v>
      </c>
      <c r="E27" t="s">
        <v>310</v>
      </c>
      <c r="I27">
        <v>-440604.73</v>
      </c>
    </row>
    <row r="28" spans="1:9">
      <c r="A28" t="s">
        <v>1850</v>
      </c>
      <c r="B28" t="s">
        <v>1822</v>
      </c>
      <c r="C28">
        <v>7</v>
      </c>
      <c r="D28">
        <v>2019</v>
      </c>
      <c r="E28" t="s">
        <v>310</v>
      </c>
      <c r="I28">
        <v>-478243.06</v>
      </c>
    </row>
    <row r="29" spans="1:9">
      <c r="A29" t="s">
        <v>1851</v>
      </c>
      <c r="B29" t="s">
        <v>1822</v>
      </c>
      <c r="C29">
        <v>3</v>
      </c>
      <c r="D29">
        <v>2019</v>
      </c>
      <c r="E29" t="s">
        <v>310</v>
      </c>
      <c r="I29">
        <v>-469324.28</v>
      </c>
    </row>
    <row r="30" spans="1:9">
      <c r="A30" t="s">
        <v>1852</v>
      </c>
      <c r="B30" t="s">
        <v>1826</v>
      </c>
      <c r="C30">
        <v>8</v>
      </c>
      <c r="D30">
        <v>2019</v>
      </c>
      <c r="E30" t="s">
        <v>310</v>
      </c>
      <c r="I30">
        <v>4800.3999999999996</v>
      </c>
    </row>
    <row r="31" spans="1:9">
      <c r="A31" t="s">
        <v>1853</v>
      </c>
      <c r="B31" t="s">
        <v>1826</v>
      </c>
      <c r="C31">
        <v>4</v>
      </c>
      <c r="D31">
        <v>2019</v>
      </c>
      <c r="E31" t="s">
        <v>310</v>
      </c>
      <c r="I31">
        <v>3207.07</v>
      </c>
    </row>
    <row r="32" spans="1:9">
      <c r="A32" t="s">
        <v>1854</v>
      </c>
      <c r="B32" t="s">
        <v>1826</v>
      </c>
      <c r="C32">
        <v>12</v>
      </c>
      <c r="D32">
        <v>2018</v>
      </c>
      <c r="E32" t="s">
        <v>310</v>
      </c>
      <c r="I32">
        <v>2113.4</v>
      </c>
    </row>
    <row r="33" spans="1:9">
      <c r="A33" t="s">
        <v>1855</v>
      </c>
      <c r="B33" t="s">
        <v>1830</v>
      </c>
      <c r="C33">
        <v>10</v>
      </c>
      <c r="D33">
        <v>2019</v>
      </c>
      <c r="E33" t="s">
        <v>310</v>
      </c>
      <c r="I33">
        <v>163623.1</v>
      </c>
    </row>
    <row r="34" spans="1:9">
      <c r="A34" t="s">
        <v>1856</v>
      </c>
      <c r="B34" t="s">
        <v>1830</v>
      </c>
      <c r="C34">
        <v>6</v>
      </c>
      <c r="D34">
        <v>2019</v>
      </c>
      <c r="E34" t="s">
        <v>310</v>
      </c>
      <c r="I34">
        <v>148360.39000000001</v>
      </c>
    </row>
    <row r="35" spans="1:9">
      <c r="A35" t="s">
        <v>1857</v>
      </c>
      <c r="B35" t="s">
        <v>1830</v>
      </c>
      <c r="C35">
        <v>2</v>
      </c>
      <c r="D35">
        <v>2019</v>
      </c>
      <c r="E35" t="s">
        <v>310</v>
      </c>
      <c r="I35">
        <v>127771.04</v>
      </c>
    </row>
    <row r="36" spans="1:9">
      <c r="A36" t="s">
        <v>1858</v>
      </c>
      <c r="B36" t="s">
        <v>1834</v>
      </c>
      <c r="C36">
        <v>9</v>
      </c>
      <c r="D36">
        <v>2019</v>
      </c>
      <c r="E36" t="s">
        <v>310</v>
      </c>
      <c r="I36">
        <v>2034441.19</v>
      </c>
    </row>
    <row r="37" spans="1:9">
      <c r="A37" t="s">
        <v>1859</v>
      </c>
      <c r="B37" t="s">
        <v>1834</v>
      </c>
      <c r="C37">
        <v>5</v>
      </c>
      <c r="D37">
        <v>2019</v>
      </c>
      <c r="E37" t="s">
        <v>310</v>
      </c>
      <c r="I37">
        <v>2213144.88</v>
      </c>
    </row>
    <row r="38" spans="1:9">
      <c r="A38" t="s">
        <v>1860</v>
      </c>
      <c r="B38" t="s">
        <v>1834</v>
      </c>
      <c r="C38">
        <v>1</v>
      </c>
      <c r="D38">
        <v>2019</v>
      </c>
      <c r="E38" t="s">
        <v>310</v>
      </c>
      <c r="I38">
        <v>2011532.5</v>
      </c>
    </row>
    <row r="39" spans="1:9">
      <c r="A39" t="s">
        <v>1861</v>
      </c>
      <c r="B39" t="s">
        <v>1822</v>
      </c>
      <c r="C39">
        <v>10</v>
      </c>
      <c r="D39">
        <v>2019</v>
      </c>
      <c r="E39" t="s">
        <v>310</v>
      </c>
      <c r="I39">
        <v>-487354.7</v>
      </c>
    </row>
    <row r="40" spans="1:9">
      <c r="A40" t="s">
        <v>1862</v>
      </c>
      <c r="B40" t="s">
        <v>1822</v>
      </c>
      <c r="C40">
        <v>6</v>
      </c>
      <c r="D40">
        <v>2019</v>
      </c>
      <c r="E40" t="s">
        <v>310</v>
      </c>
      <c r="I40">
        <v>-473747.23</v>
      </c>
    </row>
    <row r="41" spans="1:9">
      <c r="A41" t="s">
        <v>1863</v>
      </c>
      <c r="B41" t="s">
        <v>1822</v>
      </c>
      <c r="C41">
        <v>2</v>
      </c>
      <c r="D41">
        <v>2019</v>
      </c>
      <c r="E41" t="s">
        <v>310</v>
      </c>
      <c r="I41">
        <v>-381162.74</v>
      </c>
    </row>
    <row r="42" spans="1:9">
      <c r="A42" t="s">
        <v>1864</v>
      </c>
      <c r="B42" t="s">
        <v>1826</v>
      </c>
      <c r="C42">
        <v>11</v>
      </c>
      <c r="D42">
        <v>2019</v>
      </c>
      <c r="E42" t="s">
        <v>310</v>
      </c>
      <c r="I42">
        <v>1837.2</v>
      </c>
    </row>
    <row r="43" spans="1:9">
      <c r="A43" t="s">
        <v>1865</v>
      </c>
      <c r="B43" t="s">
        <v>1826</v>
      </c>
      <c r="C43">
        <v>7</v>
      </c>
      <c r="D43">
        <v>2019</v>
      </c>
      <c r="E43" t="s">
        <v>310</v>
      </c>
      <c r="I43">
        <v>2801.6</v>
      </c>
    </row>
    <row r="44" spans="1:9">
      <c r="A44" t="s">
        <v>1866</v>
      </c>
      <c r="B44" t="s">
        <v>1826</v>
      </c>
      <c r="C44">
        <v>3</v>
      </c>
      <c r="D44">
        <v>2019</v>
      </c>
      <c r="E44" t="s">
        <v>310</v>
      </c>
      <c r="I44">
        <v>2682.76</v>
      </c>
    </row>
    <row r="45" spans="1:9">
      <c r="A45" t="s">
        <v>1867</v>
      </c>
      <c r="B45" t="s">
        <v>1830</v>
      </c>
      <c r="C45">
        <v>9</v>
      </c>
      <c r="D45">
        <v>2019</v>
      </c>
      <c r="E45" t="s">
        <v>310</v>
      </c>
      <c r="I45">
        <v>158103.75</v>
      </c>
    </row>
    <row r="46" spans="1:9">
      <c r="A46" t="s">
        <v>1868</v>
      </c>
      <c r="B46" t="s">
        <v>1830</v>
      </c>
      <c r="C46">
        <v>5</v>
      </c>
      <c r="D46">
        <v>2019</v>
      </c>
      <c r="E46" t="s">
        <v>310</v>
      </c>
      <c r="I46">
        <v>155273.07999999999</v>
      </c>
    </row>
    <row r="47" spans="1:9">
      <c r="A47" t="s">
        <v>1869</v>
      </c>
      <c r="B47" t="s">
        <v>1830</v>
      </c>
      <c r="C47">
        <v>1</v>
      </c>
      <c r="D47">
        <v>2019</v>
      </c>
      <c r="E47" t="s">
        <v>310</v>
      </c>
      <c r="I47">
        <v>159342.51</v>
      </c>
    </row>
    <row r="48" spans="1:9">
      <c r="A48" t="s">
        <v>1870</v>
      </c>
      <c r="B48" t="s">
        <v>1834</v>
      </c>
      <c r="C48">
        <v>8</v>
      </c>
      <c r="D48">
        <v>2019</v>
      </c>
      <c r="E48" t="s">
        <v>310</v>
      </c>
      <c r="I48">
        <v>2110172.77</v>
      </c>
    </row>
    <row r="49" spans="1:9">
      <c r="A49" t="s">
        <v>1871</v>
      </c>
      <c r="B49" t="s">
        <v>1834</v>
      </c>
      <c r="C49">
        <v>4</v>
      </c>
      <c r="D49">
        <v>2019</v>
      </c>
      <c r="E49" t="s">
        <v>310</v>
      </c>
      <c r="I49">
        <v>2060091.58</v>
      </c>
    </row>
    <row r="50" spans="1:9">
      <c r="A50" t="s">
        <v>1872</v>
      </c>
      <c r="B50" t="s">
        <v>1834</v>
      </c>
      <c r="C50">
        <v>12</v>
      </c>
      <c r="D50">
        <v>2018</v>
      </c>
      <c r="E50" t="s">
        <v>310</v>
      </c>
      <c r="I50">
        <v>1784836.89</v>
      </c>
    </row>
  </sheetData>
  <customSheetViews>
    <customSheetView guid="{76FC386D-C488-46EF-BB9C-D1C49FEBAB90}" state="hidden">
      <pageMargins left="0.7" right="0.7" top="0.75" bottom="0.75" header="0.3" footer="0.3"/>
    </customSheetView>
    <customSheetView guid="{16F8EA47-9864-4C0F-89A1-62B7CCC013F9}" state="hidden">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8" tint="0.59999389629810485"/>
  </sheetPr>
  <dimension ref="A1:L69"/>
  <sheetViews>
    <sheetView showGridLines="0" view="pageBreakPreview" zoomScale="60" zoomScaleNormal="85" workbookViewId="0">
      <selection activeCell="AP280" sqref="AP280"/>
    </sheetView>
  </sheetViews>
  <sheetFormatPr defaultRowHeight="15"/>
  <cols>
    <col min="1" max="1" width="43" style="774" customWidth="1"/>
    <col min="2" max="2" width="24.7109375" style="774" customWidth="1"/>
    <col min="3" max="3" width="21.28515625" style="774" customWidth="1"/>
    <col min="4" max="4" width="15" style="774" customWidth="1"/>
    <col min="5" max="256" width="9.140625" style="774"/>
    <col min="257" max="257" width="21.85546875" style="774" customWidth="1"/>
    <col min="258" max="258" width="10.85546875" style="774" customWidth="1"/>
    <col min="259" max="259" width="12.28515625" style="774" customWidth="1"/>
    <col min="260" max="260" width="15" style="774" customWidth="1"/>
    <col min="261" max="512" width="9.140625" style="774"/>
    <col min="513" max="513" width="21.85546875" style="774" customWidth="1"/>
    <col min="514" max="514" width="10.85546875" style="774" customWidth="1"/>
    <col min="515" max="515" width="12.28515625" style="774" customWidth="1"/>
    <col min="516" max="516" width="15" style="774" customWidth="1"/>
    <col min="517" max="768" width="9.140625" style="774"/>
    <col min="769" max="769" width="21.85546875" style="774" customWidth="1"/>
    <col min="770" max="770" width="10.85546875" style="774" customWidth="1"/>
    <col min="771" max="771" width="12.28515625" style="774" customWidth="1"/>
    <col min="772" max="772" width="15" style="774" customWidth="1"/>
    <col min="773" max="1024" width="9.140625" style="774"/>
    <col min="1025" max="1025" width="21.85546875" style="774" customWidth="1"/>
    <col min="1026" max="1026" width="10.85546875" style="774" customWidth="1"/>
    <col min="1027" max="1027" width="12.28515625" style="774" customWidth="1"/>
    <col min="1028" max="1028" width="15" style="774" customWidth="1"/>
    <col min="1029" max="1280" width="9.140625" style="774"/>
    <col min="1281" max="1281" width="21.85546875" style="774" customWidth="1"/>
    <col min="1282" max="1282" width="10.85546875" style="774" customWidth="1"/>
    <col min="1283" max="1283" width="12.28515625" style="774" customWidth="1"/>
    <col min="1284" max="1284" width="15" style="774" customWidth="1"/>
    <col min="1285" max="1536" width="9.140625" style="774"/>
    <col min="1537" max="1537" width="21.85546875" style="774" customWidth="1"/>
    <col min="1538" max="1538" width="10.85546875" style="774" customWidth="1"/>
    <col min="1539" max="1539" width="12.28515625" style="774" customWidth="1"/>
    <col min="1540" max="1540" width="15" style="774" customWidth="1"/>
    <col min="1541" max="1792" width="9.140625" style="774"/>
    <col min="1793" max="1793" width="21.85546875" style="774" customWidth="1"/>
    <col min="1794" max="1794" width="10.85546875" style="774" customWidth="1"/>
    <col min="1795" max="1795" width="12.28515625" style="774" customWidth="1"/>
    <col min="1796" max="1796" width="15" style="774" customWidth="1"/>
    <col min="1797" max="2048" width="9.140625" style="774"/>
    <col min="2049" max="2049" width="21.85546875" style="774" customWidth="1"/>
    <col min="2050" max="2050" width="10.85546875" style="774" customWidth="1"/>
    <col min="2051" max="2051" width="12.28515625" style="774" customWidth="1"/>
    <col min="2052" max="2052" width="15" style="774" customWidth="1"/>
    <col min="2053" max="2304" width="9.140625" style="774"/>
    <col min="2305" max="2305" width="21.85546875" style="774" customWidth="1"/>
    <col min="2306" max="2306" width="10.85546875" style="774" customWidth="1"/>
    <col min="2307" max="2307" width="12.28515625" style="774" customWidth="1"/>
    <col min="2308" max="2308" width="15" style="774" customWidth="1"/>
    <col min="2309" max="2560" width="9.140625" style="774"/>
    <col min="2561" max="2561" width="21.85546875" style="774" customWidth="1"/>
    <col min="2562" max="2562" width="10.85546875" style="774" customWidth="1"/>
    <col min="2563" max="2563" width="12.28515625" style="774" customWidth="1"/>
    <col min="2564" max="2564" width="15" style="774" customWidth="1"/>
    <col min="2565" max="2816" width="9.140625" style="774"/>
    <col min="2817" max="2817" width="21.85546875" style="774" customWidth="1"/>
    <col min="2818" max="2818" width="10.85546875" style="774" customWidth="1"/>
    <col min="2819" max="2819" width="12.28515625" style="774" customWidth="1"/>
    <col min="2820" max="2820" width="15" style="774" customWidth="1"/>
    <col min="2821" max="3072" width="9.140625" style="774"/>
    <col min="3073" max="3073" width="21.85546875" style="774" customWidth="1"/>
    <col min="3074" max="3074" width="10.85546875" style="774" customWidth="1"/>
    <col min="3075" max="3075" width="12.28515625" style="774" customWidth="1"/>
    <col min="3076" max="3076" width="15" style="774" customWidth="1"/>
    <col min="3077" max="3328" width="9.140625" style="774"/>
    <col min="3329" max="3329" width="21.85546875" style="774" customWidth="1"/>
    <col min="3330" max="3330" width="10.85546875" style="774" customWidth="1"/>
    <col min="3331" max="3331" width="12.28515625" style="774" customWidth="1"/>
    <col min="3332" max="3332" width="15" style="774" customWidth="1"/>
    <col min="3333" max="3584" width="9.140625" style="774"/>
    <col min="3585" max="3585" width="21.85546875" style="774" customWidth="1"/>
    <col min="3586" max="3586" width="10.85546875" style="774" customWidth="1"/>
    <col min="3587" max="3587" width="12.28515625" style="774" customWidth="1"/>
    <col min="3588" max="3588" width="15" style="774" customWidth="1"/>
    <col min="3589" max="3840" width="9.140625" style="774"/>
    <col min="3841" max="3841" width="21.85546875" style="774" customWidth="1"/>
    <col min="3842" max="3842" width="10.85546875" style="774" customWidth="1"/>
    <col min="3843" max="3843" width="12.28515625" style="774" customWidth="1"/>
    <col min="3844" max="3844" width="15" style="774" customWidth="1"/>
    <col min="3845" max="4096" width="9.140625" style="774"/>
    <col min="4097" max="4097" width="21.85546875" style="774" customWidth="1"/>
    <col min="4098" max="4098" width="10.85546875" style="774" customWidth="1"/>
    <col min="4099" max="4099" width="12.28515625" style="774" customWidth="1"/>
    <col min="4100" max="4100" width="15" style="774" customWidth="1"/>
    <col min="4101" max="4352" width="9.140625" style="774"/>
    <col min="4353" max="4353" width="21.85546875" style="774" customWidth="1"/>
    <col min="4354" max="4354" width="10.85546875" style="774" customWidth="1"/>
    <col min="4355" max="4355" width="12.28515625" style="774" customWidth="1"/>
    <col min="4356" max="4356" width="15" style="774" customWidth="1"/>
    <col min="4357" max="4608" width="9.140625" style="774"/>
    <col min="4609" max="4609" width="21.85546875" style="774" customWidth="1"/>
    <col min="4610" max="4610" width="10.85546875" style="774" customWidth="1"/>
    <col min="4611" max="4611" width="12.28515625" style="774" customWidth="1"/>
    <col min="4612" max="4612" width="15" style="774" customWidth="1"/>
    <col min="4613" max="4864" width="9.140625" style="774"/>
    <col min="4865" max="4865" width="21.85546875" style="774" customWidth="1"/>
    <col min="4866" max="4866" width="10.85546875" style="774" customWidth="1"/>
    <col min="4867" max="4867" width="12.28515625" style="774" customWidth="1"/>
    <col min="4868" max="4868" width="15" style="774" customWidth="1"/>
    <col min="4869" max="5120" width="9.140625" style="774"/>
    <col min="5121" max="5121" width="21.85546875" style="774" customWidth="1"/>
    <col min="5122" max="5122" width="10.85546875" style="774" customWidth="1"/>
    <col min="5123" max="5123" width="12.28515625" style="774" customWidth="1"/>
    <col min="5124" max="5124" width="15" style="774" customWidth="1"/>
    <col min="5125" max="5376" width="9.140625" style="774"/>
    <col min="5377" max="5377" width="21.85546875" style="774" customWidth="1"/>
    <col min="5378" max="5378" width="10.85546875" style="774" customWidth="1"/>
    <col min="5379" max="5379" width="12.28515625" style="774" customWidth="1"/>
    <col min="5380" max="5380" width="15" style="774" customWidth="1"/>
    <col min="5381" max="5632" width="9.140625" style="774"/>
    <col min="5633" max="5633" width="21.85546875" style="774" customWidth="1"/>
    <col min="5634" max="5634" width="10.85546875" style="774" customWidth="1"/>
    <col min="5635" max="5635" width="12.28515625" style="774" customWidth="1"/>
    <col min="5636" max="5636" width="15" style="774" customWidth="1"/>
    <col min="5637" max="5888" width="9.140625" style="774"/>
    <col min="5889" max="5889" width="21.85546875" style="774" customWidth="1"/>
    <col min="5890" max="5890" width="10.85546875" style="774" customWidth="1"/>
    <col min="5891" max="5891" width="12.28515625" style="774" customWidth="1"/>
    <col min="5892" max="5892" width="15" style="774" customWidth="1"/>
    <col min="5893" max="6144" width="9.140625" style="774"/>
    <col min="6145" max="6145" width="21.85546875" style="774" customWidth="1"/>
    <col min="6146" max="6146" width="10.85546875" style="774" customWidth="1"/>
    <col min="6147" max="6147" width="12.28515625" style="774" customWidth="1"/>
    <col min="6148" max="6148" width="15" style="774" customWidth="1"/>
    <col min="6149" max="6400" width="9.140625" style="774"/>
    <col min="6401" max="6401" width="21.85546875" style="774" customWidth="1"/>
    <col min="6402" max="6402" width="10.85546875" style="774" customWidth="1"/>
    <col min="6403" max="6403" width="12.28515625" style="774" customWidth="1"/>
    <col min="6404" max="6404" width="15" style="774" customWidth="1"/>
    <col min="6405" max="6656" width="9.140625" style="774"/>
    <col min="6657" max="6657" width="21.85546875" style="774" customWidth="1"/>
    <col min="6658" max="6658" width="10.85546875" style="774" customWidth="1"/>
    <col min="6659" max="6659" width="12.28515625" style="774" customWidth="1"/>
    <col min="6660" max="6660" width="15" style="774" customWidth="1"/>
    <col min="6661" max="6912" width="9.140625" style="774"/>
    <col min="6913" max="6913" width="21.85546875" style="774" customWidth="1"/>
    <col min="6914" max="6914" width="10.85546875" style="774" customWidth="1"/>
    <col min="6915" max="6915" width="12.28515625" style="774" customWidth="1"/>
    <col min="6916" max="6916" width="15" style="774" customWidth="1"/>
    <col min="6917" max="7168" width="9.140625" style="774"/>
    <col min="7169" max="7169" width="21.85546875" style="774" customWidth="1"/>
    <col min="7170" max="7170" width="10.85546875" style="774" customWidth="1"/>
    <col min="7171" max="7171" width="12.28515625" style="774" customWidth="1"/>
    <col min="7172" max="7172" width="15" style="774" customWidth="1"/>
    <col min="7173" max="7424" width="9.140625" style="774"/>
    <col min="7425" max="7425" width="21.85546875" style="774" customWidth="1"/>
    <col min="7426" max="7426" width="10.85546875" style="774" customWidth="1"/>
    <col min="7427" max="7427" width="12.28515625" style="774" customWidth="1"/>
    <col min="7428" max="7428" width="15" style="774" customWidth="1"/>
    <col min="7429" max="7680" width="9.140625" style="774"/>
    <col min="7681" max="7681" width="21.85546875" style="774" customWidth="1"/>
    <col min="7682" max="7682" width="10.85546875" style="774" customWidth="1"/>
    <col min="7683" max="7683" width="12.28515625" style="774" customWidth="1"/>
    <col min="7684" max="7684" width="15" style="774" customWidth="1"/>
    <col min="7685" max="7936" width="9.140625" style="774"/>
    <col min="7937" max="7937" width="21.85546875" style="774" customWidth="1"/>
    <col min="7938" max="7938" width="10.85546875" style="774" customWidth="1"/>
    <col min="7939" max="7939" width="12.28515625" style="774" customWidth="1"/>
    <col min="7940" max="7940" width="15" style="774" customWidth="1"/>
    <col min="7941" max="8192" width="9.140625" style="774"/>
    <col min="8193" max="8193" width="21.85546875" style="774" customWidth="1"/>
    <col min="8194" max="8194" width="10.85546875" style="774" customWidth="1"/>
    <col min="8195" max="8195" width="12.28515625" style="774" customWidth="1"/>
    <col min="8196" max="8196" width="15" style="774" customWidth="1"/>
    <col min="8197" max="8448" width="9.140625" style="774"/>
    <col min="8449" max="8449" width="21.85546875" style="774" customWidth="1"/>
    <col min="8450" max="8450" width="10.85546875" style="774" customWidth="1"/>
    <col min="8451" max="8451" width="12.28515625" style="774" customWidth="1"/>
    <col min="8452" max="8452" width="15" style="774" customWidth="1"/>
    <col min="8453" max="8704" width="9.140625" style="774"/>
    <col min="8705" max="8705" width="21.85546875" style="774" customWidth="1"/>
    <col min="8706" max="8706" width="10.85546875" style="774" customWidth="1"/>
    <col min="8707" max="8707" width="12.28515625" style="774" customWidth="1"/>
    <col min="8708" max="8708" width="15" style="774" customWidth="1"/>
    <col min="8709" max="8960" width="9.140625" style="774"/>
    <col min="8961" max="8961" width="21.85546875" style="774" customWidth="1"/>
    <col min="8962" max="8962" width="10.85546875" style="774" customWidth="1"/>
    <col min="8963" max="8963" width="12.28515625" style="774" customWidth="1"/>
    <col min="8964" max="8964" width="15" style="774" customWidth="1"/>
    <col min="8965" max="9216" width="9.140625" style="774"/>
    <col min="9217" max="9217" width="21.85546875" style="774" customWidth="1"/>
    <col min="9218" max="9218" width="10.85546875" style="774" customWidth="1"/>
    <col min="9219" max="9219" width="12.28515625" style="774" customWidth="1"/>
    <col min="9220" max="9220" width="15" style="774" customWidth="1"/>
    <col min="9221" max="9472" width="9.140625" style="774"/>
    <col min="9473" max="9473" width="21.85546875" style="774" customWidth="1"/>
    <col min="9474" max="9474" width="10.85546875" style="774" customWidth="1"/>
    <col min="9475" max="9475" width="12.28515625" style="774" customWidth="1"/>
    <col min="9476" max="9476" width="15" style="774" customWidth="1"/>
    <col min="9477" max="9728" width="9.140625" style="774"/>
    <col min="9729" max="9729" width="21.85546875" style="774" customWidth="1"/>
    <col min="9730" max="9730" width="10.85546875" style="774" customWidth="1"/>
    <col min="9731" max="9731" width="12.28515625" style="774" customWidth="1"/>
    <col min="9732" max="9732" width="15" style="774" customWidth="1"/>
    <col min="9733" max="9984" width="9.140625" style="774"/>
    <col min="9985" max="9985" width="21.85546875" style="774" customWidth="1"/>
    <col min="9986" max="9986" width="10.85546875" style="774" customWidth="1"/>
    <col min="9987" max="9987" width="12.28515625" style="774" customWidth="1"/>
    <col min="9988" max="9988" width="15" style="774" customWidth="1"/>
    <col min="9989" max="10240" width="9.140625" style="774"/>
    <col min="10241" max="10241" width="21.85546875" style="774" customWidth="1"/>
    <col min="10242" max="10242" width="10.85546875" style="774" customWidth="1"/>
    <col min="10243" max="10243" width="12.28515625" style="774" customWidth="1"/>
    <col min="10244" max="10244" width="15" style="774" customWidth="1"/>
    <col min="10245" max="10496" width="9.140625" style="774"/>
    <col min="10497" max="10497" width="21.85546875" style="774" customWidth="1"/>
    <col min="10498" max="10498" width="10.85546875" style="774" customWidth="1"/>
    <col min="10499" max="10499" width="12.28515625" style="774" customWidth="1"/>
    <col min="10500" max="10500" width="15" style="774" customWidth="1"/>
    <col min="10501" max="10752" width="9.140625" style="774"/>
    <col min="10753" max="10753" width="21.85546875" style="774" customWidth="1"/>
    <col min="10754" max="10754" width="10.85546875" style="774" customWidth="1"/>
    <col min="10755" max="10755" width="12.28515625" style="774" customWidth="1"/>
    <col min="10756" max="10756" width="15" style="774" customWidth="1"/>
    <col min="10757" max="11008" width="9.140625" style="774"/>
    <col min="11009" max="11009" width="21.85546875" style="774" customWidth="1"/>
    <col min="11010" max="11010" width="10.85546875" style="774" customWidth="1"/>
    <col min="11011" max="11011" width="12.28515625" style="774" customWidth="1"/>
    <col min="11012" max="11012" width="15" style="774" customWidth="1"/>
    <col min="11013" max="11264" width="9.140625" style="774"/>
    <col min="11265" max="11265" width="21.85546875" style="774" customWidth="1"/>
    <col min="11266" max="11266" width="10.85546875" style="774" customWidth="1"/>
    <col min="11267" max="11267" width="12.28515625" style="774" customWidth="1"/>
    <col min="11268" max="11268" width="15" style="774" customWidth="1"/>
    <col min="11269" max="11520" width="9.140625" style="774"/>
    <col min="11521" max="11521" width="21.85546875" style="774" customWidth="1"/>
    <col min="11522" max="11522" width="10.85546875" style="774" customWidth="1"/>
    <col min="11523" max="11523" width="12.28515625" style="774" customWidth="1"/>
    <col min="11524" max="11524" width="15" style="774" customWidth="1"/>
    <col min="11525" max="11776" width="9.140625" style="774"/>
    <col min="11777" max="11777" width="21.85546875" style="774" customWidth="1"/>
    <col min="11778" max="11778" width="10.85546875" style="774" customWidth="1"/>
    <col min="11779" max="11779" width="12.28515625" style="774" customWidth="1"/>
    <col min="11780" max="11780" width="15" style="774" customWidth="1"/>
    <col min="11781" max="12032" width="9.140625" style="774"/>
    <col min="12033" max="12033" width="21.85546875" style="774" customWidth="1"/>
    <col min="12034" max="12034" width="10.85546875" style="774" customWidth="1"/>
    <col min="12035" max="12035" width="12.28515625" style="774" customWidth="1"/>
    <col min="12036" max="12036" width="15" style="774" customWidth="1"/>
    <col min="12037" max="12288" width="9.140625" style="774"/>
    <col min="12289" max="12289" width="21.85546875" style="774" customWidth="1"/>
    <col min="12290" max="12290" width="10.85546875" style="774" customWidth="1"/>
    <col min="12291" max="12291" width="12.28515625" style="774" customWidth="1"/>
    <col min="12292" max="12292" width="15" style="774" customWidth="1"/>
    <col min="12293" max="12544" width="9.140625" style="774"/>
    <col min="12545" max="12545" width="21.85546875" style="774" customWidth="1"/>
    <col min="12546" max="12546" width="10.85546875" style="774" customWidth="1"/>
    <col min="12547" max="12547" width="12.28515625" style="774" customWidth="1"/>
    <col min="12548" max="12548" width="15" style="774" customWidth="1"/>
    <col min="12549" max="12800" width="9.140625" style="774"/>
    <col min="12801" max="12801" width="21.85546875" style="774" customWidth="1"/>
    <col min="12802" max="12802" width="10.85546875" style="774" customWidth="1"/>
    <col min="12803" max="12803" width="12.28515625" style="774" customWidth="1"/>
    <col min="12804" max="12804" width="15" style="774" customWidth="1"/>
    <col min="12805" max="13056" width="9.140625" style="774"/>
    <col min="13057" max="13057" width="21.85546875" style="774" customWidth="1"/>
    <col min="13058" max="13058" width="10.85546875" style="774" customWidth="1"/>
    <col min="13059" max="13059" width="12.28515625" style="774" customWidth="1"/>
    <col min="13060" max="13060" width="15" style="774" customWidth="1"/>
    <col min="13061" max="13312" width="9.140625" style="774"/>
    <col min="13313" max="13313" width="21.85546875" style="774" customWidth="1"/>
    <col min="13314" max="13314" width="10.85546875" style="774" customWidth="1"/>
    <col min="13315" max="13315" width="12.28515625" style="774" customWidth="1"/>
    <col min="13316" max="13316" width="15" style="774" customWidth="1"/>
    <col min="13317" max="13568" width="9.140625" style="774"/>
    <col min="13569" max="13569" width="21.85546875" style="774" customWidth="1"/>
    <col min="13570" max="13570" width="10.85546875" style="774" customWidth="1"/>
    <col min="13571" max="13571" width="12.28515625" style="774" customWidth="1"/>
    <col min="13572" max="13572" width="15" style="774" customWidth="1"/>
    <col min="13573" max="13824" width="9.140625" style="774"/>
    <col min="13825" max="13825" width="21.85546875" style="774" customWidth="1"/>
    <col min="13826" max="13826" width="10.85546875" style="774" customWidth="1"/>
    <col min="13827" max="13827" width="12.28515625" style="774" customWidth="1"/>
    <col min="13828" max="13828" width="15" style="774" customWidth="1"/>
    <col min="13829" max="14080" width="9.140625" style="774"/>
    <col min="14081" max="14081" width="21.85546875" style="774" customWidth="1"/>
    <col min="14082" max="14082" width="10.85546875" style="774" customWidth="1"/>
    <col min="14083" max="14083" width="12.28515625" style="774" customWidth="1"/>
    <col min="14084" max="14084" width="15" style="774" customWidth="1"/>
    <col min="14085" max="14336" width="9.140625" style="774"/>
    <col min="14337" max="14337" width="21.85546875" style="774" customWidth="1"/>
    <col min="14338" max="14338" width="10.85546875" style="774" customWidth="1"/>
    <col min="14339" max="14339" width="12.28515625" style="774" customWidth="1"/>
    <col min="14340" max="14340" width="15" style="774" customWidth="1"/>
    <col min="14341" max="14592" width="9.140625" style="774"/>
    <col min="14593" max="14593" width="21.85546875" style="774" customWidth="1"/>
    <col min="14594" max="14594" width="10.85546875" style="774" customWidth="1"/>
    <col min="14595" max="14595" width="12.28515625" style="774" customWidth="1"/>
    <col min="14596" max="14596" width="15" style="774" customWidth="1"/>
    <col min="14597" max="14848" width="9.140625" style="774"/>
    <col min="14849" max="14849" width="21.85546875" style="774" customWidth="1"/>
    <col min="14850" max="14850" width="10.85546875" style="774" customWidth="1"/>
    <col min="14851" max="14851" width="12.28515625" style="774" customWidth="1"/>
    <col min="14852" max="14852" width="15" style="774" customWidth="1"/>
    <col min="14853" max="15104" width="9.140625" style="774"/>
    <col min="15105" max="15105" width="21.85546875" style="774" customWidth="1"/>
    <col min="15106" max="15106" width="10.85546875" style="774" customWidth="1"/>
    <col min="15107" max="15107" width="12.28515625" style="774" customWidth="1"/>
    <col min="15108" max="15108" width="15" style="774" customWidth="1"/>
    <col min="15109" max="15360" width="9.140625" style="774"/>
    <col min="15361" max="15361" width="21.85546875" style="774" customWidth="1"/>
    <col min="15362" max="15362" width="10.85546875" style="774" customWidth="1"/>
    <col min="15363" max="15363" width="12.28515625" style="774" customWidth="1"/>
    <col min="15364" max="15364" width="15" style="774" customWidth="1"/>
    <col min="15365" max="15616" width="9.140625" style="774"/>
    <col min="15617" max="15617" width="21.85546875" style="774" customWidth="1"/>
    <col min="15618" max="15618" width="10.85546875" style="774" customWidth="1"/>
    <col min="15619" max="15619" width="12.28515625" style="774" customWidth="1"/>
    <col min="15620" max="15620" width="15" style="774" customWidth="1"/>
    <col min="15621" max="15872" width="9.140625" style="774"/>
    <col min="15873" max="15873" width="21.85546875" style="774" customWidth="1"/>
    <col min="15874" max="15874" width="10.85546875" style="774" customWidth="1"/>
    <col min="15875" max="15875" width="12.28515625" style="774" customWidth="1"/>
    <col min="15876" max="15876" width="15" style="774" customWidth="1"/>
    <col min="15877" max="16128" width="9.140625" style="774"/>
    <col min="16129" max="16129" width="21.85546875" style="774" customWidth="1"/>
    <col min="16130" max="16130" width="10.85546875" style="774" customWidth="1"/>
    <col min="16131" max="16131" width="12.28515625" style="774" customWidth="1"/>
    <col min="16132" max="16132" width="15" style="774" customWidth="1"/>
    <col min="16133" max="16384" width="9.140625" style="774"/>
  </cols>
  <sheetData>
    <row r="1" spans="1:12">
      <c r="A1" s="773" t="s">
        <v>312</v>
      </c>
    </row>
    <row r="2" spans="1:12">
      <c r="A2" s="773" t="s">
        <v>1715</v>
      </c>
    </row>
    <row r="4" spans="1:12">
      <c r="A4" s="777"/>
      <c r="B4" s="777"/>
      <c r="C4" s="777"/>
      <c r="D4" s="777"/>
      <c r="E4" s="778"/>
      <c r="F4" s="777"/>
      <c r="G4" s="777"/>
      <c r="H4" s="777"/>
      <c r="I4" s="777"/>
      <c r="J4" s="777"/>
      <c r="K4" s="777"/>
      <c r="L4" s="777"/>
    </row>
    <row r="5" spans="1:12" s="788" customFormat="1">
      <c r="A5" s="836"/>
      <c r="B5" s="801"/>
      <c r="C5" s="801"/>
      <c r="D5" s="801"/>
      <c r="E5" s="789"/>
      <c r="I5" s="786"/>
    </row>
    <row r="6" spans="1:12" s="788" customFormat="1">
      <c r="A6" s="836" t="s">
        <v>2350</v>
      </c>
      <c r="E6" s="789"/>
    </row>
    <row r="7" spans="1:12" s="788" customFormat="1">
      <c r="A7" s="788" t="s">
        <v>1274</v>
      </c>
      <c r="B7" s="779">
        <f>Payroll!X43</f>
        <v>89798.087370159352</v>
      </c>
      <c r="C7" s="779"/>
      <c r="E7" s="789"/>
    </row>
    <row r="8" spans="1:12" s="788" customFormat="1">
      <c r="A8" s="788" t="s">
        <v>1326</v>
      </c>
      <c r="B8" s="779">
        <f>Payroll!X57</f>
        <v>32655.346840097707</v>
      </c>
      <c r="C8" s="779"/>
      <c r="D8" s="779"/>
      <c r="E8" s="789"/>
    </row>
    <row r="9" spans="1:12" s="788" customFormat="1">
      <c r="A9" s="788" t="s">
        <v>1347</v>
      </c>
      <c r="B9" s="779">
        <f>Payroll!X87</f>
        <v>66454.351378513878</v>
      </c>
      <c r="C9" s="779"/>
      <c r="E9" s="789"/>
    </row>
    <row r="10" spans="1:12" s="788" customFormat="1">
      <c r="A10" s="788" t="s">
        <v>301</v>
      </c>
      <c r="B10" s="779">
        <f>Payroll!X97</f>
        <v>12975.942466475957</v>
      </c>
      <c r="C10" s="779"/>
      <c r="E10" s="789"/>
    </row>
    <row r="11" spans="1:12" s="788" customFormat="1">
      <c r="A11" s="788" t="s">
        <v>1412</v>
      </c>
      <c r="B11" s="779">
        <f>Payroll!X116</f>
        <v>45451.492376481074</v>
      </c>
      <c r="C11" s="779"/>
      <c r="E11" s="789"/>
    </row>
    <row r="12" spans="1:12" s="788" customFormat="1">
      <c r="A12" s="788" t="s">
        <v>1443</v>
      </c>
      <c r="B12" s="779">
        <f>Payroll!X123</f>
        <v>9319.6442058542016</v>
      </c>
      <c r="C12" s="779"/>
      <c r="D12" s="779"/>
      <c r="E12" s="789"/>
    </row>
    <row r="13" spans="1:12" s="788" customFormat="1">
      <c r="A13" s="788" t="s">
        <v>1450</v>
      </c>
      <c r="B13" s="779">
        <f>Payroll!X132</f>
        <v>1857.7913995011884</v>
      </c>
      <c r="D13" s="779"/>
      <c r="E13" s="789"/>
    </row>
    <row r="14" spans="1:12" s="788" customFormat="1">
      <c r="A14" s="788" t="s">
        <v>1695</v>
      </c>
      <c r="B14" s="779">
        <f>Payroll!X145</f>
        <v>14699.221908743719</v>
      </c>
      <c r="C14" s="779"/>
      <c r="D14" s="779"/>
      <c r="E14" s="789"/>
    </row>
    <row r="15" spans="1:12" s="788" customFormat="1">
      <c r="A15" s="788" t="s">
        <v>1477</v>
      </c>
      <c r="B15" s="779">
        <f>Payroll!X151</f>
        <v>15801.537917387555</v>
      </c>
      <c r="C15" s="779"/>
      <c r="E15" s="789"/>
    </row>
    <row r="16" spans="1:12" s="788" customFormat="1">
      <c r="A16" s="788" t="s">
        <v>1242</v>
      </c>
      <c r="B16" s="783">
        <f>Payroll!X157</f>
        <v>3309.6393059375259</v>
      </c>
      <c r="C16" s="779"/>
      <c r="D16" s="779"/>
      <c r="E16" s="789"/>
    </row>
    <row r="17" spans="1:6" s="788" customFormat="1">
      <c r="A17" s="786" t="s">
        <v>325</v>
      </c>
      <c r="B17" s="796">
        <f>SUM(B7:B16)</f>
        <v>292323.0551691521</v>
      </c>
      <c r="C17" s="796"/>
      <c r="D17" s="796"/>
      <c r="E17" s="796"/>
    </row>
    <row r="18" spans="1:6" s="788" customFormat="1">
      <c r="B18" s="781"/>
      <c r="C18" s="781"/>
      <c r="D18" s="781"/>
      <c r="E18" s="781"/>
    </row>
    <row r="19" spans="1:6" s="788" customFormat="1">
      <c r="A19" s="788" t="s">
        <v>326</v>
      </c>
      <c r="B19" s="781">
        <f>Payroll!X187</f>
        <v>36083.756113385563</v>
      </c>
      <c r="C19" s="781"/>
      <c r="D19" s="781"/>
      <c r="E19" s="781"/>
      <c r="F19" s="779"/>
    </row>
    <row r="20" spans="1:6" s="788" customFormat="1">
      <c r="A20" s="788" t="s">
        <v>327</v>
      </c>
      <c r="B20" s="781">
        <f>Payroll!X213</f>
        <v>39200.323398012115</v>
      </c>
      <c r="C20" s="781"/>
      <c r="D20" s="781"/>
      <c r="E20" s="781"/>
      <c r="F20" s="779"/>
    </row>
    <row r="21" spans="1:6" s="788" customFormat="1">
      <c r="A21" s="788" t="s">
        <v>1696</v>
      </c>
      <c r="B21" s="781">
        <f>Payroll!X193</f>
        <v>2867.9524951923013</v>
      </c>
      <c r="C21" s="781"/>
      <c r="D21" s="781"/>
      <c r="E21" s="781"/>
      <c r="F21" s="779"/>
    </row>
    <row r="22" spans="1:6" s="788" customFormat="1">
      <c r="A22" s="788" t="s">
        <v>1734</v>
      </c>
      <c r="B22" s="781">
        <f>SUM(Payroll!X217:X222,Payroll!Y218,Payroll!Y221)</f>
        <v>91435.429615384521</v>
      </c>
      <c r="C22" s="781"/>
      <c r="D22" s="781"/>
      <c r="E22" s="781"/>
    </row>
    <row r="23" spans="1:6" s="788" customFormat="1">
      <c r="A23" s="788" t="s">
        <v>1735</v>
      </c>
      <c r="B23" s="781">
        <f>Payroll!X255+Payroll!Y255-'Pro forma Adj'!B22-'Pro forma Adj'!B24</f>
        <v>18830.742320401245</v>
      </c>
      <c r="C23" s="781"/>
      <c r="D23" s="781"/>
      <c r="E23" s="781"/>
    </row>
    <row r="24" spans="1:6" s="788" customFormat="1">
      <c r="A24" s="788" t="s">
        <v>1736</v>
      </c>
      <c r="B24" s="781">
        <f>Payroll!X253</f>
        <v>999.31111595002585</v>
      </c>
      <c r="C24" s="781"/>
      <c r="D24" s="781"/>
      <c r="E24" s="781"/>
    </row>
    <row r="25" spans="1:6" s="788" customFormat="1">
      <c r="A25" s="788" t="s">
        <v>328</v>
      </c>
      <c r="B25" s="830">
        <f>Payroll!X266</f>
        <v>9053.7615144230294</v>
      </c>
      <c r="C25" s="781"/>
      <c r="D25" s="781"/>
      <c r="E25" s="781"/>
    </row>
    <row r="26" spans="1:6" s="788" customFormat="1">
      <c r="B26" s="796">
        <f>SUM(B19:B25)</f>
        <v>198471.27657274881</v>
      </c>
      <c r="C26" s="796"/>
      <c r="D26" s="796"/>
      <c r="E26" s="796"/>
    </row>
    <row r="27" spans="1:6" s="788" customFormat="1">
      <c r="B27" s="781"/>
      <c r="C27" s="781"/>
      <c r="D27" s="781"/>
      <c r="E27" s="781"/>
    </row>
    <row r="28" spans="1:6" s="788" customFormat="1" ht="15.75" thickBot="1">
      <c r="A28" s="877" t="s">
        <v>329</v>
      </c>
      <c r="B28" s="995">
        <f>B17+B26</f>
        <v>490794.33174190088</v>
      </c>
      <c r="C28" s="996"/>
      <c r="D28" s="796"/>
      <c r="E28" s="796"/>
      <c r="F28" s="779"/>
    </row>
    <row r="29" spans="1:6" s="788" customFormat="1">
      <c r="B29" s="781"/>
      <c r="C29" s="781"/>
      <c r="D29" s="781"/>
      <c r="E29" s="781"/>
      <c r="F29" s="779"/>
    </row>
    <row r="30" spans="1:6" s="788" customFormat="1">
      <c r="A30" s="786" t="s">
        <v>330</v>
      </c>
      <c r="B30" s="781"/>
      <c r="C30" s="781"/>
      <c r="D30" s="781"/>
      <c r="E30" s="781"/>
      <c r="F30" s="779"/>
    </row>
    <row r="31" spans="1:6" s="788" customFormat="1">
      <c r="A31" s="788" t="s">
        <v>331</v>
      </c>
      <c r="B31" s="781">
        <f>(B17)*0.0765</f>
        <v>22362.713720440133</v>
      </c>
      <c r="C31" s="781"/>
      <c r="D31" s="781"/>
      <c r="E31" s="781"/>
      <c r="F31" s="779"/>
    </row>
    <row r="32" spans="1:6" s="788" customFormat="1">
      <c r="A32" s="788" t="s">
        <v>326</v>
      </c>
      <c r="B32" s="781">
        <f>(B19)*0.0765</f>
        <v>2760.4073426739956</v>
      </c>
      <c r="C32" s="781"/>
      <c r="D32" s="781"/>
      <c r="E32" s="781"/>
      <c r="F32" s="779"/>
    </row>
    <row r="33" spans="1:7" s="788" customFormat="1">
      <c r="A33" s="788" t="s">
        <v>327</v>
      </c>
      <c r="B33" s="781">
        <f>(B20)*0.0765</f>
        <v>2998.8247399479269</v>
      </c>
      <c r="C33" s="781"/>
      <c r="D33" s="781"/>
      <c r="E33" s="781"/>
      <c r="F33" s="779"/>
      <c r="G33" s="997"/>
    </row>
    <row r="34" spans="1:7" s="788" customFormat="1">
      <c r="A34" s="788" t="s">
        <v>1696</v>
      </c>
      <c r="B34" s="781">
        <f>(B21)*0.0765</f>
        <v>219.39836588221104</v>
      </c>
      <c r="C34" s="781"/>
      <c r="D34" s="781"/>
      <c r="E34" s="781"/>
      <c r="F34" s="779"/>
    </row>
    <row r="35" spans="1:7" s="788" customFormat="1">
      <c r="A35" s="788" t="s">
        <v>1697</v>
      </c>
      <c r="B35" s="781">
        <f>(B22)*0.0765</f>
        <v>6994.8103655769155</v>
      </c>
      <c r="C35" s="781"/>
      <c r="D35" s="781"/>
      <c r="E35" s="781"/>
      <c r="F35" s="779"/>
    </row>
    <row r="36" spans="1:7" s="788" customFormat="1">
      <c r="A36" s="788" t="s">
        <v>328</v>
      </c>
      <c r="B36" s="781">
        <f>(B25)*0.0765</f>
        <v>692.6127558533617</v>
      </c>
      <c r="C36" s="781"/>
      <c r="D36" s="781"/>
      <c r="E36" s="781"/>
      <c r="F36" s="779"/>
      <c r="G36" s="997"/>
    </row>
    <row r="37" spans="1:7" s="788" customFormat="1" ht="15.75" thickBot="1">
      <c r="A37" s="877" t="s">
        <v>332</v>
      </c>
      <c r="B37" s="995">
        <f>SUM(B31:B36)</f>
        <v>36028.767290374541</v>
      </c>
      <c r="C37" s="996"/>
      <c r="D37" s="781"/>
      <c r="E37" s="998"/>
      <c r="F37" s="779"/>
    </row>
    <row r="38" spans="1:7" s="788" customFormat="1">
      <c r="B38" s="781"/>
      <c r="C38" s="781"/>
      <c r="D38" s="781"/>
      <c r="E38" s="781"/>
      <c r="F38" s="779"/>
    </row>
    <row r="39" spans="1:7">
      <c r="B39" s="795"/>
      <c r="C39" s="795"/>
    </row>
    <row r="40" spans="1:7">
      <c r="A40" s="999"/>
      <c r="B40" s="999"/>
      <c r="C40" s="999"/>
      <c r="D40" s="999"/>
      <c r="E40" s="999"/>
      <c r="F40" s="788"/>
    </row>
    <row r="41" spans="1:7">
      <c r="A41" s="804" t="s">
        <v>347</v>
      </c>
    </row>
    <row r="42" spans="1:7">
      <c r="A42" s="774" t="s">
        <v>3</v>
      </c>
      <c r="B42" s="795">
        <f>'Ratios (C)'!C6</f>
        <v>53074.079081691307</v>
      </c>
      <c r="C42" s="1198">
        <v>0.6</v>
      </c>
      <c r="D42" s="795">
        <f>B42*C42</f>
        <v>31844.447449014784</v>
      </c>
    </row>
    <row r="43" spans="1:7">
      <c r="A43" s="774" t="s">
        <v>300</v>
      </c>
      <c r="B43" s="795">
        <f>'Ratios (C)'!C8</f>
        <v>4145.7499115630071</v>
      </c>
      <c r="C43" s="1198">
        <v>0.6</v>
      </c>
      <c r="D43" s="795">
        <f>B43*C43</f>
        <v>2487.4499469378043</v>
      </c>
    </row>
    <row r="44" spans="1:7">
      <c r="A44" s="774" t="s">
        <v>319</v>
      </c>
      <c r="B44" s="795">
        <f>'Ratios (C)'!C10</f>
        <v>169.04397532007084</v>
      </c>
      <c r="C44" s="1198">
        <v>0.6</v>
      </c>
      <c r="D44" s="795">
        <f>B44*C44</f>
        <v>101.4263851920425</v>
      </c>
    </row>
    <row r="45" spans="1:7">
      <c r="B45" s="795"/>
      <c r="C45" s="795"/>
      <c r="D45" s="1000">
        <f>SUM(D42:D44)</f>
        <v>34433.323781144631</v>
      </c>
    </row>
    <row r="47" spans="1:7">
      <c r="A47" s="774" t="s">
        <v>348</v>
      </c>
      <c r="D47" s="1001">
        <f>D45/2</f>
        <v>17216.661890572315</v>
      </c>
      <c r="E47" s="1002" t="s">
        <v>349</v>
      </c>
    </row>
    <row r="48" spans="1:7">
      <c r="D48" s="1001"/>
      <c r="E48" s="1002"/>
    </row>
    <row r="49" spans="1:5">
      <c r="A49" s="999"/>
      <c r="B49" s="999"/>
      <c r="C49" s="999"/>
      <c r="D49" s="999"/>
      <c r="E49" s="1002"/>
    </row>
    <row r="51" spans="1:5">
      <c r="A51" s="836" t="s">
        <v>2351</v>
      </c>
      <c r="B51" s="788"/>
      <c r="C51" s="788"/>
      <c r="D51" s="788"/>
      <c r="E51" s="789"/>
    </row>
    <row r="52" spans="1:5">
      <c r="A52" s="788"/>
      <c r="B52" s="788"/>
      <c r="C52" s="788"/>
      <c r="D52" s="788"/>
      <c r="E52" s="789"/>
    </row>
    <row r="53" spans="1:5">
      <c r="A53" s="786"/>
      <c r="B53" s="873" t="s">
        <v>295</v>
      </c>
      <c r="C53" s="872" t="s">
        <v>1873</v>
      </c>
      <c r="D53" s="787"/>
      <c r="E53" s="775"/>
    </row>
    <row r="54" spans="1:5">
      <c r="A54" s="837" t="s">
        <v>1874</v>
      </c>
      <c r="B54" s="876">
        <f>'Disposal (C)'!N14+'Disposal (C)'!N19</f>
        <v>75044.530000000013</v>
      </c>
      <c r="C54" s="876">
        <f>'Disposal (C)'!N32</f>
        <v>5726.24</v>
      </c>
      <c r="D54" s="787"/>
      <c r="E54" s="789"/>
    </row>
    <row r="55" spans="1:5">
      <c r="A55" s="837" t="s">
        <v>1875</v>
      </c>
      <c r="B55" s="874">
        <v>3.04</v>
      </c>
      <c r="C55" s="875">
        <v>-0.26</v>
      </c>
      <c r="D55" s="786"/>
      <c r="E55" s="791"/>
    </row>
    <row r="56" spans="1:5">
      <c r="A56" s="788"/>
      <c r="B56" s="790"/>
      <c r="C56" s="793"/>
      <c r="D56" s="788"/>
      <c r="E56" s="789"/>
    </row>
    <row r="57" spans="1:5" ht="15.75" thickBot="1">
      <c r="A57" s="877" t="s">
        <v>1877</v>
      </c>
      <c r="B57" s="878">
        <f>B54*B55</f>
        <v>228135.37120000005</v>
      </c>
      <c r="C57" s="878">
        <f>C54*C55</f>
        <v>-1488.8224</v>
      </c>
      <c r="D57" s="879">
        <f>B57+C57</f>
        <v>226646.54880000005</v>
      </c>
      <c r="E57" s="880" t="s">
        <v>1700</v>
      </c>
    </row>
    <row r="58" spans="1:5">
      <c r="A58" s="788"/>
      <c r="B58" s="792"/>
      <c r="C58" s="779"/>
      <c r="D58" s="788"/>
      <c r="E58" s="789"/>
    </row>
    <row r="59" spans="1:5">
      <c r="A59" s="786"/>
      <c r="B59" s="873" t="s">
        <v>295</v>
      </c>
      <c r="C59" s="872" t="str">
        <f>C53</f>
        <v>Base Housing</v>
      </c>
      <c r="D59" s="787"/>
      <c r="E59" s="789"/>
    </row>
    <row r="60" spans="1:5">
      <c r="A60" s="837" t="s">
        <v>1878</v>
      </c>
      <c r="B60" s="876">
        <f>'Disposal (C)'!Q11+'Disposal (C)'!P25</f>
        <v>19112.390000000003</v>
      </c>
      <c r="C60" s="876">
        <f>'Disposal (C)'!Q25</f>
        <v>790.26</v>
      </c>
      <c r="D60" s="1030">
        <f>B60+C60-'Disposal (C)'!N9-'Disposal (C)'!P25-'Disposal (C)'!Q25</f>
        <v>0</v>
      </c>
      <c r="E60" s="789"/>
    </row>
    <row r="61" spans="1:5">
      <c r="A61" s="837" t="s">
        <v>1875</v>
      </c>
      <c r="B61" s="874">
        <f>B55</f>
        <v>3.04</v>
      </c>
      <c r="C61" s="875">
        <f>C55</f>
        <v>-0.26</v>
      </c>
      <c r="D61" s="786"/>
      <c r="E61" s="789"/>
    </row>
    <row r="62" spans="1:5">
      <c r="A62" s="788"/>
      <c r="B62" s="790"/>
      <c r="C62" s="793"/>
      <c r="D62" s="788"/>
      <c r="E62" s="794"/>
    </row>
    <row r="63" spans="1:5" ht="15.75" thickBot="1">
      <c r="A63" s="877" t="s">
        <v>1879</v>
      </c>
      <c r="B63" s="878">
        <f>B60*B61</f>
        <v>58101.665600000008</v>
      </c>
      <c r="C63" s="878">
        <f>C60*C61</f>
        <v>-205.4676</v>
      </c>
      <c r="D63" s="879">
        <f>B63+C63</f>
        <v>57896.198000000004</v>
      </c>
      <c r="E63" s="880" t="s">
        <v>1700</v>
      </c>
    </row>
    <row r="64" spans="1:5">
      <c r="A64" s="788"/>
      <c r="B64" s="779"/>
      <c r="C64" s="779"/>
      <c r="D64" s="779"/>
      <c r="E64" s="794"/>
    </row>
    <row r="65" spans="1:5" ht="15.75" thickBot="1">
      <c r="A65" s="786"/>
      <c r="B65" s="779"/>
      <c r="C65" s="779"/>
      <c r="D65" s="879">
        <f>D57+D63</f>
        <v>284542.74680000008</v>
      </c>
      <c r="E65" s="880" t="s">
        <v>1700</v>
      </c>
    </row>
    <row r="68" spans="1:5">
      <c r="D68" s="1003"/>
    </row>
    <row r="69" spans="1:5">
      <c r="D69" s="1037"/>
    </row>
  </sheetData>
  <customSheetViews>
    <customSheetView guid="{76FC386D-C488-46EF-BB9C-D1C49FEBAB90}" scale="85" showGridLines="0" topLeftCell="A31">
      <selection activeCell="C63" sqref="C63"/>
      <pageMargins left="0.75" right="0.75" top="1" bottom="1" header="0.5" footer="0.5"/>
      <pageSetup orientation="portrait" r:id="rId1"/>
      <headerFooter alignWithMargins="0"/>
    </customSheetView>
    <customSheetView guid="{16F8EA47-9864-4C0F-89A1-62B7CCC013F9}" scale="85" showGridLines="0" topLeftCell="A4">
      <selection activeCell="R29" sqref="R29"/>
      <pageMargins left="0.75" right="0.75" top="1" bottom="1" header="0.5" footer="0.5"/>
      <pageSetup orientation="portrait" r:id="rId2"/>
      <headerFooter alignWithMargins="0"/>
    </customSheetView>
  </customSheetViews>
  <pageMargins left="0.75" right="0.75" top="1" bottom="1" header="0.5" footer="0.5"/>
  <pageSetup scale="63" orientation="portrait" r:id="rId3"/>
  <headerFooter alignWithMargins="0"/>
  <rowBreaks count="1" manualBreakCount="1">
    <brk id="38" max="4" man="1"/>
  </rowBreaks>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BC309"/>
  <sheetViews>
    <sheetView showGridLines="0" view="pageBreakPreview" zoomScale="115" zoomScaleNormal="100" zoomScaleSheetLayoutView="115" workbookViewId="0">
      <pane xSplit="5" ySplit="6" topLeftCell="AN7" activePane="bottomRight" state="frozen"/>
      <selection activeCell="AP280" sqref="AP280"/>
      <selection pane="topRight" activeCell="AP280" sqref="AP280"/>
      <selection pane="bottomLeft" activeCell="AP280" sqref="AP280"/>
      <selection pane="bottomRight" activeCell="AP280" sqref="AP280"/>
    </sheetView>
  </sheetViews>
  <sheetFormatPr defaultRowHeight="12.75" outlineLevelCol="1"/>
  <cols>
    <col min="1" max="1" width="27.5703125" style="884" hidden="1" customWidth="1"/>
    <col min="2" max="2" width="23.140625" style="882" customWidth="1"/>
    <col min="3" max="3" width="20" style="882" customWidth="1"/>
    <col min="4" max="4" width="15.140625" style="882" hidden="1" customWidth="1"/>
    <col min="5" max="5" width="10" style="883" hidden="1" customWidth="1"/>
    <col min="6" max="6" width="9" style="884" bestFit="1" customWidth="1"/>
    <col min="7" max="7" width="9" style="882" bestFit="1" customWidth="1"/>
    <col min="8" max="8" width="1" style="882" customWidth="1"/>
    <col min="9" max="20" width="11.85546875" style="882" hidden="1" customWidth="1" outlineLevel="1"/>
    <col min="21" max="21" width="2.140625" style="882" customWidth="1" collapsed="1"/>
    <col min="22" max="22" width="11.7109375" style="882" customWidth="1"/>
    <col min="23" max="23" width="1.28515625" style="885" customWidth="1"/>
    <col min="24" max="24" width="10.28515625" style="884" hidden="1" customWidth="1" outlineLevel="1"/>
    <col min="25" max="25" width="12" style="882" hidden="1" customWidth="1" outlineLevel="1"/>
    <col min="26" max="35" width="10.28515625" style="884" hidden="1" customWidth="1" outlineLevel="1"/>
    <col min="36" max="36" width="11" style="884" bestFit="1" customWidth="1" collapsed="1"/>
    <col min="37" max="37" width="8.85546875" style="884" customWidth="1"/>
    <col min="38" max="38" width="1.5703125" style="884" customWidth="1"/>
    <col min="39" max="40" width="9.140625" style="1137"/>
    <col min="41" max="41" width="8.85546875" style="1137" customWidth="1"/>
    <col min="42" max="42" width="11" style="1154" bestFit="1" customWidth="1"/>
    <col min="43" max="43" width="1.7109375" style="1137" customWidth="1"/>
    <col min="44" max="44" width="9.140625" style="1137" bestFit="1" customWidth="1"/>
    <col min="45" max="45" width="1.5703125" style="1137" customWidth="1"/>
    <col min="46" max="46" width="13.7109375" style="1154" bestFit="1" customWidth="1"/>
    <col min="47" max="47" width="9.140625" style="884"/>
    <col min="48" max="53" width="19.7109375" style="884" customWidth="1"/>
    <col min="54" max="16384" width="9.140625" style="884"/>
  </cols>
  <sheetData>
    <row r="1" spans="1:51" ht="25.5">
      <c r="B1" s="881" t="s">
        <v>1882</v>
      </c>
      <c r="C1" s="881"/>
      <c r="D1" s="881"/>
      <c r="AM1" s="1151"/>
      <c r="AN1" s="1152" t="s">
        <v>2787</v>
      </c>
      <c r="AO1" s="1152" t="s">
        <v>2797</v>
      </c>
      <c r="AP1" s="1152" t="s">
        <v>2798</v>
      </c>
      <c r="AR1" s="1152" t="s">
        <v>2799</v>
      </c>
    </row>
    <row r="2" spans="1:51">
      <c r="B2" s="881" t="s">
        <v>1883</v>
      </c>
      <c r="C2" s="881"/>
      <c r="D2" s="881"/>
      <c r="F2" s="882"/>
      <c r="I2" s="886"/>
      <c r="T2" s="886"/>
      <c r="U2" s="886"/>
      <c r="V2" s="886"/>
      <c r="W2" s="887"/>
      <c r="AA2" s="888"/>
      <c r="AB2" s="888"/>
      <c r="AC2" s="888"/>
      <c r="AD2" s="888"/>
      <c r="AM2" s="1138" t="s">
        <v>1720</v>
      </c>
      <c r="AN2" s="1153">
        <f ca="1">'LG MSW'!K22</f>
        <v>-2.8449160478212221E-3</v>
      </c>
      <c r="AO2" s="1174">
        <f>AW23</f>
        <v>1.5443542197600716E-2</v>
      </c>
      <c r="AP2" s="1173">
        <v>-1E-3</v>
      </c>
      <c r="AR2" s="1174">
        <f ca="1">AN2+AO2+AP2</f>
        <v>1.1598626149779495E-2</v>
      </c>
    </row>
    <row r="3" spans="1:51">
      <c r="B3" s="881" t="s">
        <v>1884</v>
      </c>
      <c r="C3" s="881"/>
      <c r="D3" s="881"/>
      <c r="F3" s="882"/>
      <c r="I3" s="886"/>
      <c r="T3" s="886"/>
      <c r="U3" s="886"/>
      <c r="V3" s="886"/>
      <c r="W3" s="887"/>
      <c r="AM3" s="1138" t="s">
        <v>2440</v>
      </c>
      <c r="AN3" s="1153">
        <f ca="1">'LG Recycle'!K22</f>
        <v>0.32565588961321712</v>
      </c>
      <c r="AP3" s="1173">
        <v>1.2999999999999999E-3</v>
      </c>
      <c r="AR3" s="1174">
        <f ca="1">AN3+AO3+AP3</f>
        <v>0.32695588961321714</v>
      </c>
    </row>
    <row r="4" spans="1:51">
      <c r="B4" s="881" t="s">
        <v>943</v>
      </c>
      <c r="C4" s="881"/>
      <c r="D4" s="881"/>
      <c r="F4" s="882"/>
      <c r="W4" s="889"/>
      <c r="AM4" s="1138" t="s">
        <v>5</v>
      </c>
      <c r="AN4" s="1153">
        <f ca="1">'LG YW'!K22</f>
        <v>0.14062524584753344</v>
      </c>
      <c r="AP4" s="1173">
        <v>-1.1E-4</v>
      </c>
      <c r="AR4" s="1174">
        <f ca="1">AN4+AO4+AP4</f>
        <v>0.14051524584753344</v>
      </c>
    </row>
    <row r="5" spans="1:51" ht="14.25" customHeight="1">
      <c r="C5" s="890"/>
      <c r="D5" s="890"/>
      <c r="F5" s="891"/>
      <c r="G5" s="891"/>
      <c r="I5" s="1547" t="s">
        <v>166</v>
      </c>
      <c r="J5" s="1547"/>
      <c r="K5" s="1547"/>
      <c r="L5" s="1547"/>
      <c r="M5" s="1547"/>
      <c r="N5" s="1547"/>
      <c r="O5" s="1547"/>
      <c r="P5" s="1547"/>
      <c r="Q5" s="1547"/>
      <c r="R5" s="1547"/>
      <c r="S5" s="1547"/>
      <c r="T5" s="1547"/>
      <c r="U5" s="883"/>
      <c r="V5" s="883"/>
      <c r="X5" s="1547" t="s">
        <v>373</v>
      </c>
      <c r="Y5" s="1547"/>
      <c r="Z5" s="1547"/>
      <c r="AA5" s="1547"/>
      <c r="AB5" s="1547"/>
      <c r="AC5" s="1547"/>
      <c r="AD5" s="1547"/>
      <c r="AE5" s="1547"/>
      <c r="AF5" s="1547"/>
      <c r="AG5" s="1547"/>
      <c r="AH5" s="1547"/>
      <c r="AI5" s="1547"/>
    </row>
    <row r="6" spans="1:51" ht="37.5" customHeight="1">
      <c r="B6" s="892" t="s">
        <v>1885</v>
      </c>
      <c r="C6" s="890" t="s">
        <v>1886</v>
      </c>
      <c r="D6" s="890" t="s">
        <v>1887</v>
      </c>
      <c r="E6" s="890" t="s">
        <v>1888</v>
      </c>
      <c r="F6" s="890" t="s">
        <v>1889</v>
      </c>
      <c r="G6" s="890" t="s">
        <v>1890</v>
      </c>
      <c r="H6" s="890"/>
      <c r="I6" s="893">
        <v>43435</v>
      </c>
      <c r="J6" s="893">
        <v>43466</v>
      </c>
      <c r="K6" s="893">
        <v>43497</v>
      </c>
      <c r="L6" s="893">
        <v>43525</v>
      </c>
      <c r="M6" s="893">
        <v>43556</v>
      </c>
      <c r="N6" s="893">
        <v>43586</v>
      </c>
      <c r="O6" s="893">
        <v>43617</v>
      </c>
      <c r="P6" s="893">
        <v>43647</v>
      </c>
      <c r="Q6" s="893">
        <v>43678</v>
      </c>
      <c r="R6" s="893">
        <v>43709</v>
      </c>
      <c r="S6" s="893">
        <v>43739</v>
      </c>
      <c r="T6" s="893">
        <v>43770</v>
      </c>
      <c r="U6" s="893"/>
      <c r="V6" s="894" t="s">
        <v>1891</v>
      </c>
      <c r="W6" s="895"/>
      <c r="X6" s="893">
        <f t="shared" ref="X6:AI6" si="0">+I6</f>
        <v>43435</v>
      </c>
      <c r="Y6" s="893">
        <f t="shared" si="0"/>
        <v>43466</v>
      </c>
      <c r="Z6" s="893">
        <f t="shared" si="0"/>
        <v>43497</v>
      </c>
      <c r="AA6" s="893">
        <f t="shared" si="0"/>
        <v>43525</v>
      </c>
      <c r="AB6" s="893">
        <f t="shared" si="0"/>
        <v>43556</v>
      </c>
      <c r="AC6" s="893">
        <f t="shared" si="0"/>
        <v>43586</v>
      </c>
      <c r="AD6" s="893">
        <f t="shared" si="0"/>
        <v>43617</v>
      </c>
      <c r="AE6" s="893">
        <f t="shared" si="0"/>
        <v>43647</v>
      </c>
      <c r="AF6" s="893">
        <f t="shared" si="0"/>
        <v>43678</v>
      </c>
      <c r="AG6" s="893">
        <f t="shared" si="0"/>
        <v>43709</v>
      </c>
      <c r="AH6" s="893">
        <f t="shared" si="0"/>
        <v>43739</v>
      </c>
      <c r="AI6" s="893">
        <f t="shared" si="0"/>
        <v>43770</v>
      </c>
      <c r="AJ6" s="894" t="s">
        <v>1892</v>
      </c>
      <c r="AN6" s="1139" t="s">
        <v>2783</v>
      </c>
      <c r="AP6" s="1155" t="s">
        <v>2784</v>
      </c>
      <c r="AR6" s="1139" t="s">
        <v>2785</v>
      </c>
      <c r="AT6" s="1155" t="s">
        <v>2786</v>
      </c>
    </row>
    <row r="7" spans="1:51">
      <c r="F7" s="882"/>
      <c r="V7" s="896"/>
      <c r="W7" s="889"/>
      <c r="AJ7" s="896"/>
    </row>
    <row r="8" spans="1:51">
      <c r="B8" s="897" t="s">
        <v>1893</v>
      </c>
      <c r="C8" s="898"/>
      <c r="D8" s="898"/>
      <c r="F8" s="899"/>
      <c r="G8" s="899"/>
      <c r="H8" s="899"/>
      <c r="I8" s="899"/>
      <c r="J8" s="899"/>
      <c r="K8" s="899"/>
      <c r="L8" s="899"/>
      <c r="M8" s="899"/>
      <c r="N8" s="899"/>
      <c r="O8" s="899"/>
      <c r="P8" s="899"/>
      <c r="Q8" s="899"/>
      <c r="R8" s="899"/>
      <c r="S8" s="899"/>
      <c r="T8" s="899"/>
      <c r="U8" s="899"/>
      <c r="V8" s="900"/>
      <c r="W8" s="901"/>
      <c r="AJ8" s="900"/>
    </row>
    <row r="9" spans="1:51">
      <c r="B9" s="897"/>
      <c r="C9" s="898"/>
      <c r="D9" s="898"/>
      <c r="F9" s="899"/>
      <c r="G9" s="899"/>
      <c r="H9" s="899"/>
      <c r="I9" s="899"/>
      <c r="J9" s="899"/>
      <c r="K9" s="899"/>
      <c r="L9" s="899"/>
      <c r="M9" s="899"/>
      <c r="N9" s="899"/>
      <c r="O9" s="899"/>
      <c r="P9" s="899"/>
      <c r="Q9" s="899"/>
      <c r="R9" s="899"/>
      <c r="S9" s="899"/>
      <c r="T9" s="899"/>
      <c r="U9" s="899"/>
      <c r="V9" s="900"/>
      <c r="W9" s="901"/>
      <c r="AJ9" s="900"/>
    </row>
    <row r="10" spans="1:51">
      <c r="A10" s="902" t="s">
        <v>1894</v>
      </c>
      <c r="B10" s="903" t="s">
        <v>1895</v>
      </c>
      <c r="C10" s="898"/>
      <c r="D10" s="898"/>
      <c r="F10" s="899"/>
      <c r="G10" s="899"/>
      <c r="H10" s="899"/>
      <c r="I10" s="899"/>
      <c r="J10" s="899"/>
      <c r="K10" s="899"/>
      <c r="L10" s="899"/>
      <c r="M10" s="899"/>
      <c r="N10" s="899"/>
      <c r="O10" s="899"/>
      <c r="P10" s="899"/>
      <c r="Q10" s="899"/>
      <c r="R10" s="899"/>
      <c r="S10" s="899"/>
      <c r="T10" s="899"/>
      <c r="U10" s="899"/>
      <c r="V10" s="900"/>
      <c r="W10" s="901"/>
      <c r="AJ10" s="900"/>
    </row>
    <row r="11" spans="1:51">
      <c r="A11" s="884" t="str">
        <f t="shared" ref="A11:A42" si="1">$B$3&amp;"Residential"&amp;B11</f>
        <v>PIERCE UTCResidentialRL020.0G1W001</v>
      </c>
      <c r="B11" s="889" t="s">
        <v>1896</v>
      </c>
      <c r="C11" s="889" t="s">
        <v>1897</v>
      </c>
      <c r="D11" s="889" t="s">
        <v>409</v>
      </c>
      <c r="E11" s="883">
        <v>32000</v>
      </c>
      <c r="F11" s="904">
        <v>13.7</v>
      </c>
      <c r="G11" s="904">
        <v>13.95</v>
      </c>
      <c r="H11" s="904"/>
      <c r="I11" s="906">
        <v>138</v>
      </c>
      <c r="J11" s="906">
        <v>178.10000000000002</v>
      </c>
      <c r="K11" s="906">
        <v>178.85000000000002</v>
      </c>
      <c r="L11" s="906">
        <v>166.65</v>
      </c>
      <c r="M11" s="906">
        <v>167.4</v>
      </c>
      <c r="N11" s="906">
        <v>167.4</v>
      </c>
      <c r="O11" s="906">
        <v>158.68</v>
      </c>
      <c r="P11" s="906">
        <v>118.38</v>
      </c>
      <c r="Q11" s="906">
        <v>111.6</v>
      </c>
      <c r="R11" s="906">
        <v>120.89999999999999</v>
      </c>
      <c r="S11" s="906">
        <v>97.65</v>
      </c>
      <c r="T11" s="906">
        <v>97.65</v>
      </c>
      <c r="U11" s="906"/>
      <c r="V11" s="957">
        <f t="shared" ref="V11:V61" si="2">SUM(I11:T11)</f>
        <v>1701.2600000000002</v>
      </c>
      <c r="W11" s="905"/>
      <c r="X11" s="906">
        <f t="shared" ref="X11:Z61" si="3">IFERROR(I11/$F11,0)</f>
        <v>10.072992700729927</v>
      </c>
      <c r="Y11" s="906">
        <f t="shared" si="3"/>
        <v>13.000000000000002</v>
      </c>
      <c r="Z11" s="906">
        <f t="shared" si="3"/>
        <v>13.054744525547447</v>
      </c>
      <c r="AA11" s="906">
        <f t="shared" ref="AA11:AI39" si="4">IFERROR(L11/$G11,0)</f>
        <v>11.946236559139786</v>
      </c>
      <c r="AB11" s="906">
        <f t="shared" si="4"/>
        <v>12.000000000000002</v>
      </c>
      <c r="AC11" s="906">
        <f t="shared" si="4"/>
        <v>12.000000000000002</v>
      </c>
      <c r="AD11" s="906">
        <f t="shared" si="4"/>
        <v>11.374910394265234</v>
      </c>
      <c r="AE11" s="906">
        <f t="shared" si="4"/>
        <v>8.4860215053763444</v>
      </c>
      <c r="AF11" s="906">
        <f t="shared" si="4"/>
        <v>8</v>
      </c>
      <c r="AG11" s="906">
        <f t="shared" si="4"/>
        <v>8.6666666666666661</v>
      </c>
      <c r="AH11" s="906">
        <f t="shared" si="4"/>
        <v>7.0000000000000009</v>
      </c>
      <c r="AI11" s="906">
        <f t="shared" si="4"/>
        <v>7.0000000000000009</v>
      </c>
      <c r="AJ11" s="907">
        <f t="shared" ref="AJ11:AJ61" si="5">AVERAGE(X11:AI11)</f>
        <v>10.216797695977117</v>
      </c>
      <c r="AN11" s="1140">
        <f ca="1">G11*$AR$2</f>
        <v>0.16180083478942395</v>
      </c>
      <c r="AP11" s="1154">
        <f ca="1">AJ11*AN11*12</f>
        <v>19.83703675300513</v>
      </c>
      <c r="AR11" s="1140">
        <f ca="1">G11+AN11</f>
        <v>14.111800834789424</v>
      </c>
      <c r="AT11" s="1154">
        <f ca="1">V11+AP11</f>
        <v>1721.0970367530053</v>
      </c>
      <c r="AV11" s="1548" t="s">
        <v>2788</v>
      </c>
      <c r="AW11" s="1548"/>
      <c r="AX11" s="1548"/>
      <c r="AY11" s="1548"/>
    </row>
    <row r="12" spans="1:51">
      <c r="A12" s="884" t="str">
        <f t="shared" si="1"/>
        <v>PIERCE UTCResidentialRL032.0G1M001NOREC</v>
      </c>
      <c r="B12" s="889" t="s">
        <v>1898</v>
      </c>
      <c r="C12" s="889" t="s">
        <v>1899</v>
      </c>
      <c r="D12" s="889" t="s">
        <v>409</v>
      </c>
      <c r="E12" s="883">
        <v>32000</v>
      </c>
      <c r="F12" s="904">
        <v>8.4700000000000006</v>
      </c>
      <c r="G12" s="904">
        <v>8.57</v>
      </c>
      <c r="H12" s="904"/>
      <c r="I12" s="906">
        <v>17.04</v>
      </c>
      <c r="J12" s="906">
        <v>16.940000000000001</v>
      </c>
      <c r="K12" s="906">
        <v>16.990000000000002</v>
      </c>
      <c r="L12" s="906">
        <v>17.09</v>
      </c>
      <c r="M12" s="906">
        <v>17.14</v>
      </c>
      <c r="N12" s="906">
        <v>17.14</v>
      </c>
      <c r="O12" s="906">
        <v>17.14</v>
      </c>
      <c r="P12" s="906">
        <v>17.14</v>
      </c>
      <c r="Q12" s="906">
        <v>17.14</v>
      </c>
      <c r="R12" s="906">
        <v>17.14</v>
      </c>
      <c r="S12" s="906">
        <v>8.57</v>
      </c>
      <c r="T12" s="906">
        <v>8.57</v>
      </c>
      <c r="U12" s="906"/>
      <c r="V12" s="957">
        <f t="shared" si="2"/>
        <v>188.03999999999996</v>
      </c>
      <c r="W12" s="905"/>
      <c r="X12" s="906">
        <f t="shared" si="3"/>
        <v>2.0118063754427387</v>
      </c>
      <c r="Y12" s="906">
        <f t="shared" si="3"/>
        <v>2</v>
      </c>
      <c r="Z12" s="906">
        <f t="shared" si="3"/>
        <v>2.0059031877213696</v>
      </c>
      <c r="AA12" s="906">
        <f t="shared" si="4"/>
        <v>1.9941656942823802</v>
      </c>
      <c r="AB12" s="906">
        <f t="shared" si="4"/>
        <v>2</v>
      </c>
      <c r="AC12" s="906">
        <f t="shared" si="4"/>
        <v>2</v>
      </c>
      <c r="AD12" s="906">
        <f t="shared" si="4"/>
        <v>2</v>
      </c>
      <c r="AE12" s="906">
        <f t="shared" si="4"/>
        <v>2</v>
      </c>
      <c r="AF12" s="906">
        <f t="shared" si="4"/>
        <v>2</v>
      </c>
      <c r="AG12" s="906">
        <f t="shared" si="4"/>
        <v>2</v>
      </c>
      <c r="AH12" s="906">
        <f t="shared" si="4"/>
        <v>1</v>
      </c>
      <c r="AI12" s="906">
        <f t="shared" si="4"/>
        <v>1</v>
      </c>
      <c r="AJ12" s="907">
        <f t="shared" si="5"/>
        <v>1.8343229381205406</v>
      </c>
      <c r="AN12" s="1178">
        <f ca="1">AN13</f>
        <v>8.7801599953830786E-2</v>
      </c>
      <c r="AP12" s="1154">
        <f t="shared" ref="AP12:AP61" ca="1" si="6">AJ12*AN12*12</f>
        <v>1.9326778655879424</v>
      </c>
      <c r="AR12" s="1140">
        <f t="shared" ref="AR12:AR61" ca="1" si="7">G12+AN12</f>
        <v>8.6578015999538316</v>
      </c>
      <c r="AT12" s="1154">
        <f t="shared" ref="AT12:AT61" ca="1" si="8">V12+AP12</f>
        <v>189.97267786558791</v>
      </c>
    </row>
    <row r="13" spans="1:51">
      <c r="A13" s="884" t="str">
        <f t="shared" si="1"/>
        <v>PIERCE UTCResidentialRL032.0G1M001WREC</v>
      </c>
      <c r="B13" s="889" t="s">
        <v>1900</v>
      </c>
      <c r="C13" s="889" t="s">
        <v>1901</v>
      </c>
      <c r="D13" s="889" t="s">
        <v>409</v>
      </c>
      <c r="E13" s="883">
        <v>32000</v>
      </c>
      <c r="F13" s="904">
        <v>7.47</v>
      </c>
      <c r="G13" s="904">
        <v>7.57</v>
      </c>
      <c r="H13" s="904"/>
      <c r="I13" s="906">
        <v>420.41999999999996</v>
      </c>
      <c r="J13" s="906">
        <v>478.07999999999993</v>
      </c>
      <c r="K13" s="906">
        <v>487.35</v>
      </c>
      <c r="L13" s="906">
        <v>467.64</v>
      </c>
      <c r="M13" s="906">
        <v>465.55500000000001</v>
      </c>
      <c r="N13" s="906">
        <v>465.55500000000001</v>
      </c>
      <c r="O13" s="906">
        <v>461.77</v>
      </c>
      <c r="P13" s="906">
        <v>439.06</v>
      </c>
      <c r="Q13" s="906">
        <v>401.21000000000004</v>
      </c>
      <c r="R13" s="906">
        <v>333.08000000000004</v>
      </c>
      <c r="S13" s="906">
        <v>355.78999999999996</v>
      </c>
      <c r="T13" s="906">
        <v>355.78999999999996</v>
      </c>
      <c r="U13" s="906"/>
      <c r="V13" s="957">
        <f t="shared" si="2"/>
        <v>5131.2999999999993</v>
      </c>
      <c r="W13" s="905"/>
      <c r="X13" s="906">
        <f t="shared" si="3"/>
        <v>56.281124497991968</v>
      </c>
      <c r="Y13" s="906">
        <f t="shared" si="3"/>
        <v>63.999999999999993</v>
      </c>
      <c r="Z13" s="906">
        <f t="shared" si="3"/>
        <v>65.240963855421697</v>
      </c>
      <c r="AA13" s="906">
        <f t="shared" si="4"/>
        <v>61.775429326287977</v>
      </c>
      <c r="AB13" s="906">
        <f t="shared" si="4"/>
        <v>61.5</v>
      </c>
      <c r="AC13" s="906">
        <f t="shared" si="4"/>
        <v>61.5</v>
      </c>
      <c r="AD13" s="906">
        <f t="shared" si="4"/>
        <v>60.999999999999993</v>
      </c>
      <c r="AE13" s="906">
        <f t="shared" si="4"/>
        <v>58</v>
      </c>
      <c r="AF13" s="906">
        <f t="shared" si="4"/>
        <v>53</v>
      </c>
      <c r="AG13" s="906">
        <f t="shared" si="4"/>
        <v>44.000000000000007</v>
      </c>
      <c r="AH13" s="906">
        <f t="shared" si="4"/>
        <v>46.999999999999993</v>
      </c>
      <c r="AI13" s="906">
        <f t="shared" si="4"/>
        <v>46.999999999999993</v>
      </c>
      <c r="AJ13" s="907">
        <f t="shared" si="5"/>
        <v>56.691459806641802</v>
      </c>
      <c r="AN13" s="1140">
        <f t="shared" ref="AN13:AN61" ca="1" si="9">G13*$AR$2</f>
        <v>8.7801599953830786E-2</v>
      </c>
      <c r="AP13" s="1154">
        <f t="shared" ca="1" si="6"/>
        <v>59.73121049689729</v>
      </c>
      <c r="AR13" s="1140">
        <f t="shared" ca="1" si="7"/>
        <v>7.6578015999538307</v>
      </c>
      <c r="AT13" s="1154">
        <f t="shared" ca="1" si="8"/>
        <v>5191.0312104968962</v>
      </c>
      <c r="AV13" s="1008" t="s">
        <v>2789</v>
      </c>
      <c r="AW13" s="1154">
        <f>'Disposal (C)'!Q13+'Disposal (C)'!Q12</f>
        <v>7128.4</v>
      </c>
    </row>
    <row r="14" spans="1:51">
      <c r="A14" s="884" t="str">
        <f t="shared" si="1"/>
        <v>PIERCE UTCResidentialRL032.0G1W001NOREC</v>
      </c>
      <c r="B14" s="889" t="s">
        <v>1902</v>
      </c>
      <c r="C14" s="889" t="s">
        <v>1903</v>
      </c>
      <c r="D14" s="889" t="s">
        <v>409</v>
      </c>
      <c r="E14" s="883">
        <v>32000</v>
      </c>
      <c r="F14" s="904">
        <v>19.5</v>
      </c>
      <c r="G14" s="904">
        <v>19.93</v>
      </c>
      <c r="H14" s="904"/>
      <c r="I14" s="906">
        <v>2050.9300000000003</v>
      </c>
      <c r="J14" s="906">
        <v>1658.13</v>
      </c>
      <c r="K14" s="906">
        <v>1654.83</v>
      </c>
      <c r="L14" s="906">
        <v>1672.8899999999999</v>
      </c>
      <c r="M14" s="906">
        <v>1632.0450000000001</v>
      </c>
      <c r="N14" s="906">
        <v>1545.105</v>
      </c>
      <c r="O14" s="906">
        <v>1591.355</v>
      </c>
      <c r="P14" s="906">
        <v>1488.375</v>
      </c>
      <c r="Q14" s="906">
        <v>1477.03</v>
      </c>
      <c r="R14" s="906">
        <v>1397.9499999999998</v>
      </c>
      <c r="S14" s="906">
        <v>1395.1</v>
      </c>
      <c r="T14" s="906">
        <v>1395.1</v>
      </c>
      <c r="U14" s="906"/>
      <c r="V14" s="957">
        <f t="shared" si="2"/>
        <v>18958.839999999997</v>
      </c>
      <c r="W14" s="905"/>
      <c r="X14" s="906">
        <f t="shared" si="3"/>
        <v>105.17589743589745</v>
      </c>
      <c r="Y14" s="906">
        <f t="shared" si="3"/>
        <v>85.032307692307697</v>
      </c>
      <c r="Z14" s="906">
        <f t="shared" si="3"/>
        <v>84.863076923076918</v>
      </c>
      <c r="AA14" s="906">
        <f t="shared" si="4"/>
        <v>83.938283993978928</v>
      </c>
      <c r="AB14" s="906">
        <f t="shared" si="4"/>
        <v>81.888861013547427</v>
      </c>
      <c r="AC14" s="906">
        <f t="shared" si="4"/>
        <v>77.526593075765177</v>
      </c>
      <c r="AD14" s="906">
        <f t="shared" si="4"/>
        <v>79.84721525338685</v>
      </c>
      <c r="AE14" s="906">
        <f t="shared" si="4"/>
        <v>74.680130456598093</v>
      </c>
      <c r="AF14" s="906">
        <f t="shared" si="4"/>
        <v>74.110888108379328</v>
      </c>
      <c r="AG14" s="906">
        <f t="shared" si="4"/>
        <v>70.143000501756134</v>
      </c>
      <c r="AH14" s="906">
        <f t="shared" si="4"/>
        <v>70</v>
      </c>
      <c r="AI14" s="906">
        <f t="shared" si="4"/>
        <v>70</v>
      </c>
      <c r="AJ14" s="907">
        <f t="shared" si="5"/>
        <v>79.767187871224493</v>
      </c>
      <c r="AN14" s="1178">
        <f ca="1">AN15</f>
        <v>0.21956199301532583</v>
      </c>
      <c r="AP14" s="1154">
        <f t="shared" ca="1" si="6"/>
        <v>210.16611295480772</v>
      </c>
      <c r="AR14" s="1140">
        <f t="shared" ca="1" si="7"/>
        <v>20.149561993015325</v>
      </c>
      <c r="AT14" s="1154">
        <f t="shared" ca="1" si="8"/>
        <v>19169.006112954805</v>
      </c>
      <c r="AV14" s="1008" t="s">
        <v>2790</v>
      </c>
      <c r="AW14" s="884">
        <v>167.38</v>
      </c>
    </row>
    <row r="15" spans="1:51">
      <c r="A15" s="884" t="str">
        <f t="shared" si="1"/>
        <v>PIERCE UTCResidentialRL032.0G1W001WREC</v>
      </c>
      <c r="B15" s="889" t="s">
        <v>1904</v>
      </c>
      <c r="C15" s="889" t="s">
        <v>1905</v>
      </c>
      <c r="D15" s="889" t="s">
        <v>409</v>
      </c>
      <c r="E15" s="883">
        <v>32000</v>
      </c>
      <c r="F15" s="904">
        <v>18.5</v>
      </c>
      <c r="G15" s="904">
        <v>18.93</v>
      </c>
      <c r="H15" s="904"/>
      <c r="I15" s="906">
        <v>15119.055</v>
      </c>
      <c r="J15" s="906">
        <v>25163.824999999997</v>
      </c>
      <c r="K15" s="906">
        <v>25042.57</v>
      </c>
      <c r="L15" s="906">
        <v>25029.014999999996</v>
      </c>
      <c r="M15" s="906">
        <v>24816.379999999997</v>
      </c>
      <c r="N15" s="906">
        <v>24571.11</v>
      </c>
      <c r="O15" s="906">
        <v>24093.91</v>
      </c>
      <c r="P15" s="906">
        <v>22458.544999999998</v>
      </c>
      <c r="Q15" s="906">
        <v>11826.519999999997</v>
      </c>
      <c r="R15" s="906">
        <v>3632.1149999999998</v>
      </c>
      <c r="S15" s="906">
        <v>3531.3249999999998</v>
      </c>
      <c r="T15" s="906">
        <v>3459.9799999999996</v>
      </c>
      <c r="U15" s="906"/>
      <c r="V15" s="957">
        <f t="shared" si="2"/>
        <v>208744.35000000003</v>
      </c>
      <c r="W15" s="905"/>
      <c r="X15" s="906">
        <f t="shared" si="3"/>
        <v>817.24621621621623</v>
      </c>
      <c r="Y15" s="906">
        <f t="shared" si="3"/>
        <v>1360.2067567567567</v>
      </c>
      <c r="Z15" s="906">
        <f t="shared" si="3"/>
        <v>1353.6524324324323</v>
      </c>
      <c r="AA15" s="906">
        <f t="shared" si="4"/>
        <v>1322.1877971473848</v>
      </c>
      <c r="AB15" s="906">
        <f t="shared" si="4"/>
        <v>1310.9550977284732</v>
      </c>
      <c r="AC15" s="906">
        <f t="shared" si="4"/>
        <v>1297.9984152139461</v>
      </c>
      <c r="AD15" s="906">
        <f t="shared" si="4"/>
        <v>1272.7897517168515</v>
      </c>
      <c r="AE15" s="906">
        <f t="shared" si="4"/>
        <v>1186.3996302165874</v>
      </c>
      <c r="AF15" s="906">
        <f t="shared" si="4"/>
        <v>624.75013206550432</v>
      </c>
      <c r="AG15" s="906">
        <f t="shared" si="4"/>
        <v>191.87083993660855</v>
      </c>
      <c r="AH15" s="906">
        <f t="shared" si="4"/>
        <v>186.54648705758055</v>
      </c>
      <c r="AI15" s="906">
        <f t="shared" si="4"/>
        <v>182.77760169043844</v>
      </c>
      <c r="AJ15" s="907">
        <f t="shared" si="5"/>
        <v>925.61509651489826</v>
      </c>
      <c r="AN15" s="1140">
        <f t="shared" ca="1" si="9"/>
        <v>0.21956199301532583</v>
      </c>
      <c r="AP15" s="1154">
        <f t="shared" ca="1" si="6"/>
        <v>2438.7587442706108</v>
      </c>
      <c r="AR15" s="1140">
        <f t="shared" ca="1" si="7"/>
        <v>19.149561993015325</v>
      </c>
      <c r="AT15" s="1154">
        <f t="shared" ca="1" si="8"/>
        <v>211183.10874427063</v>
      </c>
      <c r="AV15" s="1008" t="s">
        <v>2791</v>
      </c>
      <c r="AW15" s="884">
        <v>112.38</v>
      </c>
    </row>
    <row r="16" spans="1:51" ht="34.5" customHeight="1">
      <c r="A16" s="884" t="str">
        <f t="shared" si="1"/>
        <v>PIERCE UTCResidentialRL032.0G1W002NOREC</v>
      </c>
      <c r="B16" s="889" t="s">
        <v>1906</v>
      </c>
      <c r="C16" s="889" t="s">
        <v>1907</v>
      </c>
      <c r="D16" s="889" t="s">
        <v>409</v>
      </c>
      <c r="E16" s="883">
        <v>32000</v>
      </c>
      <c r="F16" s="904">
        <v>29.26</v>
      </c>
      <c r="G16" s="904">
        <v>29.91</v>
      </c>
      <c r="H16" s="904"/>
      <c r="I16" s="906">
        <v>26.58499999999998</v>
      </c>
      <c r="J16" s="906">
        <v>778.93999999999994</v>
      </c>
      <c r="K16" s="906">
        <v>764.66</v>
      </c>
      <c r="L16" s="906">
        <v>773.76</v>
      </c>
      <c r="M16" s="906">
        <v>747.75</v>
      </c>
      <c r="N16" s="906">
        <v>747.75</v>
      </c>
      <c r="O16" s="906">
        <v>747.75</v>
      </c>
      <c r="P16" s="906">
        <v>717.83999999999992</v>
      </c>
      <c r="Q16" s="906">
        <v>717.83999999999992</v>
      </c>
      <c r="R16" s="906">
        <v>717.83999999999992</v>
      </c>
      <c r="S16" s="906">
        <v>717.83999999999992</v>
      </c>
      <c r="T16" s="906">
        <v>661.34500000000003</v>
      </c>
      <c r="U16" s="906"/>
      <c r="V16" s="957">
        <f t="shared" si="2"/>
        <v>8119.9000000000005</v>
      </c>
      <c r="W16" s="905"/>
      <c r="X16" s="906">
        <f t="shared" si="3"/>
        <v>0.90857826384142104</v>
      </c>
      <c r="Y16" s="906">
        <f t="shared" si="3"/>
        <v>26.621326042378669</v>
      </c>
      <c r="Z16" s="906">
        <f t="shared" si="3"/>
        <v>26.133287764866711</v>
      </c>
      <c r="AA16" s="906">
        <f t="shared" si="4"/>
        <v>25.869608826479439</v>
      </c>
      <c r="AB16" s="906">
        <f t="shared" si="4"/>
        <v>25</v>
      </c>
      <c r="AC16" s="906">
        <f t="shared" si="4"/>
        <v>25</v>
      </c>
      <c r="AD16" s="906">
        <f t="shared" si="4"/>
        <v>25</v>
      </c>
      <c r="AE16" s="906">
        <f t="shared" si="4"/>
        <v>23.999999999999996</v>
      </c>
      <c r="AF16" s="906">
        <f t="shared" si="4"/>
        <v>23.999999999999996</v>
      </c>
      <c r="AG16" s="906">
        <f t="shared" si="4"/>
        <v>23.999999999999996</v>
      </c>
      <c r="AH16" s="906">
        <f t="shared" si="4"/>
        <v>23.999999999999996</v>
      </c>
      <c r="AI16" s="906">
        <f t="shared" si="4"/>
        <v>22.11116683383484</v>
      </c>
      <c r="AJ16" s="907">
        <f t="shared" si="5"/>
        <v>22.720330644283422</v>
      </c>
      <c r="AN16" s="1178">
        <f ca="1">AN17</f>
        <v>0.32371765584034573</v>
      </c>
      <c r="AP16" s="1154">
        <f t="shared" ca="1" si="6"/>
        <v>88.259666113020018</v>
      </c>
      <c r="AR16" s="1140">
        <f t="shared" ca="1" si="7"/>
        <v>30.233717655840344</v>
      </c>
      <c r="AT16" s="1154">
        <f t="shared" ca="1" si="8"/>
        <v>8208.1596661130206</v>
      </c>
      <c r="AV16" s="1163" t="s">
        <v>2792</v>
      </c>
      <c r="AW16" s="1171">
        <f>(AW15-AW14)*AW13</f>
        <v>-392062</v>
      </c>
    </row>
    <row r="17" spans="1:53">
      <c r="A17" s="884" t="str">
        <f t="shared" si="1"/>
        <v>PIERCE UTCResidentialRL032.0G1W002WREC</v>
      </c>
      <c r="B17" s="889" t="s">
        <v>1908</v>
      </c>
      <c r="C17" s="889" t="s">
        <v>1909</v>
      </c>
      <c r="D17" s="889" t="s">
        <v>409</v>
      </c>
      <c r="E17" s="883">
        <v>32000</v>
      </c>
      <c r="F17" s="904">
        <v>27.26</v>
      </c>
      <c r="G17" s="904">
        <v>27.91</v>
      </c>
      <c r="H17" s="904"/>
      <c r="I17" s="906">
        <v>5772.59</v>
      </c>
      <c r="J17" s="906">
        <v>6129.74</v>
      </c>
      <c r="K17" s="906">
        <v>6125.77</v>
      </c>
      <c r="L17" s="906">
        <v>6211.7000000000007</v>
      </c>
      <c r="M17" s="906">
        <v>6137.0999999999995</v>
      </c>
      <c r="N17" s="906">
        <v>6124.6900000000005</v>
      </c>
      <c r="O17" s="906">
        <v>6028.57</v>
      </c>
      <c r="P17" s="906">
        <v>5715.35</v>
      </c>
      <c r="Q17" s="906">
        <v>5400.585</v>
      </c>
      <c r="R17" s="906">
        <v>5264.13</v>
      </c>
      <c r="S17" s="906">
        <v>5240.875</v>
      </c>
      <c r="T17" s="906">
        <v>5191.26</v>
      </c>
      <c r="U17" s="906"/>
      <c r="V17" s="957">
        <f t="shared" si="2"/>
        <v>69342.359999999986</v>
      </c>
      <c r="W17" s="905"/>
      <c r="X17" s="906">
        <f t="shared" si="3"/>
        <v>211.76045487894351</v>
      </c>
      <c r="Y17" s="906">
        <f t="shared" si="3"/>
        <v>224.86206896551721</v>
      </c>
      <c r="Z17" s="906">
        <f t="shared" si="3"/>
        <v>224.71643433602347</v>
      </c>
      <c r="AA17" s="906">
        <f t="shared" si="4"/>
        <v>222.5618058043712</v>
      </c>
      <c r="AB17" s="906">
        <f t="shared" si="4"/>
        <v>219.88892869939087</v>
      </c>
      <c r="AC17" s="906">
        <f t="shared" si="4"/>
        <v>219.44428520243642</v>
      </c>
      <c r="AD17" s="906">
        <f t="shared" si="4"/>
        <v>216.00035829451809</v>
      </c>
      <c r="AE17" s="906">
        <f t="shared" si="4"/>
        <v>204.7778573987818</v>
      </c>
      <c r="AF17" s="906">
        <f t="shared" si="4"/>
        <v>193.5</v>
      </c>
      <c r="AG17" s="906">
        <f t="shared" si="4"/>
        <v>188.61089215335005</v>
      </c>
      <c r="AH17" s="906">
        <f t="shared" si="4"/>
        <v>187.77767825152276</v>
      </c>
      <c r="AI17" s="906">
        <f t="shared" si="4"/>
        <v>186</v>
      </c>
      <c r="AJ17" s="907">
        <f t="shared" si="5"/>
        <v>208.32506366540463</v>
      </c>
      <c r="AN17" s="1140">
        <f t="shared" ca="1" si="9"/>
        <v>0.32371765584034573</v>
      </c>
      <c r="AP17" s="1154">
        <f t="shared" ca="1" si="6"/>
        <v>809.26201515066668</v>
      </c>
      <c r="AR17" s="1140">
        <f t="shared" ca="1" si="7"/>
        <v>28.233717655840344</v>
      </c>
      <c r="AT17" s="1154">
        <f t="shared" ca="1" si="8"/>
        <v>70151.622015150657</v>
      </c>
    </row>
    <row r="18" spans="1:53">
      <c r="A18" s="884" t="str">
        <f t="shared" si="1"/>
        <v>PIERCE UTCResidentialRL032.0G1W003WREC</v>
      </c>
      <c r="B18" s="889" t="s">
        <v>1910</v>
      </c>
      <c r="C18" s="889" t="s">
        <v>1911</v>
      </c>
      <c r="D18" s="889" t="s">
        <v>409</v>
      </c>
      <c r="E18" s="883">
        <v>32000</v>
      </c>
      <c r="F18" s="904">
        <v>36.67</v>
      </c>
      <c r="G18" s="904">
        <v>37.65</v>
      </c>
      <c r="H18" s="904"/>
      <c r="I18" s="906">
        <v>314.63</v>
      </c>
      <c r="J18" s="906">
        <v>330.03000000000003</v>
      </c>
      <c r="K18" s="906">
        <v>332.97</v>
      </c>
      <c r="L18" s="906">
        <v>335.91</v>
      </c>
      <c r="M18" s="906">
        <v>301.2</v>
      </c>
      <c r="N18" s="906">
        <v>301.2</v>
      </c>
      <c r="O18" s="906">
        <v>301.2</v>
      </c>
      <c r="P18" s="906">
        <v>301.2</v>
      </c>
      <c r="Q18" s="906">
        <v>301.2</v>
      </c>
      <c r="R18" s="906">
        <v>301.2</v>
      </c>
      <c r="S18" s="906">
        <v>301.2</v>
      </c>
      <c r="T18" s="906">
        <v>301.2</v>
      </c>
      <c r="U18" s="906"/>
      <c r="V18" s="957">
        <f t="shared" si="2"/>
        <v>3723.1399999999994</v>
      </c>
      <c r="W18" s="905"/>
      <c r="X18" s="906">
        <f t="shared" si="3"/>
        <v>8.5800381783474222</v>
      </c>
      <c r="Y18" s="906">
        <f t="shared" si="3"/>
        <v>9</v>
      </c>
      <c r="Z18" s="906">
        <f t="shared" si="3"/>
        <v>9.0801745295882199</v>
      </c>
      <c r="AA18" s="906">
        <f t="shared" si="4"/>
        <v>8.9219123505976103</v>
      </c>
      <c r="AB18" s="906">
        <f t="shared" si="4"/>
        <v>8</v>
      </c>
      <c r="AC18" s="906">
        <f t="shared" si="4"/>
        <v>8</v>
      </c>
      <c r="AD18" s="906">
        <f t="shared" si="4"/>
        <v>8</v>
      </c>
      <c r="AE18" s="906">
        <f t="shared" si="4"/>
        <v>8</v>
      </c>
      <c r="AF18" s="906">
        <f t="shared" si="4"/>
        <v>8</v>
      </c>
      <c r="AG18" s="906">
        <f t="shared" si="4"/>
        <v>8</v>
      </c>
      <c r="AH18" s="906">
        <f t="shared" si="4"/>
        <v>8</v>
      </c>
      <c r="AI18" s="906">
        <f t="shared" si="4"/>
        <v>8</v>
      </c>
      <c r="AJ18" s="907">
        <f t="shared" si="5"/>
        <v>8.298510421544437</v>
      </c>
      <c r="AN18" s="1140">
        <f t="shared" ca="1" si="9"/>
        <v>0.43668827453919795</v>
      </c>
      <c r="AP18" s="1154">
        <f t="shared" ca="1" si="6"/>
        <v>43.486346366757509</v>
      </c>
      <c r="AR18" s="1140">
        <f t="shared" ca="1" si="7"/>
        <v>38.086688274539199</v>
      </c>
      <c r="AT18" s="1154">
        <f t="shared" ca="1" si="8"/>
        <v>3766.6263463667569</v>
      </c>
    </row>
    <row r="19" spans="1:53">
      <c r="A19" s="884" t="str">
        <f t="shared" si="1"/>
        <v>PIERCE UTCResidentialRL032.0G1W004NOREC</v>
      </c>
      <c r="B19" s="889" t="s">
        <v>1912</v>
      </c>
      <c r="C19" s="889" t="s">
        <v>1913</v>
      </c>
      <c r="D19" s="889" t="s">
        <v>409</v>
      </c>
      <c r="E19" s="883">
        <v>32000</v>
      </c>
      <c r="F19" s="904">
        <v>49.56</v>
      </c>
      <c r="G19" s="904">
        <v>50.79</v>
      </c>
      <c r="H19" s="904"/>
      <c r="I19" s="906">
        <v>49.56</v>
      </c>
      <c r="J19" s="906">
        <v>49.56</v>
      </c>
      <c r="K19" s="906">
        <v>50.174999999999997</v>
      </c>
      <c r="L19" s="906">
        <v>50.174999999999997</v>
      </c>
      <c r="M19" s="906">
        <v>50.79</v>
      </c>
      <c r="N19" s="906">
        <v>50.79</v>
      </c>
      <c r="O19" s="906">
        <v>50.79</v>
      </c>
      <c r="P19" s="906">
        <v>50.79</v>
      </c>
      <c r="Q19" s="906">
        <v>50.79</v>
      </c>
      <c r="R19" s="906">
        <v>50.79</v>
      </c>
      <c r="S19" s="906">
        <v>50.79</v>
      </c>
      <c r="T19" s="906">
        <v>50.79</v>
      </c>
      <c r="U19" s="906"/>
      <c r="V19" s="957">
        <f t="shared" si="2"/>
        <v>605.79000000000008</v>
      </c>
      <c r="W19" s="905"/>
      <c r="X19" s="906">
        <f t="shared" si="3"/>
        <v>1</v>
      </c>
      <c r="Y19" s="906">
        <f t="shared" si="3"/>
        <v>1</v>
      </c>
      <c r="Z19" s="906">
        <f t="shared" si="3"/>
        <v>1.0124092009685228</v>
      </c>
      <c r="AA19" s="906">
        <f t="shared" si="4"/>
        <v>0.98789131718842282</v>
      </c>
      <c r="AB19" s="906">
        <f t="shared" si="4"/>
        <v>1</v>
      </c>
      <c r="AC19" s="906">
        <f t="shared" si="4"/>
        <v>1</v>
      </c>
      <c r="AD19" s="906">
        <f t="shared" si="4"/>
        <v>1</v>
      </c>
      <c r="AE19" s="906">
        <f t="shared" si="4"/>
        <v>1</v>
      </c>
      <c r="AF19" s="906">
        <f t="shared" si="4"/>
        <v>1</v>
      </c>
      <c r="AG19" s="906">
        <f t="shared" si="4"/>
        <v>1</v>
      </c>
      <c r="AH19" s="906">
        <f t="shared" si="4"/>
        <v>1</v>
      </c>
      <c r="AI19" s="906">
        <f t="shared" si="4"/>
        <v>1</v>
      </c>
      <c r="AJ19" s="907">
        <f t="shared" si="5"/>
        <v>1.0000250431797453</v>
      </c>
      <c r="AN19" s="1178">
        <f ca="1">AN20</f>
        <v>0.54269971754818258</v>
      </c>
      <c r="AP19" s="1154">
        <f t="shared" ca="1" si="6"/>
        <v>6.5125597016970822</v>
      </c>
      <c r="AR19" s="1140">
        <f t="shared" ca="1" si="7"/>
        <v>51.332699717548181</v>
      </c>
      <c r="AT19" s="1154">
        <f t="shared" ca="1" si="8"/>
        <v>612.30255970169719</v>
      </c>
      <c r="AV19" s="1008" t="s">
        <v>2793</v>
      </c>
      <c r="AW19" s="946">
        <f>SUM('JBLM Housing - Price Out'!V22+'JBLM Housing - Price Out'!V50+'JBLM Housing - Price Out'!V77+'FtL - Price Out'!U57+'FtL - Price Out'!U95)</f>
        <v>1790840.3399999999</v>
      </c>
    </row>
    <row r="20" spans="1:53">
      <c r="A20" s="884" t="str">
        <f t="shared" si="1"/>
        <v>PIERCE UTCResidentialRL032.0G1W004WREC</v>
      </c>
      <c r="B20" s="889" t="s">
        <v>1914</v>
      </c>
      <c r="C20" s="889" t="s">
        <v>1915</v>
      </c>
      <c r="D20" s="889" t="s">
        <v>409</v>
      </c>
      <c r="E20" s="883">
        <v>32000</v>
      </c>
      <c r="F20" s="904">
        <v>45.56</v>
      </c>
      <c r="G20" s="904">
        <v>46.79</v>
      </c>
      <c r="H20" s="904"/>
      <c r="I20" s="906">
        <v>45.56</v>
      </c>
      <c r="J20" s="906">
        <v>45.56</v>
      </c>
      <c r="K20" s="906">
        <v>46.174999999999997</v>
      </c>
      <c r="L20" s="906">
        <v>46.174999999999997</v>
      </c>
      <c r="M20" s="906">
        <v>93.58</v>
      </c>
      <c r="N20" s="906">
        <v>93.58</v>
      </c>
      <c r="O20" s="906">
        <v>93.58</v>
      </c>
      <c r="P20" s="906">
        <v>93.58</v>
      </c>
      <c r="Q20" s="906">
        <v>93.58</v>
      </c>
      <c r="R20" s="906">
        <v>93.58</v>
      </c>
      <c r="S20" s="906">
        <v>93.58</v>
      </c>
      <c r="T20" s="906">
        <v>93.58</v>
      </c>
      <c r="U20" s="906"/>
      <c r="V20" s="957">
        <f t="shared" si="2"/>
        <v>932.11000000000013</v>
      </c>
      <c r="W20" s="905"/>
      <c r="X20" s="906">
        <f t="shared" si="3"/>
        <v>1</v>
      </c>
      <c r="Y20" s="906">
        <f t="shared" si="3"/>
        <v>1</v>
      </c>
      <c r="Z20" s="906">
        <f t="shared" si="3"/>
        <v>1.0134986830553117</v>
      </c>
      <c r="AA20" s="906">
        <f t="shared" si="4"/>
        <v>0.98685616584740321</v>
      </c>
      <c r="AB20" s="906">
        <f t="shared" si="4"/>
        <v>2</v>
      </c>
      <c r="AC20" s="906">
        <f t="shared" si="4"/>
        <v>2</v>
      </c>
      <c r="AD20" s="906">
        <f t="shared" si="4"/>
        <v>2</v>
      </c>
      <c r="AE20" s="906">
        <f t="shared" si="4"/>
        <v>2</v>
      </c>
      <c r="AF20" s="906">
        <f t="shared" si="4"/>
        <v>2</v>
      </c>
      <c r="AG20" s="906">
        <f t="shared" si="4"/>
        <v>2</v>
      </c>
      <c r="AH20" s="906">
        <f t="shared" si="4"/>
        <v>2</v>
      </c>
      <c r="AI20" s="906">
        <f t="shared" si="4"/>
        <v>2</v>
      </c>
      <c r="AJ20" s="907">
        <f t="shared" si="5"/>
        <v>1.6666962374085597</v>
      </c>
      <c r="AN20" s="1140">
        <f t="shared" ca="1" si="9"/>
        <v>0.54269971754818258</v>
      </c>
      <c r="AP20" s="1154">
        <f t="shared" ca="1" si="6"/>
        <v>10.854186927362928</v>
      </c>
      <c r="AR20" s="1140">
        <f t="shared" ca="1" si="7"/>
        <v>47.332699717548181</v>
      </c>
      <c r="AT20" s="1154">
        <f t="shared" ca="1" si="8"/>
        <v>942.96418692736302</v>
      </c>
      <c r="AV20" s="1008" t="s">
        <v>2794</v>
      </c>
      <c r="AW20" s="1172">
        <f>AW16/AW19</f>
        <v>-0.21892627234430068</v>
      </c>
    </row>
    <row r="21" spans="1:53">
      <c r="A21" s="884" t="str">
        <f t="shared" si="1"/>
        <v>PIERCE UTCResidentialSL035.0G1M001WREC</v>
      </c>
      <c r="B21" s="889" t="s">
        <v>1916</v>
      </c>
      <c r="C21" s="889" t="s">
        <v>1917</v>
      </c>
      <c r="D21" s="889" t="s">
        <v>409</v>
      </c>
      <c r="E21" s="883">
        <v>32000</v>
      </c>
      <c r="F21" s="904">
        <v>9.26</v>
      </c>
      <c r="G21" s="904">
        <v>9.3699999999999992</v>
      </c>
      <c r="H21" s="904"/>
      <c r="I21" s="906">
        <v>372.71000000000004</v>
      </c>
      <c r="J21" s="906">
        <v>287.05999999999995</v>
      </c>
      <c r="K21" s="906">
        <v>292.89999999999998</v>
      </c>
      <c r="L21" s="906">
        <v>294.22000000000003</v>
      </c>
      <c r="M21" s="906">
        <v>313.89499999999998</v>
      </c>
      <c r="N21" s="906">
        <v>330.55500000000001</v>
      </c>
      <c r="O21" s="906">
        <v>396.14499999999998</v>
      </c>
      <c r="P21" s="906">
        <v>434.80500000000001</v>
      </c>
      <c r="Q21" s="906">
        <v>509.05</v>
      </c>
      <c r="R21" s="906">
        <v>547.43000000000006</v>
      </c>
      <c r="S21" s="906">
        <v>534.09</v>
      </c>
      <c r="T21" s="906">
        <v>543.46</v>
      </c>
      <c r="U21" s="906"/>
      <c r="V21" s="957">
        <f t="shared" si="2"/>
        <v>4856.32</v>
      </c>
      <c r="W21" s="905"/>
      <c r="X21" s="906">
        <f t="shared" si="3"/>
        <v>40.249460043196549</v>
      </c>
      <c r="Y21" s="906">
        <f t="shared" si="3"/>
        <v>30.999999999999996</v>
      </c>
      <c r="Z21" s="906">
        <f t="shared" si="3"/>
        <v>31.630669546436284</v>
      </c>
      <c r="AA21" s="906">
        <f t="shared" si="4"/>
        <v>31.400213447171829</v>
      </c>
      <c r="AB21" s="906">
        <f t="shared" si="4"/>
        <v>33.5</v>
      </c>
      <c r="AC21" s="906">
        <f t="shared" si="4"/>
        <v>35.278014941302033</v>
      </c>
      <c r="AD21" s="906">
        <f t="shared" si="4"/>
        <v>42.278014941302033</v>
      </c>
      <c r="AE21" s="906">
        <f t="shared" si="4"/>
        <v>46.403948772678767</v>
      </c>
      <c r="AF21" s="906">
        <f t="shared" si="4"/>
        <v>54.32764140875134</v>
      </c>
      <c r="AG21" s="906">
        <f t="shared" si="4"/>
        <v>58.42369263607258</v>
      </c>
      <c r="AH21" s="906">
        <f t="shared" si="4"/>
        <v>57.000000000000007</v>
      </c>
      <c r="AI21" s="906">
        <f t="shared" si="4"/>
        <v>58.000000000000007</v>
      </c>
      <c r="AJ21" s="907">
        <f t="shared" si="5"/>
        <v>43.290971311409287</v>
      </c>
      <c r="AN21" s="1140">
        <f t="shared" ca="1" si="9"/>
        <v>0.10867912702343387</v>
      </c>
      <c r="AP21" s="1154">
        <f t="shared" ca="1" si="6"/>
        <v>56.457899641445778</v>
      </c>
      <c r="AR21" s="1140">
        <f t="shared" ca="1" si="7"/>
        <v>9.4786791270234332</v>
      </c>
      <c r="AT21" s="1154">
        <f t="shared" ca="1" si="8"/>
        <v>4912.7778996414454</v>
      </c>
    </row>
    <row r="22" spans="1:53">
      <c r="A22" s="884" t="str">
        <f t="shared" si="1"/>
        <v>PIERCE UTCResidentialSL035.0GEO001WREC</v>
      </c>
      <c r="B22" s="889" t="s">
        <v>1918</v>
      </c>
      <c r="C22" s="889" t="s">
        <v>1919</v>
      </c>
      <c r="D22" s="889" t="s">
        <v>409</v>
      </c>
      <c r="E22" s="883">
        <v>32000</v>
      </c>
      <c r="F22" s="904">
        <v>12.55</v>
      </c>
      <c r="G22" s="904">
        <v>12.78</v>
      </c>
      <c r="H22" s="904"/>
      <c r="I22" s="906">
        <v>3336.5099999999998</v>
      </c>
      <c r="J22" s="906">
        <v>2314.8250000000003</v>
      </c>
      <c r="K22" s="906">
        <v>2477.59</v>
      </c>
      <c r="L22" s="906">
        <v>2716.2449999999994</v>
      </c>
      <c r="M22" s="906">
        <v>2853.57</v>
      </c>
      <c r="N22" s="906">
        <v>3071.03</v>
      </c>
      <c r="O22" s="906">
        <v>3239.8</v>
      </c>
      <c r="P22" s="906">
        <v>3680</v>
      </c>
      <c r="Q22" s="906">
        <v>3850.3249999999998</v>
      </c>
      <c r="R22" s="906">
        <v>4003.0600000000004</v>
      </c>
      <c r="S22" s="906">
        <v>4129.9549999999999</v>
      </c>
      <c r="T22" s="906">
        <v>4145.8999999999996</v>
      </c>
      <c r="U22" s="906"/>
      <c r="V22" s="957">
        <f t="shared" si="2"/>
        <v>39818.810000000005</v>
      </c>
      <c r="W22" s="905"/>
      <c r="X22" s="906">
        <f t="shared" si="3"/>
        <v>265.85737051792825</v>
      </c>
      <c r="Y22" s="906">
        <f t="shared" si="3"/>
        <v>184.44820717131475</v>
      </c>
      <c r="Z22" s="906">
        <f t="shared" si="3"/>
        <v>197.4175298804781</v>
      </c>
      <c r="AA22" s="906">
        <f t="shared" si="4"/>
        <v>212.53873239436615</v>
      </c>
      <c r="AB22" s="906">
        <f t="shared" si="4"/>
        <v>223.28403755868547</v>
      </c>
      <c r="AC22" s="906">
        <f t="shared" si="4"/>
        <v>240.29968701095464</v>
      </c>
      <c r="AD22" s="906">
        <f t="shared" si="4"/>
        <v>253.50547730829425</v>
      </c>
      <c r="AE22" s="906">
        <f t="shared" si="4"/>
        <v>287.94992175273865</v>
      </c>
      <c r="AF22" s="906">
        <f t="shared" si="4"/>
        <v>301.27738654147106</v>
      </c>
      <c r="AG22" s="906">
        <f t="shared" si="4"/>
        <v>313.22848200312995</v>
      </c>
      <c r="AH22" s="906">
        <f t="shared" si="4"/>
        <v>323.15766823161192</v>
      </c>
      <c r="AI22" s="906">
        <f t="shared" si="4"/>
        <v>324.40532081377148</v>
      </c>
      <c r="AJ22" s="907">
        <f t="shared" si="5"/>
        <v>260.61415176539538</v>
      </c>
      <c r="AN22" s="1140">
        <f t="shared" ca="1" si="9"/>
        <v>0.14823044219418194</v>
      </c>
      <c r="AP22" s="1154">
        <f t="shared" ca="1" si="6"/>
        <v>463.57141149895438</v>
      </c>
      <c r="AR22" s="1140">
        <f t="shared" ca="1" si="7"/>
        <v>12.928230442194181</v>
      </c>
      <c r="AT22" s="1154">
        <f t="shared" ca="1" si="8"/>
        <v>40282.381411498958</v>
      </c>
      <c r="AV22" s="1008" t="s">
        <v>2795</v>
      </c>
      <c r="AW22" s="888">
        <f>V63+V198+V256</f>
        <v>25386792.419999998</v>
      </c>
    </row>
    <row r="23" spans="1:53">
      <c r="A23" s="884" t="str">
        <f t="shared" si="1"/>
        <v>PIERCE UTCResidentialSL035.0G1W001WREC</v>
      </c>
      <c r="B23" s="889" t="s">
        <v>1920</v>
      </c>
      <c r="C23" s="889" t="s">
        <v>1921</v>
      </c>
      <c r="D23" s="889" t="s">
        <v>409</v>
      </c>
      <c r="E23" s="883">
        <v>32000</v>
      </c>
      <c r="F23" s="904">
        <v>18.739999999999998</v>
      </c>
      <c r="G23" s="904">
        <v>19.21</v>
      </c>
      <c r="H23" s="904"/>
      <c r="I23" s="906">
        <v>31673.260000000002</v>
      </c>
      <c r="J23" s="906">
        <v>19645.54</v>
      </c>
      <c r="K23" s="906">
        <v>20436.265000000003</v>
      </c>
      <c r="L23" s="906">
        <v>21405.359999999997</v>
      </c>
      <c r="M23" s="906">
        <v>22802.654999999999</v>
      </c>
      <c r="N23" s="906">
        <v>24179.075000000001</v>
      </c>
      <c r="O23" s="906">
        <v>26756.560000000001</v>
      </c>
      <c r="P23" s="906">
        <v>26820.11</v>
      </c>
      <c r="Q23" s="906">
        <v>37030.549999999996</v>
      </c>
      <c r="R23" s="906">
        <v>46016.46</v>
      </c>
      <c r="S23" s="906">
        <v>45628.62</v>
      </c>
      <c r="T23" s="906">
        <v>46335.514999999999</v>
      </c>
      <c r="U23" s="906"/>
      <c r="V23" s="957">
        <f t="shared" si="2"/>
        <v>368729.97000000003</v>
      </c>
      <c r="W23" s="905"/>
      <c r="X23" s="906">
        <f t="shared" si="3"/>
        <v>1690.1419423692639</v>
      </c>
      <c r="Y23" s="906">
        <f t="shared" si="3"/>
        <v>1048.3212379935967</v>
      </c>
      <c r="Z23" s="906">
        <f t="shared" si="3"/>
        <v>1090.5157417289224</v>
      </c>
      <c r="AA23" s="906">
        <f t="shared" si="4"/>
        <v>1114.2821447162935</v>
      </c>
      <c r="AB23" s="906">
        <f t="shared" si="4"/>
        <v>1187.0200416449766</v>
      </c>
      <c r="AC23" s="906">
        <f t="shared" si="4"/>
        <v>1258.6712649661633</v>
      </c>
      <c r="AD23" s="906">
        <f t="shared" si="4"/>
        <v>1392.8453930244664</v>
      </c>
      <c r="AE23" s="906">
        <f t="shared" si="4"/>
        <v>1396.1535658511191</v>
      </c>
      <c r="AF23" s="906">
        <f t="shared" si="4"/>
        <v>1927.6704841228523</v>
      </c>
      <c r="AG23" s="906">
        <f t="shared" si="4"/>
        <v>2395.4429984383132</v>
      </c>
      <c r="AH23" s="906">
        <f t="shared" si="4"/>
        <v>2375.2535137948985</v>
      </c>
      <c r="AI23" s="906">
        <f t="shared" si="4"/>
        <v>2412.0517959396147</v>
      </c>
      <c r="AJ23" s="907">
        <f t="shared" si="5"/>
        <v>1607.3641770492068</v>
      </c>
      <c r="AN23" s="1140">
        <f t="shared" ca="1" si="9"/>
        <v>0.2228096083372641</v>
      </c>
      <c r="AP23" s="1154">
        <f t="shared" ca="1" si="6"/>
        <v>4297.6341929241908</v>
      </c>
      <c r="AR23" s="1140">
        <f t="shared" ca="1" si="7"/>
        <v>19.432809608337266</v>
      </c>
      <c r="AT23" s="1154">
        <f t="shared" ca="1" si="8"/>
        <v>373027.60419292422</v>
      </c>
      <c r="AV23" s="884" t="s">
        <v>2796</v>
      </c>
      <c r="AW23" s="1173">
        <f>-AW16/AW22</f>
        <v>1.5443542197600716E-2</v>
      </c>
    </row>
    <row r="24" spans="1:53">
      <c r="A24" s="884" t="str">
        <f t="shared" si="1"/>
        <v>PIERCE UTCResidentialSL035.0G1W002WREC</v>
      </c>
      <c r="B24" s="889" t="s">
        <v>1922</v>
      </c>
      <c r="C24" s="889" t="s">
        <v>1923</v>
      </c>
      <c r="D24" s="889" t="s">
        <v>409</v>
      </c>
      <c r="E24" s="883">
        <v>32000</v>
      </c>
      <c r="F24" s="904">
        <v>37.479999999999997</v>
      </c>
      <c r="G24" s="904">
        <v>38.42</v>
      </c>
      <c r="H24" s="904"/>
      <c r="I24" s="906">
        <v>114.32</v>
      </c>
      <c r="J24" s="906">
        <v>112.44</v>
      </c>
      <c r="K24" s="906">
        <v>112.91</v>
      </c>
      <c r="L24" s="906">
        <v>114.79</v>
      </c>
      <c r="M24" s="906">
        <v>115.26</v>
      </c>
      <c r="N24" s="906">
        <v>115.26</v>
      </c>
      <c r="O24" s="906">
        <v>115.26</v>
      </c>
      <c r="P24" s="906">
        <v>192.10000000000002</v>
      </c>
      <c r="Q24" s="906">
        <v>115.26</v>
      </c>
      <c r="R24" s="906">
        <v>123.80000000000001</v>
      </c>
      <c r="S24" s="906">
        <v>192.10000000000002</v>
      </c>
      <c r="T24" s="906">
        <v>115.26</v>
      </c>
      <c r="U24" s="906"/>
      <c r="V24" s="957">
        <f t="shared" si="2"/>
        <v>1538.76</v>
      </c>
      <c r="W24" s="905"/>
      <c r="X24" s="906">
        <f t="shared" si="3"/>
        <v>3.0501600853788688</v>
      </c>
      <c r="Y24" s="906">
        <f t="shared" si="3"/>
        <v>3</v>
      </c>
      <c r="Z24" s="906">
        <f t="shared" si="3"/>
        <v>3.0125400213447175</v>
      </c>
      <c r="AA24" s="906">
        <f t="shared" si="4"/>
        <v>2.9877667881311818</v>
      </c>
      <c r="AB24" s="906">
        <f t="shared" si="4"/>
        <v>3</v>
      </c>
      <c r="AC24" s="906">
        <f t="shared" si="4"/>
        <v>3</v>
      </c>
      <c r="AD24" s="906">
        <f t="shared" si="4"/>
        <v>3</v>
      </c>
      <c r="AE24" s="906">
        <f t="shared" si="4"/>
        <v>5</v>
      </c>
      <c r="AF24" s="906">
        <f t="shared" si="4"/>
        <v>3</v>
      </c>
      <c r="AG24" s="906">
        <f t="shared" si="4"/>
        <v>3.222280062467465</v>
      </c>
      <c r="AH24" s="906">
        <f t="shared" si="4"/>
        <v>5</v>
      </c>
      <c r="AI24" s="906">
        <f t="shared" si="4"/>
        <v>3</v>
      </c>
      <c r="AJ24" s="907">
        <f t="shared" si="5"/>
        <v>3.3560622464435195</v>
      </c>
      <c r="AN24" s="1140">
        <f t="shared" ca="1" si="9"/>
        <v>0.4456192166745282</v>
      </c>
      <c r="AP24" s="1154">
        <f t="shared" ca="1" si="6"/>
        <v>17.946309952453422</v>
      </c>
      <c r="AR24" s="1140">
        <f t="shared" ca="1" si="7"/>
        <v>38.865619216674531</v>
      </c>
      <c r="AT24" s="1154">
        <f t="shared" ca="1" si="8"/>
        <v>1556.7063099524535</v>
      </c>
    </row>
    <row r="25" spans="1:53">
      <c r="A25" s="884" t="str">
        <f t="shared" si="1"/>
        <v>PIERCE UTCResidentialSL065.0G1M001NOREC</v>
      </c>
      <c r="B25" s="889" t="s">
        <v>1924</v>
      </c>
      <c r="C25" s="889" t="s">
        <v>1925</v>
      </c>
      <c r="D25" s="889" t="s">
        <v>409</v>
      </c>
      <c r="E25" s="883">
        <v>32000</v>
      </c>
      <c r="F25" s="904">
        <v>11.28</v>
      </c>
      <c r="G25" s="904">
        <v>11.42</v>
      </c>
      <c r="H25" s="904"/>
      <c r="I25" s="906">
        <v>220.73</v>
      </c>
      <c r="J25" s="906">
        <v>270.71999999999997</v>
      </c>
      <c r="K25" s="906">
        <v>266.13</v>
      </c>
      <c r="L25" s="906">
        <v>267.39</v>
      </c>
      <c r="M25" s="906">
        <v>285.5</v>
      </c>
      <c r="N25" s="906">
        <v>274.08</v>
      </c>
      <c r="O25" s="906">
        <v>285.5</v>
      </c>
      <c r="P25" s="906">
        <v>262.65999999999997</v>
      </c>
      <c r="Q25" s="906">
        <v>262.65999999999997</v>
      </c>
      <c r="R25" s="906">
        <v>251.24</v>
      </c>
      <c r="S25" s="906">
        <v>239.82</v>
      </c>
      <c r="T25" s="906">
        <v>222.69</v>
      </c>
      <c r="U25" s="906"/>
      <c r="V25" s="957">
        <f t="shared" si="2"/>
        <v>3109.12</v>
      </c>
      <c r="W25" s="905"/>
      <c r="X25" s="906">
        <f t="shared" si="3"/>
        <v>19.568262411347519</v>
      </c>
      <c r="Y25" s="906">
        <f t="shared" si="3"/>
        <v>24</v>
      </c>
      <c r="Z25" s="906">
        <f t="shared" si="3"/>
        <v>23.593085106382979</v>
      </c>
      <c r="AA25" s="906">
        <f t="shared" si="4"/>
        <v>23.414185639229419</v>
      </c>
      <c r="AB25" s="906">
        <f t="shared" si="4"/>
        <v>25</v>
      </c>
      <c r="AC25" s="906">
        <f t="shared" si="4"/>
        <v>24</v>
      </c>
      <c r="AD25" s="906">
        <f t="shared" si="4"/>
        <v>25</v>
      </c>
      <c r="AE25" s="906">
        <f t="shared" si="4"/>
        <v>22.999999999999996</v>
      </c>
      <c r="AF25" s="906">
        <f t="shared" si="4"/>
        <v>22.999999999999996</v>
      </c>
      <c r="AG25" s="906">
        <f t="shared" si="4"/>
        <v>22</v>
      </c>
      <c r="AH25" s="906">
        <f t="shared" si="4"/>
        <v>21</v>
      </c>
      <c r="AI25" s="906">
        <f t="shared" si="4"/>
        <v>19.5</v>
      </c>
      <c r="AJ25" s="907">
        <f t="shared" si="5"/>
        <v>22.75629442974666</v>
      </c>
      <c r="AN25" s="1178">
        <f ca="1">AN26</f>
        <v>0.10925905833092284</v>
      </c>
      <c r="AP25" s="1154">
        <f t="shared" ca="1" si="6"/>
        <v>29.835975605944139</v>
      </c>
      <c r="AR25" s="1140">
        <f t="shared" ca="1" si="7"/>
        <v>11.529259058330922</v>
      </c>
      <c r="AT25" s="1154">
        <f t="shared" ca="1" si="8"/>
        <v>3138.9559756059439</v>
      </c>
    </row>
    <row r="26" spans="1:53">
      <c r="A26" s="884" t="str">
        <f t="shared" si="1"/>
        <v>PIERCE UTCResidentialSL065.0G1M001WREC</v>
      </c>
      <c r="B26" s="889" t="s">
        <v>1926</v>
      </c>
      <c r="C26" s="889" t="s">
        <v>1927</v>
      </c>
      <c r="D26" s="889" t="s">
        <v>409</v>
      </c>
      <c r="E26" s="883">
        <v>32000</v>
      </c>
      <c r="F26" s="904">
        <v>9.2799999999999994</v>
      </c>
      <c r="G26" s="904">
        <v>9.42</v>
      </c>
      <c r="H26" s="904"/>
      <c r="I26" s="906">
        <v>17203.404999999999</v>
      </c>
      <c r="J26" s="906">
        <v>17443.46</v>
      </c>
      <c r="K26" s="906">
        <v>17432.924999999999</v>
      </c>
      <c r="L26" s="906">
        <v>17526.219999999998</v>
      </c>
      <c r="M26" s="906">
        <v>18167.775000000001</v>
      </c>
      <c r="N26" s="906">
        <v>17500.120000000003</v>
      </c>
      <c r="O26" s="906">
        <v>17482.725000000002</v>
      </c>
      <c r="P26" s="906">
        <v>17097.170000000002</v>
      </c>
      <c r="Q26" s="906">
        <v>17276.28</v>
      </c>
      <c r="R26" s="906">
        <v>17109.86</v>
      </c>
      <c r="S26" s="906">
        <v>16969.974999999999</v>
      </c>
      <c r="T26" s="906">
        <v>16866.355</v>
      </c>
      <c r="U26" s="906"/>
      <c r="V26" s="957">
        <f t="shared" si="2"/>
        <v>208076.27000000002</v>
      </c>
      <c r="W26" s="905"/>
      <c r="X26" s="906">
        <f t="shared" si="3"/>
        <v>1853.8151939655172</v>
      </c>
      <c r="Y26" s="906">
        <f t="shared" si="3"/>
        <v>1879.6831896551726</v>
      </c>
      <c r="Z26" s="906">
        <f t="shared" si="3"/>
        <v>1878.547952586207</v>
      </c>
      <c r="AA26" s="906">
        <f t="shared" si="4"/>
        <v>1860.5329087048831</v>
      </c>
      <c r="AB26" s="906">
        <f t="shared" si="4"/>
        <v>1928.6385350318474</v>
      </c>
      <c r="AC26" s="906">
        <f t="shared" si="4"/>
        <v>1857.7622080679409</v>
      </c>
      <c r="AD26" s="906">
        <f t="shared" si="4"/>
        <v>1855.9156050955417</v>
      </c>
      <c r="AE26" s="906">
        <f t="shared" si="4"/>
        <v>1814.9861995753718</v>
      </c>
      <c r="AF26" s="906">
        <f t="shared" si="4"/>
        <v>1834</v>
      </c>
      <c r="AG26" s="906">
        <f t="shared" si="4"/>
        <v>1816.3333333333335</v>
      </c>
      <c r="AH26" s="906">
        <f t="shared" si="4"/>
        <v>1801.4835456475582</v>
      </c>
      <c r="AI26" s="906">
        <f t="shared" si="4"/>
        <v>1790.4835456475585</v>
      </c>
      <c r="AJ26" s="907">
        <f t="shared" si="5"/>
        <v>1847.6818514425777</v>
      </c>
      <c r="AN26" s="1140">
        <f t="shared" ca="1" si="9"/>
        <v>0.10925905833092284</v>
      </c>
      <c r="AP26" s="1154">
        <f t="shared" ca="1" si="6"/>
        <v>2422.5117502050252</v>
      </c>
      <c r="AR26" s="1140">
        <f t="shared" ca="1" si="7"/>
        <v>9.529259058330922</v>
      </c>
      <c r="AT26" s="1154">
        <f t="shared" ca="1" si="8"/>
        <v>210498.78175020503</v>
      </c>
    </row>
    <row r="27" spans="1:53">
      <c r="A27" s="884" t="str">
        <f t="shared" si="1"/>
        <v>PIERCE UTCResidentialSL065.0G1W001NOREC</v>
      </c>
      <c r="B27" s="889" t="s">
        <v>1928</v>
      </c>
      <c r="C27" s="889" t="s">
        <v>1929</v>
      </c>
      <c r="D27" s="889" t="s">
        <v>409</v>
      </c>
      <c r="E27" s="883">
        <v>32000</v>
      </c>
      <c r="F27" s="904">
        <v>27.99</v>
      </c>
      <c r="G27" s="904">
        <v>28.59</v>
      </c>
      <c r="H27" s="904"/>
      <c r="I27" s="906">
        <v>9309.2150000000001</v>
      </c>
      <c r="J27" s="906">
        <v>9528.3850000000002</v>
      </c>
      <c r="K27" s="906">
        <v>9486.0399999999991</v>
      </c>
      <c r="L27" s="906">
        <v>9358.8700000000008</v>
      </c>
      <c r="M27" s="906">
        <v>9146.0249999999996</v>
      </c>
      <c r="N27" s="906">
        <v>9205.98</v>
      </c>
      <c r="O27" s="906">
        <v>9155.7849999999999</v>
      </c>
      <c r="P27" s="906">
        <v>9120.85</v>
      </c>
      <c r="Q27" s="906">
        <v>9182.1550000000007</v>
      </c>
      <c r="R27" s="906">
        <v>8977.26</v>
      </c>
      <c r="S27" s="906">
        <v>8909.2250000000004</v>
      </c>
      <c r="T27" s="906">
        <v>9006.1299999999992</v>
      </c>
      <c r="U27" s="906"/>
      <c r="V27" s="957">
        <f t="shared" si="2"/>
        <v>110385.92000000001</v>
      </c>
      <c r="W27" s="905"/>
      <c r="X27" s="906">
        <f t="shared" si="3"/>
        <v>332.5907466952483</v>
      </c>
      <c r="Y27" s="906">
        <f t="shared" si="3"/>
        <v>340.42104322972494</v>
      </c>
      <c r="Z27" s="906">
        <f t="shared" si="3"/>
        <v>338.90818149339049</v>
      </c>
      <c r="AA27" s="906">
        <f t="shared" si="4"/>
        <v>327.34767401189231</v>
      </c>
      <c r="AB27" s="906">
        <f t="shared" si="4"/>
        <v>319.90293809024132</v>
      </c>
      <c r="AC27" s="906">
        <f t="shared" si="4"/>
        <v>322</v>
      </c>
      <c r="AD27" s="906">
        <f t="shared" si="4"/>
        <v>320.24431619447358</v>
      </c>
      <c r="AE27" s="906">
        <f t="shared" si="4"/>
        <v>319.02238544945789</v>
      </c>
      <c r="AF27" s="906">
        <f t="shared" si="4"/>
        <v>321.16666666666669</v>
      </c>
      <c r="AG27" s="906">
        <f t="shared" si="4"/>
        <v>314</v>
      </c>
      <c r="AH27" s="906">
        <f t="shared" si="4"/>
        <v>311.62032179083599</v>
      </c>
      <c r="AI27" s="906">
        <f t="shared" si="4"/>
        <v>315.00979363413779</v>
      </c>
      <c r="AJ27" s="907">
        <f t="shared" si="5"/>
        <v>323.51950560467242</v>
      </c>
      <c r="AN27" s="1178">
        <f ca="1">AN28</f>
        <v>0.3084074693226368</v>
      </c>
      <c r="AP27" s="1154">
        <f t="shared" ca="1" si="6"/>
        <v>1197.3099840005716</v>
      </c>
      <c r="AR27" s="1140">
        <f t="shared" ca="1" si="7"/>
        <v>28.898407469322638</v>
      </c>
      <c r="AT27" s="1154">
        <f t="shared" ca="1" si="8"/>
        <v>111583.22998400059</v>
      </c>
    </row>
    <row r="28" spans="1:53">
      <c r="A28" s="884" t="str">
        <f t="shared" si="1"/>
        <v>PIERCE UTCResidentialSL065.0G1W001WREC</v>
      </c>
      <c r="B28" s="889" t="s">
        <v>1930</v>
      </c>
      <c r="C28" s="889" t="s">
        <v>1931</v>
      </c>
      <c r="D28" s="889" t="s">
        <v>409</v>
      </c>
      <c r="E28" s="883">
        <v>32000</v>
      </c>
      <c r="F28" s="904">
        <v>25.99</v>
      </c>
      <c r="G28" s="904">
        <v>26.59</v>
      </c>
      <c r="H28" s="904"/>
      <c r="I28" s="906">
        <v>699034.16000000015</v>
      </c>
      <c r="J28" s="906">
        <v>683140.37000000011</v>
      </c>
      <c r="K28" s="906">
        <v>686530.51</v>
      </c>
      <c r="L28" s="906">
        <v>696757.245</v>
      </c>
      <c r="M28" s="906">
        <v>700418.57000000007</v>
      </c>
      <c r="N28" s="906">
        <v>704434.01500000013</v>
      </c>
      <c r="O28" s="906">
        <v>705368.57499999995</v>
      </c>
      <c r="P28" s="906">
        <v>707536.09499999997</v>
      </c>
      <c r="Q28" s="906">
        <v>709475.01500000001</v>
      </c>
      <c r="R28" s="906">
        <v>710165.47499999998</v>
      </c>
      <c r="S28" s="906">
        <v>710349.59499999997</v>
      </c>
      <c r="T28" s="906">
        <v>710597.18500000006</v>
      </c>
      <c r="U28" s="906"/>
      <c r="V28" s="957">
        <f t="shared" si="2"/>
        <v>8423806.8099999987</v>
      </c>
      <c r="W28" s="905"/>
      <c r="X28" s="906">
        <f t="shared" si="3"/>
        <v>26896.273951519823</v>
      </c>
      <c r="Y28" s="906">
        <f t="shared" si="3"/>
        <v>26284.739130434788</v>
      </c>
      <c r="Z28" s="906">
        <f t="shared" si="3"/>
        <v>26415.179299730669</v>
      </c>
      <c r="AA28" s="906">
        <f t="shared" si="4"/>
        <v>26203.732418202333</v>
      </c>
      <c r="AB28" s="906">
        <f t="shared" si="4"/>
        <v>26341.427980443779</v>
      </c>
      <c r="AC28" s="906">
        <f t="shared" si="4"/>
        <v>26492.441331327573</v>
      </c>
      <c r="AD28" s="906">
        <f t="shared" si="4"/>
        <v>26527.588379089881</v>
      </c>
      <c r="AE28" s="906">
        <f t="shared" si="4"/>
        <v>26609.10473862354</v>
      </c>
      <c r="AF28" s="906">
        <f t="shared" si="4"/>
        <v>26682.023881158329</v>
      </c>
      <c r="AG28" s="906">
        <f t="shared" si="4"/>
        <v>26707.990786009777</v>
      </c>
      <c r="AH28" s="906">
        <f t="shared" si="4"/>
        <v>26714.915193681834</v>
      </c>
      <c r="AI28" s="906">
        <f t="shared" si="4"/>
        <v>26724.226588943213</v>
      </c>
      <c r="AJ28" s="907">
        <f t="shared" si="5"/>
        <v>26549.970306597126</v>
      </c>
      <c r="AN28" s="1140">
        <f t="shared" ca="1" si="9"/>
        <v>0.3084074693226368</v>
      </c>
      <c r="AP28" s="1154">
        <f t="shared" ca="1" si="6"/>
        <v>98258.509834185243</v>
      </c>
      <c r="AR28" s="1140">
        <f t="shared" ca="1" si="7"/>
        <v>26.898407469322638</v>
      </c>
      <c r="AT28" s="1154">
        <f t="shared" ca="1" si="8"/>
        <v>8522065.3198341839</v>
      </c>
    </row>
    <row r="29" spans="1:53">
      <c r="A29" s="884" t="str">
        <f t="shared" si="1"/>
        <v>PIERCE UTCResidentialSL065.0GEO001NOREC</v>
      </c>
      <c r="B29" s="889" t="s">
        <v>1932</v>
      </c>
      <c r="C29" s="889" t="s">
        <v>1933</v>
      </c>
      <c r="D29" s="889" t="s">
        <v>409</v>
      </c>
      <c r="E29" s="883">
        <v>32000</v>
      </c>
      <c r="F29" s="904">
        <v>18.28</v>
      </c>
      <c r="G29" s="904">
        <v>18.579999999999998</v>
      </c>
      <c r="H29" s="904"/>
      <c r="I29" s="906">
        <v>3040.81</v>
      </c>
      <c r="J29" s="906">
        <v>3243.7849999999994</v>
      </c>
      <c r="K29" s="906">
        <v>3209.3</v>
      </c>
      <c r="L29" s="906">
        <v>3156.8249999999998</v>
      </c>
      <c r="M29" s="906">
        <v>3078.7049999999999</v>
      </c>
      <c r="N29" s="906">
        <v>3069.415</v>
      </c>
      <c r="O29" s="906">
        <v>3004.3900000000003</v>
      </c>
      <c r="P29" s="906">
        <v>2995.0950000000003</v>
      </c>
      <c r="Q29" s="906">
        <v>2939.3550000000005</v>
      </c>
      <c r="R29" s="906">
        <v>2870.61</v>
      </c>
      <c r="S29" s="906">
        <v>2832.52</v>
      </c>
      <c r="T29" s="906">
        <v>2810.2200000000003</v>
      </c>
      <c r="U29" s="906"/>
      <c r="V29" s="957">
        <f t="shared" si="2"/>
        <v>36251.03</v>
      </c>
      <c r="W29" s="905"/>
      <c r="X29" s="906">
        <f t="shared" si="3"/>
        <v>166.34628008752733</v>
      </c>
      <c r="Y29" s="906">
        <f t="shared" si="3"/>
        <v>177.44994529540477</v>
      </c>
      <c r="Z29" s="906">
        <f t="shared" si="3"/>
        <v>175.56345733041576</v>
      </c>
      <c r="AA29" s="906">
        <f t="shared" si="4"/>
        <v>169.90446716899893</v>
      </c>
      <c r="AB29" s="906">
        <f t="shared" si="4"/>
        <v>165.69994617868676</v>
      </c>
      <c r="AC29" s="906">
        <f t="shared" si="4"/>
        <v>165.19994617868679</v>
      </c>
      <c r="AD29" s="906">
        <f t="shared" si="4"/>
        <v>161.70021528525299</v>
      </c>
      <c r="AE29" s="906">
        <f t="shared" si="4"/>
        <v>161.19994617868679</v>
      </c>
      <c r="AF29" s="906">
        <f t="shared" si="4"/>
        <v>158.19994617868679</v>
      </c>
      <c r="AG29" s="906">
        <f t="shared" si="4"/>
        <v>154.50000000000003</v>
      </c>
      <c r="AH29" s="906">
        <f t="shared" si="4"/>
        <v>152.44994617868679</v>
      </c>
      <c r="AI29" s="906">
        <f t="shared" si="4"/>
        <v>151.24973089343382</v>
      </c>
      <c r="AJ29" s="907">
        <f t="shared" si="5"/>
        <v>163.28865224620563</v>
      </c>
      <c r="AN29" s="1178">
        <f ca="1">AN30</f>
        <v>0.19230522156334401</v>
      </c>
      <c r="AP29" s="1154">
        <f t="shared" ca="1" si="6"/>
        <v>376.81512538783682</v>
      </c>
      <c r="AR29" s="1140">
        <f t="shared" ca="1" si="7"/>
        <v>18.772305221563343</v>
      </c>
      <c r="AT29" s="1154">
        <f t="shared" ca="1" si="8"/>
        <v>36627.845125387837</v>
      </c>
      <c r="AV29" s="1199" t="s">
        <v>2805</v>
      </c>
      <c r="AW29" s="1200" t="s">
        <v>2800</v>
      </c>
      <c r="AX29" s="1200" t="s">
        <v>2802</v>
      </c>
      <c r="AY29" s="1200" t="s">
        <v>2801</v>
      </c>
      <c r="AZ29" s="1203"/>
      <c r="BA29" s="1204"/>
    </row>
    <row r="30" spans="1:53" s="882" customFormat="1">
      <c r="A30" s="884" t="str">
        <f t="shared" si="1"/>
        <v>PIERCE UTCResidentialSL065.0GEO001WREC</v>
      </c>
      <c r="B30" s="889" t="s">
        <v>1934</v>
      </c>
      <c r="C30" s="889" t="s">
        <v>1935</v>
      </c>
      <c r="D30" s="889" t="s">
        <v>409</v>
      </c>
      <c r="E30" s="883">
        <v>32000</v>
      </c>
      <c r="F30" s="904">
        <v>16.28</v>
      </c>
      <c r="G30" s="904">
        <v>16.579999999999998</v>
      </c>
      <c r="H30" s="904"/>
      <c r="I30" s="906">
        <v>191360.54</v>
      </c>
      <c r="J30" s="906">
        <v>191657.685</v>
      </c>
      <c r="K30" s="906">
        <v>191480.68499999997</v>
      </c>
      <c r="L30" s="906">
        <v>193318.91000000003</v>
      </c>
      <c r="M30" s="906">
        <v>196411.15000000002</v>
      </c>
      <c r="N30" s="906">
        <v>194715.82</v>
      </c>
      <c r="O30" s="906">
        <v>193860.785</v>
      </c>
      <c r="P30" s="906">
        <v>192630.69</v>
      </c>
      <c r="Q30" s="906">
        <v>191797.80499999999</v>
      </c>
      <c r="R30" s="906">
        <v>191495.27500000002</v>
      </c>
      <c r="S30" s="906">
        <v>191469.44999999998</v>
      </c>
      <c r="T30" s="906">
        <v>190825.45500000002</v>
      </c>
      <c r="U30" s="906"/>
      <c r="V30" s="957">
        <f t="shared" si="2"/>
        <v>2311024.25</v>
      </c>
      <c r="W30" s="905"/>
      <c r="X30" s="906">
        <f t="shared" si="3"/>
        <v>11754.332923832924</v>
      </c>
      <c r="Y30" s="906">
        <f t="shared" si="3"/>
        <v>11772.585073710074</v>
      </c>
      <c r="Z30" s="906">
        <f t="shared" si="3"/>
        <v>11761.712837837835</v>
      </c>
      <c r="AA30" s="906">
        <f t="shared" si="4"/>
        <v>11659.765379975877</v>
      </c>
      <c r="AB30" s="906">
        <f t="shared" si="4"/>
        <v>11846.269601930038</v>
      </c>
      <c r="AC30" s="906">
        <f t="shared" si="4"/>
        <v>11744.018094089266</v>
      </c>
      <c r="AD30" s="906">
        <f t="shared" si="4"/>
        <v>11692.44782870929</v>
      </c>
      <c r="AE30" s="906">
        <f t="shared" si="4"/>
        <v>11618.256332931243</v>
      </c>
      <c r="AF30" s="906">
        <f t="shared" si="4"/>
        <v>11568.022014475273</v>
      </c>
      <c r="AG30" s="906">
        <f t="shared" si="4"/>
        <v>11549.775331724972</v>
      </c>
      <c r="AH30" s="906">
        <f t="shared" si="4"/>
        <v>11548.217732207479</v>
      </c>
      <c r="AI30" s="906">
        <f t="shared" si="4"/>
        <v>11509.376055488543</v>
      </c>
      <c r="AJ30" s="907">
        <f t="shared" si="5"/>
        <v>11668.731600576066</v>
      </c>
      <c r="AM30" s="1141"/>
      <c r="AN30" s="1140">
        <f t="shared" ca="1" si="9"/>
        <v>0.19230522156334401</v>
      </c>
      <c r="AO30" s="1137"/>
      <c r="AP30" s="1154">
        <f t="shared" ca="1" si="6"/>
        <v>26927.496189743692</v>
      </c>
      <c r="AQ30" s="1137"/>
      <c r="AR30" s="1140">
        <f t="shared" ca="1" si="7"/>
        <v>16.772305221563343</v>
      </c>
      <c r="AS30" s="1137"/>
      <c r="AT30" s="1154">
        <f t="shared" ca="1" si="8"/>
        <v>2337951.7461897437</v>
      </c>
      <c r="AV30" s="935" t="s">
        <v>1720</v>
      </c>
      <c r="AW30" s="1176">
        <f>V63+V198+V256+V262</f>
        <v>28387729.839999996</v>
      </c>
      <c r="AX30" s="1176">
        <f ca="1">AP63+AP198+AP256</f>
        <v>295736.97554727132</v>
      </c>
      <c r="AY30" s="1176">
        <f ca="1">AW30+AX30</f>
        <v>28683466.815547269</v>
      </c>
      <c r="AZ30" s="1205"/>
      <c r="BA30" s="1205"/>
    </row>
    <row r="31" spans="1:53">
      <c r="A31" s="884" t="str">
        <f t="shared" si="1"/>
        <v>PIERCE UTCResidentialSL095.0G1M001NOREC</v>
      </c>
      <c r="B31" s="889" t="s">
        <v>1936</v>
      </c>
      <c r="C31" s="889" t="s">
        <v>1937</v>
      </c>
      <c r="D31" s="889" t="s">
        <v>409</v>
      </c>
      <c r="E31" s="883">
        <v>32000</v>
      </c>
      <c r="F31" s="904">
        <v>15.72</v>
      </c>
      <c r="G31" s="904">
        <v>15.92</v>
      </c>
      <c r="H31" s="904"/>
      <c r="I31" s="906">
        <v>31.64</v>
      </c>
      <c r="J31" s="906">
        <v>31.44</v>
      </c>
      <c r="K31" s="906">
        <v>31.54</v>
      </c>
      <c r="L31" s="906">
        <v>31.740000000000002</v>
      </c>
      <c r="M31" s="906">
        <v>31.84</v>
      </c>
      <c r="N31" s="906">
        <v>31.84</v>
      </c>
      <c r="O31" s="906">
        <v>47.76</v>
      </c>
      <c r="P31" s="906">
        <v>47.76</v>
      </c>
      <c r="Q31" s="906">
        <v>47.76</v>
      </c>
      <c r="R31" s="906">
        <v>47.76</v>
      </c>
      <c r="S31" s="906">
        <v>47.76</v>
      </c>
      <c r="T31" s="906">
        <v>47.76</v>
      </c>
      <c r="U31" s="906"/>
      <c r="V31" s="957">
        <f t="shared" si="2"/>
        <v>476.59999999999997</v>
      </c>
      <c r="W31" s="905"/>
      <c r="X31" s="906">
        <f t="shared" si="3"/>
        <v>2.0127226463104324</v>
      </c>
      <c r="Y31" s="906">
        <f t="shared" si="3"/>
        <v>2</v>
      </c>
      <c r="Z31" s="906">
        <f t="shared" si="3"/>
        <v>2.006361323155216</v>
      </c>
      <c r="AA31" s="906">
        <f t="shared" si="4"/>
        <v>1.9937185929648242</v>
      </c>
      <c r="AB31" s="906">
        <f t="shared" si="4"/>
        <v>2</v>
      </c>
      <c r="AC31" s="906">
        <f t="shared" si="4"/>
        <v>2</v>
      </c>
      <c r="AD31" s="906">
        <f t="shared" si="4"/>
        <v>3</v>
      </c>
      <c r="AE31" s="906">
        <f t="shared" si="4"/>
        <v>3</v>
      </c>
      <c r="AF31" s="906">
        <f t="shared" si="4"/>
        <v>3</v>
      </c>
      <c r="AG31" s="906">
        <f t="shared" si="4"/>
        <v>3</v>
      </c>
      <c r="AH31" s="906">
        <f t="shared" si="4"/>
        <v>3</v>
      </c>
      <c r="AI31" s="906">
        <f t="shared" si="4"/>
        <v>3</v>
      </c>
      <c r="AJ31" s="907">
        <f t="shared" si="5"/>
        <v>2.5010668802025395</v>
      </c>
      <c r="AN31" s="1178">
        <f ca="1">AN32</f>
        <v>0.14985424985515108</v>
      </c>
      <c r="AP31" s="1154">
        <f t="shared" ca="1" si="6"/>
        <v>4.4975460140437749</v>
      </c>
      <c r="AR31" s="1140">
        <f t="shared" ca="1" si="7"/>
        <v>16.069854249855151</v>
      </c>
      <c r="AT31" s="1154">
        <f t="shared" ca="1" si="8"/>
        <v>481.09754601404376</v>
      </c>
      <c r="AV31" s="1175" t="s">
        <v>4</v>
      </c>
      <c r="AW31" s="1177">
        <f>SUM(V71+V204)</f>
        <v>3496141.3700000006</v>
      </c>
      <c r="AX31" s="1177">
        <f ca="1">AP71+AP204</f>
        <v>1142140.5318753126</v>
      </c>
      <c r="AY31" s="1176">
        <f ca="1">AW31+AX31</f>
        <v>4638281.9018753134</v>
      </c>
      <c r="AZ31" s="1206"/>
      <c r="BA31" s="1205"/>
    </row>
    <row r="32" spans="1:53">
      <c r="A32" s="884" t="str">
        <f t="shared" si="1"/>
        <v>PIERCE UTCResidentialSL095.0G1M001WREC</v>
      </c>
      <c r="B32" s="889" t="s">
        <v>1938</v>
      </c>
      <c r="C32" s="889" t="s">
        <v>1939</v>
      </c>
      <c r="D32" s="889" t="s">
        <v>409</v>
      </c>
      <c r="E32" s="883">
        <v>32000</v>
      </c>
      <c r="F32" s="904">
        <v>12.72</v>
      </c>
      <c r="G32" s="904">
        <v>12.92</v>
      </c>
      <c r="H32" s="904"/>
      <c r="I32" s="906">
        <v>2346.165</v>
      </c>
      <c r="J32" s="906">
        <v>2256.855</v>
      </c>
      <c r="K32" s="906">
        <v>2306.46</v>
      </c>
      <c r="L32" s="906">
        <v>2322.06</v>
      </c>
      <c r="M32" s="906">
        <v>2370.8199999999997</v>
      </c>
      <c r="N32" s="906">
        <v>2344.9799999999996</v>
      </c>
      <c r="O32" s="906">
        <v>2428.96</v>
      </c>
      <c r="P32" s="906">
        <v>2344.98</v>
      </c>
      <c r="Q32" s="906">
        <v>2310.15</v>
      </c>
      <c r="R32" s="906">
        <v>2312.6800000000003</v>
      </c>
      <c r="S32" s="906">
        <v>2332.06</v>
      </c>
      <c r="T32" s="906">
        <v>2319.14</v>
      </c>
      <c r="U32" s="906"/>
      <c r="V32" s="957">
        <f t="shared" si="2"/>
        <v>27995.31</v>
      </c>
      <c r="W32" s="905"/>
      <c r="X32" s="906">
        <f t="shared" si="3"/>
        <v>184.44693396226413</v>
      </c>
      <c r="Y32" s="906">
        <f t="shared" si="3"/>
        <v>177.42570754716979</v>
      </c>
      <c r="Z32" s="906">
        <f t="shared" si="3"/>
        <v>181.3254716981132</v>
      </c>
      <c r="AA32" s="906">
        <f t="shared" si="4"/>
        <v>179.72600619195046</v>
      </c>
      <c r="AB32" s="906">
        <f t="shared" si="4"/>
        <v>183.49999999999997</v>
      </c>
      <c r="AC32" s="906">
        <f t="shared" si="4"/>
        <v>181.49999999999997</v>
      </c>
      <c r="AD32" s="906">
        <f t="shared" si="4"/>
        <v>188</v>
      </c>
      <c r="AE32" s="906">
        <f t="shared" si="4"/>
        <v>181.5</v>
      </c>
      <c r="AF32" s="906">
        <f t="shared" si="4"/>
        <v>178.80417956656348</v>
      </c>
      <c r="AG32" s="906">
        <f t="shared" si="4"/>
        <v>179.00000000000003</v>
      </c>
      <c r="AH32" s="906">
        <f t="shared" si="4"/>
        <v>180.5</v>
      </c>
      <c r="AI32" s="906">
        <f t="shared" si="4"/>
        <v>179.5</v>
      </c>
      <c r="AJ32" s="907">
        <f t="shared" si="5"/>
        <v>181.26902491383842</v>
      </c>
      <c r="AN32" s="1140">
        <f t="shared" ca="1" si="9"/>
        <v>0.14985424985515108</v>
      </c>
      <c r="AP32" s="1154">
        <f t="shared" ca="1" si="6"/>
        <v>325.96720500525538</v>
      </c>
      <c r="AR32" s="1140">
        <f t="shared" ca="1" si="7"/>
        <v>13.069854249855151</v>
      </c>
      <c r="AT32" s="1154">
        <f t="shared" ca="1" si="8"/>
        <v>28321.277205005255</v>
      </c>
      <c r="AV32" s="1175" t="s">
        <v>299</v>
      </c>
      <c r="AW32" s="1177">
        <f>AJ80</f>
        <v>26739.914556962023</v>
      </c>
      <c r="AX32" s="1179">
        <f ca="1">AP80</f>
        <v>249338.78572274366</v>
      </c>
      <c r="AY32" s="1176">
        <f ca="1">AW32+AX32</f>
        <v>276078.70027970569</v>
      </c>
      <c r="AZ32" s="1206"/>
      <c r="BA32" s="1205"/>
    </row>
    <row r="33" spans="1:53">
      <c r="A33" s="884" t="str">
        <f t="shared" si="1"/>
        <v>PIERCE UTCResidentialSL095.0G1W001NOREC</v>
      </c>
      <c r="B33" s="889" t="s">
        <v>1940</v>
      </c>
      <c r="C33" s="889" t="s">
        <v>1941</v>
      </c>
      <c r="D33" s="889" t="s">
        <v>409</v>
      </c>
      <c r="E33" s="883">
        <v>32000</v>
      </c>
      <c r="F33" s="904">
        <v>37.380000000000003</v>
      </c>
      <c r="G33" s="904">
        <v>38.24</v>
      </c>
      <c r="H33" s="904"/>
      <c r="I33" s="906">
        <v>3194.7799999999997</v>
      </c>
      <c r="J33" s="906">
        <v>3347.5899999999997</v>
      </c>
      <c r="K33" s="906">
        <v>3330.33</v>
      </c>
      <c r="L33" s="906">
        <v>3300.87</v>
      </c>
      <c r="M33" s="906">
        <v>3367.24</v>
      </c>
      <c r="N33" s="906">
        <v>3353.4249999999997</v>
      </c>
      <c r="O33" s="906">
        <v>3272.7049999999999</v>
      </c>
      <c r="P33" s="906">
        <v>3152.68</v>
      </c>
      <c r="Q33" s="906">
        <v>3234.4650000000001</v>
      </c>
      <c r="R33" s="906">
        <v>3234.4650000000001</v>
      </c>
      <c r="S33" s="906">
        <v>3241.43</v>
      </c>
      <c r="T33" s="906">
        <v>3694.3999999999996</v>
      </c>
      <c r="U33" s="906"/>
      <c r="V33" s="957">
        <f t="shared" si="2"/>
        <v>39724.379999999997</v>
      </c>
      <c r="W33" s="905"/>
      <c r="X33" s="906">
        <f t="shared" si="3"/>
        <v>85.467629748528609</v>
      </c>
      <c r="Y33" s="906">
        <f t="shared" si="3"/>
        <v>89.555644729802012</v>
      </c>
      <c r="Z33" s="906">
        <f t="shared" si="3"/>
        <v>89.093900481540928</v>
      </c>
      <c r="AA33" s="906">
        <f t="shared" si="4"/>
        <v>86.319822175732213</v>
      </c>
      <c r="AB33" s="906">
        <f t="shared" si="4"/>
        <v>88.055439330543919</v>
      </c>
      <c r="AC33" s="906">
        <f t="shared" si="4"/>
        <v>87.694168410041826</v>
      </c>
      <c r="AD33" s="906">
        <f t="shared" si="4"/>
        <v>85.583289748953973</v>
      </c>
      <c r="AE33" s="906">
        <f t="shared" si="4"/>
        <v>82.444560669456052</v>
      </c>
      <c r="AF33" s="906">
        <f t="shared" si="4"/>
        <v>84.583289748953973</v>
      </c>
      <c r="AG33" s="906">
        <f t="shared" si="4"/>
        <v>84.583289748953973</v>
      </c>
      <c r="AH33" s="906">
        <f t="shared" si="4"/>
        <v>84.76542887029288</v>
      </c>
      <c r="AI33" s="906">
        <f t="shared" si="4"/>
        <v>96.610878661087852</v>
      </c>
      <c r="AJ33" s="907">
        <f t="shared" si="5"/>
        <v>87.063111860324014</v>
      </c>
      <c r="AN33" s="1178">
        <f ca="1">AN34</f>
        <v>0.40873558551822942</v>
      </c>
      <c r="AP33" s="1154">
        <f t="shared" ca="1" si="6"/>
        <v>427.02950403922364</v>
      </c>
      <c r="AR33" s="1140">
        <f t="shared" ca="1" si="7"/>
        <v>38.648735585518232</v>
      </c>
      <c r="AT33" s="1154">
        <f t="shared" ca="1" si="8"/>
        <v>40151.40950403922</v>
      </c>
      <c r="AW33" s="1177"/>
      <c r="AX33" s="1177">
        <f ca="1">SUM(AX30:AX32)</f>
        <v>1687216.2931453276</v>
      </c>
      <c r="AY33" s="1177"/>
      <c r="AZ33" s="1206"/>
      <c r="BA33" s="1206"/>
    </row>
    <row r="34" spans="1:53">
      <c r="A34" s="884" t="str">
        <f t="shared" si="1"/>
        <v>PIERCE UTCResidentialSL095.0G1W001WREC</v>
      </c>
      <c r="B34" s="889" t="s">
        <v>1942</v>
      </c>
      <c r="C34" s="889" t="s">
        <v>1943</v>
      </c>
      <c r="D34" s="889" t="s">
        <v>409</v>
      </c>
      <c r="E34" s="883">
        <v>32000</v>
      </c>
      <c r="F34" s="904">
        <v>34.380000000000003</v>
      </c>
      <c r="G34" s="904">
        <v>35.24</v>
      </c>
      <c r="H34" s="904"/>
      <c r="I34" s="906">
        <v>257781.11000000002</v>
      </c>
      <c r="J34" s="906">
        <v>245859.70999999996</v>
      </c>
      <c r="K34" s="906">
        <v>246966.00499999998</v>
      </c>
      <c r="L34" s="906">
        <v>253707.95000000004</v>
      </c>
      <c r="M34" s="906">
        <v>257669.49500000002</v>
      </c>
      <c r="N34" s="906">
        <v>260227.345</v>
      </c>
      <c r="O34" s="906">
        <v>260406.80500000002</v>
      </c>
      <c r="P34" s="906">
        <v>262623.40500000003</v>
      </c>
      <c r="Q34" s="906">
        <v>265009.505</v>
      </c>
      <c r="R34" s="906">
        <v>267843.60500000004</v>
      </c>
      <c r="S34" s="906">
        <v>268386.11</v>
      </c>
      <c r="T34" s="906">
        <v>268667.26500000001</v>
      </c>
      <c r="U34" s="906"/>
      <c r="V34" s="957">
        <f t="shared" si="2"/>
        <v>3115148.31</v>
      </c>
      <c r="W34" s="905"/>
      <c r="X34" s="906">
        <f t="shared" si="3"/>
        <v>7497.9962187318206</v>
      </c>
      <c r="Y34" s="906">
        <f t="shared" si="3"/>
        <v>7151.2422920302488</v>
      </c>
      <c r="Z34" s="906">
        <f t="shared" si="3"/>
        <v>7183.4207388016275</v>
      </c>
      <c r="AA34" s="906">
        <f t="shared" si="4"/>
        <v>7199.431044267878</v>
      </c>
      <c r="AB34" s="906">
        <f t="shared" si="4"/>
        <v>7311.8471906923951</v>
      </c>
      <c r="AC34" s="906">
        <f t="shared" si="4"/>
        <v>7384.4309023836549</v>
      </c>
      <c r="AD34" s="906">
        <f t="shared" si="4"/>
        <v>7389.5234108967088</v>
      </c>
      <c r="AE34" s="906">
        <f t="shared" si="4"/>
        <v>7452.4235244040865</v>
      </c>
      <c r="AF34" s="906">
        <f t="shared" si="4"/>
        <v>7520.133513053348</v>
      </c>
      <c r="AG34" s="906">
        <f t="shared" si="4"/>
        <v>7600.5563280363231</v>
      </c>
      <c r="AH34" s="906">
        <f t="shared" si="4"/>
        <v>7615.9509080590233</v>
      </c>
      <c r="AI34" s="906">
        <f t="shared" si="4"/>
        <v>7623.9291997729852</v>
      </c>
      <c r="AJ34" s="907">
        <f t="shared" si="5"/>
        <v>7410.9071059275093</v>
      </c>
      <c r="AN34" s="1140">
        <f t="shared" ca="1" si="9"/>
        <v>0.40873558551822942</v>
      </c>
      <c r="AP34" s="1154">
        <f t="shared" ca="1" si="6"/>
        <v>36349.217461949855</v>
      </c>
      <c r="AR34" s="1140">
        <f t="shared" ca="1" si="7"/>
        <v>35.648735585518232</v>
      </c>
      <c r="AT34" s="1154">
        <f t="shared" ca="1" si="8"/>
        <v>3151497.5274619497</v>
      </c>
      <c r="AZ34" s="885"/>
      <c r="BA34" s="885"/>
    </row>
    <row r="35" spans="1:53">
      <c r="A35" s="884" t="str">
        <f t="shared" si="1"/>
        <v>PIERCE UTCResidentialSL095.0GEO001NOREC</v>
      </c>
      <c r="B35" s="889" t="s">
        <v>1944</v>
      </c>
      <c r="C35" s="889" t="s">
        <v>1945</v>
      </c>
      <c r="D35" s="889" t="s">
        <v>409</v>
      </c>
      <c r="E35" s="883">
        <v>32000</v>
      </c>
      <c r="F35" s="904">
        <v>24.33</v>
      </c>
      <c r="G35" s="904">
        <v>24.76</v>
      </c>
      <c r="H35" s="904"/>
      <c r="I35" s="906">
        <v>203.30500000000001</v>
      </c>
      <c r="J35" s="906">
        <v>249.38499999999999</v>
      </c>
      <c r="K35" s="906">
        <v>243.73</v>
      </c>
      <c r="L35" s="906">
        <v>247.17000000000002</v>
      </c>
      <c r="M35" s="906">
        <v>247.60000000000002</v>
      </c>
      <c r="N35" s="906">
        <v>235.22000000000003</v>
      </c>
      <c r="O35" s="906">
        <v>222.84</v>
      </c>
      <c r="P35" s="906">
        <v>242.65</v>
      </c>
      <c r="Q35" s="906">
        <v>216.65</v>
      </c>
      <c r="R35" s="906">
        <v>204.26999999999998</v>
      </c>
      <c r="S35" s="906">
        <v>198.07999999999998</v>
      </c>
      <c r="T35" s="906">
        <v>173.32</v>
      </c>
      <c r="U35" s="906"/>
      <c r="V35" s="957">
        <f t="shared" si="2"/>
        <v>2684.2200000000003</v>
      </c>
      <c r="W35" s="905"/>
      <c r="X35" s="906">
        <f t="shared" si="3"/>
        <v>8.356144677353063</v>
      </c>
      <c r="Y35" s="906">
        <f t="shared" si="3"/>
        <v>10.25010275380189</v>
      </c>
      <c r="Z35" s="906">
        <f t="shared" si="3"/>
        <v>10.017673653925195</v>
      </c>
      <c r="AA35" s="906">
        <f t="shared" si="4"/>
        <v>9.9826332794830375</v>
      </c>
      <c r="AB35" s="906">
        <f t="shared" si="4"/>
        <v>10</v>
      </c>
      <c r="AC35" s="906">
        <f t="shared" si="4"/>
        <v>9.5</v>
      </c>
      <c r="AD35" s="906">
        <f t="shared" si="4"/>
        <v>9</v>
      </c>
      <c r="AE35" s="906">
        <f t="shared" si="4"/>
        <v>9.8000807754442647</v>
      </c>
      <c r="AF35" s="906">
        <f t="shared" si="4"/>
        <v>8.75</v>
      </c>
      <c r="AG35" s="906">
        <f t="shared" si="4"/>
        <v>8.2499999999999982</v>
      </c>
      <c r="AH35" s="906">
        <f t="shared" si="4"/>
        <v>7.9999999999999991</v>
      </c>
      <c r="AI35" s="906">
        <f t="shared" si="4"/>
        <v>6.9999999999999991</v>
      </c>
      <c r="AJ35" s="907">
        <f t="shared" si="5"/>
        <v>9.0755529283339538</v>
      </c>
      <c r="AN35" s="1178">
        <f ca="1">AN36</f>
        <v>0.25238610501920183</v>
      </c>
      <c r="AP35" s="1154">
        <f t="shared" ca="1" si="6"/>
        <v>27.486521453733815</v>
      </c>
      <c r="AR35" s="1140">
        <f t="shared" ca="1" si="7"/>
        <v>25.012386105019203</v>
      </c>
      <c r="AT35" s="1154">
        <f t="shared" ca="1" si="8"/>
        <v>2711.7065214537342</v>
      </c>
      <c r="AZ35" s="885"/>
      <c r="BA35" s="885"/>
    </row>
    <row r="36" spans="1:53">
      <c r="A36" s="884" t="str">
        <f t="shared" si="1"/>
        <v>PIERCE UTCResidentialSL095.0GEO001WREC</v>
      </c>
      <c r="B36" s="889" t="s">
        <v>1946</v>
      </c>
      <c r="C36" s="889" t="s">
        <v>1947</v>
      </c>
      <c r="D36" s="889" t="s">
        <v>409</v>
      </c>
      <c r="E36" s="883">
        <v>32000</v>
      </c>
      <c r="F36" s="904">
        <v>21.33</v>
      </c>
      <c r="G36" s="904">
        <v>21.76</v>
      </c>
      <c r="H36" s="904"/>
      <c r="I36" s="906">
        <v>33826.684999999998</v>
      </c>
      <c r="J36" s="906">
        <v>33126.210000000006</v>
      </c>
      <c r="K36" s="906">
        <v>33412.74</v>
      </c>
      <c r="L36" s="906">
        <v>34081.625</v>
      </c>
      <c r="M36" s="906">
        <v>34090.514999999999</v>
      </c>
      <c r="N36" s="906">
        <v>33841.240000000013</v>
      </c>
      <c r="O36" s="906">
        <v>34819.51</v>
      </c>
      <c r="P36" s="906">
        <v>34033.974999999999</v>
      </c>
      <c r="Q36" s="906">
        <v>34269.19</v>
      </c>
      <c r="R36" s="906">
        <v>34308.660000000003</v>
      </c>
      <c r="S36" s="906">
        <v>35033.800000000003</v>
      </c>
      <c r="T36" s="906">
        <v>34802.36</v>
      </c>
      <c r="U36" s="906"/>
      <c r="V36" s="957">
        <f t="shared" si="2"/>
        <v>409646.51000000007</v>
      </c>
      <c r="W36" s="905"/>
      <c r="X36" s="906">
        <f t="shared" si="3"/>
        <v>1585.8736521331459</v>
      </c>
      <c r="Y36" s="906">
        <f t="shared" si="3"/>
        <v>1553.0337552742619</v>
      </c>
      <c r="Z36" s="906">
        <f t="shared" si="3"/>
        <v>1566.4669479606189</v>
      </c>
      <c r="AA36" s="906">
        <f t="shared" si="4"/>
        <v>1566.2511488970588</v>
      </c>
      <c r="AB36" s="906">
        <f t="shared" si="4"/>
        <v>1566.6596966911764</v>
      </c>
      <c r="AC36" s="906">
        <f t="shared" si="4"/>
        <v>1555.2040441176475</v>
      </c>
      <c r="AD36" s="906">
        <f t="shared" si="4"/>
        <v>1600.1613051470588</v>
      </c>
      <c r="AE36" s="906">
        <f t="shared" si="4"/>
        <v>1564.061351102941</v>
      </c>
      <c r="AF36" s="906">
        <f t="shared" si="4"/>
        <v>1574.8708639705883</v>
      </c>
      <c r="AG36" s="906">
        <f t="shared" si="4"/>
        <v>1576.6847426470588</v>
      </c>
      <c r="AH36" s="906">
        <f t="shared" si="4"/>
        <v>1610.0091911764705</v>
      </c>
      <c r="AI36" s="906">
        <f t="shared" si="4"/>
        <v>1599.3731617647059</v>
      </c>
      <c r="AJ36" s="907">
        <f t="shared" si="5"/>
        <v>1576.5541550735613</v>
      </c>
      <c r="AN36" s="1140">
        <f t="shared" ca="1" si="9"/>
        <v>0.25238610501920183</v>
      </c>
      <c r="AP36" s="1154">
        <f t="shared" ca="1" si="6"/>
        <v>4774.8043506102586</v>
      </c>
      <c r="AR36" s="1140">
        <f t="shared" ca="1" si="7"/>
        <v>22.012386105019203</v>
      </c>
      <c r="AT36" s="1154">
        <f t="shared" ca="1" si="8"/>
        <v>414421.31435061031</v>
      </c>
      <c r="AV36" s="1199" t="s">
        <v>698</v>
      </c>
      <c r="AW36" s="1200" t="s">
        <v>2800</v>
      </c>
      <c r="AX36" s="1200" t="s">
        <v>2802</v>
      </c>
      <c r="AY36" s="1200" t="s">
        <v>2801</v>
      </c>
      <c r="AZ36" s="1203"/>
      <c r="BA36" s="1204"/>
    </row>
    <row r="37" spans="1:53">
      <c r="A37" s="884" t="str">
        <f t="shared" si="1"/>
        <v>PIERCE UTCResidentialBULKY-RES</v>
      </c>
      <c r="B37" s="889" t="s">
        <v>1948</v>
      </c>
      <c r="C37" s="889" t="s">
        <v>1949</v>
      </c>
      <c r="D37" s="889" t="s">
        <v>1950</v>
      </c>
      <c r="E37" s="883">
        <v>32001</v>
      </c>
      <c r="F37" s="904">
        <v>31.67</v>
      </c>
      <c r="G37" s="904">
        <v>32.04</v>
      </c>
      <c r="H37" s="904"/>
      <c r="I37" s="906">
        <v>1551.87</v>
      </c>
      <c r="J37" s="906">
        <v>1700.9099999999999</v>
      </c>
      <c r="K37" s="906">
        <v>1132.6599999999999</v>
      </c>
      <c r="L37" s="906">
        <v>2320.31</v>
      </c>
      <c r="M37" s="906">
        <v>2016.93</v>
      </c>
      <c r="N37" s="906">
        <v>2113.2000000000003</v>
      </c>
      <c r="O37" s="906">
        <v>1561.9</v>
      </c>
      <c r="P37" s="906">
        <v>1963.51</v>
      </c>
      <c r="Q37" s="906">
        <v>3527.9899999999993</v>
      </c>
      <c r="R37" s="906">
        <v>1238.95</v>
      </c>
      <c r="S37" s="906">
        <v>2729.59</v>
      </c>
      <c r="T37" s="906">
        <v>1393.74</v>
      </c>
      <c r="U37" s="906"/>
      <c r="V37" s="957">
        <f t="shared" si="2"/>
        <v>23251.56</v>
      </c>
      <c r="W37" s="905"/>
      <c r="X37" s="906">
        <f t="shared" si="3"/>
        <v>49.001263024944734</v>
      </c>
      <c r="Y37" s="906">
        <f t="shared" si="3"/>
        <v>53.707293969055883</v>
      </c>
      <c r="Z37" s="906">
        <f t="shared" si="3"/>
        <v>35.76444584780549</v>
      </c>
      <c r="AA37" s="906">
        <f t="shared" si="4"/>
        <v>72.41916354556804</v>
      </c>
      <c r="AB37" s="906">
        <f t="shared" si="4"/>
        <v>62.950374531835209</v>
      </c>
      <c r="AC37" s="906">
        <f t="shared" si="4"/>
        <v>65.955056179775298</v>
      </c>
      <c r="AD37" s="906">
        <f t="shared" si="4"/>
        <v>48.748439450686647</v>
      </c>
      <c r="AE37" s="906">
        <f t="shared" si="4"/>
        <v>61.283083645443199</v>
      </c>
      <c r="AF37" s="906">
        <f t="shared" si="4"/>
        <v>110.11204744069911</v>
      </c>
      <c r="AG37" s="906">
        <f t="shared" si="4"/>
        <v>38.668851435705371</v>
      </c>
      <c r="AH37" s="906">
        <f t="shared" si="4"/>
        <v>85.193196004993766</v>
      </c>
      <c r="AI37" s="906">
        <f t="shared" si="4"/>
        <v>43.5</v>
      </c>
      <c r="AJ37" s="907">
        <f t="shared" si="5"/>
        <v>60.608601256376062</v>
      </c>
      <c r="AN37" s="1140">
        <f t="shared" ca="1" si="9"/>
        <v>0.37161998183893502</v>
      </c>
      <c r="AP37" s="1154">
        <f t="shared" ca="1" si="6"/>
        <v>270.28040757813267</v>
      </c>
      <c r="AR37" s="1140">
        <f t="shared" ca="1" si="7"/>
        <v>32.411619981838932</v>
      </c>
      <c r="AT37" s="1154">
        <f t="shared" ca="1" si="8"/>
        <v>23521.840407578133</v>
      </c>
      <c r="AV37" s="935" t="s">
        <v>1720</v>
      </c>
      <c r="AW37" s="1176">
        <f>'JBLM Housing - Price Out'!V22+'JBLM Housing - Price Out'!V50+'JBLM Housing - Price Out'!V77</f>
        <v>1509464.2399999998</v>
      </c>
      <c r="AX37" s="1176">
        <f ca="1">'JBLM Housing - Price Out'!AO22</f>
        <v>-321497.37933241477</v>
      </c>
      <c r="AY37" s="1176">
        <f ca="1">AW37+AX37</f>
        <v>1187966.8606675849</v>
      </c>
      <c r="AZ37" s="1205"/>
      <c r="BA37" s="1205"/>
    </row>
    <row r="38" spans="1:53">
      <c r="A38" s="884" t="str">
        <f t="shared" si="1"/>
        <v>PIERCE UTCResidentialEXTRA-RES</v>
      </c>
      <c r="B38" s="889" t="s">
        <v>1951</v>
      </c>
      <c r="C38" s="889" t="s">
        <v>1952</v>
      </c>
      <c r="D38" s="889" t="s">
        <v>1950</v>
      </c>
      <c r="E38" s="883">
        <v>32001</v>
      </c>
      <c r="F38" s="904">
        <v>4.29</v>
      </c>
      <c r="G38" s="904">
        <v>4.3899999999999997</v>
      </c>
      <c r="H38" s="904"/>
      <c r="I38" s="906">
        <v>13515.42</v>
      </c>
      <c r="J38" s="906">
        <v>17052.75</v>
      </c>
      <c r="K38" s="906">
        <v>8215.3499999999985</v>
      </c>
      <c r="L38" s="906">
        <v>9481.08</v>
      </c>
      <c r="M38" s="906">
        <v>9599.61</v>
      </c>
      <c r="N38" s="906">
        <v>9936.57</v>
      </c>
      <c r="O38" s="906">
        <v>10141.449999999999</v>
      </c>
      <c r="P38" s="906">
        <v>13902.65</v>
      </c>
      <c r="Q38" s="906">
        <v>9425.5099999999984</v>
      </c>
      <c r="R38" s="906">
        <v>9734.2799999999988</v>
      </c>
      <c r="S38" s="906">
        <v>8240.0300000000007</v>
      </c>
      <c r="T38" s="906">
        <v>7493.73</v>
      </c>
      <c r="U38" s="906"/>
      <c r="V38" s="957">
        <f t="shared" si="2"/>
        <v>126738.42999999998</v>
      </c>
      <c r="W38" s="905"/>
      <c r="X38" s="906">
        <f t="shared" si="3"/>
        <v>3150.4475524475524</v>
      </c>
      <c r="Y38" s="906">
        <f t="shared" si="3"/>
        <v>3975</v>
      </c>
      <c r="Z38" s="906">
        <f t="shared" si="3"/>
        <v>1914.9999999999995</v>
      </c>
      <c r="AA38" s="906">
        <f t="shared" si="4"/>
        <v>2159.6993166287016</v>
      </c>
      <c r="AB38" s="906">
        <f t="shared" si="4"/>
        <v>2186.699316628702</v>
      </c>
      <c r="AC38" s="906">
        <f t="shared" si="4"/>
        <v>2263.4555808656037</v>
      </c>
      <c r="AD38" s="906">
        <f t="shared" si="4"/>
        <v>2310.125284738041</v>
      </c>
      <c r="AE38" s="906">
        <f t="shared" si="4"/>
        <v>3166.8906605922552</v>
      </c>
      <c r="AF38" s="906">
        <f t="shared" si="4"/>
        <v>2147.0410022779042</v>
      </c>
      <c r="AG38" s="906">
        <f t="shared" si="4"/>
        <v>2217.3758542141227</v>
      </c>
      <c r="AH38" s="906">
        <f t="shared" si="4"/>
        <v>1877.0000000000002</v>
      </c>
      <c r="AI38" s="906">
        <f t="shared" si="4"/>
        <v>1707</v>
      </c>
      <c r="AJ38" s="907">
        <f t="shared" si="5"/>
        <v>2422.9778806994068</v>
      </c>
      <c r="AN38" s="1140">
        <f t="shared" ca="1" si="9"/>
        <v>5.0917968797531979E-2</v>
      </c>
      <c r="AP38" s="1154">
        <f t="shared" ca="1" si="6"/>
        <v>1480.4773455187508</v>
      </c>
      <c r="AR38" s="1140">
        <f t="shared" ca="1" si="7"/>
        <v>4.4409179687975318</v>
      </c>
      <c r="AT38" s="1154">
        <f t="shared" ca="1" si="8"/>
        <v>128218.90734551873</v>
      </c>
      <c r="AV38" s="1175" t="s">
        <v>4</v>
      </c>
      <c r="AW38" s="1177">
        <f>'JBLM Housing - Price Out'!V29</f>
        <v>269939.14999999997</v>
      </c>
      <c r="AX38" s="1177">
        <f ca="1">'JBLM Housing - Price Out'!AO29</f>
        <v>88258.194929685676</v>
      </c>
      <c r="AY38" s="1176">
        <f ca="1">AW38+AX38</f>
        <v>358197.34492968564</v>
      </c>
      <c r="AZ38" s="1206"/>
      <c r="BA38" s="1205"/>
    </row>
    <row r="39" spans="1:53">
      <c r="A39" s="884" t="str">
        <f t="shared" si="1"/>
        <v>PIERCE UTCResidentialEXTRA65-RES</v>
      </c>
      <c r="B39" s="889" t="s">
        <v>1953</v>
      </c>
      <c r="C39" s="889" t="s">
        <v>1952</v>
      </c>
      <c r="D39" s="889" t="s">
        <v>1950</v>
      </c>
      <c r="E39" s="883">
        <v>32001</v>
      </c>
      <c r="F39" s="904">
        <v>9.18</v>
      </c>
      <c r="G39" s="904">
        <v>9.32</v>
      </c>
      <c r="H39" s="904"/>
      <c r="I39" s="906">
        <v>9.18</v>
      </c>
      <c r="J39" s="906">
        <v>0</v>
      </c>
      <c r="K39" s="906">
        <v>0</v>
      </c>
      <c r="L39" s="906">
        <v>0</v>
      </c>
      <c r="M39" s="906">
        <v>9.18</v>
      </c>
      <c r="N39" s="906">
        <v>0</v>
      </c>
      <c r="O39" s="906">
        <v>18.64</v>
      </c>
      <c r="P39" s="906">
        <v>18.64</v>
      </c>
      <c r="Q39" s="906">
        <v>18.64</v>
      </c>
      <c r="R39" s="906">
        <v>9.32</v>
      </c>
      <c r="S39" s="906">
        <v>27.96</v>
      </c>
      <c r="T39" s="906">
        <v>9.32</v>
      </c>
      <c r="U39" s="906"/>
      <c r="V39" s="957">
        <f t="shared" si="2"/>
        <v>120.88</v>
      </c>
      <c r="W39" s="905"/>
      <c r="X39" s="906">
        <f t="shared" si="3"/>
        <v>1</v>
      </c>
      <c r="Y39" s="906">
        <f t="shared" si="3"/>
        <v>0</v>
      </c>
      <c r="Z39" s="906">
        <f t="shared" si="3"/>
        <v>0</v>
      </c>
      <c r="AA39" s="906">
        <f t="shared" si="4"/>
        <v>0</v>
      </c>
      <c r="AB39" s="906">
        <f t="shared" si="4"/>
        <v>0.98497854077253211</v>
      </c>
      <c r="AC39" s="906">
        <f t="shared" si="4"/>
        <v>0</v>
      </c>
      <c r="AD39" s="906">
        <f t="shared" ref="AD39:AI54" si="10">IFERROR(O39/$G39,0)</f>
        <v>2</v>
      </c>
      <c r="AE39" s="906">
        <f t="shared" si="10"/>
        <v>2</v>
      </c>
      <c r="AF39" s="906">
        <f t="shared" si="10"/>
        <v>2</v>
      </c>
      <c r="AG39" s="906">
        <f t="shared" si="10"/>
        <v>1</v>
      </c>
      <c r="AH39" s="906">
        <f t="shared" si="10"/>
        <v>3</v>
      </c>
      <c r="AI39" s="906">
        <f t="shared" si="10"/>
        <v>1</v>
      </c>
      <c r="AJ39" s="907">
        <f t="shared" si="5"/>
        <v>1.0820815450643777</v>
      </c>
      <c r="AN39" s="1140">
        <f t="shared" ca="1" si="9"/>
        <v>0.1080991957159449</v>
      </c>
      <c r="AP39" s="1154">
        <f t="shared" ca="1" si="6"/>
        <v>1.4036657366463146</v>
      </c>
      <c r="AR39" s="1140">
        <f t="shared" ca="1" si="7"/>
        <v>9.4280991957159443</v>
      </c>
      <c r="AT39" s="1154">
        <f t="shared" ca="1" si="8"/>
        <v>122.28366573664631</v>
      </c>
      <c r="AV39" s="1175" t="s">
        <v>299</v>
      </c>
      <c r="AW39" s="1177">
        <f>'JBLM Housing - Price Out'!V35</f>
        <v>39182.82</v>
      </c>
      <c r="AX39" s="1179">
        <f ca="1">'JBLM Housing - Price Out'!AO35</f>
        <v>5505.7835852996504</v>
      </c>
      <c r="AY39" s="1176">
        <f ca="1">AW39+AX39</f>
        <v>44688.60358529965</v>
      </c>
      <c r="AZ39" s="1206"/>
      <c r="BA39" s="1205"/>
    </row>
    <row r="40" spans="1:53">
      <c r="A40" s="884" t="str">
        <f t="shared" si="1"/>
        <v>PIERCE UTCResidentialEXTRA95-RES</v>
      </c>
      <c r="B40" s="889" t="s">
        <v>1954</v>
      </c>
      <c r="C40" s="889" t="s">
        <v>1952</v>
      </c>
      <c r="D40" s="889" t="s">
        <v>1950</v>
      </c>
      <c r="E40" s="883">
        <v>32001</v>
      </c>
      <c r="F40" s="904">
        <v>12.085686695278969</v>
      </c>
      <c r="G40" s="904">
        <v>12.27</v>
      </c>
      <c r="H40" s="904"/>
      <c r="I40" s="906">
        <v>241.39999999999998</v>
      </c>
      <c r="J40" s="906">
        <v>156.91</v>
      </c>
      <c r="K40" s="906">
        <v>217.26</v>
      </c>
      <c r="L40" s="906">
        <v>265.54000000000002</v>
      </c>
      <c r="M40" s="906">
        <v>132.76999999999998</v>
      </c>
      <c r="N40" s="906">
        <v>110.42999999999999</v>
      </c>
      <c r="O40" s="906">
        <v>208.99</v>
      </c>
      <c r="P40" s="906">
        <v>245.4</v>
      </c>
      <c r="Q40" s="906">
        <v>147.24</v>
      </c>
      <c r="R40" s="906">
        <v>208.58999999999997</v>
      </c>
      <c r="S40" s="906">
        <v>122.7</v>
      </c>
      <c r="T40" s="906">
        <v>73.62</v>
      </c>
      <c r="U40" s="906"/>
      <c r="V40" s="957">
        <f t="shared" si="2"/>
        <v>2130.85</v>
      </c>
      <c r="W40" s="905"/>
      <c r="X40" s="906">
        <f t="shared" si="3"/>
        <v>19.974040870536388</v>
      </c>
      <c r="Y40" s="906">
        <f t="shared" si="3"/>
        <v>12.983126565848652</v>
      </c>
      <c r="Z40" s="906">
        <f t="shared" si="3"/>
        <v>17.97663678348275</v>
      </c>
      <c r="AA40" s="906">
        <f t="shared" ref="AA40:AI55" si="11">IFERROR(L40/$G40,0)</f>
        <v>21.641401792991037</v>
      </c>
      <c r="AB40" s="906">
        <f t="shared" si="11"/>
        <v>10.820700896495516</v>
      </c>
      <c r="AC40" s="906">
        <f t="shared" si="11"/>
        <v>9</v>
      </c>
      <c r="AD40" s="906">
        <f t="shared" si="10"/>
        <v>17.032599837000816</v>
      </c>
      <c r="AE40" s="906">
        <f t="shared" si="10"/>
        <v>20</v>
      </c>
      <c r="AF40" s="906">
        <f t="shared" si="10"/>
        <v>12.000000000000002</v>
      </c>
      <c r="AG40" s="906">
        <f t="shared" si="10"/>
        <v>17</v>
      </c>
      <c r="AH40" s="906">
        <f t="shared" si="10"/>
        <v>10</v>
      </c>
      <c r="AI40" s="906">
        <f t="shared" si="10"/>
        <v>6.0000000000000009</v>
      </c>
      <c r="AJ40" s="907">
        <f t="shared" si="5"/>
        <v>14.535708895529597</v>
      </c>
      <c r="AN40" s="1140">
        <f t="shared" ca="1" si="9"/>
        <v>0.1423151428577944</v>
      </c>
      <c r="AP40" s="1154">
        <f t="shared" ca="1" si="6"/>
        <v>24.823817856079291</v>
      </c>
      <c r="AR40" s="1140">
        <f t="shared" ca="1" si="7"/>
        <v>12.412315142857794</v>
      </c>
      <c r="AT40" s="1154">
        <f t="shared" ca="1" si="8"/>
        <v>2155.673817856079</v>
      </c>
      <c r="AW40" s="1177"/>
      <c r="AX40" s="1177">
        <f ca="1">SUM(AX37:AX39)</f>
        <v>-227733.40081742944</v>
      </c>
      <c r="AY40" s="1177"/>
      <c r="AZ40" s="1206"/>
      <c r="BA40" s="1206"/>
    </row>
    <row r="41" spans="1:53">
      <c r="A41" s="884" t="str">
        <f t="shared" si="1"/>
        <v>PIERCE UTCResidentialEXTRAGRAD1-RES</v>
      </c>
      <c r="B41" s="889" t="s">
        <v>1955</v>
      </c>
      <c r="C41" s="889" t="s">
        <v>1956</v>
      </c>
      <c r="D41" s="889" t="s">
        <v>1950</v>
      </c>
      <c r="E41" s="883">
        <v>32001</v>
      </c>
      <c r="F41" s="904">
        <v>0</v>
      </c>
      <c r="G41" s="904">
        <v>0</v>
      </c>
      <c r="H41" s="904"/>
      <c r="I41" s="906">
        <v>0</v>
      </c>
      <c r="J41" s="906">
        <v>0</v>
      </c>
      <c r="K41" s="906">
        <v>0</v>
      </c>
      <c r="L41" s="906">
        <v>0</v>
      </c>
      <c r="M41" s="906">
        <v>26.91</v>
      </c>
      <c r="N41" s="906">
        <v>0</v>
      </c>
      <c r="O41" s="906">
        <v>0</v>
      </c>
      <c r="P41" s="906">
        <v>0</v>
      </c>
      <c r="Q41" s="906">
        <v>0</v>
      </c>
      <c r="R41" s="906">
        <v>0</v>
      </c>
      <c r="S41" s="906">
        <v>0</v>
      </c>
      <c r="T41" s="906">
        <v>0</v>
      </c>
      <c r="U41" s="906"/>
      <c r="V41" s="957">
        <f t="shared" si="2"/>
        <v>26.91</v>
      </c>
      <c r="W41" s="905"/>
      <c r="X41" s="906">
        <f t="shared" si="3"/>
        <v>0</v>
      </c>
      <c r="Y41" s="906">
        <f t="shared" si="3"/>
        <v>0</v>
      </c>
      <c r="Z41" s="906">
        <f t="shared" si="3"/>
        <v>0</v>
      </c>
      <c r="AA41" s="906">
        <f t="shared" si="11"/>
        <v>0</v>
      </c>
      <c r="AB41" s="906">
        <f t="shared" si="11"/>
        <v>0</v>
      </c>
      <c r="AC41" s="906">
        <f t="shared" si="11"/>
        <v>0</v>
      </c>
      <c r="AD41" s="906">
        <f t="shared" si="10"/>
        <v>0</v>
      </c>
      <c r="AE41" s="906">
        <f t="shared" si="10"/>
        <v>0</v>
      </c>
      <c r="AF41" s="906">
        <f t="shared" si="10"/>
        <v>0</v>
      </c>
      <c r="AG41" s="906">
        <f t="shared" si="10"/>
        <v>0</v>
      </c>
      <c r="AH41" s="906">
        <f t="shared" si="10"/>
        <v>0</v>
      </c>
      <c r="AI41" s="906">
        <f t="shared" si="10"/>
        <v>0</v>
      </c>
      <c r="AJ41" s="907">
        <f t="shared" si="5"/>
        <v>0</v>
      </c>
      <c r="AN41" s="1140">
        <f t="shared" ca="1" si="9"/>
        <v>0</v>
      </c>
      <c r="AP41" s="1154">
        <f t="shared" ca="1" si="6"/>
        <v>0</v>
      </c>
      <c r="AR41" s="1140">
        <f t="shared" ca="1" si="7"/>
        <v>0</v>
      </c>
      <c r="AT41" s="1154">
        <f t="shared" ca="1" si="8"/>
        <v>26.91</v>
      </c>
      <c r="AZ41" s="885"/>
      <c r="BA41" s="885"/>
    </row>
    <row r="42" spans="1:53">
      <c r="A42" s="884" t="str">
        <f t="shared" si="1"/>
        <v>PIERCE UTCResidentialOS-RES</v>
      </c>
      <c r="B42" s="889" t="s">
        <v>1957</v>
      </c>
      <c r="C42" s="889" t="s">
        <v>1958</v>
      </c>
      <c r="D42" s="889" t="s">
        <v>1950</v>
      </c>
      <c r="E42" s="883">
        <v>32001</v>
      </c>
      <c r="F42" s="904">
        <v>7.62</v>
      </c>
      <c r="G42" s="904">
        <v>7.74</v>
      </c>
      <c r="H42" s="904"/>
      <c r="I42" s="906">
        <v>30.48</v>
      </c>
      <c r="J42" s="906">
        <v>7.62</v>
      </c>
      <c r="K42" s="906">
        <v>0</v>
      </c>
      <c r="L42" s="906">
        <v>0</v>
      </c>
      <c r="M42" s="906">
        <v>7.62</v>
      </c>
      <c r="N42" s="906">
        <v>0</v>
      </c>
      <c r="O42" s="906">
        <v>0</v>
      </c>
      <c r="P42" s="906">
        <v>15.48</v>
      </c>
      <c r="Q42" s="906">
        <v>0</v>
      </c>
      <c r="R42" s="906">
        <v>7.74</v>
      </c>
      <c r="S42" s="906">
        <v>0</v>
      </c>
      <c r="T42" s="906">
        <v>15.48</v>
      </c>
      <c r="U42" s="906"/>
      <c r="V42" s="957">
        <f t="shared" si="2"/>
        <v>84.42</v>
      </c>
      <c r="W42" s="905"/>
      <c r="X42" s="906">
        <f t="shared" si="3"/>
        <v>4</v>
      </c>
      <c r="Y42" s="906">
        <f t="shared" si="3"/>
        <v>1</v>
      </c>
      <c r="Z42" s="906">
        <f t="shared" si="3"/>
        <v>0</v>
      </c>
      <c r="AA42" s="906">
        <f t="shared" si="11"/>
        <v>0</v>
      </c>
      <c r="AB42" s="906">
        <f t="shared" si="11"/>
        <v>0.98449612403100772</v>
      </c>
      <c r="AC42" s="906">
        <f t="shared" si="11"/>
        <v>0</v>
      </c>
      <c r="AD42" s="906">
        <f t="shared" si="10"/>
        <v>0</v>
      </c>
      <c r="AE42" s="906">
        <f t="shared" si="10"/>
        <v>2</v>
      </c>
      <c r="AF42" s="906">
        <f t="shared" si="10"/>
        <v>0</v>
      </c>
      <c r="AG42" s="906">
        <f t="shared" si="10"/>
        <v>1</v>
      </c>
      <c r="AH42" s="906">
        <f t="shared" si="10"/>
        <v>0</v>
      </c>
      <c r="AI42" s="906">
        <f t="shared" si="10"/>
        <v>2</v>
      </c>
      <c r="AJ42" s="907">
        <f t="shared" si="5"/>
        <v>0.91537467700258401</v>
      </c>
      <c r="AN42" s="1140">
        <f t="shared" ca="1" si="9"/>
        <v>8.97733663992933E-2</v>
      </c>
      <c r="AP42" s="1154">
        <f t="shared" ca="1" si="6"/>
        <v>0.98611519525425284</v>
      </c>
      <c r="AR42" s="1140">
        <f t="shared" ca="1" si="7"/>
        <v>7.8297733663992934</v>
      </c>
      <c r="AT42" s="1154">
        <f t="shared" ca="1" si="8"/>
        <v>85.406115195254259</v>
      </c>
      <c r="AZ42" s="885"/>
      <c r="BA42" s="885"/>
    </row>
    <row r="43" spans="1:53">
      <c r="A43" s="884" t="str">
        <f t="shared" ref="A43:A61" si="12">$B$3&amp;"Residential"&amp;B43</f>
        <v>PIERCE UTCResidentialOW-RES</v>
      </c>
      <c r="B43" s="889" t="s">
        <v>1959</v>
      </c>
      <c r="C43" s="889" t="s">
        <v>1960</v>
      </c>
      <c r="D43" s="889" t="s">
        <v>1950</v>
      </c>
      <c r="E43" s="883">
        <v>32001</v>
      </c>
      <c r="F43" s="904">
        <v>7.62</v>
      </c>
      <c r="G43" s="904">
        <v>7.74</v>
      </c>
      <c r="H43" s="904"/>
      <c r="I43" s="906">
        <v>19392.900000000001</v>
      </c>
      <c r="J43" s="906">
        <v>22708.980000000003</v>
      </c>
      <c r="K43" s="906">
        <v>12458.7</v>
      </c>
      <c r="L43" s="906">
        <v>16375.11</v>
      </c>
      <c r="M43" s="906">
        <v>14363.48</v>
      </c>
      <c r="N43" s="906">
        <v>14276.880000000001</v>
      </c>
      <c r="O43" s="906">
        <v>12626.080000000002</v>
      </c>
      <c r="P43" s="906">
        <v>15723.060000000001</v>
      </c>
      <c r="Q43" s="906">
        <v>13066.98</v>
      </c>
      <c r="R43" s="906">
        <v>10532.86</v>
      </c>
      <c r="S43" s="906">
        <v>10820.64</v>
      </c>
      <c r="T43" s="906">
        <v>10603.8</v>
      </c>
      <c r="U43" s="906"/>
      <c r="V43" s="957">
        <f t="shared" si="2"/>
        <v>172949.47000000003</v>
      </c>
      <c r="W43" s="905"/>
      <c r="X43" s="906">
        <f t="shared" si="3"/>
        <v>2545</v>
      </c>
      <c r="Y43" s="906">
        <f t="shared" si="3"/>
        <v>2980.1811023622049</v>
      </c>
      <c r="Z43" s="906">
        <f t="shared" si="3"/>
        <v>1635</v>
      </c>
      <c r="AA43" s="906">
        <f t="shared" si="11"/>
        <v>2115.6472868217056</v>
      </c>
      <c r="AB43" s="906">
        <f t="shared" si="11"/>
        <v>1855.7467700258396</v>
      </c>
      <c r="AC43" s="906">
        <f t="shared" si="11"/>
        <v>1844.5581395348838</v>
      </c>
      <c r="AD43" s="906">
        <f t="shared" si="10"/>
        <v>1631.2764857881139</v>
      </c>
      <c r="AE43" s="906">
        <f t="shared" si="10"/>
        <v>2031.4031007751939</v>
      </c>
      <c r="AF43" s="906">
        <f t="shared" si="10"/>
        <v>1688.2403100775193</v>
      </c>
      <c r="AG43" s="906">
        <f t="shared" si="10"/>
        <v>1360.8346253229975</v>
      </c>
      <c r="AH43" s="906">
        <f t="shared" si="10"/>
        <v>1398.015503875969</v>
      </c>
      <c r="AI43" s="906">
        <f t="shared" si="10"/>
        <v>1369.9999999999998</v>
      </c>
      <c r="AJ43" s="907">
        <f t="shared" si="5"/>
        <v>1871.3252770487024</v>
      </c>
      <c r="AN43" s="1140">
        <f t="shared" ca="1" si="9"/>
        <v>8.97733663992933E-2</v>
      </c>
      <c r="AP43" s="1154">
        <f t="shared" ca="1" si="6"/>
        <v>2015.9420369850263</v>
      </c>
      <c r="AR43" s="1140">
        <f t="shared" ca="1" si="7"/>
        <v>7.8297733663992934</v>
      </c>
      <c r="AT43" s="1154">
        <f t="shared" ca="1" si="8"/>
        <v>174965.41203698504</v>
      </c>
      <c r="AV43" s="1199" t="s">
        <v>2984</v>
      </c>
      <c r="AW43" s="1200" t="s">
        <v>2800</v>
      </c>
      <c r="AX43" s="1200" t="s">
        <v>2802</v>
      </c>
      <c r="AY43" s="1200" t="s">
        <v>2801</v>
      </c>
      <c r="AZ43" s="1203"/>
      <c r="BA43" s="1204"/>
    </row>
    <row r="44" spans="1:53">
      <c r="A44" s="884" t="str">
        <f t="shared" si="12"/>
        <v>PIERCE UTCResidentialSPGRAD1-RES</v>
      </c>
      <c r="B44" s="889" t="s">
        <v>1961</v>
      </c>
      <c r="C44" s="889" t="str">
        <f>VLOOKUP($B44,'[45]RM Data'!$H:$I,2,FALSE)</f>
        <v>SPECIAL GRADUATED 1-2 - R</v>
      </c>
      <c r="D44" s="889"/>
      <c r="F44" s="904">
        <v>0</v>
      </c>
      <c r="G44" s="904">
        <v>0</v>
      </c>
      <c r="H44" s="904"/>
      <c r="I44" s="906">
        <v>8.66</v>
      </c>
      <c r="J44" s="906">
        <v>0</v>
      </c>
      <c r="K44" s="906">
        <v>8.66</v>
      </c>
      <c r="L44" s="906">
        <v>0</v>
      </c>
      <c r="M44" s="906">
        <v>17.940000000000001</v>
      </c>
      <c r="N44" s="906">
        <v>0</v>
      </c>
      <c r="O44" s="906">
        <v>8.9700000000000006</v>
      </c>
      <c r="P44" s="906">
        <v>0</v>
      </c>
      <c r="Q44" s="906">
        <v>0</v>
      </c>
      <c r="R44" s="906">
        <v>0</v>
      </c>
      <c r="S44" s="906">
        <v>0</v>
      </c>
      <c r="T44" s="906">
        <v>0</v>
      </c>
      <c r="U44" s="906"/>
      <c r="V44" s="957">
        <f t="shared" si="2"/>
        <v>44.230000000000004</v>
      </c>
      <c r="W44" s="905"/>
      <c r="X44" s="906">
        <f t="shared" si="3"/>
        <v>0</v>
      </c>
      <c r="Y44" s="906">
        <f t="shared" si="3"/>
        <v>0</v>
      </c>
      <c r="Z44" s="906">
        <f t="shared" si="3"/>
        <v>0</v>
      </c>
      <c r="AA44" s="906">
        <f t="shared" si="11"/>
        <v>0</v>
      </c>
      <c r="AB44" s="906">
        <f t="shared" si="11"/>
        <v>0</v>
      </c>
      <c r="AC44" s="906">
        <f t="shared" si="11"/>
        <v>0</v>
      </c>
      <c r="AD44" s="906">
        <f t="shared" si="10"/>
        <v>0</v>
      </c>
      <c r="AE44" s="906">
        <f t="shared" si="10"/>
        <v>0</v>
      </c>
      <c r="AF44" s="906">
        <f t="shared" si="10"/>
        <v>0</v>
      </c>
      <c r="AG44" s="906">
        <f t="shared" si="10"/>
        <v>0</v>
      </c>
      <c r="AH44" s="906">
        <f t="shared" si="10"/>
        <v>0</v>
      </c>
      <c r="AI44" s="906">
        <f t="shared" si="10"/>
        <v>0</v>
      </c>
      <c r="AJ44" s="907">
        <f t="shared" si="5"/>
        <v>0</v>
      </c>
      <c r="AN44" s="1140">
        <f t="shared" ca="1" si="9"/>
        <v>0</v>
      </c>
      <c r="AP44" s="1154">
        <f t="shared" ca="1" si="6"/>
        <v>0</v>
      </c>
      <c r="AR44" s="1140">
        <f t="shared" ca="1" si="7"/>
        <v>0</v>
      </c>
      <c r="AT44" s="1154">
        <f t="shared" ca="1" si="8"/>
        <v>44.230000000000004</v>
      </c>
      <c r="AV44" s="935" t="s">
        <v>1720</v>
      </c>
      <c r="AW44" s="1176">
        <f>'FtL - Price Out'!U57+'FtL - Price Out'!U95</f>
        <v>281376.09999999998</v>
      </c>
      <c r="AX44" s="1176">
        <f ca="1">'FtL - Price Out'!AN107</f>
        <v>-62033.358864703667</v>
      </c>
      <c r="AY44" s="1176">
        <f ca="1">AW44+AX44</f>
        <v>219342.7411352963</v>
      </c>
      <c r="AZ44" s="1205"/>
      <c r="BA44" s="1205"/>
    </row>
    <row r="45" spans="1:53">
      <c r="A45" s="884" t="str">
        <f t="shared" si="12"/>
        <v>PIERCE UTCResidentialWI1-RES</v>
      </c>
      <c r="B45" s="889" t="s">
        <v>1962</v>
      </c>
      <c r="C45" s="889" t="s">
        <v>1963</v>
      </c>
      <c r="D45" s="889" t="s">
        <v>409</v>
      </c>
      <c r="E45" s="883">
        <v>32000</v>
      </c>
      <c r="F45" s="904">
        <v>2.06</v>
      </c>
      <c r="G45" s="904">
        <v>2.06</v>
      </c>
      <c r="H45" s="904"/>
      <c r="I45" s="906">
        <v>117.42</v>
      </c>
      <c r="J45" s="906">
        <v>122.06</v>
      </c>
      <c r="K45" s="906">
        <v>116.9</v>
      </c>
      <c r="L45" s="906">
        <v>119.02</v>
      </c>
      <c r="M45" s="906">
        <v>119.48</v>
      </c>
      <c r="N45" s="906">
        <v>119.48</v>
      </c>
      <c r="O45" s="906">
        <v>127.72</v>
      </c>
      <c r="P45" s="906">
        <v>128.41</v>
      </c>
      <c r="Q45" s="906">
        <v>125.14999999999999</v>
      </c>
      <c r="R45" s="906">
        <v>126.75</v>
      </c>
      <c r="S45" s="906">
        <v>137.32999999999998</v>
      </c>
      <c r="T45" s="906">
        <v>139.5</v>
      </c>
      <c r="U45" s="906"/>
      <c r="V45" s="957">
        <f t="shared" si="2"/>
        <v>1499.22</v>
      </c>
      <c r="W45" s="905"/>
      <c r="X45" s="906">
        <f t="shared" si="3"/>
        <v>57</v>
      </c>
      <c r="Y45" s="906">
        <f t="shared" si="3"/>
        <v>59.252427184466022</v>
      </c>
      <c r="Z45" s="906">
        <f t="shared" si="3"/>
        <v>56.747572815533985</v>
      </c>
      <c r="AA45" s="906">
        <f t="shared" si="11"/>
        <v>57.776699029126213</v>
      </c>
      <c r="AB45" s="906">
        <f t="shared" si="11"/>
        <v>58</v>
      </c>
      <c r="AC45" s="906">
        <f t="shared" si="11"/>
        <v>58</v>
      </c>
      <c r="AD45" s="906">
        <f t="shared" si="10"/>
        <v>62</v>
      </c>
      <c r="AE45" s="906">
        <f t="shared" si="10"/>
        <v>62.334951456310677</v>
      </c>
      <c r="AF45" s="906">
        <f t="shared" si="10"/>
        <v>60.752427184466015</v>
      </c>
      <c r="AG45" s="906">
        <f t="shared" si="10"/>
        <v>61.529126213592228</v>
      </c>
      <c r="AH45" s="906">
        <f t="shared" si="10"/>
        <v>66.665048543689309</v>
      </c>
      <c r="AI45" s="906">
        <f t="shared" si="10"/>
        <v>67.71844660194175</v>
      </c>
      <c r="AJ45" s="907">
        <f t="shared" si="5"/>
        <v>60.648058252427184</v>
      </c>
      <c r="AN45" s="1140">
        <f t="shared" ca="1" si="9"/>
        <v>2.3893169868545762E-2</v>
      </c>
      <c r="AP45" s="1154">
        <f t="shared" ca="1" si="6"/>
        <v>17.388892296272417</v>
      </c>
      <c r="AR45" s="1140">
        <f t="shared" ca="1" si="7"/>
        <v>2.0838931698685457</v>
      </c>
      <c r="AT45" s="1154">
        <f t="shared" ca="1" si="8"/>
        <v>1516.6088922962724</v>
      </c>
      <c r="AV45" s="1175" t="s">
        <v>4</v>
      </c>
      <c r="AW45" s="1177">
        <v>0</v>
      </c>
      <c r="AX45" s="1177">
        <v>0</v>
      </c>
      <c r="AY45" s="1176">
        <f>AW45+AX45</f>
        <v>0</v>
      </c>
      <c r="AZ45" s="1206"/>
      <c r="BA45" s="1205"/>
    </row>
    <row r="46" spans="1:53">
      <c r="A46" s="884" t="str">
        <f t="shared" si="12"/>
        <v>PIERCE UTCResidentialWI2-RES</v>
      </c>
      <c r="B46" s="889" t="s">
        <v>1964</v>
      </c>
      <c r="C46" s="889" t="s">
        <v>1965</v>
      </c>
      <c r="D46" s="889" t="s">
        <v>409</v>
      </c>
      <c r="E46" s="883">
        <v>32000</v>
      </c>
      <c r="F46" s="904">
        <v>3.38</v>
      </c>
      <c r="G46" s="904">
        <v>3.38</v>
      </c>
      <c r="H46" s="904"/>
      <c r="I46" s="906">
        <v>13.52</v>
      </c>
      <c r="J46" s="906">
        <v>13.52</v>
      </c>
      <c r="K46" s="906">
        <v>13.52</v>
      </c>
      <c r="L46" s="906">
        <v>13.52</v>
      </c>
      <c r="M46" s="906">
        <v>13.52</v>
      </c>
      <c r="N46" s="906">
        <v>13.52</v>
      </c>
      <c r="O46" s="906">
        <v>13.52</v>
      </c>
      <c r="P46" s="906">
        <v>13.52</v>
      </c>
      <c r="Q46" s="906">
        <v>13.52</v>
      </c>
      <c r="R46" s="906">
        <v>13.52</v>
      </c>
      <c r="S46" s="906">
        <v>13.52</v>
      </c>
      <c r="T46" s="906">
        <v>13.52</v>
      </c>
      <c r="U46" s="906"/>
      <c r="V46" s="957">
        <f t="shared" si="2"/>
        <v>162.24</v>
      </c>
      <c r="W46" s="905"/>
      <c r="X46" s="906">
        <f t="shared" si="3"/>
        <v>4</v>
      </c>
      <c r="Y46" s="906">
        <f t="shared" si="3"/>
        <v>4</v>
      </c>
      <c r="Z46" s="906">
        <f t="shared" si="3"/>
        <v>4</v>
      </c>
      <c r="AA46" s="906">
        <f t="shared" si="11"/>
        <v>4</v>
      </c>
      <c r="AB46" s="906">
        <f t="shared" si="11"/>
        <v>4</v>
      </c>
      <c r="AC46" s="906">
        <f t="shared" si="11"/>
        <v>4</v>
      </c>
      <c r="AD46" s="906">
        <f t="shared" si="10"/>
        <v>4</v>
      </c>
      <c r="AE46" s="906">
        <f t="shared" si="10"/>
        <v>4</v>
      </c>
      <c r="AF46" s="906">
        <f t="shared" si="10"/>
        <v>4</v>
      </c>
      <c r="AG46" s="906">
        <f t="shared" si="10"/>
        <v>4</v>
      </c>
      <c r="AH46" s="906">
        <f t="shared" si="10"/>
        <v>4</v>
      </c>
      <c r="AI46" s="906">
        <f t="shared" si="10"/>
        <v>4</v>
      </c>
      <c r="AJ46" s="907">
        <f t="shared" si="5"/>
        <v>4</v>
      </c>
      <c r="AN46" s="1140">
        <f t="shared" ca="1" si="9"/>
        <v>3.920335638625469E-2</v>
      </c>
      <c r="AP46" s="1154">
        <f t="shared" ca="1" si="6"/>
        <v>1.8817611065402251</v>
      </c>
      <c r="AR46" s="1140">
        <f t="shared" ca="1" si="7"/>
        <v>3.4192033563862547</v>
      </c>
      <c r="AT46" s="1154">
        <f t="shared" ca="1" si="8"/>
        <v>164.12176110654025</v>
      </c>
      <c r="AV46" s="1175" t="s">
        <v>299</v>
      </c>
      <c r="AW46" s="1177">
        <v>0</v>
      </c>
      <c r="AX46" s="1179">
        <v>0</v>
      </c>
      <c r="AY46" s="1176">
        <f>AW46+AX46</f>
        <v>0</v>
      </c>
      <c r="AZ46" s="1206"/>
      <c r="BA46" s="1205"/>
    </row>
    <row r="47" spans="1:53" s="882" customFormat="1">
      <c r="A47" s="884" t="str">
        <f t="shared" si="12"/>
        <v>PIERCE UTCResidentialDRIVEIN1-RES</v>
      </c>
      <c r="B47" s="889" t="s">
        <v>1966</v>
      </c>
      <c r="C47" s="889" t="s">
        <v>1967</v>
      </c>
      <c r="D47" s="889" t="s">
        <v>409</v>
      </c>
      <c r="E47" s="883">
        <v>32000</v>
      </c>
      <c r="F47" s="904">
        <v>0</v>
      </c>
      <c r="G47" s="904">
        <v>0</v>
      </c>
      <c r="H47" s="904"/>
      <c r="I47" s="906">
        <v>17</v>
      </c>
      <c r="J47" s="906">
        <v>17</v>
      </c>
      <c r="K47" s="906">
        <v>17</v>
      </c>
      <c r="L47" s="906">
        <v>17</v>
      </c>
      <c r="M47" s="906">
        <v>17</v>
      </c>
      <c r="N47" s="906">
        <v>17</v>
      </c>
      <c r="O47" s="906">
        <v>17</v>
      </c>
      <c r="P47" s="906">
        <v>17</v>
      </c>
      <c r="Q47" s="906">
        <v>17</v>
      </c>
      <c r="R47" s="906">
        <v>17</v>
      </c>
      <c r="S47" s="906">
        <v>17</v>
      </c>
      <c r="T47" s="906">
        <v>17</v>
      </c>
      <c r="U47" s="906"/>
      <c r="V47" s="957">
        <f t="shared" si="2"/>
        <v>204</v>
      </c>
      <c r="W47" s="905"/>
      <c r="X47" s="906">
        <f t="shared" si="3"/>
        <v>0</v>
      </c>
      <c r="Y47" s="906">
        <f t="shared" si="3"/>
        <v>0</v>
      </c>
      <c r="Z47" s="906">
        <f t="shared" si="3"/>
        <v>0</v>
      </c>
      <c r="AA47" s="906">
        <f t="shared" si="11"/>
        <v>0</v>
      </c>
      <c r="AB47" s="906">
        <f t="shared" si="11"/>
        <v>0</v>
      </c>
      <c r="AC47" s="906">
        <f t="shared" si="11"/>
        <v>0</v>
      </c>
      <c r="AD47" s="906">
        <f t="shared" si="10"/>
        <v>0</v>
      </c>
      <c r="AE47" s="906">
        <f t="shared" si="10"/>
        <v>0</v>
      </c>
      <c r="AF47" s="906">
        <f t="shared" si="10"/>
        <v>0</v>
      </c>
      <c r="AG47" s="906">
        <f t="shared" si="10"/>
        <v>0</v>
      </c>
      <c r="AH47" s="906">
        <f t="shared" si="10"/>
        <v>0</v>
      </c>
      <c r="AI47" s="906">
        <f t="shared" si="10"/>
        <v>0</v>
      </c>
      <c r="AJ47" s="907">
        <f t="shared" si="5"/>
        <v>0</v>
      </c>
      <c r="AM47" s="1141"/>
      <c r="AN47" s="1140">
        <f t="shared" ca="1" si="9"/>
        <v>0</v>
      </c>
      <c r="AO47" s="1137"/>
      <c r="AP47" s="1154">
        <f t="shared" ca="1" si="6"/>
        <v>0</v>
      </c>
      <c r="AQ47" s="1137"/>
      <c r="AR47" s="1140">
        <f t="shared" ca="1" si="7"/>
        <v>0</v>
      </c>
      <c r="AS47" s="1137"/>
      <c r="AT47" s="1154">
        <f t="shared" ca="1" si="8"/>
        <v>204</v>
      </c>
      <c r="AV47" s="884"/>
      <c r="AW47" s="1177"/>
      <c r="AX47" s="1177">
        <f ca="1">SUM(AX44:AX46)</f>
        <v>-62033.358864703667</v>
      </c>
      <c r="AY47" s="1177"/>
      <c r="AZ47" s="1206"/>
      <c r="BA47" s="1206"/>
    </row>
    <row r="48" spans="1:53" s="882" customFormat="1">
      <c r="A48" s="884" t="str">
        <f t="shared" si="12"/>
        <v>PIERCE UTCResidentialDRIVEIN2-RES</v>
      </c>
      <c r="B48" s="889" t="s">
        <v>1968</v>
      </c>
      <c r="C48" s="889" t="s">
        <v>1969</v>
      </c>
      <c r="D48" s="889" t="s">
        <v>409</v>
      </c>
      <c r="E48" s="883">
        <v>32000</v>
      </c>
      <c r="F48" s="904">
        <v>8.4499999999999993</v>
      </c>
      <c r="G48" s="904">
        <v>8.4499999999999993</v>
      </c>
      <c r="H48" s="904"/>
      <c r="I48" s="906">
        <v>8.4499999999999993</v>
      </c>
      <c r="J48" s="906">
        <v>33.799999999999997</v>
      </c>
      <c r="K48" s="906">
        <v>33.799999999999997</v>
      </c>
      <c r="L48" s="906">
        <v>33.799999999999997</v>
      </c>
      <c r="M48" s="906">
        <v>11.269999999999996</v>
      </c>
      <c r="N48" s="906">
        <v>8.4499999999999993</v>
      </c>
      <c r="O48" s="906">
        <v>8.4499999999999993</v>
      </c>
      <c r="P48" s="906">
        <v>8.4499999999999993</v>
      </c>
      <c r="Q48" s="906">
        <v>8.4499999999999993</v>
      </c>
      <c r="R48" s="906">
        <v>8.4499999999999993</v>
      </c>
      <c r="S48" s="906">
        <v>8.4499999999999993</v>
      </c>
      <c r="T48" s="906">
        <v>8.4499999999999993</v>
      </c>
      <c r="U48" s="906"/>
      <c r="V48" s="957">
        <f t="shared" si="2"/>
        <v>180.26999999999992</v>
      </c>
      <c r="W48" s="905"/>
      <c r="X48" s="906">
        <f t="shared" si="3"/>
        <v>1</v>
      </c>
      <c r="Y48" s="906">
        <f t="shared" si="3"/>
        <v>4</v>
      </c>
      <c r="Z48" s="906">
        <f t="shared" si="3"/>
        <v>4</v>
      </c>
      <c r="AA48" s="906">
        <f t="shared" si="11"/>
        <v>4</v>
      </c>
      <c r="AB48" s="906">
        <f t="shared" si="11"/>
        <v>1.3337278106508872</v>
      </c>
      <c r="AC48" s="906">
        <f t="shared" si="11"/>
        <v>1</v>
      </c>
      <c r="AD48" s="906">
        <f t="shared" si="10"/>
        <v>1</v>
      </c>
      <c r="AE48" s="906">
        <f t="shared" si="10"/>
        <v>1</v>
      </c>
      <c r="AF48" s="906">
        <f t="shared" si="10"/>
        <v>1</v>
      </c>
      <c r="AG48" s="906">
        <f t="shared" si="10"/>
        <v>1</v>
      </c>
      <c r="AH48" s="906">
        <f t="shared" si="10"/>
        <v>1</v>
      </c>
      <c r="AI48" s="906">
        <f t="shared" si="10"/>
        <v>1</v>
      </c>
      <c r="AJ48" s="907">
        <f t="shared" si="5"/>
        <v>1.7778106508875737</v>
      </c>
      <c r="AM48" s="1141"/>
      <c r="AN48" s="1140">
        <f t="shared" ca="1" si="9"/>
        <v>9.8008390965636724E-2</v>
      </c>
      <c r="AO48" s="1137"/>
      <c r="AP48" s="1154">
        <f t="shared" ca="1" si="6"/>
        <v>2.090884336020749</v>
      </c>
      <c r="AQ48" s="1137"/>
      <c r="AR48" s="1140">
        <f t="shared" ca="1" si="7"/>
        <v>8.5480083909656361</v>
      </c>
      <c r="AS48" s="1137"/>
      <c r="AT48" s="1154">
        <f t="shared" ca="1" si="8"/>
        <v>182.36088433602066</v>
      </c>
    </row>
    <row r="49" spans="1:53" s="882" customFormat="1">
      <c r="A49" s="884" t="str">
        <f t="shared" si="12"/>
        <v>PIERCE UTCResidentialDRIVEIN4-RES</v>
      </c>
      <c r="B49" s="889" t="s">
        <v>1970</v>
      </c>
      <c r="C49" s="889" t="s">
        <v>1971</v>
      </c>
      <c r="D49" s="889" t="s">
        <v>409</v>
      </c>
      <c r="E49" s="883">
        <v>32000</v>
      </c>
      <c r="F49" s="904">
        <v>11.31</v>
      </c>
      <c r="G49" s="904">
        <v>11.31</v>
      </c>
      <c r="H49" s="904"/>
      <c r="I49" s="906">
        <v>22.62</v>
      </c>
      <c r="J49" s="906">
        <v>22.62</v>
      </c>
      <c r="K49" s="906">
        <v>22.62</v>
      </c>
      <c r="L49" s="906">
        <v>22.62</v>
      </c>
      <c r="M49" s="906">
        <v>22.62</v>
      </c>
      <c r="N49" s="906">
        <v>22.62</v>
      </c>
      <c r="O49" s="906">
        <v>22.62</v>
      </c>
      <c r="P49" s="906">
        <v>22.62</v>
      </c>
      <c r="Q49" s="906">
        <v>22.62</v>
      </c>
      <c r="R49" s="906">
        <v>22.62</v>
      </c>
      <c r="S49" s="906">
        <v>22.62</v>
      </c>
      <c r="T49" s="906">
        <v>22.62</v>
      </c>
      <c r="U49" s="906"/>
      <c r="V49" s="957">
        <f t="shared" si="2"/>
        <v>271.44</v>
      </c>
      <c r="W49" s="905"/>
      <c r="X49" s="906">
        <f t="shared" si="3"/>
        <v>2</v>
      </c>
      <c r="Y49" s="906">
        <f t="shared" si="3"/>
        <v>2</v>
      </c>
      <c r="Z49" s="906">
        <f t="shared" si="3"/>
        <v>2</v>
      </c>
      <c r="AA49" s="906">
        <f t="shared" si="11"/>
        <v>2</v>
      </c>
      <c r="AB49" s="906">
        <f t="shared" si="11"/>
        <v>2</v>
      </c>
      <c r="AC49" s="906">
        <f t="shared" si="11"/>
        <v>2</v>
      </c>
      <c r="AD49" s="906">
        <f t="shared" si="10"/>
        <v>2</v>
      </c>
      <c r="AE49" s="906">
        <f t="shared" si="10"/>
        <v>2</v>
      </c>
      <c r="AF49" s="906">
        <f t="shared" si="10"/>
        <v>2</v>
      </c>
      <c r="AG49" s="906">
        <f t="shared" si="10"/>
        <v>2</v>
      </c>
      <c r="AH49" s="906">
        <f t="shared" si="10"/>
        <v>2</v>
      </c>
      <c r="AI49" s="906">
        <f t="shared" si="10"/>
        <v>2</v>
      </c>
      <c r="AJ49" s="907">
        <f t="shared" si="5"/>
        <v>2</v>
      </c>
      <c r="AM49" s="1141"/>
      <c r="AN49" s="1140">
        <f t="shared" ca="1" si="9"/>
        <v>0.13118046175400611</v>
      </c>
      <c r="AO49" s="1137"/>
      <c r="AP49" s="1154">
        <f t="shared" ca="1" si="6"/>
        <v>3.1483310820961465</v>
      </c>
      <c r="AQ49" s="1137"/>
      <c r="AR49" s="1140">
        <f t="shared" ca="1" si="7"/>
        <v>11.441180461754007</v>
      </c>
      <c r="AS49" s="1137"/>
      <c r="AT49" s="1154">
        <f t="shared" ca="1" si="8"/>
        <v>274.58833108209615</v>
      </c>
      <c r="AV49" s="881"/>
    </row>
    <row r="50" spans="1:53">
      <c r="A50" s="884" t="str">
        <f t="shared" si="12"/>
        <v>PIERCE UTCResidentialDRIVEIN-RES</v>
      </c>
      <c r="B50" s="889" t="s">
        <v>1972</v>
      </c>
      <c r="C50" s="889" t="s">
        <v>1973</v>
      </c>
      <c r="D50" s="889" t="s">
        <v>409</v>
      </c>
      <c r="E50" s="883">
        <v>32000</v>
      </c>
      <c r="F50" s="904">
        <v>7.02</v>
      </c>
      <c r="G50" s="904">
        <v>7.02</v>
      </c>
      <c r="H50" s="904"/>
      <c r="I50" s="906">
        <v>1182.2550000000001</v>
      </c>
      <c r="J50" s="906">
        <v>1228.1100000000001</v>
      </c>
      <c r="K50" s="906">
        <v>1228.0999999999999</v>
      </c>
      <c r="L50" s="906">
        <v>1234.4800000000002</v>
      </c>
      <c r="M50" s="906">
        <v>1172.5500000000002</v>
      </c>
      <c r="N50" s="906">
        <v>1204.2249999999999</v>
      </c>
      <c r="O50" s="906">
        <v>1231.405</v>
      </c>
      <c r="P50" s="906">
        <v>1035.0099999999998</v>
      </c>
      <c r="Q50" s="906">
        <v>1205.4299999999998</v>
      </c>
      <c r="R50" s="906">
        <v>1188.04</v>
      </c>
      <c r="S50" s="906">
        <v>1121.1999999999998</v>
      </c>
      <c r="T50" s="906">
        <v>1113.5549999999998</v>
      </c>
      <c r="U50" s="906"/>
      <c r="V50" s="957">
        <f t="shared" si="2"/>
        <v>14144.360000000004</v>
      </c>
      <c r="W50" s="905"/>
      <c r="X50" s="906">
        <f t="shared" si="3"/>
        <v>168.41239316239319</v>
      </c>
      <c r="Y50" s="906">
        <f t="shared" si="3"/>
        <v>174.94444444444449</v>
      </c>
      <c r="Z50" s="906">
        <f t="shared" si="3"/>
        <v>174.94301994301995</v>
      </c>
      <c r="AA50" s="906">
        <f t="shared" si="11"/>
        <v>175.8518518518519</v>
      </c>
      <c r="AB50" s="906">
        <f t="shared" si="11"/>
        <v>167.02991452991458</v>
      </c>
      <c r="AC50" s="906">
        <f t="shared" si="11"/>
        <v>171.54202279202278</v>
      </c>
      <c r="AD50" s="906">
        <f t="shared" si="10"/>
        <v>175.41381766381767</v>
      </c>
      <c r="AE50" s="906">
        <f t="shared" si="10"/>
        <v>147.43732193732191</v>
      </c>
      <c r="AF50" s="906">
        <f t="shared" si="10"/>
        <v>171.7136752136752</v>
      </c>
      <c r="AG50" s="906">
        <f t="shared" si="10"/>
        <v>169.23646723646723</v>
      </c>
      <c r="AH50" s="906">
        <f t="shared" si="10"/>
        <v>159.71509971509971</v>
      </c>
      <c r="AI50" s="906">
        <f t="shared" si="10"/>
        <v>158.62606837606836</v>
      </c>
      <c r="AJ50" s="907">
        <f t="shared" si="5"/>
        <v>167.90550807217477</v>
      </c>
      <c r="AN50" s="1140">
        <f t="shared" ca="1" si="9"/>
        <v>8.1422355571452054E-2</v>
      </c>
      <c r="AP50" s="1154">
        <f t="shared" ca="1" si="6"/>
        <v>164.05514376789512</v>
      </c>
      <c r="AR50" s="1140">
        <f t="shared" ca="1" si="7"/>
        <v>7.1014223555714517</v>
      </c>
      <c r="AT50" s="1154">
        <f t="shared" ca="1" si="8"/>
        <v>14308.415143767899</v>
      </c>
      <c r="AV50" s="1199" t="s">
        <v>2985</v>
      </c>
      <c r="AW50" s="1200" t="s">
        <v>2800</v>
      </c>
      <c r="AX50" s="1200" t="s">
        <v>2802</v>
      </c>
      <c r="AY50" s="1200" t="s">
        <v>2801</v>
      </c>
      <c r="AZ50" s="1200" t="s">
        <v>2803</v>
      </c>
      <c r="BA50" s="1201" t="s">
        <v>2804</v>
      </c>
    </row>
    <row r="51" spans="1:53">
      <c r="A51" s="884" t="str">
        <f t="shared" si="12"/>
        <v>PIERCE UTCResidentialDRIVEINMUL-RES</v>
      </c>
      <c r="B51" s="889" t="s">
        <v>1974</v>
      </c>
      <c r="C51" s="889" t="s">
        <v>1973</v>
      </c>
      <c r="D51" s="889" t="s">
        <v>409</v>
      </c>
      <c r="E51" s="883">
        <v>32000</v>
      </c>
      <c r="F51" s="904">
        <v>3.4</v>
      </c>
      <c r="G51" s="904">
        <v>3.4</v>
      </c>
      <c r="H51" s="904"/>
      <c r="I51" s="906">
        <v>47.599999999999994</v>
      </c>
      <c r="J51" s="906">
        <v>13.6</v>
      </c>
      <c r="K51" s="906">
        <v>13.6</v>
      </c>
      <c r="L51" s="906">
        <v>13.6</v>
      </c>
      <c r="M51" s="906">
        <v>13.6</v>
      </c>
      <c r="N51" s="906">
        <v>13.6</v>
      </c>
      <c r="O51" s="906">
        <v>20.399999999999999</v>
      </c>
      <c r="P51" s="906">
        <v>30.6</v>
      </c>
      <c r="Q51" s="906">
        <v>34</v>
      </c>
      <c r="R51" s="906">
        <v>34</v>
      </c>
      <c r="S51" s="906">
        <v>40.799999999999997</v>
      </c>
      <c r="T51" s="906">
        <v>64.599999999999994</v>
      </c>
      <c r="U51" s="906"/>
      <c r="V51" s="957">
        <f t="shared" si="2"/>
        <v>340</v>
      </c>
      <c r="W51" s="905"/>
      <c r="X51" s="906">
        <f t="shared" si="3"/>
        <v>13.999999999999998</v>
      </c>
      <c r="Y51" s="906">
        <f t="shared" si="3"/>
        <v>4</v>
      </c>
      <c r="Z51" s="906">
        <f t="shared" si="3"/>
        <v>4</v>
      </c>
      <c r="AA51" s="906">
        <f t="shared" si="11"/>
        <v>4</v>
      </c>
      <c r="AB51" s="906">
        <f t="shared" si="11"/>
        <v>4</v>
      </c>
      <c r="AC51" s="906">
        <f t="shared" si="11"/>
        <v>4</v>
      </c>
      <c r="AD51" s="906">
        <f t="shared" si="10"/>
        <v>6</v>
      </c>
      <c r="AE51" s="906">
        <f t="shared" si="10"/>
        <v>9</v>
      </c>
      <c r="AF51" s="906">
        <f t="shared" si="10"/>
        <v>10</v>
      </c>
      <c r="AG51" s="906">
        <f t="shared" si="10"/>
        <v>10</v>
      </c>
      <c r="AH51" s="906">
        <f t="shared" si="10"/>
        <v>12</v>
      </c>
      <c r="AI51" s="906">
        <f t="shared" si="10"/>
        <v>19</v>
      </c>
      <c r="AJ51" s="907">
        <f t="shared" si="5"/>
        <v>8.3333333333333339</v>
      </c>
      <c r="AN51" s="1140">
        <f t="shared" ca="1" si="9"/>
        <v>3.9435328909250285E-2</v>
      </c>
      <c r="AP51" s="1154">
        <f t="shared" ca="1" si="6"/>
        <v>3.9435328909250291</v>
      </c>
      <c r="AR51" s="1140">
        <f t="shared" ca="1" si="7"/>
        <v>3.4394353289092501</v>
      </c>
      <c r="AT51" s="1154">
        <f t="shared" ca="1" si="8"/>
        <v>343.94353289092504</v>
      </c>
      <c r="AV51" s="935" t="s">
        <v>1720</v>
      </c>
      <c r="AW51" s="1176">
        <f>AW30+AW37+AW44</f>
        <v>30178570.179999996</v>
      </c>
      <c r="AX51" s="1176">
        <f ca="1">AX30+AX37+AX44</f>
        <v>-87793.762649847122</v>
      </c>
      <c r="AY51" s="1176">
        <f ca="1">AW51+AX51</f>
        <v>30090776.417350151</v>
      </c>
      <c r="AZ51" s="1176">
        <f ca="1">'LG MSW'!J20</f>
        <v>-87709.341611053795</v>
      </c>
      <c r="BA51" s="1176">
        <f ca="1">AZ51-AX51</f>
        <v>84.42103879332717</v>
      </c>
    </row>
    <row r="52" spans="1:53">
      <c r="A52" s="884" t="str">
        <f t="shared" si="12"/>
        <v>PIERCE UTCResidentialACCESS-RES</v>
      </c>
      <c r="B52" s="889" t="s">
        <v>1975</v>
      </c>
      <c r="C52" s="889" t="s">
        <v>1976</v>
      </c>
      <c r="D52" s="889" t="s">
        <v>409</v>
      </c>
      <c r="E52" s="883">
        <v>32000</v>
      </c>
      <c r="F52" s="904">
        <v>4.8</v>
      </c>
      <c r="G52" s="904">
        <v>4.8</v>
      </c>
      <c r="H52" s="904"/>
      <c r="I52" s="906">
        <v>57.6</v>
      </c>
      <c r="J52" s="906">
        <v>48</v>
      </c>
      <c r="K52" s="906">
        <v>48</v>
      </c>
      <c r="L52" s="906">
        <v>62.4</v>
      </c>
      <c r="M52" s="906">
        <v>43.2</v>
      </c>
      <c r="N52" s="906">
        <v>60.134999999999998</v>
      </c>
      <c r="O52" s="906">
        <v>58.934999999999995</v>
      </c>
      <c r="P52" s="906">
        <v>57.6</v>
      </c>
      <c r="Q52" s="906">
        <v>57.6</v>
      </c>
      <c r="R52" s="906">
        <v>57.6</v>
      </c>
      <c r="S52" s="906">
        <v>57.6</v>
      </c>
      <c r="T52" s="906">
        <v>91.2</v>
      </c>
      <c r="U52" s="906"/>
      <c r="V52" s="957">
        <f t="shared" si="2"/>
        <v>699.87000000000012</v>
      </c>
      <c r="W52" s="905"/>
      <c r="X52" s="906">
        <f t="shared" si="3"/>
        <v>12</v>
      </c>
      <c r="Y52" s="906">
        <f t="shared" si="3"/>
        <v>10</v>
      </c>
      <c r="Z52" s="906">
        <f t="shared" si="3"/>
        <v>10</v>
      </c>
      <c r="AA52" s="906">
        <f t="shared" si="11"/>
        <v>13</v>
      </c>
      <c r="AB52" s="906">
        <f t="shared" si="11"/>
        <v>9.0000000000000018</v>
      </c>
      <c r="AC52" s="906">
        <f t="shared" si="11"/>
        <v>12.528124999999999</v>
      </c>
      <c r="AD52" s="906">
        <f t="shared" si="10"/>
        <v>12.278124999999999</v>
      </c>
      <c r="AE52" s="906">
        <f t="shared" si="10"/>
        <v>12</v>
      </c>
      <c r="AF52" s="906">
        <f t="shared" si="10"/>
        <v>12</v>
      </c>
      <c r="AG52" s="906">
        <f t="shared" si="10"/>
        <v>12</v>
      </c>
      <c r="AH52" s="906">
        <f t="shared" si="10"/>
        <v>12</v>
      </c>
      <c r="AI52" s="906">
        <f t="shared" si="10"/>
        <v>19</v>
      </c>
      <c r="AJ52" s="907">
        <f t="shared" si="5"/>
        <v>12.150520833333333</v>
      </c>
      <c r="AN52" s="1140">
        <f t="shared" ca="1" si="9"/>
        <v>5.5673405518941572E-2</v>
      </c>
      <c r="AP52" s="1154">
        <f t="shared" ca="1" si="6"/>
        <v>8.1175304834461741</v>
      </c>
      <c r="AR52" s="1140">
        <f t="shared" ca="1" si="7"/>
        <v>4.8556734055189414</v>
      </c>
      <c r="AT52" s="1154">
        <f t="shared" ca="1" si="8"/>
        <v>707.98753048344633</v>
      </c>
      <c r="AV52" s="1175" t="s">
        <v>4</v>
      </c>
      <c r="AW52" s="1176">
        <f t="shared" ref="AW52:AX53" si="13">AW31+AW38+AW45</f>
        <v>3766080.5200000005</v>
      </c>
      <c r="AX52" s="1176">
        <f t="shared" ca="1" si="13"/>
        <v>1230398.7268049982</v>
      </c>
      <c r="AY52" s="1176">
        <f ca="1">AW52+AX52</f>
        <v>4996479.2468049992</v>
      </c>
      <c r="AZ52" s="1177">
        <f ca="1">'LG Recycle'!J20</f>
        <v>1229650.6410167068</v>
      </c>
      <c r="BA52" s="1176">
        <f ca="1">AZ52-AX52</f>
        <v>-748.08578829141334</v>
      </c>
    </row>
    <row r="53" spans="1:53">
      <c r="A53" s="884" t="str">
        <f t="shared" si="12"/>
        <v>PIERCE UTCResidentialOC-RES</v>
      </c>
      <c r="B53" s="889" t="s">
        <v>1977</v>
      </c>
      <c r="C53" s="889" t="s">
        <v>1978</v>
      </c>
      <c r="D53" s="889" t="s">
        <v>1950</v>
      </c>
      <c r="E53" s="883">
        <v>32001</v>
      </c>
      <c r="F53" s="904">
        <v>7.79</v>
      </c>
      <c r="G53" s="904">
        <v>7.89</v>
      </c>
      <c r="H53" s="904"/>
      <c r="I53" s="906">
        <v>506.35</v>
      </c>
      <c r="J53" s="906">
        <v>864.69</v>
      </c>
      <c r="K53" s="906">
        <v>389.5</v>
      </c>
      <c r="L53" s="906">
        <v>545.29999999999995</v>
      </c>
      <c r="M53" s="906">
        <v>677.73</v>
      </c>
      <c r="N53" s="906">
        <v>677.88</v>
      </c>
      <c r="O53" s="906">
        <v>797.51</v>
      </c>
      <c r="P53" s="906">
        <v>1057.26</v>
      </c>
      <c r="Q53" s="906">
        <v>1049.3699999999999</v>
      </c>
      <c r="R53" s="906">
        <v>820.71</v>
      </c>
      <c r="S53" s="906">
        <v>804.78</v>
      </c>
      <c r="T53" s="906">
        <v>441.84000000000003</v>
      </c>
      <c r="U53" s="906"/>
      <c r="V53" s="957">
        <f t="shared" si="2"/>
        <v>8632.92</v>
      </c>
      <c r="W53" s="905"/>
      <c r="X53" s="906">
        <f t="shared" si="3"/>
        <v>65</v>
      </c>
      <c r="Y53" s="906">
        <f t="shared" si="3"/>
        <v>111</v>
      </c>
      <c r="Z53" s="906">
        <f t="shared" si="3"/>
        <v>50</v>
      </c>
      <c r="AA53" s="906">
        <f t="shared" si="11"/>
        <v>69.112801013941692</v>
      </c>
      <c r="AB53" s="906">
        <f t="shared" si="11"/>
        <v>85.897338403041829</v>
      </c>
      <c r="AC53" s="906">
        <f t="shared" si="11"/>
        <v>85.916349809885929</v>
      </c>
      <c r="AD53" s="906">
        <f t="shared" si="10"/>
        <v>101.07858048162231</v>
      </c>
      <c r="AE53" s="906">
        <f t="shared" si="10"/>
        <v>134</v>
      </c>
      <c r="AF53" s="906">
        <f t="shared" si="10"/>
        <v>133</v>
      </c>
      <c r="AG53" s="906">
        <f t="shared" si="10"/>
        <v>104.01901140684411</v>
      </c>
      <c r="AH53" s="906">
        <f t="shared" si="10"/>
        <v>102</v>
      </c>
      <c r="AI53" s="906">
        <f t="shared" si="10"/>
        <v>56.000000000000007</v>
      </c>
      <c r="AJ53" s="907">
        <f t="shared" si="5"/>
        <v>91.418673426277977</v>
      </c>
      <c r="AN53" s="1140">
        <f t="shared" ca="1" si="9"/>
        <v>9.1513160321760212E-2</v>
      </c>
      <c r="AP53" s="1154">
        <f t="shared" ca="1" si="6"/>
        <v>100.3921406119394</v>
      </c>
      <c r="AR53" s="1140">
        <f t="shared" ca="1" si="7"/>
        <v>7.9815131603217599</v>
      </c>
      <c r="AT53" s="1154">
        <f t="shared" ca="1" si="8"/>
        <v>8733.312140611939</v>
      </c>
      <c r="AV53" s="1175" t="s">
        <v>299</v>
      </c>
      <c r="AW53" s="1176">
        <f t="shared" si="13"/>
        <v>65922.734556962023</v>
      </c>
      <c r="AX53" s="1202">
        <f t="shared" ca="1" si="13"/>
        <v>254844.56930804331</v>
      </c>
      <c r="AY53" s="1176">
        <f ca="1">AW53+AX53</f>
        <v>320767.30386500532</v>
      </c>
      <c r="AZ53" s="1179">
        <f ca="1">'LG YW'!J20</f>
        <v>255469.56631146674</v>
      </c>
      <c r="BA53" s="1202">
        <f ca="1">AZ53-AX53</f>
        <v>624.9970034234284</v>
      </c>
    </row>
    <row r="54" spans="1:53">
      <c r="A54" s="884" t="str">
        <f t="shared" si="12"/>
        <v>PIERCE UTCResidentialREDEL-RES</v>
      </c>
      <c r="B54" s="889" t="s">
        <v>1979</v>
      </c>
      <c r="C54" s="889" t="s">
        <v>1980</v>
      </c>
      <c r="D54" s="889" t="s">
        <v>1950</v>
      </c>
      <c r="E54" s="883">
        <v>32001</v>
      </c>
      <c r="F54" s="904">
        <v>13.7</v>
      </c>
      <c r="G54" s="904">
        <v>13.7</v>
      </c>
      <c r="H54" s="904"/>
      <c r="I54" s="906">
        <v>68.5</v>
      </c>
      <c r="J54" s="906">
        <v>27.4</v>
      </c>
      <c r="K54" s="906">
        <v>0</v>
      </c>
      <c r="L54" s="906">
        <v>0</v>
      </c>
      <c r="M54" s="906">
        <v>41.099999999999994</v>
      </c>
      <c r="N54" s="906">
        <v>82.2</v>
      </c>
      <c r="O54" s="906">
        <v>102.75</v>
      </c>
      <c r="P54" s="906">
        <v>198.64999999999998</v>
      </c>
      <c r="Q54" s="906">
        <v>212.35</v>
      </c>
      <c r="R54" s="906">
        <v>157.55000000000001</v>
      </c>
      <c r="S54" s="906">
        <v>95.9</v>
      </c>
      <c r="T54" s="906">
        <v>27.4</v>
      </c>
      <c r="U54" s="906"/>
      <c r="V54" s="957">
        <f t="shared" si="2"/>
        <v>1013.8</v>
      </c>
      <c r="W54" s="905"/>
      <c r="X54" s="906">
        <f t="shared" si="3"/>
        <v>5</v>
      </c>
      <c r="Y54" s="906">
        <f t="shared" si="3"/>
        <v>2</v>
      </c>
      <c r="Z54" s="906">
        <f t="shared" si="3"/>
        <v>0</v>
      </c>
      <c r="AA54" s="906">
        <f t="shared" si="11"/>
        <v>0</v>
      </c>
      <c r="AB54" s="906">
        <f t="shared" si="11"/>
        <v>2.9999999999999996</v>
      </c>
      <c r="AC54" s="906">
        <f t="shared" si="11"/>
        <v>6.0000000000000009</v>
      </c>
      <c r="AD54" s="906">
        <f t="shared" si="10"/>
        <v>7.5</v>
      </c>
      <c r="AE54" s="906">
        <f t="shared" si="10"/>
        <v>14.499999999999998</v>
      </c>
      <c r="AF54" s="906">
        <f t="shared" si="10"/>
        <v>15.5</v>
      </c>
      <c r="AG54" s="906">
        <f t="shared" si="10"/>
        <v>11.500000000000002</v>
      </c>
      <c r="AH54" s="906">
        <f t="shared" si="10"/>
        <v>7.0000000000000009</v>
      </c>
      <c r="AI54" s="906">
        <f t="shared" si="10"/>
        <v>2</v>
      </c>
      <c r="AJ54" s="907">
        <f t="shared" si="5"/>
        <v>6.166666666666667</v>
      </c>
      <c r="AN54" s="1140">
        <f t="shared" ca="1" si="9"/>
        <v>0.15890117825197908</v>
      </c>
      <c r="AP54" s="1154">
        <f t="shared" ca="1" si="6"/>
        <v>11.758687190646452</v>
      </c>
      <c r="AR54" s="1140">
        <f t="shared" ca="1" si="7"/>
        <v>13.858901178251978</v>
      </c>
      <c r="AT54" s="1154">
        <f t="shared" ca="1" si="8"/>
        <v>1025.5586871906464</v>
      </c>
      <c r="AW54" s="1177"/>
      <c r="AX54" s="1177">
        <f ca="1">SUM(AX51:AX53)</f>
        <v>1397449.5334631943</v>
      </c>
      <c r="AY54" s="1177"/>
      <c r="AZ54" s="1177">
        <f ca="1">SUM(AZ51:AZ53)</f>
        <v>1397410.8657171198</v>
      </c>
      <c r="BA54" s="1177">
        <f ca="1">SUM(BA51:BA53)</f>
        <v>-38.667746074657771</v>
      </c>
    </row>
    <row r="55" spans="1:53">
      <c r="A55" s="884" t="str">
        <f t="shared" si="12"/>
        <v>PIERCE UTCResidentialREINSTATE-RES</v>
      </c>
      <c r="B55" s="889" t="s">
        <v>1981</v>
      </c>
      <c r="C55" s="889" t="s">
        <v>1982</v>
      </c>
      <c r="D55" s="889" t="s">
        <v>1950</v>
      </c>
      <c r="E55" s="883">
        <v>32001</v>
      </c>
      <c r="F55" s="904">
        <v>12.65</v>
      </c>
      <c r="G55" s="904">
        <v>12.65</v>
      </c>
      <c r="H55" s="904"/>
      <c r="I55" s="906">
        <v>3719.1</v>
      </c>
      <c r="J55" s="906">
        <v>4952.1500000000005</v>
      </c>
      <c r="K55" s="906">
        <v>5287.7</v>
      </c>
      <c r="L55" s="906">
        <v>6362.95</v>
      </c>
      <c r="M55" s="906">
        <v>4408.8799999999992</v>
      </c>
      <c r="N55" s="906">
        <v>4275.7000000000007</v>
      </c>
      <c r="O55" s="906">
        <v>5479.25</v>
      </c>
      <c r="P55" s="906">
        <v>4579.3</v>
      </c>
      <c r="Q55" s="906">
        <v>5237.0999999999995</v>
      </c>
      <c r="R55" s="906">
        <v>4402.2</v>
      </c>
      <c r="S55" s="906">
        <v>4035.35</v>
      </c>
      <c r="T55" s="906">
        <v>5022.05</v>
      </c>
      <c r="U55" s="906"/>
      <c r="V55" s="957">
        <f t="shared" si="2"/>
        <v>57761.729999999996</v>
      </c>
      <c r="W55" s="905"/>
      <c r="X55" s="906">
        <f t="shared" si="3"/>
        <v>294</v>
      </c>
      <c r="Y55" s="906">
        <f t="shared" si="3"/>
        <v>391.47430830039531</v>
      </c>
      <c r="Z55" s="906">
        <f t="shared" si="3"/>
        <v>418</v>
      </c>
      <c r="AA55" s="906">
        <f t="shared" si="11"/>
        <v>502.99999999999994</v>
      </c>
      <c r="AB55" s="906">
        <f t="shared" si="11"/>
        <v>348.52806324110662</v>
      </c>
      <c r="AC55" s="906">
        <f t="shared" si="11"/>
        <v>338.00000000000006</v>
      </c>
      <c r="AD55" s="906">
        <f t="shared" si="11"/>
        <v>433.14229249011856</v>
      </c>
      <c r="AE55" s="906">
        <f t="shared" si="11"/>
        <v>362</v>
      </c>
      <c r="AF55" s="906">
        <f t="shared" si="11"/>
        <v>413.99999999999994</v>
      </c>
      <c r="AG55" s="906">
        <f t="shared" si="11"/>
        <v>348</v>
      </c>
      <c r="AH55" s="906">
        <f t="shared" si="11"/>
        <v>319</v>
      </c>
      <c r="AI55" s="906">
        <f t="shared" si="11"/>
        <v>397</v>
      </c>
      <c r="AJ55" s="907">
        <f t="shared" si="5"/>
        <v>380.5120553359684</v>
      </c>
      <c r="AN55" s="1140">
        <f t="shared" ca="1" si="9"/>
        <v>0.14672262079471063</v>
      </c>
      <c r="AP55" s="1154">
        <f t="shared" ca="1" si="6"/>
        <v>669.95671203450286</v>
      </c>
      <c r="AR55" s="1140">
        <f t="shared" ca="1" si="7"/>
        <v>12.796722620794711</v>
      </c>
      <c r="AT55" s="1154">
        <f t="shared" ca="1" si="8"/>
        <v>58431.686712034498</v>
      </c>
    </row>
    <row r="56" spans="1:53">
      <c r="A56" s="884" t="str">
        <f t="shared" si="12"/>
        <v>PIERCE UTCResidentialRTRNCART32-RES</v>
      </c>
      <c r="B56" s="889" t="s">
        <v>1983</v>
      </c>
      <c r="C56" s="889" t="s">
        <v>1984</v>
      </c>
      <c r="D56" s="889"/>
      <c r="F56" s="904">
        <v>6.35</v>
      </c>
      <c r="G56" s="904">
        <v>6.35</v>
      </c>
      <c r="H56" s="904"/>
      <c r="I56" s="906">
        <v>0</v>
      </c>
      <c r="J56" s="906">
        <v>6.35</v>
      </c>
      <c r="K56" s="906">
        <v>0</v>
      </c>
      <c r="L56" s="906">
        <v>6.35</v>
      </c>
      <c r="M56" s="906">
        <v>12.7</v>
      </c>
      <c r="N56" s="906">
        <v>19.049999999999997</v>
      </c>
      <c r="O56" s="906">
        <v>19.049999999999997</v>
      </c>
      <c r="P56" s="906">
        <v>25.4</v>
      </c>
      <c r="Q56" s="906">
        <v>19.049999999999997</v>
      </c>
      <c r="R56" s="906">
        <v>0</v>
      </c>
      <c r="S56" s="906">
        <v>0</v>
      </c>
      <c r="T56" s="906">
        <v>6.35</v>
      </c>
      <c r="U56" s="906"/>
      <c r="V56" s="957">
        <f t="shared" si="2"/>
        <v>114.29999999999998</v>
      </c>
      <c r="W56" s="905"/>
      <c r="X56" s="906">
        <f t="shared" si="3"/>
        <v>0</v>
      </c>
      <c r="Y56" s="906">
        <f t="shared" si="3"/>
        <v>1</v>
      </c>
      <c r="Z56" s="906">
        <f t="shared" si="3"/>
        <v>0</v>
      </c>
      <c r="AA56" s="906">
        <f t="shared" ref="AA56:AI61" si="14">IFERROR(L56/$G56,0)</f>
        <v>1</v>
      </c>
      <c r="AB56" s="906">
        <f t="shared" si="14"/>
        <v>2</v>
      </c>
      <c r="AC56" s="906">
        <f t="shared" si="14"/>
        <v>2.9999999999999996</v>
      </c>
      <c r="AD56" s="906">
        <f t="shared" si="14"/>
        <v>2.9999999999999996</v>
      </c>
      <c r="AE56" s="906">
        <f t="shared" si="14"/>
        <v>4</v>
      </c>
      <c r="AF56" s="906">
        <f t="shared" si="14"/>
        <v>2.9999999999999996</v>
      </c>
      <c r="AG56" s="906">
        <f t="shared" si="14"/>
        <v>0</v>
      </c>
      <c r="AH56" s="906">
        <f t="shared" si="14"/>
        <v>0</v>
      </c>
      <c r="AI56" s="906">
        <f t="shared" si="14"/>
        <v>1</v>
      </c>
      <c r="AJ56" s="907">
        <f t="shared" si="5"/>
        <v>1.5</v>
      </c>
      <c r="AN56" s="1140">
        <f t="shared" ca="1" si="9"/>
        <v>7.3651276051099793E-2</v>
      </c>
      <c r="AP56" s="1154">
        <f t="shared" ca="1" si="6"/>
        <v>1.3257229689197962</v>
      </c>
      <c r="AR56" s="1140">
        <f t="shared" ca="1" si="7"/>
        <v>6.4236512760510998</v>
      </c>
      <c r="AT56" s="1154">
        <f t="shared" ca="1" si="8"/>
        <v>115.62572296891977</v>
      </c>
    </row>
    <row r="57" spans="1:53">
      <c r="A57" s="884" t="str">
        <f t="shared" si="12"/>
        <v>PIERCE UTCResidentialRTRNCART65-RES</v>
      </c>
      <c r="B57" s="889" t="s">
        <v>1985</v>
      </c>
      <c r="C57" s="889" t="s">
        <v>1986</v>
      </c>
      <c r="D57" s="889" t="s">
        <v>1950</v>
      </c>
      <c r="E57" s="883">
        <v>32001</v>
      </c>
      <c r="F57" s="904">
        <v>7.4</v>
      </c>
      <c r="G57" s="904">
        <v>7.4</v>
      </c>
      <c r="H57" s="904"/>
      <c r="I57" s="906">
        <v>310.8</v>
      </c>
      <c r="J57" s="906">
        <v>214.6</v>
      </c>
      <c r="K57" s="906">
        <v>170.2</v>
      </c>
      <c r="L57" s="906">
        <v>251.60000000000002</v>
      </c>
      <c r="M57" s="906">
        <v>288.60000000000002</v>
      </c>
      <c r="N57" s="906">
        <v>296</v>
      </c>
      <c r="O57" s="906">
        <v>251.6</v>
      </c>
      <c r="P57" s="906">
        <v>340.4</v>
      </c>
      <c r="Q57" s="906">
        <v>318.20000000000005</v>
      </c>
      <c r="R57" s="906">
        <v>184.07</v>
      </c>
      <c r="S57" s="906">
        <v>266.39999999999998</v>
      </c>
      <c r="T57" s="906">
        <v>162.80000000000001</v>
      </c>
      <c r="U57" s="906"/>
      <c r="V57" s="957">
        <f t="shared" si="2"/>
        <v>3055.2700000000004</v>
      </c>
      <c r="W57" s="905"/>
      <c r="X57" s="906">
        <f t="shared" si="3"/>
        <v>42</v>
      </c>
      <c r="Y57" s="906">
        <f t="shared" si="3"/>
        <v>28.999999999999996</v>
      </c>
      <c r="Z57" s="906">
        <f t="shared" si="3"/>
        <v>22.999999999999996</v>
      </c>
      <c r="AA57" s="906">
        <f t="shared" si="14"/>
        <v>34</v>
      </c>
      <c r="AB57" s="906">
        <f t="shared" si="14"/>
        <v>39</v>
      </c>
      <c r="AC57" s="906">
        <f t="shared" si="14"/>
        <v>40</v>
      </c>
      <c r="AD57" s="906">
        <f t="shared" si="14"/>
        <v>34</v>
      </c>
      <c r="AE57" s="906">
        <f t="shared" si="14"/>
        <v>45.999999999999993</v>
      </c>
      <c r="AF57" s="906">
        <f t="shared" si="14"/>
        <v>43.000000000000007</v>
      </c>
      <c r="AG57" s="906">
        <f t="shared" si="14"/>
        <v>24.874324324324323</v>
      </c>
      <c r="AH57" s="906">
        <f t="shared" si="14"/>
        <v>35.999999999999993</v>
      </c>
      <c r="AI57" s="906">
        <f t="shared" si="14"/>
        <v>22</v>
      </c>
      <c r="AJ57" s="907">
        <f t="shared" si="5"/>
        <v>34.406193693693695</v>
      </c>
      <c r="AN57" s="1140">
        <f t="shared" ca="1" si="9"/>
        <v>8.5829833508368272E-2</v>
      </c>
      <c r="AP57" s="1154">
        <f t="shared" ca="1" si="6"/>
        <v>35.436934516636803</v>
      </c>
      <c r="AR57" s="1140">
        <f t="shared" ca="1" si="7"/>
        <v>7.4858298335083688</v>
      </c>
      <c r="AT57" s="1154">
        <f t="shared" ca="1" si="8"/>
        <v>3090.7069345166374</v>
      </c>
    </row>
    <row r="58" spans="1:53">
      <c r="A58" s="884" t="str">
        <f t="shared" si="12"/>
        <v>PIERCE UTCResidentialRTRNCART95-RES</v>
      </c>
      <c r="B58" s="889" t="s">
        <v>1987</v>
      </c>
      <c r="C58" s="889" t="s">
        <v>1988</v>
      </c>
      <c r="D58" s="889" t="s">
        <v>1950</v>
      </c>
      <c r="E58" s="883">
        <v>32001</v>
      </c>
      <c r="F58" s="904">
        <v>9.5</v>
      </c>
      <c r="G58" s="904">
        <v>9.5</v>
      </c>
      <c r="H58" s="904"/>
      <c r="I58" s="906">
        <v>190</v>
      </c>
      <c r="J58" s="906">
        <v>152</v>
      </c>
      <c r="K58" s="906">
        <v>95</v>
      </c>
      <c r="L58" s="906">
        <v>152</v>
      </c>
      <c r="M58" s="906">
        <v>140.4</v>
      </c>
      <c r="N58" s="906">
        <v>199.5</v>
      </c>
      <c r="O58" s="906">
        <v>142.5</v>
      </c>
      <c r="P58" s="906">
        <v>152</v>
      </c>
      <c r="Q58" s="906">
        <v>226.82999999999998</v>
      </c>
      <c r="R58" s="906">
        <v>93.83</v>
      </c>
      <c r="S58" s="906">
        <v>133</v>
      </c>
      <c r="T58" s="906">
        <v>57</v>
      </c>
      <c r="U58" s="906"/>
      <c r="V58" s="957">
        <f t="shared" si="2"/>
        <v>1734.06</v>
      </c>
      <c r="W58" s="905"/>
      <c r="X58" s="906">
        <f t="shared" si="3"/>
        <v>20</v>
      </c>
      <c r="Y58" s="906">
        <f t="shared" si="3"/>
        <v>16</v>
      </c>
      <c r="Z58" s="906">
        <f t="shared" si="3"/>
        <v>10</v>
      </c>
      <c r="AA58" s="906">
        <f t="shared" si="14"/>
        <v>16</v>
      </c>
      <c r="AB58" s="906">
        <f t="shared" si="14"/>
        <v>14.778947368421052</v>
      </c>
      <c r="AC58" s="906">
        <f t="shared" si="14"/>
        <v>21</v>
      </c>
      <c r="AD58" s="906">
        <f t="shared" si="14"/>
        <v>15</v>
      </c>
      <c r="AE58" s="906">
        <f t="shared" si="14"/>
        <v>16</v>
      </c>
      <c r="AF58" s="906">
        <f t="shared" si="14"/>
        <v>23.876842105263155</v>
      </c>
      <c r="AG58" s="906">
        <f t="shared" si="14"/>
        <v>9.8768421052631581</v>
      </c>
      <c r="AH58" s="906">
        <f t="shared" si="14"/>
        <v>14</v>
      </c>
      <c r="AI58" s="906">
        <f t="shared" si="14"/>
        <v>6</v>
      </c>
      <c r="AJ58" s="907">
        <f t="shared" si="5"/>
        <v>15.21105263157895</v>
      </c>
      <c r="AN58" s="1140">
        <f t="shared" ca="1" si="9"/>
        <v>0.1101869484229052</v>
      </c>
      <c r="AP58" s="1154">
        <f t="shared" ca="1" si="6"/>
        <v>20.112713661286634</v>
      </c>
      <c r="AR58" s="1140">
        <f t="shared" ca="1" si="7"/>
        <v>9.6101869484229052</v>
      </c>
      <c r="AT58" s="1154">
        <f t="shared" ca="1" si="8"/>
        <v>1754.1727136612865</v>
      </c>
    </row>
    <row r="59" spans="1:53">
      <c r="A59" s="884" t="str">
        <f t="shared" si="12"/>
        <v>PIERCE UTCResidentialTIME-RES</v>
      </c>
      <c r="B59" s="889" t="s">
        <v>1989</v>
      </c>
      <c r="C59" s="889" t="s">
        <v>1990</v>
      </c>
      <c r="D59" s="889" t="s">
        <v>1950</v>
      </c>
      <c r="E59" s="883">
        <v>32001</v>
      </c>
      <c r="F59" s="904">
        <v>106</v>
      </c>
      <c r="G59" s="904">
        <v>106</v>
      </c>
      <c r="H59" s="904"/>
      <c r="I59" s="906">
        <v>1580.8200000000002</v>
      </c>
      <c r="J59" s="906">
        <v>1623.13</v>
      </c>
      <c r="K59" s="906">
        <v>715.5</v>
      </c>
      <c r="L59" s="906">
        <v>1360.1599999999999</v>
      </c>
      <c r="M59" s="906">
        <v>1961</v>
      </c>
      <c r="N59" s="906">
        <v>2252.5</v>
      </c>
      <c r="O59" s="906">
        <v>2120</v>
      </c>
      <c r="P59" s="906">
        <v>3723.38</v>
      </c>
      <c r="Q59" s="906">
        <v>1970.5</v>
      </c>
      <c r="R59" s="906">
        <v>1601.08</v>
      </c>
      <c r="S59" s="906">
        <v>1704.97</v>
      </c>
      <c r="T59" s="906">
        <v>1611</v>
      </c>
      <c r="U59" s="906"/>
      <c r="V59" s="957">
        <f t="shared" si="2"/>
        <v>22224.04</v>
      </c>
      <c r="W59" s="905"/>
      <c r="X59" s="906">
        <f t="shared" si="3"/>
        <v>14.913396226415095</v>
      </c>
      <c r="Y59" s="906">
        <f t="shared" si="3"/>
        <v>15.312547169811321</v>
      </c>
      <c r="Z59" s="906">
        <f t="shared" si="3"/>
        <v>6.75</v>
      </c>
      <c r="AA59" s="906">
        <f t="shared" si="14"/>
        <v>12.831698113207546</v>
      </c>
      <c r="AB59" s="906">
        <f t="shared" si="14"/>
        <v>18.5</v>
      </c>
      <c r="AC59" s="906">
        <f t="shared" si="14"/>
        <v>21.25</v>
      </c>
      <c r="AD59" s="906">
        <f t="shared" si="14"/>
        <v>20</v>
      </c>
      <c r="AE59" s="906">
        <f t="shared" si="14"/>
        <v>35.126226415094344</v>
      </c>
      <c r="AF59" s="906">
        <f t="shared" si="14"/>
        <v>18.589622641509433</v>
      </c>
      <c r="AG59" s="906">
        <f t="shared" si="14"/>
        <v>15.104528301886791</v>
      </c>
      <c r="AH59" s="906">
        <f t="shared" si="14"/>
        <v>16.084622641509434</v>
      </c>
      <c r="AI59" s="906">
        <f t="shared" si="14"/>
        <v>15.19811320754717</v>
      </c>
      <c r="AJ59" s="907">
        <f t="shared" si="5"/>
        <v>17.471729559748429</v>
      </c>
      <c r="AN59" s="1140">
        <f t="shared" ca="1" si="9"/>
        <v>1.2294543718766264</v>
      </c>
      <c r="AP59" s="1154">
        <f t="shared" ca="1" si="6"/>
        <v>257.76833149774552</v>
      </c>
      <c r="AR59" s="1140">
        <f t="shared" ca="1" si="7"/>
        <v>107.22945437187663</v>
      </c>
      <c r="AT59" s="1154">
        <f t="shared" ca="1" si="8"/>
        <v>22481.808331497745</v>
      </c>
    </row>
    <row r="60" spans="1:53">
      <c r="A60" s="884" t="str">
        <f t="shared" si="12"/>
        <v>PIERCE UTCResidentialUNRETURN-RES</v>
      </c>
      <c r="B60" s="889" t="s">
        <v>1991</v>
      </c>
      <c r="C60" s="889" t="s">
        <v>1992</v>
      </c>
      <c r="D60" s="889" t="s">
        <v>1950</v>
      </c>
      <c r="E60" s="883">
        <v>32001</v>
      </c>
      <c r="F60" s="904">
        <v>95</v>
      </c>
      <c r="G60" s="904">
        <v>95</v>
      </c>
      <c r="H60" s="904"/>
      <c r="I60" s="906">
        <v>0</v>
      </c>
      <c r="J60" s="906">
        <v>-855</v>
      </c>
      <c r="K60" s="906">
        <v>-190</v>
      </c>
      <c r="L60" s="906">
        <v>0</v>
      </c>
      <c r="M60" s="906">
        <v>0</v>
      </c>
      <c r="N60" s="906">
        <v>0</v>
      </c>
      <c r="O60" s="906">
        <v>-190</v>
      </c>
      <c r="P60" s="906">
        <v>-190</v>
      </c>
      <c r="Q60" s="906">
        <v>-285</v>
      </c>
      <c r="R60" s="906">
        <v>-475</v>
      </c>
      <c r="S60" s="906">
        <v>-95</v>
      </c>
      <c r="T60" s="906">
        <v>0</v>
      </c>
      <c r="U60" s="906"/>
      <c r="V60" s="957">
        <f t="shared" si="2"/>
        <v>-2280</v>
      </c>
      <c r="W60" s="905"/>
      <c r="X60" s="906">
        <f t="shared" si="3"/>
        <v>0</v>
      </c>
      <c r="Y60" s="906">
        <f t="shared" si="3"/>
        <v>-9</v>
      </c>
      <c r="Z60" s="906">
        <f t="shared" si="3"/>
        <v>-2</v>
      </c>
      <c r="AA60" s="906">
        <f t="shared" si="14"/>
        <v>0</v>
      </c>
      <c r="AB60" s="906">
        <f t="shared" si="14"/>
        <v>0</v>
      </c>
      <c r="AC60" s="906">
        <f t="shared" si="14"/>
        <v>0</v>
      </c>
      <c r="AD60" s="906">
        <f t="shared" si="14"/>
        <v>-2</v>
      </c>
      <c r="AE60" s="906">
        <f t="shared" si="14"/>
        <v>-2</v>
      </c>
      <c r="AF60" s="906">
        <f t="shared" si="14"/>
        <v>-3</v>
      </c>
      <c r="AG60" s="906">
        <f t="shared" si="14"/>
        <v>-5</v>
      </c>
      <c r="AH60" s="906">
        <f t="shared" si="14"/>
        <v>-1</v>
      </c>
      <c r="AI60" s="906">
        <f t="shared" si="14"/>
        <v>0</v>
      </c>
      <c r="AJ60" s="907">
        <f t="shared" si="5"/>
        <v>-2</v>
      </c>
      <c r="AN60" s="1140">
        <f t="shared" ca="1" si="9"/>
        <v>1.101869484229052</v>
      </c>
      <c r="AP60" s="1154">
        <f t="shared" ca="1" si="6"/>
        <v>-26.444867621497245</v>
      </c>
      <c r="AR60" s="1140">
        <f t="shared" ca="1" si="7"/>
        <v>96.101869484229056</v>
      </c>
      <c r="AT60" s="1154">
        <f t="shared" ca="1" si="8"/>
        <v>-2306.4448676214975</v>
      </c>
    </row>
    <row r="61" spans="1:53">
      <c r="A61" s="884" t="str">
        <f t="shared" si="12"/>
        <v>PIERCE UTCResidentialADJ-RES</v>
      </c>
      <c r="B61" s="889" t="s">
        <v>1993</v>
      </c>
      <c r="C61" s="889" t="str">
        <f>VLOOKUP($B61,'[45]RM Data'!$H:$I,2,FALSE)</f>
        <v>ADJUSTMENT SERVICE - RES</v>
      </c>
      <c r="D61" s="889"/>
      <c r="F61" s="904">
        <v>0</v>
      </c>
      <c r="G61" s="904">
        <v>0</v>
      </c>
      <c r="H61" s="904"/>
      <c r="I61" s="906">
        <v>-20</v>
      </c>
      <c r="J61" s="906">
        <v>-123.85</v>
      </c>
      <c r="K61" s="906">
        <v>-56.510000000000005</v>
      </c>
      <c r="L61" s="906">
        <v>-166.07</v>
      </c>
      <c r="M61" s="906">
        <v>-8.6199999999999992</v>
      </c>
      <c r="N61" s="906">
        <v>-407.04</v>
      </c>
      <c r="O61" s="906">
        <v>-32.26</v>
      </c>
      <c r="P61" s="906">
        <v>-126.02000000000001</v>
      </c>
      <c r="Q61" s="906">
        <v>-14.57</v>
      </c>
      <c r="R61" s="906">
        <v>-18.78</v>
      </c>
      <c r="S61" s="906">
        <v>0</v>
      </c>
      <c r="T61" s="906">
        <v>0</v>
      </c>
      <c r="U61" s="916"/>
      <c r="V61" s="957">
        <f t="shared" si="2"/>
        <v>-973.72</v>
      </c>
      <c r="W61" s="905"/>
      <c r="X61" s="906">
        <f t="shared" si="3"/>
        <v>0</v>
      </c>
      <c r="Y61" s="906">
        <f t="shared" si="3"/>
        <v>0</v>
      </c>
      <c r="Z61" s="906">
        <f t="shared" si="3"/>
        <v>0</v>
      </c>
      <c r="AA61" s="906">
        <f t="shared" si="14"/>
        <v>0</v>
      </c>
      <c r="AB61" s="906">
        <f t="shared" si="14"/>
        <v>0</v>
      </c>
      <c r="AC61" s="906">
        <f t="shared" si="14"/>
        <v>0</v>
      </c>
      <c r="AD61" s="906">
        <f t="shared" si="14"/>
        <v>0</v>
      </c>
      <c r="AE61" s="906">
        <f t="shared" si="14"/>
        <v>0</v>
      </c>
      <c r="AF61" s="906">
        <f t="shared" si="14"/>
        <v>0</v>
      </c>
      <c r="AG61" s="906">
        <f t="shared" si="14"/>
        <v>0</v>
      </c>
      <c r="AH61" s="906">
        <f t="shared" si="14"/>
        <v>0</v>
      </c>
      <c r="AI61" s="906">
        <f t="shared" si="14"/>
        <v>0</v>
      </c>
      <c r="AJ61" s="907">
        <f t="shared" si="5"/>
        <v>0</v>
      </c>
      <c r="AN61" s="1140">
        <f t="shared" ca="1" si="9"/>
        <v>0</v>
      </c>
      <c r="AP61" s="1154">
        <f t="shared" ca="1" si="6"/>
        <v>0</v>
      </c>
      <c r="AR61" s="1140">
        <f t="shared" ca="1" si="7"/>
        <v>0</v>
      </c>
      <c r="AT61" s="1154">
        <f t="shared" ca="1" si="8"/>
        <v>-973.72</v>
      </c>
    </row>
    <row r="62" spans="1:53">
      <c r="B62" s="889"/>
      <c r="C62" s="889"/>
      <c r="D62" s="889"/>
      <c r="F62" s="904"/>
      <c r="G62" s="904"/>
      <c r="H62" s="904"/>
      <c r="I62" s="906"/>
      <c r="J62" s="906"/>
      <c r="K62" s="906"/>
      <c r="L62" s="906"/>
      <c r="M62" s="906"/>
      <c r="N62" s="906"/>
      <c r="O62" s="906"/>
      <c r="P62" s="906"/>
      <c r="Q62" s="906"/>
      <c r="R62" s="906"/>
      <c r="S62" s="906"/>
      <c r="T62" s="906"/>
      <c r="U62" s="916"/>
      <c r="V62" s="957"/>
      <c r="W62" s="905"/>
      <c r="X62" s="909"/>
      <c r="Y62" s="906"/>
      <c r="Z62" s="906"/>
      <c r="AA62" s="909"/>
      <c r="AB62" s="909"/>
      <c r="AC62" s="909"/>
      <c r="AD62" s="909"/>
      <c r="AE62" s="909"/>
      <c r="AF62" s="909"/>
      <c r="AG62" s="909"/>
      <c r="AH62" s="909"/>
      <c r="AI62" s="909"/>
      <c r="AJ62" s="896"/>
    </row>
    <row r="63" spans="1:53">
      <c r="B63" s="889"/>
      <c r="C63" s="910" t="s">
        <v>1994</v>
      </c>
      <c r="D63" s="889"/>
      <c r="F63" s="904"/>
      <c r="G63" s="904"/>
      <c r="H63" s="911"/>
      <c r="I63" s="913">
        <f t="shared" ref="I63:T63" si="15">SUM(I11:I61)</f>
        <v>1319575.6600000004</v>
      </c>
      <c r="J63" s="913">
        <f t="shared" si="15"/>
        <v>1297331.7150000001</v>
      </c>
      <c r="K63" s="913">
        <f t="shared" si="15"/>
        <v>1282653.96</v>
      </c>
      <c r="L63" s="913">
        <f t="shared" si="15"/>
        <v>1311849.2650000004</v>
      </c>
      <c r="M63" s="913">
        <f t="shared" si="15"/>
        <v>1320909.0249999999</v>
      </c>
      <c r="N63" s="913">
        <f t="shared" si="15"/>
        <v>1326305.6200000001</v>
      </c>
      <c r="O63" s="913">
        <f t="shared" si="15"/>
        <v>1329165.33</v>
      </c>
      <c r="P63" s="913">
        <f t="shared" si="15"/>
        <v>1337557.6049999997</v>
      </c>
      <c r="Q63" s="913">
        <f t="shared" si="15"/>
        <v>1334327.6300000001</v>
      </c>
      <c r="R63" s="913">
        <f t="shared" si="15"/>
        <v>1331406.0150000006</v>
      </c>
      <c r="S63" s="913">
        <f t="shared" si="15"/>
        <v>1332592.1500000004</v>
      </c>
      <c r="T63" s="913">
        <f t="shared" si="15"/>
        <v>1331176.2550000006</v>
      </c>
      <c r="U63" s="916"/>
      <c r="V63" s="913">
        <f>SUM(V11:V61)</f>
        <v>15854850.23</v>
      </c>
      <c r="W63" s="914"/>
      <c r="X63" s="915">
        <f t="shared" ref="X63:AJ63" si="16">+SUM(X11:X36)</f>
        <v>53600.416701974988</v>
      </c>
      <c r="Y63" s="915">
        <f t="shared" si="16"/>
        <v>52515.87778928232</v>
      </c>
      <c r="Z63" s="915">
        <f t="shared" si="16"/>
        <v>52729.185314619768</v>
      </c>
      <c r="AA63" s="915">
        <f t="shared" si="16"/>
        <v>52390.780251639801</v>
      </c>
      <c r="AB63" s="915">
        <f t="shared" si="16"/>
        <v>52960.038295033781</v>
      </c>
      <c r="AC63" s="915">
        <f t="shared" si="16"/>
        <v>53069.468954985379</v>
      </c>
      <c r="AD63" s="915">
        <f t="shared" si="16"/>
        <v>53228.805471100241</v>
      </c>
      <c r="AE63" s="915">
        <f t="shared" si="16"/>
        <v>53143.650195664108</v>
      </c>
      <c r="AF63" s="915">
        <f t="shared" si="16"/>
        <v>53233.190887065364</v>
      </c>
      <c r="AG63" s="915">
        <f t="shared" si="16"/>
        <v>53327.282663898775</v>
      </c>
      <c r="AH63" s="915">
        <f t="shared" si="16"/>
        <v>53346.647614947789</v>
      </c>
      <c r="AI63" s="915">
        <f t="shared" si="16"/>
        <v>53343.604840083317</v>
      </c>
      <c r="AJ63" s="913">
        <f t="shared" si="16"/>
        <v>53074.079081691307</v>
      </c>
      <c r="AK63" s="884" t="s">
        <v>1995</v>
      </c>
      <c r="AP63" s="1156">
        <f ca="1">SUM(AP11:AP61)</f>
        <v>184710.73765851147</v>
      </c>
      <c r="AT63" s="1156">
        <f ca="1">SUM(AT11:AT61)</f>
        <v>16039560.96765851</v>
      </c>
    </row>
    <row r="64" spans="1:53">
      <c r="B64" s="889"/>
      <c r="C64" s="889"/>
      <c r="D64" s="889"/>
      <c r="F64" s="904"/>
      <c r="G64" s="904"/>
      <c r="H64" s="911"/>
      <c r="I64" s="906"/>
      <c r="J64" s="906"/>
      <c r="K64" s="906"/>
      <c r="L64" s="906"/>
      <c r="M64" s="906"/>
      <c r="N64" s="906"/>
      <c r="O64" s="906"/>
      <c r="P64" s="906"/>
      <c r="Q64" s="906"/>
      <c r="R64" s="906"/>
      <c r="S64" s="906"/>
      <c r="T64" s="906"/>
      <c r="U64" s="916"/>
      <c r="V64" s="957"/>
      <c r="W64" s="911"/>
      <c r="X64" s="916">
        <f>+X12+X14+X16+X19+X25+X27+X29+X31+X33+X35</f>
        <v>723.43806834149689</v>
      </c>
      <c r="Y64" s="916">
        <f t="shared" ref="Y64:AI64" si="17">+Y12+Y14+Y16+Y19+Y25+Y27+Y29+Y31+Y33+Y35</f>
        <v>758.33036974341996</v>
      </c>
      <c r="Z64" s="916">
        <f t="shared" si="17"/>
        <v>753.1973364654441</v>
      </c>
      <c r="AA64" s="916">
        <f t="shared" si="17"/>
        <v>731.75245070022993</v>
      </c>
      <c r="AB64" s="916">
        <f t="shared" si="17"/>
        <v>720.54718461301945</v>
      </c>
      <c r="AC64" s="916">
        <f t="shared" si="17"/>
        <v>715.92070766449376</v>
      </c>
      <c r="AD64" s="916">
        <f t="shared" si="17"/>
        <v>712.37503648206734</v>
      </c>
      <c r="AE64" s="916">
        <f t="shared" si="17"/>
        <v>700.14710352964312</v>
      </c>
      <c r="AF64" s="916">
        <f t="shared" si="17"/>
        <v>699.81079070268675</v>
      </c>
      <c r="AG64" s="916">
        <f t="shared" si="17"/>
        <v>683.47629025071024</v>
      </c>
      <c r="AH64" s="916">
        <f t="shared" si="17"/>
        <v>676.83569683981568</v>
      </c>
      <c r="AI64" s="916">
        <f t="shared" si="17"/>
        <v>686.48157002249434</v>
      </c>
      <c r="AJ64" s="916">
        <f>+AJ12+AJ14+AJ16+AJ19+AJ25+AJ27+AJ29+AJ31+AJ33+AJ35</f>
        <v>713.52605044629354</v>
      </c>
      <c r="AK64" s="884" t="s">
        <v>1996</v>
      </c>
    </row>
    <row r="65" spans="1:55">
      <c r="B65" s="889"/>
      <c r="C65" s="889"/>
      <c r="D65" s="889"/>
      <c r="F65" s="904"/>
      <c r="G65" s="904"/>
      <c r="H65" s="911"/>
      <c r="I65" s="906"/>
      <c r="J65" s="906"/>
      <c r="K65" s="906"/>
      <c r="L65" s="906"/>
      <c r="M65" s="906"/>
      <c r="N65" s="906"/>
      <c r="O65" s="906"/>
      <c r="P65" s="906"/>
      <c r="Q65" s="906"/>
      <c r="R65" s="906"/>
      <c r="S65" s="906"/>
      <c r="T65" s="906"/>
      <c r="U65" s="916"/>
      <c r="V65" s="957"/>
      <c r="W65" s="911"/>
      <c r="X65" s="906">
        <f t="shared" ref="X65:AJ65" si="18">X68+X67-X64</f>
        <v>52819.764003801698</v>
      </c>
      <c r="Y65" s="906">
        <f t="shared" si="18"/>
        <v>52256.277078209292</v>
      </c>
      <c r="Z65" s="906">
        <f t="shared" si="18"/>
        <v>52174.0126106018</v>
      </c>
      <c r="AA65" s="906">
        <f t="shared" si="18"/>
        <v>52429.995774314324</v>
      </c>
      <c r="AB65" s="906">
        <f t="shared" si="18"/>
        <v>52689.324847465075</v>
      </c>
      <c r="AC65" s="906">
        <f t="shared" si="18"/>
        <v>52823.990520316751</v>
      </c>
      <c r="AD65" s="906">
        <f t="shared" si="18"/>
        <v>52921.83410310898</v>
      </c>
      <c r="AE65" s="906">
        <f t="shared" si="18"/>
        <v>52960.382998923975</v>
      </c>
      <c r="AF65" s="906">
        <f t="shared" si="18"/>
        <v>53134.005536888959</v>
      </c>
      <c r="AG65" s="906">
        <f t="shared" si="18"/>
        <v>53163.989079254956</v>
      </c>
      <c r="AH65" s="906">
        <f t="shared" si="18"/>
        <v>53231.127749020285</v>
      </c>
      <c r="AI65" s="906">
        <f t="shared" si="18"/>
        <v>53201.494119581686</v>
      </c>
      <c r="AJ65" s="917">
        <f t="shared" si="18"/>
        <v>52817.183201790649</v>
      </c>
      <c r="AK65" s="884" t="s">
        <v>1997</v>
      </c>
    </row>
    <row r="66" spans="1:55">
      <c r="B66" s="918" t="s">
        <v>1998</v>
      </c>
      <c r="C66" s="889"/>
      <c r="D66" s="889"/>
      <c r="F66" s="904"/>
      <c r="G66" s="904"/>
      <c r="H66" s="911"/>
      <c r="I66" s="906"/>
      <c r="J66" s="906"/>
      <c r="K66" s="906"/>
      <c r="L66" s="906"/>
      <c r="M66" s="906"/>
      <c r="N66" s="906"/>
      <c r="O66" s="906"/>
      <c r="P66" s="906"/>
      <c r="Q66" s="906"/>
      <c r="R66" s="906"/>
      <c r="S66" s="906"/>
      <c r="T66" s="906"/>
      <c r="U66" s="916"/>
      <c r="V66" s="957"/>
      <c r="W66" s="911"/>
      <c r="Y66" s="884"/>
    </row>
    <row r="67" spans="1:55">
      <c r="A67" s="884" t="str">
        <f>$B$3&amp;"Residential"&amp;B67</f>
        <v>PIERCE UTCResidentialRECBINONLYR</v>
      </c>
      <c r="B67" s="889" t="s">
        <v>1999</v>
      </c>
      <c r="C67" s="889" t="s">
        <v>2000</v>
      </c>
      <c r="D67" s="889" t="s">
        <v>410</v>
      </c>
      <c r="E67" s="883">
        <v>32100</v>
      </c>
      <c r="F67" s="904">
        <v>6.07</v>
      </c>
      <c r="G67" s="904">
        <v>6.07</v>
      </c>
      <c r="H67" s="904"/>
      <c r="I67" s="906">
        <v>1402.78</v>
      </c>
      <c r="J67" s="906">
        <v>1309.6950000000002</v>
      </c>
      <c r="K67" s="906">
        <v>1378.895</v>
      </c>
      <c r="L67" s="906">
        <v>1392.2849999999999</v>
      </c>
      <c r="M67" s="906">
        <v>1483.44</v>
      </c>
      <c r="N67" s="906">
        <v>1548.2450000000001</v>
      </c>
      <c r="O67" s="906">
        <v>1525.48</v>
      </c>
      <c r="P67" s="906">
        <v>1501.5199999999998</v>
      </c>
      <c r="Q67" s="906">
        <v>1536.81</v>
      </c>
      <c r="R67" s="906">
        <v>1495.9549999999999</v>
      </c>
      <c r="S67" s="906">
        <v>1471.37</v>
      </c>
      <c r="T67" s="906">
        <v>1469.415</v>
      </c>
      <c r="U67" s="916"/>
      <c r="V67" s="957">
        <f>SUM(I67:T67)</f>
        <v>17515.890000000003</v>
      </c>
      <c r="W67" s="905"/>
      <c r="X67" s="906">
        <f t="shared" ref="X67:Z69" si="19">IFERROR(I67/$F67,0)</f>
        <v>231.10049423393738</v>
      </c>
      <c r="Y67" s="906">
        <f t="shared" si="19"/>
        <v>215.76523887973642</v>
      </c>
      <c r="Z67" s="906">
        <f t="shared" si="19"/>
        <v>227.16556836902799</v>
      </c>
      <c r="AA67" s="906">
        <f t="shared" ref="AA67:AI69" si="20">IFERROR(L67/$G67,0)</f>
        <v>229.37149917627673</v>
      </c>
      <c r="AB67" s="906">
        <f t="shared" si="20"/>
        <v>244.38879736408566</v>
      </c>
      <c r="AC67" s="906">
        <f t="shared" si="20"/>
        <v>255.06507413509061</v>
      </c>
      <c r="AD67" s="906">
        <f t="shared" si="20"/>
        <v>251.3146622734761</v>
      </c>
      <c r="AE67" s="906">
        <f t="shared" si="20"/>
        <v>247.36738056013175</v>
      </c>
      <c r="AF67" s="906">
        <f t="shared" si="20"/>
        <v>253.18121911037889</v>
      </c>
      <c r="AG67" s="906">
        <f t="shared" si="20"/>
        <v>246.45057660626028</v>
      </c>
      <c r="AH67" s="906">
        <f t="shared" si="20"/>
        <v>242.40032948929158</v>
      </c>
      <c r="AI67" s="906">
        <f t="shared" si="20"/>
        <v>242.07825370675451</v>
      </c>
      <c r="AJ67" s="907">
        <f>AVERAGE(X67:AI67)</f>
        <v>240.47075782537061</v>
      </c>
      <c r="AN67" s="1178">
        <f ca="1">AN68</f>
        <v>1.6576663603390109</v>
      </c>
      <c r="AP67" s="1154">
        <f t="shared" ref="AP67" ca="1" si="21">AJ67*AN67*12</f>
        <v>4783.4434307081501</v>
      </c>
      <c r="AR67" s="1178">
        <f ca="1">AR68+1</f>
        <v>7.7276663603390112</v>
      </c>
      <c r="AT67" s="1154">
        <f t="shared" ref="AT67" ca="1" si="22">V67+AP67</f>
        <v>22299.333430708153</v>
      </c>
    </row>
    <row r="68" spans="1:55">
      <c r="A68" s="884" t="str">
        <f>$B$3&amp;"Residential"&amp;B68</f>
        <v>PIERCE UTCResidentialRECPROGADJ-RES</v>
      </c>
      <c r="B68" s="889" t="s">
        <v>2001</v>
      </c>
      <c r="C68" s="889" t="s">
        <v>2002</v>
      </c>
      <c r="D68" s="889" t="s">
        <v>410</v>
      </c>
      <c r="E68" s="883">
        <v>32100</v>
      </c>
      <c r="F68" s="904">
        <v>5.07</v>
      </c>
      <c r="G68" s="904">
        <v>5.07</v>
      </c>
      <c r="H68" s="904"/>
      <c r="I68" s="906">
        <v>270292.35499999998</v>
      </c>
      <c r="J68" s="906">
        <v>267690.13</v>
      </c>
      <c r="K68" s="906">
        <v>267189.22499999998</v>
      </c>
      <c r="L68" s="906">
        <v>268367.15000000008</v>
      </c>
      <c r="M68" s="906">
        <v>269549</v>
      </c>
      <c r="N68" s="906">
        <v>270154.17000000004</v>
      </c>
      <c r="O68" s="906">
        <v>270651.27500000008</v>
      </c>
      <c r="P68" s="906">
        <v>270804.73499999999</v>
      </c>
      <c r="Q68" s="906">
        <v>271653.82</v>
      </c>
      <c r="R68" s="906">
        <v>271757.14500000002</v>
      </c>
      <c r="S68" s="906">
        <v>272084.40500000003</v>
      </c>
      <c r="T68" s="906">
        <v>271984.69999999995</v>
      </c>
      <c r="U68" s="916"/>
      <c r="V68" s="957">
        <f>SUM(I68:T68)</f>
        <v>3242178.1100000003</v>
      </c>
      <c r="W68" s="905"/>
      <c r="X68" s="906">
        <f t="shared" si="19"/>
        <v>53312.101577909263</v>
      </c>
      <c r="Y68" s="906">
        <f t="shared" si="19"/>
        <v>52798.842209072973</v>
      </c>
      <c r="Z68" s="906">
        <f t="shared" si="19"/>
        <v>52700.044378698214</v>
      </c>
      <c r="AA68" s="906">
        <f t="shared" si="20"/>
        <v>52932.37672583828</v>
      </c>
      <c r="AB68" s="906">
        <f t="shared" si="20"/>
        <v>53165.483234714004</v>
      </c>
      <c r="AC68" s="906">
        <f t="shared" si="20"/>
        <v>53284.846153846156</v>
      </c>
      <c r="AD68" s="906">
        <f t="shared" si="20"/>
        <v>53382.894477317568</v>
      </c>
      <c r="AE68" s="906">
        <f t="shared" si="20"/>
        <v>53413.162721893488</v>
      </c>
      <c r="AF68" s="906">
        <f t="shared" si="20"/>
        <v>53580.635108481263</v>
      </c>
      <c r="AG68" s="906">
        <f t="shared" si="20"/>
        <v>53601.014792899412</v>
      </c>
      <c r="AH68" s="906">
        <f t="shared" si="20"/>
        <v>53665.563116370809</v>
      </c>
      <c r="AI68" s="906">
        <f t="shared" si="20"/>
        <v>53645.897435897423</v>
      </c>
      <c r="AJ68" s="907">
        <f>AVERAGE(X68:AI68)</f>
        <v>53290.238494411569</v>
      </c>
      <c r="AN68" s="1140">
        <f ca="1">G68*$AR$3</f>
        <v>1.6576663603390109</v>
      </c>
      <c r="AP68" s="1154">
        <f t="shared" ref="AP68:AP69" ca="1" si="23">AJ68*AN68*12</f>
        <v>1060049.2282395489</v>
      </c>
      <c r="AR68" s="1140">
        <f t="shared" ref="AR68:AR69" ca="1" si="24">G68+AN68</f>
        <v>6.7276663603390112</v>
      </c>
      <c r="AT68" s="1154">
        <f t="shared" ref="AT68:AT69" ca="1" si="25">V68+AP68</f>
        <v>4302227.3382395487</v>
      </c>
    </row>
    <row r="69" spans="1:55">
      <c r="A69" s="884" t="str">
        <f>$B$3&amp;"Residential"&amp;B69</f>
        <v>PIERCE UTCResidentialRTRNCART96REC-RES</v>
      </c>
      <c r="B69" s="889" t="s">
        <v>2003</v>
      </c>
      <c r="C69" s="889" t="str">
        <f>VLOOKUP($B69,'[45]RM Data'!$H:$I,2,FALSE)</f>
        <v>RETURN TRIP 96 GL REC - RES</v>
      </c>
      <c r="D69" s="889"/>
      <c r="F69" s="904">
        <v>9.5</v>
      </c>
      <c r="G69" s="904">
        <v>9.5</v>
      </c>
      <c r="H69" s="904"/>
      <c r="I69" s="906">
        <v>85.5</v>
      </c>
      <c r="J69" s="906">
        <v>95</v>
      </c>
      <c r="K69" s="906">
        <v>47.5</v>
      </c>
      <c r="L69" s="906">
        <v>85.5</v>
      </c>
      <c r="M69" s="906">
        <v>85.5</v>
      </c>
      <c r="N69" s="906">
        <v>104.5</v>
      </c>
      <c r="O69" s="906">
        <v>133</v>
      </c>
      <c r="P69" s="906">
        <v>247</v>
      </c>
      <c r="Q69" s="906">
        <v>152</v>
      </c>
      <c r="R69" s="906">
        <v>66.5</v>
      </c>
      <c r="S69" s="906">
        <v>76</v>
      </c>
      <c r="T69" s="906">
        <v>38</v>
      </c>
      <c r="U69" s="916"/>
      <c r="V69" s="957">
        <f>SUM(I69:T69)</f>
        <v>1216</v>
      </c>
      <c r="W69" s="905"/>
      <c r="X69" s="906">
        <f t="shared" si="19"/>
        <v>9</v>
      </c>
      <c r="Y69" s="906">
        <f t="shared" si="19"/>
        <v>10</v>
      </c>
      <c r="Z69" s="906">
        <f t="shared" si="19"/>
        <v>5</v>
      </c>
      <c r="AA69" s="906">
        <f t="shared" si="20"/>
        <v>9</v>
      </c>
      <c r="AB69" s="906">
        <f t="shared" si="20"/>
        <v>9</v>
      </c>
      <c r="AC69" s="906">
        <f t="shared" si="20"/>
        <v>11</v>
      </c>
      <c r="AD69" s="906">
        <f t="shared" si="20"/>
        <v>14</v>
      </c>
      <c r="AE69" s="906">
        <f t="shared" si="20"/>
        <v>26</v>
      </c>
      <c r="AF69" s="906">
        <f t="shared" si="20"/>
        <v>16</v>
      </c>
      <c r="AG69" s="906">
        <f t="shared" si="20"/>
        <v>7</v>
      </c>
      <c r="AH69" s="906">
        <f t="shared" si="20"/>
        <v>8</v>
      </c>
      <c r="AI69" s="906">
        <f t="shared" si="20"/>
        <v>4</v>
      </c>
      <c r="AJ69" s="907">
        <f>AVERAGE(X69:AI69)</f>
        <v>10.666666666666666</v>
      </c>
      <c r="AN69" s="1140">
        <f ca="1">G69*$AR$3</f>
        <v>3.1060809513255627</v>
      </c>
      <c r="AP69" s="1154">
        <f t="shared" ca="1" si="23"/>
        <v>397.57836176967203</v>
      </c>
      <c r="AR69" s="1140">
        <f t="shared" ca="1" si="24"/>
        <v>12.606080951325563</v>
      </c>
      <c r="AT69" s="1154">
        <f t="shared" ca="1" si="25"/>
        <v>1613.578361769672</v>
      </c>
    </row>
    <row r="70" spans="1:55">
      <c r="B70" s="889"/>
      <c r="C70" s="889"/>
      <c r="D70" s="889"/>
      <c r="F70" s="904"/>
      <c r="G70" s="904"/>
      <c r="H70" s="904"/>
      <c r="I70" s="906"/>
      <c r="J70" s="906"/>
      <c r="K70" s="906"/>
      <c r="L70" s="906"/>
      <c r="M70" s="906"/>
      <c r="N70" s="906"/>
      <c r="O70" s="906"/>
      <c r="P70" s="906"/>
      <c r="Q70" s="906"/>
      <c r="R70" s="906"/>
      <c r="S70" s="906"/>
      <c r="T70" s="906"/>
      <c r="U70" s="916"/>
      <c r="V70" s="957"/>
      <c r="W70" s="905"/>
      <c r="X70" s="909"/>
      <c r="Z70" s="906"/>
      <c r="AA70" s="909"/>
      <c r="AB70" s="909"/>
      <c r="AC70" s="909"/>
      <c r="AD70" s="909"/>
      <c r="AE70" s="909"/>
      <c r="AF70" s="909"/>
      <c r="AG70" s="909"/>
      <c r="AH70" s="909"/>
      <c r="AI70" s="909"/>
      <c r="AJ70" s="896"/>
    </row>
    <row r="71" spans="1:55">
      <c r="B71" s="889"/>
      <c r="C71" s="910" t="s">
        <v>2004</v>
      </c>
      <c r="D71" s="889"/>
      <c r="F71" s="904"/>
      <c r="G71" s="904"/>
      <c r="H71" s="911"/>
      <c r="I71" s="913">
        <f>SUM(I67:I70)</f>
        <v>271780.63500000001</v>
      </c>
      <c r="J71" s="913">
        <f t="shared" ref="J71:T71" si="26">SUM(J67:J70)</f>
        <v>269094.82500000001</v>
      </c>
      <c r="K71" s="913">
        <f t="shared" si="26"/>
        <v>268615.62</v>
      </c>
      <c r="L71" s="913">
        <f t="shared" si="26"/>
        <v>269844.93500000006</v>
      </c>
      <c r="M71" s="913">
        <f t="shared" si="26"/>
        <v>271117.94</v>
      </c>
      <c r="N71" s="913">
        <f t="shared" si="26"/>
        <v>271806.91500000004</v>
      </c>
      <c r="O71" s="913">
        <f t="shared" si="26"/>
        <v>272309.75500000006</v>
      </c>
      <c r="P71" s="913">
        <f t="shared" si="26"/>
        <v>272553.255</v>
      </c>
      <c r="Q71" s="913">
        <f t="shared" si="26"/>
        <v>273342.63</v>
      </c>
      <c r="R71" s="913">
        <f t="shared" si="26"/>
        <v>273319.60000000003</v>
      </c>
      <c r="S71" s="913">
        <f t="shared" si="26"/>
        <v>273631.77500000002</v>
      </c>
      <c r="T71" s="913">
        <f t="shared" si="26"/>
        <v>273492.11499999993</v>
      </c>
      <c r="U71" s="916"/>
      <c r="V71" s="913">
        <f>SUM(V67:V70)</f>
        <v>3260910.0000000005</v>
      </c>
      <c r="W71" s="914"/>
      <c r="X71" s="919">
        <f t="shared" ref="X71:AJ71" si="27">+X67+X68</f>
        <v>53543.202072143198</v>
      </c>
      <c r="Y71" s="919">
        <f t="shared" si="27"/>
        <v>53014.607447952709</v>
      </c>
      <c r="Z71" s="919">
        <f t="shared" si="27"/>
        <v>52927.20994706724</v>
      </c>
      <c r="AA71" s="919">
        <f t="shared" si="27"/>
        <v>53161.748225014555</v>
      </c>
      <c r="AB71" s="919">
        <f t="shared" si="27"/>
        <v>53409.872032078092</v>
      </c>
      <c r="AC71" s="919">
        <f t="shared" si="27"/>
        <v>53539.911227981247</v>
      </c>
      <c r="AD71" s="919">
        <f t="shared" si="27"/>
        <v>53634.209139591047</v>
      </c>
      <c r="AE71" s="919">
        <f t="shared" si="27"/>
        <v>53660.530102453617</v>
      </c>
      <c r="AF71" s="919">
        <f t="shared" si="27"/>
        <v>53833.816327591645</v>
      </c>
      <c r="AG71" s="919">
        <f t="shared" si="27"/>
        <v>53847.46536950567</v>
      </c>
      <c r="AH71" s="919">
        <f t="shared" si="27"/>
        <v>53907.963445860099</v>
      </c>
      <c r="AI71" s="919">
        <f t="shared" si="27"/>
        <v>53887.97568960418</v>
      </c>
      <c r="AJ71" s="920">
        <f t="shared" si="27"/>
        <v>53530.709252236942</v>
      </c>
      <c r="AP71" s="1156">
        <f ca="1">SUM(AP67:AP70)</f>
        <v>1065230.2500320268</v>
      </c>
      <c r="AS71" s="1143"/>
      <c r="AT71" s="1156">
        <f ca="1">SUM(AT67:AT70)</f>
        <v>4326140.2500320263</v>
      </c>
    </row>
    <row r="72" spans="1:55">
      <c r="B72" s="889"/>
      <c r="C72" s="910"/>
      <c r="D72" s="889"/>
      <c r="F72" s="904"/>
      <c r="G72" s="904"/>
      <c r="H72" s="911"/>
      <c r="I72" s="916"/>
      <c r="J72" s="916"/>
      <c r="K72" s="916"/>
      <c r="L72" s="916"/>
      <c r="M72" s="916"/>
      <c r="N72" s="916"/>
      <c r="O72" s="916"/>
      <c r="P72" s="916"/>
      <c r="Q72" s="916"/>
      <c r="R72" s="916"/>
      <c r="S72" s="916"/>
      <c r="T72" s="916"/>
      <c r="U72" s="916"/>
      <c r="V72" s="1021"/>
      <c r="W72" s="914"/>
      <c r="X72" s="909"/>
      <c r="Y72" s="906"/>
      <c r="Z72" s="906"/>
      <c r="AA72" s="909"/>
      <c r="AB72" s="909"/>
      <c r="AC72" s="909"/>
      <c r="AD72" s="909"/>
      <c r="AE72" s="909"/>
      <c r="AF72" s="909"/>
      <c r="AG72" s="909"/>
      <c r="AH72" s="909"/>
      <c r="AI72" s="909"/>
      <c r="AJ72" s="896"/>
      <c r="AK72" s="921"/>
      <c r="AM72" s="1144"/>
    </row>
    <row r="73" spans="1:55">
      <c r="A73" s="884" t="str">
        <f>$B$3&amp;"Residential"&amp;B73</f>
        <v>PIERCE UTCResidentialRECVALRES</v>
      </c>
      <c r="B73" s="889" t="s">
        <v>2005</v>
      </c>
      <c r="C73" s="889" t="s">
        <v>2006</v>
      </c>
      <c r="D73" s="889" t="s">
        <v>10</v>
      </c>
      <c r="E73" s="883">
        <v>35527</v>
      </c>
      <c r="F73" s="904">
        <v>-0.24</v>
      </c>
      <c r="G73" s="904">
        <v>1.92</v>
      </c>
      <c r="H73" s="904"/>
      <c r="I73" s="906"/>
      <c r="J73" s="906"/>
      <c r="K73" s="906"/>
      <c r="L73" s="906"/>
      <c r="M73" s="906"/>
      <c r="N73" s="906"/>
      <c r="O73" s="906"/>
      <c r="P73" s="906"/>
      <c r="Q73" s="906"/>
      <c r="R73" s="906"/>
      <c r="S73" s="906"/>
      <c r="T73" s="906"/>
      <c r="U73" s="916"/>
      <c r="V73" s="957">
        <f>SUM(J73:T73)</f>
        <v>0</v>
      </c>
      <c r="W73" s="905"/>
      <c r="X73" s="906">
        <f>IFERROR(I73/$F73,0)</f>
        <v>0</v>
      </c>
      <c r="Y73" s="906">
        <f>IFERROR(J73/$F73,0)</f>
        <v>0</v>
      </c>
      <c r="Z73" s="906">
        <f>IFERROR(K73/$F73,0)</f>
        <v>0</v>
      </c>
      <c r="AA73" s="906">
        <f t="shared" ref="AA73:AI73" si="28">IFERROR(L73/$G73,0)</f>
        <v>0</v>
      </c>
      <c r="AB73" s="906">
        <f t="shared" si="28"/>
        <v>0</v>
      </c>
      <c r="AC73" s="906">
        <f t="shared" si="28"/>
        <v>0</v>
      </c>
      <c r="AD73" s="906">
        <f t="shared" si="28"/>
        <v>0</v>
      </c>
      <c r="AE73" s="906">
        <f t="shared" si="28"/>
        <v>0</v>
      </c>
      <c r="AF73" s="906">
        <f t="shared" si="28"/>
        <v>0</v>
      </c>
      <c r="AG73" s="906">
        <f t="shared" si="28"/>
        <v>0</v>
      </c>
      <c r="AH73" s="906">
        <f t="shared" si="28"/>
        <v>0</v>
      </c>
      <c r="AI73" s="906">
        <f t="shared" si="28"/>
        <v>0</v>
      </c>
      <c r="AJ73" s="896"/>
      <c r="AK73" s="905"/>
      <c r="AL73" s="922"/>
      <c r="AM73" s="905"/>
      <c r="AN73" s="1140"/>
      <c r="AO73" s="1145"/>
      <c r="AQ73" s="1146"/>
      <c r="AR73" s="1140"/>
      <c r="AS73" s="1145"/>
      <c r="AU73" s="885"/>
      <c r="AV73" s="885"/>
      <c r="AW73" s="885"/>
      <c r="AX73" s="885"/>
      <c r="AY73" s="885"/>
      <c r="AZ73" s="885"/>
      <c r="BA73" s="885"/>
      <c r="BB73" s="885"/>
      <c r="BC73" s="885"/>
    </row>
    <row r="74" spans="1:55">
      <c r="B74" s="889"/>
      <c r="C74" s="910"/>
      <c r="D74" s="889"/>
      <c r="F74" s="904"/>
      <c r="G74" s="904"/>
      <c r="H74" s="911"/>
      <c r="I74" s="906"/>
      <c r="J74" s="906"/>
      <c r="K74" s="906"/>
      <c r="L74" s="906"/>
      <c r="M74" s="906"/>
      <c r="N74" s="906"/>
      <c r="O74" s="906"/>
      <c r="P74" s="906"/>
      <c r="Q74" s="906"/>
      <c r="R74" s="906"/>
      <c r="S74" s="906"/>
      <c r="T74" s="906"/>
      <c r="U74" s="916"/>
      <c r="V74" s="957"/>
      <c r="W74" s="911"/>
      <c r="X74" s="909"/>
      <c r="Y74" s="906"/>
      <c r="Z74" s="906"/>
      <c r="AB74" s="909"/>
      <c r="AC74" s="909"/>
      <c r="AD74" s="909"/>
      <c r="AE74" s="909"/>
      <c r="AF74" s="909"/>
      <c r="AG74" s="909"/>
      <c r="AH74" s="909"/>
      <c r="AI74" s="909"/>
      <c r="AJ74" s="896"/>
      <c r="AK74" s="923"/>
      <c r="AL74" s="922"/>
      <c r="AM74" s="1146"/>
      <c r="AN74" s="1147"/>
      <c r="AO74" s="1145"/>
      <c r="AP74" s="1157"/>
      <c r="AQ74" s="1145"/>
      <c r="AR74" s="1146"/>
      <c r="AS74" s="1145"/>
      <c r="AT74" s="1157"/>
      <c r="AU74" s="885"/>
      <c r="AV74" s="885"/>
      <c r="AW74" s="885"/>
      <c r="AX74" s="885"/>
      <c r="AY74" s="885"/>
      <c r="AZ74" s="885"/>
      <c r="BA74" s="885"/>
      <c r="BB74" s="885"/>
      <c r="BC74" s="885"/>
    </row>
    <row r="75" spans="1:55">
      <c r="B75" s="918" t="s">
        <v>2007</v>
      </c>
      <c r="C75" s="889"/>
      <c r="D75" s="889"/>
      <c r="F75" s="904"/>
      <c r="G75" s="904"/>
      <c r="H75" s="911"/>
      <c r="I75" s="906"/>
      <c r="J75" s="906"/>
      <c r="K75" s="906"/>
      <c r="L75" s="906"/>
      <c r="M75" s="906"/>
      <c r="N75" s="906"/>
      <c r="O75" s="906"/>
      <c r="P75" s="906"/>
      <c r="Q75" s="906"/>
      <c r="R75" s="906"/>
      <c r="S75" s="906"/>
      <c r="T75" s="906"/>
      <c r="U75" s="916"/>
      <c r="V75" s="957"/>
      <c r="W75" s="911"/>
      <c r="X75" s="909"/>
      <c r="Y75" s="906"/>
      <c r="Z75" s="906"/>
      <c r="AA75" s="909"/>
      <c r="AB75" s="909"/>
      <c r="AC75" s="909"/>
      <c r="AD75" s="909"/>
      <c r="AE75" s="909"/>
      <c r="AF75" s="909"/>
      <c r="AG75" s="909"/>
      <c r="AH75" s="909"/>
      <c r="AI75" s="909"/>
      <c r="AJ75" s="896"/>
      <c r="AK75" s="885"/>
      <c r="AL75" s="924"/>
      <c r="AM75" s="1145"/>
      <c r="AN75" s="1148"/>
      <c r="AO75" s="1145"/>
      <c r="AP75" s="1157"/>
      <c r="AQ75" s="1145"/>
      <c r="AR75" s="1148"/>
      <c r="AS75" s="1145"/>
      <c r="AT75" s="1157"/>
      <c r="AU75" s="885"/>
      <c r="AV75" s="885"/>
      <c r="AW75" s="885"/>
      <c r="AX75" s="885"/>
      <c r="AY75" s="885"/>
      <c r="AZ75" s="885"/>
      <c r="BA75" s="885"/>
      <c r="BB75" s="885"/>
      <c r="BC75" s="885"/>
    </row>
    <row r="76" spans="1:55">
      <c r="A76" s="884" t="str">
        <f>$B$3&amp;"Residential"&amp;B76</f>
        <v>PIERCE UTCResidentialGWRES</v>
      </c>
      <c r="B76" s="889" t="s">
        <v>2008</v>
      </c>
      <c r="C76" s="889" t="s">
        <v>2009</v>
      </c>
      <c r="D76" s="889" t="s">
        <v>2010</v>
      </c>
      <c r="E76" s="883">
        <v>32110</v>
      </c>
      <c r="F76" s="904">
        <v>5.53</v>
      </c>
      <c r="G76" s="904">
        <v>5.53</v>
      </c>
      <c r="H76" s="904"/>
      <c r="I76" s="906">
        <v>142110.28999999998</v>
      </c>
      <c r="J76" s="906">
        <v>136871.75</v>
      </c>
      <c r="K76" s="906">
        <v>135163.89499999999</v>
      </c>
      <c r="L76" s="906">
        <v>136137.755</v>
      </c>
      <c r="M76" s="906">
        <v>140367.505</v>
      </c>
      <c r="N76" s="906">
        <v>145057.97</v>
      </c>
      <c r="O76" s="906">
        <v>148599.74</v>
      </c>
      <c r="P76" s="906">
        <v>150606.98999999996</v>
      </c>
      <c r="Q76" s="906">
        <v>151712.06499999997</v>
      </c>
      <c r="R76" s="906">
        <v>151377.47</v>
      </c>
      <c r="S76" s="906">
        <v>147345.655</v>
      </c>
      <c r="T76" s="906">
        <v>148444.505</v>
      </c>
      <c r="U76" s="916"/>
      <c r="V76" s="957">
        <f>SUM(I76:T76)</f>
        <v>1733795.5899999999</v>
      </c>
      <c r="W76" s="905"/>
      <c r="X76" s="906">
        <f t="shared" ref="X76:Z79" si="29">IFERROR(I76/$F76,0)</f>
        <v>25698.063291139235</v>
      </c>
      <c r="Y76" s="906">
        <f t="shared" si="29"/>
        <v>24750.768535262207</v>
      </c>
      <c r="Z76" s="906">
        <f t="shared" si="29"/>
        <v>24441.933996383359</v>
      </c>
      <c r="AA76" s="906">
        <f t="shared" ref="AA76:AI79" si="30">IFERROR(L76/$G76,0)</f>
        <v>24618.038878842675</v>
      </c>
      <c r="AB76" s="906">
        <f t="shared" si="30"/>
        <v>25382.912296564195</v>
      </c>
      <c r="AC76" s="906">
        <f t="shared" si="30"/>
        <v>26231.097649186257</v>
      </c>
      <c r="AD76" s="906">
        <f t="shared" si="30"/>
        <v>26871.562386980106</v>
      </c>
      <c r="AE76" s="906">
        <f t="shared" si="30"/>
        <v>27234.537070524406</v>
      </c>
      <c r="AF76" s="906">
        <f t="shared" si="30"/>
        <v>27434.369801084984</v>
      </c>
      <c r="AG76" s="906">
        <f t="shared" si="30"/>
        <v>27373.864376130197</v>
      </c>
      <c r="AH76" s="906">
        <f t="shared" si="30"/>
        <v>26644.783905967448</v>
      </c>
      <c r="AI76" s="906">
        <f t="shared" si="30"/>
        <v>26843.490958408678</v>
      </c>
      <c r="AJ76" s="907">
        <f>AVERAGE(X76:AI76)</f>
        <v>26127.118595539479</v>
      </c>
      <c r="AK76" s="885"/>
      <c r="AL76" s="885"/>
      <c r="AM76" s="1145"/>
      <c r="AN76" s="1140">
        <f ca="1">G76*$AR$4</f>
        <v>0.77704930953686002</v>
      </c>
      <c r="AP76" s="1154">
        <f t="shared" ref="AP76" ca="1" si="31">AJ76*AN76*12</f>
        <v>243624.71357821929</v>
      </c>
      <c r="AR76" s="1140">
        <f t="shared" ref="AR76" ca="1" si="32">G76+AN76</f>
        <v>6.3070493095368603</v>
      </c>
      <c r="AT76" s="1154">
        <f t="shared" ref="AT76" ca="1" si="33">V76+AP76</f>
        <v>1977420.3035782191</v>
      </c>
      <c r="AU76" s="885"/>
      <c r="AV76" s="885"/>
      <c r="AW76" s="885"/>
      <c r="AX76" s="885"/>
      <c r="AY76" s="885"/>
      <c r="AZ76" s="885"/>
      <c r="BA76" s="885"/>
      <c r="BB76" s="885"/>
      <c r="BC76" s="885"/>
    </row>
    <row r="77" spans="1:55">
      <c r="A77" s="884" t="str">
        <f>'[45]2180 Comm Recycle'!$A$3&amp;"Commercial"&amp;B77</f>
        <v>PIERCE UTCCommercialGWCOMM</v>
      </c>
      <c r="B77" s="889" t="s">
        <v>2011</v>
      </c>
      <c r="C77" s="889" t="s">
        <v>2012</v>
      </c>
      <c r="D77" s="889" t="s">
        <v>411</v>
      </c>
      <c r="E77" s="883">
        <v>33000</v>
      </c>
      <c r="F77" s="904">
        <v>5.53</v>
      </c>
      <c r="G77" s="904">
        <v>5.53</v>
      </c>
      <c r="H77" s="904"/>
      <c r="I77" s="906">
        <v>3268.23</v>
      </c>
      <c r="J77" s="906">
        <v>3276.53</v>
      </c>
      <c r="K77" s="906">
        <v>3210.16</v>
      </c>
      <c r="L77" s="906">
        <v>3235.06</v>
      </c>
      <c r="M77" s="906">
        <v>3254.41</v>
      </c>
      <c r="N77" s="906">
        <v>3278.73</v>
      </c>
      <c r="O77" s="906">
        <v>3282.41</v>
      </c>
      <c r="P77" s="906">
        <v>3331.82</v>
      </c>
      <c r="Q77" s="906">
        <v>3359.5</v>
      </c>
      <c r="R77" s="906">
        <v>3341.04</v>
      </c>
      <c r="S77" s="906">
        <v>4467.32</v>
      </c>
      <c r="T77" s="906">
        <v>3359.93</v>
      </c>
      <c r="U77" s="916"/>
      <c r="V77" s="957">
        <f>SUM(J77:T77)</f>
        <v>37396.909999999996</v>
      </c>
      <c r="W77" s="909"/>
      <c r="X77" s="909">
        <f t="shared" si="29"/>
        <v>591</v>
      </c>
      <c r="Y77" s="906">
        <f t="shared" si="29"/>
        <v>592.50090415913201</v>
      </c>
      <c r="Z77" s="906">
        <f t="shared" si="29"/>
        <v>580.49909584086799</v>
      </c>
      <c r="AA77" s="909">
        <f t="shared" si="30"/>
        <v>585.00180831826401</v>
      </c>
      <c r="AB77" s="909">
        <f t="shared" si="30"/>
        <v>588.50090415913201</v>
      </c>
      <c r="AC77" s="909">
        <f t="shared" si="30"/>
        <v>592.89873417721515</v>
      </c>
      <c r="AD77" s="909">
        <f t="shared" si="30"/>
        <v>593.56419529837251</v>
      </c>
      <c r="AE77" s="909">
        <f t="shared" si="30"/>
        <v>602.49909584086799</v>
      </c>
      <c r="AF77" s="909">
        <f t="shared" si="30"/>
        <v>607.50452079566003</v>
      </c>
      <c r="AG77" s="909">
        <f t="shared" si="30"/>
        <v>604.16636528028926</v>
      </c>
      <c r="AH77" s="909">
        <f t="shared" si="30"/>
        <v>807.83363471971063</v>
      </c>
      <c r="AI77" s="909">
        <f t="shared" si="30"/>
        <v>607.58227848101262</v>
      </c>
      <c r="AJ77" s="907">
        <f>AVERAGE(X77:AI77)</f>
        <v>612.79596142254366</v>
      </c>
      <c r="AN77" s="1140">
        <f ca="1">G77*$AR$4</f>
        <v>0.77704930953686002</v>
      </c>
      <c r="AP77" s="1154">
        <f t="shared" ref="AP77:AP79" ca="1" si="34">AJ77*AN77*12</f>
        <v>5714.0721445243662</v>
      </c>
      <c r="AR77" s="1140">
        <f t="shared" ref="AR77:AR79" ca="1" si="35">G77+AN77</f>
        <v>6.3070493095368603</v>
      </c>
      <c r="AT77" s="1154">
        <f t="shared" ref="AT77:AT79" ca="1" si="36">V77+AP77</f>
        <v>43110.982144524365</v>
      </c>
    </row>
    <row r="78" spans="1:55">
      <c r="A78" s="884" t="str">
        <f>$B$3&amp;"Residential"&amp;B78</f>
        <v>PIERCE UTCResidentialEXTRAGWC-RES</v>
      </c>
      <c r="B78" s="889" t="s">
        <v>2013</v>
      </c>
      <c r="C78" s="889" t="s">
        <v>2014</v>
      </c>
      <c r="D78" s="889" t="s">
        <v>2010</v>
      </c>
      <c r="E78" s="883">
        <v>32111</v>
      </c>
      <c r="F78" s="904">
        <v>2</v>
      </c>
      <c r="G78" s="904">
        <v>2</v>
      </c>
      <c r="H78" s="904"/>
      <c r="I78" s="906">
        <v>54</v>
      </c>
      <c r="J78" s="906">
        <v>84</v>
      </c>
      <c r="K78" s="906">
        <v>22</v>
      </c>
      <c r="L78" s="906">
        <v>36</v>
      </c>
      <c r="M78" s="906">
        <v>112</v>
      </c>
      <c r="N78" s="906">
        <v>112</v>
      </c>
      <c r="O78" s="906">
        <v>216</v>
      </c>
      <c r="P78" s="906">
        <v>110</v>
      </c>
      <c r="Q78" s="906">
        <v>92</v>
      </c>
      <c r="R78" s="906">
        <v>116</v>
      </c>
      <c r="S78" s="906">
        <v>182</v>
      </c>
      <c r="T78" s="906">
        <v>256</v>
      </c>
      <c r="U78" s="916"/>
      <c r="V78" s="957">
        <f>SUM(I78:T78)</f>
        <v>1392</v>
      </c>
      <c r="W78" s="905"/>
      <c r="X78" s="906">
        <f t="shared" si="29"/>
        <v>27</v>
      </c>
      <c r="Y78" s="906">
        <f t="shared" si="29"/>
        <v>42</v>
      </c>
      <c r="Z78" s="906">
        <f t="shared" si="29"/>
        <v>11</v>
      </c>
      <c r="AA78" s="906">
        <f t="shared" si="30"/>
        <v>18</v>
      </c>
      <c r="AB78" s="906">
        <f t="shared" si="30"/>
        <v>56</v>
      </c>
      <c r="AC78" s="906">
        <f t="shared" si="30"/>
        <v>56</v>
      </c>
      <c r="AD78" s="906">
        <f t="shared" si="30"/>
        <v>108</v>
      </c>
      <c r="AE78" s="906">
        <f t="shared" si="30"/>
        <v>55</v>
      </c>
      <c r="AF78" s="906">
        <f t="shared" si="30"/>
        <v>46</v>
      </c>
      <c r="AG78" s="906">
        <f t="shared" si="30"/>
        <v>58</v>
      </c>
      <c r="AH78" s="906">
        <f t="shared" si="30"/>
        <v>91</v>
      </c>
      <c r="AI78" s="906">
        <f t="shared" si="30"/>
        <v>128</v>
      </c>
      <c r="AJ78" s="907"/>
      <c r="AK78" s="885"/>
      <c r="AL78" s="885"/>
      <c r="AM78" s="1145"/>
      <c r="AN78" s="1140">
        <f ca="1">G78*$AR$4</f>
        <v>0.28103049169506689</v>
      </c>
      <c r="AP78" s="1154">
        <f t="shared" ca="1" si="34"/>
        <v>0</v>
      </c>
      <c r="AR78" s="1140">
        <f t="shared" ca="1" si="35"/>
        <v>2.2810304916950668</v>
      </c>
      <c r="AT78" s="1154">
        <f t="shared" ca="1" si="36"/>
        <v>1392</v>
      </c>
      <c r="AU78" s="885"/>
      <c r="AV78" s="885"/>
      <c r="AW78" s="885"/>
      <c r="AX78" s="885"/>
      <c r="AY78" s="885"/>
      <c r="AZ78" s="885"/>
      <c r="BA78" s="885"/>
      <c r="BB78" s="885"/>
      <c r="BC78" s="885"/>
    </row>
    <row r="79" spans="1:55">
      <c r="A79" s="884" t="str">
        <f>$B$3&amp;"Residential"&amp;B79</f>
        <v>PIERCE UTCResidentialEP96GWC-RES</v>
      </c>
      <c r="B79" s="889" t="s">
        <v>2015</v>
      </c>
      <c r="C79" s="889" t="s">
        <v>2016</v>
      </c>
      <c r="D79" s="889" t="s">
        <v>1950</v>
      </c>
      <c r="E79" s="883">
        <v>32001</v>
      </c>
      <c r="F79" s="904">
        <v>3.8</v>
      </c>
      <c r="G79" s="904">
        <v>3.8</v>
      </c>
      <c r="H79" s="904"/>
      <c r="I79" s="906">
        <v>11.4</v>
      </c>
      <c r="J79" s="906">
        <v>7.6</v>
      </c>
      <c r="K79" s="906">
        <v>0</v>
      </c>
      <c r="L79" s="906">
        <v>22.8</v>
      </c>
      <c r="M79" s="906">
        <v>51.1</v>
      </c>
      <c r="N79" s="906">
        <v>46.65</v>
      </c>
      <c r="O79" s="906">
        <v>41.800000000000004</v>
      </c>
      <c r="P79" s="906">
        <v>34.200000000000003</v>
      </c>
      <c r="Q79" s="906">
        <v>32.1</v>
      </c>
      <c r="R79" s="906">
        <v>11.399999999999999</v>
      </c>
      <c r="S79" s="906">
        <v>0</v>
      </c>
      <c r="T79" s="906">
        <v>7.6</v>
      </c>
      <c r="U79" s="916"/>
      <c r="V79" s="957">
        <f>SUM(I79:T79)</f>
        <v>266.65000000000003</v>
      </c>
      <c r="W79" s="905"/>
      <c r="X79" s="906">
        <f t="shared" si="29"/>
        <v>3.0000000000000004</v>
      </c>
      <c r="Y79" s="906">
        <f t="shared" si="29"/>
        <v>2</v>
      </c>
      <c r="Z79" s="906">
        <f t="shared" si="29"/>
        <v>0</v>
      </c>
      <c r="AA79" s="906">
        <f t="shared" si="30"/>
        <v>6.0000000000000009</v>
      </c>
      <c r="AB79" s="906">
        <f t="shared" si="30"/>
        <v>13.447368421052632</v>
      </c>
      <c r="AC79" s="906">
        <f t="shared" si="30"/>
        <v>12.276315789473685</v>
      </c>
      <c r="AD79" s="906">
        <f t="shared" si="30"/>
        <v>11.000000000000002</v>
      </c>
      <c r="AE79" s="906">
        <f t="shared" si="30"/>
        <v>9.0000000000000018</v>
      </c>
      <c r="AF79" s="906">
        <f t="shared" si="30"/>
        <v>8.4473684210526319</v>
      </c>
      <c r="AG79" s="906">
        <f t="shared" si="30"/>
        <v>2.9999999999999996</v>
      </c>
      <c r="AH79" s="906">
        <f t="shared" si="30"/>
        <v>0</v>
      </c>
      <c r="AI79" s="906">
        <f t="shared" si="30"/>
        <v>2</v>
      </c>
      <c r="AJ79" s="907"/>
      <c r="AN79" s="1140">
        <f ca="1">G79*$AR$4</f>
        <v>0.5339579342206271</v>
      </c>
      <c r="AP79" s="1154">
        <f t="shared" ca="1" si="34"/>
        <v>0</v>
      </c>
      <c r="AR79" s="1140">
        <f t="shared" ca="1" si="35"/>
        <v>4.3339579342206269</v>
      </c>
      <c r="AT79" s="1154">
        <f t="shared" ca="1" si="36"/>
        <v>266.65000000000003</v>
      </c>
    </row>
    <row r="80" spans="1:55">
      <c r="B80" s="889"/>
      <c r="C80" s="910" t="s">
        <v>2017</v>
      </c>
      <c r="D80" s="889"/>
      <c r="F80" s="904"/>
      <c r="G80" s="904"/>
      <c r="H80" s="911"/>
      <c r="I80" s="913">
        <f>SUM(I76:I79)</f>
        <v>145443.91999999998</v>
      </c>
      <c r="J80" s="913">
        <f t="shared" ref="J80:T80" si="37">SUM(J76:J79)</f>
        <v>140239.88</v>
      </c>
      <c r="K80" s="913">
        <f t="shared" si="37"/>
        <v>138396.05499999999</v>
      </c>
      <c r="L80" s="913">
        <f t="shared" si="37"/>
        <v>139431.61499999999</v>
      </c>
      <c r="M80" s="913">
        <f t="shared" si="37"/>
        <v>143785.01500000001</v>
      </c>
      <c r="N80" s="913">
        <f t="shared" si="37"/>
        <v>148495.35</v>
      </c>
      <c r="O80" s="913">
        <f t="shared" si="37"/>
        <v>152139.94999999998</v>
      </c>
      <c r="P80" s="913">
        <f t="shared" si="37"/>
        <v>154083.00999999998</v>
      </c>
      <c r="Q80" s="913">
        <f t="shared" si="37"/>
        <v>155195.66499999998</v>
      </c>
      <c r="R80" s="913">
        <f t="shared" si="37"/>
        <v>154845.91</v>
      </c>
      <c r="S80" s="913">
        <f t="shared" si="37"/>
        <v>151994.97500000001</v>
      </c>
      <c r="T80" s="913">
        <f t="shared" si="37"/>
        <v>152068.035</v>
      </c>
      <c r="U80" s="916"/>
      <c r="V80" s="913">
        <f>SUM(V76:V79)</f>
        <v>1772851.1499999997</v>
      </c>
      <c r="W80" s="914"/>
      <c r="X80" s="912">
        <f t="shared" ref="X80:AI80" si="38">SUM(X76:X79)</f>
        <v>26319.063291139235</v>
      </c>
      <c r="Y80" s="912">
        <f t="shared" si="38"/>
        <v>25387.269439421339</v>
      </c>
      <c r="Z80" s="912">
        <f t="shared" si="38"/>
        <v>25033.433092224226</v>
      </c>
      <c r="AA80" s="912">
        <f t="shared" si="38"/>
        <v>25227.040687160938</v>
      </c>
      <c r="AB80" s="912">
        <f t="shared" si="38"/>
        <v>26040.860569144381</v>
      </c>
      <c r="AC80" s="912">
        <f t="shared" si="38"/>
        <v>26892.272699152945</v>
      </c>
      <c r="AD80" s="912">
        <f t="shared" si="38"/>
        <v>27584.126582278477</v>
      </c>
      <c r="AE80" s="912">
        <f t="shared" si="38"/>
        <v>27901.036166365273</v>
      </c>
      <c r="AF80" s="912">
        <f t="shared" si="38"/>
        <v>28096.321690301698</v>
      </c>
      <c r="AG80" s="912">
        <f t="shared" si="38"/>
        <v>28039.030741410486</v>
      </c>
      <c r="AH80" s="912">
        <f t="shared" si="38"/>
        <v>27543.617540687159</v>
      </c>
      <c r="AI80" s="912">
        <f t="shared" si="38"/>
        <v>27581.07323688969</v>
      </c>
      <c r="AJ80" s="912">
        <f>SUM(AJ76:AJ77)</f>
        <v>26739.914556962023</v>
      </c>
      <c r="AP80" s="1142">
        <f ca="1">SUM(AP76:AP79)</f>
        <v>249338.78572274366</v>
      </c>
      <c r="AT80" s="1156">
        <f ca="1">SUM(AT76:AT79)</f>
        <v>2022189.9357227434</v>
      </c>
    </row>
    <row r="81" spans="1:46">
      <c r="F81" s="904"/>
      <c r="G81" s="904"/>
      <c r="I81" s="906"/>
      <c r="J81" s="906"/>
      <c r="K81" s="906"/>
      <c r="L81" s="906"/>
      <c r="M81" s="906"/>
      <c r="N81" s="906"/>
      <c r="O81" s="906"/>
      <c r="P81" s="906"/>
      <c r="Q81" s="906"/>
      <c r="R81" s="906"/>
      <c r="S81" s="906"/>
      <c r="T81" s="906"/>
      <c r="U81" s="1022"/>
      <c r="V81" s="957"/>
      <c r="W81" s="889"/>
      <c r="X81" s="909"/>
      <c r="Y81" s="906"/>
      <c r="Z81" s="906"/>
      <c r="AA81" s="909"/>
      <c r="AB81" s="909"/>
      <c r="AC81" s="909"/>
      <c r="AD81" s="909"/>
      <c r="AE81" s="909"/>
      <c r="AF81" s="909"/>
      <c r="AG81" s="909"/>
      <c r="AH81" s="909"/>
      <c r="AI81" s="909"/>
      <c r="AJ81" s="925"/>
    </row>
    <row r="82" spans="1:46" s="881" customFormat="1" ht="13.5" thickBot="1">
      <c r="A82" s="926"/>
      <c r="B82" s="926" t="s">
        <v>2018</v>
      </c>
      <c r="C82" s="926"/>
      <c r="D82" s="926"/>
      <c r="E82" s="927"/>
      <c r="F82" s="928"/>
      <c r="G82" s="928"/>
      <c r="H82" s="926"/>
      <c r="I82" s="929">
        <f t="shared" ref="I82:T82" si="39">+I63+I71+I80+I73</f>
        <v>1736800.2150000003</v>
      </c>
      <c r="J82" s="929">
        <f t="shared" si="39"/>
        <v>1706666.42</v>
      </c>
      <c r="K82" s="929">
        <f t="shared" si="39"/>
        <v>1689665.635</v>
      </c>
      <c r="L82" s="929">
        <f t="shared" si="39"/>
        <v>1721125.8150000004</v>
      </c>
      <c r="M82" s="929">
        <f t="shared" si="39"/>
        <v>1735811.98</v>
      </c>
      <c r="N82" s="929">
        <f t="shared" si="39"/>
        <v>1746607.8850000002</v>
      </c>
      <c r="O82" s="929">
        <f t="shared" si="39"/>
        <v>1753615.0350000001</v>
      </c>
      <c r="P82" s="929">
        <f t="shared" si="39"/>
        <v>1764193.8699999999</v>
      </c>
      <c r="Q82" s="929">
        <f t="shared" si="39"/>
        <v>1762865.9250000003</v>
      </c>
      <c r="R82" s="929">
        <f t="shared" si="39"/>
        <v>1759571.5250000006</v>
      </c>
      <c r="S82" s="929">
        <f t="shared" si="39"/>
        <v>1758218.9000000004</v>
      </c>
      <c r="T82" s="929">
        <f t="shared" si="39"/>
        <v>1756736.4050000005</v>
      </c>
      <c r="U82" s="1023"/>
      <c r="V82" s="1024">
        <f>+V63+V71+V80+V73</f>
        <v>20888611.379999999</v>
      </c>
      <c r="W82" s="929"/>
      <c r="X82" s="930"/>
      <c r="Y82" s="931"/>
      <c r="Z82" s="931"/>
      <c r="AA82" s="930"/>
      <c r="AB82" s="930"/>
      <c r="AC82" s="930"/>
      <c r="AD82" s="930"/>
      <c r="AE82" s="930"/>
      <c r="AF82" s="930"/>
      <c r="AG82" s="930"/>
      <c r="AH82" s="930"/>
      <c r="AI82" s="930"/>
      <c r="AJ82" s="932"/>
      <c r="AM82" s="1149"/>
      <c r="AN82" s="1149"/>
      <c r="AO82" s="1149"/>
      <c r="AP82" s="1161">
        <f ca="1">+AP63+AP71+AP80+AP73</f>
        <v>1499279.7734132819</v>
      </c>
      <c r="AQ82" s="1149"/>
      <c r="AR82" s="1149"/>
      <c r="AS82" s="1149"/>
      <c r="AT82" s="1161">
        <f ca="1">+AT63+AT71+AT80+AT73</f>
        <v>22387891.153413277</v>
      </c>
    </row>
    <row r="83" spans="1:46" s="881" customFormat="1">
      <c r="E83" s="892"/>
      <c r="F83" s="904"/>
      <c r="G83" s="904"/>
      <c r="I83" s="917"/>
      <c r="J83" s="917"/>
      <c r="K83" s="917"/>
      <c r="L83" s="917"/>
      <c r="M83" s="917"/>
      <c r="N83" s="917"/>
      <c r="O83" s="917"/>
      <c r="P83" s="917"/>
      <c r="Q83" s="917"/>
      <c r="R83" s="917"/>
      <c r="S83" s="917"/>
      <c r="T83" s="917"/>
      <c r="U83" s="917"/>
      <c r="V83" s="971"/>
      <c r="W83" s="934"/>
      <c r="X83" s="909"/>
      <c r="Y83" s="906"/>
      <c r="Z83" s="906"/>
      <c r="AA83" s="909"/>
      <c r="AB83" s="909"/>
      <c r="AC83" s="909"/>
      <c r="AD83" s="909"/>
      <c r="AE83" s="909"/>
      <c r="AF83" s="909"/>
      <c r="AG83" s="909"/>
      <c r="AH83" s="909"/>
      <c r="AI83" s="909"/>
      <c r="AJ83" s="925"/>
      <c r="AM83" s="1149"/>
      <c r="AN83" s="1149"/>
      <c r="AO83" s="1149"/>
      <c r="AP83" s="1158"/>
      <c r="AQ83" s="1149"/>
      <c r="AR83" s="1149"/>
      <c r="AS83" s="1149"/>
      <c r="AT83" s="1158"/>
    </row>
    <row r="84" spans="1:46" s="881" customFormat="1">
      <c r="E84" s="892"/>
      <c r="F84" s="904"/>
      <c r="G84" s="904"/>
      <c r="H84" s="935"/>
      <c r="I84" s="906"/>
      <c r="J84" s="906"/>
      <c r="K84" s="906"/>
      <c r="L84" s="906"/>
      <c r="M84" s="906"/>
      <c r="N84" s="906"/>
      <c r="O84" s="906"/>
      <c r="P84" s="906"/>
      <c r="Q84" s="906"/>
      <c r="R84" s="906"/>
      <c r="S84" s="906"/>
      <c r="T84" s="906"/>
      <c r="U84" s="906"/>
      <c r="V84" s="957"/>
      <c r="W84" s="936"/>
      <c r="X84" s="909"/>
      <c r="Y84" s="906"/>
      <c r="Z84" s="906"/>
      <c r="AA84" s="909"/>
      <c r="AB84" s="909"/>
      <c r="AC84" s="909"/>
      <c r="AD84" s="909"/>
      <c r="AE84" s="909"/>
      <c r="AF84" s="909"/>
      <c r="AG84" s="909"/>
      <c r="AH84" s="909"/>
      <c r="AI84" s="909"/>
      <c r="AJ84" s="925"/>
      <c r="AM84" s="1149"/>
      <c r="AN84" s="1149"/>
      <c r="AO84" s="1149"/>
      <c r="AP84" s="1158"/>
      <c r="AQ84" s="1149"/>
      <c r="AR84" s="1149"/>
      <c r="AS84" s="1149"/>
      <c r="AT84" s="1158"/>
    </row>
    <row r="85" spans="1:46">
      <c r="B85" s="897" t="s">
        <v>2019</v>
      </c>
      <c r="C85" s="898"/>
      <c r="D85" s="898"/>
      <c r="F85" s="904"/>
      <c r="G85" s="904"/>
      <c r="H85" s="899"/>
      <c r="I85" s="906"/>
      <c r="J85" s="906"/>
      <c r="K85" s="906"/>
      <c r="L85" s="906"/>
      <c r="M85" s="906"/>
      <c r="N85" s="906"/>
      <c r="O85" s="906"/>
      <c r="P85" s="906"/>
      <c r="Q85" s="906"/>
      <c r="R85" s="906"/>
      <c r="S85" s="906"/>
      <c r="T85" s="906"/>
      <c r="U85" s="906"/>
      <c r="V85" s="957"/>
      <c r="W85" s="937"/>
      <c r="X85" s="909"/>
      <c r="Y85" s="906"/>
      <c r="Z85" s="906"/>
      <c r="AA85" s="909"/>
      <c r="AB85" s="909"/>
      <c r="AC85" s="909"/>
      <c r="AD85" s="909"/>
      <c r="AE85" s="909"/>
      <c r="AF85" s="909"/>
      <c r="AG85" s="909"/>
      <c r="AH85" s="909"/>
      <c r="AI85" s="909"/>
      <c r="AJ85" s="925"/>
    </row>
    <row r="86" spans="1:46">
      <c r="B86" s="897"/>
      <c r="C86" s="898"/>
      <c r="D86" s="898"/>
      <c r="F86" s="904"/>
      <c r="G86" s="904"/>
      <c r="H86" s="899"/>
      <c r="I86" s="906"/>
      <c r="J86" s="906"/>
      <c r="K86" s="906"/>
      <c r="L86" s="906"/>
      <c r="M86" s="906"/>
      <c r="N86" s="906"/>
      <c r="O86" s="906"/>
      <c r="P86" s="906"/>
      <c r="Q86" s="906"/>
      <c r="R86" s="906"/>
      <c r="S86" s="906"/>
      <c r="T86" s="906"/>
      <c r="U86" s="906"/>
      <c r="V86" s="957"/>
      <c r="W86" s="937"/>
      <c r="X86" s="909"/>
      <c r="Y86" s="906"/>
      <c r="Z86" s="906"/>
      <c r="AA86" s="909"/>
      <c r="AB86" s="909"/>
      <c r="AC86" s="909"/>
      <c r="AD86" s="909"/>
      <c r="AE86" s="909"/>
      <c r="AF86" s="909"/>
      <c r="AG86" s="909"/>
      <c r="AH86" s="909"/>
      <c r="AI86" s="909"/>
      <c r="AJ86" s="925"/>
    </row>
    <row r="87" spans="1:46">
      <c r="B87" s="903" t="s">
        <v>2020</v>
      </c>
      <c r="C87" s="898"/>
      <c r="D87" s="898"/>
      <c r="F87" s="904"/>
      <c r="G87" s="904"/>
      <c r="H87" s="899"/>
      <c r="I87" s="906"/>
      <c r="J87" s="906"/>
      <c r="K87" s="906"/>
      <c r="L87" s="906"/>
      <c r="M87" s="906"/>
      <c r="N87" s="906"/>
      <c r="O87" s="906"/>
      <c r="P87" s="906"/>
      <c r="Q87" s="906"/>
      <c r="R87" s="906"/>
      <c r="S87" s="906"/>
      <c r="T87" s="906"/>
      <c r="U87" s="906"/>
      <c r="V87" s="957"/>
      <c r="W87" s="937"/>
      <c r="X87" s="909"/>
      <c r="Y87" s="906"/>
      <c r="Z87" s="906"/>
      <c r="AA87" s="909"/>
      <c r="AB87" s="909"/>
      <c r="AC87" s="909"/>
      <c r="AD87" s="909"/>
      <c r="AE87" s="909"/>
      <c r="AF87" s="909"/>
      <c r="AG87" s="909"/>
      <c r="AH87" s="909"/>
      <c r="AI87" s="909"/>
      <c r="AJ87" s="925"/>
    </row>
    <row r="88" spans="1:46">
      <c r="A88" s="884" t="str">
        <f t="shared" ref="A88:A119" si="40">$B$3&amp;"Commercial"&amp;B88</f>
        <v>PIERCE UTCCommercialFL001.0YEO001</v>
      </c>
      <c r="B88" s="889" t="s">
        <v>2021</v>
      </c>
      <c r="C88" s="889" t="str">
        <f>VLOOKUP(B88,'[45]PI default bill area pricing'!G:H,2,FALSE)</f>
        <v>1 YD EOW 1</v>
      </c>
      <c r="D88" s="889"/>
      <c r="F88" s="904"/>
      <c r="G88" s="904">
        <v>53.48</v>
      </c>
      <c r="H88" s="904"/>
      <c r="I88" s="906">
        <v>0</v>
      </c>
      <c r="J88" s="906">
        <v>0</v>
      </c>
      <c r="K88" s="906">
        <v>0</v>
      </c>
      <c r="L88" s="906">
        <v>0</v>
      </c>
      <c r="M88" s="906">
        <v>0</v>
      </c>
      <c r="N88" s="906">
        <v>0</v>
      </c>
      <c r="O88" s="906">
        <v>53.48</v>
      </c>
      <c r="P88" s="906">
        <v>53.48</v>
      </c>
      <c r="Q88" s="906">
        <v>53.48</v>
      </c>
      <c r="R88" s="906">
        <v>106.96</v>
      </c>
      <c r="S88" s="906">
        <v>106.96</v>
      </c>
      <c r="T88" s="906">
        <v>106.96</v>
      </c>
      <c r="U88" s="906"/>
      <c r="V88" s="957">
        <f t="shared" ref="V88:V151" si="41">SUM(I88:T88)</f>
        <v>481.31999999999994</v>
      </c>
      <c r="W88" s="905"/>
      <c r="X88" s="909">
        <f t="shared" ref="X88:Z119" si="42">IFERROR(I88/$F88,0)</f>
        <v>0</v>
      </c>
      <c r="Y88" s="906">
        <f t="shared" si="42"/>
        <v>0</v>
      </c>
      <c r="Z88" s="906">
        <f t="shared" si="42"/>
        <v>0</v>
      </c>
      <c r="AA88" s="909">
        <f t="shared" ref="AA88:AI116" si="43">IFERROR(L88/$G88,0)</f>
        <v>0</v>
      </c>
      <c r="AB88" s="909">
        <f t="shared" si="43"/>
        <v>0</v>
      </c>
      <c r="AC88" s="909">
        <f t="shared" si="43"/>
        <v>0</v>
      </c>
      <c r="AD88" s="909">
        <f t="shared" si="43"/>
        <v>1</v>
      </c>
      <c r="AE88" s="909">
        <f t="shared" si="43"/>
        <v>1</v>
      </c>
      <c r="AF88" s="909">
        <f t="shared" si="43"/>
        <v>1</v>
      </c>
      <c r="AG88" s="909">
        <f t="shared" si="43"/>
        <v>2</v>
      </c>
      <c r="AH88" s="909">
        <f t="shared" si="43"/>
        <v>2</v>
      </c>
      <c r="AI88" s="909">
        <f t="shared" si="43"/>
        <v>2</v>
      </c>
      <c r="AJ88" s="907">
        <f t="shared" ref="AJ88:AJ151" si="44">AVERAGE(X88:AI88)</f>
        <v>0.75</v>
      </c>
      <c r="AN88" s="1140">
        <f t="shared" ref="AN88:AN151" ca="1" si="45">G88*$AR$2</f>
        <v>0.62029452649020733</v>
      </c>
      <c r="AP88" s="1154">
        <f t="shared" ref="AP88:AP151" ca="1" si="46">AJ88*AN88*12</f>
        <v>5.582650738411866</v>
      </c>
      <c r="AR88" s="1140">
        <f t="shared" ref="AR88:AR151" ca="1" si="47">G88+AN88</f>
        <v>54.100294526490202</v>
      </c>
      <c r="AT88" s="1154">
        <f t="shared" ref="AT88:AT151" ca="1" si="48">V88+AP88</f>
        <v>486.90265073841181</v>
      </c>
    </row>
    <row r="89" spans="1:46">
      <c r="A89" s="884" t="str">
        <f t="shared" si="40"/>
        <v>PIERCE UTCCommercialFL001.0Y1W001</v>
      </c>
      <c r="B89" s="889" t="s">
        <v>2022</v>
      </c>
      <c r="C89" s="889" t="s">
        <v>2023</v>
      </c>
      <c r="D89" s="889" t="s">
        <v>411</v>
      </c>
      <c r="E89" s="883">
        <v>33000</v>
      </c>
      <c r="F89" s="904">
        <v>91.43</v>
      </c>
      <c r="G89" s="904">
        <v>93.63</v>
      </c>
      <c r="H89" s="904"/>
      <c r="I89" s="906">
        <v>116376.69</v>
      </c>
      <c r="J89" s="906">
        <v>116938.985</v>
      </c>
      <c r="K89" s="906">
        <v>115677.23500000002</v>
      </c>
      <c r="L89" s="906">
        <v>120492.22</v>
      </c>
      <c r="M89" s="906">
        <v>120868.55</v>
      </c>
      <c r="N89" s="906">
        <v>121347.41</v>
      </c>
      <c r="O89" s="906">
        <v>120934.65</v>
      </c>
      <c r="P89" s="906">
        <v>121901.6</v>
      </c>
      <c r="Q89" s="906">
        <v>122445.17</v>
      </c>
      <c r="R89" s="906">
        <v>121495.62</v>
      </c>
      <c r="S89" s="906">
        <v>120969.12</v>
      </c>
      <c r="T89" s="906">
        <v>120080.49</v>
      </c>
      <c r="U89" s="906"/>
      <c r="V89" s="957">
        <f t="shared" si="41"/>
        <v>1439527.74</v>
      </c>
      <c r="W89" s="905"/>
      <c r="X89" s="909">
        <f t="shared" si="42"/>
        <v>1272.850158591272</v>
      </c>
      <c r="Y89" s="906">
        <f t="shared" si="42"/>
        <v>1279.0001640599364</v>
      </c>
      <c r="Z89" s="906">
        <f t="shared" si="42"/>
        <v>1265.199989062671</v>
      </c>
      <c r="AA89" s="909">
        <f t="shared" si="43"/>
        <v>1286.8975755633878</v>
      </c>
      <c r="AB89" s="909">
        <f t="shared" si="43"/>
        <v>1290.9169069742604</v>
      </c>
      <c r="AC89" s="909">
        <f t="shared" si="43"/>
        <v>1296.0312933888713</v>
      </c>
      <c r="AD89" s="909">
        <f t="shared" si="43"/>
        <v>1291.6228772829222</v>
      </c>
      <c r="AE89" s="909">
        <f t="shared" si="43"/>
        <v>1301.9502296272562</v>
      </c>
      <c r="AF89" s="909">
        <f t="shared" si="43"/>
        <v>1307.7557406814055</v>
      </c>
      <c r="AG89" s="909">
        <f t="shared" si="43"/>
        <v>1297.6142262095482</v>
      </c>
      <c r="AH89" s="909">
        <f t="shared" si="43"/>
        <v>1291.991028516501</v>
      </c>
      <c r="AI89" s="909">
        <f t="shared" si="43"/>
        <v>1282.5001602050627</v>
      </c>
      <c r="AJ89" s="907">
        <f t="shared" si="44"/>
        <v>1288.6941958469245</v>
      </c>
      <c r="AN89" s="1140">
        <f t="shared" ca="1" si="45"/>
        <v>1.0859793664038542</v>
      </c>
      <c r="AP89" s="1154">
        <f t="shared" ca="1" si="46"/>
        <v>16793.943675530008</v>
      </c>
      <c r="AR89" s="1140">
        <f t="shared" ca="1" si="47"/>
        <v>94.715979366403843</v>
      </c>
      <c r="AT89" s="1154">
        <f t="shared" ca="1" si="48"/>
        <v>1456321.6836755299</v>
      </c>
    </row>
    <row r="90" spans="1:46">
      <c r="A90" s="884" t="str">
        <f t="shared" si="40"/>
        <v>PIERCE UTCCommercialFL001.0Y2W001</v>
      </c>
      <c r="B90" s="889" t="s">
        <v>2024</v>
      </c>
      <c r="C90" s="889" t="s">
        <v>2025</v>
      </c>
      <c r="D90" s="889" t="s">
        <v>411</v>
      </c>
      <c r="E90" s="883">
        <v>33000</v>
      </c>
      <c r="F90" s="904">
        <v>169.71</v>
      </c>
      <c r="G90" s="904">
        <v>174.13</v>
      </c>
      <c r="H90" s="904"/>
      <c r="I90" s="906">
        <v>509.13</v>
      </c>
      <c r="J90" s="906">
        <v>509.13</v>
      </c>
      <c r="K90" s="906">
        <v>509.13</v>
      </c>
      <c r="L90" s="906">
        <v>522.39</v>
      </c>
      <c r="M90" s="906">
        <v>522.39</v>
      </c>
      <c r="N90" s="906">
        <v>522.39</v>
      </c>
      <c r="O90" s="906">
        <v>522.39</v>
      </c>
      <c r="P90" s="906">
        <v>522.39</v>
      </c>
      <c r="Q90" s="906">
        <v>522.39</v>
      </c>
      <c r="R90" s="906">
        <v>522.39</v>
      </c>
      <c r="S90" s="906">
        <v>561.09</v>
      </c>
      <c r="T90" s="906">
        <v>696.52</v>
      </c>
      <c r="U90" s="906"/>
      <c r="V90" s="957">
        <f t="shared" si="41"/>
        <v>6441.73</v>
      </c>
      <c r="W90" s="905"/>
      <c r="X90" s="909">
        <f t="shared" si="42"/>
        <v>3</v>
      </c>
      <c r="Y90" s="906">
        <f t="shared" si="42"/>
        <v>3</v>
      </c>
      <c r="Z90" s="906">
        <f t="shared" si="42"/>
        <v>3</v>
      </c>
      <c r="AA90" s="909">
        <f t="shared" si="43"/>
        <v>3</v>
      </c>
      <c r="AB90" s="909">
        <f t="shared" si="43"/>
        <v>3</v>
      </c>
      <c r="AC90" s="909">
        <f t="shared" si="43"/>
        <v>3</v>
      </c>
      <c r="AD90" s="909">
        <f t="shared" si="43"/>
        <v>3</v>
      </c>
      <c r="AE90" s="909">
        <f t="shared" si="43"/>
        <v>3</v>
      </c>
      <c r="AF90" s="909">
        <f t="shared" si="43"/>
        <v>3</v>
      </c>
      <c r="AG90" s="909">
        <f t="shared" si="43"/>
        <v>3</v>
      </c>
      <c r="AH90" s="909">
        <f t="shared" si="43"/>
        <v>3.2222477459369441</v>
      </c>
      <c r="AI90" s="909">
        <f t="shared" si="43"/>
        <v>4</v>
      </c>
      <c r="AJ90" s="907">
        <f t="shared" si="44"/>
        <v>3.1018539788280788</v>
      </c>
      <c r="AN90" s="1140">
        <f t="shared" ca="1" si="45"/>
        <v>2.0196687714611032</v>
      </c>
      <c r="AP90" s="1154">
        <f t="shared" ca="1" si="46"/>
        <v>75.176611376057295</v>
      </c>
      <c r="AR90" s="1140">
        <f t="shared" ca="1" si="47"/>
        <v>176.14966877146111</v>
      </c>
      <c r="AT90" s="1154">
        <f t="shared" ca="1" si="48"/>
        <v>6516.9066113760573</v>
      </c>
    </row>
    <row r="91" spans="1:46">
      <c r="A91" s="884" t="str">
        <f t="shared" si="40"/>
        <v>PIERCE UTCCommercialFL001.0Y3W001</v>
      </c>
      <c r="B91" s="889" t="s">
        <v>2026</v>
      </c>
      <c r="C91" s="889" t="s">
        <v>2027</v>
      </c>
      <c r="D91" s="889" t="s">
        <v>411</v>
      </c>
      <c r="E91" s="883">
        <v>33000</v>
      </c>
      <c r="F91" s="904">
        <v>248</v>
      </c>
      <c r="G91" s="904">
        <v>254.62</v>
      </c>
      <c r="H91" s="904"/>
      <c r="I91" s="906">
        <v>248</v>
      </c>
      <c r="J91" s="906">
        <v>248</v>
      </c>
      <c r="K91" s="906">
        <v>248</v>
      </c>
      <c r="L91" s="906">
        <v>254.62</v>
      </c>
      <c r="M91" s="906">
        <v>254.62</v>
      </c>
      <c r="N91" s="906">
        <v>254.62</v>
      </c>
      <c r="O91" s="906">
        <v>254.62</v>
      </c>
      <c r="P91" s="906">
        <v>254.62</v>
      </c>
      <c r="Q91" s="906">
        <v>254.62</v>
      </c>
      <c r="R91" s="906">
        <v>254.62</v>
      </c>
      <c r="S91" s="906">
        <v>254.62</v>
      </c>
      <c r="T91" s="906">
        <v>254.62</v>
      </c>
      <c r="U91" s="906"/>
      <c r="V91" s="957">
        <f t="shared" si="41"/>
        <v>3035.5799999999995</v>
      </c>
      <c r="W91" s="905"/>
      <c r="X91" s="909">
        <f t="shared" si="42"/>
        <v>1</v>
      </c>
      <c r="Y91" s="906">
        <f t="shared" si="42"/>
        <v>1</v>
      </c>
      <c r="Z91" s="906">
        <f t="shared" si="42"/>
        <v>1</v>
      </c>
      <c r="AA91" s="909">
        <f t="shared" si="43"/>
        <v>1</v>
      </c>
      <c r="AB91" s="909">
        <f t="shared" si="43"/>
        <v>1</v>
      </c>
      <c r="AC91" s="909">
        <f t="shared" si="43"/>
        <v>1</v>
      </c>
      <c r="AD91" s="909">
        <f t="shared" si="43"/>
        <v>1</v>
      </c>
      <c r="AE91" s="909">
        <f t="shared" si="43"/>
        <v>1</v>
      </c>
      <c r="AF91" s="909">
        <f t="shared" si="43"/>
        <v>1</v>
      </c>
      <c r="AG91" s="909">
        <f t="shared" si="43"/>
        <v>1</v>
      </c>
      <c r="AH91" s="909">
        <f t="shared" si="43"/>
        <v>1</v>
      </c>
      <c r="AI91" s="909">
        <f t="shared" si="43"/>
        <v>1</v>
      </c>
      <c r="AJ91" s="907">
        <f t="shared" si="44"/>
        <v>1</v>
      </c>
      <c r="AN91" s="1140">
        <f t="shared" ca="1" si="45"/>
        <v>2.9532421902568551</v>
      </c>
      <c r="AP91" s="1154">
        <f t="shared" ca="1" si="46"/>
        <v>35.438906283082261</v>
      </c>
      <c r="AR91" s="1140">
        <f t="shared" ca="1" si="47"/>
        <v>257.57324219025685</v>
      </c>
      <c r="AT91" s="1154">
        <f t="shared" ca="1" si="48"/>
        <v>3071.0189062830818</v>
      </c>
    </row>
    <row r="92" spans="1:46">
      <c r="A92" s="884" t="str">
        <f t="shared" si="40"/>
        <v>PIERCE UTCCommercialFL001.5Y1W001</v>
      </c>
      <c r="B92" s="889" t="s">
        <v>2028</v>
      </c>
      <c r="C92" s="889" t="s">
        <v>2029</v>
      </c>
      <c r="D92" s="889" t="s">
        <v>411</v>
      </c>
      <c r="E92" s="883">
        <v>33000</v>
      </c>
      <c r="F92" s="904">
        <v>125.07</v>
      </c>
      <c r="G92" s="904">
        <v>128.24</v>
      </c>
      <c r="H92" s="904"/>
      <c r="I92" s="906">
        <v>30961.079999999998</v>
      </c>
      <c r="J92" s="906">
        <v>30904.799999999999</v>
      </c>
      <c r="K92" s="906">
        <v>31236.23</v>
      </c>
      <c r="L92" s="906">
        <v>31399.64</v>
      </c>
      <c r="M92" s="906">
        <v>31656.04</v>
      </c>
      <c r="N92" s="906">
        <v>31784.28</v>
      </c>
      <c r="O92" s="906">
        <v>32348.54</v>
      </c>
      <c r="P92" s="906">
        <v>32681.95</v>
      </c>
      <c r="Q92" s="906">
        <v>32649.9</v>
      </c>
      <c r="R92" s="906">
        <v>33524.07</v>
      </c>
      <c r="S92" s="906">
        <v>34278.54</v>
      </c>
      <c r="T92" s="906">
        <v>34586.33</v>
      </c>
      <c r="U92" s="906"/>
      <c r="V92" s="957">
        <f t="shared" si="41"/>
        <v>388011.4</v>
      </c>
      <c r="W92" s="905"/>
      <c r="X92" s="909">
        <f t="shared" si="42"/>
        <v>247.55001199328376</v>
      </c>
      <c r="Y92" s="906">
        <f t="shared" si="42"/>
        <v>247.10002398656752</v>
      </c>
      <c r="Z92" s="906">
        <f t="shared" si="42"/>
        <v>249.74998001119374</v>
      </c>
      <c r="AA92" s="909">
        <f t="shared" si="43"/>
        <v>244.85059263880223</v>
      </c>
      <c r="AB92" s="909">
        <f t="shared" si="43"/>
        <v>246.84996880848408</v>
      </c>
      <c r="AC92" s="909">
        <f t="shared" si="43"/>
        <v>247.84996880848408</v>
      </c>
      <c r="AD92" s="909">
        <f t="shared" si="43"/>
        <v>252.25</v>
      </c>
      <c r="AE92" s="909">
        <f t="shared" si="43"/>
        <v>254.84989082969432</v>
      </c>
      <c r="AF92" s="909">
        <f t="shared" si="43"/>
        <v>254.59996880848408</v>
      </c>
      <c r="AG92" s="909">
        <f t="shared" si="43"/>
        <v>261.41664067373671</v>
      </c>
      <c r="AH92" s="909">
        <f t="shared" si="43"/>
        <v>267.29990642545226</v>
      </c>
      <c r="AI92" s="909">
        <f t="shared" si="43"/>
        <v>269.70001559575798</v>
      </c>
      <c r="AJ92" s="907">
        <f t="shared" si="44"/>
        <v>253.67224738166172</v>
      </c>
      <c r="AN92" s="1140">
        <f t="shared" ca="1" si="45"/>
        <v>1.4874078174477225</v>
      </c>
      <c r="AP92" s="1154">
        <f t="shared" ca="1" si="46"/>
        <v>4527.7690059001943</v>
      </c>
      <c r="AR92" s="1140">
        <f t="shared" ca="1" si="47"/>
        <v>129.72740781744773</v>
      </c>
      <c r="AT92" s="1154">
        <f t="shared" ca="1" si="48"/>
        <v>392539.16900590021</v>
      </c>
    </row>
    <row r="93" spans="1:46">
      <c r="A93" s="884" t="str">
        <f t="shared" si="40"/>
        <v>PIERCE UTCCommercialFL001.5Y2W001</v>
      </c>
      <c r="B93" s="889" t="s">
        <v>2030</v>
      </c>
      <c r="C93" s="889" t="s">
        <v>2031</v>
      </c>
      <c r="D93" s="889" t="s">
        <v>411</v>
      </c>
      <c r="E93" s="883">
        <v>33000</v>
      </c>
      <c r="F93" s="904">
        <v>232.2</v>
      </c>
      <c r="G93" s="904">
        <v>238.52</v>
      </c>
      <c r="H93" s="904"/>
      <c r="I93" s="906">
        <v>4798.8</v>
      </c>
      <c r="J93" s="906">
        <v>4876.2</v>
      </c>
      <c r="K93" s="906">
        <v>4818.1499999999996</v>
      </c>
      <c r="L93" s="906">
        <v>5008.92</v>
      </c>
      <c r="M93" s="906">
        <v>5295.14</v>
      </c>
      <c r="N93" s="906">
        <v>5247.46</v>
      </c>
      <c r="O93" s="906">
        <v>5485.96</v>
      </c>
      <c r="P93" s="906">
        <v>5459.46</v>
      </c>
      <c r="Q93" s="906">
        <v>5167.9399999999996</v>
      </c>
      <c r="R93" s="906">
        <v>5247.44</v>
      </c>
      <c r="S93" s="906">
        <v>5247.44</v>
      </c>
      <c r="T93" s="906">
        <v>5247.44</v>
      </c>
      <c r="U93" s="906"/>
      <c r="V93" s="957">
        <f t="shared" si="41"/>
        <v>61900.350000000006</v>
      </c>
      <c r="W93" s="905"/>
      <c r="X93" s="909">
        <f t="shared" si="42"/>
        <v>20.666666666666668</v>
      </c>
      <c r="Y93" s="906">
        <f t="shared" si="42"/>
        <v>21</v>
      </c>
      <c r="Z93" s="906">
        <f t="shared" si="42"/>
        <v>20.75</v>
      </c>
      <c r="AA93" s="909">
        <f t="shared" si="43"/>
        <v>21</v>
      </c>
      <c r="AB93" s="909">
        <f t="shared" si="43"/>
        <v>22.199983229917827</v>
      </c>
      <c r="AC93" s="909">
        <f t="shared" si="43"/>
        <v>22.000083850410867</v>
      </c>
      <c r="AD93" s="909">
        <f t="shared" si="43"/>
        <v>23</v>
      </c>
      <c r="AE93" s="909">
        <f t="shared" si="43"/>
        <v>22.888898205601208</v>
      </c>
      <c r="AF93" s="909">
        <f t="shared" si="43"/>
        <v>21.666694616803621</v>
      </c>
      <c r="AG93" s="909">
        <f t="shared" si="43"/>
        <v>21.999999999999996</v>
      </c>
      <c r="AH93" s="909">
        <f t="shared" si="43"/>
        <v>21.999999999999996</v>
      </c>
      <c r="AI93" s="909">
        <f t="shared" si="43"/>
        <v>21.999999999999996</v>
      </c>
      <c r="AJ93" s="907">
        <f t="shared" si="44"/>
        <v>21.764360547450014</v>
      </c>
      <c r="AN93" s="1140">
        <f t="shared" ca="1" si="45"/>
        <v>2.7665043092454051</v>
      </c>
      <c r="AP93" s="1154">
        <f t="shared" ca="1" si="46"/>
        <v>722.53436690989372</v>
      </c>
      <c r="AR93" s="1140">
        <f t="shared" ca="1" si="47"/>
        <v>241.2865043092454</v>
      </c>
      <c r="AT93" s="1154">
        <f t="shared" ca="1" si="48"/>
        <v>62622.884366909901</v>
      </c>
    </row>
    <row r="94" spans="1:46">
      <c r="A94" s="884" t="str">
        <f t="shared" si="40"/>
        <v>PIERCE UTCCommercialFL001.5Y3W001</v>
      </c>
      <c r="B94" s="889" t="s">
        <v>2032</v>
      </c>
      <c r="C94" s="889" t="s">
        <v>2033</v>
      </c>
      <c r="D94" s="889" t="s">
        <v>411</v>
      </c>
      <c r="E94" s="883">
        <v>33000</v>
      </c>
      <c r="F94" s="904">
        <v>339.32</v>
      </c>
      <c r="G94" s="904">
        <v>348.81</v>
      </c>
      <c r="H94" s="904"/>
      <c r="I94" s="906">
        <v>678.64</v>
      </c>
      <c r="J94" s="906">
        <v>678.64</v>
      </c>
      <c r="K94" s="906">
        <v>678.64</v>
      </c>
      <c r="L94" s="906">
        <v>697.62</v>
      </c>
      <c r="M94" s="906">
        <v>697.62</v>
      </c>
      <c r="N94" s="906">
        <v>697.62</v>
      </c>
      <c r="O94" s="906">
        <v>697.62</v>
      </c>
      <c r="P94" s="906">
        <v>697.62</v>
      </c>
      <c r="Q94" s="906">
        <v>697.62</v>
      </c>
      <c r="R94" s="906">
        <v>697.62</v>
      </c>
      <c r="S94" s="906">
        <v>697.62</v>
      </c>
      <c r="T94" s="906">
        <v>697.62</v>
      </c>
      <c r="U94" s="906"/>
      <c r="V94" s="957">
        <f t="shared" si="41"/>
        <v>8314.5</v>
      </c>
      <c r="W94" s="905"/>
      <c r="X94" s="909">
        <f t="shared" si="42"/>
        <v>2</v>
      </c>
      <c r="Y94" s="906">
        <f t="shared" si="42"/>
        <v>2</v>
      </c>
      <c r="Z94" s="906">
        <f t="shared" si="42"/>
        <v>2</v>
      </c>
      <c r="AA94" s="909">
        <f t="shared" si="43"/>
        <v>2</v>
      </c>
      <c r="AB94" s="909">
        <f t="shared" si="43"/>
        <v>2</v>
      </c>
      <c r="AC94" s="909">
        <f t="shared" si="43"/>
        <v>2</v>
      </c>
      <c r="AD94" s="909">
        <f t="shared" si="43"/>
        <v>2</v>
      </c>
      <c r="AE94" s="909">
        <f t="shared" si="43"/>
        <v>2</v>
      </c>
      <c r="AF94" s="909">
        <f t="shared" si="43"/>
        <v>2</v>
      </c>
      <c r="AG94" s="909">
        <f t="shared" si="43"/>
        <v>2</v>
      </c>
      <c r="AH94" s="909">
        <f t="shared" si="43"/>
        <v>2</v>
      </c>
      <c r="AI94" s="909">
        <f t="shared" si="43"/>
        <v>2</v>
      </c>
      <c r="AJ94" s="907">
        <f t="shared" si="44"/>
        <v>2</v>
      </c>
      <c r="AN94" s="1140">
        <f t="shared" ca="1" si="45"/>
        <v>4.0457167873045856</v>
      </c>
      <c r="AP94" s="1154">
        <f t="shared" ca="1" si="46"/>
        <v>97.097202895310062</v>
      </c>
      <c r="AR94" s="1140">
        <f t="shared" ca="1" si="47"/>
        <v>352.85571678730457</v>
      </c>
      <c r="AT94" s="1154">
        <f t="shared" ca="1" si="48"/>
        <v>8411.5972028953092</v>
      </c>
    </row>
    <row r="95" spans="1:46">
      <c r="A95" s="884" t="str">
        <f t="shared" si="40"/>
        <v>PIERCE UTCCommercialFL002.0Y1W001</v>
      </c>
      <c r="B95" s="889" t="s">
        <v>2034</v>
      </c>
      <c r="C95" s="889" t="s">
        <v>2035</v>
      </c>
      <c r="D95" s="889" t="s">
        <v>411</v>
      </c>
      <c r="E95" s="883">
        <v>33000</v>
      </c>
      <c r="F95" s="904">
        <v>160.12</v>
      </c>
      <c r="G95" s="904">
        <v>164.24</v>
      </c>
      <c r="H95" s="904"/>
      <c r="I95" s="906">
        <v>59404.53</v>
      </c>
      <c r="J95" s="906">
        <v>59420.58</v>
      </c>
      <c r="K95" s="906">
        <v>59364.49</v>
      </c>
      <c r="L95" s="906">
        <v>61647.01</v>
      </c>
      <c r="M95" s="906">
        <v>62686.229999999996</v>
      </c>
      <c r="N95" s="906">
        <v>62052.98</v>
      </c>
      <c r="O95" s="906">
        <v>62780.74</v>
      </c>
      <c r="P95" s="906">
        <v>62345.51</v>
      </c>
      <c r="Q95" s="906">
        <v>63938.64</v>
      </c>
      <c r="R95" s="906">
        <v>64053.599999999999</v>
      </c>
      <c r="S95" s="906">
        <v>64004.32</v>
      </c>
      <c r="T95" s="906">
        <v>63593.72</v>
      </c>
      <c r="U95" s="906"/>
      <c r="V95" s="957">
        <f t="shared" si="41"/>
        <v>745292.34999999986</v>
      </c>
      <c r="W95" s="905"/>
      <c r="X95" s="909">
        <f t="shared" si="42"/>
        <v>371.00006245316013</v>
      </c>
      <c r="Y95" s="906">
        <f t="shared" si="42"/>
        <v>371.10029977516865</v>
      </c>
      <c r="Z95" s="906">
        <f t="shared" si="42"/>
        <v>370.75</v>
      </c>
      <c r="AA95" s="909">
        <f t="shared" si="43"/>
        <v>375.34711397954214</v>
      </c>
      <c r="AB95" s="909">
        <f t="shared" si="43"/>
        <v>381.67456161714557</v>
      </c>
      <c r="AC95" s="909">
        <f t="shared" si="43"/>
        <v>377.81892352654654</v>
      </c>
      <c r="AD95" s="909">
        <f t="shared" si="43"/>
        <v>382.24999999999994</v>
      </c>
      <c r="AE95" s="909">
        <f t="shared" si="43"/>
        <v>379.60003653190449</v>
      </c>
      <c r="AF95" s="909">
        <f t="shared" si="43"/>
        <v>389.30004870920601</v>
      </c>
      <c r="AG95" s="909">
        <f t="shared" si="43"/>
        <v>389.99999999999994</v>
      </c>
      <c r="AH95" s="909">
        <f t="shared" si="43"/>
        <v>389.69995129079393</v>
      </c>
      <c r="AI95" s="909">
        <f t="shared" si="43"/>
        <v>387.19995129079393</v>
      </c>
      <c r="AJ95" s="907">
        <f t="shared" si="44"/>
        <v>380.47841243118847</v>
      </c>
      <c r="AN95" s="1140">
        <f t="shared" ca="1" si="45"/>
        <v>1.9049583588397845</v>
      </c>
      <c r="AP95" s="1154">
        <f t="shared" ca="1" si="46"/>
        <v>8697.5463854266018</v>
      </c>
      <c r="AR95" s="1140">
        <f t="shared" ca="1" si="47"/>
        <v>166.1449583588398</v>
      </c>
      <c r="AT95" s="1154">
        <f t="shared" ca="1" si="48"/>
        <v>753989.89638542652</v>
      </c>
    </row>
    <row r="96" spans="1:46">
      <c r="A96" s="884" t="str">
        <f t="shared" si="40"/>
        <v>PIERCE UTCCommercialFL002.0Y2W001</v>
      </c>
      <c r="B96" s="889" t="s">
        <v>2036</v>
      </c>
      <c r="C96" s="889" t="s">
        <v>2037</v>
      </c>
      <c r="D96" s="889" t="s">
        <v>411</v>
      </c>
      <c r="E96" s="883">
        <v>33000</v>
      </c>
      <c r="F96" s="904">
        <v>301.24</v>
      </c>
      <c r="G96" s="904">
        <v>309.47000000000003</v>
      </c>
      <c r="H96" s="904"/>
      <c r="I96" s="906">
        <v>11145.88</v>
      </c>
      <c r="J96" s="906">
        <v>10769.33</v>
      </c>
      <c r="K96" s="906">
        <v>11145.88</v>
      </c>
      <c r="L96" s="906">
        <v>11607.33</v>
      </c>
      <c r="M96" s="906">
        <v>11622.32</v>
      </c>
      <c r="N96" s="906">
        <v>11691.09</v>
      </c>
      <c r="O96" s="906">
        <v>12065.15</v>
      </c>
      <c r="P96" s="906">
        <v>11815.810000000001</v>
      </c>
      <c r="Q96" s="906">
        <v>12977.11</v>
      </c>
      <c r="R96" s="906">
        <v>12920.37</v>
      </c>
      <c r="S96" s="906">
        <v>13169.67</v>
      </c>
      <c r="T96" s="906">
        <v>13375.98</v>
      </c>
      <c r="U96" s="906"/>
      <c r="V96" s="957">
        <f t="shared" si="41"/>
        <v>144305.91999999998</v>
      </c>
      <c r="W96" s="905"/>
      <c r="X96" s="909">
        <f t="shared" si="42"/>
        <v>36.999999999999993</v>
      </c>
      <c r="Y96" s="906">
        <f t="shared" si="42"/>
        <v>35.75</v>
      </c>
      <c r="Z96" s="906">
        <f t="shared" si="42"/>
        <v>36.999999999999993</v>
      </c>
      <c r="AA96" s="909">
        <f t="shared" si="43"/>
        <v>37.507125084822434</v>
      </c>
      <c r="AB96" s="909">
        <f t="shared" si="43"/>
        <v>37.555562736291073</v>
      </c>
      <c r="AC96" s="909">
        <f t="shared" si="43"/>
        <v>37.777781368145533</v>
      </c>
      <c r="AD96" s="909">
        <f t="shared" si="43"/>
        <v>38.986493036481725</v>
      </c>
      <c r="AE96" s="909">
        <f t="shared" si="43"/>
        <v>38.180792968623777</v>
      </c>
      <c r="AF96" s="909">
        <f t="shared" si="43"/>
        <v>41.933337641774642</v>
      </c>
      <c r="AG96" s="909">
        <f t="shared" si="43"/>
        <v>41.749991921672539</v>
      </c>
      <c r="AH96" s="909">
        <f t="shared" si="43"/>
        <v>42.555562736291073</v>
      </c>
      <c r="AI96" s="909">
        <f t="shared" si="43"/>
        <v>43.222218631854453</v>
      </c>
      <c r="AJ96" s="907">
        <f t="shared" si="44"/>
        <v>39.101572177163099</v>
      </c>
      <c r="AN96" s="1140">
        <f t="shared" ca="1" si="45"/>
        <v>3.5894268345722606</v>
      </c>
      <c r="AP96" s="1154">
        <f t="shared" ca="1" si="46"/>
        <v>1684.2267893600799</v>
      </c>
      <c r="AR96" s="1140">
        <f t="shared" ca="1" si="47"/>
        <v>313.05942683457226</v>
      </c>
      <c r="AT96" s="1154">
        <f t="shared" ca="1" si="48"/>
        <v>145990.14678936006</v>
      </c>
    </row>
    <row r="97" spans="1:46">
      <c r="A97" s="884" t="str">
        <f t="shared" si="40"/>
        <v>PIERCE UTCCommercialFL002.0Y3W001</v>
      </c>
      <c r="B97" s="889" t="s">
        <v>2038</v>
      </c>
      <c r="C97" s="889" t="s">
        <v>2039</v>
      </c>
      <c r="D97" s="889" t="s">
        <v>411</v>
      </c>
      <c r="E97" s="883">
        <v>33000</v>
      </c>
      <c r="F97" s="904">
        <v>442.35</v>
      </c>
      <c r="G97" s="904">
        <v>454.69</v>
      </c>
      <c r="H97" s="904"/>
      <c r="I97" s="906">
        <v>3981.15</v>
      </c>
      <c r="J97" s="906">
        <v>3981.15</v>
      </c>
      <c r="K97" s="906">
        <v>4239.1899999999996</v>
      </c>
      <c r="L97" s="906">
        <v>4546.8999999999996</v>
      </c>
      <c r="M97" s="906">
        <v>4546.8999999999996</v>
      </c>
      <c r="N97" s="906">
        <v>4839.2</v>
      </c>
      <c r="O97" s="906">
        <v>4546.8999999999996</v>
      </c>
      <c r="P97" s="906">
        <v>4936.6400000000003</v>
      </c>
      <c r="Q97" s="906">
        <v>5421.3</v>
      </c>
      <c r="R97" s="906">
        <v>4896.66</v>
      </c>
      <c r="S97" s="906">
        <v>5001.59</v>
      </c>
      <c r="T97" s="906">
        <v>5001.59</v>
      </c>
      <c r="U97" s="906"/>
      <c r="V97" s="957">
        <f t="shared" si="41"/>
        <v>55939.17</v>
      </c>
      <c r="W97" s="905"/>
      <c r="X97" s="909">
        <f t="shared" si="42"/>
        <v>9</v>
      </c>
      <c r="Y97" s="906">
        <f t="shared" si="42"/>
        <v>9</v>
      </c>
      <c r="Z97" s="906">
        <f t="shared" si="42"/>
        <v>9.5833389849666535</v>
      </c>
      <c r="AA97" s="909">
        <f t="shared" si="43"/>
        <v>10</v>
      </c>
      <c r="AB97" s="909">
        <f t="shared" si="43"/>
        <v>10</v>
      </c>
      <c r="AC97" s="909">
        <f t="shared" si="43"/>
        <v>10.642855571928127</v>
      </c>
      <c r="AD97" s="909">
        <f t="shared" si="43"/>
        <v>10</v>
      </c>
      <c r="AE97" s="909">
        <f t="shared" si="43"/>
        <v>10.857155424574986</v>
      </c>
      <c r="AF97" s="909">
        <f t="shared" si="43"/>
        <v>11.923068464228376</v>
      </c>
      <c r="AG97" s="909">
        <f t="shared" si="43"/>
        <v>10.76922738569135</v>
      </c>
      <c r="AH97" s="909">
        <f t="shared" si="43"/>
        <v>11</v>
      </c>
      <c r="AI97" s="909">
        <f t="shared" si="43"/>
        <v>11</v>
      </c>
      <c r="AJ97" s="907">
        <f t="shared" si="44"/>
        <v>10.314637152615791</v>
      </c>
      <c r="AN97" s="1140">
        <f t="shared" ca="1" si="45"/>
        <v>5.2737793240432387</v>
      </c>
      <c r="AP97" s="1154">
        <f t="shared" ca="1" si="46"/>
        <v>652.76544180568067</v>
      </c>
      <c r="AR97" s="1140">
        <f t="shared" ca="1" si="47"/>
        <v>459.96377932404323</v>
      </c>
      <c r="AT97" s="1154">
        <f t="shared" ca="1" si="48"/>
        <v>56591.935441805676</v>
      </c>
    </row>
    <row r="98" spans="1:46">
      <c r="A98" s="884" t="str">
        <f t="shared" si="40"/>
        <v>PIERCE UTCCommercialFL003.0Y1W001</v>
      </c>
      <c r="B98" s="889" t="s">
        <v>2040</v>
      </c>
      <c r="C98" s="889" t="s">
        <v>2041</v>
      </c>
      <c r="D98" s="889" t="s">
        <v>411</v>
      </c>
      <c r="E98" s="883">
        <v>33000</v>
      </c>
      <c r="F98" s="904">
        <v>223.58</v>
      </c>
      <c r="G98" s="904">
        <v>229.55</v>
      </c>
      <c r="H98" s="904"/>
      <c r="I98" s="906">
        <v>30026.79</v>
      </c>
      <c r="J98" s="906">
        <v>30272.73</v>
      </c>
      <c r="K98" s="906">
        <v>29792.03</v>
      </c>
      <c r="L98" s="906">
        <v>30332.36</v>
      </c>
      <c r="M98" s="906">
        <v>28815.439999999999</v>
      </c>
      <c r="N98" s="906">
        <v>27259.989999999998</v>
      </c>
      <c r="O98" s="906">
        <v>29267.63</v>
      </c>
      <c r="P98" s="906">
        <v>29325.01</v>
      </c>
      <c r="Q98" s="906">
        <v>29198.76</v>
      </c>
      <c r="R98" s="906">
        <v>29669.34</v>
      </c>
      <c r="S98" s="906">
        <v>29749.68</v>
      </c>
      <c r="T98" s="906">
        <v>29726.73</v>
      </c>
      <c r="U98" s="906"/>
      <c r="V98" s="957">
        <f t="shared" si="41"/>
        <v>353436.49</v>
      </c>
      <c r="W98" s="905"/>
      <c r="X98" s="909">
        <f t="shared" si="42"/>
        <v>134.29998210931211</v>
      </c>
      <c r="Y98" s="906">
        <f t="shared" si="42"/>
        <v>135.39999105465606</v>
      </c>
      <c r="Z98" s="906">
        <f t="shared" si="42"/>
        <v>133.24997763664012</v>
      </c>
      <c r="AA98" s="909">
        <f t="shared" si="43"/>
        <v>132.13835765628403</v>
      </c>
      <c r="AB98" s="909">
        <f t="shared" si="43"/>
        <v>125.5301241559573</v>
      </c>
      <c r="AC98" s="909">
        <f t="shared" si="43"/>
        <v>118.75404051404921</v>
      </c>
      <c r="AD98" s="909">
        <f t="shared" si="43"/>
        <v>127.5000217817469</v>
      </c>
      <c r="AE98" s="909">
        <f t="shared" si="43"/>
        <v>127.74998910912655</v>
      </c>
      <c r="AF98" s="909">
        <f t="shared" si="43"/>
        <v>127.19999999999999</v>
      </c>
      <c r="AG98" s="909">
        <f t="shared" si="43"/>
        <v>129.25001089087345</v>
      </c>
      <c r="AH98" s="909">
        <f t="shared" si="43"/>
        <v>129.6</v>
      </c>
      <c r="AI98" s="909">
        <f t="shared" si="43"/>
        <v>129.50002178174688</v>
      </c>
      <c r="AJ98" s="907">
        <f t="shared" si="44"/>
        <v>129.18104305753272</v>
      </c>
      <c r="AN98" s="1140">
        <f t="shared" ca="1" si="45"/>
        <v>2.6624646326818833</v>
      </c>
      <c r="AP98" s="1154">
        <f t="shared" ca="1" si="46"/>
        <v>4127.279500243636</v>
      </c>
      <c r="AR98" s="1140">
        <f t="shared" ca="1" si="47"/>
        <v>232.2124646326819</v>
      </c>
      <c r="AT98" s="1154">
        <f t="shared" ca="1" si="48"/>
        <v>357563.76950024365</v>
      </c>
    </row>
    <row r="99" spans="1:46">
      <c r="A99" s="884" t="str">
        <f t="shared" si="40"/>
        <v>PIERCE UTCCommercialFL003.0Y2W001</v>
      </c>
      <c r="B99" s="889" t="s">
        <v>2042</v>
      </c>
      <c r="C99" s="889" t="s">
        <v>2043</v>
      </c>
      <c r="D99" s="889" t="s">
        <v>411</v>
      </c>
      <c r="E99" s="883">
        <v>33000</v>
      </c>
      <c r="F99" s="904">
        <v>423.41</v>
      </c>
      <c r="G99" s="904">
        <v>435.36</v>
      </c>
      <c r="H99" s="904"/>
      <c r="I99" s="906">
        <v>7576.65</v>
      </c>
      <c r="J99" s="906">
        <v>8512.93</v>
      </c>
      <c r="K99" s="906">
        <v>7742.35</v>
      </c>
      <c r="L99" s="906">
        <v>7836.48</v>
      </c>
      <c r="M99" s="906">
        <v>7836.48</v>
      </c>
      <c r="N99" s="906">
        <v>10025.66</v>
      </c>
      <c r="O99" s="906">
        <v>7803.7</v>
      </c>
      <c r="P99" s="906">
        <v>8707.2000000000007</v>
      </c>
      <c r="Q99" s="906">
        <v>9045.81</v>
      </c>
      <c r="R99" s="906">
        <v>8707.2000000000007</v>
      </c>
      <c r="S99" s="906">
        <v>8707.2000000000007</v>
      </c>
      <c r="T99" s="906">
        <v>8707.2000000000007</v>
      </c>
      <c r="U99" s="906"/>
      <c r="V99" s="957">
        <f t="shared" si="41"/>
        <v>101208.85999999999</v>
      </c>
      <c r="W99" s="905"/>
      <c r="X99" s="909">
        <f t="shared" si="42"/>
        <v>17.894357714744572</v>
      </c>
      <c r="Y99" s="906">
        <f t="shared" si="42"/>
        <v>20.105642285255424</v>
      </c>
      <c r="Z99" s="906">
        <f t="shared" si="42"/>
        <v>18.285704163812852</v>
      </c>
      <c r="AA99" s="909">
        <f t="shared" si="43"/>
        <v>18</v>
      </c>
      <c r="AB99" s="909">
        <f t="shared" si="43"/>
        <v>18</v>
      </c>
      <c r="AC99" s="909">
        <f t="shared" si="43"/>
        <v>23.028436236677692</v>
      </c>
      <c r="AD99" s="909">
        <f t="shared" si="43"/>
        <v>17.924705990444689</v>
      </c>
      <c r="AE99" s="909">
        <f t="shared" si="43"/>
        <v>20</v>
      </c>
      <c r="AF99" s="909">
        <f t="shared" si="43"/>
        <v>20.777770121278941</v>
      </c>
      <c r="AG99" s="909">
        <f t="shared" si="43"/>
        <v>20</v>
      </c>
      <c r="AH99" s="909">
        <f t="shared" si="43"/>
        <v>20</v>
      </c>
      <c r="AI99" s="909">
        <f t="shared" si="43"/>
        <v>20</v>
      </c>
      <c r="AJ99" s="907">
        <f t="shared" si="44"/>
        <v>19.501384709351182</v>
      </c>
      <c r="AN99" s="1140">
        <f t="shared" ca="1" si="45"/>
        <v>5.0495778805680009</v>
      </c>
      <c r="AP99" s="1154">
        <f t="shared" ca="1" si="46"/>
        <v>1181.6851304254412</v>
      </c>
      <c r="AR99" s="1140">
        <f t="shared" ca="1" si="47"/>
        <v>440.40957788056801</v>
      </c>
      <c r="AT99" s="1154">
        <f t="shared" ca="1" si="48"/>
        <v>102390.54513042542</v>
      </c>
    </row>
    <row r="100" spans="1:46">
      <c r="A100" s="884" t="str">
        <f t="shared" si="40"/>
        <v>PIERCE UTCCommercialFL003.0Y3W001</v>
      </c>
      <c r="B100" s="889" t="s">
        <v>2044</v>
      </c>
      <c r="C100" s="889" t="s">
        <v>2045</v>
      </c>
      <c r="D100" s="889" t="s">
        <v>411</v>
      </c>
      <c r="E100" s="883">
        <v>33000</v>
      </c>
      <c r="F100" s="904">
        <v>623.24</v>
      </c>
      <c r="G100" s="904">
        <v>641.16</v>
      </c>
      <c r="H100" s="904"/>
      <c r="I100" s="906">
        <v>2492.96</v>
      </c>
      <c r="J100" s="906">
        <v>2492.96</v>
      </c>
      <c r="K100" s="906">
        <v>3116.2</v>
      </c>
      <c r="L100" s="906">
        <v>3205.8</v>
      </c>
      <c r="M100" s="906">
        <v>3205.8</v>
      </c>
      <c r="N100" s="906">
        <v>3205.8</v>
      </c>
      <c r="O100" s="906">
        <v>3205.8</v>
      </c>
      <c r="P100" s="906">
        <v>3205.8</v>
      </c>
      <c r="Q100" s="906">
        <v>2712.6</v>
      </c>
      <c r="R100" s="906">
        <v>2564.64</v>
      </c>
      <c r="S100" s="906">
        <v>2564.64</v>
      </c>
      <c r="T100" s="906">
        <v>2564.64</v>
      </c>
      <c r="U100" s="906"/>
      <c r="V100" s="957">
        <f t="shared" si="41"/>
        <v>34537.64</v>
      </c>
      <c r="W100" s="905"/>
      <c r="X100" s="909">
        <f t="shared" si="42"/>
        <v>4</v>
      </c>
      <c r="Y100" s="906">
        <f t="shared" si="42"/>
        <v>4</v>
      </c>
      <c r="Z100" s="906">
        <f t="shared" si="42"/>
        <v>5</v>
      </c>
      <c r="AA100" s="909">
        <f t="shared" si="43"/>
        <v>5.0000000000000009</v>
      </c>
      <c r="AB100" s="909">
        <f t="shared" si="43"/>
        <v>5.0000000000000009</v>
      </c>
      <c r="AC100" s="909">
        <f t="shared" si="43"/>
        <v>5.0000000000000009</v>
      </c>
      <c r="AD100" s="909">
        <f t="shared" si="43"/>
        <v>5.0000000000000009</v>
      </c>
      <c r="AE100" s="909">
        <f t="shared" si="43"/>
        <v>5.0000000000000009</v>
      </c>
      <c r="AF100" s="909">
        <f t="shared" si="43"/>
        <v>4.2307692307692308</v>
      </c>
      <c r="AG100" s="909">
        <f t="shared" si="43"/>
        <v>4</v>
      </c>
      <c r="AH100" s="909">
        <f t="shared" si="43"/>
        <v>4</v>
      </c>
      <c r="AI100" s="909">
        <f t="shared" si="43"/>
        <v>4</v>
      </c>
      <c r="AJ100" s="907">
        <f t="shared" si="44"/>
        <v>4.5192307692307692</v>
      </c>
      <c r="AN100" s="1140">
        <f t="shared" ca="1" si="45"/>
        <v>7.4365751421926207</v>
      </c>
      <c r="AP100" s="1154">
        <f t="shared" ca="1" si="46"/>
        <v>403.29119040352282</v>
      </c>
      <c r="AR100" s="1140">
        <f t="shared" ca="1" si="47"/>
        <v>648.59657514219259</v>
      </c>
      <c r="AT100" s="1154">
        <f t="shared" ca="1" si="48"/>
        <v>34940.93119040352</v>
      </c>
    </row>
    <row r="101" spans="1:46">
      <c r="A101" s="884" t="str">
        <f t="shared" si="40"/>
        <v>PIERCE UTCCommercialFL003.0Y4W001</v>
      </c>
      <c r="B101" s="889" t="s">
        <v>2046</v>
      </c>
      <c r="C101" s="889" t="str">
        <f>VLOOKUP(B101,'[45]PI default bill area pricing'!G:H,2,FALSE)</f>
        <v>3 YD 4X WK 1</v>
      </c>
      <c r="D101" s="889"/>
      <c r="F101" s="904">
        <v>823.07</v>
      </c>
      <c r="G101" s="904">
        <v>846.97</v>
      </c>
      <c r="H101" s="904"/>
      <c r="I101" s="906">
        <v>1646.14</v>
      </c>
      <c r="J101" s="906">
        <v>1508.96</v>
      </c>
      <c r="K101" s="906">
        <v>823.07</v>
      </c>
      <c r="L101" s="906">
        <v>846.97</v>
      </c>
      <c r="M101" s="906">
        <v>846.97</v>
      </c>
      <c r="N101" s="906">
        <v>846.97</v>
      </c>
      <c r="O101" s="906">
        <v>846.97</v>
      </c>
      <c r="P101" s="906">
        <v>846.97</v>
      </c>
      <c r="Q101" s="906">
        <v>0</v>
      </c>
      <c r="R101" s="906">
        <v>0</v>
      </c>
      <c r="S101" s="906">
        <v>0</v>
      </c>
      <c r="T101" s="906">
        <v>0</v>
      </c>
      <c r="U101" s="906"/>
      <c r="V101" s="957">
        <f t="shared" si="41"/>
        <v>8213.02</v>
      </c>
      <c r="W101" s="905"/>
      <c r="X101" s="909">
        <f t="shared" si="42"/>
        <v>2</v>
      </c>
      <c r="Y101" s="906">
        <f t="shared" si="42"/>
        <v>1.8333313083941827</v>
      </c>
      <c r="Z101" s="906">
        <f t="shared" si="42"/>
        <v>1</v>
      </c>
      <c r="AA101" s="909">
        <f t="shared" si="43"/>
        <v>1</v>
      </c>
      <c r="AB101" s="909">
        <f t="shared" si="43"/>
        <v>1</v>
      </c>
      <c r="AC101" s="909">
        <f t="shared" si="43"/>
        <v>1</v>
      </c>
      <c r="AD101" s="909">
        <f t="shared" si="43"/>
        <v>1</v>
      </c>
      <c r="AE101" s="909">
        <f t="shared" si="43"/>
        <v>1</v>
      </c>
      <c r="AF101" s="909">
        <f t="shared" si="43"/>
        <v>0</v>
      </c>
      <c r="AG101" s="909">
        <f t="shared" si="43"/>
        <v>0</v>
      </c>
      <c r="AH101" s="909">
        <f t="shared" si="43"/>
        <v>0</v>
      </c>
      <c r="AI101" s="909">
        <f t="shared" si="43"/>
        <v>0</v>
      </c>
      <c r="AJ101" s="907">
        <f t="shared" si="44"/>
        <v>0.81944427569951517</v>
      </c>
      <c r="AN101" s="1140">
        <f t="shared" ca="1" si="45"/>
        <v>9.8236883900787397</v>
      </c>
      <c r="AP101" s="1154">
        <f t="shared" ca="1" si="46"/>
        <v>96.599582610069717</v>
      </c>
      <c r="AR101" s="1140">
        <f t="shared" ca="1" si="47"/>
        <v>856.79368839007873</v>
      </c>
      <c r="AT101" s="1154">
        <f t="shared" ca="1" si="48"/>
        <v>8309.6195826100702</v>
      </c>
    </row>
    <row r="102" spans="1:46">
      <c r="A102" s="884" t="str">
        <f t="shared" si="40"/>
        <v>PIERCE UTCCommercialFL004.0Y1W001</v>
      </c>
      <c r="B102" s="889" t="s">
        <v>2047</v>
      </c>
      <c r="C102" s="889" t="s">
        <v>2048</v>
      </c>
      <c r="D102" s="889" t="s">
        <v>411</v>
      </c>
      <c r="E102" s="883">
        <v>33000</v>
      </c>
      <c r="F102" s="904">
        <v>294.27999999999997</v>
      </c>
      <c r="G102" s="904">
        <v>302.02999999999997</v>
      </c>
      <c r="H102" s="904"/>
      <c r="I102" s="906">
        <v>47967.64</v>
      </c>
      <c r="J102" s="906">
        <v>46510.96</v>
      </c>
      <c r="K102" s="906">
        <v>46790.52</v>
      </c>
      <c r="L102" s="906">
        <v>48098.28</v>
      </c>
      <c r="M102" s="906">
        <v>48279.5</v>
      </c>
      <c r="N102" s="906">
        <v>47373.41</v>
      </c>
      <c r="O102" s="906">
        <v>47418.71</v>
      </c>
      <c r="P102" s="906">
        <v>46890.16</v>
      </c>
      <c r="Q102" s="906">
        <v>48068.07</v>
      </c>
      <c r="R102" s="906">
        <v>48717.46</v>
      </c>
      <c r="S102" s="906">
        <v>48022.77</v>
      </c>
      <c r="T102" s="906">
        <v>47781.15</v>
      </c>
      <c r="U102" s="906"/>
      <c r="V102" s="957">
        <f t="shared" si="41"/>
        <v>571918.63000000012</v>
      </c>
      <c r="W102" s="905"/>
      <c r="X102" s="909">
        <f t="shared" si="42"/>
        <v>163</v>
      </c>
      <c r="Y102" s="906">
        <f t="shared" si="42"/>
        <v>158.05002038874542</v>
      </c>
      <c r="Z102" s="906">
        <f t="shared" si="42"/>
        <v>159</v>
      </c>
      <c r="AA102" s="909">
        <f t="shared" si="43"/>
        <v>159.25000827732345</v>
      </c>
      <c r="AB102" s="909">
        <f t="shared" si="43"/>
        <v>159.85001489918221</v>
      </c>
      <c r="AC102" s="909">
        <f t="shared" si="43"/>
        <v>156.85001489918221</v>
      </c>
      <c r="AD102" s="909">
        <f t="shared" si="43"/>
        <v>157</v>
      </c>
      <c r="AE102" s="909">
        <f t="shared" si="43"/>
        <v>155.25000827732347</v>
      </c>
      <c r="AF102" s="909">
        <f t="shared" si="43"/>
        <v>159.14998510081782</v>
      </c>
      <c r="AG102" s="909">
        <f t="shared" si="43"/>
        <v>161.30006952951695</v>
      </c>
      <c r="AH102" s="909">
        <f t="shared" si="43"/>
        <v>159</v>
      </c>
      <c r="AI102" s="909">
        <f t="shared" si="43"/>
        <v>158.20001324371754</v>
      </c>
      <c r="AJ102" s="907">
        <f t="shared" si="44"/>
        <v>158.8250112179841</v>
      </c>
      <c r="AN102" s="1140">
        <f t="shared" ca="1" si="45"/>
        <v>3.5031330560179006</v>
      </c>
      <c r="AP102" s="1154">
        <f t="shared" ca="1" si="46"/>
        <v>6676.6217630416068</v>
      </c>
      <c r="AR102" s="1140">
        <f t="shared" ca="1" si="47"/>
        <v>305.53313305601785</v>
      </c>
      <c r="AT102" s="1154">
        <f t="shared" ca="1" si="48"/>
        <v>578595.25176304171</v>
      </c>
    </row>
    <row r="103" spans="1:46">
      <c r="A103" s="884" t="str">
        <f t="shared" si="40"/>
        <v>PIERCE UTCCommercialFL004.0Y2W001</v>
      </c>
      <c r="B103" s="889" t="s">
        <v>2049</v>
      </c>
      <c r="C103" s="889" t="s">
        <v>2050</v>
      </c>
      <c r="D103" s="889" t="s">
        <v>411</v>
      </c>
      <c r="E103" s="883">
        <v>33000</v>
      </c>
      <c r="F103" s="904">
        <v>563.21</v>
      </c>
      <c r="G103" s="904">
        <v>578.71</v>
      </c>
      <c r="H103" s="904"/>
      <c r="I103" s="906">
        <v>19149.14</v>
      </c>
      <c r="J103" s="906">
        <v>20838.77</v>
      </c>
      <c r="K103" s="906">
        <v>19712.349999999999</v>
      </c>
      <c r="L103" s="906">
        <v>20167.009999999998</v>
      </c>
      <c r="M103" s="906">
        <v>20367.95</v>
      </c>
      <c r="N103" s="906">
        <v>20818.060000000001</v>
      </c>
      <c r="O103" s="906">
        <v>20818.060000000001</v>
      </c>
      <c r="P103" s="906">
        <v>19676.14</v>
      </c>
      <c r="Q103" s="906">
        <v>19531.46</v>
      </c>
      <c r="R103" s="906">
        <v>19643.990000000002</v>
      </c>
      <c r="S103" s="906">
        <v>19997.650000000001</v>
      </c>
      <c r="T103" s="906">
        <v>19748.48</v>
      </c>
      <c r="U103" s="906"/>
      <c r="V103" s="957">
        <f t="shared" si="41"/>
        <v>240469.05999999997</v>
      </c>
      <c r="W103" s="905"/>
      <c r="X103" s="909">
        <f t="shared" si="42"/>
        <v>34</v>
      </c>
      <c r="Y103" s="906">
        <f t="shared" si="42"/>
        <v>37</v>
      </c>
      <c r="Z103" s="906">
        <f t="shared" si="42"/>
        <v>34.999999999999993</v>
      </c>
      <c r="AA103" s="909">
        <f t="shared" si="43"/>
        <v>34.848214131430247</v>
      </c>
      <c r="AB103" s="909">
        <f t="shared" si="43"/>
        <v>35.195434673670746</v>
      </c>
      <c r="AC103" s="909">
        <f t="shared" si="43"/>
        <v>35.97321629140675</v>
      </c>
      <c r="AD103" s="909">
        <f t="shared" si="43"/>
        <v>35.97321629140675</v>
      </c>
      <c r="AE103" s="909">
        <f t="shared" si="43"/>
        <v>34</v>
      </c>
      <c r="AF103" s="909">
        <f t="shared" si="43"/>
        <v>33.749995680047</v>
      </c>
      <c r="AG103" s="909">
        <f t="shared" si="43"/>
        <v>33.944445404433999</v>
      </c>
      <c r="AH103" s="909">
        <f t="shared" si="43"/>
        <v>34.555563235472</v>
      </c>
      <c r="AI103" s="909">
        <f t="shared" si="43"/>
        <v>34.125002159976496</v>
      </c>
      <c r="AJ103" s="907">
        <f t="shared" si="44"/>
        <v>34.863757322320332</v>
      </c>
      <c r="AN103" s="1140">
        <f t="shared" ca="1" si="45"/>
        <v>6.7122409391388924</v>
      </c>
      <c r="AP103" s="1154">
        <f t="shared" ca="1" si="46"/>
        <v>2808.1672702929827</v>
      </c>
      <c r="AR103" s="1140">
        <f t="shared" ca="1" si="47"/>
        <v>585.42224093913887</v>
      </c>
      <c r="AT103" s="1154">
        <f t="shared" ca="1" si="48"/>
        <v>243277.22727029296</v>
      </c>
    </row>
    <row r="104" spans="1:46">
      <c r="A104" s="884" t="str">
        <f t="shared" si="40"/>
        <v>PIERCE UTCCommercialFL004.0Y3W001</v>
      </c>
      <c r="B104" s="889" t="s">
        <v>2051</v>
      </c>
      <c r="C104" s="889" t="s">
        <v>2052</v>
      </c>
      <c r="D104" s="889" t="s">
        <v>411</v>
      </c>
      <c r="E104" s="883">
        <v>33000</v>
      </c>
      <c r="F104" s="904">
        <v>832.15</v>
      </c>
      <c r="G104" s="904">
        <v>855.4</v>
      </c>
      <c r="H104" s="904"/>
      <c r="I104" s="906">
        <v>9153.65</v>
      </c>
      <c r="J104" s="906">
        <v>7489.3499999999995</v>
      </c>
      <c r="K104" s="906">
        <v>9153.65</v>
      </c>
      <c r="L104" s="906">
        <v>9409.4</v>
      </c>
      <c r="M104" s="906">
        <v>9409.4</v>
      </c>
      <c r="N104" s="906">
        <v>9409.4</v>
      </c>
      <c r="O104" s="906">
        <v>9409.4</v>
      </c>
      <c r="P104" s="906">
        <v>9348.2999999999993</v>
      </c>
      <c r="Q104" s="906">
        <v>9264.64</v>
      </c>
      <c r="R104" s="906">
        <v>9935.7999999999993</v>
      </c>
      <c r="S104" s="906">
        <v>9409.4</v>
      </c>
      <c r="T104" s="906">
        <v>9409.4</v>
      </c>
      <c r="U104" s="906"/>
      <c r="V104" s="957">
        <f t="shared" si="41"/>
        <v>110801.79</v>
      </c>
      <c r="W104" s="905"/>
      <c r="X104" s="909">
        <f t="shared" si="42"/>
        <v>11</v>
      </c>
      <c r="Y104" s="906">
        <f t="shared" si="42"/>
        <v>9</v>
      </c>
      <c r="Z104" s="906">
        <f t="shared" si="42"/>
        <v>11</v>
      </c>
      <c r="AA104" s="909">
        <f t="shared" si="43"/>
        <v>11</v>
      </c>
      <c r="AB104" s="909">
        <f t="shared" si="43"/>
        <v>11</v>
      </c>
      <c r="AC104" s="909">
        <f t="shared" si="43"/>
        <v>11</v>
      </c>
      <c r="AD104" s="909">
        <f t="shared" si="43"/>
        <v>11</v>
      </c>
      <c r="AE104" s="909">
        <f t="shared" si="43"/>
        <v>10.928571428571429</v>
      </c>
      <c r="AF104" s="909">
        <f t="shared" si="43"/>
        <v>10.83076923076923</v>
      </c>
      <c r="AG104" s="909">
        <f t="shared" si="43"/>
        <v>11.615384615384615</v>
      </c>
      <c r="AH104" s="909">
        <f t="shared" si="43"/>
        <v>11</v>
      </c>
      <c r="AI104" s="909">
        <f t="shared" si="43"/>
        <v>11</v>
      </c>
      <c r="AJ104" s="907">
        <f t="shared" si="44"/>
        <v>10.86456043956044</v>
      </c>
      <c r="AN104" s="1140">
        <f t="shared" ca="1" si="45"/>
        <v>9.9214648085213799</v>
      </c>
      <c r="AP104" s="1154">
        <f t="shared" ca="1" si="46"/>
        <v>1293.5082487338298</v>
      </c>
      <c r="AR104" s="1140">
        <f t="shared" ca="1" si="47"/>
        <v>865.32146480852134</v>
      </c>
      <c r="AT104" s="1154">
        <f t="shared" ca="1" si="48"/>
        <v>112095.29824873383</v>
      </c>
    </row>
    <row r="105" spans="1:46">
      <c r="A105" s="884" t="str">
        <f t="shared" si="40"/>
        <v>PIERCE UTCCommercialFL004.0Y4W001</v>
      </c>
      <c r="B105" s="889" t="s">
        <v>2053</v>
      </c>
      <c r="C105" s="889" t="s">
        <v>2054</v>
      </c>
      <c r="D105" s="889" t="s">
        <v>411</v>
      </c>
      <c r="E105" s="883">
        <v>33000</v>
      </c>
      <c r="F105" s="904">
        <v>1101.0899999999999</v>
      </c>
      <c r="G105" s="904">
        <v>1132.0899999999999</v>
      </c>
      <c r="H105" s="904"/>
      <c r="I105" s="906">
        <v>0</v>
      </c>
      <c r="J105" s="906">
        <v>0</v>
      </c>
      <c r="K105" s="906">
        <v>0</v>
      </c>
      <c r="L105" s="906">
        <v>0</v>
      </c>
      <c r="M105" s="906">
        <v>0</v>
      </c>
      <c r="N105" s="906">
        <v>0</v>
      </c>
      <c r="O105" s="906">
        <v>0</v>
      </c>
      <c r="P105" s="906">
        <v>0</v>
      </c>
      <c r="Q105" s="906">
        <v>440.26</v>
      </c>
      <c r="R105" s="906">
        <v>0</v>
      </c>
      <c r="S105" s="906">
        <v>0</v>
      </c>
      <c r="T105" s="906">
        <v>0</v>
      </c>
      <c r="U105" s="906"/>
      <c r="V105" s="957">
        <f t="shared" si="41"/>
        <v>440.26</v>
      </c>
      <c r="W105" s="905"/>
      <c r="X105" s="909">
        <f t="shared" si="42"/>
        <v>0</v>
      </c>
      <c r="Y105" s="906">
        <f t="shared" si="42"/>
        <v>0</v>
      </c>
      <c r="Z105" s="906">
        <f t="shared" si="42"/>
        <v>0</v>
      </c>
      <c r="AA105" s="909">
        <f t="shared" si="43"/>
        <v>0</v>
      </c>
      <c r="AB105" s="909">
        <f t="shared" si="43"/>
        <v>0</v>
      </c>
      <c r="AC105" s="909">
        <f t="shared" si="43"/>
        <v>0</v>
      </c>
      <c r="AD105" s="909">
        <f t="shared" si="43"/>
        <v>0</v>
      </c>
      <c r="AE105" s="909">
        <f t="shared" si="43"/>
        <v>0</v>
      </c>
      <c r="AF105" s="909">
        <f t="shared" si="43"/>
        <v>0.3888913425611038</v>
      </c>
      <c r="AG105" s="909">
        <f t="shared" si="43"/>
        <v>0</v>
      </c>
      <c r="AH105" s="909">
        <f t="shared" si="43"/>
        <v>0</v>
      </c>
      <c r="AI105" s="909">
        <f t="shared" si="43"/>
        <v>0</v>
      </c>
      <c r="AJ105" s="907">
        <f t="shared" si="44"/>
        <v>3.2407611880091981E-2</v>
      </c>
      <c r="AN105" s="1140">
        <f t="shared" ca="1" si="45"/>
        <v>13.130688677903867</v>
      </c>
      <c r="AP105" s="1154">
        <f t="shared" ca="1" si="46"/>
        <v>5.1064111487019197</v>
      </c>
      <c r="AR105" s="1140">
        <f t="shared" ca="1" si="47"/>
        <v>1145.2206886779038</v>
      </c>
      <c r="AT105" s="1154">
        <f t="shared" ca="1" si="48"/>
        <v>445.3664111487019</v>
      </c>
    </row>
    <row r="106" spans="1:46">
      <c r="A106" s="884" t="str">
        <f t="shared" si="40"/>
        <v>PIERCE UTCCommercialFL004.0Y5W001</v>
      </c>
      <c r="B106" s="889" t="s">
        <v>2055</v>
      </c>
      <c r="C106" s="889" t="s">
        <v>2056</v>
      </c>
      <c r="D106" s="889" t="s">
        <v>411</v>
      </c>
      <c r="E106" s="883">
        <v>33000</v>
      </c>
      <c r="F106" s="904">
        <v>1370.02</v>
      </c>
      <c r="G106" s="904">
        <v>1408.78</v>
      </c>
      <c r="H106" s="904"/>
      <c r="I106" s="906">
        <v>0</v>
      </c>
      <c r="J106" s="906">
        <v>0</v>
      </c>
      <c r="K106" s="906">
        <v>0</v>
      </c>
      <c r="L106" s="906">
        <v>0</v>
      </c>
      <c r="M106" s="906">
        <v>0</v>
      </c>
      <c r="N106" s="906">
        <v>0</v>
      </c>
      <c r="O106" s="906">
        <v>0</v>
      </c>
      <c r="P106" s="906">
        <v>0</v>
      </c>
      <c r="Q106" s="906">
        <v>0</v>
      </c>
      <c r="R106" s="906">
        <v>0</v>
      </c>
      <c r="S106" s="906">
        <v>0</v>
      </c>
      <c r="T106" s="906">
        <v>0</v>
      </c>
      <c r="U106" s="906"/>
      <c r="V106" s="957">
        <f t="shared" si="41"/>
        <v>0</v>
      </c>
      <c r="W106" s="905"/>
      <c r="X106" s="909">
        <f t="shared" si="42"/>
        <v>0</v>
      </c>
      <c r="Y106" s="906">
        <f t="shared" si="42"/>
        <v>0</v>
      </c>
      <c r="Z106" s="906">
        <f t="shared" si="42"/>
        <v>0</v>
      </c>
      <c r="AA106" s="909">
        <f t="shared" si="43"/>
        <v>0</v>
      </c>
      <c r="AB106" s="909">
        <f t="shared" si="43"/>
        <v>0</v>
      </c>
      <c r="AC106" s="909">
        <f t="shared" si="43"/>
        <v>0</v>
      </c>
      <c r="AD106" s="909">
        <f t="shared" si="43"/>
        <v>0</v>
      </c>
      <c r="AE106" s="909">
        <f t="shared" si="43"/>
        <v>0</v>
      </c>
      <c r="AF106" s="909">
        <f t="shared" si="43"/>
        <v>0</v>
      </c>
      <c r="AG106" s="909">
        <f t="shared" si="43"/>
        <v>0</v>
      </c>
      <c r="AH106" s="909">
        <f t="shared" si="43"/>
        <v>0</v>
      </c>
      <c r="AI106" s="909">
        <f t="shared" si="43"/>
        <v>0</v>
      </c>
      <c r="AJ106" s="907">
        <f t="shared" si="44"/>
        <v>0</v>
      </c>
      <c r="AN106" s="1140">
        <f t="shared" ca="1" si="45"/>
        <v>16.339912547286357</v>
      </c>
      <c r="AP106" s="1154">
        <f t="shared" ca="1" si="46"/>
        <v>0</v>
      </c>
      <c r="AR106" s="1140">
        <f t="shared" ca="1" si="47"/>
        <v>1425.1199125472863</v>
      </c>
      <c r="AT106" s="1154">
        <f t="shared" ca="1" si="48"/>
        <v>0</v>
      </c>
    </row>
    <row r="107" spans="1:46">
      <c r="A107" s="884" t="str">
        <f t="shared" si="40"/>
        <v>PIERCE UTCCommercialFL006.0Y1W001</v>
      </c>
      <c r="B107" s="889" t="s">
        <v>2057</v>
      </c>
      <c r="C107" s="889" t="s">
        <v>2058</v>
      </c>
      <c r="D107" s="889" t="s">
        <v>411</v>
      </c>
      <c r="E107" s="883">
        <v>33000</v>
      </c>
      <c r="F107" s="904">
        <v>402.93</v>
      </c>
      <c r="G107" s="904">
        <v>413.59</v>
      </c>
      <c r="H107" s="904"/>
      <c r="I107" s="906">
        <v>58505.440000000002</v>
      </c>
      <c r="J107" s="906">
        <v>58948.66</v>
      </c>
      <c r="K107" s="906">
        <v>58727.05</v>
      </c>
      <c r="L107" s="906">
        <v>61843.89</v>
      </c>
      <c r="M107" s="906">
        <v>63506.75</v>
      </c>
      <c r="N107" s="906">
        <v>65905.570000000007</v>
      </c>
      <c r="O107" s="906">
        <v>67415.179999999993</v>
      </c>
      <c r="P107" s="906">
        <v>67332.45</v>
      </c>
      <c r="Q107" s="906">
        <v>65119.75</v>
      </c>
      <c r="R107" s="906">
        <v>62555.53</v>
      </c>
      <c r="S107" s="906">
        <v>61438.79</v>
      </c>
      <c r="T107" s="906">
        <v>60384.18</v>
      </c>
      <c r="U107" s="906"/>
      <c r="V107" s="957">
        <f t="shared" si="41"/>
        <v>751683.24000000011</v>
      </c>
      <c r="W107" s="905"/>
      <c r="X107" s="909">
        <f t="shared" si="42"/>
        <v>145.20000992728265</v>
      </c>
      <c r="Y107" s="906">
        <f t="shared" si="42"/>
        <v>146.30000248182068</v>
      </c>
      <c r="Z107" s="906">
        <f t="shared" si="42"/>
        <v>145.75000620455165</v>
      </c>
      <c r="AA107" s="909">
        <f t="shared" si="43"/>
        <v>149.5294615440412</v>
      </c>
      <c r="AB107" s="909">
        <f t="shared" si="43"/>
        <v>153.55001329819387</v>
      </c>
      <c r="AC107" s="909">
        <f t="shared" si="43"/>
        <v>159.35000846248704</v>
      </c>
      <c r="AD107" s="909">
        <f t="shared" si="43"/>
        <v>163.00002417853429</v>
      </c>
      <c r="AE107" s="909">
        <f t="shared" si="43"/>
        <v>162.79999516429314</v>
      </c>
      <c r="AF107" s="909">
        <f t="shared" si="43"/>
        <v>157.45001088034044</v>
      </c>
      <c r="AG107" s="909">
        <f t="shared" si="43"/>
        <v>151.25010275877077</v>
      </c>
      <c r="AH107" s="909">
        <f t="shared" si="43"/>
        <v>148.54998911965959</v>
      </c>
      <c r="AI107" s="909">
        <f t="shared" si="43"/>
        <v>146.00009671413719</v>
      </c>
      <c r="AJ107" s="907">
        <f t="shared" si="44"/>
        <v>152.39414339450937</v>
      </c>
      <c r="AN107" s="1140">
        <f t="shared" ca="1" si="45"/>
        <v>4.7970757892873008</v>
      </c>
      <c r="AP107" s="1154">
        <f t="shared" ca="1" si="46"/>
        <v>8772.5550684837381</v>
      </c>
      <c r="AR107" s="1140">
        <f t="shared" ca="1" si="47"/>
        <v>418.38707578928728</v>
      </c>
      <c r="AT107" s="1154">
        <f t="shared" ca="1" si="48"/>
        <v>760455.7950684838</v>
      </c>
    </row>
    <row r="108" spans="1:46">
      <c r="A108" s="884" t="str">
        <f t="shared" si="40"/>
        <v>PIERCE UTCCommercialFL006.0Y2W001</v>
      </c>
      <c r="B108" s="889" t="s">
        <v>2059</v>
      </c>
      <c r="C108" s="889" t="s">
        <v>2060</v>
      </c>
      <c r="D108" s="889" t="s">
        <v>411</v>
      </c>
      <c r="E108" s="883">
        <v>33000</v>
      </c>
      <c r="F108" s="904">
        <v>774.19</v>
      </c>
      <c r="G108" s="904">
        <v>795.49</v>
      </c>
      <c r="H108" s="904"/>
      <c r="I108" s="906">
        <v>77429.759999999995</v>
      </c>
      <c r="J108" s="906">
        <v>78967.38</v>
      </c>
      <c r="K108" s="906">
        <v>78967.38</v>
      </c>
      <c r="L108" s="906">
        <v>82532.09</v>
      </c>
      <c r="M108" s="906">
        <v>85382.6</v>
      </c>
      <c r="N108" s="906">
        <v>87503.9</v>
      </c>
      <c r="O108" s="906">
        <v>85813.48</v>
      </c>
      <c r="P108" s="906">
        <v>70228.539999999994</v>
      </c>
      <c r="Q108" s="906">
        <v>79084.95</v>
      </c>
      <c r="R108" s="906">
        <v>92279.039999999994</v>
      </c>
      <c r="S108" s="906">
        <v>91481.35</v>
      </c>
      <c r="T108" s="906">
        <v>91481.35</v>
      </c>
      <c r="U108" s="906"/>
      <c r="V108" s="957">
        <f t="shared" si="41"/>
        <v>1001151.82</v>
      </c>
      <c r="W108" s="905"/>
      <c r="X108" s="909">
        <f t="shared" si="42"/>
        <v>100.01389839703431</v>
      </c>
      <c r="Y108" s="906">
        <f t="shared" si="42"/>
        <v>102</v>
      </c>
      <c r="Z108" s="906">
        <f t="shared" si="42"/>
        <v>102</v>
      </c>
      <c r="AA108" s="909">
        <f t="shared" si="43"/>
        <v>103.75000314271706</v>
      </c>
      <c r="AB108" s="909">
        <f t="shared" si="43"/>
        <v>107.33334171391219</v>
      </c>
      <c r="AC108" s="909">
        <f t="shared" si="43"/>
        <v>109.99999999999999</v>
      </c>
      <c r="AD108" s="909">
        <f t="shared" si="43"/>
        <v>107.8749952859244</v>
      </c>
      <c r="AE108" s="909">
        <f t="shared" si="43"/>
        <v>88.28337251253943</v>
      </c>
      <c r="AF108" s="909">
        <f t="shared" si="43"/>
        <v>99.416648857936607</v>
      </c>
      <c r="AG108" s="909">
        <f t="shared" si="43"/>
        <v>116.00276559101937</v>
      </c>
      <c r="AH108" s="909">
        <f t="shared" si="43"/>
        <v>115</v>
      </c>
      <c r="AI108" s="909">
        <f t="shared" si="43"/>
        <v>115</v>
      </c>
      <c r="AJ108" s="907">
        <f t="shared" si="44"/>
        <v>105.55625212509028</v>
      </c>
      <c r="AN108" s="1140">
        <f t="shared" ca="1" si="45"/>
        <v>9.2265911158880911</v>
      </c>
      <c r="AP108" s="1154">
        <f t="shared" ca="1" si="46"/>
        <v>11687.092537005617</v>
      </c>
      <c r="AR108" s="1140">
        <f t="shared" ca="1" si="47"/>
        <v>804.71659111588815</v>
      </c>
      <c r="AT108" s="1154">
        <f t="shared" ca="1" si="48"/>
        <v>1012838.9125370056</v>
      </c>
    </row>
    <row r="109" spans="1:46">
      <c r="A109" s="884" t="str">
        <f t="shared" si="40"/>
        <v>PIERCE UTCCommercialFL006.0Y3W001</v>
      </c>
      <c r="B109" s="889" t="s">
        <v>2061</v>
      </c>
      <c r="C109" s="889" t="s">
        <v>2062</v>
      </c>
      <c r="D109" s="889" t="s">
        <v>411</v>
      </c>
      <c r="E109" s="883">
        <v>33000</v>
      </c>
      <c r="F109" s="904">
        <v>1145.44</v>
      </c>
      <c r="G109" s="904">
        <v>1177.4000000000001</v>
      </c>
      <c r="H109" s="904"/>
      <c r="I109" s="906">
        <v>66149.16</v>
      </c>
      <c r="J109" s="906">
        <v>65290.080000000002</v>
      </c>
      <c r="K109" s="906">
        <v>65290.080000000002</v>
      </c>
      <c r="L109" s="906">
        <v>67111.8</v>
      </c>
      <c r="M109" s="906">
        <v>64757</v>
      </c>
      <c r="N109" s="906">
        <v>65429.8</v>
      </c>
      <c r="O109" s="906">
        <v>63383.37</v>
      </c>
      <c r="P109" s="906">
        <v>59206.400000000001</v>
      </c>
      <c r="Q109" s="906">
        <v>62130.5</v>
      </c>
      <c r="R109" s="906">
        <v>67564.649999999994</v>
      </c>
      <c r="S109" s="906">
        <v>68289.2</v>
      </c>
      <c r="T109" s="906">
        <v>68576.179999999993</v>
      </c>
      <c r="U109" s="906"/>
      <c r="V109" s="957">
        <f t="shared" si="41"/>
        <v>783178.22</v>
      </c>
      <c r="W109" s="905"/>
      <c r="X109" s="909">
        <f t="shared" si="42"/>
        <v>57.75</v>
      </c>
      <c r="Y109" s="906">
        <f t="shared" si="42"/>
        <v>57</v>
      </c>
      <c r="Z109" s="906">
        <f t="shared" si="42"/>
        <v>57</v>
      </c>
      <c r="AA109" s="909">
        <f t="shared" si="43"/>
        <v>57</v>
      </c>
      <c r="AB109" s="909">
        <f t="shared" si="43"/>
        <v>54.999999999999993</v>
      </c>
      <c r="AC109" s="909">
        <f t="shared" si="43"/>
        <v>55.571428571428569</v>
      </c>
      <c r="AD109" s="909">
        <f t="shared" si="43"/>
        <v>53.833336164430101</v>
      </c>
      <c r="AE109" s="909">
        <f t="shared" si="43"/>
        <v>50.285714285714285</v>
      </c>
      <c r="AF109" s="909">
        <f t="shared" si="43"/>
        <v>52.769237302530996</v>
      </c>
      <c r="AG109" s="909">
        <f t="shared" si="43"/>
        <v>57.384618651265491</v>
      </c>
      <c r="AH109" s="909">
        <f t="shared" si="43"/>
        <v>57.999999999999993</v>
      </c>
      <c r="AI109" s="909">
        <f t="shared" si="43"/>
        <v>58.243740445048402</v>
      </c>
      <c r="AJ109" s="907">
        <f t="shared" si="44"/>
        <v>55.81983961836815</v>
      </c>
      <c r="AN109" s="1140">
        <f t="shared" ca="1" si="45"/>
        <v>13.656222428750379</v>
      </c>
      <c r="AP109" s="1154">
        <f t="shared" ca="1" si="46"/>
        <v>9147.4577491872969</v>
      </c>
      <c r="AR109" s="1140">
        <f t="shared" ca="1" si="47"/>
        <v>1191.0562224287505</v>
      </c>
      <c r="AT109" s="1154">
        <f t="shared" ca="1" si="48"/>
        <v>792325.67774918722</v>
      </c>
    </row>
    <row r="110" spans="1:46">
      <c r="A110" s="884" t="str">
        <f t="shared" si="40"/>
        <v>PIERCE UTCCommercialFL006.0Y4W001</v>
      </c>
      <c r="B110" s="889" t="s">
        <v>2063</v>
      </c>
      <c r="C110" s="889" t="s">
        <v>2064</v>
      </c>
      <c r="D110" s="889" t="s">
        <v>411</v>
      </c>
      <c r="E110" s="883">
        <v>33000</v>
      </c>
      <c r="F110" s="904">
        <v>1516.7</v>
      </c>
      <c r="G110" s="904">
        <v>1559.3</v>
      </c>
      <c r="H110" s="904"/>
      <c r="I110" s="906">
        <v>1516.7</v>
      </c>
      <c r="J110" s="906">
        <v>1769.48</v>
      </c>
      <c r="K110" s="906">
        <v>3033.4</v>
      </c>
      <c r="L110" s="906">
        <v>3118.6</v>
      </c>
      <c r="M110" s="906">
        <v>4677.8999999999996</v>
      </c>
      <c r="N110" s="906">
        <v>4677.8999999999996</v>
      </c>
      <c r="O110" s="906">
        <v>4677.8999999999996</v>
      </c>
      <c r="P110" s="906">
        <v>4677.8999999999996</v>
      </c>
      <c r="Q110" s="906">
        <v>4677.8999999999996</v>
      </c>
      <c r="R110" s="906">
        <v>4677.8999999999996</v>
      </c>
      <c r="S110" s="906">
        <v>4677.8999999999996</v>
      </c>
      <c r="T110" s="906">
        <v>4677.8999999999996</v>
      </c>
      <c r="U110" s="906"/>
      <c r="V110" s="957">
        <f t="shared" si="41"/>
        <v>46861.380000000005</v>
      </c>
      <c r="W110" s="905"/>
      <c r="X110" s="909">
        <f t="shared" si="42"/>
        <v>1</v>
      </c>
      <c r="Y110" s="906">
        <f t="shared" si="42"/>
        <v>1.1666644689127712</v>
      </c>
      <c r="Z110" s="906">
        <f t="shared" si="42"/>
        <v>2</v>
      </c>
      <c r="AA110" s="909">
        <f t="shared" si="43"/>
        <v>2</v>
      </c>
      <c r="AB110" s="909">
        <f t="shared" si="43"/>
        <v>3</v>
      </c>
      <c r="AC110" s="909">
        <f t="shared" si="43"/>
        <v>3</v>
      </c>
      <c r="AD110" s="909">
        <f t="shared" si="43"/>
        <v>3</v>
      </c>
      <c r="AE110" s="909">
        <f t="shared" si="43"/>
        <v>3</v>
      </c>
      <c r="AF110" s="909">
        <f t="shared" si="43"/>
        <v>3</v>
      </c>
      <c r="AG110" s="909">
        <f t="shared" si="43"/>
        <v>3</v>
      </c>
      <c r="AH110" s="909">
        <f t="shared" si="43"/>
        <v>3</v>
      </c>
      <c r="AI110" s="909">
        <f t="shared" si="43"/>
        <v>3</v>
      </c>
      <c r="AJ110" s="907">
        <f t="shared" si="44"/>
        <v>2.513888705742731</v>
      </c>
      <c r="AN110" s="1140">
        <f t="shared" ca="1" si="45"/>
        <v>18.085737755351165</v>
      </c>
      <c r="AP110" s="1154">
        <f t="shared" ca="1" si="46"/>
        <v>545.58638253842628</v>
      </c>
      <c r="AR110" s="1140">
        <f t="shared" ca="1" si="47"/>
        <v>1577.3857377553511</v>
      </c>
      <c r="AT110" s="1154">
        <f t="shared" ca="1" si="48"/>
        <v>47406.966382538434</v>
      </c>
    </row>
    <row r="111" spans="1:46">
      <c r="A111" s="884" t="str">
        <f t="shared" si="40"/>
        <v>PIERCE UTCCommercialFL002.0Y1W001CMP</v>
      </c>
      <c r="B111" s="889" t="s">
        <v>2065</v>
      </c>
      <c r="C111" s="889" t="s">
        <v>2066</v>
      </c>
      <c r="D111" s="889" t="s">
        <v>411</v>
      </c>
      <c r="E111" s="883">
        <v>33000</v>
      </c>
      <c r="F111" s="904">
        <v>435.6</v>
      </c>
      <c r="G111" s="904">
        <v>446.9</v>
      </c>
      <c r="H111" s="904"/>
      <c r="I111" s="906">
        <v>435.6</v>
      </c>
      <c r="J111" s="906">
        <v>435.6</v>
      </c>
      <c r="K111" s="906">
        <v>435.6</v>
      </c>
      <c r="L111" s="906">
        <v>446.9</v>
      </c>
      <c r="M111" s="906">
        <v>446.9</v>
      </c>
      <c r="N111" s="906">
        <v>446.9</v>
      </c>
      <c r="O111" s="906">
        <v>446.9</v>
      </c>
      <c r="P111" s="906">
        <v>446.9</v>
      </c>
      <c r="Q111" s="906">
        <v>446.9</v>
      </c>
      <c r="R111" s="906">
        <v>446.9</v>
      </c>
      <c r="S111" s="906">
        <v>446.9</v>
      </c>
      <c r="T111" s="906">
        <v>446.9</v>
      </c>
      <c r="U111" s="906"/>
      <c r="V111" s="957">
        <f t="shared" si="41"/>
        <v>5328.9</v>
      </c>
      <c r="W111" s="905"/>
      <c r="X111" s="909">
        <f t="shared" si="42"/>
        <v>1</v>
      </c>
      <c r="Y111" s="906">
        <f t="shared" si="42"/>
        <v>1</v>
      </c>
      <c r="Z111" s="906">
        <f t="shared" si="42"/>
        <v>1</v>
      </c>
      <c r="AA111" s="909">
        <f t="shared" si="43"/>
        <v>1</v>
      </c>
      <c r="AB111" s="909">
        <f t="shared" si="43"/>
        <v>1</v>
      </c>
      <c r="AC111" s="909">
        <f t="shared" si="43"/>
        <v>1</v>
      </c>
      <c r="AD111" s="909">
        <f t="shared" si="43"/>
        <v>1</v>
      </c>
      <c r="AE111" s="909">
        <f t="shared" si="43"/>
        <v>1</v>
      </c>
      <c r="AF111" s="909">
        <f t="shared" si="43"/>
        <v>1</v>
      </c>
      <c r="AG111" s="909">
        <f t="shared" si="43"/>
        <v>1</v>
      </c>
      <c r="AH111" s="909">
        <f t="shared" si="43"/>
        <v>1</v>
      </c>
      <c r="AI111" s="909">
        <f t="shared" si="43"/>
        <v>1</v>
      </c>
      <c r="AJ111" s="907">
        <f t="shared" si="44"/>
        <v>1</v>
      </c>
      <c r="AN111" s="1140">
        <f t="shared" ca="1" si="45"/>
        <v>5.1834260263364564</v>
      </c>
      <c r="AP111" s="1154">
        <f t="shared" ca="1" si="46"/>
        <v>62.201112316037481</v>
      </c>
      <c r="AR111" s="1140">
        <f t="shared" ca="1" si="47"/>
        <v>452.08342602633644</v>
      </c>
      <c r="AT111" s="1154">
        <f t="shared" ca="1" si="48"/>
        <v>5391.101112316037</v>
      </c>
    </row>
    <row r="112" spans="1:46">
      <c r="A112" s="884" t="str">
        <f t="shared" si="40"/>
        <v>PIERCE UTCCommercialFL003.0Y2W001CMP</v>
      </c>
      <c r="B112" s="889" t="s">
        <v>2067</v>
      </c>
      <c r="C112" s="889" t="s">
        <v>2068</v>
      </c>
      <c r="D112" s="889" t="s">
        <v>411</v>
      </c>
      <c r="E112" s="883">
        <v>33000</v>
      </c>
      <c r="F112" s="904">
        <v>1222.6199999999999</v>
      </c>
      <c r="G112" s="904">
        <v>1255.53</v>
      </c>
      <c r="H112" s="904"/>
      <c r="I112" s="906">
        <v>1222.6199999999999</v>
      </c>
      <c r="J112" s="906">
        <v>1222.6199999999999</v>
      </c>
      <c r="K112" s="906">
        <v>1222.6199999999999</v>
      </c>
      <c r="L112" s="906">
        <v>1255.53</v>
      </c>
      <c r="M112" s="906">
        <v>1255.53</v>
      </c>
      <c r="N112" s="906">
        <v>1255.53</v>
      </c>
      <c r="O112" s="906">
        <v>1255.53</v>
      </c>
      <c r="P112" s="906">
        <v>1255.53</v>
      </c>
      <c r="Q112" s="906">
        <v>1255.53</v>
      </c>
      <c r="R112" s="906">
        <v>1255.53</v>
      </c>
      <c r="S112" s="906">
        <v>1255.53</v>
      </c>
      <c r="T112" s="906">
        <v>1255.53</v>
      </c>
      <c r="U112" s="906"/>
      <c r="V112" s="957">
        <f t="shared" si="41"/>
        <v>14967.630000000003</v>
      </c>
      <c r="W112" s="905"/>
      <c r="X112" s="909">
        <f t="shared" si="42"/>
        <v>1</v>
      </c>
      <c r="Y112" s="906">
        <f t="shared" si="42"/>
        <v>1</v>
      </c>
      <c r="Z112" s="906">
        <f t="shared" si="42"/>
        <v>1</v>
      </c>
      <c r="AA112" s="909">
        <f t="shared" si="43"/>
        <v>1</v>
      </c>
      <c r="AB112" s="909">
        <f t="shared" si="43"/>
        <v>1</v>
      </c>
      <c r="AC112" s="909">
        <f t="shared" si="43"/>
        <v>1</v>
      </c>
      <c r="AD112" s="909">
        <f t="shared" si="43"/>
        <v>1</v>
      </c>
      <c r="AE112" s="909">
        <f t="shared" si="43"/>
        <v>1</v>
      </c>
      <c r="AF112" s="909">
        <f t="shared" si="43"/>
        <v>1</v>
      </c>
      <c r="AG112" s="909">
        <f t="shared" si="43"/>
        <v>1</v>
      </c>
      <c r="AH112" s="909">
        <f t="shared" si="43"/>
        <v>1</v>
      </c>
      <c r="AI112" s="909">
        <f t="shared" si="43"/>
        <v>1</v>
      </c>
      <c r="AJ112" s="907">
        <f t="shared" si="44"/>
        <v>1</v>
      </c>
      <c r="AN112" s="1140">
        <f t="shared" ca="1" si="45"/>
        <v>14.562423089832649</v>
      </c>
      <c r="AP112" s="1154">
        <f t="shared" ca="1" si="46"/>
        <v>174.74907707799179</v>
      </c>
      <c r="AR112" s="1140">
        <f t="shared" ca="1" si="47"/>
        <v>1270.0924230898327</v>
      </c>
      <c r="AT112" s="1154">
        <f t="shared" ca="1" si="48"/>
        <v>15142.379077077994</v>
      </c>
    </row>
    <row r="113" spans="1:46">
      <c r="A113" s="884" t="str">
        <f t="shared" si="40"/>
        <v>PIERCE UTCCommercialFL004.0Y1W001CMP</v>
      </c>
      <c r="B113" s="889" t="s">
        <v>2069</v>
      </c>
      <c r="C113" s="889" t="s">
        <v>2070</v>
      </c>
      <c r="D113" s="889" t="s">
        <v>411</v>
      </c>
      <c r="E113" s="883">
        <v>33000</v>
      </c>
      <c r="F113" s="904">
        <v>805.68</v>
      </c>
      <c r="G113" s="904">
        <v>826.99</v>
      </c>
      <c r="H113" s="904"/>
      <c r="I113" s="906">
        <v>1611.36</v>
      </c>
      <c r="J113" s="906">
        <v>1611.36</v>
      </c>
      <c r="K113" s="906">
        <v>1611.36</v>
      </c>
      <c r="L113" s="906">
        <v>1653.98</v>
      </c>
      <c r="M113" s="906">
        <v>1653.98</v>
      </c>
      <c r="N113" s="906">
        <v>1653.98</v>
      </c>
      <c r="O113" s="906">
        <v>1653.98</v>
      </c>
      <c r="P113" s="906">
        <v>1653.98</v>
      </c>
      <c r="Q113" s="906">
        <v>1653.98</v>
      </c>
      <c r="R113" s="906">
        <v>1653.98</v>
      </c>
      <c r="S113" s="906">
        <v>1653.98</v>
      </c>
      <c r="T113" s="906">
        <v>1653.98</v>
      </c>
      <c r="U113" s="906"/>
      <c r="V113" s="957">
        <f t="shared" si="41"/>
        <v>19719.899999999998</v>
      </c>
      <c r="W113" s="905"/>
      <c r="X113" s="909">
        <f t="shared" si="42"/>
        <v>2</v>
      </c>
      <c r="Y113" s="906">
        <f t="shared" si="42"/>
        <v>2</v>
      </c>
      <c r="Z113" s="906">
        <f t="shared" si="42"/>
        <v>2</v>
      </c>
      <c r="AA113" s="909">
        <f t="shared" si="43"/>
        <v>2</v>
      </c>
      <c r="AB113" s="909">
        <f t="shared" si="43"/>
        <v>2</v>
      </c>
      <c r="AC113" s="909">
        <f t="shared" si="43"/>
        <v>2</v>
      </c>
      <c r="AD113" s="909">
        <f t="shared" si="43"/>
        <v>2</v>
      </c>
      <c r="AE113" s="909">
        <f t="shared" si="43"/>
        <v>2</v>
      </c>
      <c r="AF113" s="909">
        <f t="shared" si="43"/>
        <v>2</v>
      </c>
      <c r="AG113" s="909">
        <f t="shared" si="43"/>
        <v>2</v>
      </c>
      <c r="AH113" s="909">
        <f t="shared" si="43"/>
        <v>2</v>
      </c>
      <c r="AI113" s="909">
        <f t="shared" si="43"/>
        <v>2</v>
      </c>
      <c r="AJ113" s="907">
        <f t="shared" si="44"/>
        <v>2</v>
      </c>
      <c r="AN113" s="1140">
        <f t="shared" ca="1" si="45"/>
        <v>9.5919478396061439</v>
      </c>
      <c r="AP113" s="1154">
        <f t="shared" ca="1" si="46"/>
        <v>230.20674815054747</v>
      </c>
      <c r="AR113" s="1140">
        <f t="shared" ca="1" si="47"/>
        <v>836.58194783960619</v>
      </c>
      <c r="AT113" s="1154">
        <f t="shared" ca="1" si="48"/>
        <v>19950.106748150545</v>
      </c>
    </row>
    <row r="114" spans="1:46">
      <c r="A114" s="884" t="str">
        <f t="shared" si="40"/>
        <v>PIERCE UTCCommercialFL004.0Y2W001CMP</v>
      </c>
      <c r="B114" s="889" t="s">
        <v>2071</v>
      </c>
      <c r="C114" s="889" t="s">
        <v>2072</v>
      </c>
      <c r="D114" s="889" t="s">
        <v>411</v>
      </c>
      <c r="E114" s="883">
        <v>33000</v>
      </c>
      <c r="F114" s="904">
        <v>1611.37</v>
      </c>
      <c r="G114" s="904">
        <v>1653.97</v>
      </c>
      <c r="H114" s="904"/>
      <c r="I114" s="906">
        <v>3222.74</v>
      </c>
      <c r="J114" s="906">
        <v>3222.74</v>
      </c>
      <c r="K114" s="906">
        <v>3222.74</v>
      </c>
      <c r="L114" s="906">
        <v>3307.94</v>
      </c>
      <c r="M114" s="906">
        <v>3307.94</v>
      </c>
      <c r="N114" s="906">
        <v>3307.94</v>
      </c>
      <c r="O114" s="906">
        <v>3307.94</v>
      </c>
      <c r="P114" s="906">
        <v>3307.94</v>
      </c>
      <c r="Q114" s="906">
        <v>3307.94</v>
      </c>
      <c r="R114" s="906">
        <v>3307.94</v>
      </c>
      <c r="S114" s="906">
        <v>3307.94</v>
      </c>
      <c r="T114" s="906">
        <v>3307.94</v>
      </c>
      <c r="U114" s="906"/>
      <c r="V114" s="957">
        <f t="shared" si="41"/>
        <v>39439.68</v>
      </c>
      <c r="W114" s="905"/>
      <c r="X114" s="909">
        <f t="shared" si="42"/>
        <v>2</v>
      </c>
      <c r="Y114" s="906">
        <f t="shared" si="42"/>
        <v>2</v>
      </c>
      <c r="Z114" s="906">
        <f t="shared" si="42"/>
        <v>2</v>
      </c>
      <c r="AA114" s="909">
        <f t="shared" si="43"/>
        <v>2</v>
      </c>
      <c r="AB114" s="909">
        <f t="shared" si="43"/>
        <v>2</v>
      </c>
      <c r="AC114" s="909">
        <f t="shared" si="43"/>
        <v>2</v>
      </c>
      <c r="AD114" s="909">
        <f t="shared" si="43"/>
        <v>2</v>
      </c>
      <c r="AE114" s="909">
        <f t="shared" si="43"/>
        <v>2</v>
      </c>
      <c r="AF114" s="909">
        <f t="shared" si="43"/>
        <v>2</v>
      </c>
      <c r="AG114" s="909">
        <f t="shared" si="43"/>
        <v>2</v>
      </c>
      <c r="AH114" s="909">
        <f t="shared" si="43"/>
        <v>2</v>
      </c>
      <c r="AI114" s="909">
        <f t="shared" si="43"/>
        <v>2</v>
      </c>
      <c r="AJ114" s="907">
        <f t="shared" si="44"/>
        <v>2</v>
      </c>
      <c r="AN114" s="1140">
        <f t="shared" ca="1" si="45"/>
        <v>19.183779692950793</v>
      </c>
      <c r="AP114" s="1154">
        <f t="shared" ca="1" si="46"/>
        <v>460.41071263081903</v>
      </c>
      <c r="AR114" s="1140">
        <f t="shared" ca="1" si="47"/>
        <v>1673.1537796929508</v>
      </c>
      <c r="AT114" s="1154">
        <f t="shared" ca="1" si="48"/>
        <v>39900.090712630816</v>
      </c>
    </row>
    <row r="115" spans="1:46">
      <c r="A115" s="884" t="str">
        <f t="shared" si="40"/>
        <v>PIERCE UTCCommercialFL006.0Y2W001CMP</v>
      </c>
      <c r="B115" s="889" t="s">
        <v>2073</v>
      </c>
      <c r="C115" s="889" t="str">
        <f>VLOOKUP(B115,'[45]PI default bill area pricing'!G:H,2,FALSE)</f>
        <v>6 YD 2X WK COMP 1</v>
      </c>
      <c r="D115" s="889"/>
      <c r="F115" s="904">
        <v>2211.5</v>
      </c>
      <c r="G115" s="904">
        <v>2270.13</v>
      </c>
      <c r="H115" s="904"/>
      <c r="I115" s="906">
        <v>2211.5</v>
      </c>
      <c r="J115" s="906">
        <v>2211.5</v>
      </c>
      <c r="K115" s="906">
        <v>2211.5</v>
      </c>
      <c r="L115" s="906">
        <v>2270.13</v>
      </c>
      <c r="M115" s="906">
        <v>2270.13</v>
      </c>
      <c r="N115" s="906">
        <v>2270.13</v>
      </c>
      <c r="O115" s="906">
        <v>2270.13</v>
      </c>
      <c r="P115" s="906">
        <v>2270.13</v>
      </c>
      <c r="Q115" s="906">
        <v>2270.13</v>
      </c>
      <c r="R115" s="906">
        <v>2270.13</v>
      </c>
      <c r="S115" s="906">
        <v>2270.13</v>
      </c>
      <c r="T115" s="906">
        <v>2270.13</v>
      </c>
      <c r="U115" s="906"/>
      <c r="V115" s="957">
        <f t="shared" si="41"/>
        <v>27065.670000000009</v>
      </c>
      <c r="W115" s="905"/>
      <c r="X115" s="909">
        <f t="shared" si="42"/>
        <v>1</v>
      </c>
      <c r="Y115" s="906">
        <f t="shared" si="42"/>
        <v>1</v>
      </c>
      <c r="Z115" s="906">
        <f t="shared" si="42"/>
        <v>1</v>
      </c>
      <c r="AA115" s="909">
        <f t="shared" si="43"/>
        <v>1</v>
      </c>
      <c r="AB115" s="909">
        <f t="shared" si="43"/>
        <v>1</v>
      </c>
      <c r="AC115" s="909">
        <f t="shared" si="43"/>
        <v>1</v>
      </c>
      <c r="AD115" s="909">
        <f t="shared" si="43"/>
        <v>1</v>
      </c>
      <c r="AE115" s="909">
        <f t="shared" si="43"/>
        <v>1</v>
      </c>
      <c r="AF115" s="909">
        <f t="shared" si="43"/>
        <v>1</v>
      </c>
      <c r="AG115" s="909">
        <f t="shared" si="43"/>
        <v>1</v>
      </c>
      <c r="AH115" s="909">
        <f t="shared" si="43"/>
        <v>1</v>
      </c>
      <c r="AI115" s="909">
        <f t="shared" si="43"/>
        <v>1</v>
      </c>
      <c r="AJ115" s="907">
        <f t="shared" si="44"/>
        <v>1</v>
      </c>
      <c r="AN115" s="1140">
        <f t="shared" ca="1" si="45"/>
        <v>26.330389181398928</v>
      </c>
      <c r="AP115" s="1154">
        <f t="shared" ca="1" si="46"/>
        <v>315.96467017678714</v>
      </c>
      <c r="AR115" s="1140">
        <f t="shared" ca="1" si="47"/>
        <v>2296.460389181399</v>
      </c>
      <c r="AT115" s="1154">
        <f t="shared" ca="1" si="48"/>
        <v>27381.634670176798</v>
      </c>
    </row>
    <row r="116" spans="1:46">
      <c r="A116" s="884" t="str">
        <f t="shared" si="40"/>
        <v>PIERCE UTCCommercialRL032.0G1W001NORECC</v>
      </c>
      <c r="B116" s="889" t="s">
        <v>2074</v>
      </c>
      <c r="C116" s="889" t="s">
        <v>2075</v>
      </c>
      <c r="D116" s="889" t="s">
        <v>411</v>
      </c>
      <c r="E116" s="883">
        <v>33000</v>
      </c>
      <c r="F116" s="904">
        <v>17.440000000000001</v>
      </c>
      <c r="G116" s="904">
        <v>17.809999999999999</v>
      </c>
      <c r="H116" s="904"/>
      <c r="I116" s="906">
        <v>122.08</v>
      </c>
      <c r="J116" s="906">
        <v>108.13</v>
      </c>
      <c r="K116" s="906">
        <v>95.92</v>
      </c>
      <c r="L116" s="906">
        <v>89.05</v>
      </c>
      <c r="M116" s="906">
        <v>89.05</v>
      </c>
      <c r="N116" s="906">
        <v>71.239999999999995</v>
      </c>
      <c r="O116" s="906">
        <v>71.239999999999995</v>
      </c>
      <c r="P116" s="906">
        <v>66.790000000000006</v>
      </c>
      <c r="Q116" s="906">
        <v>53.43</v>
      </c>
      <c r="R116" s="906">
        <v>53.43</v>
      </c>
      <c r="S116" s="906">
        <v>35.619999999999997</v>
      </c>
      <c r="T116" s="906">
        <v>35.619999999999997</v>
      </c>
      <c r="U116" s="906"/>
      <c r="V116" s="957">
        <f t="shared" si="41"/>
        <v>891.59999999999991</v>
      </c>
      <c r="W116" s="905"/>
      <c r="X116" s="909">
        <f t="shared" si="42"/>
        <v>6.9999999999999991</v>
      </c>
      <c r="Y116" s="906">
        <f t="shared" si="42"/>
        <v>6.200114678899082</v>
      </c>
      <c r="Z116" s="906">
        <f t="shared" si="42"/>
        <v>5.5</v>
      </c>
      <c r="AA116" s="909">
        <f t="shared" si="43"/>
        <v>5</v>
      </c>
      <c r="AB116" s="909">
        <f t="shared" si="43"/>
        <v>5</v>
      </c>
      <c r="AC116" s="909">
        <f t="shared" si="43"/>
        <v>4</v>
      </c>
      <c r="AD116" s="909">
        <f t="shared" ref="AD116:AI147" si="49">IFERROR(O116/$G116,0)</f>
        <v>4</v>
      </c>
      <c r="AE116" s="909">
        <f t="shared" si="49"/>
        <v>3.7501403705783276</v>
      </c>
      <c r="AF116" s="909">
        <f t="shared" si="49"/>
        <v>3</v>
      </c>
      <c r="AG116" s="909">
        <f t="shared" si="49"/>
        <v>3</v>
      </c>
      <c r="AH116" s="909">
        <f t="shared" si="49"/>
        <v>2</v>
      </c>
      <c r="AI116" s="909">
        <f t="shared" si="49"/>
        <v>2</v>
      </c>
      <c r="AJ116" s="907">
        <f t="shared" si="44"/>
        <v>4.2041879207897841</v>
      </c>
      <c r="AN116" s="1140">
        <f t="shared" ca="1" si="45"/>
        <v>0.20657153172757278</v>
      </c>
      <c r="AP116" s="1154">
        <f t="shared" ca="1" si="46"/>
        <v>10.421586461617261</v>
      </c>
      <c r="AR116" s="1140">
        <f t="shared" ca="1" si="47"/>
        <v>18.016571531727571</v>
      </c>
      <c r="AT116" s="1154">
        <f t="shared" ca="1" si="48"/>
        <v>902.02158646161718</v>
      </c>
    </row>
    <row r="117" spans="1:46">
      <c r="A117" s="884" t="str">
        <f t="shared" si="40"/>
        <v>PIERCE UTCCommercialRL032.0G1W001WRECC</v>
      </c>
      <c r="B117" s="889" t="s">
        <v>2076</v>
      </c>
      <c r="C117" s="889" t="s">
        <v>2077</v>
      </c>
      <c r="D117" s="889" t="s">
        <v>411</v>
      </c>
      <c r="E117" s="883">
        <v>33000</v>
      </c>
      <c r="F117" s="904">
        <v>17.440000000000001</v>
      </c>
      <c r="G117" s="904">
        <v>17.809999999999999</v>
      </c>
      <c r="H117" s="904"/>
      <c r="I117" s="906">
        <v>6644.64</v>
      </c>
      <c r="J117" s="906">
        <v>6644.64</v>
      </c>
      <c r="K117" s="906">
        <v>6644.64</v>
      </c>
      <c r="L117" s="906">
        <v>7057.21</v>
      </c>
      <c r="M117" s="906">
        <v>7073.24</v>
      </c>
      <c r="N117" s="906">
        <v>7059.88</v>
      </c>
      <c r="O117" s="906">
        <v>7052.76</v>
      </c>
      <c r="P117" s="906">
        <v>6643.13</v>
      </c>
      <c r="Q117" s="906">
        <v>6643.13</v>
      </c>
      <c r="R117" s="906">
        <v>6652.04</v>
      </c>
      <c r="S117" s="906">
        <v>6647.58</v>
      </c>
      <c r="T117" s="906">
        <v>6643.13</v>
      </c>
      <c r="U117" s="906"/>
      <c r="V117" s="957">
        <f t="shared" si="41"/>
        <v>81406.02</v>
      </c>
      <c r="W117" s="905"/>
      <c r="X117" s="909">
        <f t="shared" si="42"/>
        <v>381</v>
      </c>
      <c r="Y117" s="906">
        <f t="shared" si="42"/>
        <v>381</v>
      </c>
      <c r="Z117" s="906">
        <f t="shared" si="42"/>
        <v>381</v>
      </c>
      <c r="AA117" s="909">
        <f t="shared" ref="AA117:AI148" si="50">IFERROR(L117/$G117,0)</f>
        <v>396.24985962942168</v>
      </c>
      <c r="AB117" s="909">
        <f t="shared" si="50"/>
        <v>397.14991577765301</v>
      </c>
      <c r="AC117" s="909">
        <f t="shared" si="50"/>
        <v>396.39977540707469</v>
      </c>
      <c r="AD117" s="909">
        <f t="shared" si="49"/>
        <v>396.00000000000006</v>
      </c>
      <c r="AE117" s="909">
        <f t="shared" si="49"/>
        <v>373.00000000000006</v>
      </c>
      <c r="AF117" s="909">
        <f t="shared" si="49"/>
        <v>373.00000000000006</v>
      </c>
      <c r="AG117" s="909">
        <f t="shared" si="49"/>
        <v>373.5002807411567</v>
      </c>
      <c r="AH117" s="909">
        <f t="shared" si="49"/>
        <v>373.24985962942168</v>
      </c>
      <c r="AI117" s="909">
        <f t="shared" si="49"/>
        <v>373.00000000000006</v>
      </c>
      <c r="AJ117" s="907">
        <f t="shared" si="44"/>
        <v>382.87914093206064</v>
      </c>
      <c r="AN117" s="1140">
        <f t="shared" ca="1" si="45"/>
        <v>0.20657153172757278</v>
      </c>
      <c r="AP117" s="1154">
        <f t="shared" ca="1" si="46"/>
        <v>949.1031673064756</v>
      </c>
      <c r="AR117" s="1140">
        <f t="shared" ca="1" si="47"/>
        <v>18.016571531727571</v>
      </c>
      <c r="AT117" s="1154">
        <f t="shared" ca="1" si="48"/>
        <v>82355.123167306476</v>
      </c>
    </row>
    <row r="118" spans="1:46">
      <c r="A118" s="884" t="str">
        <f t="shared" si="40"/>
        <v>PIERCE UTCCommercialRL032.0G1W002NORECC</v>
      </c>
      <c r="B118" s="889" t="s">
        <v>2078</v>
      </c>
      <c r="C118" s="889" t="s">
        <v>2075</v>
      </c>
      <c r="D118" s="889" t="s">
        <v>411</v>
      </c>
      <c r="E118" s="883">
        <v>33000</v>
      </c>
      <c r="F118" s="904">
        <v>28.23</v>
      </c>
      <c r="G118" s="904">
        <v>28.92</v>
      </c>
      <c r="H118" s="904"/>
      <c r="I118" s="906">
        <v>169.38</v>
      </c>
      <c r="J118" s="906">
        <v>169.38</v>
      </c>
      <c r="K118" s="906">
        <v>169.38</v>
      </c>
      <c r="L118" s="906">
        <v>144.6</v>
      </c>
      <c r="M118" s="906">
        <v>144.6</v>
      </c>
      <c r="N118" s="906">
        <v>144.6</v>
      </c>
      <c r="O118" s="906">
        <v>115.68</v>
      </c>
      <c r="P118" s="906">
        <v>115.68</v>
      </c>
      <c r="Q118" s="906">
        <v>115.68</v>
      </c>
      <c r="R118" s="906">
        <v>115.68</v>
      </c>
      <c r="S118" s="906">
        <v>115.68</v>
      </c>
      <c r="T118" s="906">
        <v>115.68</v>
      </c>
      <c r="U118" s="906"/>
      <c r="V118" s="957">
        <f t="shared" si="41"/>
        <v>1636.0200000000004</v>
      </c>
      <c r="W118" s="905"/>
      <c r="X118" s="909">
        <f t="shared" si="42"/>
        <v>6</v>
      </c>
      <c r="Y118" s="906">
        <f t="shared" si="42"/>
        <v>6</v>
      </c>
      <c r="Z118" s="906">
        <f t="shared" si="42"/>
        <v>6</v>
      </c>
      <c r="AA118" s="909">
        <f t="shared" si="50"/>
        <v>4.9999999999999991</v>
      </c>
      <c r="AB118" s="909">
        <f t="shared" si="50"/>
        <v>4.9999999999999991</v>
      </c>
      <c r="AC118" s="909">
        <f t="shared" si="50"/>
        <v>4.9999999999999991</v>
      </c>
      <c r="AD118" s="909">
        <f t="shared" si="49"/>
        <v>4</v>
      </c>
      <c r="AE118" s="909">
        <f t="shared" si="49"/>
        <v>4</v>
      </c>
      <c r="AF118" s="909">
        <f t="shared" si="49"/>
        <v>4</v>
      </c>
      <c r="AG118" s="909">
        <f t="shared" si="49"/>
        <v>4</v>
      </c>
      <c r="AH118" s="909">
        <f t="shared" si="49"/>
        <v>4</v>
      </c>
      <c r="AI118" s="909">
        <f t="shared" si="49"/>
        <v>4</v>
      </c>
      <c r="AJ118" s="907">
        <f t="shared" si="44"/>
        <v>4.75</v>
      </c>
      <c r="AN118" s="1140">
        <f t="shared" ca="1" si="45"/>
        <v>0.33543226825162303</v>
      </c>
      <c r="AP118" s="1154">
        <f t="shared" ca="1" si="46"/>
        <v>19.119639290342512</v>
      </c>
      <c r="AR118" s="1140">
        <f t="shared" ca="1" si="47"/>
        <v>29.255432268251624</v>
      </c>
      <c r="AT118" s="1154">
        <f t="shared" ca="1" si="48"/>
        <v>1655.139639290343</v>
      </c>
    </row>
    <row r="119" spans="1:46">
      <c r="A119" s="884" t="str">
        <f t="shared" si="40"/>
        <v>PIERCE UTCCommercialRL032.0G1W002WRECC</v>
      </c>
      <c r="B119" s="889" t="s">
        <v>2079</v>
      </c>
      <c r="C119" s="889" t="s">
        <v>2080</v>
      </c>
      <c r="D119" s="889" t="s">
        <v>411</v>
      </c>
      <c r="E119" s="883">
        <v>33000</v>
      </c>
      <c r="F119" s="904">
        <v>28.23</v>
      </c>
      <c r="G119" s="904">
        <v>28.92</v>
      </c>
      <c r="H119" s="904"/>
      <c r="I119" s="906">
        <v>84.69</v>
      </c>
      <c r="J119" s="906">
        <v>84.69</v>
      </c>
      <c r="K119" s="906">
        <v>84.69</v>
      </c>
      <c r="L119" s="906">
        <v>115.68</v>
      </c>
      <c r="M119" s="906">
        <v>115.68</v>
      </c>
      <c r="N119" s="906">
        <v>115.68</v>
      </c>
      <c r="O119" s="906">
        <v>115.68</v>
      </c>
      <c r="P119" s="906">
        <v>115.68</v>
      </c>
      <c r="Q119" s="906">
        <v>86.76</v>
      </c>
      <c r="R119" s="906">
        <v>86.76</v>
      </c>
      <c r="S119" s="906">
        <v>86.76</v>
      </c>
      <c r="T119" s="906">
        <v>86.76</v>
      </c>
      <c r="U119" s="906"/>
      <c r="V119" s="957">
        <f t="shared" si="41"/>
        <v>1179.51</v>
      </c>
      <c r="W119" s="905"/>
      <c r="X119" s="909">
        <f t="shared" si="42"/>
        <v>3</v>
      </c>
      <c r="Y119" s="906">
        <f t="shared" si="42"/>
        <v>3</v>
      </c>
      <c r="Z119" s="906">
        <f t="shared" si="42"/>
        <v>3</v>
      </c>
      <c r="AA119" s="909">
        <f t="shared" si="50"/>
        <v>4</v>
      </c>
      <c r="AB119" s="909">
        <f t="shared" si="50"/>
        <v>4</v>
      </c>
      <c r="AC119" s="909">
        <f t="shared" si="50"/>
        <v>4</v>
      </c>
      <c r="AD119" s="909">
        <f t="shared" si="49"/>
        <v>4</v>
      </c>
      <c r="AE119" s="909">
        <f t="shared" si="49"/>
        <v>4</v>
      </c>
      <c r="AF119" s="909">
        <f t="shared" si="49"/>
        <v>3</v>
      </c>
      <c r="AG119" s="909">
        <f t="shared" si="49"/>
        <v>3</v>
      </c>
      <c r="AH119" s="909">
        <f t="shared" si="49"/>
        <v>3</v>
      </c>
      <c r="AI119" s="909">
        <f t="shared" si="49"/>
        <v>3</v>
      </c>
      <c r="AJ119" s="907">
        <f t="shared" si="44"/>
        <v>3.4166666666666665</v>
      </c>
      <c r="AN119" s="1140">
        <f t="shared" ca="1" si="45"/>
        <v>0.33543226825162303</v>
      </c>
      <c r="AP119" s="1154">
        <f t="shared" ca="1" si="46"/>
        <v>13.752722998316543</v>
      </c>
      <c r="AR119" s="1140">
        <f t="shared" ca="1" si="47"/>
        <v>29.255432268251624</v>
      </c>
      <c r="AT119" s="1154">
        <f t="shared" ca="1" si="48"/>
        <v>1193.2627229983166</v>
      </c>
    </row>
    <row r="120" spans="1:46">
      <c r="A120" s="884" t="str">
        <f t="shared" ref="A120:A151" si="51">$B$3&amp;"Commercial"&amp;B120</f>
        <v>PIERCE UTCCommercialRL032.0G1W003WRECC</v>
      </c>
      <c r="B120" s="889" t="s">
        <v>2081</v>
      </c>
      <c r="C120" s="889" t="s">
        <v>2082</v>
      </c>
      <c r="D120" s="889" t="s">
        <v>411</v>
      </c>
      <c r="E120" s="883">
        <v>33000</v>
      </c>
      <c r="F120" s="904">
        <v>42.35</v>
      </c>
      <c r="G120" s="904">
        <v>43.39</v>
      </c>
      <c r="H120" s="904"/>
      <c r="I120" s="906">
        <v>42.35</v>
      </c>
      <c r="J120" s="906">
        <v>42.35</v>
      </c>
      <c r="K120" s="906">
        <v>42.35</v>
      </c>
      <c r="L120" s="906">
        <v>43.39</v>
      </c>
      <c r="M120" s="906">
        <v>43.39</v>
      </c>
      <c r="N120" s="906">
        <v>43.39</v>
      </c>
      <c r="O120" s="906">
        <v>43.39</v>
      </c>
      <c r="P120" s="906">
        <v>43.39</v>
      </c>
      <c r="Q120" s="906">
        <v>43.39</v>
      </c>
      <c r="R120" s="906">
        <v>43.39</v>
      </c>
      <c r="S120" s="906">
        <v>43.39</v>
      </c>
      <c r="T120" s="906">
        <v>43.39</v>
      </c>
      <c r="U120" s="906"/>
      <c r="V120" s="957">
        <f t="shared" si="41"/>
        <v>517.55999999999995</v>
      </c>
      <c r="W120" s="905"/>
      <c r="X120" s="909">
        <f t="shared" ref="X120:Z152" si="52">IFERROR(I120/$F120,0)</f>
        <v>1</v>
      </c>
      <c r="Y120" s="906">
        <f t="shared" si="52"/>
        <v>1</v>
      </c>
      <c r="Z120" s="906">
        <f t="shared" si="52"/>
        <v>1</v>
      </c>
      <c r="AA120" s="909">
        <f t="shared" si="50"/>
        <v>1</v>
      </c>
      <c r="AB120" s="909">
        <f t="shared" si="50"/>
        <v>1</v>
      </c>
      <c r="AC120" s="909">
        <f t="shared" si="50"/>
        <v>1</v>
      </c>
      <c r="AD120" s="909">
        <f t="shared" si="49"/>
        <v>1</v>
      </c>
      <c r="AE120" s="909">
        <f t="shared" si="49"/>
        <v>1</v>
      </c>
      <c r="AF120" s="909">
        <f t="shared" si="49"/>
        <v>1</v>
      </c>
      <c r="AG120" s="909">
        <f t="shared" si="49"/>
        <v>1</v>
      </c>
      <c r="AH120" s="909">
        <f t="shared" si="49"/>
        <v>1</v>
      </c>
      <c r="AI120" s="909">
        <f t="shared" si="49"/>
        <v>1</v>
      </c>
      <c r="AJ120" s="907">
        <f t="shared" si="44"/>
        <v>1</v>
      </c>
      <c r="AN120" s="1140">
        <f t="shared" ca="1" si="45"/>
        <v>0.5032643886389323</v>
      </c>
      <c r="AP120" s="1154">
        <f t="shared" ca="1" si="46"/>
        <v>6.0391726636671876</v>
      </c>
      <c r="AR120" s="1140">
        <f t="shared" ca="1" si="47"/>
        <v>43.893264388638933</v>
      </c>
      <c r="AT120" s="1154">
        <f t="shared" ca="1" si="48"/>
        <v>523.5991726636671</v>
      </c>
    </row>
    <row r="121" spans="1:46">
      <c r="A121" s="884" t="str">
        <f t="shared" si="51"/>
        <v>PIERCE UTCCommercialRL032.0G1W004WRECC</v>
      </c>
      <c r="B121" s="889" t="s">
        <v>2083</v>
      </c>
      <c r="C121" s="889" t="s">
        <v>2084</v>
      </c>
      <c r="D121" s="889" t="s">
        <v>411</v>
      </c>
      <c r="E121" s="883">
        <v>33000</v>
      </c>
      <c r="F121" s="904">
        <v>56.46</v>
      </c>
      <c r="G121" s="904">
        <v>57.85</v>
      </c>
      <c r="H121" s="904"/>
      <c r="I121" s="906">
        <v>214.55</v>
      </c>
      <c r="J121" s="906">
        <v>169.38</v>
      </c>
      <c r="K121" s="906">
        <v>169.38</v>
      </c>
      <c r="L121" s="906">
        <v>173.55</v>
      </c>
      <c r="M121" s="906">
        <v>173.55</v>
      </c>
      <c r="N121" s="906">
        <v>173.55</v>
      </c>
      <c r="O121" s="906">
        <v>173.55</v>
      </c>
      <c r="P121" s="906">
        <v>173.55</v>
      </c>
      <c r="Q121" s="906">
        <v>115.7</v>
      </c>
      <c r="R121" s="906">
        <v>115.7</v>
      </c>
      <c r="S121" s="906">
        <v>115.7</v>
      </c>
      <c r="T121" s="906">
        <v>115.7</v>
      </c>
      <c r="U121" s="906"/>
      <c r="V121" s="957">
        <f t="shared" si="41"/>
        <v>1883.86</v>
      </c>
      <c r="W121" s="905"/>
      <c r="X121" s="909">
        <f t="shared" si="52"/>
        <v>3.8000354233085369</v>
      </c>
      <c r="Y121" s="906">
        <f t="shared" si="52"/>
        <v>3</v>
      </c>
      <c r="Z121" s="906">
        <f t="shared" si="52"/>
        <v>3</v>
      </c>
      <c r="AA121" s="909">
        <f t="shared" si="50"/>
        <v>3</v>
      </c>
      <c r="AB121" s="909">
        <f t="shared" si="50"/>
        <v>3</v>
      </c>
      <c r="AC121" s="909">
        <f t="shared" si="50"/>
        <v>3</v>
      </c>
      <c r="AD121" s="909">
        <f t="shared" si="49"/>
        <v>3</v>
      </c>
      <c r="AE121" s="909">
        <f t="shared" si="49"/>
        <v>3</v>
      </c>
      <c r="AF121" s="909">
        <f t="shared" si="49"/>
        <v>2</v>
      </c>
      <c r="AG121" s="909">
        <f t="shared" si="49"/>
        <v>2</v>
      </c>
      <c r="AH121" s="909">
        <f t="shared" si="49"/>
        <v>2</v>
      </c>
      <c r="AI121" s="909">
        <f t="shared" si="49"/>
        <v>2</v>
      </c>
      <c r="AJ121" s="907">
        <f t="shared" si="44"/>
        <v>2.7333362852757115</v>
      </c>
      <c r="AN121" s="1140">
        <f t="shared" ca="1" si="45"/>
        <v>0.67098052276474385</v>
      </c>
      <c r="AP121" s="1154">
        <f t="shared" ca="1" si="46"/>
        <v>22.008184915033677</v>
      </c>
      <c r="AR121" s="1140">
        <f t="shared" ca="1" si="47"/>
        <v>58.520980522764745</v>
      </c>
      <c r="AT121" s="1154">
        <f t="shared" ca="1" si="48"/>
        <v>1905.8681849150337</v>
      </c>
    </row>
    <row r="122" spans="1:46">
      <c r="A122" s="884" t="str">
        <f t="shared" si="51"/>
        <v>PIERCE UTCCommercialRL035.0G1W001WRECC</v>
      </c>
      <c r="B122" s="889" t="s">
        <v>2085</v>
      </c>
      <c r="C122" s="889" t="str">
        <f>VLOOKUP(B122,'[45]PI default bill area pricing'!G:H,2,FALSE)</f>
        <v>35 GL 1X WK W/RECY COMM 1</v>
      </c>
      <c r="D122" s="889"/>
      <c r="F122" s="904">
        <v>17.440000000000001</v>
      </c>
      <c r="G122" s="904">
        <v>17.809999999999999</v>
      </c>
      <c r="H122" s="904"/>
      <c r="I122" s="906">
        <v>0</v>
      </c>
      <c r="J122" s="906">
        <v>0</v>
      </c>
      <c r="K122" s="906">
        <v>0</v>
      </c>
      <c r="L122" s="906">
        <v>0</v>
      </c>
      <c r="M122" s="906">
        <v>0</v>
      </c>
      <c r="N122" s="906">
        <v>699.04</v>
      </c>
      <c r="O122" s="906">
        <v>694.59</v>
      </c>
      <c r="P122" s="906">
        <v>1447.0500000000002</v>
      </c>
      <c r="Q122" s="906">
        <v>2849.6</v>
      </c>
      <c r="R122" s="906">
        <v>2981.45</v>
      </c>
      <c r="S122" s="906">
        <v>3081.13</v>
      </c>
      <c r="T122" s="906">
        <v>3081.13</v>
      </c>
      <c r="U122" s="906"/>
      <c r="V122" s="957">
        <f t="shared" si="41"/>
        <v>14833.990000000002</v>
      </c>
      <c r="W122" s="905"/>
      <c r="X122" s="909">
        <f t="shared" si="52"/>
        <v>0</v>
      </c>
      <c r="Y122" s="906">
        <f t="shared" si="52"/>
        <v>0</v>
      </c>
      <c r="Z122" s="906">
        <f t="shared" si="52"/>
        <v>0</v>
      </c>
      <c r="AA122" s="909">
        <f t="shared" si="50"/>
        <v>0</v>
      </c>
      <c r="AB122" s="909">
        <f t="shared" si="50"/>
        <v>0</v>
      </c>
      <c r="AC122" s="909">
        <f t="shared" si="50"/>
        <v>39.249859629421671</v>
      </c>
      <c r="AD122" s="909">
        <f t="shared" si="49"/>
        <v>39.000000000000007</v>
      </c>
      <c r="AE122" s="909">
        <f t="shared" si="49"/>
        <v>81.249298147108377</v>
      </c>
      <c r="AF122" s="909">
        <f t="shared" si="49"/>
        <v>160</v>
      </c>
      <c r="AG122" s="909">
        <f t="shared" si="49"/>
        <v>167.40314430095452</v>
      </c>
      <c r="AH122" s="909">
        <f t="shared" si="49"/>
        <v>173.00000000000003</v>
      </c>
      <c r="AI122" s="909">
        <f t="shared" si="49"/>
        <v>173.00000000000003</v>
      </c>
      <c r="AJ122" s="907">
        <f t="shared" si="44"/>
        <v>69.408525173123721</v>
      </c>
      <c r="AN122" s="1140">
        <f t="shared" ca="1" si="45"/>
        <v>0.20657153172757278</v>
      </c>
      <c r="AP122" s="1154">
        <f t="shared" ca="1" si="46"/>
        <v>172.05390431956755</v>
      </c>
      <c r="AR122" s="1140">
        <f t="shared" ca="1" si="47"/>
        <v>18.016571531727571</v>
      </c>
      <c r="AT122" s="1154">
        <f t="shared" ca="1" si="48"/>
        <v>15006.043904319569</v>
      </c>
    </row>
    <row r="123" spans="1:46">
      <c r="A123" s="884" t="str">
        <f t="shared" si="51"/>
        <v>PIERCE UTCCommercialRL035.0G1W001NORECC</v>
      </c>
      <c r="B123" s="889" t="s">
        <v>2086</v>
      </c>
      <c r="C123" s="889" t="str">
        <f>VLOOKUP(B123,'[45]PI default bill area pricing'!G:H,2,FALSE)</f>
        <v>35 GL 1X WK NO RECY COMM</v>
      </c>
      <c r="D123" s="889"/>
      <c r="F123" s="904">
        <v>17.440000000000001</v>
      </c>
      <c r="G123" s="904">
        <v>17.809999999999999</v>
      </c>
      <c r="H123" s="904"/>
      <c r="I123" s="906">
        <v>0</v>
      </c>
      <c r="J123" s="906">
        <v>0</v>
      </c>
      <c r="K123" s="906">
        <v>0</v>
      </c>
      <c r="L123" s="906">
        <v>0</v>
      </c>
      <c r="M123" s="906">
        <v>0</v>
      </c>
      <c r="N123" s="906">
        <v>0</v>
      </c>
      <c r="O123" s="906">
        <v>0</v>
      </c>
      <c r="P123" s="906">
        <v>0</v>
      </c>
      <c r="Q123" s="906">
        <v>0</v>
      </c>
      <c r="R123" s="906">
        <v>0</v>
      </c>
      <c r="S123" s="906">
        <v>249.34</v>
      </c>
      <c r="T123" s="906">
        <v>35.619999999999997</v>
      </c>
      <c r="U123" s="906"/>
      <c r="V123" s="957">
        <f t="shared" si="41"/>
        <v>284.95999999999998</v>
      </c>
      <c r="W123" s="905"/>
      <c r="X123" s="909">
        <f t="shared" si="52"/>
        <v>0</v>
      </c>
      <c r="Y123" s="906">
        <f t="shared" si="52"/>
        <v>0</v>
      </c>
      <c r="Z123" s="906">
        <f t="shared" si="52"/>
        <v>0</v>
      </c>
      <c r="AA123" s="909">
        <f t="shared" si="50"/>
        <v>0</v>
      </c>
      <c r="AB123" s="909">
        <f t="shared" si="50"/>
        <v>0</v>
      </c>
      <c r="AC123" s="909">
        <f t="shared" si="50"/>
        <v>0</v>
      </c>
      <c r="AD123" s="909">
        <f t="shared" si="49"/>
        <v>0</v>
      </c>
      <c r="AE123" s="909">
        <f t="shared" si="49"/>
        <v>0</v>
      </c>
      <c r="AF123" s="909">
        <f t="shared" si="49"/>
        <v>0</v>
      </c>
      <c r="AG123" s="909">
        <f t="shared" si="49"/>
        <v>0</v>
      </c>
      <c r="AH123" s="909">
        <f t="shared" si="49"/>
        <v>14.000000000000002</v>
      </c>
      <c r="AI123" s="909">
        <f t="shared" si="49"/>
        <v>2</v>
      </c>
      <c r="AJ123" s="907">
        <f t="shared" si="44"/>
        <v>1.3333333333333333</v>
      </c>
      <c r="AN123" s="1140">
        <f t="shared" ca="1" si="45"/>
        <v>0.20657153172757278</v>
      </c>
      <c r="AP123" s="1154">
        <f t="shared" ca="1" si="46"/>
        <v>3.3051445076411641</v>
      </c>
      <c r="AR123" s="1140">
        <f t="shared" ca="1" si="47"/>
        <v>18.016571531727571</v>
      </c>
      <c r="AT123" s="1154">
        <f t="shared" ca="1" si="48"/>
        <v>288.26514450764114</v>
      </c>
    </row>
    <row r="124" spans="1:46">
      <c r="A124" s="884" t="str">
        <f t="shared" si="51"/>
        <v>PIERCE UTCCommercialSL065.0G1W001NORECC</v>
      </c>
      <c r="B124" s="889" t="s">
        <v>2087</v>
      </c>
      <c r="C124" s="889" t="s">
        <v>2088</v>
      </c>
      <c r="D124" s="889" t="s">
        <v>411</v>
      </c>
      <c r="E124" s="883">
        <v>33000</v>
      </c>
      <c r="F124" s="904">
        <v>28.58</v>
      </c>
      <c r="G124" s="904">
        <v>29.18</v>
      </c>
      <c r="H124" s="904"/>
      <c r="I124" s="906">
        <v>1160.3399999999999</v>
      </c>
      <c r="J124" s="906">
        <v>1171.78</v>
      </c>
      <c r="K124" s="906">
        <v>1186.07</v>
      </c>
      <c r="L124" s="906">
        <v>1254.74</v>
      </c>
      <c r="M124" s="906">
        <v>1254.74</v>
      </c>
      <c r="N124" s="906">
        <v>1669.1</v>
      </c>
      <c r="O124" s="906">
        <v>1539.24</v>
      </c>
      <c r="P124" s="906">
        <v>1466.3</v>
      </c>
      <c r="Q124" s="906">
        <v>1639.92</v>
      </c>
      <c r="R124" s="906">
        <v>1546.54</v>
      </c>
      <c r="S124" s="906">
        <v>1587.21</v>
      </c>
      <c r="T124" s="906">
        <v>1604.9</v>
      </c>
      <c r="U124" s="906"/>
      <c r="V124" s="957">
        <f t="shared" si="41"/>
        <v>17080.879999999997</v>
      </c>
      <c r="W124" s="905"/>
      <c r="X124" s="909">
        <f t="shared" si="52"/>
        <v>40.599720083974809</v>
      </c>
      <c r="Y124" s="906">
        <f t="shared" si="52"/>
        <v>41</v>
      </c>
      <c r="Z124" s="906">
        <f t="shared" si="52"/>
        <v>41.5</v>
      </c>
      <c r="AA124" s="909">
        <f t="shared" si="50"/>
        <v>43</v>
      </c>
      <c r="AB124" s="909">
        <f t="shared" si="50"/>
        <v>43</v>
      </c>
      <c r="AC124" s="909">
        <f t="shared" si="50"/>
        <v>57.200137080191908</v>
      </c>
      <c r="AD124" s="909">
        <f t="shared" si="49"/>
        <v>52.749828649760111</v>
      </c>
      <c r="AE124" s="909">
        <f t="shared" si="49"/>
        <v>50.250171350239889</v>
      </c>
      <c r="AF124" s="909">
        <f t="shared" si="49"/>
        <v>56.200137080191915</v>
      </c>
      <c r="AG124" s="909">
        <f t="shared" si="49"/>
        <v>53</v>
      </c>
      <c r="AH124" s="909">
        <f t="shared" si="49"/>
        <v>54.393762851267994</v>
      </c>
      <c r="AI124" s="909">
        <f t="shared" si="49"/>
        <v>55.000000000000007</v>
      </c>
      <c r="AJ124" s="907">
        <f t="shared" si="44"/>
        <v>48.991146424635552</v>
      </c>
      <c r="AN124" s="1140">
        <f t="shared" ca="1" si="45"/>
        <v>0.33844791105056565</v>
      </c>
      <c r="AP124" s="1154">
        <f t="shared" ca="1" si="46"/>
        <v>198.9714140086835</v>
      </c>
      <c r="AR124" s="1140">
        <f t="shared" ca="1" si="47"/>
        <v>29.518447911050565</v>
      </c>
      <c r="AT124" s="1154">
        <f t="shared" ca="1" si="48"/>
        <v>17279.851414008681</v>
      </c>
    </row>
    <row r="125" spans="1:46">
      <c r="A125" s="884" t="str">
        <f t="shared" si="51"/>
        <v>PIERCE UTCCommercialSL065.0G1W001WRECC</v>
      </c>
      <c r="B125" s="889" t="s">
        <v>2089</v>
      </c>
      <c r="C125" s="889" t="s">
        <v>2090</v>
      </c>
      <c r="D125" s="889" t="s">
        <v>411</v>
      </c>
      <c r="E125" s="883">
        <v>33000</v>
      </c>
      <c r="F125" s="904">
        <v>28.58</v>
      </c>
      <c r="G125" s="904">
        <v>29.18</v>
      </c>
      <c r="H125" s="904"/>
      <c r="I125" s="906">
        <v>12743.84</v>
      </c>
      <c r="J125" s="906">
        <v>12500.89</v>
      </c>
      <c r="K125" s="906">
        <v>12446.62</v>
      </c>
      <c r="L125" s="906">
        <v>12759.97</v>
      </c>
      <c r="M125" s="906">
        <v>12882.99</v>
      </c>
      <c r="N125" s="906">
        <v>12940.52</v>
      </c>
      <c r="O125" s="906">
        <v>13524.94</v>
      </c>
      <c r="P125" s="906">
        <v>14057.470000000001</v>
      </c>
      <c r="Q125" s="906">
        <v>13971.39</v>
      </c>
      <c r="R125" s="906">
        <v>13777.35</v>
      </c>
      <c r="S125" s="906">
        <v>13812.35</v>
      </c>
      <c r="T125" s="906">
        <v>13867.81</v>
      </c>
      <c r="U125" s="906"/>
      <c r="V125" s="957">
        <f t="shared" si="41"/>
        <v>159286.14000000001</v>
      </c>
      <c r="W125" s="905"/>
      <c r="X125" s="909">
        <f t="shared" si="52"/>
        <v>445.90062981105672</v>
      </c>
      <c r="Y125" s="906">
        <f t="shared" si="52"/>
        <v>437.39993002099374</v>
      </c>
      <c r="Z125" s="906">
        <f t="shared" si="52"/>
        <v>435.50104968509453</v>
      </c>
      <c r="AA125" s="909">
        <f t="shared" si="50"/>
        <v>437.28478409869774</v>
      </c>
      <c r="AB125" s="909">
        <f t="shared" si="50"/>
        <v>441.50068540095958</v>
      </c>
      <c r="AC125" s="909">
        <f t="shared" si="50"/>
        <v>443.47224126113781</v>
      </c>
      <c r="AD125" s="909">
        <f t="shared" si="49"/>
        <v>463.50034270047979</v>
      </c>
      <c r="AE125" s="909">
        <f t="shared" si="49"/>
        <v>481.75017135023995</v>
      </c>
      <c r="AF125" s="909">
        <f t="shared" si="49"/>
        <v>478.80020562028784</v>
      </c>
      <c r="AG125" s="909">
        <f t="shared" si="49"/>
        <v>472.15044551062374</v>
      </c>
      <c r="AH125" s="909">
        <f t="shared" si="49"/>
        <v>473.34989718985611</v>
      </c>
      <c r="AI125" s="909">
        <f t="shared" si="49"/>
        <v>475.25051405071963</v>
      </c>
      <c r="AJ125" s="907">
        <f t="shared" si="44"/>
        <v>457.15507472501213</v>
      </c>
      <c r="AN125" s="1140">
        <f t="shared" ca="1" si="45"/>
        <v>0.33844791105056565</v>
      </c>
      <c r="AP125" s="1154">
        <f t="shared" ca="1" si="46"/>
        <v>1856.6781608021472</v>
      </c>
      <c r="AR125" s="1140">
        <f t="shared" ca="1" si="47"/>
        <v>29.518447911050565</v>
      </c>
      <c r="AT125" s="1154">
        <f t="shared" ca="1" si="48"/>
        <v>161142.81816080216</v>
      </c>
    </row>
    <row r="126" spans="1:46">
      <c r="A126" s="884" t="str">
        <f t="shared" si="51"/>
        <v>PIERCE UTCCommercialSL065.0GEO001NORECC</v>
      </c>
      <c r="B126" s="889" t="s">
        <v>2091</v>
      </c>
      <c r="C126" s="889" t="s">
        <v>2092</v>
      </c>
      <c r="D126" s="889" t="s">
        <v>411</v>
      </c>
      <c r="E126" s="883">
        <v>33000</v>
      </c>
      <c r="F126" s="904">
        <v>20.3</v>
      </c>
      <c r="G126" s="904">
        <v>20.9</v>
      </c>
      <c r="H126" s="904"/>
      <c r="I126" s="906">
        <v>182.7</v>
      </c>
      <c r="J126" s="906">
        <v>182.7</v>
      </c>
      <c r="K126" s="906">
        <v>182.7</v>
      </c>
      <c r="L126" s="906">
        <v>188.1</v>
      </c>
      <c r="M126" s="906">
        <v>188.1</v>
      </c>
      <c r="N126" s="906">
        <v>188.1</v>
      </c>
      <c r="O126" s="906">
        <v>188.1</v>
      </c>
      <c r="P126" s="906">
        <v>188.1</v>
      </c>
      <c r="Q126" s="906">
        <v>188.1</v>
      </c>
      <c r="R126" s="906">
        <v>188.1</v>
      </c>
      <c r="S126" s="906">
        <v>188.1</v>
      </c>
      <c r="T126" s="906">
        <v>198.55</v>
      </c>
      <c r="U126" s="906"/>
      <c r="V126" s="957">
        <f t="shared" si="41"/>
        <v>2251.4499999999998</v>
      </c>
      <c r="W126" s="905"/>
      <c r="X126" s="909">
        <f t="shared" si="52"/>
        <v>9</v>
      </c>
      <c r="Y126" s="906">
        <f t="shared" si="52"/>
        <v>9</v>
      </c>
      <c r="Z126" s="906">
        <f t="shared" si="52"/>
        <v>9</v>
      </c>
      <c r="AA126" s="909">
        <f t="shared" si="50"/>
        <v>9</v>
      </c>
      <c r="AB126" s="909">
        <f t="shared" si="50"/>
        <v>9</v>
      </c>
      <c r="AC126" s="909">
        <f t="shared" si="50"/>
        <v>9</v>
      </c>
      <c r="AD126" s="909">
        <f t="shared" si="49"/>
        <v>9</v>
      </c>
      <c r="AE126" s="909">
        <f t="shared" si="49"/>
        <v>9</v>
      </c>
      <c r="AF126" s="909">
        <f t="shared" si="49"/>
        <v>9</v>
      </c>
      <c r="AG126" s="909">
        <f t="shared" si="49"/>
        <v>9</v>
      </c>
      <c r="AH126" s="909">
        <f t="shared" si="49"/>
        <v>9</v>
      </c>
      <c r="AI126" s="909">
        <f t="shared" si="49"/>
        <v>9.5000000000000018</v>
      </c>
      <c r="AJ126" s="907">
        <f t="shared" si="44"/>
        <v>9.0416666666666661</v>
      </c>
      <c r="AN126" s="1140">
        <f t="shared" ca="1" si="45"/>
        <v>0.24241128653039143</v>
      </c>
      <c r="AP126" s="1154">
        <f t="shared" ca="1" si="46"/>
        <v>26.301624588547469</v>
      </c>
      <c r="AR126" s="1140">
        <f t="shared" ca="1" si="47"/>
        <v>21.14241128653039</v>
      </c>
      <c r="AT126" s="1154">
        <f t="shared" ca="1" si="48"/>
        <v>2277.7516245885472</v>
      </c>
    </row>
    <row r="127" spans="1:46">
      <c r="A127" s="884" t="str">
        <f t="shared" si="51"/>
        <v>PIERCE UTCCommercialSL065.0GEO001WRECC</v>
      </c>
      <c r="B127" s="889" t="s">
        <v>2093</v>
      </c>
      <c r="C127" s="889" t="s">
        <v>2094</v>
      </c>
      <c r="D127" s="889" t="s">
        <v>411</v>
      </c>
      <c r="E127" s="883">
        <v>33000</v>
      </c>
      <c r="F127" s="904">
        <v>20.3</v>
      </c>
      <c r="G127" s="904">
        <v>20.9</v>
      </c>
      <c r="H127" s="904"/>
      <c r="I127" s="906">
        <v>1979.25</v>
      </c>
      <c r="J127" s="906">
        <v>1992.78</v>
      </c>
      <c r="K127" s="906">
        <v>2009.7</v>
      </c>
      <c r="L127" s="906">
        <v>1969.83</v>
      </c>
      <c r="M127" s="906">
        <v>1954.15</v>
      </c>
      <c r="N127" s="906">
        <v>1985.5</v>
      </c>
      <c r="O127" s="906">
        <v>1964.6</v>
      </c>
      <c r="P127" s="906">
        <v>1922.8</v>
      </c>
      <c r="Q127" s="906">
        <v>1978.53</v>
      </c>
      <c r="R127" s="906">
        <v>1995.95</v>
      </c>
      <c r="S127" s="906">
        <v>2012.67</v>
      </c>
      <c r="T127" s="906">
        <v>2027.3</v>
      </c>
      <c r="U127" s="906"/>
      <c r="V127" s="957">
        <f t="shared" si="41"/>
        <v>23793.06</v>
      </c>
      <c r="W127" s="905"/>
      <c r="X127" s="909">
        <f t="shared" si="52"/>
        <v>97.5</v>
      </c>
      <c r="Y127" s="906">
        <f t="shared" si="52"/>
        <v>98.166502463054186</v>
      </c>
      <c r="Z127" s="906">
        <f t="shared" si="52"/>
        <v>99</v>
      </c>
      <c r="AA127" s="909">
        <f t="shared" si="50"/>
        <v>94.250239234449765</v>
      </c>
      <c r="AB127" s="909">
        <f t="shared" si="50"/>
        <v>93.500000000000014</v>
      </c>
      <c r="AC127" s="909">
        <f t="shared" si="50"/>
        <v>95</v>
      </c>
      <c r="AD127" s="909">
        <f t="shared" si="49"/>
        <v>94</v>
      </c>
      <c r="AE127" s="909">
        <f t="shared" si="49"/>
        <v>92</v>
      </c>
      <c r="AF127" s="909">
        <f t="shared" si="49"/>
        <v>94.666507177033495</v>
      </c>
      <c r="AG127" s="909">
        <f t="shared" si="49"/>
        <v>95.500000000000014</v>
      </c>
      <c r="AH127" s="909">
        <f t="shared" si="49"/>
        <v>96.300000000000011</v>
      </c>
      <c r="AI127" s="909">
        <f t="shared" si="49"/>
        <v>97</v>
      </c>
      <c r="AJ127" s="907">
        <f t="shared" si="44"/>
        <v>95.573604072878126</v>
      </c>
      <c r="AN127" s="1140">
        <f t="shared" ca="1" si="45"/>
        <v>0.24241128653039143</v>
      </c>
      <c r="AP127" s="1154">
        <f t="shared" ca="1" si="46"/>
        <v>278.0174438598317</v>
      </c>
      <c r="AR127" s="1140">
        <f t="shared" ca="1" si="47"/>
        <v>21.14241128653039</v>
      </c>
      <c r="AT127" s="1154">
        <f t="shared" ca="1" si="48"/>
        <v>24071.077443859835</v>
      </c>
    </row>
    <row r="128" spans="1:46">
      <c r="A128" s="884" t="str">
        <f t="shared" si="51"/>
        <v>PIERCE UTCCommercialSL095.0G1W001NORECC</v>
      </c>
      <c r="B128" s="889" t="s">
        <v>2095</v>
      </c>
      <c r="C128" s="889" t="s">
        <v>2096</v>
      </c>
      <c r="D128" s="889" t="s">
        <v>411</v>
      </c>
      <c r="E128" s="883">
        <v>33000</v>
      </c>
      <c r="F128" s="904">
        <v>36.369999999999997</v>
      </c>
      <c r="G128" s="904">
        <v>37.24</v>
      </c>
      <c r="H128" s="904"/>
      <c r="I128" s="906">
        <v>1891.24</v>
      </c>
      <c r="J128" s="906">
        <v>1933.06</v>
      </c>
      <c r="K128" s="906">
        <v>1936.7</v>
      </c>
      <c r="L128" s="906">
        <v>2004.72</v>
      </c>
      <c r="M128" s="906">
        <v>1981.16</v>
      </c>
      <c r="N128" s="906">
        <v>9265.31</v>
      </c>
      <c r="O128" s="906">
        <v>8509.34</v>
      </c>
      <c r="P128" s="906">
        <v>7328.83</v>
      </c>
      <c r="Q128" s="906">
        <v>8807.26</v>
      </c>
      <c r="R128" s="906">
        <v>8844.5</v>
      </c>
      <c r="S128" s="906">
        <v>10583.59</v>
      </c>
      <c r="T128" s="906">
        <v>7811.09</v>
      </c>
      <c r="U128" s="906"/>
      <c r="V128" s="957">
        <f t="shared" si="41"/>
        <v>70896.800000000003</v>
      </c>
      <c r="W128" s="905"/>
      <c r="X128" s="909">
        <f t="shared" si="52"/>
        <v>52.000000000000007</v>
      </c>
      <c r="Y128" s="906">
        <f t="shared" si="52"/>
        <v>53.149848776464118</v>
      </c>
      <c r="Z128" s="906">
        <f t="shared" si="52"/>
        <v>53.249931262029151</v>
      </c>
      <c r="AA128" s="909">
        <f t="shared" si="50"/>
        <v>53.832438238453271</v>
      </c>
      <c r="AB128" s="909">
        <f t="shared" si="50"/>
        <v>53.199785177228783</v>
      </c>
      <c r="AC128" s="909">
        <f t="shared" si="50"/>
        <v>248.79994629430718</v>
      </c>
      <c r="AD128" s="909">
        <f t="shared" si="49"/>
        <v>228.5</v>
      </c>
      <c r="AE128" s="909">
        <f t="shared" si="49"/>
        <v>196.79994629430718</v>
      </c>
      <c r="AF128" s="909">
        <f t="shared" si="49"/>
        <v>236.5</v>
      </c>
      <c r="AG128" s="909">
        <f t="shared" si="49"/>
        <v>237.5</v>
      </c>
      <c r="AH128" s="909">
        <f t="shared" si="49"/>
        <v>284.19951664876476</v>
      </c>
      <c r="AI128" s="909">
        <f t="shared" si="49"/>
        <v>209.75</v>
      </c>
      <c r="AJ128" s="907">
        <f t="shared" si="44"/>
        <v>158.95678439096287</v>
      </c>
      <c r="AN128" s="1140">
        <f t="shared" ca="1" si="45"/>
        <v>0.43193283781778841</v>
      </c>
      <c r="AP128" s="1154">
        <f t="shared" ca="1" si="46"/>
        <v>823.90385966854706</v>
      </c>
      <c r="AR128" s="1140">
        <f t="shared" ca="1" si="47"/>
        <v>37.671932837817792</v>
      </c>
      <c r="AT128" s="1154">
        <f t="shared" ca="1" si="48"/>
        <v>71720.703859668545</v>
      </c>
    </row>
    <row r="129" spans="1:46">
      <c r="A129" s="884" t="str">
        <f t="shared" si="51"/>
        <v>PIERCE UTCCommercialSL095.0G1W001WRECC</v>
      </c>
      <c r="B129" s="889" t="s">
        <v>2097</v>
      </c>
      <c r="C129" s="889" t="s">
        <v>2098</v>
      </c>
      <c r="D129" s="889" t="s">
        <v>411</v>
      </c>
      <c r="E129" s="883">
        <v>33000</v>
      </c>
      <c r="F129" s="904">
        <v>36.369999999999997</v>
      </c>
      <c r="G129" s="904">
        <v>37.24</v>
      </c>
      <c r="H129" s="904"/>
      <c r="I129" s="906">
        <v>10738.24</v>
      </c>
      <c r="J129" s="906">
        <v>10490.94</v>
      </c>
      <c r="K129" s="906">
        <v>10547.3</v>
      </c>
      <c r="L129" s="906">
        <v>10629.3</v>
      </c>
      <c r="M129" s="906">
        <v>10798.94</v>
      </c>
      <c r="N129" s="906">
        <v>9417.99</v>
      </c>
      <c r="O129" s="906">
        <v>9524.1299999999992</v>
      </c>
      <c r="P129" s="906">
        <v>9727.08</v>
      </c>
      <c r="Q129" s="906">
        <v>9849.9800000000014</v>
      </c>
      <c r="R129" s="906">
        <v>9812.7400000000016</v>
      </c>
      <c r="S129" s="906">
        <v>9921.73</v>
      </c>
      <c r="T129" s="906">
        <v>9095.8700000000008</v>
      </c>
      <c r="U129" s="906"/>
      <c r="V129" s="957">
        <f t="shared" si="41"/>
        <v>120554.23999999999</v>
      </c>
      <c r="W129" s="905"/>
      <c r="X129" s="909">
        <f t="shared" si="52"/>
        <v>295.24993126202918</v>
      </c>
      <c r="Y129" s="906">
        <f t="shared" si="52"/>
        <v>288.45037118504263</v>
      </c>
      <c r="Z129" s="906">
        <f t="shared" si="52"/>
        <v>290</v>
      </c>
      <c r="AA129" s="909">
        <f t="shared" si="50"/>
        <v>285.4269602577873</v>
      </c>
      <c r="AB129" s="909">
        <f t="shared" si="50"/>
        <v>289.98227712137486</v>
      </c>
      <c r="AC129" s="909">
        <f t="shared" si="50"/>
        <v>252.89983888292156</v>
      </c>
      <c r="AD129" s="909">
        <f t="shared" si="49"/>
        <v>255.74999999999997</v>
      </c>
      <c r="AE129" s="909">
        <f t="shared" si="49"/>
        <v>261.19978517722876</v>
      </c>
      <c r="AF129" s="909">
        <f t="shared" si="49"/>
        <v>264.5</v>
      </c>
      <c r="AG129" s="909">
        <f t="shared" si="49"/>
        <v>263.50000000000006</v>
      </c>
      <c r="AH129" s="909">
        <f t="shared" si="49"/>
        <v>266.4266917293233</v>
      </c>
      <c r="AI129" s="909">
        <f t="shared" si="49"/>
        <v>244.25</v>
      </c>
      <c r="AJ129" s="907">
        <f t="shared" si="44"/>
        <v>271.46965463464232</v>
      </c>
      <c r="AN129" s="1140">
        <f t="shared" ca="1" si="45"/>
        <v>0.43193283781778841</v>
      </c>
      <c r="AP129" s="1154">
        <f t="shared" ca="1" si="46"/>
        <v>1407.0798996930721</v>
      </c>
      <c r="AR129" s="1140">
        <f t="shared" ca="1" si="47"/>
        <v>37.671932837817792</v>
      </c>
      <c r="AT129" s="1154">
        <f t="shared" ca="1" si="48"/>
        <v>121961.31989969306</v>
      </c>
    </row>
    <row r="130" spans="1:46">
      <c r="A130" s="884" t="str">
        <f t="shared" si="51"/>
        <v>PIERCE UTCCommercialSL095.0GEO001NORECC</v>
      </c>
      <c r="B130" s="889" t="s">
        <v>2099</v>
      </c>
      <c r="C130" s="889" t="s">
        <v>2100</v>
      </c>
      <c r="D130" s="889" t="s">
        <v>411</v>
      </c>
      <c r="E130" s="883">
        <v>33000</v>
      </c>
      <c r="F130" s="904">
        <v>25.95</v>
      </c>
      <c r="G130" s="904">
        <v>26.81</v>
      </c>
      <c r="H130" s="904"/>
      <c r="I130" s="906">
        <v>168.68</v>
      </c>
      <c r="J130" s="906">
        <v>155.69999999999999</v>
      </c>
      <c r="K130" s="906">
        <v>129.75</v>
      </c>
      <c r="L130" s="906">
        <v>134.05000000000001</v>
      </c>
      <c r="M130" s="906">
        <v>107.24</v>
      </c>
      <c r="N130" s="906">
        <v>107.24</v>
      </c>
      <c r="O130" s="906">
        <v>107.24</v>
      </c>
      <c r="P130" s="906">
        <v>107.24</v>
      </c>
      <c r="Q130" s="906">
        <v>107.24</v>
      </c>
      <c r="R130" s="906">
        <v>80.430000000000007</v>
      </c>
      <c r="S130" s="906">
        <v>107.24</v>
      </c>
      <c r="T130" s="906">
        <v>107.24</v>
      </c>
      <c r="U130" s="906"/>
      <c r="V130" s="957">
        <f t="shared" si="41"/>
        <v>1419.2900000000002</v>
      </c>
      <c r="W130" s="905"/>
      <c r="X130" s="909">
        <f t="shared" si="52"/>
        <v>6.5001926782273607</v>
      </c>
      <c r="Y130" s="906">
        <f t="shared" si="52"/>
        <v>6</v>
      </c>
      <c r="Z130" s="906">
        <f t="shared" si="52"/>
        <v>5</v>
      </c>
      <c r="AA130" s="909">
        <f t="shared" si="50"/>
        <v>5.0000000000000009</v>
      </c>
      <c r="AB130" s="909">
        <f t="shared" si="50"/>
        <v>4</v>
      </c>
      <c r="AC130" s="909">
        <f t="shared" si="50"/>
        <v>4</v>
      </c>
      <c r="AD130" s="909">
        <f t="shared" si="49"/>
        <v>4</v>
      </c>
      <c r="AE130" s="909">
        <f t="shared" si="49"/>
        <v>4</v>
      </c>
      <c r="AF130" s="909">
        <f t="shared" si="49"/>
        <v>4</v>
      </c>
      <c r="AG130" s="909">
        <f t="shared" si="49"/>
        <v>3.0000000000000004</v>
      </c>
      <c r="AH130" s="909">
        <f t="shared" si="49"/>
        <v>4</v>
      </c>
      <c r="AI130" s="909">
        <f t="shared" si="49"/>
        <v>4</v>
      </c>
      <c r="AJ130" s="907">
        <f t="shared" si="44"/>
        <v>4.4583493898522804</v>
      </c>
      <c r="AN130" s="1140">
        <f t="shared" ca="1" si="45"/>
        <v>0.31095916707558824</v>
      </c>
      <c r="AP130" s="1154">
        <f t="shared" ca="1" si="46"/>
        <v>16.636375353605064</v>
      </c>
      <c r="AR130" s="1140">
        <f t="shared" ca="1" si="47"/>
        <v>27.120959167075586</v>
      </c>
      <c r="AT130" s="1154">
        <f t="shared" ca="1" si="48"/>
        <v>1435.9263753536052</v>
      </c>
    </row>
    <row r="131" spans="1:46">
      <c r="A131" s="884" t="str">
        <f t="shared" si="51"/>
        <v>PIERCE UTCCommercialSL095.0GEO001WRECC</v>
      </c>
      <c r="B131" s="889" t="s">
        <v>2101</v>
      </c>
      <c r="C131" s="889" t="s">
        <v>2102</v>
      </c>
      <c r="D131" s="889" t="s">
        <v>411</v>
      </c>
      <c r="E131" s="883">
        <v>33000</v>
      </c>
      <c r="F131" s="904">
        <v>25.95</v>
      </c>
      <c r="G131" s="904">
        <v>26.81</v>
      </c>
      <c r="H131" s="904"/>
      <c r="I131" s="906">
        <v>415.2</v>
      </c>
      <c r="J131" s="906">
        <v>415.2</v>
      </c>
      <c r="K131" s="906">
        <v>415.2</v>
      </c>
      <c r="L131" s="906">
        <v>428.96</v>
      </c>
      <c r="M131" s="906">
        <v>428.96</v>
      </c>
      <c r="N131" s="906">
        <v>428.96</v>
      </c>
      <c r="O131" s="906">
        <v>442.37</v>
      </c>
      <c r="P131" s="906">
        <v>455.77</v>
      </c>
      <c r="Q131" s="906">
        <v>428.96</v>
      </c>
      <c r="R131" s="906">
        <v>428.96</v>
      </c>
      <c r="S131" s="906">
        <v>402.15</v>
      </c>
      <c r="T131" s="906">
        <v>402.15</v>
      </c>
      <c r="U131" s="906"/>
      <c r="V131" s="957">
        <f t="shared" si="41"/>
        <v>5092.8399999999992</v>
      </c>
      <c r="W131" s="905"/>
      <c r="X131" s="909">
        <f t="shared" si="52"/>
        <v>16</v>
      </c>
      <c r="Y131" s="906">
        <f t="shared" si="52"/>
        <v>16</v>
      </c>
      <c r="Z131" s="906">
        <f t="shared" si="52"/>
        <v>16</v>
      </c>
      <c r="AA131" s="909">
        <f t="shared" si="50"/>
        <v>16</v>
      </c>
      <c r="AB131" s="909">
        <f t="shared" si="50"/>
        <v>16</v>
      </c>
      <c r="AC131" s="909">
        <f t="shared" si="50"/>
        <v>16</v>
      </c>
      <c r="AD131" s="909">
        <f t="shared" si="49"/>
        <v>16.500186497575534</v>
      </c>
      <c r="AE131" s="909">
        <f t="shared" si="49"/>
        <v>17</v>
      </c>
      <c r="AF131" s="909">
        <f t="shared" si="49"/>
        <v>16</v>
      </c>
      <c r="AG131" s="909">
        <f t="shared" si="49"/>
        <v>16</v>
      </c>
      <c r="AH131" s="909">
        <f t="shared" si="49"/>
        <v>15</v>
      </c>
      <c r="AI131" s="909">
        <f t="shared" si="49"/>
        <v>15</v>
      </c>
      <c r="AJ131" s="907">
        <f t="shared" si="44"/>
        <v>15.958348874797961</v>
      </c>
      <c r="AN131" s="1140">
        <f t="shared" ca="1" si="45"/>
        <v>0.31095916707558824</v>
      </c>
      <c r="AP131" s="1154">
        <f t="shared" ca="1" si="46"/>
        <v>59.548738488105897</v>
      </c>
      <c r="AR131" s="1140">
        <f t="shared" ca="1" si="47"/>
        <v>27.120959167075586</v>
      </c>
      <c r="AT131" s="1154">
        <f t="shared" ca="1" si="48"/>
        <v>5152.3887384881054</v>
      </c>
    </row>
    <row r="132" spans="1:46">
      <c r="A132" s="884" t="str">
        <f t="shared" si="51"/>
        <v>PIERCE UTCCommercialCANCOUNT65-COMM</v>
      </c>
      <c r="B132" s="889" t="s">
        <v>2103</v>
      </c>
      <c r="C132" s="889" t="s">
        <v>2104</v>
      </c>
      <c r="D132" s="889" t="s">
        <v>411</v>
      </c>
      <c r="E132" s="883">
        <v>33000</v>
      </c>
      <c r="F132" s="904">
        <v>6.6</v>
      </c>
      <c r="G132" s="904">
        <v>6.74</v>
      </c>
      <c r="H132" s="904"/>
      <c r="I132" s="906">
        <v>2811.6</v>
      </c>
      <c r="J132" s="906">
        <v>3735.6</v>
      </c>
      <c r="K132" s="906">
        <v>2310.7600000000002</v>
      </c>
      <c r="L132" s="906">
        <v>3093.66</v>
      </c>
      <c r="M132" s="906">
        <v>3740.7</v>
      </c>
      <c r="N132" s="906">
        <v>3059.96</v>
      </c>
      <c r="O132" s="906">
        <v>2763.4</v>
      </c>
      <c r="P132" s="906">
        <v>2844.28</v>
      </c>
      <c r="Q132" s="906">
        <v>2621.86</v>
      </c>
      <c r="R132" s="906">
        <v>2487.06</v>
      </c>
      <c r="S132" s="906">
        <v>2958.86</v>
      </c>
      <c r="T132" s="906">
        <v>2352.2600000000002</v>
      </c>
      <c r="U132" s="906"/>
      <c r="V132" s="957">
        <f t="shared" si="41"/>
        <v>34780</v>
      </c>
      <c r="W132" s="905"/>
      <c r="X132" s="909">
        <f t="shared" si="52"/>
        <v>426</v>
      </c>
      <c r="Y132" s="906">
        <f t="shared" si="52"/>
        <v>566</v>
      </c>
      <c r="Z132" s="906">
        <f t="shared" si="52"/>
        <v>350.11515151515158</v>
      </c>
      <c r="AA132" s="909">
        <f t="shared" si="50"/>
        <v>458.99999999999994</v>
      </c>
      <c r="AB132" s="909">
        <f t="shared" si="50"/>
        <v>555</v>
      </c>
      <c r="AC132" s="909">
        <f t="shared" si="50"/>
        <v>454</v>
      </c>
      <c r="AD132" s="909">
        <f t="shared" si="49"/>
        <v>410</v>
      </c>
      <c r="AE132" s="909">
        <f t="shared" si="49"/>
        <v>422</v>
      </c>
      <c r="AF132" s="909">
        <f t="shared" si="49"/>
        <v>389</v>
      </c>
      <c r="AG132" s="909">
        <f t="shared" si="49"/>
        <v>369</v>
      </c>
      <c r="AH132" s="909">
        <f t="shared" si="49"/>
        <v>439</v>
      </c>
      <c r="AI132" s="909">
        <f t="shared" si="49"/>
        <v>349</v>
      </c>
      <c r="AJ132" s="938">
        <f t="shared" si="44"/>
        <v>432.34292929292928</v>
      </c>
      <c r="AK132" s="907">
        <f>AJ132/4.33</f>
        <v>99.848251568805836</v>
      </c>
      <c r="AN132" s="1140">
        <f t="shared" ca="1" si="45"/>
        <v>7.8174740249513805E-2</v>
      </c>
      <c r="AP132" s="1154">
        <f t="shared" ca="1" si="46"/>
        <v>405.57955435426391</v>
      </c>
      <c r="AR132" s="1140">
        <f t="shared" ca="1" si="47"/>
        <v>6.8181747402495141</v>
      </c>
      <c r="AT132" s="1154">
        <f t="shared" ca="1" si="48"/>
        <v>35185.579554354263</v>
      </c>
    </row>
    <row r="133" spans="1:46">
      <c r="A133" s="884" t="str">
        <f t="shared" si="51"/>
        <v>PIERCE UTCCommercialCANCOUNT95-COMM</v>
      </c>
      <c r="B133" s="889" t="s">
        <v>2105</v>
      </c>
      <c r="C133" s="889" t="s">
        <v>2106</v>
      </c>
      <c r="D133" s="889" t="s">
        <v>411</v>
      </c>
      <c r="E133" s="883">
        <v>33000</v>
      </c>
      <c r="F133" s="904">
        <v>8.4</v>
      </c>
      <c r="G133" s="904">
        <v>8.6</v>
      </c>
      <c r="H133" s="904"/>
      <c r="I133" s="906">
        <v>4636.7999999999993</v>
      </c>
      <c r="J133" s="906">
        <v>5905.2</v>
      </c>
      <c r="K133" s="906">
        <v>4838.3999999999996</v>
      </c>
      <c r="L133" s="906">
        <v>5813.6</v>
      </c>
      <c r="M133" s="906">
        <v>6458.6</v>
      </c>
      <c r="N133" s="906">
        <v>0</v>
      </c>
      <c r="O133" s="906">
        <v>0</v>
      </c>
      <c r="P133" s="906">
        <v>0</v>
      </c>
      <c r="Q133" s="906">
        <v>0</v>
      </c>
      <c r="R133" s="906">
        <v>0</v>
      </c>
      <c r="S133" s="906">
        <v>0</v>
      </c>
      <c r="T133" s="906">
        <v>0</v>
      </c>
      <c r="U133" s="906"/>
      <c r="V133" s="957">
        <f t="shared" si="41"/>
        <v>27652.6</v>
      </c>
      <c r="W133" s="905"/>
      <c r="X133" s="909">
        <f t="shared" si="52"/>
        <v>551.99999999999989</v>
      </c>
      <c r="Y133" s="906">
        <f t="shared" si="52"/>
        <v>703</v>
      </c>
      <c r="Z133" s="906">
        <f t="shared" si="52"/>
        <v>575.99999999999989</v>
      </c>
      <c r="AA133" s="909">
        <f t="shared" si="50"/>
        <v>676.00000000000011</v>
      </c>
      <c r="AB133" s="909">
        <f t="shared" si="50"/>
        <v>751.00000000000011</v>
      </c>
      <c r="AC133" s="909">
        <f t="shared" si="50"/>
        <v>0</v>
      </c>
      <c r="AD133" s="909">
        <f t="shared" si="49"/>
        <v>0</v>
      </c>
      <c r="AE133" s="909">
        <f t="shared" si="49"/>
        <v>0</v>
      </c>
      <c r="AF133" s="909">
        <f t="shared" si="49"/>
        <v>0</v>
      </c>
      <c r="AG133" s="909">
        <f t="shared" si="49"/>
        <v>0</v>
      </c>
      <c r="AH133" s="909">
        <f t="shared" si="49"/>
        <v>0</v>
      </c>
      <c r="AI133" s="909">
        <f t="shared" si="49"/>
        <v>0</v>
      </c>
      <c r="AJ133" s="938">
        <f t="shared" si="44"/>
        <v>271.5</v>
      </c>
      <c r="AK133" s="907">
        <f>AJ133/4.33</f>
        <v>62.702078521939953</v>
      </c>
      <c r="AN133" s="1140">
        <f t="shared" ca="1" si="45"/>
        <v>9.974818488810365E-2</v>
      </c>
      <c r="AP133" s="1154">
        <f t="shared" ca="1" si="46"/>
        <v>324.97958636544166</v>
      </c>
      <c r="AR133" s="1140">
        <f t="shared" ca="1" si="47"/>
        <v>8.6997481848881026</v>
      </c>
      <c r="AT133" s="1154">
        <f t="shared" ca="1" si="48"/>
        <v>27977.579586365438</v>
      </c>
    </row>
    <row r="134" spans="1:46">
      <c r="A134" s="884" t="str">
        <f t="shared" si="51"/>
        <v>PIERCE UTCCommercialCANCOUNT-COMM</v>
      </c>
      <c r="B134" s="889" t="s">
        <v>2107</v>
      </c>
      <c r="C134" s="889" t="s">
        <v>2108</v>
      </c>
      <c r="D134" s="889" t="s">
        <v>411</v>
      </c>
      <c r="E134" s="883">
        <v>33000</v>
      </c>
      <c r="F134" s="904">
        <v>3.26</v>
      </c>
      <c r="G134" s="904">
        <v>3.34</v>
      </c>
      <c r="H134" s="904"/>
      <c r="I134" s="906">
        <v>14174.48</v>
      </c>
      <c r="J134" s="906">
        <v>13173.66</v>
      </c>
      <c r="K134" s="906">
        <v>11817.5</v>
      </c>
      <c r="L134" s="906">
        <v>14034.9</v>
      </c>
      <c r="M134" s="906">
        <v>14271.82</v>
      </c>
      <c r="N134" s="906">
        <v>14044.5</v>
      </c>
      <c r="O134" s="906">
        <v>11796.880000000001</v>
      </c>
      <c r="P134" s="906">
        <v>13613.84</v>
      </c>
      <c r="Q134" s="906">
        <v>13249.78</v>
      </c>
      <c r="R134" s="906">
        <v>12665.28</v>
      </c>
      <c r="S134" s="906">
        <v>12324.6</v>
      </c>
      <c r="T134" s="906">
        <v>11679.98</v>
      </c>
      <c r="U134" s="906"/>
      <c r="V134" s="957">
        <f t="shared" si="41"/>
        <v>156847.22000000003</v>
      </c>
      <c r="W134" s="905"/>
      <c r="X134" s="909">
        <f t="shared" si="52"/>
        <v>4348</v>
      </c>
      <c r="Y134" s="906">
        <f t="shared" si="52"/>
        <v>4041</v>
      </c>
      <c r="Z134" s="906">
        <f t="shared" si="52"/>
        <v>3625.0000000000005</v>
      </c>
      <c r="AA134" s="909">
        <f t="shared" si="50"/>
        <v>4202.065868263473</v>
      </c>
      <c r="AB134" s="909">
        <f t="shared" si="50"/>
        <v>4273</v>
      </c>
      <c r="AC134" s="909">
        <f t="shared" si="50"/>
        <v>4204.9401197604793</v>
      </c>
      <c r="AD134" s="909">
        <f t="shared" si="49"/>
        <v>3532.0000000000005</v>
      </c>
      <c r="AE134" s="909">
        <f t="shared" si="49"/>
        <v>4076</v>
      </c>
      <c r="AF134" s="909">
        <f t="shared" si="49"/>
        <v>3967.0000000000005</v>
      </c>
      <c r="AG134" s="909">
        <f t="shared" si="49"/>
        <v>3792.0000000000005</v>
      </c>
      <c r="AH134" s="909">
        <f t="shared" si="49"/>
        <v>3690.0000000000005</v>
      </c>
      <c r="AI134" s="909">
        <f t="shared" si="49"/>
        <v>3497</v>
      </c>
      <c r="AJ134" s="938">
        <f t="shared" si="44"/>
        <v>3937.3338323353296</v>
      </c>
      <c r="AK134" s="907">
        <f>AJ134/4.33</f>
        <v>909.31497282571115</v>
      </c>
      <c r="AN134" s="1140">
        <f t="shared" ca="1" si="45"/>
        <v>3.8739411340263513E-2</v>
      </c>
      <c r="AP134" s="1154">
        <f ca="1">AJ134*AN134*12</f>
        <v>1830.3599389772937</v>
      </c>
      <c r="AR134" s="1140">
        <f t="shared" ca="1" si="47"/>
        <v>3.3787394113402636</v>
      </c>
      <c r="AT134" s="1154">
        <f t="shared" ca="1" si="48"/>
        <v>158677.57993897732</v>
      </c>
    </row>
    <row r="135" spans="1:46">
      <c r="A135" s="884" t="str">
        <f t="shared" si="51"/>
        <v>PIERCE UTCCommercialDIST4CAN-COMM</v>
      </c>
      <c r="B135" s="889" t="s">
        <v>2109</v>
      </c>
      <c r="C135" s="889" t="s">
        <v>2110</v>
      </c>
      <c r="D135" s="889" t="s">
        <v>411</v>
      </c>
      <c r="E135" s="883">
        <v>33000</v>
      </c>
      <c r="F135" s="904">
        <v>56.46</v>
      </c>
      <c r="G135" s="904">
        <v>57.85</v>
      </c>
      <c r="H135" s="904"/>
      <c r="I135" s="906">
        <v>225.84</v>
      </c>
      <c r="J135" s="906">
        <v>225.84</v>
      </c>
      <c r="K135" s="906">
        <v>225.84</v>
      </c>
      <c r="L135" s="906">
        <v>231.4</v>
      </c>
      <c r="M135" s="906">
        <v>231.4</v>
      </c>
      <c r="N135" s="906">
        <v>231.4</v>
      </c>
      <c r="O135" s="906">
        <v>231.4</v>
      </c>
      <c r="P135" s="906">
        <v>231.4</v>
      </c>
      <c r="Q135" s="906">
        <v>231.4</v>
      </c>
      <c r="R135" s="906">
        <v>231.4</v>
      </c>
      <c r="S135" s="906">
        <v>231.41</v>
      </c>
      <c r="T135" s="906">
        <v>231.4</v>
      </c>
      <c r="U135" s="906"/>
      <c r="V135" s="957">
        <f t="shared" si="41"/>
        <v>2760.13</v>
      </c>
      <c r="W135" s="905"/>
      <c r="X135" s="909">
        <f t="shared" si="52"/>
        <v>4</v>
      </c>
      <c r="Y135" s="906">
        <f t="shared" si="52"/>
        <v>4</v>
      </c>
      <c r="Z135" s="906">
        <f t="shared" si="52"/>
        <v>4</v>
      </c>
      <c r="AA135" s="909">
        <f t="shared" si="50"/>
        <v>4</v>
      </c>
      <c r="AB135" s="909">
        <f t="shared" si="50"/>
        <v>4</v>
      </c>
      <c r="AC135" s="909">
        <f t="shared" si="50"/>
        <v>4</v>
      </c>
      <c r="AD135" s="909">
        <f t="shared" si="49"/>
        <v>4</v>
      </c>
      <c r="AE135" s="909">
        <f t="shared" si="49"/>
        <v>4</v>
      </c>
      <c r="AF135" s="909">
        <f t="shared" si="49"/>
        <v>4</v>
      </c>
      <c r="AG135" s="909">
        <f t="shared" si="49"/>
        <v>4</v>
      </c>
      <c r="AH135" s="909">
        <f t="shared" si="49"/>
        <v>4.0001728608470177</v>
      </c>
      <c r="AI135" s="909">
        <f t="shared" si="49"/>
        <v>4</v>
      </c>
      <c r="AJ135" s="907">
        <f t="shared" si="44"/>
        <v>4.0000144050705844</v>
      </c>
      <c r="AN135" s="1140">
        <f t="shared" ca="1" si="45"/>
        <v>0.67098052276474385</v>
      </c>
      <c r="AP135" s="1154">
        <f t="shared" ref="AP135:AP150" ca="1" si="53">AJ135*AN135*12</f>
        <v>32.207181078969199</v>
      </c>
      <c r="AR135" s="1140">
        <f t="shared" ca="1" si="47"/>
        <v>58.520980522764745</v>
      </c>
      <c r="AT135" s="1154">
        <f t="shared" ca="1" si="48"/>
        <v>2792.3371810789695</v>
      </c>
    </row>
    <row r="136" spans="1:46">
      <c r="A136" s="884" t="str">
        <f t="shared" si="51"/>
        <v>PIERCE UTCCommercialFL001.0YXX001TEMPC</v>
      </c>
      <c r="B136" s="889" t="s">
        <v>2111</v>
      </c>
      <c r="C136" s="889" t="s">
        <v>2112</v>
      </c>
      <c r="D136" s="889" t="s">
        <v>411</v>
      </c>
      <c r="E136" s="883">
        <v>33000</v>
      </c>
      <c r="F136" s="904">
        <v>22.87</v>
      </c>
      <c r="G136" s="904">
        <v>23.38</v>
      </c>
      <c r="H136" s="904"/>
      <c r="I136" s="906">
        <v>22.87</v>
      </c>
      <c r="J136" s="906">
        <v>45.74</v>
      </c>
      <c r="K136" s="906">
        <v>22.87</v>
      </c>
      <c r="L136" s="906">
        <v>46.76</v>
      </c>
      <c r="M136" s="906">
        <v>70.14</v>
      </c>
      <c r="N136" s="906">
        <v>187.04</v>
      </c>
      <c r="O136" s="906">
        <v>210.42</v>
      </c>
      <c r="P136" s="906">
        <v>163.66</v>
      </c>
      <c r="Q136" s="906">
        <v>93.52</v>
      </c>
      <c r="R136" s="906">
        <v>93.52</v>
      </c>
      <c r="S136" s="906">
        <v>93.52</v>
      </c>
      <c r="T136" s="906">
        <v>23.38</v>
      </c>
      <c r="U136" s="906"/>
      <c r="V136" s="957">
        <f t="shared" si="41"/>
        <v>1073.44</v>
      </c>
      <c r="W136" s="905"/>
      <c r="X136" s="909">
        <f t="shared" si="52"/>
        <v>1</v>
      </c>
      <c r="Y136" s="906">
        <f t="shared" si="52"/>
        <v>2</v>
      </c>
      <c r="Z136" s="906">
        <f t="shared" si="52"/>
        <v>1</v>
      </c>
      <c r="AA136" s="909">
        <f t="shared" si="50"/>
        <v>2</v>
      </c>
      <c r="AB136" s="909">
        <f t="shared" si="50"/>
        <v>3</v>
      </c>
      <c r="AC136" s="909">
        <f t="shared" si="50"/>
        <v>8</v>
      </c>
      <c r="AD136" s="909">
        <f t="shared" si="49"/>
        <v>9</v>
      </c>
      <c r="AE136" s="909">
        <f t="shared" si="49"/>
        <v>7</v>
      </c>
      <c r="AF136" s="909">
        <f t="shared" si="49"/>
        <v>4</v>
      </c>
      <c r="AG136" s="909">
        <f t="shared" si="49"/>
        <v>4</v>
      </c>
      <c r="AH136" s="909">
        <f t="shared" si="49"/>
        <v>4</v>
      </c>
      <c r="AI136" s="909">
        <f t="shared" si="49"/>
        <v>1</v>
      </c>
      <c r="AJ136" s="907">
        <f t="shared" si="44"/>
        <v>3.8333333333333335</v>
      </c>
      <c r="AN136" s="1140">
        <f t="shared" ca="1" si="45"/>
        <v>0.27117587938184456</v>
      </c>
      <c r="AP136" s="1154">
        <f t="shared" ca="1" si="53"/>
        <v>12.47409045156485</v>
      </c>
      <c r="AR136" s="1140">
        <f t="shared" ca="1" si="47"/>
        <v>23.651175879381842</v>
      </c>
      <c r="AT136" s="1154">
        <f t="shared" ca="1" si="48"/>
        <v>1085.914090451565</v>
      </c>
    </row>
    <row r="137" spans="1:46">
      <c r="A137" s="884" t="str">
        <f t="shared" si="51"/>
        <v>PIERCE UTCCommercialFL001.5YXX001TEMPC</v>
      </c>
      <c r="B137" s="889" t="s">
        <v>2113</v>
      </c>
      <c r="C137" s="889" t="s">
        <v>2114</v>
      </c>
      <c r="D137" s="889" t="s">
        <v>411</v>
      </c>
      <c r="E137" s="883">
        <v>33000</v>
      </c>
      <c r="F137" s="904">
        <v>30.47</v>
      </c>
      <c r="G137" s="904">
        <v>31.2</v>
      </c>
      <c r="H137" s="904"/>
      <c r="I137" s="906">
        <v>60.94</v>
      </c>
      <c r="J137" s="906">
        <v>304.7</v>
      </c>
      <c r="K137" s="906">
        <v>335.17</v>
      </c>
      <c r="L137" s="906">
        <v>686.4</v>
      </c>
      <c r="M137" s="906">
        <v>842.40000000000009</v>
      </c>
      <c r="N137" s="906">
        <v>1872.0000000000002</v>
      </c>
      <c r="O137" s="906">
        <v>530.4</v>
      </c>
      <c r="P137" s="906">
        <v>1528.8000000000002</v>
      </c>
      <c r="Q137" s="906">
        <v>1435.1999999999998</v>
      </c>
      <c r="R137" s="906">
        <v>1029.5999999999999</v>
      </c>
      <c r="S137" s="906">
        <v>1092</v>
      </c>
      <c r="T137" s="906">
        <v>468</v>
      </c>
      <c r="U137" s="906"/>
      <c r="V137" s="957">
        <f t="shared" si="41"/>
        <v>10185.61</v>
      </c>
      <c r="W137" s="905"/>
      <c r="X137" s="909">
        <f t="shared" si="52"/>
        <v>2</v>
      </c>
      <c r="Y137" s="906">
        <f t="shared" si="52"/>
        <v>10</v>
      </c>
      <c r="Z137" s="906">
        <f t="shared" si="52"/>
        <v>11.000000000000002</v>
      </c>
      <c r="AA137" s="909">
        <f t="shared" si="50"/>
        <v>22</v>
      </c>
      <c r="AB137" s="909">
        <f t="shared" si="50"/>
        <v>27.000000000000004</v>
      </c>
      <c r="AC137" s="909">
        <f t="shared" si="50"/>
        <v>60.000000000000007</v>
      </c>
      <c r="AD137" s="909">
        <f t="shared" si="49"/>
        <v>17</v>
      </c>
      <c r="AE137" s="909">
        <f t="shared" si="49"/>
        <v>49.000000000000007</v>
      </c>
      <c r="AF137" s="909">
        <f t="shared" si="49"/>
        <v>45.999999999999993</v>
      </c>
      <c r="AG137" s="909">
        <f t="shared" si="49"/>
        <v>33</v>
      </c>
      <c r="AH137" s="909">
        <f t="shared" si="49"/>
        <v>35</v>
      </c>
      <c r="AI137" s="909">
        <f t="shared" si="49"/>
        <v>15</v>
      </c>
      <c r="AJ137" s="907">
        <f t="shared" si="44"/>
        <v>27.25</v>
      </c>
      <c r="AN137" s="1140">
        <f t="shared" ca="1" si="45"/>
        <v>0.36187713587312026</v>
      </c>
      <c r="AP137" s="1154">
        <f t="shared" ca="1" si="53"/>
        <v>118.33382343051031</v>
      </c>
      <c r="AR137" s="1140">
        <f t="shared" ca="1" si="47"/>
        <v>31.561877135873118</v>
      </c>
      <c r="AT137" s="1154">
        <f t="shared" ca="1" si="48"/>
        <v>10303.943823430511</v>
      </c>
    </row>
    <row r="138" spans="1:46">
      <c r="A138" s="884" t="str">
        <f t="shared" si="51"/>
        <v>PIERCE UTCCommercialFL002.0YXX001TEMPC</v>
      </c>
      <c r="B138" s="889" t="s">
        <v>2115</v>
      </c>
      <c r="C138" s="889" t="s">
        <v>2116</v>
      </c>
      <c r="D138" s="889" t="s">
        <v>411</v>
      </c>
      <c r="E138" s="883">
        <v>33000</v>
      </c>
      <c r="F138" s="904">
        <v>37.1</v>
      </c>
      <c r="G138" s="904">
        <v>38.049999999999997</v>
      </c>
      <c r="H138" s="904"/>
      <c r="I138" s="906">
        <v>1484</v>
      </c>
      <c r="J138" s="906">
        <v>1706.6</v>
      </c>
      <c r="K138" s="906">
        <v>890.4</v>
      </c>
      <c r="L138" s="906">
        <v>2736.75</v>
      </c>
      <c r="M138" s="906">
        <v>2815.7000000000003</v>
      </c>
      <c r="N138" s="906">
        <v>3082.0499999999997</v>
      </c>
      <c r="O138" s="906">
        <v>3159.1</v>
      </c>
      <c r="P138" s="906">
        <v>4337.7</v>
      </c>
      <c r="Q138" s="906">
        <v>2739.6</v>
      </c>
      <c r="R138" s="906">
        <v>1864.45</v>
      </c>
      <c r="S138" s="906">
        <v>2815.7</v>
      </c>
      <c r="T138" s="906">
        <v>1940.55</v>
      </c>
      <c r="U138" s="906"/>
      <c r="V138" s="957">
        <f t="shared" si="41"/>
        <v>29572.6</v>
      </c>
      <c r="W138" s="905"/>
      <c r="X138" s="909">
        <f t="shared" si="52"/>
        <v>40</v>
      </c>
      <c r="Y138" s="906">
        <f t="shared" si="52"/>
        <v>45.999999999999993</v>
      </c>
      <c r="Z138" s="906">
        <f t="shared" si="52"/>
        <v>24</v>
      </c>
      <c r="AA138" s="909">
        <f t="shared" si="50"/>
        <v>71.92509855453352</v>
      </c>
      <c r="AB138" s="909">
        <f t="shared" si="50"/>
        <v>74.000000000000014</v>
      </c>
      <c r="AC138" s="909">
        <f t="shared" si="50"/>
        <v>81</v>
      </c>
      <c r="AD138" s="909">
        <f t="shared" si="49"/>
        <v>83.024967148488841</v>
      </c>
      <c r="AE138" s="909">
        <f t="shared" si="49"/>
        <v>114</v>
      </c>
      <c r="AF138" s="909">
        <f t="shared" si="49"/>
        <v>72</v>
      </c>
      <c r="AG138" s="909">
        <f t="shared" si="49"/>
        <v>49.000000000000007</v>
      </c>
      <c r="AH138" s="909">
        <f t="shared" si="49"/>
        <v>74</v>
      </c>
      <c r="AI138" s="909">
        <f t="shared" si="49"/>
        <v>51</v>
      </c>
      <c r="AJ138" s="907">
        <f t="shared" si="44"/>
        <v>64.995838808585191</v>
      </c>
      <c r="AN138" s="1140">
        <f t="shared" ca="1" si="45"/>
        <v>0.44132772499910977</v>
      </c>
      <c r="AP138" s="1154">
        <f t="shared" ca="1" si="53"/>
        <v>344.21358810962101</v>
      </c>
      <c r="AR138" s="1140">
        <f t="shared" ca="1" si="47"/>
        <v>38.49132772499911</v>
      </c>
      <c r="AT138" s="1154">
        <f t="shared" ca="1" si="48"/>
        <v>29916.81358810962</v>
      </c>
    </row>
    <row r="139" spans="1:46">
      <c r="A139" s="884" t="str">
        <f t="shared" si="51"/>
        <v>PIERCE UTCCommercialFL003.0YXX001TEMPC</v>
      </c>
      <c r="B139" s="889" t="s">
        <v>2117</v>
      </c>
      <c r="C139" s="889" t="s">
        <v>2118</v>
      </c>
      <c r="D139" s="889" t="s">
        <v>411</v>
      </c>
      <c r="E139" s="883">
        <v>33000</v>
      </c>
      <c r="F139" s="904">
        <v>52.05</v>
      </c>
      <c r="G139" s="904">
        <v>53.43</v>
      </c>
      <c r="H139" s="904"/>
      <c r="I139" s="906">
        <v>0</v>
      </c>
      <c r="J139" s="906">
        <v>0</v>
      </c>
      <c r="K139" s="906">
        <v>0</v>
      </c>
      <c r="L139" s="906">
        <v>0</v>
      </c>
      <c r="M139" s="906">
        <v>0</v>
      </c>
      <c r="N139" s="906">
        <v>0</v>
      </c>
      <c r="O139" s="906">
        <v>0</v>
      </c>
      <c r="P139" s="906">
        <v>0</v>
      </c>
      <c r="Q139" s="906">
        <v>53.43</v>
      </c>
      <c r="R139" s="906">
        <v>0</v>
      </c>
      <c r="S139" s="906">
        <v>0</v>
      </c>
      <c r="T139" s="906">
        <v>0</v>
      </c>
      <c r="U139" s="906"/>
      <c r="V139" s="957">
        <f t="shared" si="41"/>
        <v>53.43</v>
      </c>
      <c r="W139" s="905"/>
      <c r="X139" s="909">
        <f t="shared" si="52"/>
        <v>0</v>
      </c>
      <c r="Y139" s="906">
        <f t="shared" si="52"/>
        <v>0</v>
      </c>
      <c r="Z139" s="906">
        <f t="shared" si="52"/>
        <v>0</v>
      </c>
      <c r="AA139" s="909">
        <f t="shared" si="50"/>
        <v>0</v>
      </c>
      <c r="AB139" s="909">
        <f t="shared" si="50"/>
        <v>0</v>
      </c>
      <c r="AC139" s="909">
        <f t="shared" si="50"/>
        <v>0</v>
      </c>
      <c r="AD139" s="909">
        <f t="shared" si="49"/>
        <v>0</v>
      </c>
      <c r="AE139" s="909">
        <f t="shared" si="49"/>
        <v>0</v>
      </c>
      <c r="AF139" s="909">
        <f t="shared" si="49"/>
        <v>1</v>
      </c>
      <c r="AG139" s="909">
        <f t="shared" si="49"/>
        <v>0</v>
      </c>
      <c r="AH139" s="909">
        <f t="shared" si="49"/>
        <v>0</v>
      </c>
      <c r="AI139" s="909">
        <f t="shared" si="49"/>
        <v>0</v>
      </c>
      <c r="AJ139" s="907">
        <f t="shared" si="44"/>
        <v>8.3333333333333329E-2</v>
      </c>
      <c r="AN139" s="1140">
        <f t="shared" ca="1" si="45"/>
        <v>0.61971459518271843</v>
      </c>
      <c r="AP139" s="1154">
        <f t="shared" ca="1" si="53"/>
        <v>0.61971459518271843</v>
      </c>
      <c r="AR139" s="1140">
        <f t="shared" ca="1" si="47"/>
        <v>54.049714595182721</v>
      </c>
      <c r="AT139" s="1154">
        <f t="shared" ca="1" si="48"/>
        <v>54.049714595182721</v>
      </c>
    </row>
    <row r="140" spans="1:46">
      <c r="A140" s="884" t="str">
        <f t="shared" si="51"/>
        <v>PIERCE UTCCommercialFL004.0YXX001TEMPC</v>
      </c>
      <c r="B140" s="889" t="s">
        <v>2119</v>
      </c>
      <c r="C140" s="889" t="s">
        <v>2120</v>
      </c>
      <c r="D140" s="889" t="s">
        <v>411</v>
      </c>
      <c r="E140" s="883">
        <v>33000</v>
      </c>
      <c r="F140" s="904">
        <v>67.08</v>
      </c>
      <c r="G140" s="904">
        <v>68.87</v>
      </c>
      <c r="H140" s="904"/>
      <c r="I140" s="906">
        <v>0</v>
      </c>
      <c r="J140" s="906">
        <v>0</v>
      </c>
      <c r="K140" s="906">
        <v>0</v>
      </c>
      <c r="L140" s="906">
        <v>0</v>
      </c>
      <c r="M140" s="906">
        <v>0</v>
      </c>
      <c r="N140" s="906">
        <v>275.48</v>
      </c>
      <c r="O140" s="906">
        <v>0</v>
      </c>
      <c r="P140" s="906">
        <v>0</v>
      </c>
      <c r="Q140" s="906">
        <v>206.61</v>
      </c>
      <c r="R140" s="906">
        <v>68.87</v>
      </c>
      <c r="S140" s="906">
        <v>0</v>
      </c>
      <c r="T140" s="906">
        <v>0</v>
      </c>
      <c r="U140" s="906"/>
      <c r="V140" s="957">
        <f t="shared" si="41"/>
        <v>550.96</v>
      </c>
      <c r="W140" s="905"/>
      <c r="X140" s="909">
        <f t="shared" si="52"/>
        <v>0</v>
      </c>
      <c r="Y140" s="906">
        <f t="shared" si="52"/>
        <v>0</v>
      </c>
      <c r="Z140" s="906">
        <f t="shared" si="52"/>
        <v>0</v>
      </c>
      <c r="AA140" s="909">
        <f t="shared" si="50"/>
        <v>0</v>
      </c>
      <c r="AB140" s="909">
        <f t="shared" si="50"/>
        <v>0</v>
      </c>
      <c r="AC140" s="909">
        <f t="shared" si="50"/>
        <v>4</v>
      </c>
      <c r="AD140" s="909">
        <f t="shared" si="49"/>
        <v>0</v>
      </c>
      <c r="AE140" s="909">
        <f t="shared" si="49"/>
        <v>0</v>
      </c>
      <c r="AF140" s="909">
        <f t="shared" si="49"/>
        <v>3</v>
      </c>
      <c r="AG140" s="909">
        <f t="shared" si="49"/>
        <v>1</v>
      </c>
      <c r="AH140" s="909">
        <f t="shared" si="49"/>
        <v>0</v>
      </c>
      <c r="AI140" s="909">
        <f t="shared" si="49"/>
        <v>0</v>
      </c>
      <c r="AJ140" s="907">
        <f t="shared" si="44"/>
        <v>0.66666666666666663</v>
      </c>
      <c r="AN140" s="1140">
        <f t="shared" ca="1" si="45"/>
        <v>0.79879738293531388</v>
      </c>
      <c r="AP140" s="1154">
        <f t="shared" ca="1" si="53"/>
        <v>6.3903790634825111</v>
      </c>
      <c r="AR140" s="1140">
        <f t="shared" ca="1" si="47"/>
        <v>69.668797382935324</v>
      </c>
      <c r="AT140" s="1154">
        <f t="shared" ca="1" si="48"/>
        <v>557.35037906348259</v>
      </c>
    </row>
    <row r="141" spans="1:46">
      <c r="A141" s="884" t="str">
        <f t="shared" si="51"/>
        <v>PIERCE UTCCommercialFL006.0YXX001TEMPC</v>
      </c>
      <c r="B141" s="889" t="s">
        <v>2121</v>
      </c>
      <c r="C141" s="889" t="s">
        <v>2122</v>
      </c>
      <c r="D141" s="889" t="s">
        <v>411</v>
      </c>
      <c r="E141" s="883">
        <v>33000</v>
      </c>
      <c r="F141" s="904">
        <v>93.45</v>
      </c>
      <c r="G141" s="904">
        <v>95.91</v>
      </c>
      <c r="H141" s="904"/>
      <c r="I141" s="906">
        <v>0</v>
      </c>
      <c r="J141" s="906">
        <v>654.15</v>
      </c>
      <c r="K141" s="906">
        <v>93.45</v>
      </c>
      <c r="L141" s="906">
        <v>0</v>
      </c>
      <c r="M141" s="906">
        <v>0</v>
      </c>
      <c r="N141" s="906">
        <v>0</v>
      </c>
      <c r="O141" s="906">
        <v>191.82</v>
      </c>
      <c r="P141" s="906">
        <v>0</v>
      </c>
      <c r="Q141" s="906">
        <v>0</v>
      </c>
      <c r="R141" s="906">
        <v>0</v>
      </c>
      <c r="S141" s="906">
        <v>191.82</v>
      </c>
      <c r="T141" s="906">
        <v>0</v>
      </c>
      <c r="U141" s="906"/>
      <c r="V141" s="957">
        <f t="shared" si="41"/>
        <v>1131.24</v>
      </c>
      <c r="W141" s="905"/>
      <c r="X141" s="909">
        <f t="shared" si="52"/>
        <v>0</v>
      </c>
      <c r="Y141" s="906">
        <f t="shared" si="52"/>
        <v>6.9999999999999991</v>
      </c>
      <c r="Z141" s="906">
        <f t="shared" si="52"/>
        <v>1</v>
      </c>
      <c r="AA141" s="909">
        <f t="shared" si="50"/>
        <v>0</v>
      </c>
      <c r="AB141" s="909">
        <f t="shared" si="50"/>
        <v>0</v>
      </c>
      <c r="AC141" s="909">
        <f t="shared" si="50"/>
        <v>0</v>
      </c>
      <c r="AD141" s="909">
        <f t="shared" si="49"/>
        <v>2</v>
      </c>
      <c r="AE141" s="909">
        <f t="shared" si="49"/>
        <v>0</v>
      </c>
      <c r="AF141" s="909">
        <f t="shared" si="49"/>
        <v>0</v>
      </c>
      <c r="AG141" s="909">
        <f t="shared" si="49"/>
        <v>0</v>
      </c>
      <c r="AH141" s="909">
        <f t="shared" si="49"/>
        <v>2</v>
      </c>
      <c r="AI141" s="909">
        <f t="shared" si="49"/>
        <v>0</v>
      </c>
      <c r="AJ141" s="907">
        <f t="shared" si="44"/>
        <v>1</v>
      </c>
      <c r="AN141" s="1140">
        <f t="shared" ca="1" si="45"/>
        <v>1.1124242340253514</v>
      </c>
      <c r="AP141" s="1154">
        <f t="shared" ca="1" si="53"/>
        <v>13.349090808304217</v>
      </c>
      <c r="AR141" s="1140">
        <f t="shared" ca="1" si="47"/>
        <v>97.022424234025351</v>
      </c>
      <c r="AT141" s="1154">
        <f t="shared" ca="1" si="48"/>
        <v>1144.5890908083043</v>
      </c>
    </row>
    <row r="142" spans="1:46">
      <c r="A142" s="884" t="str">
        <f t="shared" si="51"/>
        <v>PIERCE UTCCommercialRENT1.5TEMP-COMM</v>
      </c>
      <c r="B142" s="889" t="s">
        <v>2123</v>
      </c>
      <c r="C142" s="889" t="s">
        <v>2124</v>
      </c>
      <c r="D142" s="889" t="s">
        <v>411</v>
      </c>
      <c r="E142" s="883">
        <v>33000</v>
      </c>
      <c r="F142" s="904">
        <v>0.53</v>
      </c>
      <c r="G142" s="904">
        <v>0.53</v>
      </c>
      <c r="H142" s="904"/>
      <c r="I142" s="906">
        <v>6.89</v>
      </c>
      <c r="J142" s="906">
        <v>38.159999999999997</v>
      </c>
      <c r="K142" s="906">
        <v>59.36</v>
      </c>
      <c r="L142" s="906">
        <v>135.02000000000001</v>
      </c>
      <c r="M142" s="906">
        <v>196.63</v>
      </c>
      <c r="N142" s="906">
        <v>161.65</v>
      </c>
      <c r="O142" s="906">
        <v>135.15</v>
      </c>
      <c r="P142" s="906">
        <v>275.07</v>
      </c>
      <c r="Q142" s="906">
        <v>363.05</v>
      </c>
      <c r="R142" s="906">
        <v>306.89999999999998</v>
      </c>
      <c r="S142" s="906">
        <v>279.17</v>
      </c>
      <c r="T142" s="906">
        <v>126.67</v>
      </c>
      <c r="U142" s="906"/>
      <c r="V142" s="957">
        <f t="shared" si="41"/>
        <v>2083.7200000000003</v>
      </c>
      <c r="W142" s="905"/>
      <c r="X142" s="909">
        <f t="shared" si="52"/>
        <v>12.999999999999998</v>
      </c>
      <c r="Y142" s="906">
        <f t="shared" si="52"/>
        <v>71.999999999999986</v>
      </c>
      <c r="Z142" s="906">
        <f t="shared" si="52"/>
        <v>112</v>
      </c>
      <c r="AA142" s="909">
        <f t="shared" si="50"/>
        <v>254.75471698113208</v>
      </c>
      <c r="AB142" s="909">
        <f t="shared" si="50"/>
        <v>371</v>
      </c>
      <c r="AC142" s="909">
        <f t="shared" si="50"/>
        <v>305</v>
      </c>
      <c r="AD142" s="909">
        <f t="shared" si="49"/>
        <v>255</v>
      </c>
      <c r="AE142" s="909">
        <f t="shared" si="49"/>
        <v>519</v>
      </c>
      <c r="AF142" s="909">
        <f t="shared" si="49"/>
        <v>685</v>
      </c>
      <c r="AG142" s="909">
        <f t="shared" si="49"/>
        <v>579.05660377358481</v>
      </c>
      <c r="AH142" s="909">
        <f t="shared" si="49"/>
        <v>526.7358490566038</v>
      </c>
      <c r="AI142" s="909">
        <f t="shared" si="49"/>
        <v>239</v>
      </c>
      <c r="AJ142" s="907">
        <f t="shared" si="44"/>
        <v>327.62893081761007</v>
      </c>
      <c r="AN142" s="1140">
        <f t="shared" ca="1" si="45"/>
        <v>6.1472718593831325E-3</v>
      </c>
      <c r="AP142" s="1154">
        <f t="shared" ca="1" si="53"/>
        <v>24.168289280818527</v>
      </c>
      <c r="AR142" s="1140">
        <f t="shared" ca="1" si="47"/>
        <v>0.53614727185938316</v>
      </c>
      <c r="AT142" s="1154">
        <f t="shared" ca="1" si="48"/>
        <v>2107.8882892808188</v>
      </c>
    </row>
    <row r="143" spans="1:46">
      <c r="A143" s="884" t="str">
        <f t="shared" si="51"/>
        <v>PIERCE UTCCommercialRENT1TEMP-COMM</v>
      </c>
      <c r="B143" s="889" t="s">
        <v>2125</v>
      </c>
      <c r="C143" s="889" t="s">
        <v>2126</v>
      </c>
      <c r="D143" s="889" t="s">
        <v>411</v>
      </c>
      <c r="E143" s="883">
        <v>33000</v>
      </c>
      <c r="F143" s="904">
        <v>0.48</v>
      </c>
      <c r="G143" s="904">
        <v>0.48</v>
      </c>
      <c r="H143" s="904"/>
      <c r="I143" s="906">
        <v>4.32</v>
      </c>
      <c r="J143" s="906">
        <v>16.32</v>
      </c>
      <c r="K143" s="906">
        <v>13.44</v>
      </c>
      <c r="L143" s="906">
        <v>18.239999999999998</v>
      </c>
      <c r="M143" s="906">
        <v>11.52</v>
      </c>
      <c r="N143" s="906">
        <v>14.88</v>
      </c>
      <c r="O143" s="906">
        <v>44.16</v>
      </c>
      <c r="P143" s="906">
        <v>64.319999999999993</v>
      </c>
      <c r="Q143" s="906">
        <v>40.32</v>
      </c>
      <c r="R143" s="906">
        <v>36.479999999999997</v>
      </c>
      <c r="S143" s="906">
        <v>14.88</v>
      </c>
      <c r="T143" s="906">
        <v>28.8</v>
      </c>
      <c r="U143" s="906"/>
      <c r="V143" s="957">
        <f t="shared" si="41"/>
        <v>307.68</v>
      </c>
      <c r="W143" s="905"/>
      <c r="X143" s="909">
        <f t="shared" si="52"/>
        <v>9.0000000000000018</v>
      </c>
      <c r="Y143" s="906">
        <f t="shared" si="52"/>
        <v>34</v>
      </c>
      <c r="Z143" s="906">
        <f t="shared" si="52"/>
        <v>28</v>
      </c>
      <c r="AA143" s="909">
        <f t="shared" si="50"/>
        <v>38</v>
      </c>
      <c r="AB143" s="909">
        <f t="shared" si="50"/>
        <v>24</v>
      </c>
      <c r="AC143" s="909">
        <f t="shared" si="50"/>
        <v>31.000000000000004</v>
      </c>
      <c r="AD143" s="909">
        <f t="shared" si="49"/>
        <v>92</v>
      </c>
      <c r="AE143" s="909">
        <f t="shared" si="49"/>
        <v>134</v>
      </c>
      <c r="AF143" s="909">
        <f t="shared" si="49"/>
        <v>84</v>
      </c>
      <c r="AG143" s="909">
        <f t="shared" si="49"/>
        <v>76</v>
      </c>
      <c r="AH143" s="909">
        <f t="shared" si="49"/>
        <v>31.000000000000004</v>
      </c>
      <c r="AI143" s="909">
        <f t="shared" si="49"/>
        <v>60.000000000000007</v>
      </c>
      <c r="AJ143" s="907">
        <f t="shared" si="44"/>
        <v>53.416666666666664</v>
      </c>
      <c r="AN143" s="1140">
        <f t="shared" ca="1" si="45"/>
        <v>5.5673405518941576E-3</v>
      </c>
      <c r="AP143" s="1154">
        <f t="shared" ca="1" si="53"/>
        <v>3.5686652937641545</v>
      </c>
      <c r="AR143" s="1140">
        <f t="shared" ca="1" si="47"/>
        <v>0.48556734055189416</v>
      </c>
      <c r="AT143" s="1154">
        <f t="shared" ca="1" si="48"/>
        <v>311.24866529376413</v>
      </c>
    </row>
    <row r="144" spans="1:46">
      <c r="A144" s="884" t="str">
        <f t="shared" si="51"/>
        <v>PIERCE UTCCommercialRENT2TEMP-COMM</v>
      </c>
      <c r="B144" s="889" t="s">
        <v>2127</v>
      </c>
      <c r="C144" s="889" t="s">
        <v>2128</v>
      </c>
      <c r="D144" s="889" t="s">
        <v>411</v>
      </c>
      <c r="E144" s="883">
        <v>33000</v>
      </c>
      <c r="F144" s="904">
        <v>0.63</v>
      </c>
      <c r="G144" s="904">
        <v>0.63</v>
      </c>
      <c r="H144" s="904"/>
      <c r="I144" s="906">
        <v>472.5</v>
      </c>
      <c r="J144" s="906">
        <v>364.14</v>
      </c>
      <c r="K144" s="906">
        <v>394.38</v>
      </c>
      <c r="L144" s="906">
        <v>702.45</v>
      </c>
      <c r="M144" s="906">
        <v>640.71</v>
      </c>
      <c r="N144" s="906">
        <v>651.41999999999996</v>
      </c>
      <c r="O144" s="906">
        <v>708.75</v>
      </c>
      <c r="P144" s="906">
        <v>948.78</v>
      </c>
      <c r="Q144" s="906">
        <v>785.61</v>
      </c>
      <c r="R144" s="906">
        <v>749.77</v>
      </c>
      <c r="S144" s="906">
        <v>621.34</v>
      </c>
      <c r="T144" s="906">
        <v>529.20000000000005</v>
      </c>
      <c r="U144" s="906"/>
      <c r="V144" s="957">
        <f t="shared" si="41"/>
        <v>7569.05</v>
      </c>
      <c r="W144" s="905"/>
      <c r="X144" s="909">
        <f t="shared" si="52"/>
        <v>750</v>
      </c>
      <c r="Y144" s="906">
        <f t="shared" si="52"/>
        <v>578</v>
      </c>
      <c r="Z144" s="906">
        <f t="shared" si="52"/>
        <v>626</v>
      </c>
      <c r="AA144" s="909">
        <f t="shared" si="50"/>
        <v>1115</v>
      </c>
      <c r="AB144" s="909">
        <f t="shared" si="50"/>
        <v>1017</v>
      </c>
      <c r="AC144" s="909">
        <f t="shared" si="50"/>
        <v>1034</v>
      </c>
      <c r="AD144" s="909">
        <f t="shared" si="49"/>
        <v>1125</v>
      </c>
      <c r="AE144" s="909">
        <f t="shared" si="49"/>
        <v>1506</v>
      </c>
      <c r="AF144" s="909">
        <f t="shared" si="49"/>
        <v>1247</v>
      </c>
      <c r="AG144" s="909">
        <f t="shared" si="49"/>
        <v>1190.1111111111111</v>
      </c>
      <c r="AH144" s="909">
        <f t="shared" si="49"/>
        <v>986.25396825396831</v>
      </c>
      <c r="AI144" s="909">
        <f t="shared" si="49"/>
        <v>840.00000000000011</v>
      </c>
      <c r="AJ144" s="907">
        <f t="shared" si="44"/>
        <v>1001.1970899470899</v>
      </c>
      <c r="AN144" s="1140">
        <f t="shared" ca="1" si="45"/>
        <v>7.3071344743610824E-3</v>
      </c>
      <c r="AP144" s="1154">
        <f t="shared" ca="1" si="53"/>
        <v>87.790581258988482</v>
      </c>
      <c r="AR144" s="1140">
        <f t="shared" ca="1" si="47"/>
        <v>0.63730713447436105</v>
      </c>
      <c r="AT144" s="1154">
        <f t="shared" ca="1" si="48"/>
        <v>7656.840581258989</v>
      </c>
    </row>
    <row r="145" spans="1:46">
      <c r="A145" s="884" t="str">
        <f t="shared" si="51"/>
        <v>PIERCE UTCCommercialRENT3TEMP-COMM</v>
      </c>
      <c r="B145" s="889" t="s">
        <v>2129</v>
      </c>
      <c r="C145" s="889" t="s">
        <v>2130</v>
      </c>
      <c r="D145" s="889" t="s">
        <v>411</v>
      </c>
      <c r="E145" s="883">
        <v>33000</v>
      </c>
      <c r="F145" s="904">
        <v>0.69</v>
      </c>
      <c r="G145" s="904">
        <v>0.69</v>
      </c>
      <c r="H145" s="904"/>
      <c r="I145" s="906">
        <v>0</v>
      </c>
      <c r="J145" s="906">
        <v>0</v>
      </c>
      <c r="K145" s="906">
        <v>0</v>
      </c>
      <c r="L145" s="906">
        <v>0</v>
      </c>
      <c r="M145" s="906">
        <v>0</v>
      </c>
      <c r="N145" s="906">
        <v>0</v>
      </c>
      <c r="O145" s="906">
        <v>0</v>
      </c>
      <c r="P145" s="906">
        <v>0</v>
      </c>
      <c r="Q145" s="906">
        <v>2.76</v>
      </c>
      <c r="R145" s="906">
        <v>-8.82</v>
      </c>
      <c r="S145" s="906">
        <v>0</v>
      </c>
      <c r="T145" s="906">
        <v>0</v>
      </c>
      <c r="U145" s="906"/>
      <c r="V145" s="957">
        <f t="shared" si="41"/>
        <v>-6.0600000000000005</v>
      </c>
      <c r="W145" s="905"/>
      <c r="X145" s="909">
        <f t="shared" si="52"/>
        <v>0</v>
      </c>
      <c r="Y145" s="906">
        <f t="shared" si="52"/>
        <v>0</v>
      </c>
      <c r="Z145" s="906">
        <f t="shared" si="52"/>
        <v>0</v>
      </c>
      <c r="AA145" s="909">
        <f t="shared" si="50"/>
        <v>0</v>
      </c>
      <c r="AB145" s="909">
        <f t="shared" si="50"/>
        <v>0</v>
      </c>
      <c r="AC145" s="909">
        <f t="shared" si="50"/>
        <v>0</v>
      </c>
      <c r="AD145" s="909">
        <f t="shared" si="49"/>
        <v>0</v>
      </c>
      <c r="AE145" s="909">
        <f t="shared" si="49"/>
        <v>0</v>
      </c>
      <c r="AF145" s="909">
        <f t="shared" si="49"/>
        <v>4</v>
      </c>
      <c r="AG145" s="909">
        <f t="shared" si="49"/>
        <v>-12.782608695652176</v>
      </c>
      <c r="AH145" s="909">
        <f t="shared" si="49"/>
        <v>0</v>
      </c>
      <c r="AI145" s="909">
        <f t="shared" si="49"/>
        <v>0</v>
      </c>
      <c r="AJ145" s="907">
        <f t="shared" si="44"/>
        <v>-0.73188405797101463</v>
      </c>
      <c r="AN145" s="1140">
        <f t="shared" ca="1" si="45"/>
        <v>8.0030520433478514E-3</v>
      </c>
      <c r="AP145" s="1154">
        <f t="shared" ca="1" si="53"/>
        <v>-7.0287674467663763E-2</v>
      </c>
      <c r="AR145" s="1140">
        <f t="shared" ca="1" si="47"/>
        <v>0.69800305204334778</v>
      </c>
      <c r="AT145" s="1154">
        <f t="shared" ca="1" si="48"/>
        <v>-6.130287674467664</v>
      </c>
    </row>
    <row r="146" spans="1:46">
      <c r="A146" s="884" t="str">
        <f t="shared" si="51"/>
        <v>PIERCE UTCCommercialRENT4TEMP-COMM</v>
      </c>
      <c r="B146" s="889" t="s">
        <v>2131</v>
      </c>
      <c r="C146" s="889" t="s">
        <v>2132</v>
      </c>
      <c r="D146" s="889" t="s">
        <v>411</v>
      </c>
      <c r="E146" s="883">
        <v>33000</v>
      </c>
      <c r="F146" s="904">
        <v>0.9</v>
      </c>
      <c r="G146" s="904">
        <v>0.9</v>
      </c>
      <c r="H146" s="904"/>
      <c r="I146" s="906">
        <v>0</v>
      </c>
      <c r="J146" s="906">
        <v>0</v>
      </c>
      <c r="K146" s="906">
        <v>0</v>
      </c>
      <c r="L146" s="906">
        <v>0</v>
      </c>
      <c r="M146" s="906">
        <v>4.5</v>
      </c>
      <c r="N146" s="906">
        <v>38.700000000000003</v>
      </c>
      <c r="O146" s="906">
        <v>0</v>
      </c>
      <c r="P146" s="906">
        <v>0</v>
      </c>
      <c r="Q146" s="906">
        <v>27.9</v>
      </c>
      <c r="R146" s="906">
        <v>0</v>
      </c>
      <c r="S146" s="906">
        <v>0</v>
      </c>
      <c r="T146" s="906">
        <v>0</v>
      </c>
      <c r="U146" s="906"/>
      <c r="V146" s="957">
        <f t="shared" si="41"/>
        <v>71.099999999999994</v>
      </c>
      <c r="W146" s="905"/>
      <c r="X146" s="909">
        <f t="shared" si="52"/>
        <v>0</v>
      </c>
      <c r="Y146" s="906">
        <f t="shared" si="52"/>
        <v>0</v>
      </c>
      <c r="Z146" s="906">
        <f t="shared" si="52"/>
        <v>0</v>
      </c>
      <c r="AA146" s="909">
        <f t="shared" si="50"/>
        <v>0</v>
      </c>
      <c r="AB146" s="909">
        <f t="shared" si="50"/>
        <v>5</v>
      </c>
      <c r="AC146" s="909">
        <f t="shared" si="50"/>
        <v>43</v>
      </c>
      <c r="AD146" s="909">
        <f t="shared" si="49"/>
        <v>0</v>
      </c>
      <c r="AE146" s="909">
        <f t="shared" si="49"/>
        <v>0</v>
      </c>
      <c r="AF146" s="909">
        <f t="shared" si="49"/>
        <v>30.999999999999996</v>
      </c>
      <c r="AG146" s="909">
        <f t="shared" si="49"/>
        <v>0</v>
      </c>
      <c r="AH146" s="909">
        <f t="shared" si="49"/>
        <v>0</v>
      </c>
      <c r="AI146" s="909">
        <f t="shared" si="49"/>
        <v>0</v>
      </c>
      <c r="AJ146" s="907">
        <f t="shared" si="44"/>
        <v>6.583333333333333</v>
      </c>
      <c r="AN146" s="1140">
        <f t="shared" ca="1" si="45"/>
        <v>1.0438763534801545E-2</v>
      </c>
      <c r="AP146" s="1154">
        <f t="shared" ca="1" si="53"/>
        <v>0.8246623192493221</v>
      </c>
      <c r="AR146" s="1140">
        <f t="shared" ca="1" si="47"/>
        <v>0.91043876353480158</v>
      </c>
      <c r="AT146" s="1154">
        <f t="shared" ca="1" si="48"/>
        <v>71.924662319249322</v>
      </c>
    </row>
    <row r="147" spans="1:46">
      <c r="A147" s="884" t="str">
        <f t="shared" si="51"/>
        <v>PIERCE UTCCommercialRENT6TEMP-COMM</v>
      </c>
      <c r="B147" s="889" t="s">
        <v>2133</v>
      </c>
      <c r="C147" s="889" t="s">
        <v>2134</v>
      </c>
      <c r="D147" s="889" t="s">
        <v>411</v>
      </c>
      <c r="E147" s="883">
        <v>33000</v>
      </c>
      <c r="F147" s="904">
        <v>1.32</v>
      </c>
      <c r="G147" s="904">
        <v>1.32</v>
      </c>
      <c r="H147" s="904"/>
      <c r="I147" s="906">
        <v>19.8</v>
      </c>
      <c r="J147" s="906">
        <v>66</v>
      </c>
      <c r="K147" s="906">
        <v>9.24</v>
      </c>
      <c r="L147" s="906">
        <v>0</v>
      </c>
      <c r="M147" s="906">
        <v>0</v>
      </c>
      <c r="N147" s="906">
        <v>0</v>
      </c>
      <c r="O147" s="906">
        <v>13.2</v>
      </c>
      <c r="P147" s="906">
        <v>1.32</v>
      </c>
      <c r="Q147" s="906">
        <v>0</v>
      </c>
      <c r="R147" s="906">
        <v>0</v>
      </c>
      <c r="S147" s="906">
        <v>13.2</v>
      </c>
      <c r="T147" s="906">
        <v>0</v>
      </c>
      <c r="U147" s="906"/>
      <c r="V147" s="957">
        <f t="shared" si="41"/>
        <v>122.75999999999999</v>
      </c>
      <c r="W147" s="905"/>
      <c r="X147" s="909">
        <f t="shared" si="52"/>
        <v>15</v>
      </c>
      <c r="Y147" s="906">
        <f t="shared" si="52"/>
        <v>50</v>
      </c>
      <c r="Z147" s="906">
        <f t="shared" si="52"/>
        <v>7</v>
      </c>
      <c r="AA147" s="909">
        <f t="shared" si="50"/>
        <v>0</v>
      </c>
      <c r="AB147" s="909">
        <f t="shared" si="50"/>
        <v>0</v>
      </c>
      <c r="AC147" s="909">
        <f t="shared" si="50"/>
        <v>0</v>
      </c>
      <c r="AD147" s="909">
        <f t="shared" si="49"/>
        <v>9.9999999999999982</v>
      </c>
      <c r="AE147" s="909">
        <f t="shared" si="49"/>
        <v>1</v>
      </c>
      <c r="AF147" s="909">
        <f t="shared" si="49"/>
        <v>0</v>
      </c>
      <c r="AG147" s="909">
        <f t="shared" si="49"/>
        <v>0</v>
      </c>
      <c r="AH147" s="909">
        <f t="shared" si="49"/>
        <v>9.9999999999999982</v>
      </c>
      <c r="AI147" s="909">
        <f t="shared" si="49"/>
        <v>0</v>
      </c>
      <c r="AJ147" s="907">
        <f t="shared" si="44"/>
        <v>7.75</v>
      </c>
      <c r="AN147" s="1140">
        <f t="shared" ca="1" si="45"/>
        <v>1.5310186517708935E-2</v>
      </c>
      <c r="AP147" s="1154">
        <f t="shared" ca="1" si="53"/>
        <v>1.423847346146931</v>
      </c>
      <c r="AR147" s="1140">
        <f t="shared" ca="1" si="47"/>
        <v>1.3353101865177091</v>
      </c>
      <c r="AT147" s="1154">
        <f t="shared" ca="1" si="48"/>
        <v>124.18384734614692</v>
      </c>
    </row>
    <row r="148" spans="1:46">
      <c r="A148" s="884" t="str">
        <f t="shared" si="51"/>
        <v>PIERCE UTCCommercialBULKY-COMM</v>
      </c>
      <c r="B148" s="889" t="s">
        <v>2135</v>
      </c>
      <c r="C148" s="889" t="s">
        <v>2136</v>
      </c>
      <c r="D148" s="889" t="s">
        <v>2137</v>
      </c>
      <c r="E148" s="883">
        <v>33001</v>
      </c>
      <c r="F148" s="904">
        <v>31.67</v>
      </c>
      <c r="G148" s="904">
        <v>32.04</v>
      </c>
      <c r="H148" s="904"/>
      <c r="I148" s="906">
        <v>31.67</v>
      </c>
      <c r="J148" s="906">
        <v>277.85000000000002</v>
      </c>
      <c r="K148" s="906">
        <v>0</v>
      </c>
      <c r="L148" s="906">
        <v>444.86</v>
      </c>
      <c r="M148" s="906">
        <v>224.28</v>
      </c>
      <c r="N148" s="906">
        <v>216.22</v>
      </c>
      <c r="O148" s="906">
        <v>320.39999999999998</v>
      </c>
      <c r="P148" s="906">
        <v>48.06</v>
      </c>
      <c r="Q148" s="906">
        <v>256.32</v>
      </c>
      <c r="R148" s="906">
        <v>448.56</v>
      </c>
      <c r="S148" s="906">
        <v>461.39</v>
      </c>
      <c r="T148" s="906">
        <v>158.36000000000001</v>
      </c>
      <c r="U148" s="906"/>
      <c r="V148" s="957">
        <f t="shared" si="41"/>
        <v>2887.9700000000003</v>
      </c>
      <c r="W148" s="905"/>
      <c r="X148" s="909">
        <f t="shared" si="52"/>
        <v>1</v>
      </c>
      <c r="Y148" s="906">
        <f t="shared" si="52"/>
        <v>8.7732870224186925</v>
      </c>
      <c r="Z148" s="906">
        <f t="shared" si="52"/>
        <v>0</v>
      </c>
      <c r="AA148" s="909">
        <f t="shared" si="50"/>
        <v>13.884519350811486</v>
      </c>
      <c r="AB148" s="909">
        <f t="shared" si="50"/>
        <v>7</v>
      </c>
      <c r="AC148" s="909">
        <f t="shared" si="50"/>
        <v>6.7484394506866421</v>
      </c>
      <c r="AD148" s="909">
        <f t="shared" si="50"/>
        <v>10</v>
      </c>
      <c r="AE148" s="909">
        <f t="shared" si="50"/>
        <v>1.5</v>
      </c>
      <c r="AF148" s="909">
        <f t="shared" si="50"/>
        <v>8</v>
      </c>
      <c r="AG148" s="909">
        <f t="shared" si="50"/>
        <v>14</v>
      </c>
      <c r="AH148" s="909">
        <f t="shared" si="50"/>
        <v>14.400436953807739</v>
      </c>
      <c r="AI148" s="909">
        <f t="shared" si="50"/>
        <v>4.9425717852684148</v>
      </c>
      <c r="AJ148" s="907">
        <f t="shared" si="44"/>
        <v>7.5207712135827478</v>
      </c>
      <c r="AN148" s="1140">
        <f t="shared" ca="1" si="45"/>
        <v>0.37161998183893502</v>
      </c>
      <c r="AP148" s="1154">
        <f t="shared" ca="1" si="53"/>
        <v>33.538426341676868</v>
      </c>
      <c r="AR148" s="1140">
        <f t="shared" ca="1" si="47"/>
        <v>32.411619981838932</v>
      </c>
      <c r="AT148" s="1154">
        <f t="shared" ca="1" si="48"/>
        <v>2921.508426341677</v>
      </c>
    </row>
    <row r="149" spans="1:46">
      <c r="A149" s="884" t="str">
        <f t="shared" si="51"/>
        <v>PIERCE UTCCommercialEXTRA-COMM</v>
      </c>
      <c r="B149" s="889" t="s">
        <v>2138</v>
      </c>
      <c r="C149" s="889" t="s">
        <v>2139</v>
      </c>
      <c r="D149" s="889" t="s">
        <v>2137</v>
      </c>
      <c r="E149" s="883">
        <v>33001</v>
      </c>
      <c r="F149" s="904">
        <v>3.21</v>
      </c>
      <c r="G149" s="904">
        <v>3.34</v>
      </c>
      <c r="H149" s="904"/>
      <c r="I149" s="906">
        <v>702.99</v>
      </c>
      <c r="J149" s="906">
        <v>776.82</v>
      </c>
      <c r="K149" s="906">
        <v>211.86</v>
      </c>
      <c r="L149" s="906">
        <v>685.87</v>
      </c>
      <c r="M149" s="906">
        <v>460.92</v>
      </c>
      <c r="N149" s="906">
        <v>604.54</v>
      </c>
      <c r="O149" s="906">
        <v>671.34</v>
      </c>
      <c r="P149" s="906">
        <v>938.54</v>
      </c>
      <c r="Q149" s="906">
        <v>941.88</v>
      </c>
      <c r="R149" s="906">
        <v>939.59</v>
      </c>
      <c r="S149" s="906">
        <v>885.1</v>
      </c>
      <c r="T149" s="906">
        <v>738.14</v>
      </c>
      <c r="U149" s="906"/>
      <c r="V149" s="957">
        <f t="shared" si="41"/>
        <v>8557.59</v>
      </c>
      <c r="W149" s="905"/>
      <c r="X149" s="909">
        <f t="shared" si="52"/>
        <v>219</v>
      </c>
      <c r="Y149" s="906">
        <f t="shared" si="52"/>
        <v>242.00000000000003</v>
      </c>
      <c r="Z149" s="906">
        <f t="shared" si="52"/>
        <v>66</v>
      </c>
      <c r="AA149" s="909">
        <f t="shared" ref="AA149:AI177" si="54">IFERROR(L149/$G149,0)</f>
        <v>205.35029940119762</v>
      </c>
      <c r="AB149" s="909">
        <f t="shared" si="54"/>
        <v>138</v>
      </c>
      <c r="AC149" s="909">
        <f t="shared" si="54"/>
        <v>181</v>
      </c>
      <c r="AD149" s="909">
        <f t="shared" si="54"/>
        <v>201.00000000000003</v>
      </c>
      <c r="AE149" s="909">
        <f t="shared" si="54"/>
        <v>281</v>
      </c>
      <c r="AF149" s="909">
        <f t="shared" si="54"/>
        <v>282</v>
      </c>
      <c r="AG149" s="909">
        <f t="shared" si="54"/>
        <v>281.31437125748505</v>
      </c>
      <c r="AH149" s="909">
        <f t="shared" si="54"/>
        <v>265</v>
      </c>
      <c r="AI149" s="909">
        <f t="shared" si="54"/>
        <v>221</v>
      </c>
      <c r="AJ149" s="907">
        <f t="shared" si="44"/>
        <v>215.22205588822354</v>
      </c>
      <c r="AN149" s="1140">
        <f t="shared" ca="1" si="45"/>
        <v>3.8739411340263513E-2</v>
      </c>
      <c r="AP149" s="1154">
        <f t="shared" ca="1" si="53"/>
        <v>100.0509090306129</v>
      </c>
      <c r="AR149" s="1140">
        <f t="shared" ca="1" si="47"/>
        <v>3.3787394113402636</v>
      </c>
      <c r="AT149" s="1154">
        <f t="shared" ca="1" si="48"/>
        <v>8657.6409090306133</v>
      </c>
    </row>
    <row r="150" spans="1:46">
      <c r="A150" s="884" t="str">
        <f t="shared" si="51"/>
        <v>PIERCE UTCCommercialEXTRAGWC-COMM</v>
      </c>
      <c r="B150" s="889" t="s">
        <v>2140</v>
      </c>
      <c r="C150" s="889" t="s">
        <v>2141</v>
      </c>
      <c r="D150" s="889" t="s">
        <v>2137</v>
      </c>
      <c r="E150" s="883">
        <v>33001</v>
      </c>
      <c r="F150" s="904">
        <v>2</v>
      </c>
      <c r="G150" s="904">
        <v>2</v>
      </c>
      <c r="H150" s="904"/>
      <c r="I150" s="906">
        <v>0</v>
      </c>
      <c r="J150" s="906">
        <v>6</v>
      </c>
      <c r="K150" s="906">
        <v>0</v>
      </c>
      <c r="L150" s="906">
        <v>0</v>
      </c>
      <c r="M150" s="906">
        <v>0</v>
      </c>
      <c r="N150" s="906">
        <v>0</v>
      </c>
      <c r="O150" s="906">
        <v>38</v>
      </c>
      <c r="P150" s="906">
        <v>8</v>
      </c>
      <c r="Q150" s="906">
        <v>4</v>
      </c>
      <c r="R150" s="906">
        <v>0</v>
      </c>
      <c r="S150" s="906">
        <v>0</v>
      </c>
      <c r="T150" s="906">
        <v>0</v>
      </c>
      <c r="U150" s="906"/>
      <c r="V150" s="957">
        <f t="shared" si="41"/>
        <v>56</v>
      </c>
      <c r="W150" s="905"/>
      <c r="X150" s="909">
        <f t="shared" si="52"/>
        <v>0</v>
      </c>
      <c r="Y150" s="906">
        <f t="shared" si="52"/>
        <v>3</v>
      </c>
      <c r="Z150" s="906">
        <f t="shared" si="52"/>
        <v>0</v>
      </c>
      <c r="AA150" s="909">
        <f t="shared" si="54"/>
        <v>0</v>
      </c>
      <c r="AB150" s="909">
        <f t="shared" si="54"/>
        <v>0</v>
      </c>
      <c r="AC150" s="909">
        <f t="shared" si="54"/>
        <v>0</v>
      </c>
      <c r="AD150" s="909">
        <f t="shared" si="54"/>
        <v>19</v>
      </c>
      <c r="AE150" s="909">
        <f t="shared" si="54"/>
        <v>4</v>
      </c>
      <c r="AF150" s="909">
        <f t="shared" si="54"/>
        <v>2</v>
      </c>
      <c r="AG150" s="909">
        <f t="shared" si="54"/>
        <v>0</v>
      </c>
      <c r="AH150" s="909">
        <f t="shared" si="54"/>
        <v>0</v>
      </c>
      <c r="AI150" s="909">
        <f t="shared" si="54"/>
        <v>0</v>
      </c>
      <c r="AJ150" s="907">
        <f t="shared" si="44"/>
        <v>2.3333333333333335</v>
      </c>
      <c r="AN150" s="1140">
        <f t="shared" ca="1" si="45"/>
        <v>2.319725229955899E-2</v>
      </c>
      <c r="AP150" s="1154">
        <f t="shared" ca="1" si="53"/>
        <v>0.64952306438765173</v>
      </c>
      <c r="AR150" s="1140">
        <f t="shared" ca="1" si="47"/>
        <v>2.0231972522995592</v>
      </c>
      <c r="AT150" s="1154">
        <f t="shared" ca="1" si="48"/>
        <v>56.649523064387651</v>
      </c>
    </row>
    <row r="151" spans="1:46">
      <c r="A151" s="884" t="str">
        <f t="shared" si="51"/>
        <v>PIERCE UTCCommercialEXTRAYDG-COM</v>
      </c>
      <c r="B151" s="889" t="s">
        <v>2142</v>
      </c>
      <c r="C151" s="889" t="s">
        <v>2143</v>
      </c>
      <c r="D151" s="889" t="s">
        <v>2137</v>
      </c>
      <c r="E151" s="883">
        <v>33001</v>
      </c>
      <c r="F151" s="904">
        <v>31.67</v>
      </c>
      <c r="G151" s="904">
        <v>32.04</v>
      </c>
      <c r="H151" s="904"/>
      <c r="I151" s="906">
        <v>570.05999999999995</v>
      </c>
      <c r="J151" s="906">
        <v>1298.47</v>
      </c>
      <c r="K151" s="906">
        <v>633.4</v>
      </c>
      <c r="L151" s="906">
        <v>928.79</v>
      </c>
      <c r="M151" s="906">
        <v>801</v>
      </c>
      <c r="N151" s="906">
        <v>1602</v>
      </c>
      <c r="O151" s="906">
        <v>1409.76</v>
      </c>
      <c r="P151" s="906">
        <v>1025.28</v>
      </c>
      <c r="Q151" s="906">
        <v>1473.84</v>
      </c>
      <c r="R151" s="906">
        <v>544.67999999999995</v>
      </c>
      <c r="S151" s="906">
        <v>560.70000000000005</v>
      </c>
      <c r="T151" s="906">
        <v>576.72</v>
      </c>
      <c r="U151" s="906"/>
      <c r="V151" s="957">
        <f t="shared" si="41"/>
        <v>11424.7</v>
      </c>
      <c r="W151" s="905"/>
      <c r="X151" s="909">
        <f t="shared" si="52"/>
        <v>17.999999999999996</v>
      </c>
      <c r="Y151" s="906">
        <f t="shared" si="52"/>
        <v>41</v>
      </c>
      <c r="Z151" s="906">
        <f t="shared" si="52"/>
        <v>19.999999999999996</v>
      </c>
      <c r="AA151" s="909">
        <f t="shared" si="54"/>
        <v>28.988451935081148</v>
      </c>
      <c r="AB151" s="909">
        <f t="shared" si="54"/>
        <v>25</v>
      </c>
      <c r="AC151" s="909">
        <f t="shared" si="54"/>
        <v>50</v>
      </c>
      <c r="AD151" s="909">
        <f t="shared" si="54"/>
        <v>44</v>
      </c>
      <c r="AE151" s="909">
        <f t="shared" si="54"/>
        <v>32</v>
      </c>
      <c r="AF151" s="909">
        <f t="shared" si="54"/>
        <v>46</v>
      </c>
      <c r="AG151" s="909">
        <f t="shared" si="54"/>
        <v>17</v>
      </c>
      <c r="AH151" s="909">
        <f t="shared" si="54"/>
        <v>17.500000000000004</v>
      </c>
      <c r="AI151" s="909">
        <f t="shared" si="54"/>
        <v>18</v>
      </c>
      <c r="AJ151" s="907">
        <f t="shared" si="44"/>
        <v>29.790704327923425</v>
      </c>
      <c r="AN151" s="1140">
        <f t="shared" ca="1" si="45"/>
        <v>0.37161998183893502</v>
      </c>
      <c r="AP151" s="1154">
        <f t="shared" ca="1" si="46"/>
        <v>132.84985201574383</v>
      </c>
      <c r="AR151" s="1140">
        <f t="shared" ca="1" si="47"/>
        <v>32.411619981838932</v>
      </c>
      <c r="AT151" s="1154">
        <f t="shared" ca="1" si="48"/>
        <v>11557.549852015745</v>
      </c>
    </row>
    <row r="152" spans="1:46">
      <c r="A152" s="884" t="str">
        <f t="shared" ref="A152:A183" si="55">$B$3&amp;"Commercial"&amp;B152</f>
        <v>PIERCE UTCCommercialACCESS-COMM</v>
      </c>
      <c r="B152" s="889" t="s">
        <v>2144</v>
      </c>
      <c r="C152" s="889" t="s">
        <v>2145</v>
      </c>
      <c r="D152" s="889" t="s">
        <v>411</v>
      </c>
      <c r="E152" s="883">
        <v>33000</v>
      </c>
      <c r="F152" s="904">
        <v>4.76</v>
      </c>
      <c r="G152" s="904">
        <v>4.76</v>
      </c>
      <c r="H152" s="904"/>
      <c r="I152" s="906">
        <v>2403.31</v>
      </c>
      <c r="J152" s="906">
        <v>2282.6999999999998</v>
      </c>
      <c r="K152" s="906">
        <v>2570.39</v>
      </c>
      <c r="L152" s="906">
        <v>2530.65</v>
      </c>
      <c r="M152" s="906">
        <v>2587.5300000000002</v>
      </c>
      <c r="N152" s="906">
        <v>2648.27</v>
      </c>
      <c r="O152" s="906">
        <v>2671.56</v>
      </c>
      <c r="P152" s="906">
        <v>2509.08</v>
      </c>
      <c r="Q152" s="906">
        <v>2718.2200000000003</v>
      </c>
      <c r="R152" s="906">
        <v>2737.2500000000005</v>
      </c>
      <c r="S152" s="906">
        <v>2755.0200000000004</v>
      </c>
      <c r="T152" s="906">
        <v>2804.7400000000007</v>
      </c>
      <c r="U152" s="906"/>
      <c r="V152" s="957">
        <f t="shared" ref="V152:V195" si="56">SUM(I152:T152)</f>
        <v>31218.720000000001</v>
      </c>
      <c r="W152" s="905"/>
      <c r="X152" s="909">
        <f t="shared" si="52"/>
        <v>504.89705882352945</v>
      </c>
      <c r="Y152" s="906">
        <f t="shared" si="52"/>
        <v>479.55882352941177</v>
      </c>
      <c r="Z152" s="906">
        <f t="shared" si="52"/>
        <v>539.99789915966392</v>
      </c>
      <c r="AA152" s="909">
        <f t="shared" si="54"/>
        <v>531.64915966386559</v>
      </c>
      <c r="AB152" s="909">
        <f t="shared" si="54"/>
        <v>543.59873949579844</v>
      </c>
      <c r="AC152" s="909">
        <f t="shared" si="54"/>
        <v>556.35924369747897</v>
      </c>
      <c r="AD152" s="909">
        <f t="shared" si="54"/>
        <v>561.2521008403362</v>
      </c>
      <c r="AE152" s="909">
        <f t="shared" si="54"/>
        <v>527.11764705882354</v>
      </c>
      <c r="AF152" s="909">
        <f t="shared" si="54"/>
        <v>571.05462184873954</v>
      </c>
      <c r="AG152" s="909">
        <f t="shared" si="54"/>
        <v>575.05252100840346</v>
      </c>
      <c r="AH152" s="909">
        <f t="shared" si="54"/>
        <v>578.78571428571445</v>
      </c>
      <c r="AI152" s="909">
        <f t="shared" si="54"/>
        <v>589.23109243697502</v>
      </c>
      <c r="AJ152" s="907">
        <f t="shared" ref="AJ152:AJ196" si="57">AVERAGE(X152:AI152)</f>
        <v>546.54621848739509</v>
      </c>
      <c r="AN152" s="1140">
        <f t="shared" ref="AN152:AN195" ca="1" si="58">G152*$AR$2</f>
        <v>5.5209460472950396E-2</v>
      </c>
      <c r="AP152" s="1154">
        <f t="shared" ref="AP152:AP196" ca="1" si="59">AJ152*AN152*12</f>
        <v>362.09426215464418</v>
      </c>
      <c r="AR152" s="1140">
        <f t="shared" ref="AR152:AR196" ca="1" si="60">G152+AN152</f>
        <v>4.8152094604729498</v>
      </c>
      <c r="AT152" s="1154">
        <f t="shared" ref="AT152:AT196" ca="1" si="61">V152+AP152</f>
        <v>31580.814262154647</v>
      </c>
    </row>
    <row r="153" spans="1:46" s="882" customFormat="1">
      <c r="A153" s="884" t="str">
        <f t="shared" si="55"/>
        <v>PIERCE UTCCommercialDISP-COMM</v>
      </c>
      <c r="B153" s="889" t="s">
        <v>2146</v>
      </c>
      <c r="C153" s="889" t="s">
        <v>2147</v>
      </c>
      <c r="D153" s="889" t="s">
        <v>411</v>
      </c>
      <c r="E153" s="883">
        <v>33000</v>
      </c>
      <c r="F153" s="904">
        <v>157.38</v>
      </c>
      <c r="G153" s="904">
        <v>164.34</v>
      </c>
      <c r="H153" s="904"/>
      <c r="I153" s="906">
        <v>1137.8599999999999</v>
      </c>
      <c r="J153" s="906">
        <v>305.32</v>
      </c>
      <c r="K153" s="906">
        <v>0</v>
      </c>
      <c r="L153" s="906">
        <v>1017.1</v>
      </c>
      <c r="M153" s="906">
        <v>603.13</v>
      </c>
      <c r="N153" s="906">
        <v>655.72</v>
      </c>
      <c r="O153" s="906">
        <v>4910.5</v>
      </c>
      <c r="P153" s="906">
        <v>10146.36</v>
      </c>
      <c r="Q153" s="906">
        <v>381.27</v>
      </c>
      <c r="R153" s="906">
        <v>341.81</v>
      </c>
      <c r="S153" s="906">
        <v>5686.17</v>
      </c>
      <c r="T153" s="906">
        <v>0</v>
      </c>
      <c r="U153" s="906"/>
      <c r="V153" s="957">
        <f t="shared" si="56"/>
        <v>25185.240000000005</v>
      </c>
      <c r="W153" s="905"/>
      <c r="X153" s="909">
        <f t="shared" ref="X153:Z186" si="62">IFERROR(I153/$F153,0)</f>
        <v>7.2300165205235727</v>
      </c>
      <c r="Y153" s="906">
        <f t="shared" si="62"/>
        <v>1.9400177913330792</v>
      </c>
      <c r="Z153" s="906">
        <f t="shared" si="62"/>
        <v>0</v>
      </c>
      <c r="AA153" s="909">
        <f t="shared" si="54"/>
        <v>6.1889984179140809</v>
      </c>
      <c r="AB153" s="909">
        <f t="shared" si="54"/>
        <v>3.6700133868808567</v>
      </c>
      <c r="AC153" s="909">
        <f t="shared" si="54"/>
        <v>3.9900206888158696</v>
      </c>
      <c r="AD153" s="909">
        <f t="shared" si="54"/>
        <v>29.880126566873553</v>
      </c>
      <c r="AE153" s="909">
        <f t="shared" si="54"/>
        <v>61.740051113545093</v>
      </c>
      <c r="AF153" s="909">
        <f t="shared" si="54"/>
        <v>2.3200073019350125</v>
      </c>
      <c r="AG153" s="909">
        <f t="shared" si="54"/>
        <v>2.0798953389314834</v>
      </c>
      <c r="AH153" s="909">
        <f t="shared" si="54"/>
        <v>34.600036509675064</v>
      </c>
      <c r="AI153" s="909">
        <f t="shared" si="54"/>
        <v>0</v>
      </c>
      <c r="AJ153" s="907">
        <f t="shared" si="57"/>
        <v>12.803265303035639</v>
      </c>
      <c r="AM153" s="1141"/>
      <c r="AN153" s="1140">
        <f t="shared" ca="1" si="58"/>
        <v>1.9061182214547623</v>
      </c>
      <c r="AO153" s="1137"/>
      <c r="AP153" s="1154">
        <f t="shared" ca="1" si="59"/>
        <v>292.85444745882916</v>
      </c>
      <c r="AQ153" s="1137"/>
      <c r="AR153" s="1140">
        <f t="shared" ca="1" si="60"/>
        <v>166.24611822145476</v>
      </c>
      <c r="AS153" s="1137"/>
      <c r="AT153" s="1154">
        <f t="shared" ca="1" si="61"/>
        <v>25478.094447458836</v>
      </c>
    </row>
    <row r="154" spans="1:46">
      <c r="A154" s="884" t="str">
        <f t="shared" si="55"/>
        <v>PIERCE UTCCommercialDRIVEIN1-COMM</v>
      </c>
      <c r="B154" s="889" t="s">
        <v>2148</v>
      </c>
      <c r="C154" s="889" t="s">
        <v>2149</v>
      </c>
      <c r="D154" s="889" t="s">
        <v>411</v>
      </c>
      <c r="E154" s="883">
        <v>33000</v>
      </c>
      <c r="F154" s="904">
        <v>7.01</v>
      </c>
      <c r="G154" s="904">
        <v>7.01</v>
      </c>
      <c r="H154" s="904"/>
      <c r="I154" s="906">
        <v>559.03</v>
      </c>
      <c r="J154" s="906">
        <v>539.76</v>
      </c>
      <c r="K154" s="906">
        <v>520.48</v>
      </c>
      <c r="L154" s="906">
        <v>543.25</v>
      </c>
      <c r="M154" s="906">
        <v>560.07000000000005</v>
      </c>
      <c r="N154" s="906">
        <v>569.89</v>
      </c>
      <c r="O154" s="906">
        <v>588.83000000000004</v>
      </c>
      <c r="P154" s="906">
        <v>607.74</v>
      </c>
      <c r="Q154" s="906">
        <v>624.22</v>
      </c>
      <c r="R154" s="906">
        <v>639.64</v>
      </c>
      <c r="S154" s="906">
        <v>679.94999999999993</v>
      </c>
      <c r="T154" s="906">
        <v>662.42</v>
      </c>
      <c r="U154" s="906"/>
      <c r="V154" s="957">
        <f t="shared" si="56"/>
        <v>7095.2800000000007</v>
      </c>
      <c r="W154" s="905"/>
      <c r="X154" s="909">
        <f t="shared" si="62"/>
        <v>79.747503566333805</v>
      </c>
      <c r="Y154" s="906">
        <f t="shared" si="62"/>
        <v>76.998573466476458</v>
      </c>
      <c r="Z154" s="906">
        <f t="shared" si="62"/>
        <v>74.248216833095583</v>
      </c>
      <c r="AA154" s="909">
        <f t="shared" si="54"/>
        <v>77.496433666191152</v>
      </c>
      <c r="AB154" s="909">
        <f t="shared" si="54"/>
        <v>79.895863052781749</v>
      </c>
      <c r="AC154" s="909">
        <f t="shared" si="54"/>
        <v>81.29671897289586</v>
      </c>
      <c r="AD154" s="909">
        <f t="shared" si="54"/>
        <v>83.998573466476472</v>
      </c>
      <c r="AE154" s="909">
        <f t="shared" si="54"/>
        <v>86.696148359486457</v>
      </c>
      <c r="AF154" s="909">
        <f t="shared" si="54"/>
        <v>89.047075606276749</v>
      </c>
      <c r="AG154" s="909">
        <f t="shared" si="54"/>
        <v>91.246790299572041</v>
      </c>
      <c r="AH154" s="909">
        <f t="shared" si="54"/>
        <v>96.997146932952916</v>
      </c>
      <c r="AI154" s="909">
        <f t="shared" si="54"/>
        <v>94.496433666191152</v>
      </c>
      <c r="AJ154" s="907">
        <f t="shared" si="57"/>
        <v>84.347123157394194</v>
      </c>
      <c r="AN154" s="1140">
        <f t="shared" ca="1" si="58"/>
        <v>8.130636930995426E-2</v>
      </c>
      <c r="AP154" s="1154">
        <f ca="1">AJ154*AN154*12</f>
        <v>82.295500148007449</v>
      </c>
      <c r="AR154" s="1140">
        <f t="shared" ca="1" si="60"/>
        <v>7.0913063693099536</v>
      </c>
      <c r="AT154" s="1154">
        <f t="shared" ca="1" si="61"/>
        <v>7177.5755001480084</v>
      </c>
    </row>
    <row r="155" spans="1:46">
      <c r="A155" s="884" t="str">
        <f t="shared" si="55"/>
        <v>PIERCE UTCCommercialDRIVEIN2-COMM</v>
      </c>
      <c r="B155" s="889" t="s">
        <v>2150</v>
      </c>
      <c r="C155" s="889" t="s">
        <v>2151</v>
      </c>
      <c r="D155" s="889" t="s">
        <v>411</v>
      </c>
      <c r="E155" s="883">
        <v>33000</v>
      </c>
      <c r="F155" s="904">
        <v>8.44</v>
      </c>
      <c r="G155" s="904">
        <v>8.44</v>
      </c>
      <c r="H155" s="904"/>
      <c r="I155" s="906">
        <v>4.22</v>
      </c>
      <c r="J155" s="906">
        <v>0</v>
      </c>
      <c r="K155" s="906">
        <v>0</v>
      </c>
      <c r="L155" s="906">
        <v>0</v>
      </c>
      <c r="M155" s="906">
        <v>0</v>
      </c>
      <c r="N155" s="906">
        <v>0</v>
      </c>
      <c r="O155" s="906">
        <v>0</v>
      </c>
      <c r="P155" s="906">
        <v>0</v>
      </c>
      <c r="Q155" s="906">
        <v>0</v>
      </c>
      <c r="R155" s="906">
        <v>0</v>
      </c>
      <c r="S155" s="906">
        <v>0</v>
      </c>
      <c r="T155" s="906">
        <v>0</v>
      </c>
      <c r="U155" s="906"/>
      <c r="V155" s="957">
        <f t="shared" si="56"/>
        <v>4.22</v>
      </c>
      <c r="W155" s="905"/>
      <c r="X155" s="909">
        <f t="shared" si="62"/>
        <v>0.5</v>
      </c>
      <c r="Y155" s="906">
        <f t="shared" si="62"/>
        <v>0</v>
      </c>
      <c r="Z155" s="906">
        <f t="shared" si="62"/>
        <v>0</v>
      </c>
      <c r="AA155" s="909">
        <f t="shared" si="54"/>
        <v>0</v>
      </c>
      <c r="AB155" s="909">
        <f t="shared" si="54"/>
        <v>0</v>
      </c>
      <c r="AC155" s="909">
        <f t="shared" si="54"/>
        <v>0</v>
      </c>
      <c r="AD155" s="909">
        <f t="shared" si="54"/>
        <v>0</v>
      </c>
      <c r="AE155" s="909">
        <f t="shared" si="54"/>
        <v>0</v>
      </c>
      <c r="AF155" s="909">
        <f t="shared" si="54"/>
        <v>0</v>
      </c>
      <c r="AG155" s="909">
        <f t="shared" si="54"/>
        <v>0</v>
      </c>
      <c r="AH155" s="909">
        <f t="shared" si="54"/>
        <v>0</v>
      </c>
      <c r="AI155" s="909">
        <f t="shared" si="54"/>
        <v>0</v>
      </c>
      <c r="AJ155" s="907">
        <f t="shared" si="57"/>
        <v>4.1666666666666664E-2</v>
      </c>
      <c r="AN155" s="1140">
        <f t="shared" ca="1" si="58"/>
        <v>9.789240470413893E-2</v>
      </c>
      <c r="AP155" s="1154">
        <f t="shared" ca="1" si="59"/>
        <v>4.8946202352069458E-2</v>
      </c>
      <c r="AR155" s="1140">
        <f t="shared" ca="1" si="60"/>
        <v>8.537892404704138</v>
      </c>
      <c r="AT155" s="1154">
        <f t="shared" ca="1" si="61"/>
        <v>4.268946202352069</v>
      </c>
    </row>
    <row r="156" spans="1:46">
      <c r="A156" s="884" t="str">
        <f t="shared" si="55"/>
        <v>PIERCE UTCCommercialROLL-COMM</v>
      </c>
      <c r="B156" s="889" t="s">
        <v>2152</v>
      </c>
      <c r="C156" s="889" t="s">
        <v>2153</v>
      </c>
      <c r="D156" s="889" t="s">
        <v>411</v>
      </c>
      <c r="E156" s="883">
        <v>33000</v>
      </c>
      <c r="F156" s="904">
        <v>16.45</v>
      </c>
      <c r="G156" s="904">
        <v>16.45</v>
      </c>
      <c r="H156" s="904"/>
      <c r="I156" s="906">
        <v>264.3</v>
      </c>
      <c r="J156" s="906">
        <v>247.3</v>
      </c>
      <c r="K156" s="906">
        <v>247.3</v>
      </c>
      <c r="L156" s="906">
        <v>247.3</v>
      </c>
      <c r="M156" s="906">
        <v>247.3</v>
      </c>
      <c r="N156" s="906">
        <v>247.3</v>
      </c>
      <c r="O156" s="906">
        <v>230.85</v>
      </c>
      <c r="P156" s="906">
        <v>230.85</v>
      </c>
      <c r="Q156" s="906">
        <v>230.85</v>
      </c>
      <c r="R156" s="906">
        <v>230.85</v>
      </c>
      <c r="S156" s="906">
        <v>230.85</v>
      </c>
      <c r="T156" s="906">
        <v>214.4</v>
      </c>
      <c r="U156" s="906"/>
      <c r="V156" s="957">
        <f t="shared" si="56"/>
        <v>2869.45</v>
      </c>
      <c r="W156" s="905"/>
      <c r="X156" s="909">
        <f t="shared" si="62"/>
        <v>16.066869300911854</v>
      </c>
      <c r="Y156" s="906">
        <f t="shared" si="62"/>
        <v>15.033434650455929</v>
      </c>
      <c r="Z156" s="906">
        <f t="shared" si="62"/>
        <v>15.033434650455929</v>
      </c>
      <c r="AA156" s="909">
        <f t="shared" si="54"/>
        <v>15.033434650455929</v>
      </c>
      <c r="AB156" s="909">
        <f t="shared" si="54"/>
        <v>15.033434650455929</v>
      </c>
      <c r="AC156" s="909">
        <f t="shared" si="54"/>
        <v>15.033434650455929</v>
      </c>
      <c r="AD156" s="909">
        <f t="shared" si="54"/>
        <v>14.033434650455927</v>
      </c>
      <c r="AE156" s="909">
        <f t="shared" si="54"/>
        <v>14.033434650455927</v>
      </c>
      <c r="AF156" s="909">
        <f t="shared" si="54"/>
        <v>14.033434650455927</v>
      </c>
      <c r="AG156" s="909">
        <f t="shared" si="54"/>
        <v>14.033434650455927</v>
      </c>
      <c r="AH156" s="909">
        <f t="shared" si="54"/>
        <v>14.033434650455927</v>
      </c>
      <c r="AI156" s="909">
        <f t="shared" si="54"/>
        <v>13.033434650455927</v>
      </c>
      <c r="AJ156" s="907">
        <f t="shared" si="57"/>
        <v>14.536220871327252</v>
      </c>
      <c r="AN156" s="1140">
        <f t="shared" ca="1" si="58"/>
        <v>0.1907974001638727</v>
      </c>
      <c r="AP156" s="1154">
        <f t="shared" ca="1" si="59"/>
        <v>33.281677805484769</v>
      </c>
      <c r="AR156" s="1140">
        <f t="shared" ca="1" si="60"/>
        <v>16.640797400163873</v>
      </c>
      <c r="AT156" s="1154">
        <f t="shared" ca="1" si="61"/>
        <v>2902.7316778054847</v>
      </c>
    </row>
    <row r="157" spans="1:46">
      <c r="A157" s="884" t="str">
        <f t="shared" si="55"/>
        <v>PIERCE UTCCommercialWI1-COMM</v>
      </c>
      <c r="B157" s="889" t="s">
        <v>2154</v>
      </c>
      <c r="C157" s="889" t="s">
        <v>2155</v>
      </c>
      <c r="D157" s="889" t="s">
        <v>411</v>
      </c>
      <c r="E157" s="883">
        <v>33000</v>
      </c>
      <c r="F157" s="904">
        <v>2.08</v>
      </c>
      <c r="G157" s="904">
        <v>2.08</v>
      </c>
      <c r="H157" s="904"/>
      <c r="I157" s="906">
        <v>16.059999999999999</v>
      </c>
      <c r="J157" s="906">
        <v>16.059999999999999</v>
      </c>
      <c r="K157" s="906">
        <v>16.059999999999999</v>
      </c>
      <c r="L157" s="906">
        <v>16.059999999999999</v>
      </c>
      <c r="M157" s="906">
        <v>16.059999999999999</v>
      </c>
      <c r="N157" s="906">
        <v>16.059999999999999</v>
      </c>
      <c r="O157" s="906">
        <v>16.059999999999999</v>
      </c>
      <c r="P157" s="906">
        <v>20.22</v>
      </c>
      <c r="Q157" s="906">
        <v>16.059999999999999</v>
      </c>
      <c r="R157" s="906">
        <v>16.059999999999999</v>
      </c>
      <c r="S157" s="906">
        <v>20.22</v>
      </c>
      <c r="T157" s="906">
        <v>20.22</v>
      </c>
      <c r="U157" s="906"/>
      <c r="V157" s="957">
        <f t="shared" si="56"/>
        <v>205.2</v>
      </c>
      <c r="W157" s="905"/>
      <c r="X157" s="909">
        <f t="shared" si="62"/>
        <v>7.7211538461538449</v>
      </c>
      <c r="Y157" s="906">
        <f t="shared" si="62"/>
        <v>7.7211538461538449</v>
      </c>
      <c r="Z157" s="906">
        <f t="shared" si="62"/>
        <v>7.7211538461538449</v>
      </c>
      <c r="AA157" s="909">
        <f t="shared" si="54"/>
        <v>7.7211538461538449</v>
      </c>
      <c r="AB157" s="909">
        <f t="shared" si="54"/>
        <v>7.7211538461538449</v>
      </c>
      <c r="AC157" s="909">
        <f t="shared" si="54"/>
        <v>7.7211538461538449</v>
      </c>
      <c r="AD157" s="909">
        <f t="shared" si="54"/>
        <v>7.7211538461538449</v>
      </c>
      <c r="AE157" s="909">
        <f t="shared" si="54"/>
        <v>9.7211538461538449</v>
      </c>
      <c r="AF157" s="909">
        <f t="shared" si="54"/>
        <v>7.7211538461538449</v>
      </c>
      <c r="AG157" s="909">
        <f t="shared" si="54"/>
        <v>7.7211538461538449</v>
      </c>
      <c r="AH157" s="909">
        <f t="shared" si="54"/>
        <v>9.7211538461538449</v>
      </c>
      <c r="AI157" s="909">
        <f t="shared" si="54"/>
        <v>9.7211538461538449</v>
      </c>
      <c r="AJ157" s="907">
        <f t="shared" si="57"/>
        <v>8.2211538461538449</v>
      </c>
      <c r="AN157" s="1140">
        <f t="shared" ca="1" si="58"/>
        <v>2.412514239154135E-2</v>
      </c>
      <c r="AP157" s="1154">
        <f t="shared" ca="1" si="59"/>
        <v>2.3800380859347521</v>
      </c>
      <c r="AR157" s="1140">
        <f t="shared" ca="1" si="60"/>
        <v>2.1041251423915415</v>
      </c>
      <c r="AT157" s="1154">
        <f t="shared" ca="1" si="61"/>
        <v>207.58003808593475</v>
      </c>
    </row>
    <row r="158" spans="1:46">
      <c r="A158" s="884" t="str">
        <f t="shared" si="55"/>
        <v>PIERCE UTCCommercialWI2-COMM</v>
      </c>
      <c r="B158" s="889" t="s">
        <v>2156</v>
      </c>
      <c r="C158" s="889" t="s">
        <v>2157</v>
      </c>
      <c r="D158" s="889" t="s">
        <v>411</v>
      </c>
      <c r="E158" s="883">
        <v>33000</v>
      </c>
      <c r="F158" s="904">
        <v>3.42</v>
      </c>
      <c r="G158" s="904">
        <v>3.42</v>
      </c>
      <c r="H158" s="904"/>
      <c r="I158" s="906">
        <v>3.42</v>
      </c>
      <c r="J158" s="906">
        <v>3.42</v>
      </c>
      <c r="K158" s="906">
        <v>3.42</v>
      </c>
      <c r="L158" s="906">
        <v>3.42</v>
      </c>
      <c r="M158" s="906">
        <v>3.42</v>
      </c>
      <c r="N158" s="906">
        <v>3.42</v>
      </c>
      <c r="O158" s="906">
        <v>3.42</v>
      </c>
      <c r="P158" s="906">
        <v>3.42</v>
      </c>
      <c r="Q158" s="906">
        <v>3.42</v>
      </c>
      <c r="R158" s="906">
        <v>3.42</v>
      </c>
      <c r="S158" s="906">
        <v>3.42</v>
      </c>
      <c r="T158" s="906">
        <v>3.42</v>
      </c>
      <c r="U158" s="906"/>
      <c r="V158" s="957">
        <f t="shared" si="56"/>
        <v>41.040000000000013</v>
      </c>
      <c r="W158" s="905"/>
      <c r="X158" s="909">
        <f t="shared" si="62"/>
        <v>1</v>
      </c>
      <c r="Y158" s="906">
        <f t="shared" si="62"/>
        <v>1</v>
      </c>
      <c r="Z158" s="906">
        <f t="shared" si="62"/>
        <v>1</v>
      </c>
      <c r="AA158" s="909">
        <f t="shared" si="54"/>
        <v>1</v>
      </c>
      <c r="AB158" s="909">
        <f t="shared" si="54"/>
        <v>1</v>
      </c>
      <c r="AC158" s="909">
        <f t="shared" si="54"/>
        <v>1</v>
      </c>
      <c r="AD158" s="909">
        <f t="shared" si="54"/>
        <v>1</v>
      </c>
      <c r="AE158" s="909">
        <f t="shared" si="54"/>
        <v>1</v>
      </c>
      <c r="AF158" s="909">
        <f t="shared" si="54"/>
        <v>1</v>
      </c>
      <c r="AG158" s="909">
        <f t="shared" si="54"/>
        <v>1</v>
      </c>
      <c r="AH158" s="909">
        <f t="shared" si="54"/>
        <v>1</v>
      </c>
      <c r="AI158" s="909">
        <f t="shared" si="54"/>
        <v>1</v>
      </c>
      <c r="AJ158" s="907">
        <f t="shared" si="57"/>
        <v>1</v>
      </c>
      <c r="AN158" s="1140">
        <f t="shared" ca="1" si="58"/>
        <v>3.9667301432245873E-2</v>
      </c>
      <c r="AP158" s="1154">
        <f t="shared" ca="1" si="59"/>
        <v>0.4760076171869505</v>
      </c>
      <c r="AR158" s="1140">
        <f t="shared" ca="1" si="60"/>
        <v>3.4596673014322459</v>
      </c>
      <c r="AT158" s="1154">
        <f t="shared" ca="1" si="61"/>
        <v>41.516007617186965</v>
      </c>
    </row>
    <row r="159" spans="1:46">
      <c r="A159" s="884" t="str">
        <f t="shared" si="55"/>
        <v>PIERCE UTCCommercialWI4-COMM</v>
      </c>
      <c r="B159" s="889" t="s">
        <v>2158</v>
      </c>
      <c r="C159" s="889" t="s">
        <v>2159</v>
      </c>
      <c r="D159" s="889" t="s">
        <v>411</v>
      </c>
      <c r="E159" s="883">
        <v>33000</v>
      </c>
      <c r="F159" s="904">
        <v>6.11</v>
      </c>
      <c r="G159" s="904">
        <v>6.11</v>
      </c>
      <c r="H159" s="904"/>
      <c r="I159" s="906">
        <v>6.11</v>
      </c>
      <c r="J159" s="906">
        <v>6.11</v>
      </c>
      <c r="K159" s="906">
        <v>6.11</v>
      </c>
      <c r="L159" s="906">
        <v>6.11</v>
      </c>
      <c r="M159" s="906">
        <v>6.11</v>
      </c>
      <c r="N159" s="906">
        <v>6.11</v>
      </c>
      <c r="O159" s="906">
        <v>6.11</v>
      </c>
      <c r="P159" s="906">
        <v>6.11</v>
      </c>
      <c r="Q159" s="906">
        <v>6.11</v>
      </c>
      <c r="R159" s="906">
        <v>6.11</v>
      </c>
      <c r="S159" s="906">
        <v>6.11</v>
      </c>
      <c r="T159" s="906">
        <v>6.11</v>
      </c>
      <c r="U159" s="906"/>
      <c r="V159" s="957">
        <f t="shared" si="56"/>
        <v>73.320000000000007</v>
      </c>
      <c r="W159" s="905"/>
      <c r="X159" s="909">
        <f t="shared" si="62"/>
        <v>1</v>
      </c>
      <c r="Y159" s="906">
        <f t="shared" si="62"/>
        <v>1</v>
      </c>
      <c r="Z159" s="906">
        <f t="shared" si="62"/>
        <v>1</v>
      </c>
      <c r="AA159" s="909">
        <f t="shared" si="54"/>
        <v>1</v>
      </c>
      <c r="AB159" s="909">
        <f t="shared" si="54"/>
        <v>1</v>
      </c>
      <c r="AC159" s="909">
        <f t="shared" si="54"/>
        <v>1</v>
      </c>
      <c r="AD159" s="909">
        <f t="shared" si="54"/>
        <v>1</v>
      </c>
      <c r="AE159" s="909">
        <f t="shared" si="54"/>
        <v>1</v>
      </c>
      <c r="AF159" s="909">
        <f t="shared" si="54"/>
        <v>1</v>
      </c>
      <c r="AG159" s="909">
        <f t="shared" si="54"/>
        <v>1</v>
      </c>
      <c r="AH159" s="909">
        <f t="shared" si="54"/>
        <v>1</v>
      </c>
      <c r="AI159" s="909">
        <f t="shared" si="54"/>
        <v>1</v>
      </c>
      <c r="AJ159" s="907">
        <f t="shared" si="57"/>
        <v>1</v>
      </c>
      <c r="AN159" s="1140">
        <f t="shared" ca="1" si="58"/>
        <v>7.086760577515272E-2</v>
      </c>
      <c r="AP159" s="1154">
        <f t="shared" ca="1" si="59"/>
        <v>0.85041126930183264</v>
      </c>
      <c r="AR159" s="1140">
        <f t="shared" ca="1" si="60"/>
        <v>6.1808676057751528</v>
      </c>
      <c r="AT159" s="1154">
        <f t="shared" ca="1" si="61"/>
        <v>74.170411269301837</v>
      </c>
    </row>
    <row r="160" spans="1:46">
      <c r="A160" s="884" t="str">
        <f t="shared" si="55"/>
        <v>PIERCE UTCCommercialCLEAN1.5-COMM</v>
      </c>
      <c r="B160" s="889" t="s">
        <v>2160</v>
      </c>
      <c r="C160" s="889" t="s">
        <v>2161</v>
      </c>
      <c r="D160" s="889" t="s">
        <v>2137</v>
      </c>
      <c r="E160" s="883">
        <v>33001</v>
      </c>
      <c r="F160" s="904">
        <v>19</v>
      </c>
      <c r="G160" s="904">
        <v>19</v>
      </c>
      <c r="H160" s="904"/>
      <c r="I160" s="906">
        <v>-2.1800000000000002</v>
      </c>
      <c r="J160" s="906">
        <v>38</v>
      </c>
      <c r="K160" s="906">
        <v>0</v>
      </c>
      <c r="L160" s="906">
        <v>76</v>
      </c>
      <c r="M160" s="906">
        <v>190</v>
      </c>
      <c r="N160" s="906">
        <v>361</v>
      </c>
      <c r="O160" s="906">
        <v>133</v>
      </c>
      <c r="P160" s="906">
        <v>228</v>
      </c>
      <c r="Q160" s="906">
        <v>152</v>
      </c>
      <c r="R160" s="906">
        <v>152</v>
      </c>
      <c r="S160" s="906">
        <v>380</v>
      </c>
      <c r="T160" s="906">
        <v>114</v>
      </c>
      <c r="U160" s="906"/>
      <c r="V160" s="957">
        <f t="shared" si="56"/>
        <v>1821.82</v>
      </c>
      <c r="W160" s="905"/>
      <c r="X160" s="909">
        <f t="shared" si="62"/>
        <v>-0.11473684210526316</v>
      </c>
      <c r="Y160" s="906">
        <f t="shared" si="62"/>
        <v>2</v>
      </c>
      <c r="Z160" s="906">
        <f t="shared" si="62"/>
        <v>0</v>
      </c>
      <c r="AA160" s="909">
        <f t="shared" si="54"/>
        <v>4</v>
      </c>
      <c r="AB160" s="909">
        <f t="shared" si="54"/>
        <v>10</v>
      </c>
      <c r="AC160" s="909">
        <f t="shared" si="54"/>
        <v>19</v>
      </c>
      <c r="AD160" s="909">
        <f t="shared" si="54"/>
        <v>7</v>
      </c>
      <c r="AE160" s="909">
        <f t="shared" si="54"/>
        <v>12</v>
      </c>
      <c r="AF160" s="909">
        <f t="shared" si="54"/>
        <v>8</v>
      </c>
      <c r="AG160" s="909">
        <f t="shared" si="54"/>
        <v>8</v>
      </c>
      <c r="AH160" s="909">
        <f t="shared" si="54"/>
        <v>20</v>
      </c>
      <c r="AI160" s="909">
        <f t="shared" si="54"/>
        <v>6</v>
      </c>
      <c r="AJ160" s="907">
        <f t="shared" si="57"/>
        <v>7.9904385964912281</v>
      </c>
      <c r="AN160" s="1140">
        <f t="shared" ca="1" si="58"/>
        <v>0.22037389684581041</v>
      </c>
      <c r="AP160" s="1154">
        <f t="shared" ca="1" si="59"/>
        <v>21.130609092191278</v>
      </c>
      <c r="AR160" s="1140">
        <f t="shared" ca="1" si="60"/>
        <v>19.22037389684581</v>
      </c>
      <c r="AT160" s="1154">
        <f t="shared" ca="1" si="61"/>
        <v>1842.9506090921911</v>
      </c>
    </row>
    <row r="161" spans="1:46">
      <c r="A161" s="884" t="str">
        <f t="shared" si="55"/>
        <v>PIERCE UTCCommercialCLEAN1-COMM</v>
      </c>
      <c r="B161" s="889" t="s">
        <v>2162</v>
      </c>
      <c r="C161" s="889" t="s">
        <v>2163</v>
      </c>
      <c r="D161" s="889" t="s">
        <v>2137</v>
      </c>
      <c r="E161" s="883">
        <v>33001</v>
      </c>
      <c r="F161" s="904">
        <v>19</v>
      </c>
      <c r="G161" s="904">
        <v>19</v>
      </c>
      <c r="H161" s="904"/>
      <c r="I161" s="906">
        <v>19</v>
      </c>
      <c r="J161" s="906">
        <v>19</v>
      </c>
      <c r="K161" s="906">
        <v>0</v>
      </c>
      <c r="L161" s="906">
        <v>19</v>
      </c>
      <c r="M161" s="906">
        <v>38</v>
      </c>
      <c r="N161" s="906">
        <v>0</v>
      </c>
      <c r="O161" s="906">
        <v>38</v>
      </c>
      <c r="P161" s="906">
        <v>19</v>
      </c>
      <c r="Q161" s="906">
        <v>19</v>
      </c>
      <c r="R161" s="906">
        <v>19</v>
      </c>
      <c r="S161" s="906">
        <v>57</v>
      </c>
      <c r="T161" s="906">
        <v>0</v>
      </c>
      <c r="U161" s="906"/>
      <c r="V161" s="957">
        <f t="shared" si="56"/>
        <v>247</v>
      </c>
      <c r="W161" s="905"/>
      <c r="X161" s="909">
        <f t="shared" si="62"/>
        <v>1</v>
      </c>
      <c r="Y161" s="906">
        <f t="shared" si="62"/>
        <v>1</v>
      </c>
      <c r="Z161" s="906">
        <f t="shared" si="62"/>
        <v>0</v>
      </c>
      <c r="AA161" s="909">
        <f t="shared" si="54"/>
        <v>1</v>
      </c>
      <c r="AB161" s="909">
        <f t="shared" si="54"/>
        <v>2</v>
      </c>
      <c r="AC161" s="909">
        <f t="shared" si="54"/>
        <v>0</v>
      </c>
      <c r="AD161" s="909">
        <f t="shared" si="54"/>
        <v>2</v>
      </c>
      <c r="AE161" s="909">
        <f t="shared" si="54"/>
        <v>1</v>
      </c>
      <c r="AF161" s="909">
        <f t="shared" si="54"/>
        <v>1</v>
      </c>
      <c r="AG161" s="909">
        <f t="shared" si="54"/>
        <v>1</v>
      </c>
      <c r="AH161" s="909">
        <f t="shared" si="54"/>
        <v>3</v>
      </c>
      <c r="AI161" s="909">
        <f t="shared" si="54"/>
        <v>0</v>
      </c>
      <c r="AJ161" s="907">
        <f t="shared" si="57"/>
        <v>1.0833333333333333</v>
      </c>
      <c r="AN161" s="1140">
        <f t="shared" ca="1" si="58"/>
        <v>0.22037389684581041</v>
      </c>
      <c r="AP161" s="1154">
        <f t="shared" ca="1" si="59"/>
        <v>2.8648606589955352</v>
      </c>
      <c r="AR161" s="1140">
        <f t="shared" ca="1" si="60"/>
        <v>19.22037389684581</v>
      </c>
      <c r="AT161" s="1154">
        <f t="shared" ca="1" si="61"/>
        <v>249.86486065899553</v>
      </c>
    </row>
    <row r="162" spans="1:46">
      <c r="A162" s="884" t="str">
        <f t="shared" si="55"/>
        <v>PIERCE UTCCommercialCLEAN2-COMM</v>
      </c>
      <c r="B162" s="889" t="s">
        <v>2164</v>
      </c>
      <c r="C162" s="889" t="s">
        <v>2165</v>
      </c>
      <c r="D162" s="889" t="s">
        <v>2137</v>
      </c>
      <c r="E162" s="883">
        <v>33001</v>
      </c>
      <c r="F162" s="904">
        <v>19</v>
      </c>
      <c r="G162" s="904">
        <v>19</v>
      </c>
      <c r="H162" s="904"/>
      <c r="I162" s="906">
        <v>323</v>
      </c>
      <c r="J162" s="906">
        <v>380</v>
      </c>
      <c r="K162" s="906">
        <v>114</v>
      </c>
      <c r="L162" s="906">
        <v>361</v>
      </c>
      <c r="M162" s="906">
        <v>342</v>
      </c>
      <c r="N162" s="906">
        <v>532</v>
      </c>
      <c r="O162" s="906">
        <v>399</v>
      </c>
      <c r="P162" s="906">
        <v>722</v>
      </c>
      <c r="Q162" s="906">
        <v>399</v>
      </c>
      <c r="R162" s="906">
        <v>323</v>
      </c>
      <c r="S162" s="906">
        <v>456</v>
      </c>
      <c r="T162" s="906">
        <v>361</v>
      </c>
      <c r="U162" s="906"/>
      <c r="V162" s="957">
        <f t="shared" si="56"/>
        <v>4712</v>
      </c>
      <c r="W162" s="905"/>
      <c r="X162" s="909">
        <f t="shared" si="62"/>
        <v>17</v>
      </c>
      <c r="Y162" s="906">
        <f t="shared" si="62"/>
        <v>20</v>
      </c>
      <c r="Z162" s="906">
        <f t="shared" si="62"/>
        <v>6</v>
      </c>
      <c r="AA162" s="909">
        <f t="shared" si="54"/>
        <v>19</v>
      </c>
      <c r="AB162" s="909">
        <f t="shared" si="54"/>
        <v>18</v>
      </c>
      <c r="AC162" s="909">
        <f t="shared" si="54"/>
        <v>28</v>
      </c>
      <c r="AD162" s="909">
        <f t="shared" si="54"/>
        <v>21</v>
      </c>
      <c r="AE162" s="909">
        <f t="shared" si="54"/>
        <v>38</v>
      </c>
      <c r="AF162" s="909">
        <f t="shared" si="54"/>
        <v>21</v>
      </c>
      <c r="AG162" s="909">
        <f t="shared" si="54"/>
        <v>17</v>
      </c>
      <c r="AH162" s="909">
        <f t="shared" si="54"/>
        <v>24</v>
      </c>
      <c r="AI162" s="909">
        <f t="shared" si="54"/>
        <v>19</v>
      </c>
      <c r="AJ162" s="907">
        <f t="shared" si="57"/>
        <v>20.666666666666668</v>
      </c>
      <c r="AN162" s="1140">
        <f t="shared" ca="1" si="58"/>
        <v>0.22037389684581041</v>
      </c>
      <c r="AP162" s="1154">
        <f t="shared" ca="1" si="59"/>
        <v>54.652726417760981</v>
      </c>
      <c r="AR162" s="1140">
        <f t="shared" ca="1" si="60"/>
        <v>19.22037389684581</v>
      </c>
      <c r="AT162" s="1154">
        <f t="shared" ca="1" si="61"/>
        <v>4766.6527264177612</v>
      </c>
    </row>
    <row r="163" spans="1:46">
      <c r="A163" s="884" t="str">
        <f t="shared" si="55"/>
        <v>PIERCE UTCCommercialCLEAN3-COMM</v>
      </c>
      <c r="B163" s="889" t="s">
        <v>2166</v>
      </c>
      <c r="C163" s="889" t="s">
        <v>2167</v>
      </c>
      <c r="D163" s="889" t="s">
        <v>2137</v>
      </c>
      <c r="E163" s="883">
        <v>33001</v>
      </c>
      <c r="F163" s="904">
        <v>19</v>
      </c>
      <c r="G163" s="904">
        <v>19</v>
      </c>
      <c r="H163" s="904"/>
      <c r="I163" s="906">
        <v>0</v>
      </c>
      <c r="J163" s="906">
        <v>0</v>
      </c>
      <c r="K163" s="906">
        <v>0</v>
      </c>
      <c r="L163" s="906">
        <v>0</v>
      </c>
      <c r="M163" s="906">
        <v>0</v>
      </c>
      <c r="N163" s="906">
        <v>0</v>
      </c>
      <c r="O163" s="906">
        <v>0</v>
      </c>
      <c r="P163" s="906">
        <v>0</v>
      </c>
      <c r="Q163" s="906">
        <v>19</v>
      </c>
      <c r="R163" s="906">
        <v>0</v>
      </c>
      <c r="S163" s="906">
        <v>0</v>
      </c>
      <c r="T163" s="906">
        <v>0</v>
      </c>
      <c r="U163" s="906"/>
      <c r="V163" s="957">
        <f t="shared" si="56"/>
        <v>19</v>
      </c>
      <c r="W163" s="905"/>
      <c r="X163" s="909">
        <f t="shared" si="62"/>
        <v>0</v>
      </c>
      <c r="Y163" s="906">
        <f t="shared" si="62"/>
        <v>0</v>
      </c>
      <c r="Z163" s="906">
        <f t="shared" si="62"/>
        <v>0</v>
      </c>
      <c r="AA163" s="909">
        <f t="shared" si="54"/>
        <v>0</v>
      </c>
      <c r="AB163" s="909">
        <f t="shared" si="54"/>
        <v>0</v>
      </c>
      <c r="AC163" s="909">
        <f t="shared" si="54"/>
        <v>0</v>
      </c>
      <c r="AD163" s="909">
        <f t="shared" si="54"/>
        <v>0</v>
      </c>
      <c r="AE163" s="909">
        <f t="shared" si="54"/>
        <v>0</v>
      </c>
      <c r="AF163" s="909">
        <f t="shared" si="54"/>
        <v>1</v>
      </c>
      <c r="AG163" s="909">
        <f t="shared" si="54"/>
        <v>0</v>
      </c>
      <c r="AH163" s="909">
        <f t="shared" si="54"/>
        <v>0</v>
      </c>
      <c r="AI163" s="909">
        <f t="shared" si="54"/>
        <v>0</v>
      </c>
      <c r="AJ163" s="907">
        <f t="shared" si="57"/>
        <v>8.3333333333333329E-2</v>
      </c>
      <c r="AN163" s="1140">
        <f t="shared" ca="1" si="58"/>
        <v>0.22037389684581041</v>
      </c>
      <c r="AP163" s="1154">
        <f t="shared" ca="1" si="59"/>
        <v>0.22037389684581038</v>
      </c>
      <c r="AR163" s="1140">
        <f t="shared" ca="1" si="60"/>
        <v>19.22037389684581</v>
      </c>
      <c r="AT163" s="1154">
        <f t="shared" ca="1" si="61"/>
        <v>19.22037389684581</v>
      </c>
    </row>
    <row r="164" spans="1:46">
      <c r="A164" s="884" t="str">
        <f t="shared" si="55"/>
        <v>PIERCE UTCCommercialCLEAN4-COMM</v>
      </c>
      <c r="B164" s="889" t="s">
        <v>2168</v>
      </c>
      <c r="C164" s="889" t="s">
        <v>2169</v>
      </c>
      <c r="D164" s="889" t="s">
        <v>2137</v>
      </c>
      <c r="E164" s="883">
        <v>33001</v>
      </c>
      <c r="F164" s="904">
        <v>19</v>
      </c>
      <c r="G164" s="904">
        <v>19</v>
      </c>
      <c r="H164" s="904"/>
      <c r="I164" s="906">
        <v>0</v>
      </c>
      <c r="J164" s="906">
        <v>0</v>
      </c>
      <c r="K164" s="906">
        <v>0</v>
      </c>
      <c r="L164" s="906">
        <v>0</v>
      </c>
      <c r="M164" s="906">
        <v>0</v>
      </c>
      <c r="N164" s="906">
        <v>57</v>
      </c>
      <c r="O164" s="906">
        <v>0</v>
      </c>
      <c r="P164" s="906">
        <v>0</v>
      </c>
      <c r="Q164" s="906">
        <v>19</v>
      </c>
      <c r="R164" s="906">
        <v>19</v>
      </c>
      <c r="S164" s="906">
        <v>0</v>
      </c>
      <c r="T164" s="906">
        <v>0</v>
      </c>
      <c r="U164" s="906"/>
      <c r="V164" s="957">
        <f t="shared" si="56"/>
        <v>95</v>
      </c>
      <c r="W164" s="905"/>
      <c r="X164" s="909">
        <f t="shared" si="62"/>
        <v>0</v>
      </c>
      <c r="Y164" s="906">
        <f t="shared" si="62"/>
        <v>0</v>
      </c>
      <c r="Z164" s="906">
        <f t="shared" si="62"/>
        <v>0</v>
      </c>
      <c r="AA164" s="909">
        <f t="shared" si="54"/>
        <v>0</v>
      </c>
      <c r="AB164" s="909">
        <f t="shared" si="54"/>
        <v>0</v>
      </c>
      <c r="AC164" s="909">
        <f t="shared" si="54"/>
        <v>3</v>
      </c>
      <c r="AD164" s="909">
        <f t="shared" si="54"/>
        <v>0</v>
      </c>
      <c r="AE164" s="909">
        <f t="shared" si="54"/>
        <v>0</v>
      </c>
      <c r="AF164" s="909">
        <f t="shared" si="54"/>
        <v>1</v>
      </c>
      <c r="AG164" s="909">
        <f t="shared" si="54"/>
        <v>1</v>
      </c>
      <c r="AH164" s="909">
        <f t="shared" si="54"/>
        <v>0</v>
      </c>
      <c r="AI164" s="909">
        <f t="shared" si="54"/>
        <v>0</v>
      </c>
      <c r="AJ164" s="907">
        <f t="shared" si="57"/>
        <v>0.41666666666666669</v>
      </c>
      <c r="AN164" s="1140">
        <f t="shared" ca="1" si="58"/>
        <v>0.22037389684581041</v>
      </c>
      <c r="AP164" s="1154">
        <f t="shared" ca="1" si="59"/>
        <v>1.1018694842290522</v>
      </c>
      <c r="AR164" s="1140">
        <f t="shared" ca="1" si="60"/>
        <v>19.22037389684581</v>
      </c>
      <c r="AT164" s="1154">
        <f t="shared" ca="1" si="61"/>
        <v>96.101869484229056</v>
      </c>
    </row>
    <row r="165" spans="1:46">
      <c r="A165" s="884" t="str">
        <f t="shared" si="55"/>
        <v>PIERCE UTCCommercialCLEAN6-COMM</v>
      </c>
      <c r="B165" s="889" t="s">
        <v>2170</v>
      </c>
      <c r="C165" s="889" t="s">
        <v>2171</v>
      </c>
      <c r="D165" s="889" t="s">
        <v>2137</v>
      </c>
      <c r="E165" s="883">
        <v>33001</v>
      </c>
      <c r="F165" s="904">
        <v>28.5</v>
      </c>
      <c r="G165" s="904">
        <v>28.5</v>
      </c>
      <c r="H165" s="904"/>
      <c r="I165" s="906">
        <v>0</v>
      </c>
      <c r="J165" s="906">
        <v>85.5</v>
      </c>
      <c r="K165" s="906">
        <v>28.5</v>
      </c>
      <c r="L165" s="906">
        <v>0</v>
      </c>
      <c r="M165" s="906">
        <v>0</v>
      </c>
      <c r="N165" s="906">
        <v>0</v>
      </c>
      <c r="O165" s="906">
        <v>57</v>
      </c>
      <c r="P165" s="906">
        <v>28.5</v>
      </c>
      <c r="Q165" s="906">
        <v>165.75</v>
      </c>
      <c r="R165" s="906">
        <v>74.25</v>
      </c>
      <c r="S165" s="906">
        <v>57</v>
      </c>
      <c r="T165" s="906">
        <v>0</v>
      </c>
      <c r="U165" s="906"/>
      <c r="V165" s="957">
        <f t="shared" si="56"/>
        <v>496.5</v>
      </c>
      <c r="W165" s="905"/>
      <c r="X165" s="909">
        <f t="shared" si="62"/>
        <v>0</v>
      </c>
      <c r="Y165" s="906">
        <f t="shared" si="62"/>
        <v>3</v>
      </c>
      <c r="Z165" s="906">
        <f t="shared" si="62"/>
        <v>1</v>
      </c>
      <c r="AA165" s="909">
        <f t="shared" si="54"/>
        <v>0</v>
      </c>
      <c r="AB165" s="909">
        <f t="shared" si="54"/>
        <v>0</v>
      </c>
      <c r="AC165" s="909">
        <f t="shared" si="54"/>
        <v>0</v>
      </c>
      <c r="AD165" s="909">
        <f t="shared" si="54"/>
        <v>2</v>
      </c>
      <c r="AE165" s="909">
        <f t="shared" si="54"/>
        <v>1</v>
      </c>
      <c r="AF165" s="909">
        <f t="shared" si="54"/>
        <v>5.8157894736842106</v>
      </c>
      <c r="AG165" s="909">
        <f t="shared" si="54"/>
        <v>2.6052631578947367</v>
      </c>
      <c r="AH165" s="909">
        <f t="shared" si="54"/>
        <v>2</v>
      </c>
      <c r="AI165" s="909">
        <f t="shared" si="54"/>
        <v>0</v>
      </c>
      <c r="AJ165" s="907">
        <f t="shared" si="57"/>
        <v>1.451754385964912</v>
      </c>
      <c r="AN165" s="1140">
        <f t="shared" ca="1" si="58"/>
        <v>0.3305608452687156</v>
      </c>
      <c r="AP165" s="1154">
        <f t="shared" ca="1" si="59"/>
        <v>5.7587178833655184</v>
      </c>
      <c r="AR165" s="1140">
        <f t="shared" ca="1" si="60"/>
        <v>28.830560845268714</v>
      </c>
      <c r="AT165" s="1154">
        <f t="shared" ca="1" si="61"/>
        <v>502.25871788336553</v>
      </c>
    </row>
    <row r="166" spans="1:46">
      <c r="A166" s="884" t="str">
        <f t="shared" si="55"/>
        <v>PIERCE UTCCommercialCLEAN-COMM</v>
      </c>
      <c r="B166" s="889" t="s">
        <v>2172</v>
      </c>
      <c r="C166" s="889" t="s">
        <v>2173</v>
      </c>
      <c r="D166" s="889" t="s">
        <v>2137</v>
      </c>
      <c r="E166" s="883">
        <v>33001</v>
      </c>
      <c r="F166" s="904">
        <v>4.75</v>
      </c>
      <c r="G166" s="904">
        <v>4.75</v>
      </c>
      <c r="H166" s="904"/>
      <c r="I166" s="906">
        <v>4.75</v>
      </c>
      <c r="J166" s="906">
        <v>0</v>
      </c>
      <c r="K166" s="906">
        <v>0</v>
      </c>
      <c r="L166" s="906">
        <v>0</v>
      </c>
      <c r="M166" s="906">
        <v>4.75</v>
      </c>
      <c r="N166" s="906">
        <v>0</v>
      </c>
      <c r="O166" s="906">
        <v>4.75</v>
      </c>
      <c r="P166" s="906">
        <v>0</v>
      </c>
      <c r="Q166" s="906">
        <v>0</v>
      </c>
      <c r="R166" s="906">
        <v>4.75</v>
      </c>
      <c r="S166" s="906">
        <v>0</v>
      </c>
      <c r="T166" s="906">
        <v>4.75</v>
      </c>
      <c r="U166" s="906"/>
      <c r="V166" s="957">
        <f t="shared" si="56"/>
        <v>23.75</v>
      </c>
      <c r="W166" s="905"/>
      <c r="X166" s="909">
        <f t="shared" si="62"/>
        <v>1</v>
      </c>
      <c r="Y166" s="906">
        <f t="shared" si="62"/>
        <v>0</v>
      </c>
      <c r="Z166" s="906">
        <f t="shared" si="62"/>
        <v>0</v>
      </c>
      <c r="AA166" s="909">
        <f t="shared" si="54"/>
        <v>0</v>
      </c>
      <c r="AB166" s="909">
        <f t="shared" si="54"/>
        <v>1</v>
      </c>
      <c r="AC166" s="909">
        <f t="shared" si="54"/>
        <v>0</v>
      </c>
      <c r="AD166" s="909">
        <f t="shared" si="54"/>
        <v>1</v>
      </c>
      <c r="AE166" s="909">
        <f t="shared" si="54"/>
        <v>0</v>
      </c>
      <c r="AF166" s="909">
        <f t="shared" si="54"/>
        <v>0</v>
      </c>
      <c r="AG166" s="909">
        <f t="shared" si="54"/>
        <v>1</v>
      </c>
      <c r="AH166" s="909">
        <f t="shared" si="54"/>
        <v>0</v>
      </c>
      <c r="AI166" s="909">
        <f t="shared" si="54"/>
        <v>1</v>
      </c>
      <c r="AJ166" s="907">
        <f t="shared" si="57"/>
        <v>0.41666666666666669</v>
      </c>
      <c r="AN166" s="1140">
        <f t="shared" ca="1" si="58"/>
        <v>5.5093474211452602E-2</v>
      </c>
      <c r="AP166" s="1154">
        <f t="shared" ca="1" si="59"/>
        <v>0.27546737105726304</v>
      </c>
      <c r="AR166" s="1140">
        <f t="shared" ca="1" si="60"/>
        <v>4.8050934742114526</v>
      </c>
      <c r="AT166" s="1154">
        <f t="shared" ca="1" si="61"/>
        <v>24.025467371057264</v>
      </c>
    </row>
    <row r="167" spans="1:46">
      <c r="A167" s="884" t="str">
        <f t="shared" si="55"/>
        <v>PIERCE UTCCommercialDEL1.5TEMP-COMM</v>
      </c>
      <c r="B167" s="889" t="s">
        <v>2174</v>
      </c>
      <c r="C167" s="889" t="s">
        <v>2175</v>
      </c>
      <c r="D167" s="889" t="s">
        <v>2137</v>
      </c>
      <c r="E167" s="883">
        <v>33001</v>
      </c>
      <c r="F167" s="904">
        <v>22.71</v>
      </c>
      <c r="G167" s="904">
        <v>22.71</v>
      </c>
      <c r="H167" s="904"/>
      <c r="I167" s="906">
        <v>45.42</v>
      </c>
      <c r="J167" s="906">
        <v>45.42</v>
      </c>
      <c r="K167" s="906">
        <v>45.42</v>
      </c>
      <c r="L167" s="906">
        <v>204.39</v>
      </c>
      <c r="M167" s="906">
        <v>317.94</v>
      </c>
      <c r="N167" s="906">
        <v>317.94</v>
      </c>
      <c r="O167" s="906">
        <v>68.13</v>
      </c>
      <c r="P167" s="906">
        <v>613.17000000000007</v>
      </c>
      <c r="Q167" s="906">
        <v>204.39000000000001</v>
      </c>
      <c r="R167" s="906">
        <v>136.26</v>
      </c>
      <c r="S167" s="906">
        <v>158.97</v>
      </c>
      <c r="T167" s="906">
        <v>68.13</v>
      </c>
      <c r="U167" s="906"/>
      <c r="V167" s="957">
        <f t="shared" si="56"/>
        <v>2225.58</v>
      </c>
      <c r="W167" s="905"/>
      <c r="X167" s="909">
        <f t="shared" si="62"/>
        <v>2</v>
      </c>
      <c r="Y167" s="906">
        <f t="shared" si="62"/>
        <v>2</v>
      </c>
      <c r="Z167" s="906">
        <f t="shared" si="62"/>
        <v>2</v>
      </c>
      <c r="AA167" s="909">
        <f t="shared" si="54"/>
        <v>8.9999999999999982</v>
      </c>
      <c r="AB167" s="909">
        <f t="shared" si="54"/>
        <v>14</v>
      </c>
      <c r="AC167" s="909">
        <f t="shared" si="54"/>
        <v>14</v>
      </c>
      <c r="AD167" s="909">
        <f t="shared" si="54"/>
        <v>2.9999999999999996</v>
      </c>
      <c r="AE167" s="909">
        <f t="shared" si="54"/>
        <v>27.000000000000004</v>
      </c>
      <c r="AF167" s="909">
        <f t="shared" si="54"/>
        <v>9</v>
      </c>
      <c r="AG167" s="909">
        <f t="shared" si="54"/>
        <v>5.9999999999999991</v>
      </c>
      <c r="AH167" s="909">
        <f t="shared" si="54"/>
        <v>7</v>
      </c>
      <c r="AI167" s="909">
        <f t="shared" si="54"/>
        <v>2.9999999999999996</v>
      </c>
      <c r="AJ167" s="907">
        <f t="shared" si="57"/>
        <v>8.1666666666666661</v>
      </c>
      <c r="AN167" s="1140">
        <f t="shared" ca="1" si="58"/>
        <v>0.26340479986149234</v>
      </c>
      <c r="AP167" s="1154">
        <f t="shared" ca="1" si="59"/>
        <v>25.813670386426246</v>
      </c>
      <c r="AR167" s="1140">
        <f t="shared" ca="1" si="60"/>
        <v>22.973404799861495</v>
      </c>
      <c r="AT167" s="1154">
        <f t="shared" ca="1" si="61"/>
        <v>2251.393670386426</v>
      </c>
    </row>
    <row r="168" spans="1:46">
      <c r="A168" s="884" t="str">
        <f t="shared" si="55"/>
        <v>PIERCE UTCCommercialDEL1TEMP-COMM</v>
      </c>
      <c r="B168" s="889" t="s">
        <v>2176</v>
      </c>
      <c r="C168" s="889" t="s">
        <v>2177</v>
      </c>
      <c r="D168" s="889" t="s">
        <v>2137</v>
      </c>
      <c r="E168" s="883">
        <v>33001</v>
      </c>
      <c r="F168" s="904">
        <v>22.71</v>
      </c>
      <c r="G168" s="904">
        <v>22.71</v>
      </c>
      <c r="H168" s="904"/>
      <c r="I168" s="906">
        <v>22.71</v>
      </c>
      <c r="J168" s="906">
        <v>45.42</v>
      </c>
      <c r="K168" s="906">
        <v>0</v>
      </c>
      <c r="L168" s="906">
        <v>45.42</v>
      </c>
      <c r="M168" s="906">
        <v>22.71</v>
      </c>
      <c r="N168" s="906">
        <v>68.13</v>
      </c>
      <c r="O168" s="906">
        <v>22.71</v>
      </c>
      <c r="P168" s="906">
        <v>22.71</v>
      </c>
      <c r="Q168" s="906">
        <v>22.71</v>
      </c>
      <c r="R168" s="906">
        <v>22.71</v>
      </c>
      <c r="S168" s="906">
        <v>22.71</v>
      </c>
      <c r="T168" s="906">
        <v>0</v>
      </c>
      <c r="U168" s="906"/>
      <c r="V168" s="957">
        <f t="shared" si="56"/>
        <v>317.93999999999994</v>
      </c>
      <c r="W168" s="905"/>
      <c r="X168" s="909">
        <f t="shared" si="62"/>
        <v>1</v>
      </c>
      <c r="Y168" s="906">
        <f t="shared" si="62"/>
        <v>2</v>
      </c>
      <c r="Z168" s="906">
        <f t="shared" si="62"/>
        <v>0</v>
      </c>
      <c r="AA168" s="909">
        <f t="shared" si="54"/>
        <v>2</v>
      </c>
      <c r="AB168" s="909">
        <f t="shared" si="54"/>
        <v>1</v>
      </c>
      <c r="AC168" s="909">
        <f t="shared" si="54"/>
        <v>2.9999999999999996</v>
      </c>
      <c r="AD168" s="909">
        <f t="shared" si="54"/>
        <v>1</v>
      </c>
      <c r="AE168" s="909">
        <f t="shared" si="54"/>
        <v>1</v>
      </c>
      <c r="AF168" s="909">
        <f t="shared" si="54"/>
        <v>1</v>
      </c>
      <c r="AG168" s="909">
        <f t="shared" si="54"/>
        <v>1</v>
      </c>
      <c r="AH168" s="909">
        <f t="shared" si="54"/>
        <v>1</v>
      </c>
      <c r="AI168" s="909">
        <f t="shared" si="54"/>
        <v>0</v>
      </c>
      <c r="AJ168" s="907">
        <f t="shared" si="57"/>
        <v>1.1666666666666667</v>
      </c>
      <c r="AN168" s="1140">
        <f t="shared" ca="1" si="58"/>
        <v>0.26340479986149234</v>
      </c>
      <c r="AP168" s="1154">
        <f t="shared" ca="1" si="59"/>
        <v>3.6876671980608933</v>
      </c>
      <c r="AR168" s="1140">
        <f t="shared" ca="1" si="60"/>
        <v>22.973404799861495</v>
      </c>
      <c r="AT168" s="1154">
        <f t="shared" ca="1" si="61"/>
        <v>321.62766719806086</v>
      </c>
    </row>
    <row r="169" spans="1:46">
      <c r="A169" s="884" t="str">
        <f t="shared" si="55"/>
        <v>PIERCE UTCCommercialDEL2TEMP-COMM</v>
      </c>
      <c r="B169" s="889" t="s">
        <v>2178</v>
      </c>
      <c r="C169" s="889" t="s">
        <v>2179</v>
      </c>
      <c r="D169" s="889" t="s">
        <v>2137</v>
      </c>
      <c r="E169" s="883">
        <v>33001</v>
      </c>
      <c r="F169" s="904">
        <v>22.71</v>
      </c>
      <c r="G169" s="904">
        <v>22.71</v>
      </c>
      <c r="H169" s="904"/>
      <c r="I169" s="906">
        <v>272.52</v>
      </c>
      <c r="J169" s="906">
        <v>545.04</v>
      </c>
      <c r="K169" s="906">
        <v>272.52</v>
      </c>
      <c r="L169" s="906">
        <v>704.01</v>
      </c>
      <c r="M169" s="906">
        <v>363.35999999999996</v>
      </c>
      <c r="N169" s="906">
        <v>545.04000000000008</v>
      </c>
      <c r="O169" s="906">
        <v>908.40000000000009</v>
      </c>
      <c r="P169" s="906">
        <v>658.59</v>
      </c>
      <c r="Q169" s="906">
        <v>431.49</v>
      </c>
      <c r="R169" s="906">
        <v>408.78</v>
      </c>
      <c r="S169" s="906">
        <v>476.91</v>
      </c>
      <c r="T169" s="906">
        <v>295.23</v>
      </c>
      <c r="U169" s="906"/>
      <c r="V169" s="957">
        <f t="shared" si="56"/>
        <v>5881.8899999999994</v>
      </c>
      <c r="W169" s="905"/>
      <c r="X169" s="909">
        <f t="shared" si="62"/>
        <v>11.999999999999998</v>
      </c>
      <c r="Y169" s="906">
        <f t="shared" si="62"/>
        <v>23.999999999999996</v>
      </c>
      <c r="Z169" s="906">
        <f t="shared" si="62"/>
        <v>11.999999999999998</v>
      </c>
      <c r="AA169" s="909">
        <f t="shared" si="54"/>
        <v>31</v>
      </c>
      <c r="AB169" s="909">
        <f t="shared" si="54"/>
        <v>15.999999999999998</v>
      </c>
      <c r="AC169" s="909">
        <f t="shared" si="54"/>
        <v>24.000000000000004</v>
      </c>
      <c r="AD169" s="909">
        <f t="shared" si="54"/>
        <v>40</v>
      </c>
      <c r="AE169" s="909">
        <f t="shared" si="54"/>
        <v>29</v>
      </c>
      <c r="AF169" s="909">
        <f t="shared" si="54"/>
        <v>19</v>
      </c>
      <c r="AG169" s="909">
        <f t="shared" si="54"/>
        <v>17.999999999999996</v>
      </c>
      <c r="AH169" s="909">
        <f t="shared" si="54"/>
        <v>21</v>
      </c>
      <c r="AI169" s="909">
        <f t="shared" si="54"/>
        <v>13</v>
      </c>
      <c r="AJ169" s="907">
        <f t="shared" si="57"/>
        <v>21.583333333333332</v>
      </c>
      <c r="AN169" s="1140">
        <f t="shared" ca="1" si="58"/>
        <v>0.26340479986149234</v>
      </c>
      <c r="AP169" s="1154">
        <f t="shared" ca="1" si="59"/>
        <v>68.221843164126511</v>
      </c>
      <c r="AR169" s="1140">
        <f t="shared" ca="1" si="60"/>
        <v>22.973404799861495</v>
      </c>
      <c r="AT169" s="1154">
        <f t="shared" ca="1" si="61"/>
        <v>5950.1118431641262</v>
      </c>
    </row>
    <row r="170" spans="1:46">
      <c r="A170" s="884" t="str">
        <f t="shared" si="55"/>
        <v>PIERCE UTCCommercialDEL3TEMP-COMM</v>
      </c>
      <c r="B170" s="889" t="s">
        <v>2180</v>
      </c>
      <c r="C170" s="889" t="s">
        <v>2181</v>
      </c>
      <c r="D170" s="889" t="s">
        <v>2137</v>
      </c>
      <c r="E170" s="883">
        <v>33001</v>
      </c>
      <c r="F170" s="904">
        <v>22.71</v>
      </c>
      <c r="G170" s="904">
        <v>22.71</v>
      </c>
      <c r="H170" s="904"/>
      <c r="I170" s="906">
        <v>0</v>
      </c>
      <c r="J170" s="906">
        <v>0</v>
      </c>
      <c r="K170" s="906">
        <v>0</v>
      </c>
      <c r="L170" s="906">
        <v>0</v>
      </c>
      <c r="M170" s="906">
        <v>0</v>
      </c>
      <c r="N170" s="906">
        <v>0</v>
      </c>
      <c r="O170" s="906">
        <v>0</v>
      </c>
      <c r="P170" s="906">
        <v>0</v>
      </c>
      <c r="Q170" s="906">
        <v>22.71</v>
      </c>
      <c r="R170" s="906">
        <v>0</v>
      </c>
      <c r="S170" s="906">
        <v>0</v>
      </c>
      <c r="T170" s="906">
        <v>0</v>
      </c>
      <c r="U170" s="906"/>
      <c r="V170" s="957">
        <f t="shared" si="56"/>
        <v>22.71</v>
      </c>
      <c r="W170" s="905"/>
      <c r="X170" s="909">
        <f t="shared" si="62"/>
        <v>0</v>
      </c>
      <c r="Y170" s="906">
        <f t="shared" si="62"/>
        <v>0</v>
      </c>
      <c r="Z170" s="906">
        <f t="shared" si="62"/>
        <v>0</v>
      </c>
      <c r="AA170" s="909">
        <f t="shared" si="54"/>
        <v>0</v>
      </c>
      <c r="AB170" s="909">
        <f t="shared" si="54"/>
        <v>0</v>
      </c>
      <c r="AC170" s="909">
        <f t="shared" si="54"/>
        <v>0</v>
      </c>
      <c r="AD170" s="909">
        <f t="shared" si="54"/>
        <v>0</v>
      </c>
      <c r="AE170" s="909">
        <f t="shared" si="54"/>
        <v>0</v>
      </c>
      <c r="AF170" s="909">
        <f t="shared" si="54"/>
        <v>1</v>
      </c>
      <c r="AG170" s="909">
        <f t="shared" si="54"/>
        <v>0</v>
      </c>
      <c r="AH170" s="909">
        <f t="shared" si="54"/>
        <v>0</v>
      </c>
      <c r="AI170" s="909">
        <f t="shared" si="54"/>
        <v>0</v>
      </c>
      <c r="AJ170" s="907">
        <f t="shared" si="57"/>
        <v>8.3333333333333329E-2</v>
      </c>
      <c r="AN170" s="1140">
        <f t="shared" ca="1" si="58"/>
        <v>0.26340479986149234</v>
      </c>
      <c r="AP170" s="1154">
        <f t="shared" ca="1" si="59"/>
        <v>0.26340479986149234</v>
      </c>
      <c r="AR170" s="1140">
        <f t="shared" ca="1" si="60"/>
        <v>22.973404799861495</v>
      </c>
      <c r="AT170" s="1154">
        <f t="shared" ca="1" si="61"/>
        <v>22.973404799861495</v>
      </c>
    </row>
    <row r="171" spans="1:46">
      <c r="A171" s="884" t="str">
        <f t="shared" si="55"/>
        <v>PIERCE UTCCommercialDEL4TEMP-COMM</v>
      </c>
      <c r="B171" s="889" t="s">
        <v>2182</v>
      </c>
      <c r="C171" s="889" t="s">
        <v>2183</v>
      </c>
      <c r="D171" s="889" t="s">
        <v>2137</v>
      </c>
      <c r="E171" s="883">
        <v>33001</v>
      </c>
      <c r="F171" s="904">
        <v>22.71</v>
      </c>
      <c r="G171" s="904">
        <v>22.71</v>
      </c>
      <c r="H171" s="904"/>
      <c r="I171" s="906">
        <v>0</v>
      </c>
      <c r="J171" s="906">
        <v>0</v>
      </c>
      <c r="K171" s="906">
        <v>0</v>
      </c>
      <c r="L171" s="906">
        <v>0</v>
      </c>
      <c r="M171" s="906">
        <v>22.71</v>
      </c>
      <c r="N171" s="906">
        <v>45.42</v>
      </c>
      <c r="O171" s="906">
        <v>0</v>
      </c>
      <c r="P171" s="906">
        <v>0</v>
      </c>
      <c r="Q171" s="906">
        <v>45.42</v>
      </c>
      <c r="R171" s="906">
        <v>0</v>
      </c>
      <c r="S171" s="906">
        <v>0</v>
      </c>
      <c r="T171" s="906">
        <v>0</v>
      </c>
      <c r="U171" s="906"/>
      <c r="V171" s="957">
        <f t="shared" si="56"/>
        <v>113.55</v>
      </c>
      <c r="W171" s="905"/>
      <c r="X171" s="909">
        <f t="shared" si="62"/>
        <v>0</v>
      </c>
      <c r="Y171" s="906">
        <f t="shared" si="62"/>
        <v>0</v>
      </c>
      <c r="Z171" s="906">
        <f t="shared" si="62"/>
        <v>0</v>
      </c>
      <c r="AA171" s="909">
        <f t="shared" si="54"/>
        <v>0</v>
      </c>
      <c r="AB171" s="909">
        <f t="shared" si="54"/>
        <v>1</v>
      </c>
      <c r="AC171" s="909">
        <f t="shared" si="54"/>
        <v>2</v>
      </c>
      <c r="AD171" s="909">
        <f t="shared" si="54"/>
        <v>0</v>
      </c>
      <c r="AE171" s="909">
        <f t="shared" si="54"/>
        <v>0</v>
      </c>
      <c r="AF171" s="909">
        <f t="shared" si="54"/>
        <v>2</v>
      </c>
      <c r="AG171" s="909">
        <f t="shared" si="54"/>
        <v>0</v>
      </c>
      <c r="AH171" s="909">
        <f t="shared" si="54"/>
        <v>0</v>
      </c>
      <c r="AI171" s="909">
        <f t="shared" si="54"/>
        <v>0</v>
      </c>
      <c r="AJ171" s="907">
        <f t="shared" si="57"/>
        <v>0.41666666666666669</v>
      </c>
      <c r="AN171" s="1140">
        <f t="shared" ca="1" si="58"/>
        <v>0.26340479986149234</v>
      </c>
      <c r="AP171" s="1154">
        <f t="shared" ca="1" si="59"/>
        <v>1.3170239993074619</v>
      </c>
      <c r="AR171" s="1140">
        <f t="shared" ca="1" si="60"/>
        <v>22.973404799861495</v>
      </c>
      <c r="AT171" s="1154">
        <f t="shared" ca="1" si="61"/>
        <v>114.86702399930746</v>
      </c>
    </row>
    <row r="172" spans="1:46">
      <c r="A172" s="884" t="str">
        <f t="shared" si="55"/>
        <v>PIERCE UTCCommercialDEL6TEMP-COMM</v>
      </c>
      <c r="B172" s="889" t="s">
        <v>2184</v>
      </c>
      <c r="C172" s="889" t="s">
        <v>2185</v>
      </c>
      <c r="D172" s="889" t="s">
        <v>2137</v>
      </c>
      <c r="E172" s="883">
        <v>33001</v>
      </c>
      <c r="F172" s="904">
        <v>42.77</v>
      </c>
      <c r="G172" s="904">
        <v>42.77</v>
      </c>
      <c r="H172" s="904"/>
      <c r="I172" s="906">
        <v>171.08</v>
      </c>
      <c r="J172" s="906">
        <v>85.54</v>
      </c>
      <c r="K172" s="906">
        <v>0</v>
      </c>
      <c r="L172" s="906">
        <v>42.77</v>
      </c>
      <c r="M172" s="906">
        <v>-42.77</v>
      </c>
      <c r="N172" s="906">
        <v>0</v>
      </c>
      <c r="O172" s="906">
        <v>85.54</v>
      </c>
      <c r="P172" s="906">
        <v>42.77</v>
      </c>
      <c r="Q172" s="906">
        <v>0</v>
      </c>
      <c r="R172" s="906">
        <v>0</v>
      </c>
      <c r="S172" s="906">
        <v>85.54</v>
      </c>
      <c r="T172" s="906">
        <v>0</v>
      </c>
      <c r="U172" s="906"/>
      <c r="V172" s="957">
        <f t="shared" si="56"/>
        <v>470.47</v>
      </c>
      <c r="W172" s="905"/>
      <c r="X172" s="909">
        <f t="shared" si="62"/>
        <v>4</v>
      </c>
      <c r="Y172" s="906">
        <f t="shared" si="62"/>
        <v>2</v>
      </c>
      <c r="Z172" s="906">
        <f t="shared" si="62"/>
        <v>0</v>
      </c>
      <c r="AA172" s="909">
        <f t="shared" si="54"/>
        <v>1</v>
      </c>
      <c r="AB172" s="909">
        <f t="shared" si="54"/>
        <v>-1</v>
      </c>
      <c r="AC172" s="909">
        <f t="shared" si="54"/>
        <v>0</v>
      </c>
      <c r="AD172" s="909">
        <f t="shared" si="54"/>
        <v>2</v>
      </c>
      <c r="AE172" s="909">
        <f t="shared" si="54"/>
        <v>1</v>
      </c>
      <c r="AF172" s="909">
        <f t="shared" si="54"/>
        <v>0</v>
      </c>
      <c r="AG172" s="909">
        <f t="shared" si="54"/>
        <v>0</v>
      </c>
      <c r="AH172" s="909">
        <f t="shared" si="54"/>
        <v>2</v>
      </c>
      <c r="AI172" s="909">
        <f t="shared" si="54"/>
        <v>0</v>
      </c>
      <c r="AJ172" s="907">
        <f t="shared" si="57"/>
        <v>0.91666666666666663</v>
      </c>
      <c r="AN172" s="1140">
        <f t="shared" ca="1" si="58"/>
        <v>0.49607324042606904</v>
      </c>
      <c r="AP172" s="1154">
        <f t="shared" ca="1" si="59"/>
        <v>5.4568056446867592</v>
      </c>
      <c r="AR172" s="1140">
        <f t="shared" ca="1" si="60"/>
        <v>43.266073240426074</v>
      </c>
      <c r="AT172" s="1154">
        <f t="shared" ca="1" si="61"/>
        <v>475.92680564468679</v>
      </c>
    </row>
    <row r="173" spans="1:46">
      <c r="A173" s="884" t="str">
        <f t="shared" si="55"/>
        <v>PIERCE UTCCommercialREINSTATE-COMM</v>
      </c>
      <c r="B173" s="889" t="s">
        <v>2186</v>
      </c>
      <c r="C173" s="889" t="s">
        <v>2187</v>
      </c>
      <c r="D173" s="889" t="s">
        <v>2137</v>
      </c>
      <c r="E173" s="883">
        <v>33001</v>
      </c>
      <c r="F173" s="904">
        <v>12.65</v>
      </c>
      <c r="G173" s="904">
        <v>12.65</v>
      </c>
      <c r="H173" s="904"/>
      <c r="I173" s="906">
        <v>227.7</v>
      </c>
      <c r="J173" s="906">
        <v>303.60000000000002</v>
      </c>
      <c r="K173" s="906">
        <v>379.5</v>
      </c>
      <c r="L173" s="906">
        <v>417.45</v>
      </c>
      <c r="M173" s="906">
        <v>290.95</v>
      </c>
      <c r="N173" s="906">
        <v>240.35</v>
      </c>
      <c r="O173" s="906">
        <v>366.85</v>
      </c>
      <c r="P173" s="906">
        <v>354.2</v>
      </c>
      <c r="Q173" s="906">
        <v>240.35</v>
      </c>
      <c r="R173" s="906">
        <v>366.85</v>
      </c>
      <c r="S173" s="906">
        <v>265.64999999999998</v>
      </c>
      <c r="T173" s="906">
        <v>278.3</v>
      </c>
      <c r="U173" s="906"/>
      <c r="V173" s="957">
        <f t="shared" si="56"/>
        <v>3731.75</v>
      </c>
      <c r="W173" s="905"/>
      <c r="X173" s="909">
        <f t="shared" si="62"/>
        <v>18</v>
      </c>
      <c r="Y173" s="906">
        <f t="shared" si="62"/>
        <v>24</v>
      </c>
      <c r="Z173" s="906">
        <f t="shared" si="62"/>
        <v>30</v>
      </c>
      <c r="AA173" s="909">
        <f t="shared" si="54"/>
        <v>33</v>
      </c>
      <c r="AB173" s="909">
        <f t="shared" si="54"/>
        <v>23</v>
      </c>
      <c r="AC173" s="909">
        <f t="shared" si="54"/>
        <v>19</v>
      </c>
      <c r="AD173" s="909">
        <f t="shared" si="54"/>
        <v>29</v>
      </c>
      <c r="AE173" s="909">
        <f t="shared" si="54"/>
        <v>28</v>
      </c>
      <c r="AF173" s="909">
        <f t="shared" si="54"/>
        <v>19</v>
      </c>
      <c r="AG173" s="909">
        <f t="shared" si="54"/>
        <v>29</v>
      </c>
      <c r="AH173" s="909">
        <f t="shared" si="54"/>
        <v>20.999999999999996</v>
      </c>
      <c r="AI173" s="909">
        <f t="shared" si="54"/>
        <v>22</v>
      </c>
      <c r="AJ173" s="907">
        <f t="shared" si="57"/>
        <v>24.583333333333332</v>
      </c>
      <c r="AN173" s="1140">
        <f t="shared" ca="1" si="58"/>
        <v>0.14672262079471063</v>
      </c>
      <c r="AP173" s="1154">
        <f t="shared" ca="1" si="59"/>
        <v>43.283173134439636</v>
      </c>
      <c r="AR173" s="1140">
        <f t="shared" ca="1" si="60"/>
        <v>12.796722620794711</v>
      </c>
      <c r="AT173" s="1154">
        <f t="shared" ca="1" si="61"/>
        <v>3775.0331731344395</v>
      </c>
    </row>
    <row r="174" spans="1:46">
      <c r="A174" s="884" t="str">
        <f t="shared" si="55"/>
        <v>PIERCE UTCCommercialRTRNCAN-COMM</v>
      </c>
      <c r="B174" s="889" t="s">
        <v>2188</v>
      </c>
      <c r="C174" s="889" t="s">
        <v>2189</v>
      </c>
      <c r="D174" s="889" t="s">
        <v>2137</v>
      </c>
      <c r="E174" s="883">
        <v>33001</v>
      </c>
      <c r="F174" s="904">
        <v>6.35</v>
      </c>
      <c r="G174" s="904">
        <v>6.35</v>
      </c>
      <c r="H174" s="904"/>
      <c r="I174" s="906">
        <v>0</v>
      </c>
      <c r="J174" s="906">
        <v>0</v>
      </c>
      <c r="K174" s="906">
        <v>0</v>
      </c>
      <c r="L174" s="906">
        <v>0</v>
      </c>
      <c r="M174" s="906">
        <v>0</v>
      </c>
      <c r="N174" s="906">
        <v>0</v>
      </c>
      <c r="O174" s="906">
        <v>6.35</v>
      </c>
      <c r="P174" s="906">
        <v>0</v>
      </c>
      <c r="Q174" s="906">
        <v>0</v>
      </c>
      <c r="R174" s="906">
        <v>0</v>
      </c>
      <c r="S174" s="906">
        <v>0</v>
      </c>
      <c r="T174" s="906">
        <v>0</v>
      </c>
      <c r="U174" s="906"/>
      <c r="V174" s="957">
        <f t="shared" si="56"/>
        <v>6.35</v>
      </c>
      <c r="W174" s="905"/>
      <c r="X174" s="909">
        <f t="shared" si="62"/>
        <v>0</v>
      </c>
      <c r="Y174" s="906">
        <f t="shared" si="62"/>
        <v>0</v>
      </c>
      <c r="Z174" s="906">
        <f t="shared" si="62"/>
        <v>0</v>
      </c>
      <c r="AA174" s="909">
        <f t="shared" si="54"/>
        <v>0</v>
      </c>
      <c r="AB174" s="909">
        <f t="shared" si="54"/>
        <v>0</v>
      </c>
      <c r="AC174" s="909">
        <f t="shared" si="54"/>
        <v>0</v>
      </c>
      <c r="AD174" s="909">
        <f t="shared" si="54"/>
        <v>1</v>
      </c>
      <c r="AE174" s="909">
        <f t="shared" si="54"/>
        <v>0</v>
      </c>
      <c r="AF174" s="909">
        <f t="shared" si="54"/>
        <v>0</v>
      </c>
      <c r="AG174" s="909">
        <f t="shared" si="54"/>
        <v>0</v>
      </c>
      <c r="AH174" s="909">
        <f t="shared" si="54"/>
        <v>0</v>
      </c>
      <c r="AI174" s="909">
        <f t="shared" si="54"/>
        <v>0</v>
      </c>
      <c r="AJ174" s="907">
        <f t="shared" si="57"/>
        <v>8.3333333333333329E-2</v>
      </c>
      <c r="AN174" s="1140">
        <f t="shared" ca="1" si="58"/>
        <v>7.3651276051099793E-2</v>
      </c>
      <c r="AP174" s="1154">
        <f t="shared" ca="1" si="59"/>
        <v>7.3651276051099793E-2</v>
      </c>
      <c r="AR174" s="1140">
        <f t="shared" ca="1" si="60"/>
        <v>6.4236512760510998</v>
      </c>
      <c r="AT174" s="1154">
        <f t="shared" ca="1" si="61"/>
        <v>6.4236512760510998</v>
      </c>
    </row>
    <row r="175" spans="1:46">
      <c r="A175" s="884" t="str">
        <f t="shared" si="55"/>
        <v>PIERCE UTCCommercialRTRNCART65-COMM</v>
      </c>
      <c r="B175" s="889" t="s">
        <v>2190</v>
      </c>
      <c r="C175" s="889" t="s">
        <v>2191</v>
      </c>
      <c r="D175" s="889" t="s">
        <v>2137</v>
      </c>
      <c r="E175" s="883">
        <v>33001</v>
      </c>
      <c r="F175" s="904">
        <v>7.4</v>
      </c>
      <c r="G175" s="904">
        <v>7.4</v>
      </c>
      <c r="H175" s="904"/>
      <c r="I175" s="906">
        <v>7.4</v>
      </c>
      <c r="J175" s="906">
        <v>0</v>
      </c>
      <c r="K175" s="906">
        <v>0</v>
      </c>
      <c r="L175" s="906">
        <v>7.4</v>
      </c>
      <c r="M175" s="906">
        <v>0</v>
      </c>
      <c r="N175" s="906">
        <v>0</v>
      </c>
      <c r="O175" s="906">
        <v>7.4</v>
      </c>
      <c r="P175" s="906">
        <v>14.8</v>
      </c>
      <c r="Q175" s="906">
        <v>0</v>
      </c>
      <c r="R175" s="906">
        <v>0</v>
      </c>
      <c r="S175" s="906">
        <v>0</v>
      </c>
      <c r="T175" s="906">
        <v>0</v>
      </c>
      <c r="U175" s="906"/>
      <c r="V175" s="957">
        <f t="shared" si="56"/>
        <v>37</v>
      </c>
      <c r="W175" s="905"/>
      <c r="X175" s="909">
        <f t="shared" si="62"/>
        <v>1</v>
      </c>
      <c r="Y175" s="906">
        <f t="shared" si="62"/>
        <v>0</v>
      </c>
      <c r="Z175" s="906">
        <f t="shared" si="62"/>
        <v>0</v>
      </c>
      <c r="AA175" s="909">
        <f t="shared" si="54"/>
        <v>1</v>
      </c>
      <c r="AB175" s="909">
        <f t="shared" si="54"/>
        <v>0</v>
      </c>
      <c r="AC175" s="909">
        <f t="shared" si="54"/>
        <v>0</v>
      </c>
      <c r="AD175" s="909">
        <f t="shared" si="54"/>
        <v>1</v>
      </c>
      <c r="AE175" s="909">
        <f t="shared" si="54"/>
        <v>2</v>
      </c>
      <c r="AF175" s="909">
        <f t="shared" si="54"/>
        <v>0</v>
      </c>
      <c r="AG175" s="909">
        <f t="shared" si="54"/>
        <v>0</v>
      </c>
      <c r="AH175" s="909">
        <f t="shared" si="54"/>
        <v>0</v>
      </c>
      <c r="AI175" s="909">
        <f t="shared" si="54"/>
        <v>0</v>
      </c>
      <c r="AJ175" s="907">
        <f t="shared" si="57"/>
        <v>0.41666666666666669</v>
      </c>
      <c r="AN175" s="1140">
        <f t="shared" ca="1" si="58"/>
        <v>8.5829833508368272E-2</v>
      </c>
      <c r="AP175" s="1154">
        <f t="shared" ca="1" si="59"/>
        <v>0.4291491675418414</v>
      </c>
      <c r="AR175" s="1140">
        <f t="shared" ca="1" si="60"/>
        <v>7.4858298335083688</v>
      </c>
      <c r="AT175" s="1154">
        <f t="shared" ca="1" si="61"/>
        <v>37.429149167541844</v>
      </c>
    </row>
    <row r="176" spans="1:46">
      <c r="A176" s="884" t="str">
        <f t="shared" si="55"/>
        <v>PIERCE UTCCommercialRTRNCART95-COMM</v>
      </c>
      <c r="B176" s="889" t="s">
        <v>2192</v>
      </c>
      <c r="C176" s="889" t="s">
        <v>2193</v>
      </c>
      <c r="D176" s="889" t="s">
        <v>2137</v>
      </c>
      <c r="E176" s="883">
        <v>33001</v>
      </c>
      <c r="F176" s="904">
        <v>9.5</v>
      </c>
      <c r="G176" s="904">
        <v>9.5</v>
      </c>
      <c r="H176" s="904"/>
      <c r="I176" s="906">
        <v>0</v>
      </c>
      <c r="J176" s="906">
        <v>0</v>
      </c>
      <c r="K176" s="906">
        <v>0</v>
      </c>
      <c r="L176" s="906">
        <v>0</v>
      </c>
      <c r="M176" s="906">
        <v>0</v>
      </c>
      <c r="N176" s="906">
        <v>0</v>
      </c>
      <c r="O176" s="906">
        <v>0</v>
      </c>
      <c r="P176" s="906">
        <v>9.5</v>
      </c>
      <c r="Q176" s="906">
        <v>19</v>
      </c>
      <c r="R176" s="906">
        <v>-9.5</v>
      </c>
      <c r="S176" s="906">
        <v>28.5</v>
      </c>
      <c r="T176" s="906">
        <v>0</v>
      </c>
      <c r="U176" s="906"/>
      <c r="V176" s="957">
        <f t="shared" si="56"/>
        <v>47.5</v>
      </c>
      <c r="W176" s="905"/>
      <c r="X176" s="909">
        <f t="shared" si="62"/>
        <v>0</v>
      </c>
      <c r="Y176" s="906">
        <f t="shared" si="62"/>
        <v>0</v>
      </c>
      <c r="Z176" s="906">
        <f t="shared" si="62"/>
        <v>0</v>
      </c>
      <c r="AA176" s="909">
        <f t="shared" si="54"/>
        <v>0</v>
      </c>
      <c r="AB176" s="909">
        <f t="shared" si="54"/>
        <v>0</v>
      </c>
      <c r="AC176" s="909">
        <f t="shared" si="54"/>
        <v>0</v>
      </c>
      <c r="AD176" s="909">
        <f t="shared" si="54"/>
        <v>0</v>
      </c>
      <c r="AE176" s="909">
        <f t="shared" si="54"/>
        <v>1</v>
      </c>
      <c r="AF176" s="909">
        <f t="shared" si="54"/>
        <v>2</v>
      </c>
      <c r="AG176" s="909">
        <f t="shared" si="54"/>
        <v>-1</v>
      </c>
      <c r="AH176" s="909">
        <f t="shared" si="54"/>
        <v>3</v>
      </c>
      <c r="AI176" s="909">
        <f t="shared" si="54"/>
        <v>0</v>
      </c>
      <c r="AJ176" s="907">
        <f t="shared" si="57"/>
        <v>0.41666666666666669</v>
      </c>
      <c r="AN176" s="1140">
        <f t="shared" ca="1" si="58"/>
        <v>0.1101869484229052</v>
      </c>
      <c r="AP176" s="1154">
        <f t="shared" ca="1" si="59"/>
        <v>0.55093474211452609</v>
      </c>
      <c r="AR176" s="1140">
        <f t="shared" ca="1" si="60"/>
        <v>9.6101869484229052</v>
      </c>
      <c r="AT176" s="1154">
        <f t="shared" ca="1" si="61"/>
        <v>48.050934742114528</v>
      </c>
    </row>
    <row r="177" spans="1:46">
      <c r="A177" s="884" t="str">
        <f t="shared" si="55"/>
        <v>PIERCE UTCCommercialRTRNTRIP-COMM</v>
      </c>
      <c r="B177" s="889" t="s">
        <v>2194</v>
      </c>
      <c r="C177" s="889" t="s">
        <v>2195</v>
      </c>
      <c r="D177" s="889" t="s">
        <v>2137</v>
      </c>
      <c r="E177" s="883">
        <v>33001</v>
      </c>
      <c r="F177" s="904">
        <v>16.8</v>
      </c>
      <c r="G177" s="904">
        <v>16.8</v>
      </c>
      <c r="H177" s="904"/>
      <c r="I177" s="906">
        <v>50.4</v>
      </c>
      <c r="J177" s="906">
        <v>33.6</v>
      </c>
      <c r="K177" s="906">
        <v>100.8</v>
      </c>
      <c r="L177" s="906">
        <v>16.8</v>
      </c>
      <c r="M177" s="906">
        <v>117.6</v>
      </c>
      <c r="N177" s="906">
        <v>168</v>
      </c>
      <c r="O177" s="906">
        <v>33.6</v>
      </c>
      <c r="P177" s="906">
        <v>67.2</v>
      </c>
      <c r="Q177" s="906">
        <v>168</v>
      </c>
      <c r="R177" s="906">
        <v>33.6</v>
      </c>
      <c r="S177" s="906">
        <v>84</v>
      </c>
      <c r="T177" s="906">
        <v>16.8</v>
      </c>
      <c r="U177" s="906"/>
      <c r="V177" s="957">
        <f t="shared" si="56"/>
        <v>890.40000000000009</v>
      </c>
      <c r="W177" s="905"/>
      <c r="X177" s="909">
        <f t="shared" si="62"/>
        <v>3</v>
      </c>
      <c r="Y177" s="906">
        <f t="shared" si="62"/>
        <v>2</v>
      </c>
      <c r="Z177" s="906">
        <f t="shared" si="62"/>
        <v>6</v>
      </c>
      <c r="AA177" s="909">
        <f t="shared" si="54"/>
        <v>1</v>
      </c>
      <c r="AB177" s="909">
        <f t="shared" si="54"/>
        <v>6.9999999999999991</v>
      </c>
      <c r="AC177" s="909">
        <f t="shared" si="54"/>
        <v>10</v>
      </c>
      <c r="AD177" s="909">
        <f t="shared" ref="AD177:AI195" si="63">IFERROR(O177/$G177,0)</f>
        <v>2</v>
      </c>
      <c r="AE177" s="909">
        <f t="shared" si="63"/>
        <v>4</v>
      </c>
      <c r="AF177" s="909">
        <f t="shared" si="63"/>
        <v>10</v>
      </c>
      <c r="AG177" s="909">
        <f t="shared" si="63"/>
        <v>2</v>
      </c>
      <c r="AH177" s="909">
        <f t="shared" si="63"/>
        <v>5</v>
      </c>
      <c r="AI177" s="909">
        <f t="shared" si="63"/>
        <v>1</v>
      </c>
      <c r="AJ177" s="907">
        <f t="shared" si="57"/>
        <v>4.416666666666667</v>
      </c>
      <c r="AN177" s="1140">
        <f t="shared" ca="1" si="58"/>
        <v>0.19485691931629553</v>
      </c>
      <c r="AP177" s="1154">
        <f t="shared" ca="1" si="59"/>
        <v>10.327416723763664</v>
      </c>
      <c r="AR177" s="1140">
        <f t="shared" ca="1" si="60"/>
        <v>16.994856919316295</v>
      </c>
      <c r="AT177" s="1154">
        <f t="shared" ca="1" si="61"/>
        <v>900.72741672376378</v>
      </c>
    </row>
    <row r="178" spans="1:46">
      <c r="A178" s="884" t="str">
        <f t="shared" si="55"/>
        <v>PIERCE UTCCommercialSP1.5-COMM</v>
      </c>
      <c r="B178" s="889" t="s">
        <v>2196</v>
      </c>
      <c r="C178" s="889" t="s">
        <v>2197</v>
      </c>
      <c r="D178" s="889" t="s">
        <v>2137</v>
      </c>
      <c r="E178" s="883">
        <v>33001</v>
      </c>
      <c r="F178" s="904">
        <v>70.36</v>
      </c>
      <c r="G178" s="904">
        <v>71.09</v>
      </c>
      <c r="H178" s="904"/>
      <c r="I178" s="906">
        <v>140.72</v>
      </c>
      <c r="J178" s="906">
        <v>211.08</v>
      </c>
      <c r="K178" s="906">
        <v>0</v>
      </c>
      <c r="L178" s="906">
        <v>142.18</v>
      </c>
      <c r="M178" s="906">
        <v>0</v>
      </c>
      <c r="N178" s="906">
        <v>0</v>
      </c>
      <c r="O178" s="906">
        <v>142.18</v>
      </c>
      <c r="P178" s="906">
        <v>213.27</v>
      </c>
      <c r="Q178" s="906">
        <v>213.27</v>
      </c>
      <c r="R178" s="906">
        <v>142.18</v>
      </c>
      <c r="S178" s="906">
        <v>142.18</v>
      </c>
      <c r="T178" s="906">
        <v>142.18</v>
      </c>
      <c r="U178" s="906"/>
      <c r="V178" s="957">
        <f t="shared" si="56"/>
        <v>1489.2400000000002</v>
      </c>
      <c r="W178" s="905"/>
      <c r="X178" s="909">
        <f t="shared" si="62"/>
        <v>2</v>
      </c>
      <c r="Y178" s="906">
        <f t="shared" si="62"/>
        <v>3</v>
      </c>
      <c r="Z178" s="906">
        <f t="shared" si="62"/>
        <v>0</v>
      </c>
      <c r="AA178" s="909">
        <f t="shared" ref="AA178:AI196" si="64">IFERROR(L178/$G178,0)</f>
        <v>2</v>
      </c>
      <c r="AB178" s="909">
        <f t="shared" si="64"/>
        <v>0</v>
      </c>
      <c r="AC178" s="909">
        <f t="shared" si="64"/>
        <v>0</v>
      </c>
      <c r="AD178" s="909">
        <f t="shared" si="63"/>
        <v>2</v>
      </c>
      <c r="AE178" s="909">
        <f t="shared" si="63"/>
        <v>3</v>
      </c>
      <c r="AF178" s="909">
        <f t="shared" si="63"/>
        <v>3</v>
      </c>
      <c r="AG178" s="909">
        <f t="shared" si="63"/>
        <v>2</v>
      </c>
      <c r="AH178" s="909">
        <f t="shared" si="63"/>
        <v>2</v>
      </c>
      <c r="AI178" s="909">
        <f t="shared" si="63"/>
        <v>2</v>
      </c>
      <c r="AJ178" s="907">
        <f t="shared" si="57"/>
        <v>1.75</v>
      </c>
      <c r="AN178" s="1140">
        <f t="shared" ca="1" si="58"/>
        <v>0.82454633298782432</v>
      </c>
      <c r="AP178" s="1154">
        <f t="shared" ca="1" si="59"/>
        <v>17.315472992744311</v>
      </c>
      <c r="AR178" s="1140">
        <f t="shared" ca="1" si="60"/>
        <v>71.914546332987825</v>
      </c>
      <c r="AT178" s="1154">
        <f t="shared" ca="1" si="61"/>
        <v>1506.5554729927446</v>
      </c>
    </row>
    <row r="179" spans="1:46">
      <c r="A179" s="884" t="str">
        <f t="shared" si="55"/>
        <v>PIERCE UTCCommercialSP1-COMM</v>
      </c>
      <c r="B179" s="889" t="s">
        <v>2198</v>
      </c>
      <c r="C179" s="889" t="s">
        <v>2199</v>
      </c>
      <c r="D179" s="889" t="s">
        <v>2137</v>
      </c>
      <c r="E179" s="883">
        <v>33001</v>
      </c>
      <c r="F179" s="904">
        <v>63.32</v>
      </c>
      <c r="G179" s="904">
        <v>63.83</v>
      </c>
      <c r="H179" s="904"/>
      <c r="I179" s="906">
        <v>189.96</v>
      </c>
      <c r="J179" s="906">
        <v>126.64</v>
      </c>
      <c r="K179" s="906">
        <v>126.64</v>
      </c>
      <c r="L179" s="906">
        <v>191.49</v>
      </c>
      <c r="M179" s="906">
        <v>255.32</v>
      </c>
      <c r="N179" s="906">
        <v>472.52</v>
      </c>
      <c r="O179" s="906">
        <v>191.49</v>
      </c>
      <c r="P179" s="906">
        <v>702.13</v>
      </c>
      <c r="Q179" s="906">
        <v>382.98</v>
      </c>
      <c r="R179" s="906">
        <v>382.98</v>
      </c>
      <c r="S179" s="906">
        <v>319.14999999999998</v>
      </c>
      <c r="T179" s="906">
        <v>191.49</v>
      </c>
      <c r="U179" s="906"/>
      <c r="V179" s="957">
        <f t="shared" si="56"/>
        <v>3532.79</v>
      </c>
      <c r="W179" s="905"/>
      <c r="X179" s="909">
        <f t="shared" si="62"/>
        <v>3</v>
      </c>
      <c r="Y179" s="906">
        <f t="shared" si="62"/>
        <v>2</v>
      </c>
      <c r="Z179" s="906">
        <f t="shared" si="62"/>
        <v>2</v>
      </c>
      <c r="AA179" s="909">
        <f t="shared" si="64"/>
        <v>3.0000000000000004</v>
      </c>
      <c r="AB179" s="909">
        <f t="shared" si="64"/>
        <v>4</v>
      </c>
      <c r="AC179" s="909">
        <f t="shared" si="64"/>
        <v>7.4027886573711417</v>
      </c>
      <c r="AD179" s="909">
        <f t="shared" si="63"/>
        <v>3.0000000000000004</v>
      </c>
      <c r="AE179" s="909">
        <f t="shared" si="63"/>
        <v>11</v>
      </c>
      <c r="AF179" s="909">
        <f t="shared" si="63"/>
        <v>6.0000000000000009</v>
      </c>
      <c r="AG179" s="909">
        <f t="shared" si="63"/>
        <v>6.0000000000000009</v>
      </c>
      <c r="AH179" s="909">
        <f t="shared" si="63"/>
        <v>5</v>
      </c>
      <c r="AI179" s="909">
        <f t="shared" si="63"/>
        <v>3.0000000000000004</v>
      </c>
      <c r="AJ179" s="907">
        <f t="shared" si="57"/>
        <v>4.6168990547809283</v>
      </c>
      <c r="AN179" s="1140">
        <f t="shared" ca="1" si="58"/>
        <v>0.7403403071404252</v>
      </c>
      <c r="AP179" s="1154">
        <f t="shared" ca="1" si="59"/>
        <v>41.016917571034213</v>
      </c>
      <c r="AR179" s="1140">
        <f t="shared" ca="1" si="60"/>
        <v>64.570340307140427</v>
      </c>
      <c r="AT179" s="1154">
        <f t="shared" ca="1" si="61"/>
        <v>3573.8069175710343</v>
      </c>
    </row>
    <row r="180" spans="1:46">
      <c r="A180" s="884" t="str">
        <f t="shared" si="55"/>
        <v>PIERCE UTCCommercialSP2-COMM</v>
      </c>
      <c r="B180" s="889" t="s">
        <v>2200</v>
      </c>
      <c r="C180" s="889" t="s">
        <v>2201</v>
      </c>
      <c r="D180" s="889" t="s">
        <v>2137</v>
      </c>
      <c r="E180" s="883">
        <v>33001</v>
      </c>
      <c r="F180" s="904">
        <v>78.459999999999994</v>
      </c>
      <c r="G180" s="904">
        <v>79.41</v>
      </c>
      <c r="H180" s="904"/>
      <c r="I180" s="906">
        <v>235.38</v>
      </c>
      <c r="J180" s="906">
        <v>392.3</v>
      </c>
      <c r="K180" s="906">
        <v>0.04</v>
      </c>
      <c r="L180" s="906">
        <v>476.46</v>
      </c>
      <c r="M180" s="906">
        <v>238.23</v>
      </c>
      <c r="N180" s="906">
        <v>238.23</v>
      </c>
      <c r="O180" s="906">
        <v>238.23</v>
      </c>
      <c r="P180" s="906">
        <v>476.46</v>
      </c>
      <c r="Q180" s="906">
        <v>158.82</v>
      </c>
      <c r="R180" s="906">
        <v>79.41</v>
      </c>
      <c r="S180" s="906">
        <v>476.46</v>
      </c>
      <c r="T180" s="906">
        <v>714.69</v>
      </c>
      <c r="U180" s="906"/>
      <c r="V180" s="957">
        <f t="shared" si="56"/>
        <v>3724.71</v>
      </c>
      <c r="W180" s="905"/>
      <c r="X180" s="909">
        <f t="shared" si="62"/>
        <v>3</v>
      </c>
      <c r="Y180" s="906">
        <f t="shared" si="62"/>
        <v>5.0000000000000009</v>
      </c>
      <c r="Z180" s="906">
        <f t="shared" si="62"/>
        <v>5.0981391791995925E-4</v>
      </c>
      <c r="AA180" s="909">
        <f t="shared" si="64"/>
        <v>6</v>
      </c>
      <c r="AB180" s="909">
        <f t="shared" si="64"/>
        <v>3</v>
      </c>
      <c r="AC180" s="909">
        <f t="shared" si="64"/>
        <v>3</v>
      </c>
      <c r="AD180" s="909">
        <f t="shared" si="63"/>
        <v>3</v>
      </c>
      <c r="AE180" s="909">
        <f t="shared" si="63"/>
        <v>6</v>
      </c>
      <c r="AF180" s="909">
        <f t="shared" si="63"/>
        <v>2</v>
      </c>
      <c r="AG180" s="909">
        <f t="shared" si="63"/>
        <v>1</v>
      </c>
      <c r="AH180" s="909">
        <f t="shared" si="63"/>
        <v>6</v>
      </c>
      <c r="AI180" s="909">
        <f t="shared" si="63"/>
        <v>9.0000000000000018</v>
      </c>
      <c r="AJ180" s="907">
        <f t="shared" si="57"/>
        <v>3.9167091511598269</v>
      </c>
      <c r="AN180" s="1140">
        <f t="shared" ca="1" si="58"/>
        <v>0.92104690255398969</v>
      </c>
      <c r="AP180" s="1154">
        <f t="shared" ca="1" si="59"/>
        <v>43.2896739825675</v>
      </c>
      <c r="AR180" s="1140">
        <f t="shared" ca="1" si="60"/>
        <v>80.331046902553993</v>
      </c>
      <c r="AT180" s="1154">
        <f t="shared" ca="1" si="61"/>
        <v>3767.9996739825674</v>
      </c>
    </row>
    <row r="181" spans="1:46">
      <c r="A181" s="884" t="str">
        <f t="shared" si="55"/>
        <v>PIERCE UTCCommercialSP3-COMM</v>
      </c>
      <c r="B181" s="889" t="s">
        <v>2202</v>
      </c>
      <c r="C181" s="889" t="s">
        <v>2203</v>
      </c>
      <c r="D181" s="889" t="s">
        <v>2137</v>
      </c>
      <c r="E181" s="883">
        <v>33001</v>
      </c>
      <c r="F181" s="904">
        <v>90.51</v>
      </c>
      <c r="G181" s="904">
        <v>91.89</v>
      </c>
      <c r="H181" s="904"/>
      <c r="I181" s="906">
        <v>90.51</v>
      </c>
      <c r="J181" s="906">
        <v>0</v>
      </c>
      <c r="K181" s="906">
        <v>0</v>
      </c>
      <c r="L181" s="906">
        <v>0</v>
      </c>
      <c r="M181" s="906">
        <v>91.89</v>
      </c>
      <c r="N181" s="906">
        <v>91.89</v>
      </c>
      <c r="O181" s="906">
        <v>183.78</v>
      </c>
      <c r="P181" s="906">
        <v>183.78</v>
      </c>
      <c r="Q181" s="906">
        <v>91.89</v>
      </c>
      <c r="R181" s="906">
        <v>0</v>
      </c>
      <c r="S181" s="906">
        <v>0</v>
      </c>
      <c r="T181" s="906">
        <v>91.89</v>
      </c>
      <c r="U181" s="906"/>
      <c r="V181" s="957">
        <f t="shared" si="56"/>
        <v>825.63</v>
      </c>
      <c r="W181" s="905"/>
      <c r="X181" s="909">
        <f t="shared" si="62"/>
        <v>1</v>
      </c>
      <c r="Y181" s="906">
        <f t="shared" si="62"/>
        <v>0</v>
      </c>
      <c r="Z181" s="906">
        <f t="shared" si="62"/>
        <v>0</v>
      </c>
      <c r="AA181" s="909">
        <f t="shared" si="64"/>
        <v>0</v>
      </c>
      <c r="AB181" s="909">
        <f t="shared" si="64"/>
        <v>1</v>
      </c>
      <c r="AC181" s="909">
        <f t="shared" si="64"/>
        <v>1</v>
      </c>
      <c r="AD181" s="909">
        <f t="shared" si="63"/>
        <v>2</v>
      </c>
      <c r="AE181" s="909">
        <f t="shared" si="63"/>
        <v>2</v>
      </c>
      <c r="AF181" s="909">
        <f t="shared" si="63"/>
        <v>1</v>
      </c>
      <c r="AG181" s="909">
        <f t="shared" si="63"/>
        <v>0</v>
      </c>
      <c r="AH181" s="909">
        <f t="shared" si="63"/>
        <v>0</v>
      </c>
      <c r="AI181" s="909">
        <f t="shared" si="63"/>
        <v>1</v>
      </c>
      <c r="AJ181" s="907">
        <f t="shared" si="57"/>
        <v>0.75</v>
      </c>
      <c r="AN181" s="1140">
        <f t="shared" ca="1" si="58"/>
        <v>1.0657977569032377</v>
      </c>
      <c r="AP181" s="1154">
        <f t="shared" ca="1" si="59"/>
        <v>9.5921798121291388</v>
      </c>
      <c r="AR181" s="1140">
        <f t="shared" ca="1" si="60"/>
        <v>92.955797756903237</v>
      </c>
      <c r="AT181" s="1154">
        <f t="shared" ca="1" si="61"/>
        <v>835.22217981212918</v>
      </c>
    </row>
    <row r="182" spans="1:46">
      <c r="A182" s="884" t="str">
        <f t="shared" si="55"/>
        <v>PIERCE UTCCommercialSP4-COMM</v>
      </c>
      <c r="B182" s="889" t="s">
        <v>2204</v>
      </c>
      <c r="C182" s="889" t="s">
        <v>2205</v>
      </c>
      <c r="D182" s="889" t="s">
        <v>2137</v>
      </c>
      <c r="E182" s="883">
        <v>33001</v>
      </c>
      <c r="F182" s="904">
        <v>104.35</v>
      </c>
      <c r="G182" s="904">
        <v>106.14</v>
      </c>
      <c r="H182" s="904"/>
      <c r="I182" s="906">
        <v>0</v>
      </c>
      <c r="J182" s="906">
        <v>0</v>
      </c>
      <c r="K182" s="906">
        <v>0</v>
      </c>
      <c r="L182" s="906">
        <v>106.14</v>
      </c>
      <c r="M182" s="906">
        <v>849.12</v>
      </c>
      <c r="N182" s="906">
        <v>318.42</v>
      </c>
      <c r="O182" s="906">
        <v>636.84</v>
      </c>
      <c r="P182" s="906">
        <v>424.56</v>
      </c>
      <c r="Q182" s="906">
        <v>849.12</v>
      </c>
      <c r="R182" s="906">
        <v>212.28</v>
      </c>
      <c r="S182" s="906">
        <v>318.42</v>
      </c>
      <c r="T182" s="906">
        <v>212.28</v>
      </c>
      <c r="U182" s="906"/>
      <c r="V182" s="957">
        <f t="shared" si="56"/>
        <v>3927.1800000000003</v>
      </c>
      <c r="W182" s="905"/>
      <c r="X182" s="909">
        <f t="shared" si="62"/>
        <v>0</v>
      </c>
      <c r="Y182" s="906">
        <f t="shared" si="62"/>
        <v>0</v>
      </c>
      <c r="Z182" s="906">
        <f t="shared" si="62"/>
        <v>0</v>
      </c>
      <c r="AA182" s="909">
        <f t="shared" si="64"/>
        <v>1</v>
      </c>
      <c r="AB182" s="909">
        <f t="shared" si="64"/>
        <v>8</v>
      </c>
      <c r="AC182" s="909">
        <f t="shared" si="64"/>
        <v>3</v>
      </c>
      <c r="AD182" s="909">
        <f t="shared" si="63"/>
        <v>6</v>
      </c>
      <c r="AE182" s="909">
        <f t="shared" si="63"/>
        <v>4</v>
      </c>
      <c r="AF182" s="909">
        <f t="shared" si="63"/>
        <v>8</v>
      </c>
      <c r="AG182" s="909">
        <f t="shared" si="63"/>
        <v>2</v>
      </c>
      <c r="AH182" s="909">
        <f t="shared" si="63"/>
        <v>3</v>
      </c>
      <c r="AI182" s="909">
        <f t="shared" si="63"/>
        <v>2</v>
      </c>
      <c r="AJ182" s="907">
        <f t="shared" si="57"/>
        <v>3.0833333333333335</v>
      </c>
      <c r="AN182" s="1140">
        <f t="shared" ca="1" si="58"/>
        <v>1.2310781795375956</v>
      </c>
      <c r="AP182" s="1154">
        <f t="shared" ca="1" si="59"/>
        <v>45.549892642891038</v>
      </c>
      <c r="AR182" s="1140">
        <f t="shared" ca="1" si="60"/>
        <v>107.37107817953759</v>
      </c>
      <c r="AT182" s="1154">
        <f t="shared" ca="1" si="61"/>
        <v>3972.7298926428912</v>
      </c>
    </row>
    <row r="183" spans="1:46">
      <c r="A183" s="884" t="str">
        <f t="shared" si="55"/>
        <v>PIERCE UTCCommercialSP6-COMM</v>
      </c>
      <c r="B183" s="889" t="s">
        <v>2206</v>
      </c>
      <c r="C183" s="889" t="s">
        <v>2207</v>
      </c>
      <c r="D183" s="889" t="s">
        <v>2137</v>
      </c>
      <c r="E183" s="883">
        <v>33001</v>
      </c>
      <c r="F183" s="904">
        <v>123.76</v>
      </c>
      <c r="G183" s="904">
        <v>126.22</v>
      </c>
      <c r="H183" s="904"/>
      <c r="I183" s="906">
        <v>742.56</v>
      </c>
      <c r="J183" s="906">
        <v>247.52</v>
      </c>
      <c r="K183" s="906">
        <v>371.28</v>
      </c>
      <c r="L183" s="906">
        <v>1009.76</v>
      </c>
      <c r="M183" s="906">
        <v>2271.96</v>
      </c>
      <c r="N183" s="906">
        <v>2524.4</v>
      </c>
      <c r="O183" s="906">
        <v>2650.62</v>
      </c>
      <c r="P183" s="906">
        <v>2903.06</v>
      </c>
      <c r="Q183" s="906">
        <v>2650.62</v>
      </c>
      <c r="R183" s="906">
        <v>757.32</v>
      </c>
      <c r="S183" s="906">
        <v>757.32</v>
      </c>
      <c r="T183" s="906">
        <v>883.54</v>
      </c>
      <c r="U183" s="906"/>
      <c r="V183" s="957">
        <f t="shared" si="56"/>
        <v>17769.96</v>
      </c>
      <c r="W183" s="905"/>
      <c r="X183" s="909">
        <f t="shared" si="62"/>
        <v>5.9999999999999991</v>
      </c>
      <c r="Y183" s="906">
        <f t="shared" si="62"/>
        <v>2</v>
      </c>
      <c r="Z183" s="906">
        <f t="shared" si="62"/>
        <v>2.9999999999999996</v>
      </c>
      <c r="AA183" s="909">
        <f t="shared" si="64"/>
        <v>8</v>
      </c>
      <c r="AB183" s="909">
        <f t="shared" si="64"/>
        <v>18</v>
      </c>
      <c r="AC183" s="909">
        <f t="shared" si="64"/>
        <v>20</v>
      </c>
      <c r="AD183" s="909">
        <f t="shared" si="63"/>
        <v>21</v>
      </c>
      <c r="AE183" s="909">
        <f t="shared" si="63"/>
        <v>23</v>
      </c>
      <c r="AF183" s="909">
        <f t="shared" si="63"/>
        <v>21</v>
      </c>
      <c r="AG183" s="909">
        <f t="shared" si="63"/>
        <v>6.0000000000000009</v>
      </c>
      <c r="AH183" s="909">
        <f t="shared" si="63"/>
        <v>6.0000000000000009</v>
      </c>
      <c r="AI183" s="909">
        <f t="shared" si="63"/>
        <v>7</v>
      </c>
      <c r="AJ183" s="907">
        <f t="shared" si="57"/>
        <v>11.75</v>
      </c>
      <c r="AN183" s="1140">
        <f t="shared" ca="1" si="58"/>
        <v>1.4639785926251678</v>
      </c>
      <c r="AP183" s="1154">
        <f t="shared" ca="1" si="59"/>
        <v>206.42098156014868</v>
      </c>
      <c r="AR183" s="1140">
        <f t="shared" ca="1" si="60"/>
        <v>127.68397859262517</v>
      </c>
      <c r="AT183" s="1154">
        <f t="shared" ca="1" si="61"/>
        <v>17976.380981560149</v>
      </c>
    </row>
    <row r="184" spans="1:46">
      <c r="A184" s="884" t="str">
        <f t="shared" ref="A184:A196" si="65">$B$3&amp;"Commercial"&amp;B184</f>
        <v>PIERCE UTCCommercialSP4CMP-COMM</v>
      </c>
      <c r="B184" s="889" t="s">
        <v>2208</v>
      </c>
      <c r="C184" s="889" t="s">
        <v>2207</v>
      </c>
      <c r="D184" s="889" t="s">
        <v>2137</v>
      </c>
      <c r="E184" s="883">
        <v>33001</v>
      </c>
      <c r="F184" s="904">
        <v>123.76</v>
      </c>
      <c r="G184" s="904">
        <v>190.99</v>
      </c>
      <c r="H184" s="904"/>
      <c r="I184" s="906">
        <v>0</v>
      </c>
      <c r="J184" s="906">
        <v>0</v>
      </c>
      <c r="K184" s="906">
        <v>0</v>
      </c>
      <c r="L184" s="906">
        <v>0</v>
      </c>
      <c r="M184" s="906">
        <v>0</v>
      </c>
      <c r="N184" s="906">
        <v>0</v>
      </c>
      <c r="O184" s="906">
        <v>0</v>
      </c>
      <c r="P184" s="906">
        <v>0</v>
      </c>
      <c r="Q184" s="906">
        <v>0</v>
      </c>
      <c r="R184" s="906">
        <v>190.99</v>
      </c>
      <c r="S184" s="906">
        <v>0</v>
      </c>
      <c r="T184" s="906">
        <v>0</v>
      </c>
      <c r="U184" s="906"/>
      <c r="V184" s="957">
        <f t="shared" si="56"/>
        <v>190.99</v>
      </c>
      <c r="W184" s="905"/>
      <c r="X184" s="909">
        <f t="shared" si="62"/>
        <v>0</v>
      </c>
      <c r="Y184" s="906">
        <f t="shared" si="62"/>
        <v>0</v>
      </c>
      <c r="Z184" s="906">
        <f t="shared" si="62"/>
        <v>0</v>
      </c>
      <c r="AA184" s="909">
        <f t="shared" si="64"/>
        <v>0</v>
      </c>
      <c r="AB184" s="909">
        <f t="shared" si="64"/>
        <v>0</v>
      </c>
      <c r="AC184" s="909">
        <f t="shared" si="64"/>
        <v>0</v>
      </c>
      <c r="AD184" s="909">
        <f t="shared" si="63"/>
        <v>0</v>
      </c>
      <c r="AE184" s="909">
        <f t="shared" si="63"/>
        <v>0</v>
      </c>
      <c r="AF184" s="909">
        <f t="shared" si="63"/>
        <v>0</v>
      </c>
      <c r="AG184" s="909">
        <f t="shared" si="63"/>
        <v>1</v>
      </c>
      <c r="AH184" s="909">
        <f t="shared" si="63"/>
        <v>0</v>
      </c>
      <c r="AI184" s="909">
        <f t="shared" si="63"/>
        <v>0</v>
      </c>
      <c r="AJ184" s="907">
        <f t="shared" si="57"/>
        <v>8.3333333333333329E-2</v>
      </c>
      <c r="AN184" s="1140">
        <f t="shared" ca="1" si="58"/>
        <v>2.2152216083463858</v>
      </c>
      <c r="AP184" s="1154">
        <f t="shared" ca="1" si="59"/>
        <v>2.2152216083463858</v>
      </c>
      <c r="AR184" s="1140">
        <f t="shared" ca="1" si="60"/>
        <v>193.20522160834639</v>
      </c>
      <c r="AT184" s="1154">
        <f t="shared" ca="1" si="61"/>
        <v>193.20522160834639</v>
      </c>
    </row>
    <row r="185" spans="1:46">
      <c r="A185" s="884" t="str">
        <f t="shared" si="65"/>
        <v>PIERCE UTCCommercialSP6CMP-COMM</v>
      </c>
      <c r="B185" s="889" t="s">
        <v>2209</v>
      </c>
      <c r="C185" s="889" t="s">
        <v>2207</v>
      </c>
      <c r="D185" s="889" t="s">
        <v>2137</v>
      </c>
      <c r="E185" s="883">
        <v>33001</v>
      </c>
      <c r="F185" s="904">
        <v>123.76</v>
      </c>
      <c r="G185" s="904">
        <v>262.14</v>
      </c>
      <c r="H185" s="904"/>
      <c r="I185" s="906">
        <v>0</v>
      </c>
      <c r="J185" s="906">
        <v>0</v>
      </c>
      <c r="K185" s="906">
        <v>0</v>
      </c>
      <c r="L185" s="906">
        <v>0</v>
      </c>
      <c r="M185" s="906">
        <v>0</v>
      </c>
      <c r="N185" s="906">
        <v>0</v>
      </c>
      <c r="O185" s="906">
        <v>0</v>
      </c>
      <c r="P185" s="906">
        <v>0</v>
      </c>
      <c r="Q185" s="906">
        <v>0</v>
      </c>
      <c r="R185" s="906">
        <v>0</v>
      </c>
      <c r="S185" s="906">
        <v>0</v>
      </c>
      <c r="T185" s="906">
        <v>262.14</v>
      </c>
      <c r="U185" s="906"/>
      <c r="V185" s="957">
        <f t="shared" si="56"/>
        <v>262.14</v>
      </c>
      <c r="W185" s="905"/>
      <c r="X185" s="909">
        <f t="shared" si="62"/>
        <v>0</v>
      </c>
      <c r="Y185" s="906">
        <f t="shared" si="62"/>
        <v>0</v>
      </c>
      <c r="Z185" s="906">
        <f t="shared" si="62"/>
        <v>0</v>
      </c>
      <c r="AA185" s="909">
        <f t="shared" si="64"/>
        <v>0</v>
      </c>
      <c r="AB185" s="909">
        <f t="shared" si="64"/>
        <v>0</v>
      </c>
      <c r="AC185" s="909">
        <f t="shared" si="64"/>
        <v>0</v>
      </c>
      <c r="AD185" s="909">
        <f t="shared" si="63"/>
        <v>0</v>
      </c>
      <c r="AE185" s="909">
        <f t="shared" si="63"/>
        <v>0</v>
      </c>
      <c r="AF185" s="909">
        <f t="shared" si="63"/>
        <v>0</v>
      </c>
      <c r="AG185" s="909">
        <f t="shared" si="63"/>
        <v>0</v>
      </c>
      <c r="AH185" s="909">
        <f t="shared" si="63"/>
        <v>0</v>
      </c>
      <c r="AI185" s="909">
        <f t="shared" si="63"/>
        <v>1</v>
      </c>
      <c r="AJ185" s="907">
        <f t="shared" si="57"/>
        <v>8.3333333333333329E-2</v>
      </c>
      <c r="AN185" s="1140">
        <f t="shared" ca="1" si="58"/>
        <v>3.0404638589031965</v>
      </c>
      <c r="AP185" s="1154">
        <f t="shared" ca="1" si="59"/>
        <v>3.0404638589031965</v>
      </c>
      <c r="AR185" s="1140">
        <f t="shared" ca="1" si="60"/>
        <v>265.18046385890318</v>
      </c>
      <c r="AT185" s="1154">
        <f t="shared" ca="1" si="61"/>
        <v>265.18046385890318</v>
      </c>
    </row>
    <row r="186" spans="1:46">
      <c r="A186" s="884" t="str">
        <f t="shared" si="65"/>
        <v>PIERCE UTCCommercialSPGRAD1S-COMM</v>
      </c>
      <c r="B186" s="889" t="s">
        <v>2210</v>
      </c>
      <c r="C186" s="889" t="str">
        <f>VLOOKUP($B186,'[45]RM Data'!$H:$I,2,FALSE)</f>
        <v>SPECIAL UNIT GRAD1 SCHL - COMM</v>
      </c>
      <c r="D186" s="889"/>
      <c r="F186" s="904">
        <v>10.83</v>
      </c>
      <c r="G186" s="904">
        <v>10.83</v>
      </c>
      <c r="H186" s="904"/>
      <c r="I186" s="906">
        <v>36.39</v>
      </c>
      <c r="J186" s="906">
        <v>10.83</v>
      </c>
      <c r="K186" s="906">
        <v>12.13</v>
      </c>
      <c r="L186" s="906">
        <v>10.83</v>
      </c>
      <c r="M186" s="906">
        <v>0</v>
      </c>
      <c r="N186" s="906">
        <v>0</v>
      </c>
      <c r="O186" s="906">
        <v>27.59</v>
      </c>
      <c r="P186" s="906">
        <v>0</v>
      </c>
      <c r="Q186" s="906">
        <v>43.32</v>
      </c>
      <c r="R186" s="906">
        <v>0</v>
      </c>
      <c r="S186" s="906">
        <v>10.83</v>
      </c>
      <c r="T186" s="906">
        <v>24.26</v>
      </c>
      <c r="U186" s="906"/>
      <c r="V186" s="957">
        <f t="shared" si="56"/>
        <v>176.18</v>
      </c>
      <c r="W186" s="905"/>
      <c r="X186" s="909">
        <f t="shared" si="62"/>
        <v>3.3601108033240998</v>
      </c>
      <c r="Y186" s="906">
        <f t="shared" si="62"/>
        <v>1</v>
      </c>
      <c r="Z186" s="906">
        <f t="shared" si="62"/>
        <v>1.1200369344413665</v>
      </c>
      <c r="AA186" s="909">
        <f t="shared" si="64"/>
        <v>1</v>
      </c>
      <c r="AB186" s="909">
        <f t="shared" si="64"/>
        <v>0</v>
      </c>
      <c r="AC186" s="909">
        <f t="shared" si="64"/>
        <v>0</v>
      </c>
      <c r="AD186" s="909">
        <f t="shared" si="63"/>
        <v>2.5475530932594643</v>
      </c>
      <c r="AE186" s="909">
        <f t="shared" si="63"/>
        <v>0</v>
      </c>
      <c r="AF186" s="909">
        <f t="shared" si="63"/>
        <v>4</v>
      </c>
      <c r="AG186" s="909">
        <f t="shared" si="63"/>
        <v>0</v>
      </c>
      <c r="AH186" s="909">
        <f t="shared" si="63"/>
        <v>1</v>
      </c>
      <c r="AI186" s="909">
        <f t="shared" si="63"/>
        <v>2.2400738688827331</v>
      </c>
      <c r="AJ186" s="907">
        <f t="shared" si="57"/>
        <v>1.3556478916589718</v>
      </c>
      <c r="AN186" s="1140">
        <f t="shared" ca="1" si="58"/>
        <v>0.12561312120211193</v>
      </c>
      <c r="AP186" s="1154">
        <f t="shared" ca="1" si="59"/>
        <v>2.0434459550681514</v>
      </c>
      <c r="AR186" s="1140">
        <f t="shared" ca="1" si="60"/>
        <v>10.955613121202113</v>
      </c>
      <c r="AT186" s="1154">
        <f t="shared" ca="1" si="61"/>
        <v>178.22344595506817</v>
      </c>
    </row>
    <row r="187" spans="1:46">
      <c r="A187" s="884" t="str">
        <f t="shared" si="65"/>
        <v>PIERCE UTCCommercialSPGRAD2S-COMM</v>
      </c>
      <c r="B187" s="889" t="s">
        <v>2211</v>
      </c>
      <c r="C187" s="889" t="str">
        <f>VLOOKUP($B187,'[45]RM Data'!$H:$I,2,FALSE)</f>
        <v>SPECIAL UNIT GRAD2 SCHL - COMM</v>
      </c>
      <c r="D187" s="889"/>
      <c r="F187" s="904">
        <v>3.97</v>
      </c>
      <c r="G187" s="904">
        <v>3.97</v>
      </c>
      <c r="H187" s="904"/>
      <c r="I187" s="906">
        <v>40.299999999999997</v>
      </c>
      <c r="J187" s="906">
        <v>24.54</v>
      </c>
      <c r="K187" s="906">
        <v>36.81</v>
      </c>
      <c r="L187" s="906">
        <v>31.76</v>
      </c>
      <c r="M187" s="906">
        <v>0</v>
      </c>
      <c r="N187" s="906">
        <v>0</v>
      </c>
      <c r="O187" s="906">
        <v>451.35</v>
      </c>
      <c r="P187" s="906">
        <v>0</v>
      </c>
      <c r="Q187" s="906">
        <v>67.489999999999995</v>
      </c>
      <c r="R187" s="906">
        <v>0</v>
      </c>
      <c r="S187" s="906">
        <v>0</v>
      </c>
      <c r="T187" s="906">
        <v>36.81</v>
      </c>
      <c r="U187" s="906"/>
      <c r="V187" s="957">
        <f t="shared" si="56"/>
        <v>689.06</v>
      </c>
      <c r="W187" s="905"/>
      <c r="X187" s="909">
        <f t="shared" ref="X187:Z195" si="66">IFERROR(I187/$F187,0)</f>
        <v>10.151133501259444</v>
      </c>
      <c r="Y187" s="906">
        <f t="shared" si="66"/>
        <v>6.1813602015113345</v>
      </c>
      <c r="Z187" s="906">
        <f t="shared" si="66"/>
        <v>9.272040302267003</v>
      </c>
      <c r="AA187" s="909">
        <f t="shared" si="64"/>
        <v>8</v>
      </c>
      <c r="AB187" s="909">
        <f t="shared" si="64"/>
        <v>0</v>
      </c>
      <c r="AC187" s="909">
        <f t="shared" si="64"/>
        <v>0</v>
      </c>
      <c r="AD187" s="909">
        <f t="shared" si="63"/>
        <v>113.69017632241814</v>
      </c>
      <c r="AE187" s="909">
        <f t="shared" si="63"/>
        <v>0</v>
      </c>
      <c r="AF187" s="909">
        <f t="shared" si="63"/>
        <v>16.999999999999996</v>
      </c>
      <c r="AG187" s="909">
        <f t="shared" si="63"/>
        <v>0</v>
      </c>
      <c r="AH187" s="909">
        <f t="shared" si="63"/>
        <v>0</v>
      </c>
      <c r="AI187" s="909">
        <f t="shared" si="63"/>
        <v>9.272040302267003</v>
      </c>
      <c r="AJ187" s="907">
        <f t="shared" si="57"/>
        <v>14.463895885810246</v>
      </c>
      <c r="AN187" s="1140">
        <f t="shared" ca="1" si="58"/>
        <v>4.6046545814624598E-2</v>
      </c>
      <c r="AP187" s="1154">
        <f t="shared" ca="1" si="59"/>
        <v>7.9921493347670607</v>
      </c>
      <c r="AR187" s="1140">
        <f t="shared" ca="1" si="60"/>
        <v>4.0160465458146248</v>
      </c>
      <c r="AT187" s="1154">
        <f t="shared" ca="1" si="61"/>
        <v>697.05214933476702</v>
      </c>
    </row>
    <row r="188" spans="1:46">
      <c r="A188" s="884" t="str">
        <f t="shared" si="65"/>
        <v>PIERCE UTCCommercialSPGRAD1-COMM</v>
      </c>
      <c r="B188" s="889" t="s">
        <v>2212</v>
      </c>
      <c r="C188" s="889" t="str">
        <f>VLOOKUP($B188,'[45]RM Data'!$H:$I,2,FALSE)</f>
        <v>SPECIAL PICKUP GRADUATED 1 - COMM</v>
      </c>
      <c r="D188" s="889"/>
      <c r="F188" s="904">
        <v>12.25</v>
      </c>
      <c r="G188" s="904">
        <v>12.25</v>
      </c>
      <c r="H188" s="904"/>
      <c r="I188" s="906">
        <v>12.25</v>
      </c>
      <c r="J188" s="906">
        <v>36.75</v>
      </c>
      <c r="K188" s="906">
        <v>0</v>
      </c>
      <c r="L188" s="906">
        <v>73.5</v>
      </c>
      <c r="M188" s="906">
        <v>0</v>
      </c>
      <c r="N188" s="906">
        <v>24.5</v>
      </c>
      <c r="O188" s="906">
        <v>24.5</v>
      </c>
      <c r="P188" s="906">
        <v>24.5</v>
      </c>
      <c r="Q188" s="906">
        <v>88.33</v>
      </c>
      <c r="R188" s="906">
        <v>12.25</v>
      </c>
      <c r="S188" s="906">
        <v>0</v>
      </c>
      <c r="T188" s="906">
        <v>0</v>
      </c>
      <c r="U188" s="906"/>
      <c r="V188" s="957">
        <f t="shared" si="56"/>
        <v>296.58</v>
      </c>
      <c r="W188" s="905"/>
      <c r="X188" s="909">
        <f t="shared" si="66"/>
        <v>1</v>
      </c>
      <c r="Y188" s="906">
        <f t="shared" si="66"/>
        <v>3</v>
      </c>
      <c r="Z188" s="906">
        <f t="shared" si="66"/>
        <v>0</v>
      </c>
      <c r="AA188" s="909">
        <f t="shared" si="64"/>
        <v>6</v>
      </c>
      <c r="AB188" s="909">
        <f t="shared" si="64"/>
        <v>0</v>
      </c>
      <c r="AC188" s="909">
        <f t="shared" si="64"/>
        <v>2</v>
      </c>
      <c r="AD188" s="909">
        <f t="shared" si="63"/>
        <v>2</v>
      </c>
      <c r="AE188" s="909">
        <f t="shared" si="63"/>
        <v>2</v>
      </c>
      <c r="AF188" s="909">
        <f t="shared" si="63"/>
        <v>7.210612244897959</v>
      </c>
      <c r="AG188" s="909">
        <f t="shared" si="63"/>
        <v>1</v>
      </c>
      <c r="AH188" s="909">
        <f t="shared" si="63"/>
        <v>0</v>
      </c>
      <c r="AI188" s="909">
        <f t="shared" si="63"/>
        <v>0</v>
      </c>
      <c r="AJ188" s="907">
        <f t="shared" si="57"/>
        <v>2.0175510204081633</v>
      </c>
      <c r="AN188" s="1140">
        <f t="shared" ca="1" si="58"/>
        <v>0.14208317033479881</v>
      </c>
      <c r="AP188" s="1154">
        <f t="shared" ca="1" si="59"/>
        <v>3.4399205435016027</v>
      </c>
      <c r="AR188" s="1140">
        <f t="shared" ca="1" si="60"/>
        <v>12.392083170334798</v>
      </c>
      <c r="AT188" s="1154">
        <f t="shared" ca="1" si="61"/>
        <v>300.0199205435016</v>
      </c>
    </row>
    <row r="189" spans="1:46">
      <c r="A189" s="884" t="str">
        <f t="shared" si="65"/>
        <v>PIERCE UTCCommercialSPGRAD2-COMM</v>
      </c>
      <c r="B189" s="889" t="s">
        <v>2213</v>
      </c>
      <c r="C189" s="889" t="str">
        <f>VLOOKUP($B189,'[45]RM Data'!$H:$I,2,FALSE)</f>
        <v>SPECIAL PICKUP GRADUATED 2 - COMM</v>
      </c>
      <c r="D189" s="889"/>
      <c r="F189" s="904">
        <v>4.2300000000000004</v>
      </c>
      <c r="G189" s="904">
        <v>4.2300000000000004</v>
      </c>
      <c r="H189" s="904"/>
      <c r="I189" s="906">
        <v>0</v>
      </c>
      <c r="J189" s="906">
        <v>0</v>
      </c>
      <c r="K189" s="906">
        <v>0</v>
      </c>
      <c r="L189" s="906">
        <v>0</v>
      </c>
      <c r="M189" s="906">
        <v>0</v>
      </c>
      <c r="N189" s="906">
        <v>0</v>
      </c>
      <c r="O189" s="906">
        <v>25.38</v>
      </c>
      <c r="P189" s="906">
        <v>12.69</v>
      </c>
      <c r="Q189" s="906">
        <v>80.37</v>
      </c>
      <c r="R189" s="906">
        <v>0</v>
      </c>
      <c r="S189" s="906">
        <v>21.15</v>
      </c>
      <c r="T189" s="906">
        <v>36.81</v>
      </c>
      <c r="U189" s="906"/>
      <c r="V189" s="957">
        <f t="shared" si="56"/>
        <v>176.4</v>
      </c>
      <c r="W189" s="905"/>
      <c r="X189" s="909">
        <f t="shared" si="66"/>
        <v>0</v>
      </c>
      <c r="Y189" s="906">
        <f t="shared" si="66"/>
        <v>0</v>
      </c>
      <c r="Z189" s="906">
        <f t="shared" si="66"/>
        <v>0</v>
      </c>
      <c r="AA189" s="909">
        <f t="shared" si="64"/>
        <v>0</v>
      </c>
      <c r="AB189" s="909">
        <f t="shared" si="64"/>
        <v>0</v>
      </c>
      <c r="AC189" s="909">
        <f t="shared" si="64"/>
        <v>0</v>
      </c>
      <c r="AD189" s="909">
        <f t="shared" si="63"/>
        <v>5.9999999999999991</v>
      </c>
      <c r="AE189" s="909">
        <f t="shared" si="63"/>
        <v>2.9999999999999996</v>
      </c>
      <c r="AF189" s="909">
        <f t="shared" si="63"/>
        <v>19</v>
      </c>
      <c r="AG189" s="909">
        <f t="shared" si="63"/>
        <v>0</v>
      </c>
      <c r="AH189" s="909">
        <f t="shared" si="63"/>
        <v>4.9999999999999991</v>
      </c>
      <c r="AI189" s="909">
        <f t="shared" si="63"/>
        <v>8.702127659574467</v>
      </c>
      <c r="AJ189" s="907">
        <f t="shared" si="57"/>
        <v>3.4751773049645389</v>
      </c>
      <c r="AN189" s="1140">
        <f t="shared" ca="1" si="58"/>
        <v>4.9062188613567266E-2</v>
      </c>
      <c r="AP189" s="1154">
        <f t="shared" ca="1" si="59"/>
        <v>2.0459976528211028</v>
      </c>
      <c r="AR189" s="1140">
        <f t="shared" ca="1" si="60"/>
        <v>4.279062188613568</v>
      </c>
      <c r="AT189" s="1154">
        <f t="shared" ca="1" si="61"/>
        <v>178.44599765282112</v>
      </c>
    </row>
    <row r="190" spans="1:46">
      <c r="A190" s="884" t="str">
        <f t="shared" si="65"/>
        <v>PIERCE UTCCommercialTIME-COMM</v>
      </c>
      <c r="B190" s="889" t="s">
        <v>2214</v>
      </c>
      <c r="C190" s="889" t="s">
        <v>2215</v>
      </c>
      <c r="D190" s="889" t="s">
        <v>2137</v>
      </c>
      <c r="E190" s="883">
        <v>33001</v>
      </c>
      <c r="F190" s="904">
        <v>106</v>
      </c>
      <c r="G190" s="904">
        <v>106</v>
      </c>
      <c r="H190" s="904"/>
      <c r="I190" s="906">
        <v>1378</v>
      </c>
      <c r="J190" s="906">
        <v>2067</v>
      </c>
      <c r="K190" s="906">
        <v>26.5</v>
      </c>
      <c r="L190" s="906">
        <v>2067</v>
      </c>
      <c r="M190" s="906">
        <v>1404.5</v>
      </c>
      <c r="N190" s="906">
        <v>742</v>
      </c>
      <c r="O190" s="906">
        <v>5315.5</v>
      </c>
      <c r="P190" s="906">
        <v>6996</v>
      </c>
      <c r="Q190" s="906">
        <v>1404.5</v>
      </c>
      <c r="R190" s="906">
        <v>1378</v>
      </c>
      <c r="S190" s="906">
        <v>5361.48</v>
      </c>
      <c r="T190" s="906">
        <v>0</v>
      </c>
      <c r="U190" s="906"/>
      <c r="V190" s="957">
        <f t="shared" si="56"/>
        <v>28140.48</v>
      </c>
      <c r="W190" s="905"/>
      <c r="X190" s="909">
        <f t="shared" si="66"/>
        <v>13</v>
      </c>
      <c r="Y190" s="906">
        <f t="shared" si="66"/>
        <v>19.5</v>
      </c>
      <c r="Z190" s="906">
        <f t="shared" si="66"/>
        <v>0.25</v>
      </c>
      <c r="AA190" s="909">
        <f t="shared" si="64"/>
        <v>19.5</v>
      </c>
      <c r="AB190" s="909">
        <f t="shared" si="64"/>
        <v>13.25</v>
      </c>
      <c r="AC190" s="909">
        <f t="shared" si="64"/>
        <v>7</v>
      </c>
      <c r="AD190" s="909">
        <f t="shared" si="63"/>
        <v>50.14622641509434</v>
      </c>
      <c r="AE190" s="909">
        <f t="shared" si="63"/>
        <v>66</v>
      </c>
      <c r="AF190" s="909">
        <f t="shared" si="63"/>
        <v>13.25</v>
      </c>
      <c r="AG190" s="909">
        <f t="shared" si="63"/>
        <v>13</v>
      </c>
      <c r="AH190" s="909">
        <f t="shared" si="63"/>
        <v>50.58</v>
      </c>
      <c r="AI190" s="909">
        <f t="shared" si="63"/>
        <v>0</v>
      </c>
      <c r="AJ190" s="907">
        <f t="shared" si="57"/>
        <v>22.123018867924529</v>
      </c>
      <c r="AN190" s="1140">
        <f t="shared" ca="1" si="58"/>
        <v>1.2294543718766264</v>
      </c>
      <c r="AP190" s="1154">
        <f t="shared" ca="1" si="59"/>
        <v>326.39090719534693</v>
      </c>
      <c r="AR190" s="1140">
        <f t="shared" ca="1" si="60"/>
        <v>107.22945437187663</v>
      </c>
      <c r="AT190" s="1154">
        <f t="shared" ca="1" si="61"/>
        <v>28466.870907195345</v>
      </c>
    </row>
    <row r="191" spans="1:46">
      <c r="A191" s="884" t="str">
        <f t="shared" si="65"/>
        <v>PIERCE UTCCommercialLCKC</v>
      </c>
      <c r="B191" s="889" t="s">
        <v>2216</v>
      </c>
      <c r="C191" s="889" t="s">
        <v>2217</v>
      </c>
      <c r="D191" s="889" t="s">
        <v>411</v>
      </c>
      <c r="E191" s="883">
        <v>33000</v>
      </c>
      <c r="F191" s="904">
        <v>0</v>
      </c>
      <c r="G191" s="904">
        <v>0</v>
      </c>
      <c r="H191" s="904"/>
      <c r="I191" s="906">
        <v>0</v>
      </c>
      <c r="J191" s="906">
        <v>0</v>
      </c>
      <c r="K191" s="906">
        <v>0</v>
      </c>
      <c r="L191" s="906">
        <v>0</v>
      </c>
      <c r="M191" s="906">
        <v>0</v>
      </c>
      <c r="N191" s="906">
        <v>37.950000000000003</v>
      </c>
      <c r="O191" s="906">
        <v>50.6</v>
      </c>
      <c r="P191" s="906">
        <v>0</v>
      </c>
      <c r="Q191" s="906">
        <v>0</v>
      </c>
      <c r="R191" s="906">
        <v>0</v>
      </c>
      <c r="S191" s="906">
        <v>0</v>
      </c>
      <c r="T191" s="906">
        <v>0</v>
      </c>
      <c r="U191" s="906"/>
      <c r="V191" s="957">
        <f t="shared" si="56"/>
        <v>88.550000000000011</v>
      </c>
      <c r="W191" s="905"/>
      <c r="X191" s="909">
        <f t="shared" si="66"/>
        <v>0</v>
      </c>
      <c r="Y191" s="906">
        <f t="shared" si="66"/>
        <v>0</v>
      </c>
      <c r="Z191" s="906">
        <f t="shared" si="66"/>
        <v>0</v>
      </c>
      <c r="AA191" s="909">
        <f t="shared" si="64"/>
        <v>0</v>
      </c>
      <c r="AB191" s="909">
        <f t="shared" si="64"/>
        <v>0</v>
      </c>
      <c r="AC191" s="909">
        <f t="shared" si="64"/>
        <v>0</v>
      </c>
      <c r="AD191" s="909">
        <f t="shared" si="63"/>
        <v>0</v>
      </c>
      <c r="AE191" s="909">
        <f t="shared" si="63"/>
        <v>0</v>
      </c>
      <c r="AF191" s="909">
        <f t="shared" si="63"/>
        <v>0</v>
      </c>
      <c r="AG191" s="909">
        <f t="shared" si="63"/>
        <v>0</v>
      </c>
      <c r="AH191" s="909">
        <f t="shared" si="63"/>
        <v>0</v>
      </c>
      <c r="AI191" s="909">
        <f t="shared" si="63"/>
        <v>0</v>
      </c>
      <c r="AJ191" s="907">
        <f t="shared" si="57"/>
        <v>0</v>
      </c>
      <c r="AN191" s="1140">
        <f t="shared" ca="1" si="58"/>
        <v>0</v>
      </c>
      <c r="AP191" s="1154">
        <f t="shared" ca="1" si="59"/>
        <v>0</v>
      </c>
      <c r="AR191" s="1140">
        <f t="shared" ca="1" si="60"/>
        <v>0</v>
      </c>
      <c r="AT191" s="1154">
        <f t="shared" ca="1" si="61"/>
        <v>88.550000000000011</v>
      </c>
    </row>
    <row r="192" spans="1:46">
      <c r="A192" s="884" t="str">
        <f t="shared" si="65"/>
        <v>PIERCE UTCCommercialREDEL-COMM</v>
      </c>
      <c r="B192" s="889" t="s">
        <v>2218</v>
      </c>
      <c r="C192" s="889" t="s">
        <v>2219</v>
      </c>
      <c r="D192" s="889" t="s">
        <v>411</v>
      </c>
      <c r="E192" s="883">
        <v>33000</v>
      </c>
      <c r="F192" s="904">
        <v>17.25</v>
      </c>
      <c r="G192" s="904">
        <v>17.25</v>
      </c>
      <c r="H192" s="904"/>
      <c r="I192" s="906">
        <v>103.5</v>
      </c>
      <c r="J192" s="906">
        <v>34.5</v>
      </c>
      <c r="K192" s="906">
        <v>17.25</v>
      </c>
      <c r="L192" s="906">
        <v>138</v>
      </c>
      <c r="M192" s="906">
        <v>17.25</v>
      </c>
      <c r="N192" s="906">
        <v>51.75</v>
      </c>
      <c r="O192" s="906">
        <v>48.2</v>
      </c>
      <c r="P192" s="906">
        <v>69</v>
      </c>
      <c r="Q192" s="906">
        <v>34.5</v>
      </c>
      <c r="R192" s="906">
        <v>34.5</v>
      </c>
      <c r="S192" s="906">
        <v>69</v>
      </c>
      <c r="T192" s="906">
        <v>44.65</v>
      </c>
      <c r="U192" s="906"/>
      <c r="V192" s="957">
        <f t="shared" si="56"/>
        <v>662.1</v>
      </c>
      <c r="W192" s="905"/>
      <c r="X192" s="909">
        <f t="shared" si="66"/>
        <v>6</v>
      </c>
      <c r="Y192" s="906">
        <f t="shared" si="66"/>
        <v>2</v>
      </c>
      <c r="Z192" s="906">
        <f t="shared" si="66"/>
        <v>1</v>
      </c>
      <c r="AA192" s="909">
        <f t="shared" si="64"/>
        <v>8</v>
      </c>
      <c r="AB192" s="909">
        <f t="shared" si="64"/>
        <v>1</v>
      </c>
      <c r="AC192" s="909">
        <f t="shared" si="64"/>
        <v>3</v>
      </c>
      <c r="AD192" s="909">
        <f t="shared" si="63"/>
        <v>2.7942028985507248</v>
      </c>
      <c r="AE192" s="909">
        <f t="shared" si="63"/>
        <v>4</v>
      </c>
      <c r="AF192" s="909">
        <f t="shared" si="63"/>
        <v>2</v>
      </c>
      <c r="AG192" s="909">
        <f t="shared" si="63"/>
        <v>2</v>
      </c>
      <c r="AH192" s="909">
        <f t="shared" si="63"/>
        <v>4</v>
      </c>
      <c r="AI192" s="909">
        <f t="shared" si="63"/>
        <v>2.5884057971014491</v>
      </c>
      <c r="AJ192" s="907">
        <f t="shared" si="57"/>
        <v>3.198550724637681</v>
      </c>
      <c r="AN192" s="1140">
        <f t="shared" ca="1" si="58"/>
        <v>0.20007630108369628</v>
      </c>
      <c r="AP192" s="1154">
        <f t="shared" ca="1" si="59"/>
        <v>7.6794503737690025</v>
      </c>
      <c r="AR192" s="1140">
        <f t="shared" ca="1" si="60"/>
        <v>17.450076301083698</v>
      </c>
      <c r="AT192" s="1154">
        <f t="shared" ca="1" si="61"/>
        <v>669.77945037376901</v>
      </c>
    </row>
    <row r="193" spans="1:46">
      <c r="A193" s="884" t="str">
        <f t="shared" si="65"/>
        <v>PIERCE UTCCommercialSP2CMP-COMM</v>
      </c>
      <c r="B193" s="889" t="s">
        <v>2220</v>
      </c>
      <c r="C193" s="889" t="str">
        <f>VLOOKUP($B193,'[45]RM Data'!$H:$I,2,FALSE)</f>
        <v>SPECIAL PICK UP 2 YD COMP</v>
      </c>
      <c r="D193" s="889"/>
      <c r="F193" s="904">
        <v>100.6</v>
      </c>
      <c r="G193" s="904">
        <v>103.21</v>
      </c>
      <c r="H193" s="904"/>
      <c r="I193" s="906">
        <v>0</v>
      </c>
      <c r="J193" s="906">
        <v>0</v>
      </c>
      <c r="K193" s="906">
        <v>0</v>
      </c>
      <c r="L193" s="906">
        <v>0</v>
      </c>
      <c r="M193" s="906">
        <v>0</v>
      </c>
      <c r="N193" s="906">
        <v>0</v>
      </c>
      <c r="O193" s="906">
        <v>0</v>
      </c>
      <c r="P193" s="906">
        <v>103.21</v>
      </c>
      <c r="Q193" s="906">
        <v>0</v>
      </c>
      <c r="R193" s="906">
        <v>0</v>
      </c>
      <c r="S193" s="906">
        <v>0</v>
      </c>
      <c r="T193" s="906">
        <v>0</v>
      </c>
      <c r="U193" s="906"/>
      <c r="V193" s="957">
        <f t="shared" si="56"/>
        <v>103.21</v>
      </c>
      <c r="W193" s="905"/>
      <c r="X193" s="909">
        <f t="shared" si="66"/>
        <v>0</v>
      </c>
      <c r="Y193" s="906">
        <f t="shared" si="66"/>
        <v>0</v>
      </c>
      <c r="Z193" s="906">
        <f t="shared" si="66"/>
        <v>0</v>
      </c>
      <c r="AA193" s="909">
        <f t="shared" si="64"/>
        <v>0</v>
      </c>
      <c r="AB193" s="909">
        <f t="shared" si="64"/>
        <v>0</v>
      </c>
      <c r="AC193" s="909">
        <f t="shared" si="64"/>
        <v>0</v>
      </c>
      <c r="AD193" s="909">
        <f t="shared" si="63"/>
        <v>0</v>
      </c>
      <c r="AE193" s="909">
        <f t="shared" si="63"/>
        <v>1</v>
      </c>
      <c r="AF193" s="909">
        <f t="shared" si="63"/>
        <v>0</v>
      </c>
      <c r="AG193" s="909">
        <f t="shared" si="63"/>
        <v>0</v>
      </c>
      <c r="AH193" s="909">
        <f t="shared" si="63"/>
        <v>0</v>
      </c>
      <c r="AI193" s="909">
        <f t="shared" si="63"/>
        <v>0</v>
      </c>
      <c r="AJ193" s="907">
        <f t="shared" si="57"/>
        <v>8.3333333333333329E-2</v>
      </c>
      <c r="AN193" s="1140">
        <f t="shared" ca="1" si="58"/>
        <v>1.1970942049187416</v>
      </c>
      <c r="AP193" s="1154">
        <f t="shared" ca="1" si="59"/>
        <v>1.1970942049187414</v>
      </c>
      <c r="AR193" s="1140">
        <f t="shared" ca="1" si="60"/>
        <v>104.40709420491874</v>
      </c>
      <c r="AT193" s="1154">
        <f t="shared" ca="1" si="61"/>
        <v>104.40709420491874</v>
      </c>
    </row>
    <row r="194" spans="1:46">
      <c r="A194" s="884" t="str">
        <f t="shared" si="65"/>
        <v>PIERCE UTCCommercialRTRNCART32-COMM</v>
      </c>
      <c r="B194" s="889" t="s">
        <v>2221</v>
      </c>
      <c r="C194" s="889" t="str">
        <f>VLOOKUP(B194,'[45]PI default bill area pricing'!G:H,2,FALSE)</f>
        <v>RETURN TRIP 32 GL - COMM</v>
      </c>
      <c r="D194" s="889"/>
      <c r="F194" s="904">
        <v>6.35</v>
      </c>
      <c r="G194" s="904">
        <v>6.35</v>
      </c>
      <c r="H194" s="904"/>
      <c r="I194" s="906">
        <v>0</v>
      </c>
      <c r="J194" s="906">
        <v>6.35</v>
      </c>
      <c r="K194" s="906">
        <v>0</v>
      </c>
      <c r="L194" s="906">
        <v>0</v>
      </c>
      <c r="M194" s="906">
        <v>0</v>
      </c>
      <c r="N194" s="906">
        <v>0</v>
      </c>
      <c r="O194" s="906">
        <v>0</v>
      </c>
      <c r="P194" s="906">
        <v>0</v>
      </c>
      <c r="Q194" s="906">
        <v>0</v>
      </c>
      <c r="R194" s="906">
        <v>0</v>
      </c>
      <c r="S194" s="906">
        <v>0</v>
      </c>
      <c r="T194" s="906">
        <v>0</v>
      </c>
      <c r="U194" s="906"/>
      <c r="V194" s="957">
        <f t="shared" si="56"/>
        <v>6.35</v>
      </c>
      <c r="W194" s="905"/>
      <c r="X194" s="909">
        <f t="shared" si="66"/>
        <v>0</v>
      </c>
      <c r="Y194" s="906">
        <f t="shared" si="66"/>
        <v>1</v>
      </c>
      <c r="Z194" s="906">
        <f t="shared" si="66"/>
        <v>0</v>
      </c>
      <c r="AA194" s="909">
        <f t="shared" si="64"/>
        <v>0</v>
      </c>
      <c r="AB194" s="909">
        <f t="shared" si="64"/>
        <v>0</v>
      </c>
      <c r="AC194" s="909">
        <f t="shared" si="64"/>
        <v>0</v>
      </c>
      <c r="AD194" s="909">
        <f t="shared" si="63"/>
        <v>0</v>
      </c>
      <c r="AE194" s="909">
        <f t="shared" si="63"/>
        <v>0</v>
      </c>
      <c r="AF194" s="909">
        <f t="shared" si="63"/>
        <v>0</v>
      </c>
      <c r="AG194" s="909">
        <f t="shared" si="63"/>
        <v>0</v>
      </c>
      <c r="AH194" s="909">
        <f t="shared" si="63"/>
        <v>0</v>
      </c>
      <c r="AI194" s="909">
        <f t="shared" si="63"/>
        <v>0</v>
      </c>
      <c r="AJ194" s="907">
        <f t="shared" si="57"/>
        <v>8.3333333333333329E-2</v>
      </c>
      <c r="AN194" s="1140">
        <f t="shared" ca="1" si="58"/>
        <v>7.3651276051099793E-2</v>
      </c>
      <c r="AP194" s="1154">
        <f t="shared" ca="1" si="59"/>
        <v>7.3651276051099793E-2</v>
      </c>
      <c r="AR194" s="1140">
        <f t="shared" ca="1" si="60"/>
        <v>6.4236512760510998</v>
      </c>
      <c r="AT194" s="1154">
        <f t="shared" ca="1" si="61"/>
        <v>6.4236512760510998</v>
      </c>
    </row>
    <row r="195" spans="1:46">
      <c r="A195" s="884" t="str">
        <f t="shared" si="65"/>
        <v>PIERCE UTCCommercialRTRNCART35-COMM</v>
      </c>
      <c r="B195" s="889" t="s">
        <v>2222</v>
      </c>
      <c r="C195" s="889" t="str">
        <f>VLOOKUP(B195,'[45]PI default bill area pricing'!G:H,2,FALSE)</f>
        <v>RETURN TRIP FEE 35 GL - COMM</v>
      </c>
      <c r="D195" s="889"/>
      <c r="F195" s="904">
        <v>6.35</v>
      </c>
      <c r="G195" s="904">
        <v>6.35</v>
      </c>
      <c r="H195" s="904"/>
      <c r="I195" s="906">
        <v>0</v>
      </c>
      <c r="J195" s="906">
        <v>0</v>
      </c>
      <c r="K195" s="906">
        <v>0</v>
      </c>
      <c r="L195" s="906">
        <v>0</v>
      </c>
      <c r="M195" s="906">
        <v>0</v>
      </c>
      <c r="N195" s="906">
        <v>0</v>
      </c>
      <c r="O195" s="906">
        <v>0</v>
      </c>
      <c r="P195" s="906">
        <v>6.35</v>
      </c>
      <c r="Q195" s="906">
        <v>0</v>
      </c>
      <c r="R195" s="906">
        <v>0</v>
      </c>
      <c r="S195" s="906">
        <v>0</v>
      </c>
      <c r="T195" s="906">
        <v>0</v>
      </c>
      <c r="U195" s="916"/>
      <c r="V195" s="957">
        <f t="shared" si="56"/>
        <v>6.35</v>
      </c>
      <c r="W195" s="905"/>
      <c r="X195" s="909">
        <f t="shared" si="66"/>
        <v>0</v>
      </c>
      <c r="Y195" s="906">
        <f t="shared" si="66"/>
        <v>0</v>
      </c>
      <c r="Z195" s="906">
        <f t="shared" si="66"/>
        <v>0</v>
      </c>
      <c r="AA195" s="909">
        <f t="shared" si="64"/>
        <v>0</v>
      </c>
      <c r="AB195" s="909">
        <f t="shared" si="64"/>
        <v>0</v>
      </c>
      <c r="AC195" s="909">
        <f t="shared" si="64"/>
        <v>0</v>
      </c>
      <c r="AD195" s="909">
        <f t="shared" si="63"/>
        <v>0</v>
      </c>
      <c r="AE195" s="909">
        <f t="shared" si="63"/>
        <v>1</v>
      </c>
      <c r="AF195" s="909">
        <f t="shared" si="63"/>
        <v>0</v>
      </c>
      <c r="AG195" s="909">
        <f t="shared" si="63"/>
        <v>0</v>
      </c>
      <c r="AH195" s="909">
        <f t="shared" si="63"/>
        <v>0</v>
      </c>
      <c r="AI195" s="909">
        <f t="shared" si="63"/>
        <v>0</v>
      </c>
      <c r="AJ195" s="907">
        <f t="shared" si="57"/>
        <v>8.3333333333333329E-2</v>
      </c>
      <c r="AN195" s="1140">
        <f t="shared" ca="1" si="58"/>
        <v>7.3651276051099793E-2</v>
      </c>
      <c r="AP195" s="1154">
        <f t="shared" ca="1" si="59"/>
        <v>7.3651276051099793E-2</v>
      </c>
      <c r="AR195" s="1140">
        <f t="shared" ca="1" si="60"/>
        <v>6.4236512760510998</v>
      </c>
      <c r="AT195" s="1154">
        <f t="shared" ca="1" si="61"/>
        <v>6.4236512760510998</v>
      </c>
    </row>
    <row r="196" spans="1:46">
      <c r="A196" s="884" t="str">
        <f t="shared" si="65"/>
        <v>PIERCE UTCCommercialSURCHGC</v>
      </c>
      <c r="B196" s="889" t="s">
        <v>2223</v>
      </c>
      <c r="C196" s="889" t="str">
        <f>VLOOKUP(B196,'[45]PI default bill area pricing'!G:H,2,FALSE)</f>
        <v>SURCHARGE - COMM</v>
      </c>
      <c r="D196" s="889"/>
      <c r="F196" s="904"/>
      <c r="G196" s="904">
        <v>0</v>
      </c>
      <c r="H196" s="904"/>
      <c r="I196" s="906">
        <v>0</v>
      </c>
      <c r="J196" s="906">
        <v>0</v>
      </c>
      <c r="K196" s="906">
        <v>0</v>
      </c>
      <c r="L196" s="906">
        <v>0</v>
      </c>
      <c r="M196" s="906">
        <v>0</v>
      </c>
      <c r="N196" s="906">
        <v>0</v>
      </c>
      <c r="O196" s="906">
        <v>7.6</v>
      </c>
      <c r="P196" s="906">
        <v>0</v>
      </c>
      <c r="Q196" s="906">
        <v>0</v>
      </c>
      <c r="R196" s="906">
        <v>0</v>
      </c>
      <c r="S196" s="906">
        <v>0</v>
      </c>
      <c r="T196" s="906">
        <v>0</v>
      </c>
      <c r="U196" s="916"/>
      <c r="V196" s="957">
        <f>SUM(I196:T196)</f>
        <v>7.6</v>
      </c>
      <c r="W196" s="905"/>
      <c r="X196" s="909">
        <f>IFERROR(I196/$F196,0)</f>
        <v>0</v>
      </c>
      <c r="Y196" s="906">
        <f>IFERROR(J196/$F196,0)</f>
        <v>0</v>
      </c>
      <c r="Z196" s="906">
        <f>IFERROR(K196/$F196,0)</f>
        <v>0</v>
      </c>
      <c r="AA196" s="909">
        <f t="shared" si="64"/>
        <v>0</v>
      </c>
      <c r="AB196" s="909">
        <f t="shared" si="64"/>
        <v>0</v>
      </c>
      <c r="AC196" s="909">
        <f t="shared" si="64"/>
        <v>0</v>
      </c>
      <c r="AD196" s="909">
        <f t="shared" si="64"/>
        <v>0</v>
      </c>
      <c r="AE196" s="909">
        <f t="shared" si="64"/>
        <v>0</v>
      </c>
      <c r="AF196" s="909">
        <f t="shared" si="64"/>
        <v>0</v>
      </c>
      <c r="AG196" s="909">
        <f t="shared" si="64"/>
        <v>0</v>
      </c>
      <c r="AH196" s="909">
        <f t="shared" si="64"/>
        <v>0</v>
      </c>
      <c r="AI196" s="909">
        <f t="shared" si="64"/>
        <v>0</v>
      </c>
      <c r="AJ196" s="907">
        <f t="shared" si="57"/>
        <v>0</v>
      </c>
      <c r="AN196" s="1140">
        <f t="shared" ref="AN196" ca="1" si="67">G196*$AN$2</f>
        <v>0</v>
      </c>
      <c r="AP196" s="1154">
        <f t="shared" ca="1" si="59"/>
        <v>0</v>
      </c>
      <c r="AR196" s="1140">
        <f t="shared" ca="1" si="60"/>
        <v>0</v>
      </c>
      <c r="AT196" s="1154">
        <f t="shared" ca="1" si="61"/>
        <v>7.6</v>
      </c>
    </row>
    <row r="197" spans="1:46" ht="14.25">
      <c r="B197" s="939"/>
      <c r="C197" s="889"/>
      <c r="D197" s="889"/>
      <c r="F197" s="904"/>
      <c r="G197" s="904"/>
      <c r="H197" s="904"/>
      <c r="I197" s="906"/>
      <c r="J197" s="906"/>
      <c r="K197" s="906"/>
      <c r="L197" s="906"/>
      <c r="M197" s="906"/>
      <c r="N197" s="906"/>
      <c r="O197" s="906"/>
      <c r="P197" s="906"/>
      <c r="Q197" s="906"/>
      <c r="R197" s="906"/>
      <c r="S197" s="906"/>
      <c r="T197" s="906"/>
      <c r="U197" s="916"/>
      <c r="V197" s="957"/>
      <c r="W197" s="905"/>
      <c r="X197" s="909"/>
      <c r="Y197" s="906"/>
      <c r="Z197" s="906"/>
      <c r="AA197" s="909"/>
      <c r="AB197" s="909"/>
      <c r="AC197" s="909"/>
      <c r="AD197" s="909"/>
      <c r="AE197" s="909"/>
      <c r="AF197" s="909"/>
      <c r="AG197" s="909"/>
      <c r="AH197" s="909"/>
      <c r="AI197" s="909"/>
    </row>
    <row r="198" spans="1:46">
      <c r="B198" s="889"/>
      <c r="C198" s="910" t="s">
        <v>2224</v>
      </c>
      <c r="D198" s="889"/>
      <c r="E198" s="940"/>
      <c r="F198" s="904"/>
      <c r="G198" s="904"/>
      <c r="H198" s="911"/>
      <c r="I198" s="913">
        <f>SUM(I88:I196)</f>
        <v>628709.37</v>
      </c>
      <c r="J198" s="913">
        <f t="shared" ref="J198:T198" si="68">SUM(J89:J196)</f>
        <v>632429.06499999983</v>
      </c>
      <c r="K198" s="913">
        <f t="shared" si="68"/>
        <v>622580.46500000008</v>
      </c>
      <c r="L198" s="913">
        <f t="shared" si="68"/>
        <v>656670.91000000027</v>
      </c>
      <c r="M198" s="913">
        <f t="shared" si="68"/>
        <v>662995.32999999973</v>
      </c>
      <c r="N198" s="913">
        <f t="shared" si="68"/>
        <v>671163.24000000046</v>
      </c>
      <c r="O198" s="913">
        <f t="shared" si="68"/>
        <v>675474.2</v>
      </c>
      <c r="P198" s="913">
        <f t="shared" si="68"/>
        <v>667302.09000000008</v>
      </c>
      <c r="Q198" s="913">
        <f t="shared" si="68"/>
        <v>665663.19999999984</v>
      </c>
      <c r="R198" s="913">
        <f t="shared" si="68"/>
        <v>675758.53000000026</v>
      </c>
      <c r="S198" s="913">
        <f t="shared" si="68"/>
        <v>687921.00999999978</v>
      </c>
      <c r="T198" s="913">
        <f t="shared" si="68"/>
        <v>667141.66000000073</v>
      </c>
      <c r="U198" s="916"/>
      <c r="V198" s="913">
        <f>SUM(V88:V196)</f>
        <v>7914290.389999995</v>
      </c>
      <c r="W198" s="914"/>
      <c r="X198" s="906">
        <f t="shared" ref="X198:AI198" si="69">+SUM(X89:X131)</f>
        <v>4005.7756571113532</v>
      </c>
      <c r="Y198" s="906">
        <f t="shared" si="69"/>
        <v>3997.1729069339103</v>
      </c>
      <c r="Z198" s="906">
        <f t="shared" si="69"/>
        <v>3984.06997701096</v>
      </c>
      <c r="AA198" s="906">
        <f t="shared" si="69"/>
        <v>4020.1627334771611</v>
      </c>
      <c r="AB198" s="906">
        <f t="shared" si="69"/>
        <v>4041.9885755842311</v>
      </c>
      <c r="AC198" s="906">
        <f t="shared" si="69"/>
        <v>4263.6698500446728</v>
      </c>
      <c r="AD198" s="906">
        <f t="shared" si="69"/>
        <v>4269.2160278597066</v>
      </c>
      <c r="AE198" s="906">
        <f t="shared" si="69"/>
        <v>4261.6241670549252</v>
      </c>
      <c r="AF198" s="906">
        <f t="shared" si="69"/>
        <v>4414.8097865464679</v>
      </c>
      <c r="AG198" s="906">
        <f t="shared" si="69"/>
        <v>4427.8513541846478</v>
      </c>
      <c r="AH198" s="906">
        <f t="shared" si="69"/>
        <v>4495.3939771187415</v>
      </c>
      <c r="AI198" s="906">
        <f t="shared" si="69"/>
        <v>4378.4417341188155</v>
      </c>
      <c r="AJ198" s="913">
        <f>+SUM(AJ88:AJ131,AK132:AK134,AJ142:AJ148,AJ135)</f>
        <v>6693.3282874956376</v>
      </c>
      <c r="AK198" s="1008" t="s">
        <v>2362</v>
      </c>
      <c r="AL198" s="888">
        <f>SUM(AK132:AK134,AJ116:AJ131,AJ135)</f>
        <v>2607.195136812225</v>
      </c>
      <c r="AP198" s="1156">
        <f ca="1">SUM(AP88:AP196)</f>
        <v>92355.894372752737</v>
      </c>
      <c r="AR198" s="884"/>
      <c r="AT198" s="1156">
        <f ca="1">SUM(AT88:AT196)</f>
        <v>8006646.2843727488</v>
      </c>
    </row>
    <row r="199" spans="1:46">
      <c r="B199" s="889"/>
      <c r="C199" s="910"/>
      <c r="D199" s="889"/>
      <c r="E199" s="940"/>
      <c r="F199" s="904"/>
      <c r="G199" s="904"/>
      <c r="H199" s="911"/>
      <c r="I199" s="906"/>
      <c r="J199" s="906"/>
      <c r="K199" s="906"/>
      <c r="L199" s="906"/>
      <c r="M199" s="906"/>
      <c r="N199" s="906"/>
      <c r="O199" s="906"/>
      <c r="P199" s="906"/>
      <c r="Q199" s="906"/>
      <c r="R199" s="906"/>
      <c r="S199" s="906"/>
      <c r="T199" s="906"/>
      <c r="U199" s="916"/>
      <c r="V199" s="957"/>
      <c r="W199" s="914"/>
      <c r="X199" s="909"/>
      <c r="Y199" s="906"/>
      <c r="Z199" s="906"/>
      <c r="AA199" s="909"/>
      <c r="AB199" s="909"/>
      <c r="AC199" s="909"/>
      <c r="AD199" s="909"/>
      <c r="AE199" s="909"/>
      <c r="AF199" s="909"/>
      <c r="AG199" s="909"/>
      <c r="AH199" s="909"/>
      <c r="AI199" s="909"/>
      <c r="AK199" s="1008" t="s">
        <v>926</v>
      </c>
      <c r="AL199" s="888">
        <f>AJ198-AL198</f>
        <v>4086.1331506834126</v>
      </c>
    </row>
    <row r="200" spans="1:46">
      <c r="B200" s="918" t="s">
        <v>2225</v>
      </c>
      <c r="C200" s="910"/>
      <c r="D200" s="889"/>
      <c r="E200" s="940"/>
      <c r="F200" s="904"/>
      <c r="G200" s="904"/>
      <c r="H200" s="911"/>
      <c r="I200" s="906"/>
      <c r="J200" s="906"/>
      <c r="K200" s="906"/>
      <c r="L200" s="906"/>
      <c r="M200" s="906"/>
      <c r="N200" s="906"/>
      <c r="O200" s="906"/>
      <c r="P200" s="906"/>
      <c r="Q200" s="906"/>
      <c r="R200" s="906"/>
      <c r="S200" s="906"/>
      <c r="T200" s="906"/>
      <c r="U200" s="916"/>
      <c r="V200" s="957"/>
      <c r="W200" s="914"/>
      <c r="X200" s="909"/>
      <c r="Y200" s="906"/>
      <c r="Z200" s="906"/>
      <c r="AA200" s="909"/>
      <c r="AB200" s="909"/>
      <c r="AC200" s="909"/>
      <c r="AD200" s="909"/>
      <c r="AE200" s="909"/>
      <c r="AF200" s="909"/>
      <c r="AG200" s="909"/>
      <c r="AH200" s="909"/>
      <c r="AI200" s="909"/>
    </row>
    <row r="201" spans="1:46">
      <c r="A201" s="884" t="str">
        <f>$B$3&amp;"Commercial Recycle"&amp;B201</f>
        <v>PIERCE UTCCommercial RecycleMFNBINS</v>
      </c>
      <c r="B201" s="889" t="s">
        <v>2226</v>
      </c>
      <c r="C201" s="889" t="s">
        <v>2227</v>
      </c>
      <c r="D201" s="889" t="s">
        <v>411</v>
      </c>
      <c r="E201" s="883">
        <v>33000</v>
      </c>
      <c r="F201" s="904">
        <v>2.4500000000000002</v>
      </c>
      <c r="G201" s="904">
        <v>2.4500000000000002</v>
      </c>
      <c r="H201" s="904"/>
      <c r="I201" s="906">
        <v>2768.52</v>
      </c>
      <c r="J201" s="906">
        <v>2773.4</v>
      </c>
      <c r="K201" s="906">
        <v>2773.4</v>
      </c>
      <c r="L201" s="906">
        <v>2690.1</v>
      </c>
      <c r="M201" s="906">
        <v>2687.65</v>
      </c>
      <c r="N201" s="906">
        <v>2558.79</v>
      </c>
      <c r="O201" s="906">
        <v>2648.45</v>
      </c>
      <c r="P201" s="906">
        <v>2648.45</v>
      </c>
      <c r="Q201" s="906">
        <v>2640.13</v>
      </c>
      <c r="R201" s="906">
        <v>2629.46</v>
      </c>
      <c r="S201" s="906">
        <v>2637.21</v>
      </c>
      <c r="T201" s="906">
        <v>2638.65</v>
      </c>
      <c r="U201" s="916"/>
      <c r="V201" s="957">
        <f t="shared" ref="V201:V202" si="70">SUM(I201:T201)</f>
        <v>32094.210000000003</v>
      </c>
      <c r="W201" s="905"/>
      <c r="X201" s="909">
        <f t="shared" ref="X201:Z202" si="71">IFERROR(I201/$F201,0)</f>
        <v>1130.0081632653059</v>
      </c>
      <c r="Y201" s="906">
        <f t="shared" si="71"/>
        <v>1132</v>
      </c>
      <c r="Z201" s="906">
        <f t="shared" si="71"/>
        <v>1132</v>
      </c>
      <c r="AA201" s="909">
        <f t="shared" ref="AA201:AI202" si="72">IFERROR(L201/$G201,0)</f>
        <v>1097.9999999999998</v>
      </c>
      <c r="AB201" s="909">
        <f t="shared" si="72"/>
        <v>1097</v>
      </c>
      <c r="AC201" s="909">
        <f t="shared" si="72"/>
        <v>1044.4040816326531</v>
      </c>
      <c r="AD201" s="909">
        <f t="shared" si="72"/>
        <v>1080.9999999999998</v>
      </c>
      <c r="AE201" s="909">
        <f t="shared" si="72"/>
        <v>1080.9999999999998</v>
      </c>
      <c r="AF201" s="909">
        <f t="shared" si="72"/>
        <v>1077.6040816326531</v>
      </c>
      <c r="AG201" s="909">
        <f t="shared" si="72"/>
        <v>1073.2489795918366</v>
      </c>
      <c r="AH201" s="909">
        <f t="shared" si="72"/>
        <v>1076.4122448979592</v>
      </c>
      <c r="AI201" s="909">
        <f t="shared" si="72"/>
        <v>1077</v>
      </c>
      <c r="AJ201" s="907">
        <f>AVERAGE(X201:AI201)</f>
        <v>1091.6397959183673</v>
      </c>
      <c r="AN201" s="1140">
        <f t="shared" ref="AN201:AN202" ca="1" si="73">G201*$AR$3</f>
        <v>0.80104192955238207</v>
      </c>
      <c r="AP201" s="1154">
        <f t="shared" ref="AP201:AP202" ca="1" si="74">AJ201*AN201*12</f>
        <v>10493.39098198341</v>
      </c>
      <c r="AR201" s="1140">
        <f t="shared" ref="AR201:AR202" ca="1" si="75">G201+AN201</f>
        <v>3.2510419295523825</v>
      </c>
      <c r="AT201" s="1154">
        <f t="shared" ref="AT201:AT202" ca="1" si="76">V201+AP201</f>
        <v>42587.600981983414</v>
      </c>
    </row>
    <row r="202" spans="1:46">
      <c r="A202" s="884" t="str">
        <f>$B$3&amp;"Commercial Recycle"&amp;B202</f>
        <v>PIERCE UTCCommercial RecycleMFWBINS</v>
      </c>
      <c r="B202" s="889" t="s">
        <v>2228</v>
      </c>
      <c r="C202" s="889" t="s">
        <v>2229</v>
      </c>
      <c r="D202" s="889" t="s">
        <v>9</v>
      </c>
      <c r="E202" s="940">
        <v>33020</v>
      </c>
      <c r="F202" s="904">
        <v>1.7</v>
      </c>
      <c r="G202" s="904">
        <v>1.7</v>
      </c>
      <c r="H202" s="904"/>
      <c r="I202" s="906">
        <v>17378.099999999999</v>
      </c>
      <c r="J202" s="906">
        <v>17164.900000000001</v>
      </c>
      <c r="K202" s="906">
        <v>17163.18</v>
      </c>
      <c r="L202" s="906">
        <v>17193.740000000002</v>
      </c>
      <c r="M202" s="906">
        <v>15079.509999999998</v>
      </c>
      <c r="N202" s="906">
        <v>17048.37</v>
      </c>
      <c r="O202" s="906">
        <v>17009.759999999998</v>
      </c>
      <c r="P202" s="906">
        <v>17000.89</v>
      </c>
      <c r="Q202" s="906">
        <v>17042.18</v>
      </c>
      <c r="R202" s="906">
        <v>17000.91</v>
      </c>
      <c r="S202" s="906">
        <v>16974.16</v>
      </c>
      <c r="T202" s="906">
        <v>17081.46</v>
      </c>
      <c r="U202" s="916"/>
      <c r="V202" s="957">
        <f t="shared" si="70"/>
        <v>203137.15999999997</v>
      </c>
      <c r="W202" s="905"/>
      <c r="X202" s="909">
        <f t="shared" si="71"/>
        <v>10222.411764705881</v>
      </c>
      <c r="Y202" s="906">
        <f t="shared" si="71"/>
        <v>10097.000000000002</v>
      </c>
      <c r="Z202" s="906">
        <f t="shared" si="71"/>
        <v>10095.988235294119</v>
      </c>
      <c r="AA202" s="909">
        <f t="shared" si="72"/>
        <v>10113.964705882354</v>
      </c>
      <c r="AB202" s="909">
        <f t="shared" si="72"/>
        <v>8870.2999999999993</v>
      </c>
      <c r="AC202" s="909">
        <f t="shared" si="72"/>
        <v>10028.452941176471</v>
      </c>
      <c r="AD202" s="909">
        <f t="shared" si="72"/>
        <v>10005.741176470587</v>
      </c>
      <c r="AE202" s="909">
        <f t="shared" si="72"/>
        <v>10000.523529411765</v>
      </c>
      <c r="AF202" s="909">
        <f t="shared" si="72"/>
        <v>10024.811764705883</v>
      </c>
      <c r="AG202" s="909">
        <f t="shared" si="72"/>
        <v>10000.535294117648</v>
      </c>
      <c r="AH202" s="909">
        <f t="shared" si="72"/>
        <v>9984.7999999999993</v>
      </c>
      <c r="AI202" s="909">
        <f t="shared" si="72"/>
        <v>10047.917647058823</v>
      </c>
      <c r="AJ202" s="907">
        <f>AVERAGE(X202:AI202)</f>
        <v>9957.7039215686291</v>
      </c>
      <c r="AN202" s="1140">
        <f t="shared" ca="1" si="73"/>
        <v>0.55582501234246917</v>
      </c>
      <c r="AP202" s="1154">
        <f t="shared" ca="1" si="74"/>
        <v>66416.89086130244</v>
      </c>
      <c r="AR202" s="1140">
        <f t="shared" ca="1" si="75"/>
        <v>2.255825012342469</v>
      </c>
      <c r="AT202" s="1154">
        <f t="shared" ca="1" si="76"/>
        <v>269554.05086130241</v>
      </c>
    </row>
    <row r="203" spans="1:46">
      <c r="B203" s="889"/>
      <c r="C203" s="910"/>
      <c r="D203" s="889"/>
      <c r="E203" s="940"/>
      <c r="F203" s="904"/>
      <c r="G203" s="904"/>
      <c r="H203" s="911"/>
      <c r="I203" s="906"/>
      <c r="J203" s="906"/>
      <c r="K203" s="906"/>
      <c r="L203" s="906"/>
      <c r="M203" s="906"/>
      <c r="N203" s="906"/>
      <c r="O203" s="906"/>
      <c r="P203" s="906"/>
      <c r="Q203" s="906"/>
      <c r="R203" s="906"/>
      <c r="S203" s="906"/>
      <c r="T203" s="906"/>
      <c r="U203" s="916"/>
      <c r="V203" s="957"/>
      <c r="W203" s="914"/>
      <c r="X203" s="909"/>
      <c r="Y203" s="906"/>
      <c r="Z203" s="906"/>
      <c r="AA203" s="909"/>
      <c r="AB203" s="909"/>
      <c r="AC203" s="909"/>
      <c r="AD203" s="909"/>
      <c r="AE203" s="909"/>
      <c r="AF203" s="909"/>
      <c r="AG203" s="909"/>
      <c r="AH203" s="909"/>
      <c r="AI203" s="909"/>
    </row>
    <row r="204" spans="1:46">
      <c r="B204" s="889"/>
      <c r="C204" s="910" t="s">
        <v>2230</v>
      </c>
      <c r="D204" s="889"/>
      <c r="E204" s="940"/>
      <c r="F204" s="904"/>
      <c r="G204" s="904"/>
      <c r="H204" s="911"/>
      <c r="I204" s="913">
        <f>SUM(I201:I203)</f>
        <v>20146.62</v>
      </c>
      <c r="J204" s="913">
        <f t="shared" ref="J204:T204" si="77">SUM(J201:J203)</f>
        <v>19938.300000000003</v>
      </c>
      <c r="K204" s="913">
        <f t="shared" si="77"/>
        <v>19936.580000000002</v>
      </c>
      <c r="L204" s="913">
        <f t="shared" si="77"/>
        <v>19883.84</v>
      </c>
      <c r="M204" s="913">
        <f t="shared" si="77"/>
        <v>17767.16</v>
      </c>
      <c r="N204" s="913">
        <f t="shared" si="77"/>
        <v>19607.16</v>
      </c>
      <c r="O204" s="913">
        <f>SUM(O201:O203)</f>
        <v>19658.21</v>
      </c>
      <c r="P204" s="913">
        <f>SUM(P201:P203)</f>
        <v>19649.34</v>
      </c>
      <c r="Q204" s="913">
        <f t="shared" si="77"/>
        <v>19682.310000000001</v>
      </c>
      <c r="R204" s="913">
        <f t="shared" si="77"/>
        <v>19630.37</v>
      </c>
      <c r="S204" s="913">
        <f t="shared" si="77"/>
        <v>19611.37</v>
      </c>
      <c r="T204" s="913">
        <f t="shared" si="77"/>
        <v>19720.11</v>
      </c>
      <c r="U204" s="916"/>
      <c r="V204" s="913">
        <f>SUM(V201:V203)</f>
        <v>235231.36999999997</v>
      </c>
      <c r="W204" s="914"/>
      <c r="X204" s="912">
        <f>SUM(X201:X203)</f>
        <v>11352.419927971187</v>
      </c>
      <c r="Y204" s="912">
        <f t="shared" ref="Y204:AI204" si="78">SUM(Y201:Y203)</f>
        <v>11229.000000000002</v>
      </c>
      <c r="Z204" s="912">
        <f t="shared" si="78"/>
        <v>11227.988235294119</v>
      </c>
      <c r="AA204" s="912">
        <f t="shared" si="78"/>
        <v>11211.964705882354</v>
      </c>
      <c r="AB204" s="912">
        <f t="shared" si="78"/>
        <v>9967.2999999999993</v>
      </c>
      <c r="AC204" s="912">
        <f t="shared" si="78"/>
        <v>11072.857022809123</v>
      </c>
      <c r="AD204" s="912">
        <f t="shared" si="78"/>
        <v>11086.741176470587</v>
      </c>
      <c r="AE204" s="912">
        <f t="shared" si="78"/>
        <v>11081.523529411765</v>
      </c>
      <c r="AF204" s="912">
        <f t="shared" si="78"/>
        <v>11102.415846338536</v>
      </c>
      <c r="AG204" s="912">
        <f t="shared" si="78"/>
        <v>11073.784273709485</v>
      </c>
      <c r="AH204" s="912">
        <f t="shared" si="78"/>
        <v>11061.212244897959</v>
      </c>
      <c r="AI204" s="912">
        <f t="shared" si="78"/>
        <v>11124.917647058823</v>
      </c>
      <c r="AJ204" s="913">
        <f>SUM(AJ201:AJ203)</f>
        <v>11049.343717486996</v>
      </c>
      <c r="AP204" s="1156">
        <f ca="1">SUM(AP201:AP203)</f>
        <v>76910.281843285848</v>
      </c>
      <c r="AR204" s="884"/>
      <c r="AT204" s="1156">
        <f ca="1">SUM(AT201:AT203)</f>
        <v>312141.65184328583</v>
      </c>
    </row>
    <row r="205" spans="1:46">
      <c r="B205" s="889"/>
      <c r="C205" s="910"/>
      <c r="D205" s="889"/>
      <c r="E205" s="940"/>
      <c r="F205" s="904"/>
      <c r="G205" s="904"/>
      <c r="H205" s="911"/>
      <c r="I205" s="906"/>
      <c r="J205" s="906"/>
      <c r="K205" s="906"/>
      <c r="L205" s="906"/>
      <c r="M205" s="906"/>
      <c r="N205" s="906"/>
      <c r="O205" s="906"/>
      <c r="P205" s="906"/>
      <c r="Q205" s="906"/>
      <c r="R205" s="906"/>
      <c r="S205" s="906"/>
      <c r="T205" s="906"/>
      <c r="U205" s="906"/>
      <c r="V205" s="957"/>
      <c r="W205" s="914"/>
      <c r="X205" s="909"/>
      <c r="Y205" s="906"/>
      <c r="Z205" s="906"/>
      <c r="AA205" s="909"/>
      <c r="AB205" s="909"/>
      <c r="AC205" s="909"/>
      <c r="AD205" s="909"/>
      <c r="AE205" s="909"/>
      <c r="AF205" s="909"/>
      <c r="AG205" s="909"/>
      <c r="AH205" s="909"/>
      <c r="AI205" s="909"/>
    </row>
    <row r="206" spans="1:46">
      <c r="B206" s="889"/>
      <c r="C206" s="889"/>
      <c r="D206" s="889"/>
      <c r="F206" s="904"/>
      <c r="G206" s="904"/>
      <c r="H206" s="904"/>
      <c r="I206" s="906"/>
      <c r="J206" s="906"/>
      <c r="K206" s="906"/>
      <c r="L206" s="906"/>
      <c r="M206" s="906"/>
      <c r="N206" s="906"/>
      <c r="O206" s="906"/>
      <c r="P206" s="906"/>
      <c r="Q206" s="906"/>
      <c r="R206" s="906"/>
      <c r="S206" s="906"/>
      <c r="T206" s="906"/>
      <c r="U206" s="906"/>
      <c r="V206" s="957"/>
      <c r="W206" s="905"/>
      <c r="X206" s="909">
        <f>IFERROR(I206/$F206,0)</f>
        <v>0</v>
      </c>
      <c r="Y206" s="906">
        <f>IFERROR(J206/$F206,0)</f>
        <v>0</v>
      </c>
      <c r="Z206" s="906">
        <f>IFERROR(K206/$F206,0)</f>
        <v>0</v>
      </c>
      <c r="AA206" s="909">
        <f t="shared" ref="AA206:AI206" si="79">IFERROR(L206/$G206,0)</f>
        <v>0</v>
      </c>
      <c r="AB206" s="909">
        <f t="shared" si="79"/>
        <v>0</v>
      </c>
      <c r="AC206" s="909">
        <f t="shared" si="79"/>
        <v>0</v>
      </c>
      <c r="AD206" s="909">
        <f t="shared" si="79"/>
        <v>0</v>
      </c>
      <c r="AE206" s="909">
        <f t="shared" si="79"/>
        <v>0</v>
      </c>
      <c r="AF206" s="909">
        <f t="shared" si="79"/>
        <v>0</v>
      </c>
      <c r="AG206" s="909">
        <f t="shared" si="79"/>
        <v>0</v>
      </c>
      <c r="AH206" s="909">
        <f t="shared" si="79"/>
        <v>0</v>
      </c>
      <c r="AI206" s="909">
        <f t="shared" si="79"/>
        <v>0</v>
      </c>
    </row>
    <row r="207" spans="1:46">
      <c r="F207" s="904"/>
      <c r="G207" s="904"/>
      <c r="I207" s="906"/>
      <c r="J207" s="906"/>
      <c r="K207" s="906"/>
      <c r="L207" s="906"/>
      <c r="M207" s="906"/>
      <c r="N207" s="906"/>
      <c r="O207" s="906"/>
      <c r="P207" s="906"/>
      <c r="Q207" s="906"/>
      <c r="R207" s="906"/>
      <c r="S207" s="906"/>
      <c r="T207" s="906"/>
      <c r="U207" s="906"/>
      <c r="V207" s="957"/>
      <c r="W207" s="887"/>
      <c r="X207" s="909"/>
      <c r="Y207" s="906"/>
      <c r="Z207" s="906"/>
      <c r="AA207" s="909"/>
      <c r="AB207" s="909"/>
      <c r="AC207" s="909"/>
      <c r="AD207" s="909"/>
      <c r="AE207" s="909"/>
      <c r="AF207" s="909"/>
      <c r="AG207" s="909"/>
      <c r="AH207" s="909"/>
      <c r="AI207" s="909"/>
    </row>
    <row r="208" spans="1:46">
      <c r="F208" s="904"/>
      <c r="G208" s="904"/>
      <c r="I208" s="906"/>
      <c r="J208" s="906"/>
      <c r="K208" s="906"/>
      <c r="L208" s="906"/>
      <c r="M208" s="906"/>
      <c r="N208" s="906"/>
      <c r="O208" s="906"/>
      <c r="P208" s="906"/>
      <c r="Q208" s="906"/>
      <c r="R208" s="906"/>
      <c r="S208" s="906"/>
      <c r="T208" s="906"/>
      <c r="U208" s="906"/>
      <c r="V208" s="957"/>
      <c r="W208" s="889"/>
      <c r="X208" s="909"/>
      <c r="Y208" s="906"/>
      <c r="Z208" s="906"/>
      <c r="AA208" s="909"/>
      <c r="AB208" s="909"/>
      <c r="AC208" s="909"/>
      <c r="AD208" s="909"/>
      <c r="AE208" s="909"/>
      <c r="AF208" s="909"/>
      <c r="AG208" s="909"/>
      <c r="AH208" s="909"/>
      <c r="AI208" s="909"/>
    </row>
    <row r="209" spans="1:46" s="921" customFormat="1" ht="13.5" thickBot="1">
      <c r="A209" s="941"/>
      <c r="B209" s="926" t="s">
        <v>2231</v>
      </c>
      <c r="C209" s="926"/>
      <c r="D209" s="926"/>
      <c r="E209" s="927"/>
      <c r="F209" s="928"/>
      <c r="G209" s="928"/>
      <c r="H209" s="926"/>
      <c r="I209" s="929">
        <f>+I198+I204</f>
        <v>648855.99</v>
      </c>
      <c r="J209" s="929">
        <f t="shared" ref="J209:T209" si="80">+J198+J204</f>
        <v>652367.36499999987</v>
      </c>
      <c r="K209" s="929">
        <f t="shared" si="80"/>
        <v>642517.04500000004</v>
      </c>
      <c r="L209" s="929">
        <f t="shared" si="80"/>
        <v>676554.75000000023</v>
      </c>
      <c r="M209" s="929">
        <f t="shared" si="80"/>
        <v>680762.48999999976</v>
      </c>
      <c r="N209" s="929">
        <f t="shared" si="80"/>
        <v>690770.40000000049</v>
      </c>
      <c r="O209" s="929">
        <f t="shared" si="80"/>
        <v>695132.40999999992</v>
      </c>
      <c r="P209" s="929">
        <f t="shared" si="80"/>
        <v>686951.43</v>
      </c>
      <c r="Q209" s="929">
        <f t="shared" si="80"/>
        <v>685345.50999999989</v>
      </c>
      <c r="R209" s="929">
        <f t="shared" si="80"/>
        <v>695388.90000000026</v>
      </c>
      <c r="S209" s="929">
        <f t="shared" si="80"/>
        <v>707532.37999999977</v>
      </c>
      <c r="T209" s="929">
        <f t="shared" si="80"/>
        <v>686861.77000000072</v>
      </c>
      <c r="U209" s="929"/>
      <c r="V209" s="1024">
        <f>V204+V198</f>
        <v>8149521.7599999951</v>
      </c>
      <c r="W209" s="942"/>
      <c r="X209" s="909"/>
      <c r="Y209" s="906"/>
      <c r="Z209" s="906"/>
      <c r="AA209" s="909"/>
      <c r="AB209" s="909"/>
      <c r="AC209" s="909"/>
      <c r="AD209" s="909"/>
      <c r="AE209" s="909"/>
      <c r="AF209" s="909"/>
      <c r="AG209" s="909"/>
      <c r="AH209" s="909"/>
      <c r="AI209" s="909"/>
      <c r="AM209" s="1144"/>
      <c r="AN209" s="1144"/>
      <c r="AO209" s="1144"/>
      <c r="AP209" s="1161">
        <f ca="1">AP204+AP198</f>
        <v>169266.17621603858</v>
      </c>
      <c r="AQ209" s="1144"/>
      <c r="AR209" s="884"/>
      <c r="AS209" s="1144"/>
      <c r="AT209" s="1161">
        <f ca="1">AT204+AT198</f>
        <v>8318787.9362160349</v>
      </c>
    </row>
    <row r="210" spans="1:46" s="921" customFormat="1">
      <c r="B210" s="881"/>
      <c r="C210" s="881"/>
      <c r="D210" s="881"/>
      <c r="E210" s="892"/>
      <c r="F210" s="904"/>
      <c r="G210" s="904"/>
      <c r="H210" s="935"/>
      <c r="I210" s="906"/>
      <c r="J210" s="906"/>
      <c r="K210" s="906"/>
      <c r="L210" s="906"/>
      <c r="M210" s="906"/>
      <c r="N210" s="906"/>
      <c r="O210" s="906"/>
      <c r="P210" s="906"/>
      <c r="Q210" s="906"/>
      <c r="R210" s="906"/>
      <c r="S210" s="906"/>
      <c r="T210" s="906"/>
      <c r="U210" s="906"/>
      <c r="V210" s="957"/>
      <c r="W210" s="943"/>
      <c r="X210" s="909"/>
      <c r="Y210" s="906"/>
      <c r="Z210" s="906"/>
      <c r="AA210" s="909"/>
      <c r="AB210" s="909"/>
      <c r="AC210" s="909"/>
      <c r="AD210" s="909"/>
      <c r="AE210" s="909"/>
      <c r="AF210" s="909"/>
      <c r="AG210" s="909"/>
      <c r="AH210" s="909"/>
      <c r="AI210" s="909"/>
      <c r="AM210" s="1144"/>
      <c r="AN210" s="1144"/>
      <c r="AO210" s="1144"/>
      <c r="AP210" s="1154"/>
      <c r="AQ210" s="1144"/>
      <c r="AR210" s="1144"/>
      <c r="AS210" s="1144"/>
      <c r="AT210" s="1159"/>
    </row>
    <row r="211" spans="1:46">
      <c r="F211" s="904"/>
      <c r="G211" s="904"/>
      <c r="I211" s="906"/>
      <c r="J211" s="906"/>
      <c r="K211" s="906"/>
      <c r="L211" s="906"/>
      <c r="M211" s="906"/>
      <c r="N211" s="906"/>
      <c r="O211" s="906"/>
      <c r="P211" s="906"/>
      <c r="Q211" s="906"/>
      <c r="R211" s="906"/>
      <c r="S211" s="906"/>
      <c r="T211" s="906"/>
      <c r="U211" s="906"/>
      <c r="V211" s="957"/>
      <c r="X211" s="909"/>
      <c r="Y211" s="906"/>
      <c r="Z211" s="906"/>
      <c r="AA211" s="909"/>
      <c r="AB211" s="909"/>
      <c r="AC211" s="909"/>
      <c r="AD211" s="909"/>
      <c r="AE211" s="909"/>
      <c r="AF211" s="909"/>
      <c r="AG211" s="909"/>
      <c r="AH211" s="909"/>
      <c r="AI211" s="909"/>
    </row>
    <row r="212" spans="1:46">
      <c r="B212" s="898" t="s">
        <v>2232</v>
      </c>
      <c r="C212" s="898"/>
      <c r="D212" s="898"/>
      <c r="F212" s="904"/>
      <c r="G212" s="904"/>
      <c r="H212" s="899"/>
      <c r="I212" s="906"/>
      <c r="J212" s="906"/>
      <c r="K212" s="906"/>
      <c r="L212" s="906"/>
      <c r="M212" s="906"/>
      <c r="N212" s="906"/>
      <c r="O212" s="906"/>
      <c r="P212" s="906"/>
      <c r="Q212" s="906"/>
      <c r="R212" s="906"/>
      <c r="S212" s="906"/>
      <c r="T212" s="906"/>
      <c r="U212" s="906"/>
      <c r="V212" s="957"/>
      <c r="W212" s="937"/>
      <c r="X212" s="909"/>
      <c r="Y212" s="906"/>
      <c r="Z212" s="906"/>
      <c r="AA212" s="909"/>
      <c r="AB212" s="909"/>
      <c r="AC212" s="909"/>
      <c r="AD212" s="909"/>
      <c r="AE212" s="909"/>
      <c r="AF212" s="909"/>
      <c r="AG212" s="909"/>
      <c r="AH212" s="909"/>
      <c r="AI212" s="909"/>
    </row>
    <row r="213" spans="1:46">
      <c r="B213" s="898"/>
      <c r="C213" s="898"/>
      <c r="D213" s="898"/>
      <c r="F213" s="904"/>
      <c r="G213" s="904"/>
      <c r="H213" s="899"/>
      <c r="I213" s="906"/>
      <c r="J213" s="906"/>
      <c r="K213" s="906"/>
      <c r="L213" s="906"/>
      <c r="M213" s="906"/>
      <c r="N213" s="906"/>
      <c r="O213" s="906"/>
      <c r="P213" s="906"/>
      <c r="Q213" s="906"/>
      <c r="R213" s="906"/>
      <c r="S213" s="906"/>
      <c r="T213" s="906"/>
      <c r="U213" s="906"/>
      <c r="V213" s="957"/>
      <c r="W213" s="937"/>
      <c r="X213" s="909"/>
      <c r="Y213" s="906"/>
      <c r="Z213" s="906"/>
      <c r="AA213" s="909"/>
      <c r="AB213" s="909"/>
      <c r="AC213" s="909"/>
      <c r="AD213" s="909"/>
      <c r="AE213" s="909"/>
      <c r="AF213" s="909"/>
      <c r="AG213" s="909"/>
      <c r="AH213" s="909"/>
      <c r="AI213" s="909"/>
    </row>
    <row r="214" spans="1:46">
      <c r="B214" s="918" t="s">
        <v>2233</v>
      </c>
      <c r="C214" s="889"/>
      <c r="D214" s="889"/>
      <c r="F214" s="904"/>
      <c r="G214" s="904"/>
      <c r="H214" s="944"/>
      <c r="I214" s="906"/>
      <c r="J214" s="906"/>
      <c r="K214" s="906"/>
      <c r="L214" s="906"/>
      <c r="M214" s="906"/>
      <c r="N214" s="906"/>
      <c r="O214" s="906"/>
      <c r="P214" s="906"/>
      <c r="Q214" s="906"/>
      <c r="R214" s="906"/>
      <c r="S214" s="906"/>
      <c r="T214" s="906"/>
      <c r="U214" s="906"/>
      <c r="V214" s="957"/>
      <c r="W214" s="945"/>
      <c r="X214" s="909"/>
      <c r="Y214" s="906"/>
      <c r="Z214" s="906"/>
      <c r="AA214" s="909"/>
      <c r="AB214" s="909"/>
      <c r="AC214" s="909"/>
      <c r="AD214" s="909"/>
      <c r="AE214" s="909"/>
      <c r="AF214" s="909"/>
      <c r="AG214" s="909"/>
      <c r="AH214" s="909"/>
      <c r="AI214" s="909"/>
    </row>
    <row r="215" spans="1:46">
      <c r="A215" s="884" t="str">
        <f t="shared" ref="A215:A254" si="81">$B$3&amp;"Rolloff"&amp;B215</f>
        <v>PIERCE UTCRolloffHAUL20-RO</v>
      </c>
      <c r="B215" s="889" t="s">
        <v>2234</v>
      </c>
      <c r="C215" s="889" t="s">
        <v>2235</v>
      </c>
      <c r="D215" s="889" t="s">
        <v>2236</v>
      </c>
      <c r="E215" s="883">
        <v>31000</v>
      </c>
      <c r="F215" s="904">
        <v>152</v>
      </c>
      <c r="G215" s="904">
        <v>152</v>
      </c>
      <c r="H215" s="904"/>
      <c r="I215" s="906">
        <v>9880</v>
      </c>
      <c r="J215" s="906">
        <v>13832</v>
      </c>
      <c r="K215" s="906">
        <v>8968</v>
      </c>
      <c r="L215" s="906">
        <v>11096</v>
      </c>
      <c r="M215" s="906">
        <v>12160</v>
      </c>
      <c r="N215" s="906">
        <v>12920</v>
      </c>
      <c r="O215" s="906">
        <v>12160</v>
      </c>
      <c r="P215" s="906">
        <v>12616</v>
      </c>
      <c r="Q215" s="906">
        <v>13832</v>
      </c>
      <c r="R215" s="906">
        <v>12920</v>
      </c>
      <c r="S215" s="906">
        <v>12312</v>
      </c>
      <c r="T215" s="906">
        <v>10032</v>
      </c>
      <c r="U215" s="906"/>
      <c r="V215" s="957">
        <f>SUM(I215:T215)</f>
        <v>142728</v>
      </c>
      <c r="W215" s="905"/>
      <c r="X215" s="909">
        <f t="shared" ref="X215:Z254" si="82">IFERROR(I215/$F215,0)</f>
        <v>65</v>
      </c>
      <c r="Y215" s="906">
        <f t="shared" si="82"/>
        <v>91</v>
      </c>
      <c r="Z215" s="906">
        <f t="shared" si="82"/>
        <v>59</v>
      </c>
      <c r="AA215" s="909">
        <f t="shared" ref="AA215:AI243" si="83">IFERROR(L215/$G215,0)</f>
        <v>73</v>
      </c>
      <c r="AB215" s="909">
        <f t="shared" si="83"/>
        <v>80</v>
      </c>
      <c r="AC215" s="909">
        <f t="shared" si="83"/>
        <v>85</v>
      </c>
      <c r="AD215" s="909">
        <f t="shared" si="83"/>
        <v>80</v>
      </c>
      <c r="AE215" s="909">
        <f t="shared" si="83"/>
        <v>83</v>
      </c>
      <c r="AF215" s="909">
        <f t="shared" si="83"/>
        <v>91</v>
      </c>
      <c r="AG215" s="909">
        <f t="shared" si="83"/>
        <v>85</v>
      </c>
      <c r="AH215" s="909">
        <f t="shared" si="83"/>
        <v>81</v>
      </c>
      <c r="AI215" s="909">
        <f t="shared" si="83"/>
        <v>66</v>
      </c>
      <c r="AJ215" s="907">
        <f t="shared" ref="AJ215:AJ254" si="84">AVERAGE(X215:AI215)</f>
        <v>78.25</v>
      </c>
      <c r="AN215" s="1140">
        <f t="shared" ref="AN215:AN254" ca="1" si="85">G215*$AR$2</f>
        <v>1.7629911747664833</v>
      </c>
      <c r="AP215" s="1154">
        <f t="shared" ref="AP215:AP254" ca="1" si="86">AJ215*AN215*12</f>
        <v>1655.4487131057276</v>
      </c>
      <c r="AR215" s="1140">
        <f t="shared" ref="AR215:AR254" ca="1" si="87">G215+AN215</f>
        <v>153.76299117476648</v>
      </c>
      <c r="AT215" s="1154">
        <f t="shared" ref="AT215:AT254" ca="1" si="88">V215+AP215</f>
        <v>144383.44871310572</v>
      </c>
    </row>
    <row r="216" spans="1:46">
      <c r="A216" s="884" t="str">
        <f t="shared" si="81"/>
        <v>PIERCE UTCRolloffHAUL30-RO</v>
      </c>
      <c r="B216" s="889" t="s">
        <v>2237</v>
      </c>
      <c r="C216" s="889" t="s">
        <v>2238</v>
      </c>
      <c r="D216" s="889" t="s">
        <v>2236</v>
      </c>
      <c r="E216" s="883">
        <v>31000</v>
      </c>
      <c r="F216" s="904">
        <v>159</v>
      </c>
      <c r="G216" s="904">
        <v>159</v>
      </c>
      <c r="H216" s="904"/>
      <c r="I216" s="906">
        <v>8109</v>
      </c>
      <c r="J216" s="906">
        <v>11289</v>
      </c>
      <c r="K216" s="906">
        <v>8427</v>
      </c>
      <c r="L216" s="906">
        <v>11130</v>
      </c>
      <c r="M216" s="906">
        <v>9540</v>
      </c>
      <c r="N216" s="906">
        <v>11448</v>
      </c>
      <c r="O216" s="906">
        <v>10971</v>
      </c>
      <c r="P216" s="906">
        <v>11766</v>
      </c>
      <c r="Q216" s="906">
        <v>12084</v>
      </c>
      <c r="R216" s="906">
        <v>12720</v>
      </c>
      <c r="S216" s="906">
        <v>12879</v>
      </c>
      <c r="T216" s="906">
        <v>9540</v>
      </c>
      <c r="U216" s="906"/>
      <c r="V216" s="957">
        <f t="shared" ref="V216:V254" si="89">SUM(I216:T216)</f>
        <v>129903</v>
      </c>
      <c r="W216" s="905"/>
      <c r="X216" s="909">
        <f t="shared" si="82"/>
        <v>51</v>
      </c>
      <c r="Y216" s="906">
        <f t="shared" si="82"/>
        <v>71</v>
      </c>
      <c r="Z216" s="906">
        <f t="shared" si="82"/>
        <v>53</v>
      </c>
      <c r="AA216" s="909">
        <f t="shared" si="83"/>
        <v>70</v>
      </c>
      <c r="AB216" s="909">
        <f t="shared" si="83"/>
        <v>60</v>
      </c>
      <c r="AC216" s="909">
        <f t="shared" si="83"/>
        <v>72</v>
      </c>
      <c r="AD216" s="909">
        <f t="shared" si="83"/>
        <v>69</v>
      </c>
      <c r="AE216" s="909">
        <f t="shared" si="83"/>
        <v>74</v>
      </c>
      <c r="AF216" s="909">
        <f t="shared" si="83"/>
        <v>76</v>
      </c>
      <c r="AG216" s="909">
        <f t="shared" si="83"/>
        <v>80</v>
      </c>
      <c r="AH216" s="909">
        <f t="shared" si="83"/>
        <v>81</v>
      </c>
      <c r="AI216" s="909">
        <f t="shared" si="83"/>
        <v>60</v>
      </c>
      <c r="AJ216" s="907">
        <f t="shared" si="84"/>
        <v>68.083333333333329</v>
      </c>
      <c r="AN216" s="1140">
        <f t="shared" ca="1" si="85"/>
        <v>1.8441815578149396</v>
      </c>
      <c r="AP216" s="1154">
        <f t="shared" ca="1" si="86"/>
        <v>1506.6963327348055</v>
      </c>
      <c r="AR216" s="1140">
        <f t="shared" ca="1" si="87"/>
        <v>160.84418155781495</v>
      </c>
      <c r="AT216" s="1154">
        <f t="shared" ca="1" si="88"/>
        <v>131409.69633273481</v>
      </c>
    </row>
    <row r="217" spans="1:46">
      <c r="A217" s="884" t="str">
        <f t="shared" si="81"/>
        <v>PIERCE UTCRolloffHAUL40-RO</v>
      </c>
      <c r="B217" s="889" t="s">
        <v>2239</v>
      </c>
      <c r="C217" s="889" t="s">
        <v>2240</v>
      </c>
      <c r="D217" s="889" t="s">
        <v>2236</v>
      </c>
      <c r="E217" s="883">
        <v>31000</v>
      </c>
      <c r="F217" s="904">
        <v>165</v>
      </c>
      <c r="G217" s="904">
        <v>165</v>
      </c>
      <c r="H217" s="904"/>
      <c r="I217" s="906">
        <v>20130</v>
      </c>
      <c r="J217" s="906">
        <v>23925</v>
      </c>
      <c r="K217" s="906">
        <v>20790</v>
      </c>
      <c r="L217" s="906">
        <v>28050</v>
      </c>
      <c r="M217" s="906">
        <v>27555</v>
      </c>
      <c r="N217" s="906">
        <v>28380</v>
      </c>
      <c r="O217" s="906">
        <v>26730</v>
      </c>
      <c r="P217" s="906">
        <v>29700</v>
      </c>
      <c r="Q217" s="906">
        <v>28380</v>
      </c>
      <c r="R217" s="906">
        <v>29370</v>
      </c>
      <c r="S217" s="906">
        <v>29535</v>
      </c>
      <c r="T217" s="906">
        <v>24585</v>
      </c>
      <c r="U217" s="906"/>
      <c r="V217" s="957">
        <f t="shared" si="89"/>
        <v>317130</v>
      </c>
      <c r="W217" s="905"/>
      <c r="X217" s="909">
        <f t="shared" si="82"/>
        <v>122</v>
      </c>
      <c r="Y217" s="906">
        <f t="shared" si="82"/>
        <v>145</v>
      </c>
      <c r="Z217" s="906">
        <f t="shared" si="82"/>
        <v>126</v>
      </c>
      <c r="AA217" s="909">
        <f t="shared" si="83"/>
        <v>170</v>
      </c>
      <c r="AB217" s="909">
        <f t="shared" si="83"/>
        <v>167</v>
      </c>
      <c r="AC217" s="909">
        <f t="shared" si="83"/>
        <v>172</v>
      </c>
      <c r="AD217" s="909">
        <f t="shared" si="83"/>
        <v>162</v>
      </c>
      <c r="AE217" s="909">
        <f t="shared" si="83"/>
        <v>180</v>
      </c>
      <c r="AF217" s="909">
        <f t="shared" si="83"/>
        <v>172</v>
      </c>
      <c r="AG217" s="909">
        <f t="shared" si="83"/>
        <v>178</v>
      </c>
      <c r="AH217" s="909">
        <f t="shared" si="83"/>
        <v>179</v>
      </c>
      <c r="AI217" s="909">
        <f t="shared" si="83"/>
        <v>149</v>
      </c>
      <c r="AJ217" s="907">
        <f t="shared" si="84"/>
        <v>160.16666666666666</v>
      </c>
      <c r="AN217" s="1140">
        <f t="shared" ca="1" si="85"/>
        <v>1.9137733147136167</v>
      </c>
      <c r="AP217" s="1154">
        <f t="shared" ca="1" si="86"/>
        <v>3678.2723108795713</v>
      </c>
      <c r="AR217" s="1140">
        <f t="shared" ca="1" si="87"/>
        <v>166.91377331471361</v>
      </c>
      <c r="AT217" s="1154">
        <f t="shared" ca="1" si="88"/>
        <v>320808.27231087955</v>
      </c>
    </row>
    <row r="218" spans="1:46">
      <c r="A218" s="884" t="str">
        <f t="shared" si="81"/>
        <v>PIERCE UTCRolloffHAUL20CUST-RO</v>
      </c>
      <c r="B218" s="889" t="s">
        <v>2241</v>
      </c>
      <c r="C218" s="889" t="str">
        <f>VLOOKUP($B218,'[45]RM Data'!$H:$I,2,FALSE)</f>
        <v>HAUL 20 YD CUST - RO</v>
      </c>
      <c r="D218" s="889"/>
      <c r="F218" s="904">
        <v>152</v>
      </c>
      <c r="G218" s="904">
        <v>152</v>
      </c>
      <c r="H218" s="904"/>
      <c r="I218" s="906">
        <v>304</v>
      </c>
      <c r="J218" s="906">
        <v>304</v>
      </c>
      <c r="K218" s="906">
        <v>304</v>
      </c>
      <c r="L218" s="906">
        <v>152</v>
      </c>
      <c r="M218" s="906">
        <v>456</v>
      </c>
      <c r="N218" s="906">
        <v>456</v>
      </c>
      <c r="O218" s="906">
        <v>456</v>
      </c>
      <c r="P218" s="906">
        <v>304</v>
      </c>
      <c r="Q218" s="906">
        <v>608</v>
      </c>
      <c r="R218" s="906">
        <v>456</v>
      </c>
      <c r="S218" s="906">
        <v>608</v>
      </c>
      <c r="T218" s="906">
        <v>760</v>
      </c>
      <c r="U218" s="906"/>
      <c r="V218" s="957">
        <f t="shared" si="89"/>
        <v>5168</v>
      </c>
      <c r="W218" s="905"/>
      <c r="X218" s="909">
        <f t="shared" si="82"/>
        <v>2</v>
      </c>
      <c r="Y218" s="906">
        <f t="shared" si="82"/>
        <v>2</v>
      </c>
      <c r="Z218" s="906">
        <f t="shared" si="82"/>
        <v>2</v>
      </c>
      <c r="AA218" s="909">
        <f t="shared" si="83"/>
        <v>1</v>
      </c>
      <c r="AB218" s="909">
        <f t="shared" si="83"/>
        <v>3</v>
      </c>
      <c r="AC218" s="909">
        <f t="shared" si="83"/>
        <v>3</v>
      </c>
      <c r="AD218" s="909">
        <f t="shared" si="83"/>
        <v>3</v>
      </c>
      <c r="AE218" s="909">
        <f t="shared" si="83"/>
        <v>2</v>
      </c>
      <c r="AF218" s="909">
        <f t="shared" si="83"/>
        <v>4</v>
      </c>
      <c r="AG218" s="909">
        <f t="shared" si="83"/>
        <v>3</v>
      </c>
      <c r="AH218" s="909">
        <f t="shared" si="83"/>
        <v>4</v>
      </c>
      <c r="AI218" s="909">
        <f t="shared" si="83"/>
        <v>5</v>
      </c>
      <c r="AJ218" s="907">
        <f t="shared" si="84"/>
        <v>2.8333333333333335</v>
      </c>
      <c r="AN218" s="1140">
        <f t="shared" ca="1" si="85"/>
        <v>1.7629911747664833</v>
      </c>
      <c r="AP218" s="1154">
        <f t="shared" ca="1" si="86"/>
        <v>59.941699942060431</v>
      </c>
      <c r="AR218" s="1140">
        <f t="shared" ca="1" si="87"/>
        <v>153.76299117476648</v>
      </c>
      <c r="AT218" s="1154">
        <f t="shared" ca="1" si="88"/>
        <v>5227.94169994206</v>
      </c>
    </row>
    <row r="219" spans="1:46">
      <c r="A219" s="884" t="str">
        <f t="shared" si="81"/>
        <v>PIERCE UTCRolloffFINAL20-RO</v>
      </c>
      <c r="B219" s="889" t="s">
        <v>2242</v>
      </c>
      <c r="C219" s="889" t="s">
        <v>2243</v>
      </c>
      <c r="D219" s="889" t="s">
        <v>2236</v>
      </c>
      <c r="E219" s="883">
        <v>31000</v>
      </c>
      <c r="F219" s="904">
        <v>152</v>
      </c>
      <c r="G219" s="904">
        <v>152</v>
      </c>
      <c r="H219" s="904"/>
      <c r="I219" s="906">
        <v>152</v>
      </c>
      <c r="J219" s="906">
        <v>456</v>
      </c>
      <c r="K219" s="906">
        <v>152</v>
      </c>
      <c r="L219" s="906">
        <v>152</v>
      </c>
      <c r="M219" s="906">
        <v>304</v>
      </c>
      <c r="N219" s="906">
        <v>152</v>
      </c>
      <c r="O219" s="906">
        <v>152</v>
      </c>
      <c r="P219" s="906">
        <v>152</v>
      </c>
      <c r="Q219" s="906">
        <v>760</v>
      </c>
      <c r="R219" s="906">
        <v>1064</v>
      </c>
      <c r="S219" s="906">
        <v>304</v>
      </c>
      <c r="T219" s="906">
        <v>152</v>
      </c>
      <c r="U219" s="906"/>
      <c r="V219" s="957">
        <f t="shared" si="89"/>
        <v>3952</v>
      </c>
      <c r="W219" s="905"/>
      <c r="X219" s="909">
        <f t="shared" si="82"/>
        <v>1</v>
      </c>
      <c r="Y219" s="906">
        <f t="shared" si="82"/>
        <v>3</v>
      </c>
      <c r="Z219" s="906">
        <f t="shared" si="82"/>
        <v>1</v>
      </c>
      <c r="AA219" s="909">
        <f t="shared" si="83"/>
        <v>1</v>
      </c>
      <c r="AB219" s="909">
        <f t="shared" si="83"/>
        <v>2</v>
      </c>
      <c r="AC219" s="909">
        <f t="shared" si="83"/>
        <v>1</v>
      </c>
      <c r="AD219" s="909">
        <f t="shared" si="83"/>
        <v>1</v>
      </c>
      <c r="AE219" s="909">
        <f t="shared" si="83"/>
        <v>1</v>
      </c>
      <c r="AF219" s="909">
        <f t="shared" si="83"/>
        <v>5</v>
      </c>
      <c r="AG219" s="909">
        <f t="shared" si="83"/>
        <v>7</v>
      </c>
      <c r="AH219" s="909">
        <f t="shared" si="83"/>
        <v>2</v>
      </c>
      <c r="AI219" s="909">
        <f t="shared" si="83"/>
        <v>1</v>
      </c>
      <c r="AJ219" s="907">
        <f t="shared" si="84"/>
        <v>2.1666666666666665</v>
      </c>
      <c r="AN219" s="1140">
        <f t="shared" ca="1" si="85"/>
        <v>1.7629911747664833</v>
      </c>
      <c r="AP219" s="1154">
        <f t="shared" ca="1" si="86"/>
        <v>45.837770543928563</v>
      </c>
      <c r="AR219" s="1140">
        <f t="shared" ca="1" si="87"/>
        <v>153.76299117476648</v>
      </c>
      <c r="AT219" s="1154">
        <f t="shared" ca="1" si="88"/>
        <v>3997.8377705439284</v>
      </c>
    </row>
    <row r="220" spans="1:46">
      <c r="A220" s="884" t="str">
        <f t="shared" si="81"/>
        <v>PIERCE UTCRolloffFINAL30-RO</v>
      </c>
      <c r="B220" s="889" t="s">
        <v>2244</v>
      </c>
      <c r="C220" s="889" t="s">
        <v>2245</v>
      </c>
      <c r="D220" s="889" t="s">
        <v>2236</v>
      </c>
      <c r="E220" s="883">
        <v>31000</v>
      </c>
      <c r="F220" s="904">
        <v>159</v>
      </c>
      <c r="G220" s="904">
        <v>159</v>
      </c>
      <c r="H220" s="904"/>
      <c r="I220" s="906">
        <v>159</v>
      </c>
      <c r="J220" s="906">
        <v>318</v>
      </c>
      <c r="K220" s="906">
        <v>159</v>
      </c>
      <c r="L220" s="906">
        <v>477</v>
      </c>
      <c r="M220" s="906">
        <v>0</v>
      </c>
      <c r="N220" s="906">
        <v>0</v>
      </c>
      <c r="O220" s="906">
        <v>0</v>
      </c>
      <c r="P220" s="906">
        <v>0</v>
      </c>
      <c r="Q220" s="906">
        <v>318</v>
      </c>
      <c r="R220" s="906">
        <v>318</v>
      </c>
      <c r="S220" s="906">
        <v>318</v>
      </c>
      <c r="T220" s="906">
        <v>159</v>
      </c>
      <c r="U220" s="906"/>
      <c r="V220" s="957">
        <f t="shared" si="89"/>
        <v>2226</v>
      </c>
      <c r="W220" s="905"/>
      <c r="X220" s="909">
        <f t="shared" si="82"/>
        <v>1</v>
      </c>
      <c r="Y220" s="906">
        <f t="shared" si="82"/>
        <v>2</v>
      </c>
      <c r="Z220" s="906">
        <f t="shared" si="82"/>
        <v>1</v>
      </c>
      <c r="AA220" s="909">
        <f t="shared" si="83"/>
        <v>3</v>
      </c>
      <c r="AB220" s="909">
        <f t="shared" si="83"/>
        <v>0</v>
      </c>
      <c r="AC220" s="909">
        <f t="shared" si="83"/>
        <v>0</v>
      </c>
      <c r="AD220" s="909">
        <f t="shared" si="83"/>
        <v>0</v>
      </c>
      <c r="AE220" s="909">
        <f t="shared" si="83"/>
        <v>0</v>
      </c>
      <c r="AF220" s="909">
        <f t="shared" si="83"/>
        <v>2</v>
      </c>
      <c r="AG220" s="909">
        <f t="shared" si="83"/>
        <v>2</v>
      </c>
      <c r="AH220" s="909">
        <f t="shared" si="83"/>
        <v>2</v>
      </c>
      <c r="AI220" s="909">
        <f t="shared" si="83"/>
        <v>1</v>
      </c>
      <c r="AJ220" s="907">
        <f t="shared" si="84"/>
        <v>1.1666666666666667</v>
      </c>
      <c r="AN220" s="1140">
        <f t="shared" ca="1" si="85"/>
        <v>1.8441815578149396</v>
      </c>
      <c r="AP220" s="1154">
        <f t="shared" ca="1" si="86"/>
        <v>25.818541809409155</v>
      </c>
      <c r="AR220" s="1140">
        <f t="shared" ca="1" si="87"/>
        <v>160.84418155781495</v>
      </c>
      <c r="AT220" s="1154">
        <f t="shared" ca="1" si="88"/>
        <v>2251.818541809409</v>
      </c>
    </row>
    <row r="221" spans="1:46">
      <c r="A221" s="884" t="str">
        <f t="shared" si="81"/>
        <v>PIERCE UTCRolloffFINAL40-RO</v>
      </c>
      <c r="B221" s="889" t="s">
        <v>2246</v>
      </c>
      <c r="C221" s="889" t="s">
        <v>2247</v>
      </c>
      <c r="D221" s="889" t="s">
        <v>2236</v>
      </c>
      <c r="E221" s="883">
        <v>31000</v>
      </c>
      <c r="F221" s="904">
        <v>165</v>
      </c>
      <c r="G221" s="904">
        <v>165</v>
      </c>
      <c r="H221" s="904"/>
      <c r="I221" s="906">
        <v>0</v>
      </c>
      <c r="J221" s="906">
        <v>165</v>
      </c>
      <c r="K221" s="906">
        <v>165</v>
      </c>
      <c r="L221" s="906">
        <v>165</v>
      </c>
      <c r="M221" s="906">
        <v>165</v>
      </c>
      <c r="N221" s="906">
        <v>165</v>
      </c>
      <c r="O221" s="906">
        <v>165</v>
      </c>
      <c r="P221" s="906">
        <v>0</v>
      </c>
      <c r="Q221" s="906">
        <v>330</v>
      </c>
      <c r="R221" s="906">
        <v>0</v>
      </c>
      <c r="S221" s="906">
        <v>495</v>
      </c>
      <c r="T221" s="906">
        <v>330</v>
      </c>
      <c r="U221" s="906"/>
      <c r="V221" s="957">
        <f t="shared" si="89"/>
        <v>2145</v>
      </c>
      <c r="W221" s="905"/>
      <c r="X221" s="909">
        <f t="shared" si="82"/>
        <v>0</v>
      </c>
      <c r="Y221" s="906">
        <f t="shared" si="82"/>
        <v>1</v>
      </c>
      <c r="Z221" s="906">
        <f t="shared" si="82"/>
        <v>1</v>
      </c>
      <c r="AA221" s="909">
        <f t="shared" si="83"/>
        <v>1</v>
      </c>
      <c r="AB221" s="909">
        <f t="shared" si="83"/>
        <v>1</v>
      </c>
      <c r="AC221" s="909">
        <f t="shared" si="83"/>
        <v>1</v>
      </c>
      <c r="AD221" s="909">
        <f t="shared" si="83"/>
        <v>1</v>
      </c>
      <c r="AE221" s="909">
        <f t="shared" si="83"/>
        <v>0</v>
      </c>
      <c r="AF221" s="909">
        <f t="shared" si="83"/>
        <v>2</v>
      </c>
      <c r="AG221" s="909">
        <f t="shared" si="83"/>
        <v>0</v>
      </c>
      <c r="AH221" s="909">
        <f t="shared" si="83"/>
        <v>3</v>
      </c>
      <c r="AI221" s="909">
        <f t="shared" si="83"/>
        <v>2</v>
      </c>
      <c r="AJ221" s="907">
        <f t="shared" si="84"/>
        <v>1.0833333333333333</v>
      </c>
      <c r="AN221" s="1140">
        <f t="shared" ca="1" si="85"/>
        <v>1.9137733147136167</v>
      </c>
      <c r="AP221" s="1154">
        <f t="shared" ca="1" si="86"/>
        <v>24.879053091277015</v>
      </c>
      <c r="AR221" s="1140">
        <f t="shared" ca="1" si="87"/>
        <v>166.91377331471361</v>
      </c>
      <c r="AT221" s="1154">
        <f t="shared" ca="1" si="88"/>
        <v>2169.879053091277</v>
      </c>
    </row>
    <row r="222" spans="1:46" ht="11.25" customHeight="1">
      <c r="A222" s="884" t="str">
        <f t="shared" si="81"/>
        <v>PIERCE UTCRolloffHAUL10-CP</v>
      </c>
      <c r="B222" s="889" t="s">
        <v>2248</v>
      </c>
      <c r="C222" s="889" t="s">
        <v>2249</v>
      </c>
      <c r="D222" s="889"/>
      <c r="F222" s="904">
        <v>159</v>
      </c>
      <c r="G222" s="904">
        <v>159</v>
      </c>
      <c r="H222" s="904"/>
      <c r="I222" s="906">
        <v>318</v>
      </c>
      <c r="J222" s="906">
        <v>318</v>
      </c>
      <c r="K222" s="906">
        <v>159</v>
      </c>
      <c r="L222" s="906">
        <v>318</v>
      </c>
      <c r="M222" s="906">
        <v>159</v>
      </c>
      <c r="N222" s="906">
        <v>159</v>
      </c>
      <c r="O222" s="906">
        <v>318</v>
      </c>
      <c r="P222" s="906">
        <v>477</v>
      </c>
      <c r="Q222" s="906">
        <v>159</v>
      </c>
      <c r="R222" s="906">
        <v>318</v>
      </c>
      <c r="S222" s="906">
        <v>318</v>
      </c>
      <c r="T222" s="906">
        <v>477</v>
      </c>
      <c r="U222" s="906"/>
      <c r="V222" s="957">
        <f t="shared" si="89"/>
        <v>3498</v>
      </c>
      <c r="W222" s="905"/>
      <c r="X222" s="909">
        <f t="shared" si="82"/>
        <v>2</v>
      </c>
      <c r="Y222" s="906">
        <f t="shared" si="82"/>
        <v>2</v>
      </c>
      <c r="Z222" s="906">
        <f t="shared" si="82"/>
        <v>1</v>
      </c>
      <c r="AA222" s="909">
        <f t="shared" si="83"/>
        <v>2</v>
      </c>
      <c r="AB222" s="909">
        <f t="shared" si="83"/>
        <v>1</v>
      </c>
      <c r="AC222" s="909">
        <f t="shared" si="83"/>
        <v>1</v>
      </c>
      <c r="AD222" s="909">
        <f t="shared" si="83"/>
        <v>2</v>
      </c>
      <c r="AE222" s="909">
        <f t="shared" si="83"/>
        <v>3</v>
      </c>
      <c r="AF222" s="909">
        <f t="shared" si="83"/>
        <v>1</v>
      </c>
      <c r="AG222" s="909">
        <f t="shared" si="83"/>
        <v>2</v>
      </c>
      <c r="AH222" s="909">
        <f t="shared" si="83"/>
        <v>2</v>
      </c>
      <c r="AI222" s="909">
        <f t="shared" si="83"/>
        <v>3</v>
      </c>
      <c r="AJ222" s="907">
        <f t="shared" si="84"/>
        <v>1.8333333333333333</v>
      </c>
      <c r="AN222" s="1140">
        <f t="shared" ca="1" si="85"/>
        <v>1.8441815578149396</v>
      </c>
      <c r="AP222" s="1154">
        <f t="shared" ca="1" si="86"/>
        <v>40.571994271928666</v>
      </c>
      <c r="AR222" s="1140">
        <f t="shared" ca="1" si="87"/>
        <v>160.84418155781495</v>
      </c>
      <c r="AT222" s="1154">
        <f t="shared" ca="1" si="88"/>
        <v>3538.5719942719288</v>
      </c>
    </row>
    <row r="223" spans="1:46">
      <c r="A223" s="884" t="str">
        <f t="shared" si="81"/>
        <v>PIERCE UTCRolloffHAUL20-CP</v>
      </c>
      <c r="B223" s="889" t="s">
        <v>2250</v>
      </c>
      <c r="C223" s="889" t="s">
        <v>2251</v>
      </c>
      <c r="D223" s="889" t="s">
        <v>2236</v>
      </c>
      <c r="E223" s="883">
        <v>31000</v>
      </c>
      <c r="F223" s="904">
        <v>179</v>
      </c>
      <c r="G223" s="904">
        <v>179</v>
      </c>
      <c r="H223" s="904"/>
      <c r="I223" s="906">
        <v>5549</v>
      </c>
      <c r="J223" s="906">
        <v>5549</v>
      </c>
      <c r="K223" s="906">
        <v>5549</v>
      </c>
      <c r="L223" s="906">
        <v>6086</v>
      </c>
      <c r="M223" s="906">
        <v>5370</v>
      </c>
      <c r="N223" s="906">
        <v>5728</v>
      </c>
      <c r="O223" s="906">
        <v>5728</v>
      </c>
      <c r="P223" s="906">
        <v>5191</v>
      </c>
      <c r="Q223" s="906">
        <v>5549</v>
      </c>
      <c r="R223" s="906">
        <v>4833</v>
      </c>
      <c r="S223" s="906">
        <v>6086</v>
      </c>
      <c r="T223" s="906">
        <v>5907</v>
      </c>
      <c r="U223" s="906"/>
      <c r="V223" s="957">
        <f t="shared" si="89"/>
        <v>67125</v>
      </c>
      <c r="W223" s="905"/>
      <c r="X223" s="909">
        <f t="shared" si="82"/>
        <v>31</v>
      </c>
      <c r="Y223" s="906">
        <f t="shared" si="82"/>
        <v>31</v>
      </c>
      <c r="Z223" s="906">
        <f t="shared" si="82"/>
        <v>31</v>
      </c>
      <c r="AA223" s="909">
        <f t="shared" si="83"/>
        <v>34</v>
      </c>
      <c r="AB223" s="909">
        <f t="shared" si="83"/>
        <v>30</v>
      </c>
      <c r="AC223" s="909">
        <f t="shared" si="83"/>
        <v>32</v>
      </c>
      <c r="AD223" s="909">
        <f t="shared" si="83"/>
        <v>32</v>
      </c>
      <c r="AE223" s="909">
        <f t="shared" si="83"/>
        <v>29</v>
      </c>
      <c r="AF223" s="909">
        <f t="shared" si="83"/>
        <v>31</v>
      </c>
      <c r="AG223" s="909">
        <f t="shared" si="83"/>
        <v>27</v>
      </c>
      <c r="AH223" s="909">
        <f t="shared" si="83"/>
        <v>34</v>
      </c>
      <c r="AI223" s="909">
        <f t="shared" si="83"/>
        <v>33</v>
      </c>
      <c r="AJ223" s="907">
        <f t="shared" si="84"/>
        <v>31.25</v>
      </c>
      <c r="AN223" s="1140">
        <f t="shared" ca="1" si="85"/>
        <v>2.0761540808105297</v>
      </c>
      <c r="AP223" s="1154">
        <f t="shared" ca="1" si="86"/>
        <v>778.55778030394868</v>
      </c>
      <c r="AR223" s="1140">
        <f t="shared" ca="1" si="87"/>
        <v>181.07615408081054</v>
      </c>
      <c r="AT223" s="1154">
        <f t="shared" ca="1" si="88"/>
        <v>67903.557780303949</v>
      </c>
    </row>
    <row r="224" spans="1:46">
      <c r="A224" s="884" t="str">
        <f t="shared" si="81"/>
        <v>PIERCE UTCRolloffHAUL25-CP</v>
      </c>
      <c r="B224" s="889" t="s">
        <v>2252</v>
      </c>
      <c r="C224" s="889" t="s">
        <v>2253</v>
      </c>
      <c r="D224" s="889" t="s">
        <v>2236</v>
      </c>
      <c r="E224" s="883">
        <v>31000</v>
      </c>
      <c r="F224" s="904">
        <v>198.5</v>
      </c>
      <c r="G224" s="904">
        <v>198.5</v>
      </c>
      <c r="H224" s="904"/>
      <c r="I224" s="906">
        <v>9319</v>
      </c>
      <c r="J224" s="906">
        <v>9925</v>
      </c>
      <c r="K224" s="906">
        <v>8535.5</v>
      </c>
      <c r="L224" s="906">
        <v>8932.5</v>
      </c>
      <c r="M224" s="906">
        <v>10520.5</v>
      </c>
      <c r="N224" s="906">
        <v>9925</v>
      </c>
      <c r="O224" s="906">
        <v>8734</v>
      </c>
      <c r="P224" s="906">
        <v>10322</v>
      </c>
      <c r="Q224" s="906">
        <v>9925</v>
      </c>
      <c r="R224" s="906">
        <v>10322</v>
      </c>
      <c r="S224" s="906">
        <v>10520.5</v>
      </c>
      <c r="T224" s="906">
        <v>10123.5</v>
      </c>
      <c r="U224" s="906"/>
      <c r="V224" s="957">
        <f t="shared" si="89"/>
        <v>117104.5</v>
      </c>
      <c r="W224" s="905"/>
      <c r="X224" s="909">
        <f t="shared" si="82"/>
        <v>46.947103274559197</v>
      </c>
      <c r="Y224" s="906">
        <f t="shared" si="82"/>
        <v>50</v>
      </c>
      <c r="Z224" s="906">
        <f t="shared" si="82"/>
        <v>43</v>
      </c>
      <c r="AA224" s="909">
        <f t="shared" si="83"/>
        <v>45</v>
      </c>
      <c r="AB224" s="909">
        <f t="shared" si="83"/>
        <v>53</v>
      </c>
      <c r="AC224" s="909">
        <f t="shared" si="83"/>
        <v>50</v>
      </c>
      <c r="AD224" s="909">
        <f t="shared" si="83"/>
        <v>44</v>
      </c>
      <c r="AE224" s="909">
        <f t="shared" si="83"/>
        <v>52</v>
      </c>
      <c r="AF224" s="909">
        <f t="shared" si="83"/>
        <v>50</v>
      </c>
      <c r="AG224" s="909">
        <f t="shared" si="83"/>
        <v>52</v>
      </c>
      <c r="AH224" s="909">
        <f t="shared" si="83"/>
        <v>53</v>
      </c>
      <c r="AI224" s="909">
        <f t="shared" si="83"/>
        <v>51</v>
      </c>
      <c r="AJ224" s="907">
        <f t="shared" si="84"/>
        <v>49.162258606213264</v>
      </c>
      <c r="AN224" s="1140">
        <f t="shared" ca="1" si="85"/>
        <v>2.3023272907312298</v>
      </c>
      <c r="AP224" s="1154">
        <f t="shared" ca="1" si="86"/>
        <v>1358.251315956853</v>
      </c>
      <c r="AR224" s="1140">
        <f t="shared" ca="1" si="87"/>
        <v>200.80232729073123</v>
      </c>
      <c r="AT224" s="1154">
        <f t="shared" ca="1" si="88"/>
        <v>118462.75131595685</v>
      </c>
    </row>
    <row r="225" spans="1:46">
      <c r="A225" s="884" t="str">
        <f t="shared" si="81"/>
        <v>PIERCE UTCRolloffHAUL30-CP</v>
      </c>
      <c r="B225" s="889" t="s">
        <v>2254</v>
      </c>
      <c r="C225" s="889" t="s">
        <v>2255</v>
      </c>
      <c r="D225" s="889" t="s">
        <v>2236</v>
      </c>
      <c r="E225" s="883">
        <v>31000</v>
      </c>
      <c r="F225" s="904">
        <v>218.5</v>
      </c>
      <c r="G225" s="904">
        <v>218.5</v>
      </c>
      <c r="H225" s="904"/>
      <c r="I225" s="906">
        <v>13110</v>
      </c>
      <c r="J225" s="906">
        <v>14202.5</v>
      </c>
      <c r="K225" s="906">
        <v>12891.5</v>
      </c>
      <c r="L225" s="906">
        <v>12454.5</v>
      </c>
      <c r="M225" s="906">
        <v>13110</v>
      </c>
      <c r="N225" s="906">
        <v>14421</v>
      </c>
      <c r="O225" s="906">
        <v>13328.5</v>
      </c>
      <c r="P225" s="906">
        <v>12017.5</v>
      </c>
      <c r="Q225" s="906">
        <v>12673</v>
      </c>
      <c r="R225" s="906">
        <v>13110</v>
      </c>
      <c r="S225" s="906">
        <v>15513.5</v>
      </c>
      <c r="T225" s="906">
        <v>12673</v>
      </c>
      <c r="U225" s="906"/>
      <c r="V225" s="957">
        <f t="shared" si="89"/>
        <v>159505</v>
      </c>
      <c r="W225" s="905"/>
      <c r="X225" s="909">
        <f t="shared" si="82"/>
        <v>60</v>
      </c>
      <c r="Y225" s="906">
        <f t="shared" si="82"/>
        <v>65</v>
      </c>
      <c r="Z225" s="906">
        <f t="shared" si="82"/>
        <v>59</v>
      </c>
      <c r="AA225" s="909">
        <f t="shared" si="83"/>
        <v>57</v>
      </c>
      <c r="AB225" s="909">
        <f t="shared" si="83"/>
        <v>60</v>
      </c>
      <c r="AC225" s="909">
        <f t="shared" si="83"/>
        <v>66</v>
      </c>
      <c r="AD225" s="909">
        <f t="shared" si="83"/>
        <v>61</v>
      </c>
      <c r="AE225" s="909">
        <f t="shared" si="83"/>
        <v>55</v>
      </c>
      <c r="AF225" s="909">
        <f t="shared" si="83"/>
        <v>58</v>
      </c>
      <c r="AG225" s="909">
        <f t="shared" si="83"/>
        <v>60</v>
      </c>
      <c r="AH225" s="909">
        <f t="shared" si="83"/>
        <v>71</v>
      </c>
      <c r="AI225" s="909">
        <f t="shared" si="83"/>
        <v>58</v>
      </c>
      <c r="AJ225" s="907">
        <f t="shared" si="84"/>
        <v>60.833333333333336</v>
      </c>
      <c r="AN225" s="1140">
        <f t="shared" ca="1" si="85"/>
        <v>2.5342998137268196</v>
      </c>
      <c r="AP225" s="1154">
        <f t="shared" ca="1" si="86"/>
        <v>1850.0388640205783</v>
      </c>
      <c r="AR225" s="1140">
        <f t="shared" ca="1" si="87"/>
        <v>221.03429981372682</v>
      </c>
      <c r="AT225" s="1154">
        <f t="shared" ca="1" si="88"/>
        <v>161355.03886402058</v>
      </c>
    </row>
    <row r="226" spans="1:46">
      <c r="A226" s="884" t="str">
        <f t="shared" si="81"/>
        <v>PIERCE UTCRolloffHAUL40-CP</v>
      </c>
      <c r="B226" s="889" t="s">
        <v>2256</v>
      </c>
      <c r="C226" s="889" t="s">
        <v>2257</v>
      </c>
      <c r="D226" s="889" t="s">
        <v>2236</v>
      </c>
      <c r="E226" s="883">
        <v>31000</v>
      </c>
      <c r="F226" s="904">
        <v>238</v>
      </c>
      <c r="G226" s="904">
        <v>238</v>
      </c>
      <c r="H226" s="904"/>
      <c r="I226" s="906">
        <v>2856</v>
      </c>
      <c r="J226" s="906">
        <v>2856</v>
      </c>
      <c r="K226" s="906">
        <v>2380</v>
      </c>
      <c r="L226" s="906">
        <v>2380</v>
      </c>
      <c r="M226" s="906">
        <v>2856</v>
      </c>
      <c r="N226" s="906">
        <v>3570</v>
      </c>
      <c r="O226" s="906">
        <v>2618</v>
      </c>
      <c r="P226" s="906">
        <v>2618</v>
      </c>
      <c r="Q226" s="906">
        <v>3808</v>
      </c>
      <c r="R226" s="906">
        <v>4522</v>
      </c>
      <c r="S226" s="906">
        <v>5474</v>
      </c>
      <c r="T226" s="906">
        <v>4760</v>
      </c>
      <c r="U226" s="906"/>
      <c r="V226" s="957">
        <f t="shared" si="89"/>
        <v>40698</v>
      </c>
      <c r="W226" s="905"/>
      <c r="X226" s="909">
        <f t="shared" si="82"/>
        <v>12</v>
      </c>
      <c r="Y226" s="906">
        <f t="shared" si="82"/>
        <v>12</v>
      </c>
      <c r="Z226" s="906">
        <f t="shared" si="82"/>
        <v>10</v>
      </c>
      <c r="AA226" s="909">
        <f t="shared" si="83"/>
        <v>10</v>
      </c>
      <c r="AB226" s="909">
        <f t="shared" si="83"/>
        <v>12</v>
      </c>
      <c r="AC226" s="909">
        <f t="shared" si="83"/>
        <v>15</v>
      </c>
      <c r="AD226" s="909">
        <f t="shared" si="83"/>
        <v>11</v>
      </c>
      <c r="AE226" s="909">
        <f t="shared" si="83"/>
        <v>11</v>
      </c>
      <c r="AF226" s="909">
        <f t="shared" si="83"/>
        <v>16</v>
      </c>
      <c r="AG226" s="909">
        <f t="shared" si="83"/>
        <v>19</v>
      </c>
      <c r="AH226" s="909">
        <f t="shared" si="83"/>
        <v>23</v>
      </c>
      <c r="AI226" s="909">
        <f t="shared" si="83"/>
        <v>20</v>
      </c>
      <c r="AJ226" s="907">
        <f t="shared" si="84"/>
        <v>14.25</v>
      </c>
      <c r="AN226" s="1140">
        <f t="shared" ca="1" si="85"/>
        <v>2.7604730236475197</v>
      </c>
      <c r="AP226" s="1154">
        <f t="shared" ca="1" si="86"/>
        <v>472.04088704372589</v>
      </c>
      <c r="AR226" s="1140">
        <f t="shared" ca="1" si="87"/>
        <v>240.76047302364751</v>
      </c>
      <c r="AT226" s="1154">
        <f t="shared" ca="1" si="88"/>
        <v>41170.040887043724</v>
      </c>
    </row>
    <row r="227" spans="1:46">
      <c r="A227" s="884" t="str">
        <f t="shared" si="81"/>
        <v>PIERCE UTCRolloffDEL20TEMP-RO</v>
      </c>
      <c r="B227" s="889" t="s">
        <v>2258</v>
      </c>
      <c r="C227" s="889" t="s">
        <v>2259</v>
      </c>
      <c r="D227" s="889" t="s">
        <v>2260</v>
      </c>
      <c r="E227" s="883">
        <v>31001</v>
      </c>
      <c r="F227" s="904">
        <v>106</v>
      </c>
      <c r="G227" s="904">
        <v>106</v>
      </c>
      <c r="H227" s="904"/>
      <c r="I227" s="906">
        <v>742</v>
      </c>
      <c r="J227" s="906">
        <v>1908</v>
      </c>
      <c r="K227" s="906">
        <v>1166</v>
      </c>
      <c r="L227" s="906">
        <v>2014</v>
      </c>
      <c r="M227" s="906">
        <v>2756</v>
      </c>
      <c r="N227" s="906">
        <v>3498</v>
      </c>
      <c r="O227" s="906">
        <v>2756</v>
      </c>
      <c r="P227" s="906">
        <v>2120</v>
      </c>
      <c r="Q227" s="906">
        <v>3604</v>
      </c>
      <c r="R227" s="906">
        <v>1908</v>
      </c>
      <c r="S227" s="906">
        <v>2226</v>
      </c>
      <c r="T227" s="906">
        <v>1484</v>
      </c>
      <c r="U227" s="906"/>
      <c r="V227" s="957">
        <f t="shared" si="89"/>
        <v>26182</v>
      </c>
      <c r="W227" s="905"/>
      <c r="X227" s="909">
        <f t="shared" si="82"/>
        <v>7</v>
      </c>
      <c r="Y227" s="906">
        <f t="shared" si="82"/>
        <v>18</v>
      </c>
      <c r="Z227" s="906">
        <f t="shared" si="82"/>
        <v>11</v>
      </c>
      <c r="AA227" s="909">
        <f t="shared" si="83"/>
        <v>19</v>
      </c>
      <c r="AB227" s="909">
        <f t="shared" si="83"/>
        <v>26</v>
      </c>
      <c r="AC227" s="909">
        <f t="shared" si="83"/>
        <v>33</v>
      </c>
      <c r="AD227" s="909">
        <f t="shared" si="83"/>
        <v>26</v>
      </c>
      <c r="AE227" s="909">
        <f t="shared" si="83"/>
        <v>20</v>
      </c>
      <c r="AF227" s="909">
        <f t="shared" si="83"/>
        <v>34</v>
      </c>
      <c r="AG227" s="909">
        <f t="shared" si="83"/>
        <v>18</v>
      </c>
      <c r="AH227" s="909">
        <f t="shared" si="83"/>
        <v>21</v>
      </c>
      <c r="AI227" s="909">
        <f t="shared" si="83"/>
        <v>14</v>
      </c>
      <c r="AJ227" s="907">
        <f t="shared" si="84"/>
        <v>20.583333333333332</v>
      </c>
      <c r="AN227" s="1140">
        <f t="shared" ca="1" si="85"/>
        <v>1.2294543718766264</v>
      </c>
      <c r="AP227" s="1154">
        <f t="shared" ca="1" si="86"/>
        <v>303.67522985352673</v>
      </c>
      <c r="AR227" s="1140">
        <f t="shared" ca="1" si="87"/>
        <v>107.22945437187663</v>
      </c>
      <c r="AT227" s="1154">
        <f t="shared" ca="1" si="88"/>
        <v>26485.675229853528</v>
      </c>
    </row>
    <row r="228" spans="1:46">
      <c r="A228" s="884" t="str">
        <f t="shared" si="81"/>
        <v>PIERCE UTCRolloffDEL30TEMP-RO</v>
      </c>
      <c r="B228" s="889" t="s">
        <v>2261</v>
      </c>
      <c r="C228" s="889" t="s">
        <v>2262</v>
      </c>
      <c r="D228" s="889" t="s">
        <v>2260</v>
      </c>
      <c r="E228" s="883">
        <v>31001</v>
      </c>
      <c r="F228" s="904">
        <v>106</v>
      </c>
      <c r="G228" s="904">
        <v>106</v>
      </c>
      <c r="H228" s="904"/>
      <c r="I228" s="906">
        <v>742</v>
      </c>
      <c r="J228" s="906">
        <v>2025.82</v>
      </c>
      <c r="K228" s="906">
        <v>424</v>
      </c>
      <c r="L228" s="906">
        <v>1166</v>
      </c>
      <c r="M228" s="906">
        <v>1484</v>
      </c>
      <c r="N228" s="906">
        <v>3286</v>
      </c>
      <c r="O228" s="906">
        <v>1908</v>
      </c>
      <c r="P228" s="906">
        <v>2438</v>
      </c>
      <c r="Q228" s="906">
        <v>2014</v>
      </c>
      <c r="R228" s="906">
        <v>2014</v>
      </c>
      <c r="S228" s="906">
        <v>742</v>
      </c>
      <c r="T228" s="906">
        <v>1060</v>
      </c>
      <c r="U228" s="906"/>
      <c r="V228" s="957">
        <f t="shared" si="89"/>
        <v>19303.82</v>
      </c>
      <c r="W228" s="905"/>
      <c r="X228" s="909">
        <f t="shared" si="82"/>
        <v>7</v>
      </c>
      <c r="Y228" s="906">
        <f t="shared" si="82"/>
        <v>19.111509433962265</v>
      </c>
      <c r="Z228" s="906">
        <f t="shared" si="82"/>
        <v>4</v>
      </c>
      <c r="AA228" s="909">
        <f t="shared" si="83"/>
        <v>11</v>
      </c>
      <c r="AB228" s="909">
        <f t="shared" si="83"/>
        <v>14</v>
      </c>
      <c r="AC228" s="909">
        <f t="shared" si="83"/>
        <v>31</v>
      </c>
      <c r="AD228" s="909">
        <f t="shared" si="83"/>
        <v>18</v>
      </c>
      <c r="AE228" s="909">
        <f t="shared" si="83"/>
        <v>23</v>
      </c>
      <c r="AF228" s="909">
        <f t="shared" si="83"/>
        <v>19</v>
      </c>
      <c r="AG228" s="909">
        <f t="shared" si="83"/>
        <v>19</v>
      </c>
      <c r="AH228" s="909">
        <f t="shared" si="83"/>
        <v>7</v>
      </c>
      <c r="AI228" s="909">
        <f t="shared" si="83"/>
        <v>10</v>
      </c>
      <c r="AJ228" s="907">
        <f t="shared" si="84"/>
        <v>15.175959119496857</v>
      </c>
      <c r="AN228" s="1140">
        <f t="shared" ca="1" si="85"/>
        <v>1.2294543718766264</v>
      </c>
      <c r="AP228" s="1154">
        <f t="shared" ca="1" si="86"/>
        <v>223.89779144263645</v>
      </c>
      <c r="AR228" s="1140">
        <f t="shared" ca="1" si="87"/>
        <v>107.22945437187663</v>
      </c>
      <c r="AT228" s="1154">
        <f t="shared" ca="1" si="88"/>
        <v>19527.717791442636</v>
      </c>
    </row>
    <row r="229" spans="1:46">
      <c r="A229" s="884" t="str">
        <f t="shared" si="81"/>
        <v>PIERCE UTCRolloffDEL40TEMP-RO</v>
      </c>
      <c r="B229" s="889" t="s">
        <v>2263</v>
      </c>
      <c r="C229" s="889" t="s">
        <v>2264</v>
      </c>
      <c r="D229" s="889" t="s">
        <v>2260</v>
      </c>
      <c r="E229" s="883">
        <v>31001</v>
      </c>
      <c r="F229" s="904">
        <v>106</v>
      </c>
      <c r="G229" s="904">
        <v>106</v>
      </c>
      <c r="H229" s="904"/>
      <c r="I229" s="906">
        <v>424</v>
      </c>
      <c r="J229" s="906">
        <v>1166</v>
      </c>
      <c r="K229" s="906">
        <v>742</v>
      </c>
      <c r="L229" s="906">
        <v>2120</v>
      </c>
      <c r="M229" s="906">
        <v>1166</v>
      </c>
      <c r="N229" s="906">
        <v>1696</v>
      </c>
      <c r="O229" s="906">
        <v>1272</v>
      </c>
      <c r="P229" s="906">
        <v>848</v>
      </c>
      <c r="Q229" s="906">
        <v>1590</v>
      </c>
      <c r="R229" s="906">
        <v>993.32</v>
      </c>
      <c r="S229" s="906">
        <v>2014</v>
      </c>
      <c r="T229" s="906">
        <v>1590</v>
      </c>
      <c r="U229" s="906"/>
      <c r="V229" s="957">
        <f t="shared" si="89"/>
        <v>15621.32</v>
      </c>
      <c r="W229" s="905"/>
      <c r="X229" s="909">
        <f t="shared" si="82"/>
        <v>4</v>
      </c>
      <c r="Y229" s="906">
        <f t="shared" si="82"/>
        <v>11</v>
      </c>
      <c r="Z229" s="906">
        <f t="shared" si="82"/>
        <v>7</v>
      </c>
      <c r="AA229" s="909">
        <f t="shared" si="83"/>
        <v>20</v>
      </c>
      <c r="AB229" s="909">
        <f t="shared" si="83"/>
        <v>11</v>
      </c>
      <c r="AC229" s="909">
        <f t="shared" si="83"/>
        <v>16</v>
      </c>
      <c r="AD229" s="909">
        <f t="shared" si="83"/>
        <v>12</v>
      </c>
      <c r="AE229" s="909">
        <f t="shared" si="83"/>
        <v>8</v>
      </c>
      <c r="AF229" s="909">
        <f t="shared" si="83"/>
        <v>15</v>
      </c>
      <c r="AG229" s="909">
        <f t="shared" si="83"/>
        <v>9.3709433962264157</v>
      </c>
      <c r="AH229" s="909">
        <f t="shared" si="83"/>
        <v>19</v>
      </c>
      <c r="AI229" s="909">
        <f t="shared" si="83"/>
        <v>15</v>
      </c>
      <c r="AJ229" s="907">
        <f t="shared" si="84"/>
        <v>12.280911949685533</v>
      </c>
      <c r="AN229" s="1140">
        <f t="shared" ca="1" si="85"/>
        <v>1.2294543718766264</v>
      </c>
      <c r="AP229" s="1154">
        <f t="shared" ca="1" si="86"/>
        <v>181.18585064607339</v>
      </c>
      <c r="AR229" s="1140">
        <f t="shared" ca="1" si="87"/>
        <v>107.22945437187663</v>
      </c>
      <c r="AT229" s="1154">
        <f t="shared" ca="1" si="88"/>
        <v>15802.505850646074</v>
      </c>
    </row>
    <row r="230" spans="1:46">
      <c r="A230" s="884" t="str">
        <f t="shared" si="81"/>
        <v>PIERCE UTCRolloffFINAL20TEMP-RO</v>
      </c>
      <c r="B230" s="889" t="s">
        <v>2265</v>
      </c>
      <c r="C230" s="889" t="s">
        <v>2266</v>
      </c>
      <c r="D230" s="889" t="s">
        <v>2260</v>
      </c>
      <c r="E230" s="883">
        <v>31001</v>
      </c>
      <c r="F230" s="904">
        <v>165.5</v>
      </c>
      <c r="G230" s="904">
        <v>165.5</v>
      </c>
      <c r="H230" s="904"/>
      <c r="I230" s="906">
        <v>1324</v>
      </c>
      <c r="J230" s="906">
        <v>2482.5</v>
      </c>
      <c r="K230" s="906">
        <v>1324</v>
      </c>
      <c r="L230" s="906">
        <v>3144.5</v>
      </c>
      <c r="M230" s="906">
        <v>3144.5</v>
      </c>
      <c r="N230" s="906">
        <v>5465.07</v>
      </c>
      <c r="O230" s="906">
        <v>3310</v>
      </c>
      <c r="P230" s="906">
        <v>3144.5</v>
      </c>
      <c r="Q230" s="906">
        <v>4634</v>
      </c>
      <c r="R230" s="906">
        <v>3310</v>
      </c>
      <c r="S230" s="906">
        <v>2979</v>
      </c>
      <c r="T230" s="906">
        <v>3144.5</v>
      </c>
      <c r="U230" s="906"/>
      <c r="V230" s="957">
        <f t="shared" si="89"/>
        <v>37406.57</v>
      </c>
      <c r="W230" s="905"/>
      <c r="X230" s="909">
        <f t="shared" si="82"/>
        <v>8</v>
      </c>
      <c r="Y230" s="906">
        <f t="shared" si="82"/>
        <v>15</v>
      </c>
      <c r="Z230" s="906">
        <f t="shared" si="82"/>
        <v>8</v>
      </c>
      <c r="AA230" s="909">
        <f t="shared" si="83"/>
        <v>19</v>
      </c>
      <c r="AB230" s="909">
        <f t="shared" si="83"/>
        <v>19</v>
      </c>
      <c r="AC230" s="909">
        <f t="shared" si="83"/>
        <v>33.021570996978852</v>
      </c>
      <c r="AD230" s="909">
        <f t="shared" si="83"/>
        <v>20</v>
      </c>
      <c r="AE230" s="909">
        <f t="shared" si="83"/>
        <v>19</v>
      </c>
      <c r="AF230" s="909">
        <f t="shared" si="83"/>
        <v>28</v>
      </c>
      <c r="AG230" s="909">
        <f t="shared" si="83"/>
        <v>20</v>
      </c>
      <c r="AH230" s="909">
        <f t="shared" si="83"/>
        <v>18</v>
      </c>
      <c r="AI230" s="909">
        <f t="shared" si="83"/>
        <v>19</v>
      </c>
      <c r="AJ230" s="907">
        <f t="shared" si="84"/>
        <v>18.835130916414904</v>
      </c>
      <c r="AN230" s="1140">
        <f t="shared" ca="1" si="85"/>
        <v>1.9195726277885063</v>
      </c>
      <c r="AP230" s="1154">
        <f t="shared" ca="1" si="86"/>
        <v>433.86482097555717</v>
      </c>
      <c r="AR230" s="1140">
        <f t="shared" ca="1" si="87"/>
        <v>167.41957262778851</v>
      </c>
      <c r="AT230" s="1154">
        <f t="shared" ca="1" si="88"/>
        <v>37840.434820975555</v>
      </c>
    </row>
    <row r="231" spans="1:46">
      <c r="A231" s="884" t="str">
        <f t="shared" si="81"/>
        <v>PIERCE UTCRolloffFINAL30TEMP-RO</v>
      </c>
      <c r="B231" s="889" t="s">
        <v>2267</v>
      </c>
      <c r="C231" s="889" t="s">
        <v>2268</v>
      </c>
      <c r="D231" s="889" t="s">
        <v>2260</v>
      </c>
      <c r="E231" s="883">
        <v>31001</v>
      </c>
      <c r="F231" s="904">
        <v>172</v>
      </c>
      <c r="G231" s="904">
        <v>172</v>
      </c>
      <c r="H231" s="904"/>
      <c r="I231" s="906">
        <v>1204</v>
      </c>
      <c r="J231" s="906">
        <v>2924</v>
      </c>
      <c r="K231" s="906">
        <v>344</v>
      </c>
      <c r="L231" s="906">
        <v>1204</v>
      </c>
      <c r="M231" s="906">
        <v>3268</v>
      </c>
      <c r="N231" s="906">
        <v>3612</v>
      </c>
      <c r="O231" s="906">
        <v>3612</v>
      </c>
      <c r="P231" s="906">
        <v>2924</v>
      </c>
      <c r="Q231" s="906">
        <v>3268</v>
      </c>
      <c r="R231" s="906">
        <v>3612</v>
      </c>
      <c r="S231" s="906">
        <v>2064</v>
      </c>
      <c r="T231" s="906">
        <v>860</v>
      </c>
      <c r="U231" s="906"/>
      <c r="V231" s="957">
        <f t="shared" si="89"/>
        <v>28896</v>
      </c>
      <c r="W231" s="905"/>
      <c r="X231" s="909">
        <f t="shared" si="82"/>
        <v>7</v>
      </c>
      <c r="Y231" s="906">
        <f t="shared" si="82"/>
        <v>17</v>
      </c>
      <c r="Z231" s="906">
        <f t="shared" si="82"/>
        <v>2</v>
      </c>
      <c r="AA231" s="909">
        <f t="shared" si="83"/>
        <v>7</v>
      </c>
      <c r="AB231" s="909">
        <f t="shared" si="83"/>
        <v>19</v>
      </c>
      <c r="AC231" s="909">
        <f t="shared" si="83"/>
        <v>21</v>
      </c>
      <c r="AD231" s="909">
        <f t="shared" si="83"/>
        <v>21</v>
      </c>
      <c r="AE231" s="909">
        <f t="shared" si="83"/>
        <v>17</v>
      </c>
      <c r="AF231" s="909">
        <f t="shared" si="83"/>
        <v>19</v>
      </c>
      <c r="AG231" s="909">
        <f t="shared" si="83"/>
        <v>21</v>
      </c>
      <c r="AH231" s="909">
        <f t="shared" si="83"/>
        <v>12</v>
      </c>
      <c r="AI231" s="909">
        <f t="shared" si="83"/>
        <v>5</v>
      </c>
      <c r="AJ231" s="907">
        <f t="shared" si="84"/>
        <v>14</v>
      </c>
      <c r="AN231" s="1140">
        <f t="shared" ca="1" si="85"/>
        <v>1.9949636977620733</v>
      </c>
      <c r="AP231" s="1154">
        <f t="shared" ca="1" si="86"/>
        <v>335.15390122402829</v>
      </c>
      <c r="AR231" s="1140">
        <f t="shared" ca="1" si="87"/>
        <v>173.99496369776207</v>
      </c>
      <c r="AT231" s="1154">
        <f t="shared" ca="1" si="88"/>
        <v>29231.153901224028</v>
      </c>
    </row>
    <row r="232" spans="1:46">
      <c r="A232" s="884" t="str">
        <f t="shared" si="81"/>
        <v>PIERCE UTCRolloffFINAL40TEMP-RO</v>
      </c>
      <c r="B232" s="889" t="s">
        <v>2269</v>
      </c>
      <c r="C232" s="889" t="s">
        <v>2270</v>
      </c>
      <c r="D232" s="889" t="s">
        <v>2260</v>
      </c>
      <c r="E232" s="883">
        <v>31001</v>
      </c>
      <c r="F232" s="904">
        <v>178.5</v>
      </c>
      <c r="G232" s="904">
        <v>178.5</v>
      </c>
      <c r="H232" s="904"/>
      <c r="I232" s="906">
        <v>1071</v>
      </c>
      <c r="J232" s="906">
        <v>892.5</v>
      </c>
      <c r="K232" s="906">
        <v>892.5</v>
      </c>
      <c r="L232" s="906">
        <v>2320.5</v>
      </c>
      <c r="M232" s="906">
        <v>1606.5</v>
      </c>
      <c r="N232" s="906">
        <v>2142</v>
      </c>
      <c r="O232" s="906">
        <v>2499</v>
      </c>
      <c r="P232" s="906">
        <v>714</v>
      </c>
      <c r="Q232" s="906">
        <v>1249.5</v>
      </c>
      <c r="R232" s="906">
        <v>2320.5</v>
      </c>
      <c r="S232" s="906">
        <v>892.5</v>
      </c>
      <c r="T232" s="906">
        <v>2320.5</v>
      </c>
      <c r="U232" s="906"/>
      <c r="V232" s="957">
        <f t="shared" si="89"/>
        <v>18921</v>
      </c>
      <c r="W232" s="905"/>
      <c r="X232" s="909">
        <f t="shared" si="82"/>
        <v>6</v>
      </c>
      <c r="Y232" s="906">
        <f t="shared" si="82"/>
        <v>5</v>
      </c>
      <c r="Z232" s="906">
        <f t="shared" si="82"/>
        <v>5</v>
      </c>
      <c r="AA232" s="909">
        <f t="shared" si="83"/>
        <v>13</v>
      </c>
      <c r="AB232" s="909">
        <f t="shared" si="83"/>
        <v>9</v>
      </c>
      <c r="AC232" s="909">
        <f t="shared" si="83"/>
        <v>12</v>
      </c>
      <c r="AD232" s="909">
        <f t="shared" si="83"/>
        <v>14</v>
      </c>
      <c r="AE232" s="909">
        <f t="shared" si="83"/>
        <v>4</v>
      </c>
      <c r="AF232" s="909">
        <f t="shared" si="83"/>
        <v>7</v>
      </c>
      <c r="AG232" s="909">
        <f t="shared" si="83"/>
        <v>13</v>
      </c>
      <c r="AH232" s="909">
        <f t="shared" si="83"/>
        <v>5</v>
      </c>
      <c r="AI232" s="909">
        <f t="shared" si="83"/>
        <v>13</v>
      </c>
      <c r="AJ232" s="907">
        <f t="shared" si="84"/>
        <v>8.8333333333333339</v>
      </c>
      <c r="AN232" s="1140">
        <f t="shared" ca="1" si="85"/>
        <v>2.07035476773564</v>
      </c>
      <c r="AP232" s="1154">
        <f t="shared" ca="1" si="86"/>
        <v>219.45760537997785</v>
      </c>
      <c r="AR232" s="1140">
        <f t="shared" ca="1" si="87"/>
        <v>180.57035476773564</v>
      </c>
      <c r="AT232" s="1154">
        <f t="shared" ca="1" si="88"/>
        <v>19140.457605379979</v>
      </c>
    </row>
    <row r="233" spans="1:46">
      <c r="A233" s="884" t="str">
        <f t="shared" si="81"/>
        <v>PIERCE UTCRolloffHAUL20TEMP-RO</v>
      </c>
      <c r="B233" s="889" t="s">
        <v>2271</v>
      </c>
      <c r="C233" s="889" t="s">
        <v>2272</v>
      </c>
      <c r="D233" s="889" t="s">
        <v>2260</v>
      </c>
      <c r="E233" s="883">
        <v>31001</v>
      </c>
      <c r="F233" s="904">
        <v>165.5</v>
      </c>
      <c r="G233" s="904">
        <v>165.5</v>
      </c>
      <c r="H233" s="904"/>
      <c r="I233" s="906">
        <v>662</v>
      </c>
      <c r="J233" s="906">
        <v>1158.5</v>
      </c>
      <c r="K233" s="906">
        <v>827.5</v>
      </c>
      <c r="L233" s="906">
        <v>165.5</v>
      </c>
      <c r="M233" s="906">
        <v>1489.5</v>
      </c>
      <c r="N233" s="906">
        <v>1820.5</v>
      </c>
      <c r="O233" s="906">
        <v>2648</v>
      </c>
      <c r="P233" s="906">
        <v>2151.5</v>
      </c>
      <c r="Q233" s="906">
        <v>827.5</v>
      </c>
      <c r="R233" s="906">
        <v>331</v>
      </c>
      <c r="S233" s="906">
        <v>331</v>
      </c>
      <c r="T233" s="906">
        <v>165.5</v>
      </c>
      <c r="U233" s="906"/>
      <c r="V233" s="957">
        <f t="shared" si="89"/>
        <v>12578</v>
      </c>
      <c r="W233" s="905"/>
      <c r="X233" s="909">
        <f t="shared" si="82"/>
        <v>4</v>
      </c>
      <c r="Y233" s="906">
        <f t="shared" si="82"/>
        <v>7</v>
      </c>
      <c r="Z233" s="906">
        <f t="shared" si="82"/>
        <v>5</v>
      </c>
      <c r="AA233" s="909">
        <f t="shared" si="83"/>
        <v>1</v>
      </c>
      <c r="AB233" s="909">
        <f t="shared" si="83"/>
        <v>9</v>
      </c>
      <c r="AC233" s="909">
        <f t="shared" si="83"/>
        <v>11</v>
      </c>
      <c r="AD233" s="909">
        <f t="shared" si="83"/>
        <v>16</v>
      </c>
      <c r="AE233" s="909">
        <f t="shared" si="83"/>
        <v>13</v>
      </c>
      <c r="AF233" s="909">
        <f t="shared" si="83"/>
        <v>5</v>
      </c>
      <c r="AG233" s="909">
        <f t="shared" si="83"/>
        <v>2</v>
      </c>
      <c r="AH233" s="909">
        <f t="shared" si="83"/>
        <v>2</v>
      </c>
      <c r="AI233" s="909">
        <f t="shared" si="83"/>
        <v>1</v>
      </c>
      <c r="AJ233" s="907">
        <f t="shared" si="84"/>
        <v>6.333333333333333</v>
      </c>
      <c r="AN233" s="1140">
        <f t="shared" ca="1" si="85"/>
        <v>1.9195726277885063</v>
      </c>
      <c r="AP233" s="1154">
        <f t="shared" ca="1" si="86"/>
        <v>145.88751971192647</v>
      </c>
      <c r="AR233" s="1140">
        <f t="shared" ca="1" si="87"/>
        <v>167.41957262778851</v>
      </c>
      <c r="AT233" s="1154">
        <f t="shared" ca="1" si="88"/>
        <v>12723.887519711927</v>
      </c>
    </row>
    <row r="234" spans="1:46">
      <c r="A234" s="884" t="str">
        <f t="shared" si="81"/>
        <v>PIERCE UTCRolloffHAUL30TEMP-RO</v>
      </c>
      <c r="B234" s="889" t="s">
        <v>2273</v>
      </c>
      <c r="C234" s="889" t="s">
        <v>2274</v>
      </c>
      <c r="D234" s="889" t="s">
        <v>2260</v>
      </c>
      <c r="E234" s="883">
        <v>31001</v>
      </c>
      <c r="F234" s="904">
        <v>172</v>
      </c>
      <c r="G234" s="904">
        <v>172</v>
      </c>
      <c r="H234" s="904"/>
      <c r="I234" s="906">
        <v>860</v>
      </c>
      <c r="J234" s="906">
        <v>2236</v>
      </c>
      <c r="K234" s="906">
        <v>860</v>
      </c>
      <c r="L234" s="906">
        <v>1892</v>
      </c>
      <c r="M234" s="906">
        <v>2408</v>
      </c>
      <c r="N234" s="906">
        <v>1376</v>
      </c>
      <c r="O234" s="906">
        <v>1720</v>
      </c>
      <c r="P234" s="906">
        <v>4988</v>
      </c>
      <c r="Q234" s="906">
        <v>3440</v>
      </c>
      <c r="R234" s="906">
        <v>1548</v>
      </c>
      <c r="S234" s="906">
        <v>688</v>
      </c>
      <c r="T234" s="906">
        <v>860</v>
      </c>
      <c r="U234" s="906"/>
      <c r="V234" s="957">
        <f t="shared" si="89"/>
        <v>22876</v>
      </c>
      <c r="W234" s="905"/>
      <c r="X234" s="909">
        <f t="shared" si="82"/>
        <v>5</v>
      </c>
      <c r="Y234" s="906">
        <f t="shared" si="82"/>
        <v>13</v>
      </c>
      <c r="Z234" s="906">
        <f t="shared" si="82"/>
        <v>5</v>
      </c>
      <c r="AA234" s="909">
        <f t="shared" si="83"/>
        <v>11</v>
      </c>
      <c r="AB234" s="909">
        <f t="shared" si="83"/>
        <v>14</v>
      </c>
      <c r="AC234" s="909">
        <f t="shared" si="83"/>
        <v>8</v>
      </c>
      <c r="AD234" s="909">
        <f t="shared" si="83"/>
        <v>10</v>
      </c>
      <c r="AE234" s="909">
        <f t="shared" si="83"/>
        <v>29</v>
      </c>
      <c r="AF234" s="909">
        <f t="shared" si="83"/>
        <v>20</v>
      </c>
      <c r="AG234" s="909">
        <f t="shared" si="83"/>
        <v>9</v>
      </c>
      <c r="AH234" s="909">
        <f t="shared" si="83"/>
        <v>4</v>
      </c>
      <c r="AI234" s="909">
        <f t="shared" si="83"/>
        <v>5</v>
      </c>
      <c r="AJ234" s="907">
        <f t="shared" si="84"/>
        <v>11.083333333333334</v>
      </c>
      <c r="AN234" s="1140">
        <f t="shared" ca="1" si="85"/>
        <v>1.9949636977620733</v>
      </c>
      <c r="AP234" s="1154">
        <f t="shared" ca="1" si="86"/>
        <v>265.33017180235572</v>
      </c>
      <c r="AR234" s="1140">
        <f t="shared" ca="1" si="87"/>
        <v>173.99496369776207</v>
      </c>
      <c r="AT234" s="1154">
        <f t="shared" ca="1" si="88"/>
        <v>23141.330171802354</v>
      </c>
    </row>
    <row r="235" spans="1:46">
      <c r="A235" s="884" t="str">
        <f t="shared" si="81"/>
        <v>PIERCE UTCRolloffHAUL40TEMP-RO</v>
      </c>
      <c r="B235" s="889" t="s">
        <v>2275</v>
      </c>
      <c r="C235" s="889" t="s">
        <v>2276</v>
      </c>
      <c r="D235" s="889" t="s">
        <v>2260</v>
      </c>
      <c r="E235" s="883">
        <v>31001</v>
      </c>
      <c r="F235" s="904">
        <v>178.5</v>
      </c>
      <c r="G235" s="904">
        <v>178.5</v>
      </c>
      <c r="H235" s="904"/>
      <c r="I235" s="906">
        <v>2320.5</v>
      </c>
      <c r="J235" s="906">
        <v>2856</v>
      </c>
      <c r="K235" s="906">
        <v>2499</v>
      </c>
      <c r="L235" s="906">
        <v>2499</v>
      </c>
      <c r="M235" s="906">
        <v>1114.1199999999999</v>
      </c>
      <c r="N235" s="906">
        <v>1249.5</v>
      </c>
      <c r="O235" s="906">
        <v>2320.5</v>
      </c>
      <c r="P235" s="906">
        <v>714</v>
      </c>
      <c r="Q235" s="906">
        <v>1071</v>
      </c>
      <c r="R235" s="906">
        <v>831.76</v>
      </c>
      <c r="S235" s="906">
        <v>1606.5</v>
      </c>
      <c r="T235" s="906">
        <v>535.5</v>
      </c>
      <c r="U235" s="906"/>
      <c r="V235" s="957">
        <f t="shared" si="89"/>
        <v>19617.379999999997</v>
      </c>
      <c r="W235" s="905"/>
      <c r="X235" s="909">
        <f t="shared" si="82"/>
        <v>13</v>
      </c>
      <c r="Y235" s="906">
        <f t="shared" si="82"/>
        <v>16</v>
      </c>
      <c r="Z235" s="906">
        <f t="shared" si="82"/>
        <v>14</v>
      </c>
      <c r="AA235" s="909">
        <f t="shared" si="83"/>
        <v>14</v>
      </c>
      <c r="AB235" s="909">
        <f t="shared" si="83"/>
        <v>6.2415686274509801</v>
      </c>
      <c r="AC235" s="909">
        <f t="shared" si="83"/>
        <v>7</v>
      </c>
      <c r="AD235" s="909">
        <f t="shared" si="83"/>
        <v>13</v>
      </c>
      <c r="AE235" s="909">
        <f t="shared" si="83"/>
        <v>4</v>
      </c>
      <c r="AF235" s="909">
        <f t="shared" si="83"/>
        <v>6</v>
      </c>
      <c r="AG235" s="909">
        <f t="shared" si="83"/>
        <v>4.6597198879551822</v>
      </c>
      <c r="AH235" s="909">
        <f t="shared" si="83"/>
        <v>9</v>
      </c>
      <c r="AI235" s="909">
        <f t="shared" si="83"/>
        <v>3</v>
      </c>
      <c r="AJ235" s="907">
        <f t="shared" si="84"/>
        <v>9.1584407096171798</v>
      </c>
      <c r="AN235" s="1140">
        <f t="shared" ca="1" si="85"/>
        <v>2.07035476773564</v>
      </c>
      <c r="AP235" s="1154">
        <f t="shared" ca="1" si="86"/>
        <v>227.53465665816128</v>
      </c>
      <c r="AR235" s="1140">
        <f t="shared" ca="1" si="87"/>
        <v>180.57035476773564</v>
      </c>
      <c r="AT235" s="1154">
        <f t="shared" ca="1" si="88"/>
        <v>19844.914656658158</v>
      </c>
    </row>
    <row r="236" spans="1:46">
      <c r="A236" s="884" t="str">
        <f t="shared" si="81"/>
        <v>PIERCE UTCRolloffRENT20MO-RO</v>
      </c>
      <c r="B236" s="889" t="s">
        <v>2277</v>
      </c>
      <c r="C236" s="889" t="s">
        <v>2278</v>
      </c>
      <c r="D236" s="889" t="s">
        <v>2279</v>
      </c>
      <c r="E236" s="883">
        <v>31002</v>
      </c>
      <c r="F236" s="904">
        <v>59.5</v>
      </c>
      <c r="G236" s="904">
        <v>59.5</v>
      </c>
      <c r="H236" s="904"/>
      <c r="I236" s="906">
        <v>2880.95</v>
      </c>
      <c r="J236" s="906">
        <v>2915.5</v>
      </c>
      <c r="K236" s="906">
        <v>2992</v>
      </c>
      <c r="L236" s="906">
        <v>2868.48</v>
      </c>
      <c r="M236" s="906">
        <v>2727.08</v>
      </c>
      <c r="N236" s="906">
        <v>2677.5</v>
      </c>
      <c r="O236" s="906">
        <v>2854.01</v>
      </c>
      <c r="P236" s="906">
        <v>3103.6</v>
      </c>
      <c r="Q236" s="906">
        <v>3299.38</v>
      </c>
      <c r="R236" s="906">
        <v>3256.63</v>
      </c>
      <c r="S236" s="906">
        <v>3161.19</v>
      </c>
      <c r="T236" s="906">
        <v>3072.19</v>
      </c>
      <c r="U236" s="906"/>
      <c r="V236" s="957">
        <f t="shared" si="89"/>
        <v>35808.51</v>
      </c>
      <c r="W236" s="905"/>
      <c r="X236" s="909">
        <f t="shared" si="82"/>
        <v>48.419327731092437</v>
      </c>
      <c r="Y236" s="906">
        <f t="shared" si="82"/>
        <v>49</v>
      </c>
      <c r="Z236" s="906">
        <f t="shared" si="82"/>
        <v>50.285714285714285</v>
      </c>
      <c r="AA236" s="909">
        <f t="shared" si="83"/>
        <v>48.209747899159666</v>
      </c>
      <c r="AB236" s="909">
        <f t="shared" si="83"/>
        <v>45.833277310924366</v>
      </c>
      <c r="AC236" s="909">
        <f t="shared" si="83"/>
        <v>45</v>
      </c>
      <c r="AD236" s="909">
        <f t="shared" si="83"/>
        <v>47.966554621848744</v>
      </c>
      <c r="AE236" s="909">
        <f t="shared" si="83"/>
        <v>52.161344537815125</v>
      </c>
      <c r="AF236" s="909">
        <f t="shared" si="83"/>
        <v>55.451764705882354</v>
      </c>
      <c r="AG236" s="909">
        <f t="shared" si="83"/>
        <v>54.733277310924372</v>
      </c>
      <c r="AH236" s="909">
        <f t="shared" si="83"/>
        <v>53.129243697478991</v>
      </c>
      <c r="AI236" s="909">
        <f t="shared" si="83"/>
        <v>51.633445378151258</v>
      </c>
      <c r="AJ236" s="907">
        <f t="shared" si="84"/>
        <v>50.151974789915961</v>
      </c>
      <c r="AN236" s="1140">
        <f t="shared" ca="1" si="85"/>
        <v>0.69011825591187992</v>
      </c>
      <c r="AP236" s="1154">
        <f t="shared" ca="1" si="86"/>
        <v>415.32952047064049</v>
      </c>
      <c r="AR236" s="1140">
        <f t="shared" ca="1" si="87"/>
        <v>60.190118255911877</v>
      </c>
      <c r="AT236" s="1154">
        <f t="shared" ca="1" si="88"/>
        <v>36223.839520470639</v>
      </c>
    </row>
    <row r="237" spans="1:46">
      <c r="A237" s="884" t="str">
        <f t="shared" si="81"/>
        <v>PIERCE UTCRolloffRENT30MO-RO</v>
      </c>
      <c r="B237" s="889" t="s">
        <v>2280</v>
      </c>
      <c r="C237" s="889" t="s">
        <v>2281</v>
      </c>
      <c r="D237" s="889" t="s">
        <v>2279</v>
      </c>
      <c r="E237" s="883">
        <v>31002</v>
      </c>
      <c r="F237" s="904">
        <v>59.5</v>
      </c>
      <c r="G237" s="904">
        <v>59.5</v>
      </c>
      <c r="H237" s="904"/>
      <c r="I237" s="906">
        <v>2397.27</v>
      </c>
      <c r="J237" s="906">
        <v>2431.83</v>
      </c>
      <c r="K237" s="906">
        <v>2269.5</v>
      </c>
      <c r="L237" s="906">
        <v>2356.9699999999998</v>
      </c>
      <c r="M237" s="906">
        <v>2153.5</v>
      </c>
      <c r="N237" s="906">
        <v>2138.16</v>
      </c>
      <c r="O237" s="906">
        <v>2155.88</v>
      </c>
      <c r="P237" s="906">
        <v>2220.69</v>
      </c>
      <c r="Q237" s="906">
        <v>2183.75</v>
      </c>
      <c r="R237" s="906">
        <v>2225.29</v>
      </c>
      <c r="S237" s="906">
        <v>2260.94</v>
      </c>
      <c r="T237" s="906">
        <v>2262.9899999999998</v>
      </c>
      <c r="U237" s="906"/>
      <c r="V237" s="957">
        <f t="shared" si="89"/>
        <v>27056.769999999997</v>
      </c>
      <c r="W237" s="905"/>
      <c r="X237" s="909">
        <f t="shared" si="82"/>
        <v>40.290252100840334</v>
      </c>
      <c r="Y237" s="906">
        <f t="shared" si="82"/>
        <v>40.871092436974791</v>
      </c>
      <c r="Z237" s="906">
        <f t="shared" si="82"/>
        <v>38.142857142857146</v>
      </c>
      <c r="AA237" s="909">
        <f t="shared" si="83"/>
        <v>39.612941176470585</v>
      </c>
      <c r="AB237" s="909">
        <f t="shared" si="83"/>
        <v>36.193277310924373</v>
      </c>
      <c r="AC237" s="909">
        <f t="shared" si="83"/>
        <v>35.935462184873948</v>
      </c>
      <c r="AD237" s="909">
        <f t="shared" si="83"/>
        <v>36.233277310924372</v>
      </c>
      <c r="AE237" s="909">
        <f t="shared" si="83"/>
        <v>37.322521008403363</v>
      </c>
      <c r="AF237" s="909">
        <f t="shared" si="83"/>
        <v>36.701680672268907</v>
      </c>
      <c r="AG237" s="909">
        <f t="shared" si="83"/>
        <v>37.399831932773111</v>
      </c>
      <c r="AH237" s="909">
        <f t="shared" si="83"/>
        <v>37.998991596638653</v>
      </c>
      <c r="AI237" s="909">
        <f t="shared" si="83"/>
        <v>38.033445378151256</v>
      </c>
      <c r="AJ237" s="907">
        <f t="shared" si="84"/>
        <v>37.894635854341736</v>
      </c>
      <c r="AN237" s="1140">
        <f t="shared" ca="1" si="85"/>
        <v>0.69011825591187992</v>
      </c>
      <c r="AP237" s="1154">
        <f t="shared" ca="1" si="86"/>
        <v>313.8213600505693</v>
      </c>
      <c r="AR237" s="1140">
        <f t="shared" ca="1" si="87"/>
        <v>60.190118255911877</v>
      </c>
      <c r="AT237" s="1154">
        <f t="shared" ca="1" si="88"/>
        <v>27370.591360050566</v>
      </c>
    </row>
    <row r="238" spans="1:46">
      <c r="A238" s="884" t="str">
        <f t="shared" si="81"/>
        <v>PIERCE UTCRolloffRENT40MO-RO</v>
      </c>
      <c r="B238" s="889" t="s">
        <v>2282</v>
      </c>
      <c r="C238" s="889" t="s">
        <v>2283</v>
      </c>
      <c r="D238" s="889" t="s">
        <v>2279</v>
      </c>
      <c r="E238" s="883">
        <v>31002</v>
      </c>
      <c r="F238" s="904">
        <v>59.5</v>
      </c>
      <c r="G238" s="904">
        <v>59.5</v>
      </c>
      <c r="H238" s="904"/>
      <c r="I238" s="906">
        <v>1547</v>
      </c>
      <c r="J238" s="906">
        <v>1685.2</v>
      </c>
      <c r="K238" s="906">
        <v>1680.88</v>
      </c>
      <c r="L238" s="906">
        <v>1710.15</v>
      </c>
      <c r="M238" s="906">
        <v>1890.12</v>
      </c>
      <c r="N238" s="906">
        <v>1871.37</v>
      </c>
      <c r="O238" s="906">
        <v>1993</v>
      </c>
      <c r="P238" s="906">
        <v>2082.5</v>
      </c>
      <c r="Q238" s="906">
        <v>2111.29</v>
      </c>
      <c r="R238" s="906">
        <v>2147.9499999999998</v>
      </c>
      <c r="S238" s="906">
        <v>2127.9299999999998</v>
      </c>
      <c r="T238" s="906">
        <v>2023</v>
      </c>
      <c r="U238" s="906"/>
      <c r="V238" s="957">
        <f t="shared" si="89"/>
        <v>22870.39</v>
      </c>
      <c r="W238" s="905"/>
      <c r="X238" s="909">
        <f t="shared" si="82"/>
        <v>26</v>
      </c>
      <c r="Y238" s="906">
        <f t="shared" si="82"/>
        <v>28.322689075630255</v>
      </c>
      <c r="Z238" s="906">
        <f t="shared" si="82"/>
        <v>28.250084033613447</v>
      </c>
      <c r="AA238" s="909">
        <f t="shared" si="83"/>
        <v>28.742016806722692</v>
      </c>
      <c r="AB238" s="909">
        <f t="shared" si="83"/>
        <v>31.766722689075628</v>
      </c>
      <c r="AC238" s="909">
        <f t="shared" si="83"/>
        <v>31.45159663865546</v>
      </c>
      <c r="AD238" s="909">
        <f t="shared" si="83"/>
        <v>33.495798319327733</v>
      </c>
      <c r="AE238" s="909">
        <f t="shared" si="83"/>
        <v>35</v>
      </c>
      <c r="AF238" s="909">
        <f t="shared" si="83"/>
        <v>35.483865546218489</v>
      </c>
      <c r="AG238" s="909">
        <f t="shared" si="83"/>
        <v>36.099999999999994</v>
      </c>
      <c r="AH238" s="909">
        <f t="shared" si="83"/>
        <v>35.763529411764701</v>
      </c>
      <c r="AI238" s="909">
        <f t="shared" si="83"/>
        <v>34</v>
      </c>
      <c r="AJ238" s="907">
        <f t="shared" si="84"/>
        <v>32.031358543417362</v>
      </c>
      <c r="AN238" s="1140">
        <f t="shared" ca="1" si="85"/>
        <v>0.69011825591187992</v>
      </c>
      <c r="AP238" s="1154">
        <f t="shared" ca="1" si="86"/>
        <v>265.26510350965543</v>
      </c>
      <c r="AR238" s="1140">
        <f t="shared" ca="1" si="87"/>
        <v>60.190118255911877</v>
      </c>
      <c r="AT238" s="1154">
        <f t="shared" ca="1" si="88"/>
        <v>23135.655103509656</v>
      </c>
    </row>
    <row r="239" spans="1:46">
      <c r="A239" s="884" t="str">
        <f t="shared" si="81"/>
        <v>PIERCE UTCRolloffRENT20TEMP-RO</v>
      </c>
      <c r="B239" s="889" t="s">
        <v>2284</v>
      </c>
      <c r="C239" s="889" t="s">
        <v>2285</v>
      </c>
      <c r="D239" s="889" t="s">
        <v>2279</v>
      </c>
      <c r="E239" s="883">
        <v>31002</v>
      </c>
      <c r="F239" s="904">
        <v>5.15</v>
      </c>
      <c r="G239" s="904">
        <v>5.15</v>
      </c>
      <c r="H239" s="904"/>
      <c r="I239" s="906">
        <v>1684.05</v>
      </c>
      <c r="J239" s="906">
        <v>1714.95</v>
      </c>
      <c r="K239" s="906">
        <v>1210.25</v>
      </c>
      <c r="L239" s="906">
        <v>1689.2</v>
      </c>
      <c r="M239" s="906">
        <v>1890.05</v>
      </c>
      <c r="N239" s="906">
        <v>3376.67</v>
      </c>
      <c r="O239" s="906">
        <v>3336.34</v>
      </c>
      <c r="P239" s="906">
        <v>2641.95</v>
      </c>
      <c r="Q239" s="906">
        <v>3126.0499999999997</v>
      </c>
      <c r="R239" s="906">
        <v>2003.3500000000001</v>
      </c>
      <c r="S239" s="906">
        <v>1900.3500000000001</v>
      </c>
      <c r="T239" s="906">
        <v>1646.0500000000002</v>
      </c>
      <c r="U239" s="906"/>
      <c r="V239" s="957">
        <f t="shared" si="89"/>
        <v>26219.259999999995</v>
      </c>
      <c r="W239" s="905"/>
      <c r="X239" s="909">
        <f t="shared" si="82"/>
        <v>326.99999999999994</v>
      </c>
      <c r="Y239" s="906">
        <f t="shared" si="82"/>
        <v>333</v>
      </c>
      <c r="Z239" s="906">
        <f t="shared" si="82"/>
        <v>234.99999999999997</v>
      </c>
      <c r="AA239" s="909">
        <f t="shared" si="83"/>
        <v>328</v>
      </c>
      <c r="AB239" s="909">
        <f t="shared" si="83"/>
        <v>366.99999999999994</v>
      </c>
      <c r="AC239" s="909">
        <f t="shared" si="83"/>
        <v>655.66407766990289</v>
      </c>
      <c r="AD239" s="909">
        <f t="shared" si="83"/>
        <v>647.83300970873779</v>
      </c>
      <c r="AE239" s="909">
        <f t="shared" si="83"/>
        <v>512.99999999999989</v>
      </c>
      <c r="AF239" s="909">
        <f t="shared" si="83"/>
        <v>606.99999999999989</v>
      </c>
      <c r="AG239" s="909">
        <f t="shared" si="83"/>
        <v>389</v>
      </c>
      <c r="AH239" s="909">
        <f t="shared" si="83"/>
        <v>369</v>
      </c>
      <c r="AI239" s="909">
        <f t="shared" si="83"/>
        <v>319.621359223301</v>
      </c>
      <c r="AJ239" s="907">
        <f t="shared" si="84"/>
        <v>424.25987055016179</v>
      </c>
      <c r="AK239" s="946">
        <f>AJ239/30</f>
        <v>14.141995685005393</v>
      </c>
      <c r="AM239" s="1140"/>
      <c r="AN239" s="1140">
        <f t="shared" ca="1" si="85"/>
        <v>5.9732924671364401E-2</v>
      </c>
      <c r="AP239" s="1154">
        <f t="shared" ca="1" si="86"/>
        <v>304.10739466386752</v>
      </c>
      <c r="AR239" s="1140">
        <f t="shared" ca="1" si="87"/>
        <v>5.2097329246713651</v>
      </c>
      <c r="AT239" s="1154">
        <f t="shared" ca="1" si="88"/>
        <v>26523.367394663863</v>
      </c>
    </row>
    <row r="240" spans="1:46">
      <c r="A240" s="884" t="str">
        <f t="shared" si="81"/>
        <v>PIERCE UTCRolloffRENT30TEMP-RO</v>
      </c>
      <c r="B240" s="889" t="s">
        <v>2286</v>
      </c>
      <c r="C240" s="889" t="s">
        <v>2287</v>
      </c>
      <c r="D240" s="889" t="s">
        <v>2279</v>
      </c>
      <c r="E240" s="883">
        <v>31002</v>
      </c>
      <c r="F240" s="904">
        <v>6.1</v>
      </c>
      <c r="G240" s="904">
        <v>6.1</v>
      </c>
      <c r="H240" s="904"/>
      <c r="I240" s="906">
        <v>1159</v>
      </c>
      <c r="J240" s="906">
        <v>1299.3000000000002</v>
      </c>
      <c r="K240" s="906">
        <v>817.4</v>
      </c>
      <c r="L240" s="906">
        <v>1945.04</v>
      </c>
      <c r="M240" s="906">
        <v>2171.6</v>
      </c>
      <c r="N240" s="906">
        <v>2995.1</v>
      </c>
      <c r="O240" s="906">
        <v>1506.7</v>
      </c>
      <c r="P240" s="906">
        <v>3330.6</v>
      </c>
      <c r="Q240" s="906">
        <v>2842.6</v>
      </c>
      <c r="R240" s="906">
        <v>2324.1</v>
      </c>
      <c r="S240" s="906">
        <v>463.59999999999997</v>
      </c>
      <c r="T240" s="906">
        <v>695.4</v>
      </c>
      <c r="U240" s="906"/>
      <c r="V240" s="957">
        <f t="shared" si="89"/>
        <v>21550.44</v>
      </c>
      <c r="W240" s="905"/>
      <c r="X240" s="909">
        <f t="shared" si="82"/>
        <v>190</v>
      </c>
      <c r="Y240" s="906">
        <f t="shared" si="82"/>
        <v>213.00000000000003</v>
      </c>
      <c r="Z240" s="906">
        <f t="shared" si="82"/>
        <v>134</v>
      </c>
      <c r="AA240" s="909">
        <f t="shared" si="83"/>
        <v>318.85901639344263</v>
      </c>
      <c r="AB240" s="909">
        <f t="shared" si="83"/>
        <v>356</v>
      </c>
      <c r="AC240" s="909">
        <f t="shared" si="83"/>
        <v>491</v>
      </c>
      <c r="AD240" s="909">
        <f t="shared" si="83"/>
        <v>247.00000000000003</v>
      </c>
      <c r="AE240" s="909">
        <f t="shared" si="83"/>
        <v>546</v>
      </c>
      <c r="AF240" s="909">
        <f t="shared" si="83"/>
        <v>466</v>
      </c>
      <c r="AG240" s="909">
        <f t="shared" si="83"/>
        <v>381</v>
      </c>
      <c r="AH240" s="909">
        <f t="shared" si="83"/>
        <v>76</v>
      </c>
      <c r="AI240" s="909">
        <f t="shared" si="83"/>
        <v>114</v>
      </c>
      <c r="AJ240" s="907">
        <f t="shared" si="84"/>
        <v>294.4049180327869</v>
      </c>
      <c r="AK240" s="946">
        <f>AJ240/30</f>
        <v>9.8134972677595638</v>
      </c>
      <c r="AM240" s="1140"/>
      <c r="AN240" s="1140">
        <f t="shared" ca="1" si="85"/>
        <v>7.0751619513654912E-2</v>
      </c>
      <c r="AP240" s="1154">
        <f t="shared" ca="1" si="86"/>
        <v>249.95549692325403</v>
      </c>
      <c r="AR240" s="1140">
        <f t="shared" ca="1" si="87"/>
        <v>6.1707516195136547</v>
      </c>
      <c r="AT240" s="1154">
        <f t="shared" ca="1" si="88"/>
        <v>21800.395496923251</v>
      </c>
    </row>
    <row r="241" spans="1:46">
      <c r="A241" s="884" t="str">
        <f t="shared" si="81"/>
        <v>PIERCE UTCRolloffRENT40TEMP-RO</v>
      </c>
      <c r="B241" s="889" t="s">
        <v>2288</v>
      </c>
      <c r="C241" s="889" t="s">
        <v>2289</v>
      </c>
      <c r="D241" s="889" t="s">
        <v>2279</v>
      </c>
      <c r="E241" s="883">
        <v>31002</v>
      </c>
      <c r="F241" s="904">
        <v>7.15</v>
      </c>
      <c r="G241" s="904">
        <v>7.15</v>
      </c>
      <c r="H241" s="904"/>
      <c r="I241" s="906">
        <v>1658.8</v>
      </c>
      <c r="J241" s="906">
        <v>1816.1000000000001</v>
      </c>
      <c r="K241" s="906">
        <v>1944.8000000000002</v>
      </c>
      <c r="L241" s="906">
        <v>2502.5</v>
      </c>
      <c r="M241" s="906">
        <v>1608.05</v>
      </c>
      <c r="N241" s="906">
        <v>1979.1</v>
      </c>
      <c r="O241" s="906">
        <v>1780.3500000000001</v>
      </c>
      <c r="P241" s="906">
        <v>1043.8999999999999</v>
      </c>
      <c r="Q241" s="906">
        <v>2259.4</v>
      </c>
      <c r="R241" s="906">
        <v>1857.52</v>
      </c>
      <c r="S241" s="906">
        <v>1866.15</v>
      </c>
      <c r="T241" s="906">
        <v>1937.65</v>
      </c>
      <c r="U241" s="906"/>
      <c r="V241" s="957">
        <f t="shared" si="89"/>
        <v>22254.320000000003</v>
      </c>
      <c r="W241" s="905"/>
      <c r="X241" s="909">
        <f t="shared" si="82"/>
        <v>231.99999999999997</v>
      </c>
      <c r="Y241" s="906">
        <f t="shared" si="82"/>
        <v>254</v>
      </c>
      <c r="Z241" s="906">
        <f t="shared" si="82"/>
        <v>272</v>
      </c>
      <c r="AA241" s="909">
        <f t="shared" si="83"/>
        <v>350</v>
      </c>
      <c r="AB241" s="909">
        <f t="shared" si="83"/>
        <v>224.90209790209789</v>
      </c>
      <c r="AC241" s="909">
        <f t="shared" si="83"/>
        <v>276.79720279720277</v>
      </c>
      <c r="AD241" s="909">
        <f t="shared" si="83"/>
        <v>249</v>
      </c>
      <c r="AE241" s="909">
        <f t="shared" si="83"/>
        <v>145.99999999999997</v>
      </c>
      <c r="AF241" s="909">
        <f t="shared" si="83"/>
        <v>316</v>
      </c>
      <c r="AG241" s="909">
        <f t="shared" si="83"/>
        <v>259.793006993007</v>
      </c>
      <c r="AH241" s="909">
        <f t="shared" si="83"/>
        <v>261</v>
      </c>
      <c r="AI241" s="909">
        <f t="shared" si="83"/>
        <v>271</v>
      </c>
      <c r="AJ241" s="907">
        <f t="shared" si="84"/>
        <v>259.37435897435898</v>
      </c>
      <c r="AK241" s="946">
        <f>AJ241/30</f>
        <v>8.6458119658119656</v>
      </c>
      <c r="AM241" s="1140"/>
      <c r="AN241" s="1140">
        <f t="shared" ca="1" si="85"/>
        <v>8.2930176970923392E-2</v>
      </c>
      <c r="AP241" s="1154">
        <f t="shared" ca="1" si="86"/>
        <v>258.11953789756086</v>
      </c>
      <c r="AR241" s="1140">
        <f t="shared" ca="1" si="87"/>
        <v>7.2329301769709238</v>
      </c>
      <c r="AT241" s="1154">
        <f t="shared" ca="1" si="88"/>
        <v>22512.439537897564</v>
      </c>
    </row>
    <row r="242" spans="1:46">
      <c r="A242" s="884" t="str">
        <f t="shared" si="81"/>
        <v>PIERCE UTCRolloffDISCO-CP</v>
      </c>
      <c r="B242" s="889" t="s">
        <v>2290</v>
      </c>
      <c r="C242" s="889" t="s">
        <v>2289</v>
      </c>
      <c r="D242" s="889" t="s">
        <v>2279</v>
      </c>
      <c r="E242" s="883">
        <v>31002</v>
      </c>
      <c r="F242" s="904">
        <v>7.15</v>
      </c>
      <c r="G242" s="904">
        <v>10.5</v>
      </c>
      <c r="H242" s="904"/>
      <c r="I242" s="906">
        <v>1617</v>
      </c>
      <c r="J242" s="906">
        <v>1680</v>
      </c>
      <c r="K242" s="906">
        <v>1512</v>
      </c>
      <c r="L242" s="906">
        <v>1554</v>
      </c>
      <c r="M242" s="906">
        <v>1638</v>
      </c>
      <c r="N242" s="906">
        <v>1711.5</v>
      </c>
      <c r="O242" s="906">
        <v>1564.5</v>
      </c>
      <c r="P242" s="906">
        <v>1585.5</v>
      </c>
      <c r="Q242" s="906">
        <v>1627.5</v>
      </c>
      <c r="R242" s="906">
        <v>1659</v>
      </c>
      <c r="S242" s="906">
        <v>1900.5</v>
      </c>
      <c r="T242" s="906">
        <v>1732.5</v>
      </c>
      <c r="U242" s="906"/>
      <c r="V242" s="957">
        <f t="shared" si="89"/>
        <v>19782</v>
      </c>
      <c r="W242" s="905"/>
      <c r="X242" s="909">
        <f t="shared" si="82"/>
        <v>226.15384615384613</v>
      </c>
      <c r="Y242" s="906">
        <f t="shared" si="82"/>
        <v>234.96503496503496</v>
      </c>
      <c r="Z242" s="906">
        <f t="shared" si="82"/>
        <v>211.46853146853147</v>
      </c>
      <c r="AA242" s="909">
        <f t="shared" si="83"/>
        <v>148</v>
      </c>
      <c r="AB242" s="909">
        <f t="shared" si="83"/>
        <v>156</v>
      </c>
      <c r="AC242" s="909">
        <f t="shared" si="83"/>
        <v>163</v>
      </c>
      <c r="AD242" s="909">
        <f t="shared" si="83"/>
        <v>149</v>
      </c>
      <c r="AE242" s="909">
        <f t="shared" si="83"/>
        <v>151</v>
      </c>
      <c r="AF242" s="909">
        <f t="shared" si="83"/>
        <v>155</v>
      </c>
      <c r="AG242" s="909">
        <f t="shared" si="83"/>
        <v>158</v>
      </c>
      <c r="AH242" s="909">
        <f t="shared" si="83"/>
        <v>181</v>
      </c>
      <c r="AI242" s="909">
        <f t="shared" si="83"/>
        <v>165</v>
      </c>
      <c r="AJ242" s="907">
        <f t="shared" si="84"/>
        <v>174.88228438228438</v>
      </c>
      <c r="AK242" s="946">
        <f>AJ242/30</f>
        <v>5.8294094794094793</v>
      </c>
      <c r="AM242" s="1140"/>
      <c r="AN242" s="1140">
        <f t="shared" ca="1" si="85"/>
        <v>0.1217855745726847</v>
      </c>
      <c r="AP242" s="1154">
        <f t="shared" ca="1" si="86"/>
        <v>255.57767383296175</v>
      </c>
      <c r="AR242" s="1140">
        <f t="shared" ca="1" si="87"/>
        <v>10.621785574572685</v>
      </c>
      <c r="AT242" s="1154">
        <f t="shared" ca="1" si="88"/>
        <v>20037.577673832962</v>
      </c>
    </row>
    <row r="243" spans="1:46">
      <c r="A243" s="884" t="str">
        <f t="shared" si="81"/>
        <v>PIERCE UTCRolloffCLEAN20-RO</v>
      </c>
      <c r="B243" s="889" t="s">
        <v>2291</v>
      </c>
      <c r="C243" s="889" t="s">
        <v>2292</v>
      </c>
      <c r="D243" s="889" t="s">
        <v>2236</v>
      </c>
      <c r="E243" s="883">
        <v>31000</v>
      </c>
      <c r="F243" s="904">
        <v>95</v>
      </c>
      <c r="G243" s="904">
        <v>95</v>
      </c>
      <c r="H243" s="904"/>
      <c r="I243" s="906">
        <v>0</v>
      </c>
      <c r="J243" s="906">
        <v>0</v>
      </c>
      <c r="K243" s="906">
        <v>0</v>
      </c>
      <c r="L243" s="906">
        <v>0</v>
      </c>
      <c r="M243" s="906">
        <v>190</v>
      </c>
      <c r="N243" s="906">
        <v>95</v>
      </c>
      <c r="O243" s="906">
        <v>190</v>
      </c>
      <c r="P243" s="906">
        <v>380</v>
      </c>
      <c r="Q243" s="906">
        <v>0</v>
      </c>
      <c r="R243" s="906">
        <v>95</v>
      </c>
      <c r="S243" s="906">
        <v>0</v>
      </c>
      <c r="T243" s="906">
        <v>190</v>
      </c>
      <c r="U243" s="906"/>
      <c r="V243" s="957">
        <f t="shared" si="89"/>
        <v>1140</v>
      </c>
      <c r="W243" s="905"/>
      <c r="X243" s="909">
        <f t="shared" si="82"/>
        <v>0</v>
      </c>
      <c r="Y243" s="906">
        <f t="shared" si="82"/>
        <v>0</v>
      </c>
      <c r="Z243" s="906">
        <f t="shared" si="82"/>
        <v>0</v>
      </c>
      <c r="AA243" s="909">
        <f t="shared" si="83"/>
        <v>0</v>
      </c>
      <c r="AB243" s="909">
        <f t="shared" si="83"/>
        <v>2</v>
      </c>
      <c r="AC243" s="909">
        <f t="shared" si="83"/>
        <v>1</v>
      </c>
      <c r="AD243" s="909">
        <f t="shared" ref="AD243:AI254" si="90">IFERROR(O243/$G243,0)</f>
        <v>2</v>
      </c>
      <c r="AE243" s="909">
        <f t="shared" si="90"/>
        <v>4</v>
      </c>
      <c r="AF243" s="909">
        <f t="shared" si="90"/>
        <v>0</v>
      </c>
      <c r="AG243" s="909">
        <f t="shared" si="90"/>
        <v>1</v>
      </c>
      <c r="AH243" s="909">
        <f t="shared" si="90"/>
        <v>0</v>
      </c>
      <c r="AI243" s="909">
        <f t="shared" si="90"/>
        <v>2</v>
      </c>
      <c r="AJ243" s="907">
        <f t="shared" si="84"/>
        <v>1</v>
      </c>
      <c r="AN243" s="1140">
        <f t="shared" ca="1" si="85"/>
        <v>1.101869484229052</v>
      </c>
      <c r="AP243" s="1154">
        <f t="shared" ca="1" si="86"/>
        <v>13.222433810748623</v>
      </c>
      <c r="AR243" s="1140">
        <f t="shared" ca="1" si="87"/>
        <v>96.101869484229056</v>
      </c>
      <c r="AT243" s="1154">
        <f t="shared" ca="1" si="88"/>
        <v>1153.2224338107487</v>
      </c>
    </row>
    <row r="244" spans="1:46">
      <c r="A244" s="884" t="str">
        <f t="shared" si="81"/>
        <v>PIERCE UTCRolloffCLEAN25-RO</v>
      </c>
      <c r="B244" s="889" t="s">
        <v>2293</v>
      </c>
      <c r="C244" s="889" t="s">
        <v>2294</v>
      </c>
      <c r="D244" s="889" t="s">
        <v>2236</v>
      </c>
      <c r="E244" s="883">
        <v>31000</v>
      </c>
      <c r="F244" s="904">
        <v>118.75</v>
      </c>
      <c r="G244" s="904">
        <v>118.75</v>
      </c>
      <c r="H244" s="904"/>
      <c r="I244" s="906">
        <v>0</v>
      </c>
      <c r="J244" s="906">
        <v>0</v>
      </c>
      <c r="K244" s="906">
        <v>0</v>
      </c>
      <c r="L244" s="906">
        <v>0</v>
      </c>
      <c r="M244" s="906">
        <v>0</v>
      </c>
      <c r="N244" s="906">
        <v>0</v>
      </c>
      <c r="O244" s="906">
        <v>0</v>
      </c>
      <c r="P244" s="906">
        <v>0</v>
      </c>
      <c r="Q244" s="906">
        <v>0</v>
      </c>
      <c r="R244" s="906">
        <v>118.75</v>
      </c>
      <c r="S244" s="906">
        <v>0</v>
      </c>
      <c r="T244" s="906">
        <v>0</v>
      </c>
      <c r="U244" s="906"/>
      <c r="V244" s="957">
        <f t="shared" si="89"/>
        <v>118.75</v>
      </c>
      <c r="W244" s="905"/>
      <c r="X244" s="909">
        <f t="shared" si="82"/>
        <v>0</v>
      </c>
      <c r="Y244" s="906">
        <f t="shared" si="82"/>
        <v>0</v>
      </c>
      <c r="Z244" s="906">
        <f t="shared" si="82"/>
        <v>0</v>
      </c>
      <c r="AA244" s="909">
        <f t="shared" ref="AA244:AC254" si="91">IFERROR(L244/$G244,0)</f>
        <v>0</v>
      </c>
      <c r="AB244" s="909">
        <f t="shared" si="91"/>
        <v>0</v>
      </c>
      <c r="AC244" s="909">
        <f t="shared" si="91"/>
        <v>0</v>
      </c>
      <c r="AD244" s="909">
        <f t="shared" si="90"/>
        <v>0</v>
      </c>
      <c r="AE244" s="909">
        <f t="shared" si="90"/>
        <v>0</v>
      </c>
      <c r="AF244" s="909">
        <f t="shared" si="90"/>
        <v>0</v>
      </c>
      <c r="AG244" s="909">
        <f t="shared" si="90"/>
        <v>1</v>
      </c>
      <c r="AH244" s="909">
        <f t="shared" si="90"/>
        <v>0</v>
      </c>
      <c r="AI244" s="909">
        <f t="shared" si="90"/>
        <v>0</v>
      </c>
      <c r="AJ244" s="907">
        <f t="shared" si="84"/>
        <v>8.3333333333333329E-2</v>
      </c>
      <c r="AN244" s="1140">
        <f t="shared" ca="1" si="85"/>
        <v>1.377336855286315</v>
      </c>
      <c r="AP244" s="1154">
        <f t="shared" ca="1" si="86"/>
        <v>1.377336855286315</v>
      </c>
      <c r="AR244" s="1140">
        <f t="shared" ca="1" si="87"/>
        <v>120.12733685528632</v>
      </c>
      <c r="AT244" s="1154">
        <f t="shared" ca="1" si="88"/>
        <v>120.12733685528632</v>
      </c>
    </row>
    <row r="245" spans="1:46">
      <c r="A245" s="884" t="str">
        <f t="shared" si="81"/>
        <v>PIERCE UTCRolloffCLEAN30-RO</v>
      </c>
      <c r="B245" s="889" t="s">
        <v>2295</v>
      </c>
      <c r="C245" s="889" t="s">
        <v>2296</v>
      </c>
      <c r="D245" s="889" t="s">
        <v>2236</v>
      </c>
      <c r="E245" s="883">
        <v>31000</v>
      </c>
      <c r="F245" s="904">
        <v>142.5</v>
      </c>
      <c r="G245" s="904">
        <v>142.5</v>
      </c>
      <c r="H245" s="904"/>
      <c r="I245" s="906">
        <v>0</v>
      </c>
      <c r="J245" s="906">
        <v>142.5</v>
      </c>
      <c r="K245" s="906">
        <v>0</v>
      </c>
      <c r="L245" s="906">
        <v>0</v>
      </c>
      <c r="M245" s="906">
        <v>142.5</v>
      </c>
      <c r="N245" s="906">
        <v>285</v>
      </c>
      <c r="O245" s="906">
        <v>142.5</v>
      </c>
      <c r="P245" s="906">
        <v>142.5</v>
      </c>
      <c r="Q245" s="906">
        <v>0</v>
      </c>
      <c r="R245" s="906">
        <v>285</v>
      </c>
      <c r="S245" s="906">
        <v>142.5</v>
      </c>
      <c r="T245" s="906">
        <v>0</v>
      </c>
      <c r="U245" s="906"/>
      <c r="V245" s="957">
        <f t="shared" si="89"/>
        <v>1282.5</v>
      </c>
      <c r="W245" s="905"/>
      <c r="X245" s="909">
        <f t="shared" si="82"/>
        <v>0</v>
      </c>
      <c r="Y245" s="906">
        <f t="shared" si="82"/>
        <v>1</v>
      </c>
      <c r="Z245" s="906">
        <f t="shared" si="82"/>
        <v>0</v>
      </c>
      <c r="AA245" s="909">
        <f t="shared" si="91"/>
        <v>0</v>
      </c>
      <c r="AB245" s="909">
        <f t="shared" si="91"/>
        <v>1</v>
      </c>
      <c r="AC245" s="909">
        <f t="shared" si="91"/>
        <v>2</v>
      </c>
      <c r="AD245" s="909">
        <f t="shared" si="90"/>
        <v>1</v>
      </c>
      <c r="AE245" s="909">
        <f t="shared" si="90"/>
        <v>1</v>
      </c>
      <c r="AF245" s="909">
        <f t="shared" si="90"/>
        <v>0</v>
      </c>
      <c r="AG245" s="909">
        <f t="shared" si="90"/>
        <v>2</v>
      </c>
      <c r="AH245" s="909">
        <f t="shared" si="90"/>
        <v>1</v>
      </c>
      <c r="AI245" s="909">
        <f t="shared" si="90"/>
        <v>0</v>
      </c>
      <c r="AJ245" s="907">
        <f t="shared" si="84"/>
        <v>0.75</v>
      </c>
      <c r="AN245" s="1140">
        <f t="shared" ca="1" si="85"/>
        <v>1.652804226343578</v>
      </c>
      <c r="AP245" s="1154">
        <f t="shared" ca="1" si="86"/>
        <v>14.875238037092203</v>
      </c>
      <c r="AR245" s="1140">
        <f t="shared" ca="1" si="87"/>
        <v>144.15280422634359</v>
      </c>
      <c r="AT245" s="1154">
        <f t="shared" ca="1" si="88"/>
        <v>1297.3752380370922</v>
      </c>
    </row>
    <row r="246" spans="1:46">
      <c r="A246" s="884" t="str">
        <f t="shared" si="81"/>
        <v>PIERCE UTCRolloffCLEAN40-RO</v>
      </c>
      <c r="B246" s="889" t="s">
        <v>2297</v>
      </c>
      <c r="C246" s="889" t="s">
        <v>2296</v>
      </c>
      <c r="D246" s="889" t="s">
        <v>2236</v>
      </c>
      <c r="E246" s="883">
        <v>31000</v>
      </c>
      <c r="F246" s="904">
        <v>190</v>
      </c>
      <c r="G246" s="904">
        <v>190</v>
      </c>
      <c r="H246" s="904"/>
      <c r="I246" s="906">
        <v>0</v>
      </c>
      <c r="J246" s="906">
        <v>0</v>
      </c>
      <c r="K246" s="906">
        <v>0</v>
      </c>
      <c r="L246" s="906">
        <v>0</v>
      </c>
      <c r="M246" s="906">
        <v>0</v>
      </c>
      <c r="N246" s="906">
        <v>0</v>
      </c>
      <c r="O246" s="906">
        <v>190</v>
      </c>
      <c r="P246" s="906">
        <v>0</v>
      </c>
      <c r="Q246" s="906">
        <v>0</v>
      </c>
      <c r="R246" s="906">
        <v>0</v>
      </c>
      <c r="S246" s="906">
        <v>0</v>
      </c>
      <c r="T246" s="906">
        <v>0</v>
      </c>
      <c r="U246" s="906"/>
      <c r="V246" s="957">
        <f t="shared" si="89"/>
        <v>190</v>
      </c>
      <c r="W246" s="905"/>
      <c r="X246" s="909">
        <f t="shared" si="82"/>
        <v>0</v>
      </c>
      <c r="Y246" s="906">
        <f t="shared" si="82"/>
        <v>0</v>
      </c>
      <c r="Z246" s="906">
        <f t="shared" si="82"/>
        <v>0</v>
      </c>
      <c r="AA246" s="909">
        <f t="shared" si="91"/>
        <v>0</v>
      </c>
      <c r="AB246" s="909">
        <f t="shared" si="91"/>
        <v>0</v>
      </c>
      <c r="AC246" s="909">
        <f t="shared" si="91"/>
        <v>0</v>
      </c>
      <c r="AD246" s="909">
        <f t="shared" si="90"/>
        <v>1</v>
      </c>
      <c r="AE246" s="909">
        <f t="shared" si="90"/>
        <v>0</v>
      </c>
      <c r="AF246" s="909">
        <f t="shared" si="90"/>
        <v>0</v>
      </c>
      <c r="AG246" s="909">
        <f t="shared" si="90"/>
        <v>0</v>
      </c>
      <c r="AH246" s="909">
        <f t="shared" si="90"/>
        <v>0</v>
      </c>
      <c r="AI246" s="909">
        <f t="shared" si="90"/>
        <v>0</v>
      </c>
      <c r="AJ246" s="907">
        <f t="shared" si="84"/>
        <v>8.3333333333333329E-2</v>
      </c>
      <c r="AN246" s="1140">
        <f t="shared" ca="1" si="85"/>
        <v>2.2037389684581039</v>
      </c>
      <c r="AP246" s="1154">
        <f t="shared" ca="1" si="86"/>
        <v>2.2037389684581039</v>
      </c>
      <c r="AR246" s="1140">
        <f t="shared" ca="1" si="87"/>
        <v>192.20373896845811</v>
      </c>
      <c r="AT246" s="1154">
        <f t="shared" ca="1" si="88"/>
        <v>192.20373896845811</v>
      </c>
    </row>
    <row r="247" spans="1:46" ht="13.5" customHeight="1">
      <c r="A247" s="884" t="str">
        <f t="shared" si="81"/>
        <v>PIERCE UTCRolloffEXWGHT-RO</v>
      </c>
      <c r="B247" s="889" t="s">
        <v>2298</v>
      </c>
      <c r="C247" s="889" t="s">
        <v>2299</v>
      </c>
      <c r="D247" s="889" t="s">
        <v>2236</v>
      </c>
      <c r="E247" s="883">
        <v>31000</v>
      </c>
      <c r="F247" s="904">
        <v>0.19</v>
      </c>
      <c r="G247" s="904">
        <v>0.19</v>
      </c>
      <c r="H247" s="947"/>
      <c r="I247" s="906">
        <v>2420.6</v>
      </c>
      <c r="J247" s="906">
        <v>3822.8</v>
      </c>
      <c r="K247" s="906">
        <v>0</v>
      </c>
      <c r="L247" s="906">
        <v>0</v>
      </c>
      <c r="M247" s="906">
        <v>1497.2</v>
      </c>
      <c r="N247" s="906">
        <v>4563.8</v>
      </c>
      <c r="O247" s="906">
        <v>0</v>
      </c>
      <c r="P247" s="906">
        <v>3598.6</v>
      </c>
      <c r="Q247" s="906">
        <v>4579</v>
      </c>
      <c r="R247" s="906">
        <v>965.2</v>
      </c>
      <c r="S247" s="906">
        <v>1208.4000000000001</v>
      </c>
      <c r="T247" s="906">
        <v>676.4</v>
      </c>
      <c r="U247" s="906"/>
      <c r="V247" s="957">
        <f t="shared" si="89"/>
        <v>23332.000000000004</v>
      </c>
      <c r="W247" s="905"/>
      <c r="X247" s="909">
        <f t="shared" si="82"/>
        <v>12740</v>
      </c>
      <c r="Y247" s="906">
        <f t="shared" si="82"/>
        <v>20120</v>
      </c>
      <c r="Z247" s="906">
        <f t="shared" si="82"/>
        <v>0</v>
      </c>
      <c r="AA247" s="909">
        <f t="shared" si="91"/>
        <v>0</v>
      </c>
      <c r="AB247" s="909">
        <f t="shared" si="91"/>
        <v>7880</v>
      </c>
      <c r="AC247" s="909">
        <f t="shared" si="91"/>
        <v>24020</v>
      </c>
      <c r="AD247" s="909">
        <f t="shared" si="90"/>
        <v>0</v>
      </c>
      <c r="AE247" s="909">
        <f t="shared" si="90"/>
        <v>18940</v>
      </c>
      <c r="AF247" s="909">
        <f t="shared" si="90"/>
        <v>24100</v>
      </c>
      <c r="AG247" s="909">
        <f t="shared" si="90"/>
        <v>5080</v>
      </c>
      <c r="AH247" s="909">
        <f t="shared" si="90"/>
        <v>6360</v>
      </c>
      <c r="AI247" s="909">
        <f t="shared" si="90"/>
        <v>3560</v>
      </c>
      <c r="AJ247" s="907">
        <f t="shared" si="84"/>
        <v>10233.333333333334</v>
      </c>
      <c r="AN247" s="1140">
        <f t="shared" ca="1" si="85"/>
        <v>2.2037389684581043E-3</v>
      </c>
      <c r="AP247" s="1154">
        <f t="shared" ca="1" si="86"/>
        <v>270.61914532665526</v>
      </c>
      <c r="AR247" s="1140">
        <f t="shared" ca="1" si="87"/>
        <v>0.1922037389684581</v>
      </c>
      <c r="AT247" s="1154">
        <f t="shared" ca="1" si="88"/>
        <v>23602.619145326658</v>
      </c>
    </row>
    <row r="248" spans="1:46" ht="13.5" customHeight="1">
      <c r="A248" s="948" t="str">
        <f t="shared" si="81"/>
        <v>PIERCE UTCRolloffFERRY-RO</v>
      </c>
      <c r="B248" s="949" t="s">
        <v>2300</v>
      </c>
      <c r="C248" s="949" t="s">
        <v>2301</v>
      </c>
      <c r="D248" s="949" t="s">
        <v>2236</v>
      </c>
      <c r="E248" s="950">
        <v>31000</v>
      </c>
      <c r="F248" s="951">
        <v>0</v>
      </c>
      <c r="G248" s="951">
        <v>0</v>
      </c>
      <c r="H248" s="952"/>
      <c r="I248" s="1025">
        <v>475.2</v>
      </c>
      <c r="J248" s="1025">
        <v>849.4</v>
      </c>
      <c r="K248" s="1025">
        <v>574.5</v>
      </c>
      <c r="L248" s="1025">
        <v>653.85</v>
      </c>
      <c r="M248" s="1025">
        <v>594</v>
      </c>
      <c r="N248" s="1025">
        <v>1241.2</v>
      </c>
      <c r="O248" s="1025">
        <v>1235.2</v>
      </c>
      <c r="P248" s="1025">
        <v>1003.6</v>
      </c>
      <c r="Q248" s="1025">
        <v>1080.8</v>
      </c>
      <c r="R248" s="1025">
        <v>1003.6</v>
      </c>
      <c r="S248" s="1025">
        <v>849.2</v>
      </c>
      <c r="T248" s="1025">
        <v>641.4</v>
      </c>
      <c r="U248" s="1025"/>
      <c r="V248" s="1025">
        <f t="shared" si="89"/>
        <v>10201.950000000001</v>
      </c>
      <c r="W248" s="905"/>
      <c r="X248" s="909">
        <f t="shared" si="82"/>
        <v>0</v>
      </c>
      <c r="Y248" s="906">
        <f t="shared" si="82"/>
        <v>0</v>
      </c>
      <c r="Z248" s="906">
        <f t="shared" si="82"/>
        <v>0</v>
      </c>
      <c r="AA248" s="909">
        <f t="shared" si="91"/>
        <v>0</v>
      </c>
      <c r="AB248" s="909">
        <f t="shared" si="91"/>
        <v>0</v>
      </c>
      <c r="AC248" s="909">
        <f t="shared" si="91"/>
        <v>0</v>
      </c>
      <c r="AD248" s="909">
        <f t="shared" si="90"/>
        <v>0</v>
      </c>
      <c r="AE248" s="909">
        <f t="shared" si="90"/>
        <v>0</v>
      </c>
      <c r="AF248" s="909">
        <f t="shared" si="90"/>
        <v>0</v>
      </c>
      <c r="AG248" s="909">
        <f t="shared" si="90"/>
        <v>0</v>
      </c>
      <c r="AH248" s="909">
        <f t="shared" si="90"/>
        <v>0</v>
      </c>
      <c r="AI248" s="909">
        <f t="shared" si="90"/>
        <v>0</v>
      </c>
      <c r="AJ248" s="907">
        <f t="shared" si="84"/>
        <v>0</v>
      </c>
      <c r="AN248" s="1140">
        <f t="shared" ca="1" si="85"/>
        <v>0</v>
      </c>
      <c r="AP248" s="1154">
        <f t="shared" ca="1" si="86"/>
        <v>0</v>
      </c>
      <c r="AR248" s="1140">
        <f t="shared" ca="1" si="87"/>
        <v>0</v>
      </c>
      <c r="AT248" s="1154">
        <f t="shared" ca="1" si="88"/>
        <v>10201.950000000001</v>
      </c>
    </row>
    <row r="249" spans="1:46">
      <c r="A249" s="884" t="str">
        <f t="shared" si="81"/>
        <v>PIERCE UTCRolloffGATE-RO</v>
      </c>
      <c r="B249" s="889" t="s">
        <v>2302</v>
      </c>
      <c r="C249" s="889" t="s">
        <v>2303</v>
      </c>
      <c r="D249" s="889" t="s">
        <v>2236</v>
      </c>
      <c r="E249" s="883">
        <v>31000</v>
      </c>
      <c r="F249" s="904">
        <v>10.55</v>
      </c>
      <c r="G249" s="904">
        <v>10.55</v>
      </c>
      <c r="H249" s="904"/>
      <c r="I249" s="906">
        <v>0</v>
      </c>
      <c r="J249" s="906">
        <v>0</v>
      </c>
      <c r="K249" s="906">
        <v>0</v>
      </c>
      <c r="L249" s="906">
        <v>0</v>
      </c>
      <c r="M249" s="906">
        <v>0</v>
      </c>
      <c r="N249" s="906">
        <v>0</v>
      </c>
      <c r="O249" s="906">
        <v>0</v>
      </c>
      <c r="P249" s="906">
        <v>0</v>
      </c>
      <c r="Q249" s="906">
        <v>0</v>
      </c>
      <c r="R249" s="906">
        <v>0</v>
      </c>
      <c r="S249" s="906">
        <v>263.75</v>
      </c>
      <c r="T249" s="906">
        <v>422</v>
      </c>
      <c r="U249" s="906"/>
      <c r="V249" s="957">
        <f t="shared" si="89"/>
        <v>685.75</v>
      </c>
      <c r="W249" s="905"/>
      <c r="X249" s="909">
        <f t="shared" si="82"/>
        <v>0</v>
      </c>
      <c r="Y249" s="906">
        <f t="shared" si="82"/>
        <v>0</v>
      </c>
      <c r="Z249" s="906">
        <f t="shared" si="82"/>
        <v>0</v>
      </c>
      <c r="AA249" s="909">
        <f t="shared" si="91"/>
        <v>0</v>
      </c>
      <c r="AB249" s="909">
        <f t="shared" si="91"/>
        <v>0</v>
      </c>
      <c r="AC249" s="909">
        <f t="shared" si="91"/>
        <v>0</v>
      </c>
      <c r="AD249" s="909">
        <f t="shared" si="90"/>
        <v>0</v>
      </c>
      <c r="AE249" s="909">
        <f t="shared" si="90"/>
        <v>0</v>
      </c>
      <c r="AF249" s="909">
        <f t="shared" si="90"/>
        <v>0</v>
      </c>
      <c r="AG249" s="909">
        <f t="shared" si="90"/>
        <v>0</v>
      </c>
      <c r="AH249" s="909">
        <f t="shared" si="90"/>
        <v>25</v>
      </c>
      <c r="AI249" s="909">
        <f t="shared" si="90"/>
        <v>40</v>
      </c>
      <c r="AJ249" s="907">
        <f t="shared" si="84"/>
        <v>5.416666666666667</v>
      </c>
      <c r="AN249" s="1140">
        <f t="shared" ca="1" si="85"/>
        <v>0.12236550588017368</v>
      </c>
      <c r="AP249" s="1154">
        <f t="shared" ca="1" si="86"/>
        <v>7.9537578822112893</v>
      </c>
      <c r="AR249" s="1140">
        <f t="shared" ca="1" si="87"/>
        <v>10.672365505880174</v>
      </c>
      <c r="AT249" s="1154">
        <f t="shared" ca="1" si="88"/>
        <v>693.70375788221133</v>
      </c>
    </row>
    <row r="250" spans="1:46">
      <c r="A250" s="884" t="str">
        <f t="shared" si="81"/>
        <v>PIERCE UTCRolloffLIDRO</v>
      </c>
      <c r="B250" s="889" t="s">
        <v>2304</v>
      </c>
      <c r="C250" s="889" t="s">
        <v>2303</v>
      </c>
      <c r="D250" s="889" t="s">
        <v>2236</v>
      </c>
      <c r="E250" s="883">
        <v>31000</v>
      </c>
      <c r="F250" s="904">
        <v>19.850000000000001</v>
      </c>
      <c r="G250" s="904">
        <v>19.850000000000001</v>
      </c>
      <c r="H250" s="904"/>
      <c r="I250" s="906">
        <v>1431.75</v>
      </c>
      <c r="J250" s="906">
        <v>1510.52</v>
      </c>
      <c r="K250" s="906">
        <v>1530.61</v>
      </c>
      <c r="L250" s="906">
        <v>1513.41</v>
      </c>
      <c r="M250" s="906">
        <v>1469.57</v>
      </c>
      <c r="N250" s="906">
        <v>1465.07</v>
      </c>
      <c r="O250" s="906">
        <v>1535.07</v>
      </c>
      <c r="P250" s="906">
        <v>1541.25</v>
      </c>
      <c r="Q250" s="906">
        <v>1497.55</v>
      </c>
      <c r="R250" s="906">
        <v>1509.27</v>
      </c>
      <c r="S250" s="906">
        <v>1545.78</v>
      </c>
      <c r="T250" s="906">
        <v>1509.92</v>
      </c>
      <c r="U250" s="906"/>
      <c r="V250" s="957">
        <f t="shared" si="89"/>
        <v>18059.769999999997</v>
      </c>
      <c r="W250" s="905"/>
      <c r="X250" s="909">
        <f t="shared" si="82"/>
        <v>72.128463476070522</v>
      </c>
      <c r="Y250" s="906">
        <f t="shared" si="82"/>
        <v>76.09672544080604</v>
      </c>
      <c r="Z250" s="906">
        <f t="shared" si="82"/>
        <v>77.108816120906795</v>
      </c>
      <c r="AA250" s="909">
        <f t="shared" si="91"/>
        <v>76.242317380352645</v>
      </c>
      <c r="AB250" s="909">
        <f t="shared" si="91"/>
        <v>74.033753148614608</v>
      </c>
      <c r="AC250" s="909">
        <f t="shared" si="91"/>
        <v>73.807052896725438</v>
      </c>
      <c r="AD250" s="909">
        <f t="shared" si="90"/>
        <v>77.333501259445839</v>
      </c>
      <c r="AE250" s="909">
        <f t="shared" si="90"/>
        <v>77.644836272040294</v>
      </c>
      <c r="AF250" s="909">
        <f t="shared" si="90"/>
        <v>75.443324937027697</v>
      </c>
      <c r="AG250" s="909">
        <f t="shared" si="90"/>
        <v>76.033753148614608</v>
      </c>
      <c r="AH250" s="909">
        <f t="shared" si="90"/>
        <v>77.873047858942058</v>
      </c>
      <c r="AI250" s="909">
        <f t="shared" si="90"/>
        <v>76.066498740554152</v>
      </c>
      <c r="AJ250" s="907">
        <f t="shared" si="84"/>
        <v>75.817674223341726</v>
      </c>
      <c r="AN250" s="1140">
        <f t="shared" ca="1" si="85"/>
        <v>0.230232729073123</v>
      </c>
      <c r="AP250" s="1154">
        <f t="shared" ca="1" si="86"/>
        <v>209.46852058100325</v>
      </c>
      <c r="AR250" s="1140">
        <f t="shared" ca="1" si="87"/>
        <v>20.080232729073124</v>
      </c>
      <c r="AT250" s="1154">
        <f t="shared" ca="1" si="88"/>
        <v>18269.238520580999</v>
      </c>
    </row>
    <row r="251" spans="1:46">
      <c r="A251" s="884" t="str">
        <f t="shared" si="81"/>
        <v>PIERCE UTCRolloffLOCK-RO</v>
      </c>
      <c r="B251" s="889" t="s">
        <v>2305</v>
      </c>
      <c r="C251" s="889" t="s">
        <v>2306</v>
      </c>
      <c r="D251" s="889" t="s">
        <v>2236</v>
      </c>
      <c r="E251" s="883">
        <v>31000</v>
      </c>
      <c r="F251" s="904">
        <v>0</v>
      </c>
      <c r="G251" s="904">
        <v>10.55</v>
      </c>
      <c r="H251" s="904"/>
      <c r="I251" s="906">
        <v>0</v>
      </c>
      <c r="J251" s="906">
        <v>0</v>
      </c>
      <c r="K251" s="906">
        <v>0</v>
      </c>
      <c r="L251" s="906">
        <v>0</v>
      </c>
      <c r="M251" s="906">
        <v>0</v>
      </c>
      <c r="N251" s="906">
        <v>0</v>
      </c>
      <c r="O251" s="906">
        <v>0</v>
      </c>
      <c r="P251" s="906">
        <v>0</v>
      </c>
      <c r="Q251" s="906">
        <v>0</v>
      </c>
      <c r="R251" s="906">
        <v>0</v>
      </c>
      <c r="S251" s="906">
        <v>10.55</v>
      </c>
      <c r="T251" s="906">
        <v>10.55</v>
      </c>
      <c r="U251" s="906"/>
      <c r="V251" s="957">
        <f t="shared" si="89"/>
        <v>21.1</v>
      </c>
      <c r="W251" s="905"/>
      <c r="X251" s="909">
        <f t="shared" si="82"/>
        <v>0</v>
      </c>
      <c r="Y251" s="906">
        <f t="shared" si="82"/>
        <v>0</v>
      </c>
      <c r="Z251" s="906">
        <f t="shared" si="82"/>
        <v>0</v>
      </c>
      <c r="AA251" s="909">
        <f t="shared" si="91"/>
        <v>0</v>
      </c>
      <c r="AB251" s="909">
        <f t="shared" si="91"/>
        <v>0</v>
      </c>
      <c r="AC251" s="909">
        <f t="shared" si="91"/>
        <v>0</v>
      </c>
      <c r="AD251" s="909">
        <f t="shared" si="90"/>
        <v>0</v>
      </c>
      <c r="AE251" s="909">
        <f t="shared" si="90"/>
        <v>0</v>
      </c>
      <c r="AF251" s="909">
        <f t="shared" si="90"/>
        <v>0</v>
      </c>
      <c r="AG251" s="909">
        <f t="shared" si="90"/>
        <v>0</v>
      </c>
      <c r="AH251" s="909">
        <f t="shared" si="90"/>
        <v>1</v>
      </c>
      <c r="AI251" s="909">
        <f t="shared" si="90"/>
        <v>1</v>
      </c>
      <c r="AJ251" s="907">
        <f t="shared" si="84"/>
        <v>0.16666666666666666</v>
      </c>
      <c r="AN251" s="1140">
        <f t="shared" ca="1" si="85"/>
        <v>0.12236550588017368</v>
      </c>
      <c r="AP251" s="1154">
        <f t="shared" ca="1" si="86"/>
        <v>0.24473101176034734</v>
      </c>
      <c r="AR251" s="1140">
        <f t="shared" ca="1" si="87"/>
        <v>10.672365505880174</v>
      </c>
      <c r="AT251" s="1154">
        <f t="shared" ca="1" si="88"/>
        <v>21.344731011760349</v>
      </c>
    </row>
    <row r="252" spans="1:46">
      <c r="A252" s="884" t="str">
        <f t="shared" si="81"/>
        <v>PIERCE UTCRolloffMILE-RO</v>
      </c>
      <c r="B252" s="889" t="s">
        <v>2307</v>
      </c>
      <c r="C252" s="889" t="s">
        <v>2308</v>
      </c>
      <c r="D252" s="889" t="s">
        <v>2236</v>
      </c>
      <c r="E252" s="883">
        <v>31000</v>
      </c>
      <c r="F252" s="904">
        <v>3</v>
      </c>
      <c r="G252" s="904">
        <v>3</v>
      </c>
      <c r="H252" s="904"/>
      <c r="I252" s="906">
        <v>1215</v>
      </c>
      <c r="J252" s="906">
        <v>2262</v>
      </c>
      <c r="K252" s="906">
        <v>2307</v>
      </c>
      <c r="L252" s="906">
        <v>2724</v>
      </c>
      <c r="M252" s="906">
        <v>2646</v>
      </c>
      <c r="N252" s="906">
        <v>2646</v>
      </c>
      <c r="O252" s="906">
        <v>2457</v>
      </c>
      <c r="P252" s="906">
        <v>2316</v>
      </c>
      <c r="Q252" s="906">
        <v>2493</v>
      </c>
      <c r="R252" s="906">
        <v>2736</v>
      </c>
      <c r="S252" s="906">
        <v>2814</v>
      </c>
      <c r="T252" s="906">
        <v>2361</v>
      </c>
      <c r="U252" s="906"/>
      <c r="V252" s="957">
        <f t="shared" si="89"/>
        <v>28977</v>
      </c>
      <c r="W252" s="905"/>
      <c r="X252" s="909">
        <f t="shared" si="82"/>
        <v>405</v>
      </c>
      <c r="Y252" s="906">
        <f t="shared" si="82"/>
        <v>754</v>
      </c>
      <c r="Z252" s="906">
        <f t="shared" si="82"/>
        <v>769</v>
      </c>
      <c r="AA252" s="909">
        <f t="shared" si="91"/>
        <v>908</v>
      </c>
      <c r="AB252" s="909">
        <f t="shared" si="91"/>
        <v>882</v>
      </c>
      <c r="AC252" s="909">
        <f t="shared" si="91"/>
        <v>882</v>
      </c>
      <c r="AD252" s="909">
        <f t="shared" si="90"/>
        <v>819</v>
      </c>
      <c r="AE252" s="909">
        <f t="shared" si="90"/>
        <v>772</v>
      </c>
      <c r="AF252" s="909">
        <f t="shared" si="90"/>
        <v>831</v>
      </c>
      <c r="AG252" s="909">
        <f t="shared" si="90"/>
        <v>912</v>
      </c>
      <c r="AH252" s="909">
        <f t="shared" si="90"/>
        <v>938</v>
      </c>
      <c r="AI252" s="909">
        <f t="shared" si="90"/>
        <v>787</v>
      </c>
      <c r="AJ252" s="907">
        <f t="shared" si="84"/>
        <v>804.91666666666663</v>
      </c>
      <c r="AN252" s="1140">
        <f t="shared" ca="1" si="85"/>
        <v>3.4795878449338485E-2</v>
      </c>
      <c r="AP252" s="1154">
        <f t="shared" ca="1" si="86"/>
        <v>336.0933899421604</v>
      </c>
      <c r="AR252" s="1140">
        <f t="shared" ca="1" si="87"/>
        <v>3.0347958784493385</v>
      </c>
      <c r="AT252" s="1154">
        <f t="shared" ca="1" si="88"/>
        <v>29313.093389942162</v>
      </c>
    </row>
    <row r="253" spans="1:46">
      <c r="A253" s="884" t="str">
        <f t="shared" si="81"/>
        <v>PIERCE UTCRolloffRTRNTRIP-RO</v>
      </c>
      <c r="B253" s="889" t="s">
        <v>2309</v>
      </c>
      <c r="C253" s="889" t="s">
        <v>2310</v>
      </c>
      <c r="D253" s="889" t="s">
        <v>2236</v>
      </c>
      <c r="E253" s="883">
        <v>31000</v>
      </c>
      <c r="F253" s="904">
        <v>60</v>
      </c>
      <c r="G253" s="904">
        <v>60</v>
      </c>
      <c r="H253" s="904"/>
      <c r="I253" s="906">
        <v>2100</v>
      </c>
      <c r="J253" s="906">
        <v>660</v>
      </c>
      <c r="K253" s="906">
        <v>-120</v>
      </c>
      <c r="L253" s="906">
        <v>660</v>
      </c>
      <c r="M253" s="906">
        <v>1080</v>
      </c>
      <c r="N253" s="906">
        <v>900</v>
      </c>
      <c r="O253" s="906">
        <v>840</v>
      </c>
      <c r="P253" s="906">
        <v>900</v>
      </c>
      <c r="Q253" s="906">
        <v>1080</v>
      </c>
      <c r="R253" s="906">
        <v>1080</v>
      </c>
      <c r="S253" s="906">
        <v>720</v>
      </c>
      <c r="T253" s="906">
        <v>1020</v>
      </c>
      <c r="U253" s="906"/>
      <c r="V253" s="957">
        <f t="shared" si="89"/>
        <v>10920</v>
      </c>
      <c r="W253" s="905"/>
      <c r="X253" s="909">
        <f t="shared" si="82"/>
        <v>35</v>
      </c>
      <c r="Y253" s="906">
        <f t="shared" si="82"/>
        <v>11</v>
      </c>
      <c r="Z253" s="906">
        <f t="shared" si="82"/>
        <v>-2</v>
      </c>
      <c r="AA253" s="909">
        <f t="shared" si="91"/>
        <v>11</v>
      </c>
      <c r="AB253" s="909">
        <f t="shared" si="91"/>
        <v>18</v>
      </c>
      <c r="AC253" s="909">
        <f t="shared" si="91"/>
        <v>15</v>
      </c>
      <c r="AD253" s="909">
        <f t="shared" si="90"/>
        <v>14</v>
      </c>
      <c r="AE253" s="909">
        <f t="shared" si="90"/>
        <v>15</v>
      </c>
      <c r="AF253" s="909">
        <f t="shared" si="90"/>
        <v>18</v>
      </c>
      <c r="AG253" s="909">
        <f t="shared" si="90"/>
        <v>18</v>
      </c>
      <c r="AH253" s="909">
        <f t="shared" si="90"/>
        <v>12</v>
      </c>
      <c r="AI253" s="909">
        <f t="shared" si="90"/>
        <v>17</v>
      </c>
      <c r="AJ253" s="907">
        <f t="shared" si="84"/>
        <v>15.166666666666666</v>
      </c>
      <c r="AN253" s="1140">
        <f t="shared" ca="1" si="85"/>
        <v>0.69591756898676971</v>
      </c>
      <c r="AP253" s="1154">
        <f t="shared" ca="1" si="86"/>
        <v>126.65699755559208</v>
      </c>
      <c r="AR253" s="1140">
        <f t="shared" ca="1" si="87"/>
        <v>60.695917568986772</v>
      </c>
      <c r="AT253" s="1154">
        <f t="shared" ca="1" si="88"/>
        <v>11046.656997555592</v>
      </c>
    </row>
    <row r="254" spans="1:46">
      <c r="A254" s="884" t="str">
        <f t="shared" si="81"/>
        <v>PIERCE UTCRolloffTIME-RO</v>
      </c>
      <c r="B254" s="889" t="s">
        <v>2311</v>
      </c>
      <c r="C254" s="889" t="s">
        <v>2312</v>
      </c>
      <c r="D254" s="889" t="s">
        <v>2236</v>
      </c>
      <c r="E254" s="883">
        <v>31000</v>
      </c>
      <c r="F254" s="904">
        <v>112.5</v>
      </c>
      <c r="G254" s="904">
        <v>112.5</v>
      </c>
      <c r="H254" s="904"/>
      <c r="I254" s="906">
        <v>8100.01</v>
      </c>
      <c r="J254" s="906">
        <v>10012.51</v>
      </c>
      <c r="K254" s="906">
        <v>7621.89</v>
      </c>
      <c r="L254" s="906">
        <v>13781.27</v>
      </c>
      <c r="M254" s="906">
        <v>12712.52</v>
      </c>
      <c r="N254" s="906">
        <v>12937.51</v>
      </c>
      <c r="O254" s="906">
        <v>19406.259999999998</v>
      </c>
      <c r="P254" s="906">
        <v>12628.14</v>
      </c>
      <c r="Q254" s="906">
        <v>10968.77</v>
      </c>
      <c r="R254" s="906">
        <v>12318.76</v>
      </c>
      <c r="S254" s="906">
        <v>22183.97</v>
      </c>
      <c r="T254" s="906">
        <v>11925.09</v>
      </c>
      <c r="U254" s="906"/>
      <c r="V254" s="957">
        <f t="shared" si="89"/>
        <v>154596.69999999998</v>
      </c>
      <c r="W254" s="905"/>
      <c r="X254" s="909">
        <f t="shared" si="82"/>
        <v>72.000088888888897</v>
      </c>
      <c r="Y254" s="906">
        <f t="shared" si="82"/>
        <v>89.000088888888897</v>
      </c>
      <c r="Z254" s="906">
        <f t="shared" si="82"/>
        <v>67.750133333333338</v>
      </c>
      <c r="AA254" s="909">
        <f t="shared" si="91"/>
        <v>122.50017777777778</v>
      </c>
      <c r="AB254" s="909">
        <f t="shared" si="91"/>
        <v>113.00017777777778</v>
      </c>
      <c r="AC254" s="909">
        <f t="shared" si="91"/>
        <v>115.0000888888889</v>
      </c>
      <c r="AD254" s="909">
        <f t="shared" si="90"/>
        <v>172.50008888888888</v>
      </c>
      <c r="AE254" s="909">
        <f t="shared" si="90"/>
        <v>112.25013333333332</v>
      </c>
      <c r="AF254" s="909">
        <f t="shared" si="90"/>
        <v>97.500177777777779</v>
      </c>
      <c r="AG254" s="909">
        <f t="shared" si="90"/>
        <v>109.5000888888889</v>
      </c>
      <c r="AH254" s="909">
        <f t="shared" si="90"/>
        <v>197.19084444444445</v>
      </c>
      <c r="AI254" s="909">
        <f t="shared" si="90"/>
        <v>106.0008</v>
      </c>
      <c r="AJ254" s="907">
        <f t="shared" si="84"/>
        <v>114.51607407407408</v>
      </c>
      <c r="AN254" s="1140">
        <f t="shared" ca="1" si="85"/>
        <v>1.3048454418501931</v>
      </c>
      <c r="AP254" s="1154">
        <f t="shared" ca="1" si="86"/>
        <v>1793.1093272896157</v>
      </c>
      <c r="AR254" s="1140">
        <f t="shared" ca="1" si="87"/>
        <v>113.80484544185019</v>
      </c>
      <c r="AT254" s="1154">
        <f t="shared" ca="1" si="88"/>
        <v>156389.80932728961</v>
      </c>
    </row>
    <row r="255" spans="1:46">
      <c r="B255" s="889"/>
      <c r="C255" s="889"/>
      <c r="D255" s="889"/>
      <c r="F255" s="904"/>
      <c r="G255" s="904"/>
      <c r="H255" s="904"/>
      <c r="I255" s="906"/>
      <c r="J255" s="906"/>
      <c r="K255" s="906"/>
      <c r="L255" s="906"/>
      <c r="M255" s="906"/>
      <c r="N255" s="906"/>
      <c r="O255" s="906"/>
      <c r="P255" s="906"/>
      <c r="Q255" s="906"/>
      <c r="R255" s="906"/>
      <c r="S255" s="906"/>
      <c r="T255" s="906"/>
      <c r="U255" s="916"/>
      <c r="V255" s="957"/>
      <c r="W255" s="905"/>
      <c r="X255" s="909"/>
      <c r="Y255" s="906"/>
      <c r="Z255" s="906"/>
      <c r="AA255" s="909"/>
      <c r="AB255" s="909"/>
      <c r="AC255" s="909"/>
      <c r="AD255" s="909"/>
      <c r="AE255" s="909"/>
      <c r="AF255" s="909"/>
      <c r="AG255" s="909"/>
      <c r="AH255" s="909"/>
      <c r="AI255" s="909"/>
    </row>
    <row r="256" spans="1:46">
      <c r="B256" s="889"/>
      <c r="C256" s="910" t="s">
        <v>2313</v>
      </c>
      <c r="D256" s="889"/>
      <c r="F256" s="904"/>
      <c r="G256" s="904"/>
      <c r="H256" s="904"/>
      <c r="I256" s="913">
        <f>SUM(I215:I254)</f>
        <v>107922.13</v>
      </c>
      <c r="J256" s="913">
        <f t="shared" ref="J256:T256" si="92">SUM(J215:J254)</f>
        <v>133591.43000000002</v>
      </c>
      <c r="K256" s="913">
        <f t="shared" si="92"/>
        <v>101899.83</v>
      </c>
      <c r="L256" s="913">
        <f t="shared" si="92"/>
        <v>131877.37</v>
      </c>
      <c r="M256" s="913">
        <f t="shared" si="92"/>
        <v>135042.31</v>
      </c>
      <c r="N256" s="913">
        <f t="shared" si="92"/>
        <v>152352.05000000005</v>
      </c>
      <c r="O256" s="913">
        <f t="shared" si="92"/>
        <v>144592.81</v>
      </c>
      <c r="P256" s="913">
        <f t="shared" si="92"/>
        <v>143724.33000000002</v>
      </c>
      <c r="Q256" s="913">
        <f t="shared" si="92"/>
        <v>149273.08999999997</v>
      </c>
      <c r="R256" s="913">
        <f t="shared" si="92"/>
        <v>142407.00000000003</v>
      </c>
      <c r="S256" s="913">
        <f t="shared" si="92"/>
        <v>151324.81</v>
      </c>
      <c r="T256" s="913">
        <f t="shared" si="92"/>
        <v>123644.63999999998</v>
      </c>
      <c r="U256" s="916"/>
      <c r="V256" s="913">
        <f>SUM(V215:V254)</f>
        <v>1617651.7999999998</v>
      </c>
      <c r="W256" s="914"/>
      <c r="X256" s="953">
        <f>SUM(X236:X238)+SUM(X239:X241)/30</f>
        <v>139.67624649859943</v>
      </c>
      <c r="Y256" s="953">
        <f t="shared" ref="Y256:AJ256" si="93">SUM(Y236:Y238)+SUM(Y239:Y241)/30</f>
        <v>144.86044817927171</v>
      </c>
      <c r="Z256" s="953">
        <f t="shared" si="93"/>
        <v>138.04532212885155</v>
      </c>
      <c r="AA256" s="953">
        <f t="shared" si="93"/>
        <v>149.79333976213437</v>
      </c>
      <c r="AB256" s="953">
        <f t="shared" si="93"/>
        <v>145.39001390766097</v>
      </c>
      <c r="AC256" s="953">
        <f t="shared" si="93"/>
        <v>159.83576817243295</v>
      </c>
      <c r="AD256" s="953">
        <f t="shared" si="93"/>
        <v>155.8233972423921</v>
      </c>
      <c r="AE256" s="953">
        <f t="shared" si="93"/>
        <v>164.65053221288514</v>
      </c>
      <c r="AF256" s="953">
        <f t="shared" si="93"/>
        <v>173.93731092436974</v>
      </c>
      <c r="AG256" s="953">
        <f t="shared" si="93"/>
        <v>162.55954281013103</v>
      </c>
      <c r="AH256" s="953">
        <f t="shared" si="93"/>
        <v>150.42509803921567</v>
      </c>
      <c r="AI256" s="953">
        <f t="shared" si="93"/>
        <v>147.15426939707919</v>
      </c>
      <c r="AJ256" s="953">
        <f t="shared" si="93"/>
        <v>152.67927410625197</v>
      </c>
      <c r="AP256" s="1156">
        <f ca="1">SUM(AP215:AP254)</f>
        <v>18670.343516007149</v>
      </c>
      <c r="AT256" s="1156">
        <f ca="1">SUM(AT215:AT254)</f>
        <v>1636322.1435160066</v>
      </c>
    </row>
    <row r="257" spans="1:46">
      <c r="B257" s="889"/>
      <c r="C257" s="889"/>
      <c r="D257" s="889"/>
      <c r="F257" s="904"/>
      <c r="G257" s="904"/>
      <c r="H257" s="904"/>
      <c r="I257" s="906"/>
      <c r="J257" s="906"/>
      <c r="K257" s="906"/>
      <c r="L257" s="906"/>
      <c r="M257" s="906"/>
      <c r="N257" s="906"/>
      <c r="O257" s="906"/>
      <c r="P257" s="906"/>
      <c r="Q257" s="906"/>
      <c r="R257" s="906"/>
      <c r="S257" s="906"/>
      <c r="T257" s="906"/>
      <c r="U257" s="916"/>
      <c r="V257" s="957"/>
      <c r="W257" s="945"/>
      <c r="X257" s="909"/>
      <c r="Y257" s="906"/>
      <c r="Z257" s="906"/>
      <c r="AA257" s="909"/>
      <c r="AB257" s="909"/>
      <c r="AC257" s="909"/>
      <c r="AD257" s="909"/>
      <c r="AE257" s="909"/>
      <c r="AF257" s="909"/>
      <c r="AG257" s="909"/>
      <c r="AH257" s="909"/>
      <c r="AI257" s="909"/>
    </row>
    <row r="258" spans="1:46">
      <c r="B258" s="918" t="s">
        <v>2314</v>
      </c>
      <c r="C258" s="889"/>
      <c r="D258" s="889"/>
      <c r="F258" s="904"/>
      <c r="G258" s="904"/>
      <c r="H258" s="904"/>
      <c r="I258" s="906"/>
      <c r="J258" s="906"/>
      <c r="K258" s="906"/>
      <c r="L258" s="906"/>
      <c r="M258" s="906"/>
      <c r="N258" s="906"/>
      <c r="O258" s="906"/>
      <c r="P258" s="906"/>
      <c r="Q258" s="906"/>
      <c r="R258" s="906"/>
      <c r="S258" s="906"/>
      <c r="T258" s="906"/>
      <c r="U258" s="916"/>
      <c r="V258" s="957"/>
      <c r="W258" s="945"/>
      <c r="X258" s="909"/>
      <c r="Y258" s="906"/>
      <c r="Z258" s="906"/>
      <c r="AA258" s="909"/>
      <c r="AB258" s="909"/>
      <c r="AC258" s="909"/>
      <c r="AD258" s="909"/>
      <c r="AE258" s="909"/>
      <c r="AF258" s="909"/>
      <c r="AG258" s="909"/>
      <c r="AH258" s="909"/>
      <c r="AI258" s="909"/>
    </row>
    <row r="259" spans="1:46">
      <c r="A259" s="884" t="str">
        <f>$B$3&amp;"Rolloff"&amp;B259</f>
        <v>PIERCE UTCRolloffDISP-RO</v>
      </c>
      <c r="B259" s="889" t="s">
        <v>2315</v>
      </c>
      <c r="C259" s="889" t="s">
        <v>2316</v>
      </c>
      <c r="D259" s="889" t="s">
        <v>2317</v>
      </c>
      <c r="E259" s="883">
        <v>31005</v>
      </c>
      <c r="F259" s="904">
        <v>157.38</v>
      </c>
      <c r="G259" s="904">
        <v>164.34</v>
      </c>
      <c r="H259" s="904"/>
      <c r="I259" s="906">
        <v>218542.89</v>
      </c>
      <c r="J259" s="906">
        <v>253295.87</v>
      </c>
      <c r="K259" s="906">
        <v>200733.65</v>
      </c>
      <c r="L259" s="906">
        <v>250283.03</v>
      </c>
      <c r="M259" s="906">
        <v>259805.4</v>
      </c>
      <c r="N259" s="906">
        <v>274766.96000000002</v>
      </c>
      <c r="O259" s="906">
        <v>255037.89</v>
      </c>
      <c r="P259" s="906">
        <v>253435.58000000002</v>
      </c>
      <c r="Q259" s="906">
        <v>278290.40000000002</v>
      </c>
      <c r="R259" s="906">
        <v>266891.71999999997</v>
      </c>
      <c r="S259" s="906">
        <v>257491.56</v>
      </c>
      <c r="T259" s="906">
        <v>231994.14</v>
      </c>
      <c r="U259" s="916"/>
      <c r="V259" s="957">
        <f t="shared" ref="V259:V260" si="94">SUM(I259:T259)</f>
        <v>3000569.09</v>
      </c>
      <c r="W259" s="905"/>
      <c r="X259" s="909">
        <f t="shared" ref="X259:Z260" si="95">IFERROR(I259/$F259,0)</f>
        <v>1388.6319100266871</v>
      </c>
      <c r="Y259" s="906">
        <f t="shared" si="95"/>
        <v>1609.4539966958953</v>
      </c>
      <c r="Z259" s="906">
        <f t="shared" si="95"/>
        <v>1275.4711526242215</v>
      </c>
      <c r="AA259" s="909">
        <f t="shared" ref="AA259:AI260" si="96">IFERROR(L259/$G259,0)</f>
        <v>1522.9586832177192</v>
      </c>
      <c r="AB259" s="909">
        <f t="shared" si="96"/>
        <v>1580.901788974078</v>
      </c>
      <c r="AC259" s="909">
        <f t="shared" si="96"/>
        <v>1671.9420713155653</v>
      </c>
      <c r="AD259" s="909">
        <f t="shared" si="96"/>
        <v>1551.8917488134357</v>
      </c>
      <c r="AE259" s="909">
        <f t="shared" si="96"/>
        <v>1542.1417792381649</v>
      </c>
      <c r="AF259" s="909">
        <f t="shared" si="96"/>
        <v>1693.3820129000853</v>
      </c>
      <c r="AG259" s="909">
        <f t="shared" si="96"/>
        <v>1624.0216624072043</v>
      </c>
      <c r="AH259" s="909">
        <f t="shared" si="96"/>
        <v>1566.8221978824388</v>
      </c>
      <c r="AI259" s="909">
        <f t="shared" si="96"/>
        <v>1411.6717780211757</v>
      </c>
      <c r="AJ259" s="907">
        <f>AVERAGE(X259:AI259)</f>
        <v>1536.6075651763895</v>
      </c>
      <c r="AN259" s="1140"/>
      <c r="AR259" s="1140"/>
    </row>
    <row r="260" spans="1:46">
      <c r="A260" s="884" t="str">
        <f>$B$3&amp;"Rolloff"&amp;B260</f>
        <v>PIERCE UTCRolloffDISPFEDMSW-RO</v>
      </c>
      <c r="B260" s="889" t="s">
        <v>2318</v>
      </c>
      <c r="C260" s="889" t="str">
        <f>VLOOKUP($B260,'[45]RM Data'!$H:$I,2,FALSE)</f>
        <v xml:space="preserve">DISPOSAL FEE FEDERAL MSW </v>
      </c>
      <c r="D260" s="889"/>
      <c r="F260" s="904">
        <v>0</v>
      </c>
      <c r="G260" s="904">
        <v>0</v>
      </c>
      <c r="H260" s="904"/>
      <c r="I260" s="906">
        <v>0</v>
      </c>
      <c r="J260" s="906">
        <v>0</v>
      </c>
      <c r="K260" s="906">
        <v>0</v>
      </c>
      <c r="L260" s="906">
        <v>0</v>
      </c>
      <c r="M260" s="906">
        <v>0</v>
      </c>
      <c r="N260" s="906">
        <v>95.74</v>
      </c>
      <c r="O260" s="906">
        <v>0</v>
      </c>
      <c r="P260" s="906">
        <v>-95.74</v>
      </c>
      <c r="Q260" s="906">
        <v>0</v>
      </c>
      <c r="R260" s="906">
        <v>0</v>
      </c>
      <c r="S260" s="906">
        <v>368.33</v>
      </c>
      <c r="T260" s="906">
        <v>0</v>
      </c>
      <c r="U260" s="916"/>
      <c r="V260" s="957">
        <f t="shared" si="94"/>
        <v>368.33</v>
      </c>
      <c r="W260" s="905"/>
      <c r="X260" s="909">
        <f t="shared" si="95"/>
        <v>0</v>
      </c>
      <c r="Y260" s="906">
        <f t="shared" si="95"/>
        <v>0</v>
      </c>
      <c r="Z260" s="906">
        <f t="shared" si="95"/>
        <v>0</v>
      </c>
      <c r="AA260" s="909">
        <f t="shared" si="96"/>
        <v>0</v>
      </c>
      <c r="AB260" s="909">
        <f t="shared" si="96"/>
        <v>0</v>
      </c>
      <c r="AC260" s="909">
        <f t="shared" si="96"/>
        <v>0</v>
      </c>
      <c r="AD260" s="909">
        <f t="shared" si="96"/>
        <v>0</v>
      </c>
      <c r="AE260" s="909">
        <f t="shared" si="96"/>
        <v>0</v>
      </c>
      <c r="AF260" s="909">
        <f t="shared" si="96"/>
        <v>0</v>
      </c>
      <c r="AG260" s="909">
        <f t="shared" si="96"/>
        <v>0</v>
      </c>
      <c r="AH260" s="909">
        <f t="shared" si="96"/>
        <v>0</v>
      </c>
      <c r="AI260" s="909">
        <f t="shared" si="96"/>
        <v>0</v>
      </c>
      <c r="AJ260" s="907">
        <f>AVERAGE(X260:AI260)</f>
        <v>0</v>
      </c>
      <c r="AN260" s="1140"/>
      <c r="AR260" s="1140"/>
    </row>
    <row r="261" spans="1:46">
      <c r="B261" s="889"/>
      <c r="C261" s="889"/>
      <c r="D261" s="889"/>
      <c r="F261" s="904"/>
      <c r="G261" s="904"/>
      <c r="H261" s="904"/>
      <c r="I261" s="906"/>
      <c r="J261" s="906"/>
      <c r="K261" s="906"/>
      <c r="L261" s="906"/>
      <c r="M261" s="906"/>
      <c r="N261" s="906"/>
      <c r="O261" s="906"/>
      <c r="P261" s="906"/>
      <c r="Q261" s="906"/>
      <c r="R261" s="906"/>
      <c r="S261" s="906"/>
      <c r="T261" s="906"/>
      <c r="U261" s="916"/>
      <c r="V261" s="957"/>
      <c r="W261" s="905"/>
      <c r="X261" s="909"/>
      <c r="Y261" s="906"/>
      <c r="Z261" s="906"/>
      <c r="AA261" s="909"/>
      <c r="AB261" s="909"/>
      <c r="AC261" s="909"/>
      <c r="AD261" s="909"/>
      <c r="AE261" s="909"/>
      <c r="AF261" s="909"/>
      <c r="AG261" s="909"/>
      <c r="AH261" s="909"/>
      <c r="AI261" s="909"/>
    </row>
    <row r="262" spans="1:46">
      <c r="B262" s="889"/>
      <c r="C262" s="910" t="s">
        <v>2319</v>
      </c>
      <c r="D262" s="889"/>
      <c r="F262" s="904"/>
      <c r="G262" s="904"/>
      <c r="H262" s="904"/>
      <c r="I262" s="913">
        <f>SUM(I259:I261)</f>
        <v>218542.89</v>
      </c>
      <c r="J262" s="913">
        <f t="shared" ref="J262:T262" si="97">SUM(J259:J261)</f>
        <v>253295.87</v>
      </c>
      <c r="K262" s="913">
        <f t="shared" si="97"/>
        <v>200733.65</v>
      </c>
      <c r="L262" s="913">
        <f t="shared" si="97"/>
        <v>250283.03</v>
      </c>
      <c r="M262" s="913">
        <f t="shared" si="97"/>
        <v>259805.4</v>
      </c>
      <c r="N262" s="913">
        <f t="shared" si="97"/>
        <v>274862.7</v>
      </c>
      <c r="O262" s="913">
        <f>SUM(O259:O261)</f>
        <v>255037.89</v>
      </c>
      <c r="P262" s="913">
        <f>SUM(P259:P261)</f>
        <v>253339.84000000003</v>
      </c>
      <c r="Q262" s="913">
        <f t="shared" si="97"/>
        <v>278290.40000000002</v>
      </c>
      <c r="R262" s="913">
        <f t="shared" si="97"/>
        <v>266891.71999999997</v>
      </c>
      <c r="S262" s="913">
        <f t="shared" si="97"/>
        <v>257859.88999999998</v>
      </c>
      <c r="T262" s="913">
        <f t="shared" si="97"/>
        <v>231994.14</v>
      </c>
      <c r="U262" s="916"/>
      <c r="V262" s="913">
        <f>SUM(V259:V261)</f>
        <v>3000937.42</v>
      </c>
      <c r="W262" s="914"/>
      <c r="X262" s="909"/>
      <c r="Y262" s="906"/>
      <c r="Z262" s="906"/>
      <c r="AA262" s="909"/>
      <c r="AB262" s="909"/>
      <c r="AC262" s="909"/>
      <c r="AD262" s="909"/>
      <c r="AE262" s="909"/>
      <c r="AF262" s="909"/>
      <c r="AG262" s="909"/>
      <c r="AH262" s="909"/>
      <c r="AI262" s="909"/>
      <c r="AT262" s="1156">
        <f>SUM(AT259:AT261)</f>
        <v>0</v>
      </c>
    </row>
    <row r="263" spans="1:46">
      <c r="B263" s="889"/>
      <c r="F263" s="904"/>
      <c r="G263" s="904"/>
      <c r="I263" s="906"/>
      <c r="J263" s="906"/>
      <c r="K263" s="906"/>
      <c r="L263" s="906"/>
      <c r="M263" s="906"/>
      <c r="N263" s="906"/>
      <c r="O263" s="906"/>
      <c r="P263" s="906"/>
      <c r="Q263" s="906"/>
      <c r="R263" s="906"/>
      <c r="S263" s="906"/>
      <c r="T263" s="906"/>
      <c r="U263" s="916"/>
      <c r="V263" s="957"/>
      <c r="W263" s="887"/>
      <c r="X263" s="909"/>
      <c r="Y263" s="906"/>
      <c r="Z263" s="906"/>
      <c r="AA263" s="909"/>
      <c r="AB263" s="909"/>
      <c r="AC263" s="909"/>
      <c r="AD263" s="909"/>
      <c r="AE263" s="909"/>
      <c r="AF263" s="909"/>
      <c r="AG263" s="909"/>
      <c r="AH263" s="909"/>
      <c r="AI263" s="909"/>
    </row>
    <row r="264" spans="1:46">
      <c r="F264" s="904"/>
      <c r="G264" s="904"/>
      <c r="I264" s="906"/>
      <c r="J264" s="906"/>
      <c r="K264" s="906"/>
      <c r="L264" s="906"/>
      <c r="M264" s="906"/>
      <c r="N264" s="906"/>
      <c r="O264" s="906"/>
      <c r="P264" s="906"/>
      <c r="Q264" s="906"/>
      <c r="R264" s="906"/>
      <c r="S264" s="906"/>
      <c r="T264" s="906"/>
      <c r="U264" s="916"/>
      <c r="V264" s="957"/>
      <c r="W264" s="889"/>
      <c r="X264" s="909"/>
      <c r="Y264" s="906"/>
      <c r="Z264" s="906"/>
      <c r="AA264" s="909"/>
      <c r="AB264" s="909"/>
      <c r="AC264" s="909"/>
      <c r="AD264" s="909"/>
      <c r="AE264" s="909"/>
      <c r="AF264" s="909"/>
      <c r="AG264" s="909"/>
      <c r="AH264" s="909"/>
      <c r="AI264" s="909"/>
    </row>
    <row r="265" spans="1:46" s="921" customFormat="1">
      <c r="B265" s="881" t="s">
        <v>2320</v>
      </c>
      <c r="C265" s="881"/>
      <c r="D265" s="881"/>
      <c r="E265" s="892"/>
      <c r="F265" s="904"/>
      <c r="G265" s="904"/>
      <c r="H265" s="881"/>
      <c r="I265" s="917">
        <f>+I256+I262</f>
        <v>326465.02</v>
      </c>
      <c r="J265" s="917">
        <f t="shared" ref="J265:T265" si="98">+J256+J262</f>
        <v>386887.30000000005</v>
      </c>
      <c r="K265" s="917">
        <f t="shared" si="98"/>
        <v>302633.48</v>
      </c>
      <c r="L265" s="917">
        <f t="shared" si="98"/>
        <v>382160.4</v>
      </c>
      <c r="M265" s="917">
        <f t="shared" si="98"/>
        <v>394847.70999999996</v>
      </c>
      <c r="N265" s="917">
        <f>+N256+N262</f>
        <v>427214.75000000006</v>
      </c>
      <c r="O265" s="917">
        <f>+O256+O262</f>
        <v>399630.7</v>
      </c>
      <c r="P265" s="917">
        <f>+P256+P262</f>
        <v>397064.17000000004</v>
      </c>
      <c r="Q265" s="917">
        <f t="shared" si="98"/>
        <v>427563.49</v>
      </c>
      <c r="R265" s="917">
        <f t="shared" si="98"/>
        <v>409298.72</v>
      </c>
      <c r="S265" s="917">
        <f t="shared" si="98"/>
        <v>409184.69999999995</v>
      </c>
      <c r="T265" s="917">
        <f t="shared" si="98"/>
        <v>355638.78</v>
      </c>
      <c r="U265" s="917"/>
      <c r="V265" s="917">
        <f>+V256+V262</f>
        <v>4618589.22</v>
      </c>
      <c r="W265" s="934"/>
      <c r="X265" s="909"/>
      <c r="Y265" s="906"/>
      <c r="Z265" s="906"/>
      <c r="AA265" s="909"/>
      <c r="AB265" s="909"/>
      <c r="AC265" s="909"/>
      <c r="AD265" s="909"/>
      <c r="AE265" s="909"/>
      <c r="AF265" s="909"/>
      <c r="AG265" s="909"/>
      <c r="AH265" s="909"/>
      <c r="AI265" s="909"/>
      <c r="AM265" s="1144"/>
      <c r="AN265" s="1144"/>
      <c r="AO265" s="1144"/>
      <c r="AP265" s="1158">
        <f ca="1">+AP256+AP262</f>
        <v>18670.343516007149</v>
      </c>
      <c r="AQ265" s="1144"/>
      <c r="AR265" s="1144"/>
      <c r="AS265" s="1144"/>
      <c r="AT265" s="1158">
        <f ca="1">+AT256+AT262</f>
        <v>1636322.1435160066</v>
      </c>
    </row>
    <row r="266" spans="1:46" s="921" customFormat="1">
      <c r="B266" s="881"/>
      <c r="C266" s="881"/>
      <c r="D266" s="881"/>
      <c r="E266" s="892"/>
      <c r="F266" s="904"/>
      <c r="G266" s="904"/>
      <c r="H266" s="935"/>
      <c r="I266" s="906"/>
      <c r="J266" s="906"/>
      <c r="K266" s="906"/>
      <c r="L266" s="906"/>
      <c r="M266" s="906"/>
      <c r="N266" s="906"/>
      <c r="O266" s="906"/>
      <c r="P266" s="906"/>
      <c r="Q266" s="906"/>
      <c r="R266" s="906"/>
      <c r="S266" s="906"/>
      <c r="T266" s="906"/>
      <c r="U266" s="906"/>
      <c r="V266" s="957"/>
      <c r="W266" s="936"/>
      <c r="X266" s="909"/>
      <c r="Y266" s="906"/>
      <c r="Z266" s="906"/>
      <c r="AA266" s="909"/>
      <c r="AB266" s="909"/>
      <c r="AC266" s="909"/>
      <c r="AD266" s="909"/>
      <c r="AE266" s="909"/>
      <c r="AF266" s="909"/>
      <c r="AG266" s="909"/>
      <c r="AH266" s="909"/>
      <c r="AI266" s="909"/>
      <c r="AM266" s="1144"/>
      <c r="AN266" s="1144"/>
      <c r="AO266" s="1144"/>
      <c r="AP266" s="1159"/>
      <c r="AQ266" s="1144"/>
      <c r="AR266" s="1144"/>
      <c r="AS266" s="1144"/>
      <c r="AT266" s="1159"/>
    </row>
    <row r="267" spans="1:46">
      <c r="F267" s="904"/>
      <c r="G267" s="904"/>
      <c r="I267" s="906"/>
      <c r="J267" s="906"/>
      <c r="K267" s="906"/>
      <c r="L267" s="906"/>
      <c r="M267" s="906"/>
      <c r="N267" s="906"/>
      <c r="O267" s="906"/>
      <c r="P267" s="906"/>
      <c r="Q267" s="906"/>
      <c r="R267" s="906"/>
      <c r="S267" s="906"/>
      <c r="T267" s="906"/>
      <c r="U267" s="906"/>
      <c r="V267" s="957"/>
      <c r="W267" s="889"/>
      <c r="X267" s="909"/>
      <c r="Y267" s="906"/>
      <c r="Z267" s="906"/>
      <c r="AA267" s="909"/>
      <c r="AB267" s="909"/>
      <c r="AC267" s="909"/>
      <c r="AD267" s="909"/>
      <c r="AE267" s="909"/>
      <c r="AF267" s="909"/>
      <c r="AG267" s="909"/>
      <c r="AH267" s="909"/>
      <c r="AI267" s="909"/>
    </row>
    <row r="268" spans="1:46">
      <c r="B268" s="898" t="s">
        <v>315</v>
      </c>
      <c r="F268" s="904"/>
      <c r="G268" s="904"/>
      <c r="H268" s="904"/>
      <c r="I268" s="906"/>
      <c r="J268" s="906"/>
      <c r="K268" s="906"/>
      <c r="L268" s="906"/>
      <c r="M268" s="906"/>
      <c r="N268" s="906"/>
      <c r="O268" s="906"/>
      <c r="P268" s="906"/>
      <c r="Q268" s="906"/>
      <c r="R268" s="906"/>
      <c r="S268" s="906"/>
      <c r="T268" s="906"/>
      <c r="U268" s="906"/>
      <c r="V268" s="957"/>
      <c r="W268" s="889"/>
      <c r="X268" s="909"/>
      <c r="Y268" s="906"/>
      <c r="Z268" s="906"/>
      <c r="AA268" s="909"/>
      <c r="AB268" s="909"/>
      <c r="AC268" s="909"/>
      <c r="AD268" s="909"/>
      <c r="AE268" s="909"/>
      <c r="AF268" s="909"/>
      <c r="AG268" s="909"/>
      <c r="AH268" s="909"/>
      <c r="AI268" s="909"/>
      <c r="AJ268" s="882"/>
    </row>
    <row r="269" spans="1:46">
      <c r="A269" s="884" t="str">
        <f>$B$3&amp;"accounting adjustments"&amp;B269</f>
        <v>PIERCE UTCaccounting adjustmentsADJ-FIN</v>
      </c>
      <c r="B269" s="889" t="s">
        <v>2321</v>
      </c>
      <c r="C269" s="889" t="s">
        <v>2322</v>
      </c>
      <c r="D269" s="889" t="s">
        <v>315</v>
      </c>
      <c r="E269" s="883">
        <v>38000</v>
      </c>
      <c r="F269" s="904"/>
      <c r="G269" s="904"/>
      <c r="H269" s="904"/>
      <c r="I269" s="906">
        <v>0</v>
      </c>
      <c r="J269" s="906">
        <v>0</v>
      </c>
      <c r="K269" s="906">
        <v>0</v>
      </c>
      <c r="L269" s="906">
        <v>0</v>
      </c>
      <c r="M269" s="906">
        <v>0</v>
      </c>
      <c r="N269" s="906">
        <v>0</v>
      </c>
      <c r="O269" s="906">
        <v>0</v>
      </c>
      <c r="P269" s="906">
        <v>0</v>
      </c>
      <c r="Q269" s="906">
        <v>0</v>
      </c>
      <c r="R269" s="906">
        <v>0</v>
      </c>
      <c r="S269" s="906">
        <v>0</v>
      </c>
      <c r="T269" s="906">
        <v>0</v>
      </c>
      <c r="U269" s="906"/>
      <c r="V269" s="957">
        <f>SUM(J269:T269)</f>
        <v>0</v>
      </c>
      <c r="W269" s="916"/>
      <c r="X269" s="909">
        <f t="shared" ref="X269:Z270" si="99">IFERROR(I269/$F269,0)</f>
        <v>0</v>
      </c>
      <c r="Y269" s="906">
        <f t="shared" si="99"/>
        <v>0</v>
      </c>
      <c r="Z269" s="906">
        <f t="shared" si="99"/>
        <v>0</v>
      </c>
      <c r="AA269" s="909">
        <f t="shared" ref="AA269:AI270" si="100">IFERROR(L269/$G269,0)</f>
        <v>0</v>
      </c>
      <c r="AB269" s="909">
        <f t="shared" si="100"/>
        <v>0</v>
      </c>
      <c r="AC269" s="909">
        <f t="shared" si="100"/>
        <v>0</v>
      </c>
      <c r="AD269" s="909">
        <f t="shared" si="100"/>
        <v>0</v>
      </c>
      <c r="AE269" s="909">
        <f t="shared" si="100"/>
        <v>0</v>
      </c>
      <c r="AF269" s="909">
        <f t="shared" si="100"/>
        <v>0</v>
      </c>
      <c r="AG269" s="909">
        <f t="shared" si="100"/>
        <v>0</v>
      </c>
      <c r="AH269" s="909">
        <f t="shared" si="100"/>
        <v>0</v>
      </c>
      <c r="AI269" s="909">
        <f t="shared" si="100"/>
        <v>0</v>
      </c>
      <c r="AJ269" s="938"/>
    </row>
    <row r="270" spans="1:46">
      <c r="A270" s="884" t="str">
        <f>$B$3&amp;"accounting adjustments"&amp;B270</f>
        <v>PIERCE UTCaccounting adjustmentsRETCKC</v>
      </c>
      <c r="B270" s="889" t="s">
        <v>2323</v>
      </c>
      <c r="C270" s="889" t="s">
        <v>2324</v>
      </c>
      <c r="D270" s="889" t="s">
        <v>315</v>
      </c>
      <c r="E270" s="883">
        <v>38000</v>
      </c>
      <c r="F270" s="904">
        <v>21.5</v>
      </c>
      <c r="G270" s="904">
        <v>21.5</v>
      </c>
      <c r="H270" s="904"/>
      <c r="I270" s="906">
        <v>21.5</v>
      </c>
      <c r="J270" s="906">
        <v>408.5</v>
      </c>
      <c r="K270" s="906">
        <v>150.5</v>
      </c>
      <c r="L270" s="906">
        <v>64.5</v>
      </c>
      <c r="M270" s="906">
        <v>133.17000000000002</v>
      </c>
      <c r="N270" s="906">
        <v>43</v>
      </c>
      <c r="O270" s="906">
        <v>215</v>
      </c>
      <c r="P270" s="906">
        <v>193.5</v>
      </c>
      <c r="Q270" s="906">
        <v>193.5</v>
      </c>
      <c r="R270" s="906">
        <v>43</v>
      </c>
      <c r="S270" s="906">
        <v>193.5</v>
      </c>
      <c r="T270" s="906">
        <v>150.5</v>
      </c>
      <c r="U270" s="906"/>
      <c r="V270" s="957">
        <f t="shared" ref="V270" si="101">SUM(I270:T270)</f>
        <v>1810.17</v>
      </c>
      <c r="W270" s="916"/>
      <c r="X270" s="909">
        <f t="shared" si="99"/>
        <v>1</v>
      </c>
      <c r="Y270" s="906">
        <f t="shared" si="99"/>
        <v>19</v>
      </c>
      <c r="Z270" s="906">
        <f t="shared" si="99"/>
        <v>7</v>
      </c>
      <c r="AA270" s="909">
        <f t="shared" si="100"/>
        <v>3</v>
      </c>
      <c r="AB270" s="909">
        <f t="shared" si="100"/>
        <v>6.1939534883720935</v>
      </c>
      <c r="AC270" s="909">
        <f t="shared" si="100"/>
        <v>2</v>
      </c>
      <c r="AD270" s="909">
        <f t="shared" si="100"/>
        <v>10</v>
      </c>
      <c r="AE270" s="909">
        <f t="shared" si="100"/>
        <v>9</v>
      </c>
      <c r="AF270" s="909">
        <f t="shared" si="100"/>
        <v>9</v>
      </c>
      <c r="AG270" s="909">
        <f t="shared" si="100"/>
        <v>2</v>
      </c>
      <c r="AH270" s="909">
        <f t="shared" si="100"/>
        <v>9</v>
      </c>
      <c r="AI270" s="909">
        <f t="shared" si="100"/>
        <v>7</v>
      </c>
      <c r="AJ270" s="938"/>
      <c r="AN270" s="1140"/>
      <c r="AR270" s="1140"/>
    </row>
    <row r="271" spans="1:46">
      <c r="B271" s="889"/>
      <c r="F271" s="904"/>
      <c r="G271" s="904"/>
      <c r="I271" s="938"/>
      <c r="J271" s="938"/>
      <c r="K271" s="938"/>
      <c r="L271" s="938"/>
      <c r="M271" s="938"/>
      <c r="N271" s="938"/>
      <c r="O271" s="938"/>
      <c r="P271" s="938"/>
      <c r="Q271" s="938"/>
      <c r="R271" s="938"/>
      <c r="S271" s="938"/>
      <c r="T271" s="938"/>
      <c r="U271" s="938"/>
      <c r="V271" s="907"/>
      <c r="W271" s="916"/>
    </row>
    <row r="272" spans="1:46" s="921" customFormat="1">
      <c r="B272" s="881" t="s">
        <v>2325</v>
      </c>
      <c r="C272" s="881"/>
      <c r="D272" s="881"/>
      <c r="E272" s="892"/>
      <c r="F272" s="904"/>
      <c r="G272" s="904"/>
      <c r="H272" s="881"/>
      <c r="I272" s="1026">
        <f t="shared" ref="I272:T272" si="102">SUM(I269:I271)</f>
        <v>21.5</v>
      </c>
      <c r="J272" s="1026">
        <f t="shared" si="102"/>
        <v>408.5</v>
      </c>
      <c r="K272" s="1026">
        <f t="shared" si="102"/>
        <v>150.5</v>
      </c>
      <c r="L272" s="1026">
        <f t="shared" si="102"/>
        <v>64.5</v>
      </c>
      <c r="M272" s="1026">
        <f t="shared" si="102"/>
        <v>133.17000000000002</v>
      </c>
      <c r="N272" s="1026">
        <f t="shared" si="102"/>
        <v>43</v>
      </c>
      <c r="O272" s="1026">
        <f t="shared" si="102"/>
        <v>215</v>
      </c>
      <c r="P272" s="1026">
        <f t="shared" si="102"/>
        <v>193.5</v>
      </c>
      <c r="Q272" s="1026">
        <f t="shared" si="102"/>
        <v>193.5</v>
      </c>
      <c r="R272" s="1026">
        <f t="shared" si="102"/>
        <v>43</v>
      </c>
      <c r="S272" s="1026">
        <f t="shared" si="102"/>
        <v>193.5</v>
      </c>
      <c r="T272" s="1026">
        <f t="shared" si="102"/>
        <v>150.5</v>
      </c>
      <c r="U272" s="1027"/>
      <c r="V272" s="1026">
        <f>SUM(V269:V271)</f>
        <v>1810.17</v>
      </c>
      <c r="W272" s="934"/>
      <c r="Y272" s="881"/>
      <c r="AM272" s="1144"/>
      <c r="AN272" s="1144"/>
      <c r="AO272" s="1144"/>
      <c r="AP272" s="1159"/>
      <c r="AQ272" s="1144"/>
      <c r="AR272" s="1144"/>
      <c r="AS272" s="1144"/>
      <c r="AT272" s="1162">
        <f>SUM(AT269:AT271)</f>
        <v>0</v>
      </c>
    </row>
    <row r="273" spans="1:46" s="921" customFormat="1">
      <c r="B273" s="881"/>
      <c r="C273" s="881"/>
      <c r="D273" s="881"/>
      <c r="E273" s="892"/>
      <c r="F273" s="904"/>
      <c r="G273" s="904"/>
      <c r="H273" s="935"/>
      <c r="I273" s="955"/>
      <c r="J273" s="1028"/>
      <c r="K273" s="1028"/>
      <c r="L273" s="1028"/>
      <c r="M273" s="1028"/>
      <c r="N273" s="1028"/>
      <c r="O273" s="1028"/>
      <c r="P273" s="1028"/>
      <c r="Q273" s="1028"/>
      <c r="R273" s="1028"/>
      <c r="S273" s="1028"/>
      <c r="T273" s="955"/>
      <c r="U273" s="955"/>
      <c r="V273" s="956"/>
      <c r="W273" s="936"/>
      <c r="Y273" s="881"/>
      <c r="AM273" s="1144"/>
      <c r="AN273" s="1144"/>
      <c r="AO273" s="1144"/>
      <c r="AP273" s="1159"/>
      <c r="AQ273" s="1144"/>
      <c r="AR273" s="1144"/>
      <c r="AS273" s="1144"/>
      <c r="AT273" s="1159"/>
    </row>
    <row r="274" spans="1:46" s="921" customFormat="1" hidden="1">
      <c r="B274" s="881"/>
      <c r="C274" s="881"/>
      <c r="D274" s="881"/>
      <c r="E274" s="892"/>
      <c r="F274" s="904"/>
      <c r="G274" s="904"/>
      <c r="H274" s="935"/>
      <c r="I274" s="955"/>
      <c r="J274" s="1028"/>
      <c r="K274" s="1028"/>
      <c r="L274" s="1028"/>
      <c r="M274" s="1028"/>
      <c r="N274" s="1028"/>
      <c r="O274" s="1028"/>
      <c r="P274" s="1028"/>
      <c r="Q274" s="1028"/>
      <c r="R274" s="1028"/>
      <c r="S274" s="1028"/>
      <c r="T274" s="955"/>
      <c r="U274" s="955"/>
      <c r="V274" s="956"/>
      <c r="W274" s="936"/>
      <c r="Y274" s="881"/>
      <c r="AM274" s="1144"/>
      <c r="AN274" s="1144"/>
      <c r="AO274" s="1144"/>
      <c r="AP274" s="1159"/>
      <c r="AQ274" s="1144"/>
      <c r="AR274" s="1144"/>
      <c r="AS274" s="1144"/>
      <c r="AT274" s="1159"/>
    </row>
    <row r="275" spans="1:46" hidden="1">
      <c r="B275" s="889"/>
      <c r="F275" s="904"/>
      <c r="G275" s="904"/>
      <c r="I275" s="906"/>
      <c r="J275" s="938"/>
      <c r="K275" s="938"/>
      <c r="L275" s="938"/>
      <c r="M275" s="938"/>
      <c r="N275" s="938"/>
      <c r="O275" s="938"/>
      <c r="P275" s="938"/>
      <c r="Q275" s="938"/>
      <c r="R275" s="938"/>
      <c r="S275" s="938"/>
      <c r="T275" s="906"/>
      <c r="U275" s="906"/>
      <c r="V275" s="957"/>
      <c r="W275" s="916"/>
    </row>
    <row r="276" spans="1:46">
      <c r="F276" s="904"/>
      <c r="G276" s="904"/>
      <c r="I276" s="906"/>
      <c r="J276" s="938"/>
      <c r="K276" s="938"/>
      <c r="L276" s="938"/>
      <c r="M276" s="938"/>
      <c r="N276" s="938"/>
      <c r="O276" s="938"/>
      <c r="P276" s="938"/>
      <c r="Q276" s="938"/>
      <c r="R276" s="938"/>
      <c r="S276" s="938"/>
      <c r="T276" s="906"/>
      <c r="U276" s="906"/>
      <c r="V276" s="957"/>
      <c r="W276" s="916"/>
    </row>
    <row r="277" spans="1:46" s="921" customFormat="1" ht="13.5" thickBot="1">
      <c r="A277" s="958"/>
      <c r="B277" s="959" t="s">
        <v>2326</v>
      </c>
      <c r="C277" s="959"/>
      <c r="D277" s="959"/>
      <c r="E277" s="960"/>
      <c r="F277" s="961"/>
      <c r="G277" s="961"/>
      <c r="H277" s="959"/>
      <c r="I277" s="1029">
        <f t="shared" ref="I277:T277" si="103">+I82+I209+I265+I272</f>
        <v>2712142.7250000001</v>
      </c>
      <c r="J277" s="1029">
        <f t="shared" si="103"/>
        <v>2746329.585</v>
      </c>
      <c r="K277" s="1029">
        <f t="shared" si="103"/>
        <v>2634966.66</v>
      </c>
      <c r="L277" s="1029">
        <f t="shared" si="103"/>
        <v>2779905.4650000003</v>
      </c>
      <c r="M277" s="1029">
        <f t="shared" si="103"/>
        <v>2811555.3499999996</v>
      </c>
      <c r="N277" s="1029">
        <f t="shared" si="103"/>
        <v>2864636.0350000006</v>
      </c>
      <c r="O277" s="1029">
        <f t="shared" si="103"/>
        <v>2848593.1450000005</v>
      </c>
      <c r="P277" s="1029">
        <f t="shared" si="103"/>
        <v>2848402.9699999997</v>
      </c>
      <c r="Q277" s="1029">
        <f t="shared" si="103"/>
        <v>2875968.4249999998</v>
      </c>
      <c r="R277" s="1029">
        <f t="shared" si="103"/>
        <v>2864302.1450000005</v>
      </c>
      <c r="S277" s="1029">
        <f t="shared" si="103"/>
        <v>2875129.4800000004</v>
      </c>
      <c r="T277" s="1029">
        <f t="shared" si="103"/>
        <v>2799387.455000001</v>
      </c>
      <c r="U277" s="1029"/>
      <c r="V277" s="1029">
        <f>+V82+V209+V265+V272</f>
        <v>33658532.529999994</v>
      </c>
      <c r="W277" s="934"/>
      <c r="Y277" s="881"/>
      <c r="AM277" s="1144"/>
      <c r="AN277" s="1144"/>
      <c r="AO277" s="1144"/>
      <c r="AP277" s="1160">
        <f ca="1">+AP82+AP209+AP265+AP272</f>
        <v>1687216.2931453276</v>
      </c>
      <c r="AQ277" s="1144"/>
      <c r="AR277" s="1144"/>
      <c r="AS277" s="1144"/>
      <c r="AT277" s="1160">
        <f ca="1">+AT82+AT209+AT265+AT272</f>
        <v>32343001.233145319</v>
      </c>
    </row>
    <row r="278" spans="1:46" s="921" customFormat="1" ht="13.5" thickTop="1">
      <c r="B278" s="881"/>
      <c r="C278" s="881"/>
      <c r="D278" s="881"/>
      <c r="E278" s="892"/>
      <c r="F278" s="904"/>
      <c r="G278" s="904"/>
      <c r="H278" s="935"/>
      <c r="I278" s="955"/>
      <c r="J278" s="1028"/>
      <c r="K278" s="1028"/>
      <c r="L278" s="1028"/>
      <c r="M278" s="1028"/>
      <c r="N278" s="1028"/>
      <c r="O278" s="1028"/>
      <c r="P278" s="1028"/>
      <c r="Q278" s="1028"/>
      <c r="R278" s="1028"/>
      <c r="S278" s="1028"/>
      <c r="T278" s="955"/>
      <c r="U278" s="955"/>
      <c r="V278" s="955"/>
      <c r="W278" s="936"/>
      <c r="Y278" s="881"/>
      <c r="AM278" s="1144"/>
      <c r="AN278" s="1144"/>
      <c r="AO278" s="1144"/>
      <c r="AP278" s="1159"/>
      <c r="AQ278" s="1144"/>
      <c r="AR278" s="1144"/>
      <c r="AS278" s="1144"/>
      <c r="AT278" s="1159"/>
    </row>
    <row r="279" spans="1:46" s="921" customFormat="1">
      <c r="B279" s="881"/>
      <c r="C279" s="881"/>
      <c r="D279" s="881"/>
      <c r="E279" s="892"/>
      <c r="F279" s="904"/>
      <c r="G279" s="904"/>
      <c r="H279" s="935"/>
      <c r="I279" s="955"/>
      <c r="J279" s="1028"/>
      <c r="K279" s="1028"/>
      <c r="L279" s="1028"/>
      <c r="M279" s="1028"/>
      <c r="N279" s="1028"/>
      <c r="O279" s="1028"/>
      <c r="P279" s="1028"/>
      <c r="Q279" s="1028"/>
      <c r="R279" s="1028"/>
      <c r="S279" s="1028"/>
      <c r="T279" s="955"/>
      <c r="U279" s="955"/>
      <c r="V279" s="955"/>
      <c r="W279" s="964"/>
      <c r="Y279" s="881"/>
      <c r="AM279" s="1144"/>
      <c r="AN279" s="1144"/>
      <c r="AO279" s="1144"/>
      <c r="AP279" s="1159"/>
      <c r="AQ279" s="1144"/>
      <c r="AR279" s="1144"/>
      <c r="AS279" s="1144"/>
      <c r="AT279" s="1159"/>
    </row>
    <row r="280" spans="1:46" ht="14.25">
      <c r="A280" s="965"/>
      <c r="B280" s="965"/>
      <c r="C280" s="965"/>
      <c r="I280" s="938"/>
      <c r="J280" s="938"/>
      <c r="K280" s="938"/>
      <c r="L280" s="938"/>
      <c r="M280" s="938"/>
      <c r="N280" s="938"/>
      <c r="O280" s="938"/>
      <c r="P280" s="938"/>
      <c r="Q280" s="938"/>
      <c r="R280" s="938"/>
      <c r="S280" s="938"/>
      <c r="T280" s="938"/>
      <c r="U280" s="938"/>
      <c r="V280" s="938"/>
    </row>
    <row r="281" spans="1:46" ht="14.25">
      <c r="A281" s="965"/>
      <c r="B281" s="965"/>
      <c r="C281" s="965"/>
      <c r="I281" s="938"/>
      <c r="J281" s="938"/>
      <c r="K281" s="938"/>
      <c r="L281" s="938"/>
      <c r="M281" s="938"/>
      <c r="N281" s="938"/>
      <c r="O281" s="938"/>
      <c r="P281" s="938"/>
      <c r="Q281" s="938"/>
      <c r="R281" s="938"/>
      <c r="S281" s="938"/>
      <c r="T281" s="938"/>
      <c r="U281" s="938"/>
      <c r="V281" s="938"/>
    </row>
    <row r="282" spans="1:46" ht="14.25">
      <c r="A282" s="965"/>
      <c r="B282" s="965"/>
      <c r="C282" s="965"/>
      <c r="I282" s="938"/>
      <c r="J282" s="938"/>
      <c r="K282" s="938"/>
      <c r="L282" s="938"/>
      <c r="M282" s="938"/>
      <c r="N282" s="938"/>
      <c r="O282" s="938"/>
      <c r="P282" s="938"/>
      <c r="Q282" s="938"/>
      <c r="R282" s="938"/>
      <c r="S282" s="938"/>
      <c r="T282" s="938"/>
      <c r="U282" s="938"/>
      <c r="V282" s="938"/>
    </row>
    <row r="283" spans="1:46" ht="14.25">
      <c r="A283" s="965"/>
      <c r="B283" s="965"/>
      <c r="C283" s="965"/>
      <c r="I283" s="938"/>
      <c r="J283" s="938"/>
      <c r="K283" s="938"/>
      <c r="L283" s="938"/>
      <c r="M283" s="938"/>
      <c r="N283" s="938"/>
      <c r="O283" s="938"/>
      <c r="P283" s="938"/>
      <c r="Q283" s="938"/>
      <c r="R283" s="938"/>
      <c r="S283" s="938"/>
      <c r="T283" s="938"/>
      <c r="U283" s="938"/>
      <c r="V283" s="938"/>
    </row>
    <row r="284" spans="1:46" ht="14.25">
      <c r="A284" s="965"/>
      <c r="B284" s="965"/>
      <c r="C284" s="965"/>
      <c r="I284" s="938"/>
      <c r="J284" s="938"/>
      <c r="K284" s="938"/>
      <c r="L284" s="938"/>
      <c r="M284" s="938"/>
      <c r="N284" s="938"/>
      <c r="O284" s="938"/>
      <c r="P284" s="938"/>
      <c r="Q284" s="938"/>
      <c r="R284" s="938"/>
      <c r="S284" s="938"/>
      <c r="T284" s="938"/>
      <c r="U284" s="938"/>
      <c r="V284" s="938"/>
    </row>
    <row r="285" spans="1:46" ht="14.25">
      <c r="A285" s="965"/>
      <c r="B285" s="965"/>
      <c r="C285" s="965"/>
      <c r="I285" s="938"/>
      <c r="J285" s="938"/>
      <c r="K285" s="938"/>
      <c r="L285" s="938"/>
      <c r="M285" s="938"/>
      <c r="N285" s="938"/>
      <c r="O285" s="938"/>
      <c r="P285" s="938"/>
      <c r="Q285" s="938"/>
      <c r="R285" s="938"/>
      <c r="S285" s="938"/>
      <c r="T285" s="938"/>
      <c r="U285" s="938"/>
      <c r="V285" s="938"/>
    </row>
    <row r="286" spans="1:46" ht="14.25">
      <c r="A286" s="965"/>
      <c r="B286" s="965"/>
      <c r="C286" s="965"/>
      <c r="I286" s="938"/>
      <c r="J286" s="938"/>
      <c r="K286" s="938"/>
      <c r="L286" s="938"/>
      <c r="M286" s="938"/>
      <c r="N286" s="938"/>
      <c r="O286" s="938"/>
      <c r="P286" s="938"/>
      <c r="Q286" s="938"/>
      <c r="R286" s="938"/>
      <c r="S286" s="938"/>
      <c r="T286" s="938"/>
      <c r="U286" s="938"/>
      <c r="V286" s="938"/>
    </row>
    <row r="287" spans="1:46" ht="14.25">
      <c r="A287" s="965"/>
      <c r="B287" s="965"/>
      <c r="C287" s="965"/>
      <c r="I287" s="938"/>
      <c r="J287" s="938"/>
      <c r="K287" s="938"/>
      <c r="L287" s="938"/>
      <c r="M287" s="938"/>
      <c r="N287" s="938"/>
      <c r="O287" s="938"/>
      <c r="P287" s="938"/>
      <c r="Q287" s="938"/>
      <c r="R287" s="938"/>
      <c r="S287" s="938"/>
      <c r="T287" s="938"/>
      <c r="U287" s="938"/>
      <c r="V287" s="938"/>
    </row>
    <row r="288" spans="1:46" ht="14.25">
      <c r="A288" s="965"/>
      <c r="B288" s="965"/>
      <c r="C288" s="965"/>
      <c r="I288" s="938"/>
      <c r="J288" s="938"/>
      <c r="K288" s="938"/>
      <c r="L288" s="938"/>
      <c r="M288" s="938"/>
      <c r="N288" s="938"/>
      <c r="O288" s="938"/>
      <c r="P288" s="938"/>
      <c r="Q288" s="938"/>
      <c r="R288" s="938"/>
      <c r="S288" s="938"/>
      <c r="T288" s="938"/>
      <c r="U288" s="938"/>
      <c r="V288" s="938"/>
    </row>
    <row r="289" spans="1:22" ht="14.25">
      <c r="A289" s="965"/>
      <c r="B289" s="965"/>
      <c r="C289" s="965"/>
      <c r="I289" s="938"/>
      <c r="J289" s="938"/>
      <c r="K289" s="938"/>
      <c r="L289" s="938"/>
      <c r="M289" s="938"/>
      <c r="N289" s="938"/>
      <c r="O289" s="938"/>
      <c r="P289" s="938"/>
      <c r="Q289" s="938"/>
      <c r="R289" s="938"/>
      <c r="S289" s="938"/>
      <c r="T289" s="938"/>
      <c r="U289" s="938"/>
      <c r="V289" s="938"/>
    </row>
    <row r="290" spans="1:22" ht="14.25">
      <c r="A290" s="965"/>
      <c r="B290" s="965"/>
      <c r="C290" s="965"/>
      <c r="I290" s="938"/>
      <c r="J290" s="938"/>
      <c r="K290" s="938"/>
      <c r="L290" s="938"/>
      <c r="M290" s="938"/>
      <c r="N290" s="938"/>
      <c r="O290" s="938"/>
      <c r="P290" s="938"/>
      <c r="Q290" s="938"/>
      <c r="R290" s="938"/>
      <c r="S290" s="938"/>
      <c r="T290" s="938"/>
      <c r="U290" s="938"/>
      <c r="V290" s="938"/>
    </row>
    <row r="291" spans="1:22" ht="14.25">
      <c r="A291" s="965"/>
      <c r="B291" s="965"/>
      <c r="C291" s="965"/>
    </row>
    <row r="292" spans="1:22" ht="14.25">
      <c r="A292" s="965"/>
      <c r="B292" s="965"/>
      <c r="C292" s="965"/>
    </row>
    <row r="293" spans="1:22" ht="14.25">
      <c r="A293" s="965"/>
      <c r="B293" s="965"/>
      <c r="C293" s="965"/>
    </row>
    <row r="294" spans="1:22" ht="14.25">
      <c r="A294" s="965"/>
      <c r="B294" s="965"/>
      <c r="C294" s="965"/>
    </row>
    <row r="295" spans="1:22" ht="14.25">
      <c r="A295" s="965"/>
      <c r="B295" s="965"/>
      <c r="C295" s="965"/>
    </row>
    <row r="296" spans="1:22" ht="14.25">
      <c r="A296" s="965"/>
      <c r="B296" s="965"/>
      <c r="C296" s="965"/>
    </row>
    <row r="297" spans="1:22" ht="14.25">
      <c r="A297" s="965"/>
      <c r="B297" s="965"/>
      <c r="C297" s="965"/>
    </row>
    <row r="298" spans="1:22" ht="14.25">
      <c r="A298" s="965"/>
      <c r="B298" s="965"/>
      <c r="C298" s="965"/>
    </row>
    <row r="299" spans="1:22" ht="14.25">
      <c r="A299" s="965"/>
      <c r="B299" s="965"/>
      <c r="C299" s="965"/>
    </row>
    <row r="300" spans="1:22" ht="14.25">
      <c r="A300" s="965"/>
      <c r="B300" s="965"/>
      <c r="C300" s="965"/>
    </row>
    <row r="301" spans="1:22" ht="14.25">
      <c r="A301" s="965"/>
      <c r="B301" s="965"/>
      <c r="C301" s="965"/>
    </row>
    <row r="302" spans="1:22" ht="14.25">
      <c r="A302" s="965"/>
      <c r="B302" s="965"/>
      <c r="C302" s="965"/>
    </row>
    <row r="303" spans="1:22" ht="14.25">
      <c r="A303" s="965"/>
      <c r="B303" s="965"/>
      <c r="C303" s="965"/>
    </row>
    <row r="304" spans="1:22" ht="14.25">
      <c r="A304" s="965"/>
      <c r="B304" s="965"/>
      <c r="C304" s="965"/>
    </row>
    <row r="305" spans="1:3" ht="14.25">
      <c r="A305" s="965"/>
      <c r="B305" s="965"/>
      <c r="C305" s="965"/>
    </row>
    <row r="306" spans="1:3" ht="14.25">
      <c r="A306" s="965"/>
      <c r="B306" s="965"/>
      <c r="C306" s="965"/>
    </row>
    <row r="307" spans="1:3" ht="14.25">
      <c r="A307" s="965"/>
      <c r="B307" s="965"/>
      <c r="C307" s="965"/>
    </row>
    <row r="308" spans="1:3" ht="14.25">
      <c r="A308" s="965"/>
      <c r="B308" s="965"/>
      <c r="C308" s="965"/>
    </row>
    <row r="309" spans="1:3" ht="14.25">
      <c r="A309" s="965"/>
      <c r="B309" s="965"/>
      <c r="C309" s="965"/>
    </row>
  </sheetData>
  <customSheetViews>
    <customSheetView guid="{76FC386D-C488-46EF-BB9C-D1C49FEBAB90}" showPageBreaks="1" showGridLines="0" fitToPage="1" printArea="1" hiddenColumns="1">
      <pane xSplit="4" ySplit="6" topLeftCell="F141" activePane="bottomRight" state="frozen"/>
      <selection pane="bottomRight" activeCell="I142" sqref="I142:T167"/>
      <pageMargins left="0.7" right="0.7" top="0.75" bottom="0.75" header="0.3" footer="0.3"/>
      <pageSetup scale="91" orientation="portrait" r:id="rId1"/>
      <headerFooter>
        <oddHeader>&amp;R&amp;F
&amp;A</oddHeader>
        <oddFooter>&amp;L&amp;D&amp;C&amp;P&amp;R&amp;T</oddFooter>
      </headerFooter>
    </customSheetView>
    <customSheetView guid="{16F8EA47-9864-4C0F-89A1-62B7CCC013F9}" showGridLines="0" fitToPage="1" printArea="1" hiddenColumns="1">
      <pane xSplit="4" ySplit="6" topLeftCell="F157" activePane="bottomRight" state="frozen"/>
      <selection pane="bottomRight" activeCell="G94" sqref="G94"/>
      <pageMargins left="0.7" right="0.7" top="0.75" bottom="0.75" header="0.3" footer="0.3"/>
      <pageSetup scale="80" orientation="portrait" r:id="rId2"/>
      <headerFooter>
        <oddHeader>&amp;R&amp;F
&amp;A</oddHeader>
        <oddFooter>&amp;L&amp;D&amp;C&amp;P&amp;R&amp;T</oddFooter>
      </headerFooter>
    </customSheetView>
  </customSheetViews>
  <mergeCells count="3">
    <mergeCell ref="I5:T5"/>
    <mergeCell ref="X5:AI5"/>
    <mergeCell ref="AV11:AY11"/>
  </mergeCells>
  <conditionalFormatting sqref="A77">
    <cfRule type="duplicateValues" dxfId="33" priority="14"/>
  </conditionalFormatting>
  <conditionalFormatting sqref="B247:B248 B186:B241 B5:B38 B124:B183 B52:B122 B41:B50 B243:B245 B250:B1048576">
    <cfRule type="duplicateValues" dxfId="32" priority="13"/>
  </conditionalFormatting>
  <conditionalFormatting sqref="A123">
    <cfRule type="duplicateValues" dxfId="31" priority="12"/>
  </conditionalFormatting>
  <conditionalFormatting sqref="B123">
    <cfRule type="duplicateValues" dxfId="30" priority="11"/>
  </conditionalFormatting>
  <conditionalFormatting sqref="A184:A185">
    <cfRule type="duplicateValues" dxfId="29" priority="15"/>
  </conditionalFormatting>
  <conditionalFormatting sqref="B184:B185">
    <cfRule type="duplicateValues" dxfId="28" priority="16"/>
  </conditionalFormatting>
  <conditionalFormatting sqref="A51">
    <cfRule type="duplicateValues" dxfId="27" priority="10"/>
  </conditionalFormatting>
  <conditionalFormatting sqref="B51">
    <cfRule type="duplicateValues" dxfId="26" priority="9"/>
  </conditionalFormatting>
  <conditionalFormatting sqref="A39:A40">
    <cfRule type="duplicateValues" dxfId="25" priority="8"/>
  </conditionalFormatting>
  <conditionalFormatting sqref="B39:B40">
    <cfRule type="duplicateValues" dxfId="24" priority="7"/>
  </conditionalFormatting>
  <conditionalFormatting sqref="A246">
    <cfRule type="duplicateValues" dxfId="23" priority="6"/>
  </conditionalFormatting>
  <conditionalFormatting sqref="B246">
    <cfRule type="duplicateValues" dxfId="22" priority="5"/>
  </conditionalFormatting>
  <conditionalFormatting sqref="A242">
    <cfRule type="duplicateValues" dxfId="21" priority="4"/>
  </conditionalFormatting>
  <conditionalFormatting sqref="B242">
    <cfRule type="duplicateValues" dxfId="20" priority="3"/>
  </conditionalFormatting>
  <conditionalFormatting sqref="A78:A122 A5:A38 B1:B4 A124:A183 A186:A241 A52:A76 A41:A50 A247:A248 A243:A245 A250:A1048576">
    <cfRule type="duplicateValues" dxfId="19" priority="17"/>
  </conditionalFormatting>
  <conditionalFormatting sqref="B249">
    <cfRule type="duplicateValues" dxfId="18" priority="1"/>
  </conditionalFormatting>
  <conditionalFormatting sqref="A249">
    <cfRule type="duplicateValues" dxfId="17" priority="2"/>
  </conditionalFormatting>
  <pageMargins left="0.7" right="0.7" top="0.75" bottom="0.75" header="0.3" footer="0.3"/>
  <pageSetup scale="60" fitToHeight="5" orientation="landscape" r:id="rId3"/>
  <headerFooter>
    <oddHeader>&amp;R&amp;F
&amp;A</oddHeader>
    <oddFooter>&amp;L&amp;D&amp;C&amp;P&amp;R&amp;T</oddFooter>
  </headerFooter>
  <rowBreaks count="2" manualBreakCount="2">
    <brk id="45" min="1" max="45" man="1"/>
    <brk id="218" min="1" max="45" man="1"/>
  </rowBreaks>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3454F252B790641B0500227D6281809" ma:contentTypeVersion="44" ma:contentTypeDescription="" ma:contentTypeScope="" ma:versionID="4135356f93ce4739b2a57f8f4b70f90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2020-01-17T08:00:00+00:00</OpenedDate>
    <SignificantOrder xmlns="dc463f71-b30c-4ab2-9473-d307f9d35888">false</SignificantOrder>
    <Date1 xmlns="dc463f71-b30c-4ab2-9473-d307f9d35888">2020-01-17T08:00:00+00:00</Date1>
    <IsDocumentOrder xmlns="dc463f71-b30c-4ab2-9473-d307f9d35888">false</IsDocumentOrder>
    <IsHighlyConfidential xmlns="dc463f71-b30c-4ab2-9473-d307f9d35888">false</IsHighlyConfidential>
    <CaseCompanyNames xmlns="dc463f71-b30c-4ab2-9473-d307f9d35888">HAROLD LEMAY ENTERPRISES, INC.</CaseCompanyNames>
    <Nickname xmlns="http://schemas.microsoft.com/sharepoint/v3" xsi:nil="true"/>
    <DocketNumber xmlns="dc463f71-b30c-4ab2-9473-d307f9d35888">200044</DocketNumber>
    <DelegatedOrder xmlns="dc463f71-b30c-4ab2-9473-d307f9d35888">false</DelegatedOrder>
  </documentManagement>
</p:properties>
</file>

<file path=customXml/itemProps1.xml><?xml version="1.0" encoding="utf-8"?>
<ds:datastoreItem xmlns:ds="http://schemas.openxmlformats.org/officeDocument/2006/customXml" ds:itemID="{D9C35AF1-6C2F-418E-877F-8E3F4531EFA3}"/>
</file>

<file path=customXml/itemProps2.xml><?xml version="1.0" encoding="utf-8"?>
<ds:datastoreItem xmlns:ds="http://schemas.openxmlformats.org/officeDocument/2006/customXml" ds:itemID="{E37FCE82-21B2-4F57-8C6F-C9D8F75FC7C4}"/>
</file>

<file path=customXml/itemProps3.xml><?xml version="1.0" encoding="utf-8"?>
<ds:datastoreItem xmlns:ds="http://schemas.openxmlformats.org/officeDocument/2006/customXml" ds:itemID="{39626352-1B24-4EA5-A3D7-31A0AD4F6CD3}"/>
</file>

<file path=customXml/itemProps4.xml><?xml version="1.0" encoding="utf-8"?>
<ds:datastoreItem xmlns:ds="http://schemas.openxmlformats.org/officeDocument/2006/customXml" ds:itemID="{5777941C-62D8-48DF-8B5A-62F36BDD4C4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187</vt:i4>
      </vt:variant>
    </vt:vector>
  </HeadingPairs>
  <TitlesOfParts>
    <vt:vector size="218" baseType="lpstr">
      <vt:lpstr>2180 IS (C)</vt:lpstr>
      <vt:lpstr>2182 IS</vt:lpstr>
      <vt:lpstr>Converted IS (C)</vt:lpstr>
      <vt:lpstr>Reg by LOB</vt:lpstr>
      <vt:lpstr>Ratios (C)</vt:lpstr>
      <vt:lpstr>Restating Adj</vt:lpstr>
      <vt:lpstr>Interject_LastPulledValues</vt:lpstr>
      <vt:lpstr>Pro forma Adj</vt:lpstr>
      <vt:lpstr>Reg - Price Out </vt:lpstr>
      <vt:lpstr>JBLM Housing - Price Out</vt:lpstr>
      <vt:lpstr>FtL - Price Out</vt:lpstr>
      <vt:lpstr>LG UTC</vt:lpstr>
      <vt:lpstr>LG MSW</vt:lpstr>
      <vt:lpstr>LG Recycle</vt:lpstr>
      <vt:lpstr>LG YW</vt:lpstr>
      <vt:lpstr>Rate Sheet</vt:lpstr>
      <vt:lpstr>Deprec</vt:lpstr>
      <vt:lpstr>Payroll</vt:lpstr>
      <vt:lpstr>Disposal (C)</vt:lpstr>
      <vt:lpstr>MF Processing</vt:lpstr>
      <vt:lpstr>DVP-DivCon Allocs  (C)</vt:lpstr>
      <vt:lpstr>RegionOH (C)</vt:lpstr>
      <vt:lpstr>Corp OH (C)</vt:lpstr>
      <vt:lpstr>JE Query - 41121, 41129</vt:lpstr>
      <vt:lpstr>57125 JE Query</vt:lpstr>
      <vt:lpstr>70095 JE Query (C)</vt:lpstr>
      <vt:lpstr>70195 JE Query</vt:lpstr>
      <vt:lpstr>2180_BS 11-2019</vt:lpstr>
      <vt:lpstr>2180_BS 11-2018</vt:lpstr>
      <vt:lpstr>Corporate IS</vt:lpstr>
      <vt:lpstr>Corporate BS</vt:lpstr>
      <vt:lpstr>'57125 JE Query'!Accounts</vt:lpstr>
      <vt:lpstr>'70095 JE Query (C)'!Accounts</vt:lpstr>
      <vt:lpstr>'70195 JE Query'!Accounts</vt:lpstr>
      <vt:lpstr>'JE Query - 41121, 41129'!Accounts</vt:lpstr>
      <vt:lpstr>'57125 JE Query'!AmountFrom</vt:lpstr>
      <vt:lpstr>'70095 JE Query (C)'!AmountFrom</vt:lpstr>
      <vt:lpstr>'70195 JE Query'!AmountFrom</vt:lpstr>
      <vt:lpstr>'JE Query - 41121, 41129'!AmountFrom</vt:lpstr>
      <vt:lpstr>'57125 JE Query'!AmountTo</vt:lpstr>
      <vt:lpstr>'70095 JE Query (C)'!AmountTo</vt:lpstr>
      <vt:lpstr>'70195 JE Query'!AmountTo</vt:lpstr>
      <vt:lpstr>'JE Query - 41121, 41129'!AmountTo</vt:lpstr>
      <vt:lpstr>'57125 JE Query'!CurrentMonth</vt:lpstr>
      <vt:lpstr>'70095 JE Query (C)'!CurrentMonth</vt:lpstr>
      <vt:lpstr>'70195 JE Query'!CurrentMonth</vt:lpstr>
      <vt:lpstr>'JE Query - 41121, 41129'!CurrentMonth</vt:lpstr>
      <vt:lpstr>'57125 JE Query'!DateFrom</vt:lpstr>
      <vt:lpstr>'70095 JE Query (C)'!DateFrom</vt:lpstr>
      <vt:lpstr>'70195 JE Query'!DateFrom</vt:lpstr>
      <vt:lpstr>'JE Query - 41121, 41129'!DateFrom</vt:lpstr>
      <vt:lpstr>'57125 JE Query'!DateTo</vt:lpstr>
      <vt:lpstr>'70095 JE Query (C)'!DateTo</vt:lpstr>
      <vt:lpstr>'70195 JE Query'!DateTo</vt:lpstr>
      <vt:lpstr>'JE Query - 41121, 41129'!DateTo</vt:lpstr>
      <vt:lpstr>'LG MSW'!Debt_Rate</vt:lpstr>
      <vt:lpstr>'LG Recycle'!Debt_Rate</vt:lpstr>
      <vt:lpstr>'LG UTC'!Debt_Rate</vt:lpstr>
      <vt:lpstr>'LG YW'!Debt_Rate</vt:lpstr>
      <vt:lpstr>'LG MSW'!debtP</vt:lpstr>
      <vt:lpstr>'LG Recycle'!debtP</vt:lpstr>
      <vt:lpstr>'LG UTC'!debtP</vt:lpstr>
      <vt:lpstr>'LG YW'!debtP</vt:lpstr>
      <vt:lpstr>'2180 IS (C)'!District</vt:lpstr>
      <vt:lpstr>'2180_BS 11-2018'!District</vt:lpstr>
      <vt:lpstr>'2180_BS 11-2019'!District</vt:lpstr>
      <vt:lpstr>'2182 IS'!District</vt:lpstr>
      <vt:lpstr>'RegionOH (C)'!District</vt:lpstr>
      <vt:lpstr>'2180 IS (C)'!DistrictName</vt:lpstr>
      <vt:lpstr>'2182 IS'!DistrictName</vt:lpstr>
      <vt:lpstr>'RegionOH (C)'!DistrictName</vt:lpstr>
      <vt:lpstr>'57125 JE Query'!Districts</vt:lpstr>
      <vt:lpstr>'70095 JE Query (C)'!Districts</vt:lpstr>
      <vt:lpstr>'70195 JE Query'!Districts</vt:lpstr>
      <vt:lpstr>'JE Query - 41121, 41129'!Districts</vt:lpstr>
      <vt:lpstr>'57125 JE Query'!EntrieShownLimit</vt:lpstr>
      <vt:lpstr>'70095 JE Query (C)'!EntrieShownLimit</vt:lpstr>
      <vt:lpstr>'70195 JE Query'!EntrieShownLimit</vt:lpstr>
      <vt:lpstr>'JE Query - 41121, 41129'!EntrieShownLimit</vt:lpstr>
      <vt:lpstr>'LG MSW'!Equity_percent</vt:lpstr>
      <vt:lpstr>'LG Recycle'!Equity_percent</vt:lpstr>
      <vt:lpstr>'LG UTC'!Equity_percent</vt:lpstr>
      <vt:lpstr>'LG YW'!Equity_percent</vt:lpstr>
      <vt:lpstr>'LG MSW'!equityP</vt:lpstr>
      <vt:lpstr>'LG Recycle'!equityP</vt:lpstr>
      <vt:lpstr>'LG UTC'!equityP</vt:lpstr>
      <vt:lpstr>'LG YW'!equityP</vt:lpstr>
      <vt:lpstr>'2180 IS (C)'!ExcludeIC</vt:lpstr>
      <vt:lpstr>'2180_BS 11-2018'!ExcludeIC</vt:lpstr>
      <vt:lpstr>'2180_BS 11-2019'!ExcludeIC</vt:lpstr>
      <vt:lpstr>'2182 IS'!ExcludeIC</vt:lpstr>
      <vt:lpstr>'RegionOH (C)'!ExcludeIC</vt:lpstr>
      <vt:lpstr>'LG MSW'!expenses</vt:lpstr>
      <vt:lpstr>'LG Recycle'!expenses</vt:lpstr>
      <vt:lpstr>'LG UTC'!expenses</vt:lpstr>
      <vt:lpstr>'LG YW'!expenses</vt:lpstr>
      <vt:lpstr>'57125 JE Query'!FromMonth</vt:lpstr>
      <vt:lpstr>'70095 JE Query (C)'!FromMonth</vt:lpstr>
      <vt:lpstr>'70195 JE Query'!FromMonth</vt:lpstr>
      <vt:lpstr>'JE Query - 41121, 41129'!FromMonth</vt:lpstr>
      <vt:lpstr>Interject_LastPulledValues_BalanceRange</vt:lpstr>
      <vt:lpstr>Interject_LastPulledValues_DescriptionRange</vt:lpstr>
      <vt:lpstr>Interject_LastPulledValues_LastChangeGUID</vt:lpstr>
      <vt:lpstr>Interject_LastPulledValues_PreviousLastChangeGUID</vt:lpstr>
      <vt:lpstr>'LG MSW'!Investment</vt:lpstr>
      <vt:lpstr>'LG Recycle'!Investment</vt:lpstr>
      <vt:lpstr>'LG UTC'!Investment</vt:lpstr>
      <vt:lpstr>'LG YW'!Investment</vt:lpstr>
      <vt:lpstr>'LG MSW'!Pfd_weighted</vt:lpstr>
      <vt:lpstr>'LG Recycle'!Pfd_weighted</vt:lpstr>
      <vt:lpstr>'LG UTC'!Pfd_weighted</vt:lpstr>
      <vt:lpstr>'LG YW'!Pfd_weighted</vt:lpstr>
      <vt:lpstr>'57125 JE Query'!Posting</vt:lpstr>
      <vt:lpstr>'70095 JE Query (C)'!Posting</vt:lpstr>
      <vt:lpstr>'70195 JE Query'!Posting</vt:lpstr>
      <vt:lpstr>'JE Query - 41121, 41129'!Posting</vt:lpstr>
      <vt:lpstr>'2180 IS (C)'!Print_Area</vt:lpstr>
      <vt:lpstr>'2180_BS 11-2018'!Print_Area</vt:lpstr>
      <vt:lpstr>'2180_BS 11-2019'!Print_Area</vt:lpstr>
      <vt:lpstr>'2182 IS'!Print_Area</vt:lpstr>
      <vt:lpstr>'57125 JE Query'!Print_Area</vt:lpstr>
      <vt:lpstr>'70095 JE Query (C)'!Print_Area</vt:lpstr>
      <vt:lpstr>'70195 JE Query'!Print_Area</vt:lpstr>
      <vt:lpstr>'Converted IS (C)'!Print_Area</vt:lpstr>
      <vt:lpstr>Deprec!Print_Area</vt:lpstr>
      <vt:lpstr>'Disposal (C)'!Print_Area</vt:lpstr>
      <vt:lpstr>'DVP-DivCon Allocs  (C)'!Print_Area</vt:lpstr>
      <vt:lpstr>'FtL - Price Out'!Print_Area</vt:lpstr>
      <vt:lpstr>'JBLM Housing - Price Out'!Print_Area</vt:lpstr>
      <vt:lpstr>'JE Query - 41121, 41129'!Print_Area</vt:lpstr>
      <vt:lpstr>'LG MSW'!Print_Area</vt:lpstr>
      <vt:lpstr>'LG Recycle'!Print_Area</vt:lpstr>
      <vt:lpstr>'LG UTC'!Print_Area</vt:lpstr>
      <vt:lpstr>'LG YW'!Print_Area</vt:lpstr>
      <vt:lpstr>'Pro forma Adj'!Print_Area</vt:lpstr>
      <vt:lpstr>'Rate Sheet'!Print_Area</vt:lpstr>
      <vt:lpstr>'Ratios (C)'!Print_Area</vt:lpstr>
      <vt:lpstr>'Reg - Price Out '!Print_Area</vt:lpstr>
      <vt:lpstr>'Reg by LOB'!Print_Area</vt:lpstr>
      <vt:lpstr>'RegionOH (C)'!Print_Area</vt:lpstr>
      <vt:lpstr>'Restating Adj'!Print_Area</vt:lpstr>
      <vt:lpstr>'2180 IS (C)'!Print_Titles</vt:lpstr>
      <vt:lpstr>'2180_BS 11-2018'!Print_Titles</vt:lpstr>
      <vt:lpstr>'2180_BS 11-2019'!Print_Titles</vt:lpstr>
      <vt:lpstr>'2182 IS'!Print_Titles</vt:lpstr>
      <vt:lpstr>'57125 JE Query'!Print_Titles</vt:lpstr>
      <vt:lpstr>'70095 JE Query (C)'!Print_Titles</vt:lpstr>
      <vt:lpstr>'70195 JE Query'!Print_Titles</vt:lpstr>
      <vt:lpstr>'Converted IS (C)'!Print_Titles</vt:lpstr>
      <vt:lpstr>'Corp OH (C)'!Print_Titles</vt:lpstr>
      <vt:lpstr>'FtL - Price Out'!Print_Titles</vt:lpstr>
      <vt:lpstr>'JBLM Housing - Price Out'!Print_Titles</vt:lpstr>
      <vt:lpstr>'JE Query - 41121, 41129'!Print_Titles</vt:lpstr>
      <vt:lpstr>'Rate Sheet'!Print_Titles</vt:lpstr>
      <vt:lpstr>'Reg - Price Out '!Print_Titles</vt:lpstr>
      <vt:lpstr>'Reg by LOB'!Print_Titles</vt:lpstr>
      <vt:lpstr>'RegionOH (C)'!Print_Titles</vt:lpstr>
      <vt:lpstr>'LG MSW'!regDebt_weighted</vt:lpstr>
      <vt:lpstr>'LG Recycle'!regDebt_weighted</vt:lpstr>
      <vt:lpstr>'LG UTC'!regDebt_weighted</vt:lpstr>
      <vt:lpstr>'LG YW'!regDebt_weighted</vt:lpstr>
      <vt:lpstr>'LG MSW'!Revenue</vt:lpstr>
      <vt:lpstr>'LG Recycle'!Revenue</vt:lpstr>
      <vt:lpstr>'LG UTC'!Revenue</vt:lpstr>
      <vt:lpstr>'LG YW'!Revenue</vt:lpstr>
      <vt:lpstr>'LG MSW'!slope</vt:lpstr>
      <vt:lpstr>'LG Recycle'!slope</vt:lpstr>
      <vt:lpstr>'LG UTC'!slope</vt:lpstr>
      <vt:lpstr>'LG YW'!slope</vt:lpstr>
      <vt:lpstr>'2180_BS 11-2018'!SubSystem</vt:lpstr>
      <vt:lpstr>'2180_BS 11-2019'!SubSystem</vt:lpstr>
      <vt:lpstr>SubSystem</vt:lpstr>
      <vt:lpstr>'57125 JE Query'!SubSystems</vt:lpstr>
      <vt:lpstr>'70095 JE Query (C)'!SubSystems</vt:lpstr>
      <vt:lpstr>'70195 JE Query'!SubSystems</vt:lpstr>
      <vt:lpstr>'JE Query - 41121, 41129'!SubSystems</vt:lpstr>
      <vt:lpstr>'2180 IS (C)'!System</vt:lpstr>
      <vt:lpstr>'2180_BS 11-2018'!System</vt:lpstr>
      <vt:lpstr>'2180_BS 11-2019'!System</vt:lpstr>
      <vt:lpstr>'2182 IS'!System</vt:lpstr>
      <vt:lpstr>'RegionOH (C)'!System</vt:lpstr>
      <vt:lpstr>'57125 JE Query'!Systems</vt:lpstr>
      <vt:lpstr>'70095 JE Query (C)'!Systems</vt:lpstr>
      <vt:lpstr>'70195 JE Query'!Systems</vt:lpstr>
      <vt:lpstr>'JE Query - 41121, 41129'!Systems</vt:lpstr>
      <vt:lpstr>'LG MSW'!taxrate</vt:lpstr>
      <vt:lpstr>'LG Recycle'!taxrate</vt:lpstr>
      <vt:lpstr>'LG UTC'!taxrate</vt:lpstr>
      <vt:lpstr>'LG YW'!taxrate</vt:lpstr>
      <vt:lpstr>'57125 JE Query'!ToMonth</vt:lpstr>
      <vt:lpstr>'70095 JE Query (C)'!ToMonth</vt:lpstr>
      <vt:lpstr>'70195 JE Query'!ToMonth</vt:lpstr>
      <vt:lpstr>'JE Query - 41121, 41129'!ToMonth</vt:lpstr>
      <vt:lpstr>'57125 JE Query'!VendorCode</vt:lpstr>
      <vt:lpstr>'70095 JE Query (C)'!VendorCode</vt:lpstr>
      <vt:lpstr>'70195 JE Query'!VendorCode</vt:lpstr>
      <vt:lpstr>'JE Query - 41121, 41129'!VendorCode</vt:lpstr>
      <vt:lpstr>'LG MSW'!y_inter1</vt:lpstr>
      <vt:lpstr>'LG Recycle'!y_inter1</vt:lpstr>
      <vt:lpstr>'LG UTC'!y_inter1</vt:lpstr>
      <vt:lpstr>'LG YW'!y_inter1</vt:lpstr>
      <vt:lpstr>'LG MSW'!y_inter2</vt:lpstr>
      <vt:lpstr>'LG Recycle'!y_inter2</vt:lpstr>
      <vt:lpstr>'LG UTC'!y_inter2</vt:lpstr>
      <vt:lpstr>'LG YW'!y_inter2</vt:lpstr>
      <vt:lpstr>'LG MSW'!y_inter3</vt:lpstr>
      <vt:lpstr>'LG Recycle'!y_inter3</vt:lpstr>
      <vt:lpstr>'LG UTC'!y_inter3</vt:lpstr>
      <vt:lpstr>'LG YW'!y_inter3</vt:lpstr>
      <vt:lpstr>'LG MSW'!y_inter4</vt:lpstr>
      <vt:lpstr>'LG Recycle'!y_inter4</vt:lpstr>
      <vt:lpstr>'LG UTC'!y_inter4</vt:lpstr>
      <vt:lpstr>'LG YW'!y_inter4</vt:lpstr>
      <vt:lpstr>'2180 IS (C)'!YearMonth</vt:lpstr>
      <vt:lpstr>'2180_BS 11-2018'!YearMonth</vt:lpstr>
      <vt:lpstr>'2180_BS 11-2019'!YearMonth</vt:lpstr>
      <vt:lpstr>'2182 IS'!YearMonth</vt:lpstr>
      <vt:lpstr>'RegionOH (C)'!YearMonth</vt:lpstr>
    </vt:vector>
  </TitlesOfParts>
  <Company>Waste Connections,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WCNX</dc:creator>
  <cp:lastModifiedBy>Chelsea Paschke</cp:lastModifiedBy>
  <cp:lastPrinted>2020-01-17T04:09:21Z</cp:lastPrinted>
  <dcterms:created xsi:type="dcterms:W3CDTF">2015-07-27T17:02:00Z</dcterms:created>
  <dcterms:modified xsi:type="dcterms:W3CDTF">2020-01-17T04:09:57Z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0x0101006E56B4D1795A2E4DB2F0B01679ED314A0013454F252B790641B0500227D6281809</vt:lpwstr>
  </property>
  <property fmtid="{D5CDD505-2E9C-101B-9397-08002B2CF9AE}" pid="3" name="_docset_NoMedatataSyncRequired">
    <vt:lpwstr>False</vt:lpwstr>
  </property>
  <property fmtid="{D5CDD505-2E9C-101B-9397-08002B2CF9AE}" pid="4" name="IsEFSEC">
    <vt:bool>false</vt:bool>
  </property>
</Properties>
</file>